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defaultThemeVersion="166925"/>
  <mc:AlternateContent xmlns:mc="http://schemas.openxmlformats.org/markup-compatibility/2006">
    <mc:Choice Requires="x15">
      <x15ac:absPath xmlns:x15ac="http://schemas.microsoft.com/office/spreadsheetml/2010/11/ac" url="U:\Shared Documents\ERD - STATS\MSB\2023\September 2023\Final\Website\"/>
    </mc:Choice>
  </mc:AlternateContent>
  <xr:revisionPtr revIDLastSave="0" documentId="13_ncr:1_{5B837B8F-0A15-4C52-A7E7-DE568B2DCF46}" xr6:coauthVersionLast="36" xr6:coauthVersionMax="36" xr10:uidLastSave="{00000000-0000-0000-0000-000000000000}"/>
  <bookViews>
    <workbookView xWindow="0" yWindow="0" windowWidth="21600" windowHeight="8925" tabRatio="889" xr2:uid="{00000000-000D-0000-FFFF-FFFF00000000}"/>
  </bookViews>
  <sheets>
    <sheet name="Table of Contents" sheetId="23" r:id="rId1"/>
    <sheet name="1" sheetId="48" r:id="rId2"/>
    <sheet name="2 " sheetId="49" r:id="rId3"/>
    <sheet name="3 " sheetId="50" r:id="rId4"/>
    <sheet name="4 " sheetId="51" r:id="rId5"/>
    <sheet name="5 " sheetId="52" r:id="rId6"/>
    <sheet name="6" sheetId="53" r:id="rId7"/>
    <sheet name="7 " sheetId="54" r:id="rId8"/>
    <sheet name="8 " sheetId="55" r:id="rId9"/>
    <sheet name="9" sheetId="56" r:id="rId10"/>
    <sheet name="10" sheetId="57" r:id="rId11"/>
    <sheet name="11" sheetId="58" r:id="rId12"/>
    <sheet name="12" sheetId="59" r:id="rId13"/>
    <sheet name="13a" sheetId="60" r:id="rId14"/>
    <sheet name="13b" sheetId="61" r:id="rId15"/>
    <sheet name="13c " sheetId="62" r:id="rId16"/>
    <sheet name="13d" sheetId="63" r:id="rId17"/>
    <sheet name="13e" sheetId="64" r:id="rId18"/>
    <sheet name="14a-b" sheetId="65" r:id="rId19"/>
    <sheet name="15" sheetId="66" r:id="rId20"/>
    <sheet name="16a" sheetId="67" r:id="rId21"/>
    <sheet name="16b" sheetId="68" r:id="rId22"/>
    <sheet name="17a" sheetId="69" r:id="rId23"/>
    <sheet name="17b" sheetId="70" r:id="rId24"/>
    <sheet name="17c" sheetId="71" r:id="rId25"/>
    <sheet name="18" sheetId="72" r:id="rId26"/>
    <sheet name="19" sheetId="73" r:id="rId27"/>
    <sheet name="20a" sheetId="74" r:id="rId28"/>
    <sheet name="20b" sheetId="75" r:id="rId29"/>
    <sheet name="21" sheetId="76" r:id="rId30"/>
    <sheet name="22a" sheetId="77" r:id="rId31"/>
    <sheet name="22b" sheetId="78" r:id="rId32"/>
    <sheet name="23" sheetId="79" r:id="rId33"/>
    <sheet name="24a" sheetId="80" r:id="rId34"/>
    <sheet name="24b" sheetId="81" r:id="rId35"/>
    <sheet name="25" sheetId="82" r:id="rId36"/>
    <sheet name="26" sheetId="24" r:id="rId37"/>
    <sheet name="27" sheetId="25" r:id="rId38"/>
    <sheet name="28" sheetId="26" r:id="rId39"/>
    <sheet name="29" sheetId="27" r:id="rId40"/>
    <sheet name="30a" sheetId="28" r:id="rId41"/>
    <sheet name="30b" sheetId="29" r:id="rId42"/>
    <sheet name="31-32-33" sheetId="30" r:id="rId43"/>
    <sheet name="34" sheetId="31" r:id="rId44"/>
    <sheet name="35" sheetId="32" r:id="rId45"/>
    <sheet name="36" sheetId="33" r:id="rId46"/>
    <sheet name="37a-b" sheetId="34" r:id="rId47"/>
    <sheet name="38a-b" sheetId="35" r:id="rId48"/>
    <sheet name="39a-b" sheetId="36" r:id="rId49"/>
    <sheet name="40a-b" sheetId="37" r:id="rId50"/>
    <sheet name="41a-b" sheetId="38" r:id="rId51"/>
    <sheet name="42" sheetId="39" r:id="rId52"/>
    <sheet name="43-44" sheetId="40" r:id="rId53"/>
    <sheet name="45a-b" sheetId="41" r:id="rId54"/>
    <sheet name="45c" sheetId="42" r:id="rId55"/>
    <sheet name=" 46" sheetId="43" r:id="rId56"/>
    <sheet name="47a-b" sheetId="44" r:id="rId57"/>
    <sheet name="47c" sheetId="45" r:id="rId58"/>
    <sheet name="48" sheetId="46" r:id="rId59"/>
    <sheet name="49a-b" sheetId="47" r:id="rId60"/>
    <sheet name="50a" sheetId="1" r:id="rId61"/>
    <sheet name="50b-c" sheetId="2" r:id="rId62"/>
    <sheet name="50d" sheetId="3" r:id="rId63"/>
    <sheet name="51-52" sheetId="4" r:id="rId64"/>
    <sheet name="53" sheetId="5" r:id="rId65"/>
    <sheet name="54a" sheetId="6" r:id="rId66"/>
    <sheet name="54b" sheetId="7" r:id="rId67"/>
    <sheet name="55a-b" sheetId="8" r:id="rId68"/>
    <sheet name="56" sheetId="11" r:id="rId69"/>
    <sheet name="57a-b" sheetId="12" r:id="rId70"/>
    <sheet name="58" sheetId="14" r:id="rId71"/>
    <sheet name="59" sheetId="15" r:id="rId72"/>
    <sheet name="60a-b" sheetId="16" r:id="rId73"/>
    <sheet name="61a-b" sheetId="17" r:id="rId74"/>
    <sheet name="62a-c" sheetId="18" r:id="rId75"/>
    <sheet name="62d" sheetId="19" r:id="rId76"/>
    <sheet name="63" sheetId="20" r:id="rId77"/>
    <sheet name="64" sheetId="21" r:id="rId78"/>
    <sheet name="65" sheetId="22" r:id="rId79"/>
    <sheet name="66" sheetId="10" r:id="rId80"/>
  </sheets>
  <definedNames>
    <definedName name="_xlnm.Print_Area" localSheetId="55">' 46'!$A$1:$G$33</definedName>
    <definedName name="_xlnm.Print_Area" localSheetId="1">'1'!$A$1:$O$38</definedName>
    <definedName name="_xlnm.Print_Area" localSheetId="10">'10'!$A$1:$BI$55</definedName>
    <definedName name="_xlnm.Print_Area" localSheetId="11">'11'!$A$1:$BI$56</definedName>
    <definedName name="_xlnm.Print_Area" localSheetId="12">'12'!$A$1:$BH$49</definedName>
    <definedName name="_xlnm.Print_Area" localSheetId="13">'13a'!$A$1:$BH$41</definedName>
    <definedName name="_xlnm.Print_Area" localSheetId="14">'13b'!$A$1:$E$49</definedName>
    <definedName name="_xlnm.Print_Area" localSheetId="15">'13c '!$A$1:$E$48</definedName>
    <definedName name="_xlnm.Print_Area" localSheetId="16">'13d'!$A$1:$F$34</definedName>
    <definedName name="_xlnm.Print_Area" localSheetId="17">'13e'!$A$1:$F$35</definedName>
    <definedName name="_xlnm.Print_Area" localSheetId="18">'14a-b'!$A$1:$FI$62</definedName>
    <definedName name="_xlnm.Print_Area" localSheetId="19">'15'!$A$1:$F$123</definedName>
    <definedName name="_xlnm.Print_Area" localSheetId="20">'16a'!$A$1:$AN$122</definedName>
    <definedName name="_xlnm.Print_Area" localSheetId="21">'16b'!$A$1:$U$122</definedName>
    <definedName name="_xlnm.Print_Area" localSheetId="22">'17a'!$A$1:$CC$15</definedName>
    <definedName name="_xlnm.Print_Area" localSheetId="23">'17b'!$A$1:$AN$118</definedName>
    <definedName name="_xlnm.Print_Area" localSheetId="24">'17c'!$A$1:$V$118</definedName>
    <definedName name="_xlnm.Print_Area" localSheetId="25">'18'!$A$1:$I$227</definedName>
    <definedName name="_xlnm.Print_Area" localSheetId="26">'19'!$A$1:$D$36</definedName>
    <definedName name="_xlnm.Print_Area" localSheetId="2">'2 '!$A$1:$I$117</definedName>
    <definedName name="_xlnm.Print_Area" localSheetId="27">'20a'!$A$1:$AL$34</definedName>
    <definedName name="_xlnm.Print_Area" localSheetId="28">'20b'!$A$1:$U$35</definedName>
    <definedName name="_xlnm.Print_Area" localSheetId="29">'21'!$A$1:$BF$13</definedName>
    <definedName name="_xlnm.Print_Area" localSheetId="30">'22a'!$A$1:$AL$31</definedName>
    <definedName name="_xlnm.Print_Area" localSheetId="31">'22b'!$A$1:$U$31</definedName>
    <definedName name="_xlnm.Print_Area" localSheetId="32">'23'!$A$1:$D$36</definedName>
    <definedName name="_xlnm.Print_Area" localSheetId="33">'24a'!$A$1:$AL$34</definedName>
    <definedName name="_xlnm.Print_Area" localSheetId="34">'24b'!$A$1:$V$35</definedName>
    <definedName name="_xlnm.Print_Area" localSheetId="35">'25'!$A$1:$K$166</definedName>
    <definedName name="_xlnm.Print_Area" localSheetId="36">'26'!$A$1:$G$32</definedName>
    <definedName name="_xlnm.Print_Area" localSheetId="37">'27'!$A$1:$BE$59</definedName>
    <definedName name="_xlnm.Print_Area" localSheetId="38">'28'!$A$1:$Y$196</definedName>
    <definedName name="_xlnm.Print_Area" localSheetId="39">'29'!$A$1:$F$159</definedName>
    <definedName name="_xlnm.Print_Area" localSheetId="3">'3 '!$A$1:$AE$32</definedName>
    <definedName name="_xlnm.Print_Area" localSheetId="40">'30a'!$A$1:$G$162</definedName>
    <definedName name="_xlnm.Print_Area" localSheetId="41">'30b'!$A$1:$J$158</definedName>
    <definedName name="_xlnm.Print_Area" localSheetId="42">'31-32-33'!$A$1:$EJ$47</definedName>
    <definedName name="_xlnm.Print_Area" localSheetId="43">'34'!$A$1:$EH$25</definedName>
    <definedName name="_xlnm.Print_Area" localSheetId="44">'35'!$A$1:$BB$29</definedName>
    <definedName name="_xlnm.Print_Area" localSheetId="45">'36'!$A$1:$J$29</definedName>
    <definedName name="_xlnm.Print_Area" localSheetId="46">'37a-b'!$A$1:$O$31</definedName>
    <definedName name="_xlnm.Print_Area" localSheetId="47">'38a-b'!$A$1:$O$33</definedName>
    <definedName name="_xlnm.Print_Area" localSheetId="48">'39a-b'!$A$1:$O$23</definedName>
    <definedName name="_xlnm.Print_Area" localSheetId="4">'4 '!$A$1:$M$31</definedName>
    <definedName name="_xlnm.Print_Area" localSheetId="49">'40a-b'!$A$1:$N$28</definedName>
    <definedName name="_xlnm.Print_Area" localSheetId="50">'41a-b'!$A$1:$I$27</definedName>
    <definedName name="_xlnm.Print_Area" localSheetId="51">'42'!$A$1:$J$23</definedName>
    <definedName name="_xlnm.Print_Area" localSheetId="52">'43-44'!$A$1:$J$48</definedName>
    <definedName name="_xlnm.Print_Area" localSheetId="53">'45a-b'!$A$1:$C$27</definedName>
    <definedName name="_xlnm.Print_Area" localSheetId="54">'45c'!$A$1:$G$14</definedName>
    <definedName name="_xlnm.Print_Area" localSheetId="56">'47a-b'!$A$1:$I$329</definedName>
    <definedName name="_xlnm.Print_Area" localSheetId="57">'47c'!$A$1:$F$144</definedName>
    <definedName name="_xlnm.Print_Area" localSheetId="58">'48'!$A$1:$G$246</definedName>
    <definedName name="_xlnm.Print_Area" localSheetId="59">'49a-b'!$A$1:$O$204</definedName>
    <definedName name="_xlnm.Print_Area" localSheetId="5">'5 '!$A$1:$G$207</definedName>
    <definedName name="_xlnm.Print_Area" localSheetId="60">'50a'!$A$1:$H$136</definedName>
    <definedName name="_xlnm.Print_Area" localSheetId="61">'50b-c'!$A$1:$IT$38</definedName>
    <definedName name="_xlnm.Print_Area" localSheetId="62">'50d'!$A$1:$G$29</definedName>
    <definedName name="_xlnm.Print_Area" localSheetId="63">'51-52'!$A$1:$J$41</definedName>
    <definedName name="_xlnm.Print_Area" localSheetId="64">'53'!$A$1:$J$89</definedName>
    <definedName name="_xlnm.Print_Area" localSheetId="65">'54a'!$A$1:$CE$31</definedName>
    <definedName name="_xlnm.Print_Area" localSheetId="66">'54b'!$A$1:$CE$33</definedName>
    <definedName name="_xlnm.Print_Area" localSheetId="67">'55a-b'!$A$1:$L$173</definedName>
    <definedName name="_xlnm.Print_Area" localSheetId="68">'56'!$A$1:$EJ$99</definedName>
    <definedName name="_xlnm.Print_Area" localSheetId="69">'57a-b'!$A$1:$I$434</definedName>
    <definedName name="_xlnm.Print_Area" localSheetId="70">'58'!$A$1:$Q$23</definedName>
    <definedName name="_xlnm.Print_Area" localSheetId="71">'59'!$A$1:$J$152</definedName>
    <definedName name="_xlnm.Print_Area" localSheetId="6">'6'!$B$1:$F$45</definedName>
    <definedName name="_xlnm.Print_Area" localSheetId="72">'60a-b'!$A$1:$T$73</definedName>
    <definedName name="_xlnm.Print_Area" localSheetId="73">'61a-b'!$A$1:$T$72</definedName>
    <definedName name="_xlnm.Print_Area" localSheetId="74">'62a-c'!$A$1:$S$43</definedName>
    <definedName name="_xlnm.Print_Area" localSheetId="75">'62d'!$A$1:$T$25</definedName>
    <definedName name="_xlnm.Print_Area" localSheetId="76">'63'!$A$1:$F$20</definedName>
    <definedName name="_xlnm.Print_Area" localSheetId="77">'64'!$A$1:$G$159</definedName>
    <definedName name="_xlnm.Print_Area" localSheetId="78">'65'!$A$1:$F$166</definedName>
    <definedName name="_xlnm.Print_Area" localSheetId="79">'66'!$A$1:$AQ$18</definedName>
    <definedName name="_xlnm.Print_Area" localSheetId="7">'7 '!$A$1:$FK$64</definedName>
    <definedName name="_xlnm.Print_Area" localSheetId="8">'8 '!$A$1:$FJ$42</definedName>
    <definedName name="_xlnm.Print_Area" localSheetId="9">'9'!$A$1:$BI$55</definedName>
    <definedName name="_xlnm.Print_Area" localSheetId="0">'Table of Contents'!$A$1:$A$102</definedName>
    <definedName name="_xlnm.Print_Titles" localSheetId="78">'65'!$3:$3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52" i="17" l="1"/>
  <c r="R42" i="17"/>
  <c r="T41" i="17"/>
  <c r="S41" i="17"/>
  <c r="R41" i="17"/>
  <c r="T33" i="17"/>
  <c r="S33" i="17"/>
  <c r="S32" i="17" s="1"/>
  <c r="R33" i="17"/>
  <c r="R32" i="17" s="1"/>
  <c r="T32" i="17"/>
  <c r="T22" i="17"/>
  <c r="S22" i="17"/>
  <c r="R22" i="17"/>
  <c r="Q22" i="17"/>
  <c r="P22" i="17"/>
  <c r="O22" i="17"/>
  <c r="N22" i="17"/>
  <c r="M22" i="17"/>
  <c r="L22" i="17"/>
  <c r="K22" i="17"/>
  <c r="J22" i="17"/>
  <c r="I22" i="17"/>
  <c r="H22" i="17"/>
  <c r="G22" i="17"/>
  <c r="F22" i="17"/>
  <c r="D22" i="17"/>
  <c r="C22" i="17"/>
  <c r="E11" i="17"/>
  <c r="E9" i="17"/>
  <c r="E5" i="17"/>
  <c r="E4" i="17"/>
  <c r="E22" i="17" s="1"/>
  <c r="Q64" i="16"/>
  <c r="P64" i="16"/>
  <c r="O64" i="16"/>
  <c r="N64" i="16"/>
  <c r="M64" i="16"/>
  <c r="L64" i="16"/>
  <c r="K64" i="16"/>
  <c r="J64" i="16"/>
  <c r="I64" i="16"/>
  <c r="H64" i="16"/>
  <c r="G64" i="16"/>
  <c r="F64" i="16"/>
  <c r="E64" i="16"/>
  <c r="D64" i="16"/>
  <c r="C64" i="16"/>
  <c r="R59" i="16"/>
  <c r="Q59" i="16"/>
  <c r="P59" i="16"/>
  <c r="O59" i="16"/>
  <c r="N59" i="16"/>
  <c r="M59" i="16"/>
  <c r="L59" i="16"/>
  <c r="K59" i="16"/>
  <c r="J59" i="16"/>
  <c r="I59" i="16"/>
  <c r="H59" i="16"/>
  <c r="G59" i="16"/>
  <c r="F59" i="16"/>
  <c r="E59" i="16"/>
  <c r="D59" i="16"/>
  <c r="C59" i="16"/>
  <c r="R56" i="16"/>
  <c r="Q56" i="16"/>
  <c r="Q55" i="16" s="1"/>
  <c r="Q47" i="16" s="1"/>
  <c r="P56" i="16"/>
  <c r="P55" i="16" s="1"/>
  <c r="P47" i="16" s="1"/>
  <c r="P34" i="16" s="1"/>
  <c r="O56" i="16"/>
  <c r="N56" i="16"/>
  <c r="M56" i="16"/>
  <c r="M55" i="16" s="1"/>
  <c r="M47" i="16" s="1"/>
  <c r="L56" i="16"/>
  <c r="L55" i="16" s="1"/>
  <c r="L47" i="16" s="1"/>
  <c r="K56" i="16"/>
  <c r="J56" i="16"/>
  <c r="I56" i="16"/>
  <c r="I55" i="16" s="1"/>
  <c r="I47" i="16" s="1"/>
  <c r="H56" i="16"/>
  <c r="H55" i="16" s="1"/>
  <c r="H47" i="16" s="1"/>
  <c r="G56" i="16"/>
  <c r="F56" i="16"/>
  <c r="E56" i="16"/>
  <c r="E55" i="16" s="1"/>
  <c r="E47" i="16" s="1"/>
  <c r="D56" i="16"/>
  <c r="D55" i="16" s="1"/>
  <c r="D47" i="16" s="1"/>
  <c r="C56" i="16"/>
  <c r="T55" i="16"/>
  <c r="S55" i="16"/>
  <c r="S47" i="16" s="1"/>
  <c r="S34" i="16" s="1"/>
  <c r="R55" i="16"/>
  <c r="O55" i="16"/>
  <c r="N55" i="16"/>
  <c r="K55" i="16"/>
  <c r="J55" i="16"/>
  <c r="G55" i="16"/>
  <c r="F55" i="16"/>
  <c r="C55" i="16"/>
  <c r="R52" i="16"/>
  <c r="Q52" i="16"/>
  <c r="P52" i="16"/>
  <c r="O52" i="16"/>
  <c r="N52" i="16"/>
  <c r="M52" i="16"/>
  <c r="L52" i="16"/>
  <c r="K52" i="16"/>
  <c r="J52" i="16"/>
  <c r="I52" i="16"/>
  <c r="H52" i="16"/>
  <c r="G52" i="16"/>
  <c r="F52" i="16"/>
  <c r="E52" i="16"/>
  <c r="D52" i="16"/>
  <c r="C52" i="16"/>
  <c r="R48" i="16"/>
  <c r="R47" i="16" s="1"/>
  <c r="Q48" i="16"/>
  <c r="P48" i="16"/>
  <c r="O48" i="16"/>
  <c r="O47" i="16" s="1"/>
  <c r="N48" i="16"/>
  <c r="N47" i="16" s="1"/>
  <c r="M48" i="16"/>
  <c r="L48" i="16"/>
  <c r="K48" i="16"/>
  <c r="K47" i="16" s="1"/>
  <c r="J48" i="16"/>
  <c r="J47" i="16" s="1"/>
  <c r="I48" i="16"/>
  <c r="H48" i="16"/>
  <c r="G48" i="16"/>
  <c r="G47" i="16" s="1"/>
  <c r="F48" i="16"/>
  <c r="F47" i="16" s="1"/>
  <c r="E48" i="16"/>
  <c r="D48" i="16"/>
  <c r="C48" i="16"/>
  <c r="C47" i="16" s="1"/>
  <c r="T47" i="16"/>
  <c r="T34" i="16" s="1"/>
  <c r="R36" i="16"/>
  <c r="R35" i="16" s="1"/>
  <c r="Q36" i="16"/>
  <c r="O36" i="16"/>
  <c r="O35" i="16" s="1"/>
  <c r="O34" i="16" s="1"/>
  <c r="N36" i="16"/>
  <c r="M36" i="16"/>
  <c r="L36" i="16"/>
  <c r="L35" i="16" s="1"/>
  <c r="K36" i="16"/>
  <c r="K35" i="16" s="1"/>
  <c r="K34" i="16" s="1"/>
  <c r="J36" i="16"/>
  <c r="I36" i="16"/>
  <c r="H36" i="16"/>
  <c r="H35" i="16" s="1"/>
  <c r="G36" i="16"/>
  <c r="G35" i="16" s="1"/>
  <c r="G34" i="16" s="1"/>
  <c r="F36" i="16"/>
  <c r="E36" i="16"/>
  <c r="D36" i="16"/>
  <c r="D35" i="16" s="1"/>
  <c r="C36" i="16"/>
  <c r="C35" i="16" s="1"/>
  <c r="C34" i="16" s="1"/>
  <c r="T35" i="16"/>
  <c r="S35" i="16"/>
  <c r="Q35" i="16"/>
  <c r="P35" i="16"/>
  <c r="N35" i="16"/>
  <c r="N34" i="16" s="1"/>
  <c r="M35" i="16"/>
  <c r="J35" i="16"/>
  <c r="I35" i="16"/>
  <c r="I34" i="16" s="1"/>
  <c r="F35" i="16"/>
  <c r="F34" i="16" s="1"/>
  <c r="E35" i="16"/>
  <c r="T23" i="16"/>
  <c r="S23" i="16"/>
  <c r="R23" i="16"/>
  <c r="Q23" i="16"/>
  <c r="P23" i="16"/>
  <c r="O23" i="16"/>
  <c r="N23" i="16"/>
  <c r="M23" i="16"/>
  <c r="L23" i="16"/>
  <c r="K23" i="16"/>
  <c r="J23" i="16"/>
  <c r="I23" i="16"/>
  <c r="H23" i="16"/>
  <c r="G23" i="16"/>
  <c r="F23" i="16"/>
  <c r="E23" i="16"/>
  <c r="D23" i="16"/>
  <c r="C23" i="16"/>
  <c r="G13" i="16"/>
  <c r="J34" i="16" l="1"/>
  <c r="Q34" i="16"/>
  <c r="D34" i="16"/>
  <c r="H34" i="16"/>
  <c r="L34" i="16"/>
  <c r="E34" i="16"/>
  <c r="M34" i="16"/>
  <c r="R34" i="16"/>
  <c r="AP39" i="25"/>
  <c r="H32" i="25"/>
  <c r="G32" i="25"/>
  <c r="F32" i="25"/>
  <c r="E32" i="25"/>
  <c r="D32" i="25"/>
  <c r="C32" i="25"/>
  <c r="B32" i="25"/>
  <c r="B115" i="70" l="1"/>
  <c r="B113" i="70"/>
  <c r="T70" i="68"/>
  <c r="S70" i="68"/>
  <c r="R70" i="68"/>
  <c r="Q70" i="68"/>
  <c r="P70" i="68"/>
  <c r="O70" i="68"/>
  <c r="N70" i="68"/>
  <c r="M70" i="68"/>
  <c r="L70" i="68"/>
  <c r="J70" i="68"/>
  <c r="I70" i="68"/>
  <c r="DR28" i="65"/>
  <c r="DQ28" i="65"/>
  <c r="DP28" i="65"/>
  <c r="DO28" i="65"/>
  <c r="DN28" i="65"/>
  <c r="DM28" i="65"/>
  <c r="DL28" i="65"/>
  <c r="DK28" i="65"/>
  <c r="DJ28" i="65"/>
  <c r="DI28" i="65"/>
  <c r="DH28" i="65"/>
  <c r="DG28" i="65"/>
  <c r="DF28" i="65"/>
  <c r="DE28" i="65"/>
  <c r="DD28" i="65"/>
  <c r="DC28" i="65"/>
  <c r="DB28" i="65"/>
  <c r="DA28" i="65"/>
  <c r="CZ28" i="65"/>
  <c r="CY28" i="65"/>
  <c r="CX28" i="65"/>
  <c r="CW28" i="65"/>
  <c r="CV28" i="65"/>
  <c r="CU28" i="65"/>
  <c r="CT28" i="65"/>
  <c r="CS28" i="65"/>
  <c r="CR28" i="65"/>
  <c r="CQ28" i="65"/>
  <c r="CP28" i="65"/>
  <c r="CO28" i="65"/>
  <c r="CN28" i="65"/>
  <c r="CM28" i="65"/>
  <c r="CL28" i="65"/>
  <c r="CK28" i="65"/>
  <c r="CJ28" i="65"/>
  <c r="CI28" i="65"/>
  <c r="CH28" i="65"/>
  <c r="CG28" i="65"/>
  <c r="CF28" i="65"/>
  <c r="CE28" i="65"/>
  <c r="CD28" i="65"/>
  <c r="CC28" i="65"/>
  <c r="CB28" i="65"/>
  <c r="CA28" i="65"/>
  <c r="BZ28" i="65"/>
  <c r="BY28" i="65"/>
  <c r="BX28" i="65"/>
  <c r="BW28" i="65"/>
  <c r="BV28" i="65"/>
  <c r="BU28" i="65"/>
  <c r="BT28" i="65"/>
  <c r="BS28" i="65"/>
  <c r="BR28" i="65"/>
  <c r="BQ28" i="65"/>
  <c r="BP28" i="65"/>
  <c r="BO28" i="65"/>
  <c r="BN28" i="65"/>
  <c r="BM28" i="65"/>
  <c r="BL28" i="65"/>
  <c r="BK28" i="65"/>
  <c r="BJ28" i="65"/>
  <c r="BI28" i="65"/>
  <c r="BH28" i="65"/>
  <c r="BG28" i="65"/>
  <c r="BF28" i="65"/>
  <c r="BE28" i="65"/>
  <c r="BD28" i="65"/>
  <c r="BC28" i="65"/>
  <c r="BB28" i="65"/>
  <c r="BA28" i="65"/>
  <c r="AZ28" i="65"/>
  <c r="AY28" i="65"/>
  <c r="AX28" i="65"/>
  <c r="AW28" i="65"/>
  <c r="AV28" i="65"/>
  <c r="AU28" i="65"/>
  <c r="AT28" i="65"/>
  <c r="AS28" i="65"/>
  <c r="AR28" i="65"/>
  <c r="AQ28" i="65"/>
  <c r="AP28" i="65"/>
  <c r="AO28" i="65"/>
  <c r="AN28" i="65"/>
  <c r="AM28" i="65"/>
  <c r="AL28" i="65"/>
  <c r="AK28" i="65"/>
  <c r="AJ28" i="65"/>
  <c r="AI28" i="65"/>
  <c r="AH28" i="65"/>
  <c r="AG28" i="65"/>
  <c r="AF28" i="65"/>
  <c r="AE28" i="65"/>
  <c r="AD28" i="65"/>
  <c r="AC28" i="65"/>
  <c r="AB28" i="65"/>
  <c r="AA28" i="65"/>
  <c r="Z28" i="65"/>
  <c r="Y28" i="65"/>
  <c r="X28" i="65"/>
  <c r="W28" i="65"/>
  <c r="V28" i="65"/>
  <c r="U28" i="65"/>
  <c r="T28" i="65"/>
  <c r="S28" i="65"/>
  <c r="R28" i="65"/>
  <c r="Q28" i="65"/>
  <c r="P28" i="65"/>
  <c r="O28" i="65"/>
  <c r="N28" i="65"/>
  <c r="M28" i="65"/>
  <c r="L28" i="65"/>
  <c r="K28" i="65"/>
  <c r="J28" i="65"/>
  <c r="I28" i="65"/>
  <c r="H28" i="65"/>
  <c r="G28" i="65"/>
  <c r="F28" i="65"/>
  <c r="E28" i="65"/>
  <c r="D28" i="65"/>
  <c r="C28" i="65"/>
  <c r="B28" i="65"/>
  <c r="C30" i="62"/>
  <c r="C30" i="61"/>
  <c r="DK31" i="54"/>
  <c r="BG31" i="54"/>
  <c r="BF31" i="54"/>
  <c r="BD31" i="54"/>
  <c r="AV31" i="54"/>
  <c r="AT31" i="54"/>
  <c r="AS31" i="54"/>
  <c r="AR31" i="54"/>
  <c r="AQ31" i="54"/>
  <c r="AP31" i="54"/>
  <c r="AO31" i="54"/>
  <c r="AN31" i="54"/>
  <c r="AM31" i="54"/>
  <c r="AL31" i="54"/>
  <c r="AK31" i="54"/>
  <c r="AJ31" i="54"/>
  <c r="AI31" i="54"/>
  <c r="AH31" i="54"/>
  <c r="AG31" i="54"/>
  <c r="AF31" i="54"/>
  <c r="AE31" i="54"/>
  <c r="AD31" i="54"/>
  <c r="AC31" i="54"/>
  <c r="AB31" i="54"/>
  <c r="AA31" i="54"/>
  <c r="Z31" i="54"/>
  <c r="Y31" i="54"/>
  <c r="X31" i="54"/>
  <c r="W31" i="54"/>
  <c r="V31" i="54"/>
  <c r="U31" i="54"/>
  <c r="T31" i="54"/>
  <c r="S31" i="54"/>
  <c r="R31" i="54"/>
  <c r="Q31" i="54"/>
  <c r="P31" i="54"/>
  <c r="O31" i="54"/>
  <c r="N31" i="54"/>
  <c r="M31" i="54"/>
  <c r="L31" i="54"/>
  <c r="K31" i="54"/>
  <c r="J31" i="54"/>
  <c r="I31" i="54"/>
  <c r="H31" i="54"/>
  <c r="G31" i="54"/>
  <c r="F31" i="54"/>
  <c r="E31" i="54"/>
  <c r="D31" i="54"/>
  <c r="C31" i="54"/>
  <c r="C42" i="53"/>
  <c r="C40" i="53"/>
  <c r="C41" i="53" s="1"/>
  <c r="C39" i="53"/>
  <c r="C35" i="53"/>
  <c r="C34" i="53"/>
  <c r="C33" i="53"/>
  <c r="C32" i="53"/>
  <c r="C30" i="53"/>
  <c r="C29" i="53"/>
  <c r="C28" i="53"/>
  <c r="C27" i="53"/>
  <c r="C31" i="53" s="1"/>
  <c r="C36" i="53" s="1"/>
  <c r="C43" i="53" s="1"/>
  <c r="C25" i="53"/>
  <c r="C19" i="53"/>
  <c r="C18" i="53"/>
  <c r="C17" i="53"/>
  <c r="C15" i="53"/>
  <c r="C20" i="53" s="1"/>
  <c r="C12" i="53"/>
  <c r="C11" i="53"/>
  <c r="C10" i="53"/>
  <c r="C9" i="53"/>
  <c r="C8" i="53"/>
  <c r="C13" i="53" s="1"/>
  <c r="G17" i="51"/>
  <c r="F17" i="51"/>
  <c r="E17" i="51"/>
  <c r="D17" i="51"/>
  <c r="B17" i="51"/>
  <c r="AB26" i="50"/>
  <c r="AA26" i="50"/>
  <c r="Z26" i="50"/>
  <c r="Y26" i="50"/>
  <c r="X26" i="50"/>
  <c r="W26" i="50"/>
  <c r="V26" i="50"/>
  <c r="U26" i="50"/>
  <c r="T26" i="50"/>
  <c r="S26" i="50"/>
  <c r="R26" i="50"/>
  <c r="AB24" i="50"/>
  <c r="AA24" i="50"/>
  <c r="Z24" i="50"/>
  <c r="Y24" i="50"/>
  <c r="X24" i="50"/>
  <c r="W24" i="50"/>
  <c r="V24" i="50"/>
  <c r="U24" i="50"/>
  <c r="T24" i="50"/>
  <c r="S24" i="50"/>
  <c r="R24" i="50"/>
  <c r="Q24" i="50"/>
  <c r="P24" i="50"/>
  <c r="O24" i="50"/>
  <c r="N24" i="50"/>
  <c r="M24" i="50"/>
  <c r="I24" i="50"/>
  <c r="H24" i="50"/>
  <c r="G24" i="50"/>
  <c r="F24" i="50"/>
  <c r="E24" i="50"/>
  <c r="D24" i="50"/>
  <c r="C24" i="50"/>
  <c r="B24" i="50"/>
  <c r="AC22" i="50"/>
  <c r="AB22" i="50"/>
  <c r="AA22" i="50"/>
  <c r="Z22" i="50"/>
  <c r="Y22" i="50"/>
  <c r="X22" i="50"/>
  <c r="W22" i="50"/>
  <c r="V22" i="50"/>
  <c r="U22" i="50"/>
  <c r="T22" i="50"/>
  <c r="S22" i="50"/>
  <c r="R22" i="50"/>
  <c r="Q22" i="50"/>
  <c r="P22" i="50"/>
  <c r="O22" i="50"/>
  <c r="N22" i="50"/>
  <c r="M22" i="50"/>
  <c r="I22" i="50"/>
  <c r="H22" i="50"/>
  <c r="G22" i="50"/>
  <c r="F22" i="50"/>
  <c r="E22" i="50"/>
  <c r="D22" i="50"/>
  <c r="C22" i="50"/>
  <c r="B22" i="50"/>
  <c r="AB20" i="50"/>
  <c r="AA20" i="50"/>
  <c r="Z20" i="50"/>
  <c r="Y20" i="50"/>
  <c r="X20" i="50"/>
  <c r="W20" i="50"/>
  <c r="V20" i="50"/>
  <c r="U20" i="50"/>
  <c r="T20" i="50"/>
  <c r="S20" i="50"/>
  <c r="R20" i="50"/>
  <c r="Q20" i="50"/>
  <c r="P20" i="50"/>
  <c r="O20" i="50"/>
  <c r="N20" i="50"/>
  <c r="M20" i="50"/>
  <c r="I20" i="50"/>
  <c r="H20" i="50"/>
  <c r="G20" i="50"/>
  <c r="F20" i="50"/>
  <c r="E20" i="50"/>
  <c r="D20" i="50"/>
  <c r="C20" i="50"/>
  <c r="B20" i="50"/>
  <c r="AB13" i="50"/>
  <c r="AA13" i="50"/>
  <c r="Z13" i="50"/>
  <c r="Y13" i="50"/>
  <c r="X13" i="50"/>
  <c r="W13" i="50"/>
  <c r="V13" i="50"/>
  <c r="U13" i="50"/>
  <c r="T13" i="50"/>
  <c r="S13" i="50"/>
  <c r="R13" i="50"/>
  <c r="Q13" i="50"/>
  <c r="P13" i="50"/>
  <c r="O13" i="50"/>
  <c r="N13" i="50"/>
  <c r="I13" i="50"/>
  <c r="G13" i="50"/>
  <c r="F13" i="50"/>
  <c r="E13" i="50"/>
  <c r="D13" i="50"/>
  <c r="C13" i="50"/>
  <c r="B13" i="50"/>
  <c r="AB11" i="50"/>
  <c r="AA11" i="50"/>
  <c r="Z11" i="50"/>
  <c r="Y11" i="50"/>
  <c r="X11" i="50"/>
  <c r="W11" i="50"/>
  <c r="V11" i="50"/>
  <c r="U11" i="50"/>
  <c r="T11" i="50"/>
  <c r="S11" i="50"/>
  <c r="R11" i="50"/>
  <c r="Q11" i="50"/>
  <c r="P11" i="50"/>
  <c r="O11" i="50"/>
  <c r="N11" i="50"/>
  <c r="M11" i="50"/>
  <c r="I11" i="50"/>
  <c r="G11" i="50"/>
  <c r="F11" i="50"/>
  <c r="E11" i="50"/>
  <c r="D11" i="50"/>
  <c r="C11" i="50"/>
  <c r="B11" i="50"/>
  <c r="C22" i="53" l="1"/>
  <c r="I263" i="47"/>
  <c r="K262" i="47"/>
  <c r="K261" i="47"/>
  <c r="K260" i="47"/>
  <c r="I258" i="47"/>
  <c r="K256" i="47"/>
  <c r="K255" i="47"/>
  <c r="K258" i="47" s="1"/>
  <c r="L258" i="47" s="1"/>
  <c r="M258" i="47" s="1"/>
  <c r="I253" i="47"/>
  <c r="K252" i="47"/>
  <c r="K251" i="47"/>
  <c r="K253" i="47" s="1"/>
  <c r="L253" i="47" s="1"/>
  <c r="M253" i="47" s="1"/>
  <c r="I249" i="47"/>
  <c r="K248" i="47"/>
  <c r="K247" i="47"/>
  <c r="K246" i="47"/>
  <c r="K245" i="47"/>
  <c r="K244" i="47"/>
  <c r="K243" i="47"/>
  <c r="K242" i="47"/>
  <c r="I236" i="47"/>
  <c r="K235" i="47"/>
  <c r="K234" i="47"/>
  <c r="K233" i="47"/>
  <c r="K232" i="47"/>
  <c r="K231" i="47"/>
  <c r="K230" i="47"/>
  <c r="K229" i="47"/>
  <c r="K228" i="47"/>
  <c r="K227" i="47"/>
  <c r="K226" i="47"/>
  <c r="K225" i="47"/>
  <c r="P215" i="47"/>
  <c r="P214" i="47"/>
  <c r="K211" i="47"/>
  <c r="K210" i="47"/>
  <c r="K209" i="47"/>
  <c r="K208" i="47"/>
  <c r="B192" i="47"/>
  <c r="I185" i="47"/>
  <c r="B12" i="42"/>
  <c r="C26" i="41"/>
  <c r="B26" i="41"/>
  <c r="C8" i="41"/>
  <c r="B8" i="41"/>
  <c r="C4" i="41"/>
  <c r="B4" i="41"/>
  <c r="G45" i="40"/>
  <c r="D45" i="40"/>
  <c r="C45" i="40"/>
  <c r="B45" i="40"/>
  <c r="H44" i="40"/>
  <c r="H43" i="40"/>
  <c r="F42" i="40"/>
  <c r="H42" i="40" s="1"/>
  <c r="F41" i="40"/>
  <c r="H41" i="40" s="1"/>
  <c r="F40" i="40"/>
  <c r="H40" i="40" s="1"/>
  <c r="H39" i="40"/>
  <c r="H38" i="40"/>
  <c r="F37" i="40"/>
  <c r="H37" i="40" s="1"/>
  <c r="H36" i="40"/>
  <c r="F36" i="40"/>
  <c r="F35" i="40"/>
  <c r="H34" i="40"/>
  <c r="H33" i="40"/>
  <c r="H32" i="40"/>
  <c r="H31" i="40"/>
  <c r="H30" i="40"/>
  <c r="H29" i="40"/>
  <c r="F29" i="40"/>
  <c r="H28" i="40"/>
  <c r="E27" i="40"/>
  <c r="H27" i="40" s="1"/>
  <c r="E26" i="40"/>
  <c r="H26" i="40" s="1"/>
  <c r="F25" i="40"/>
  <c r="E25" i="40"/>
  <c r="H25" i="40" s="1"/>
  <c r="E24" i="40"/>
  <c r="H16" i="40"/>
  <c r="H15" i="40"/>
  <c r="H14" i="40"/>
  <c r="H13" i="40"/>
  <c r="H12" i="40"/>
  <c r="H11" i="40"/>
  <c r="H10" i="40"/>
  <c r="H9" i="40"/>
  <c r="H8" i="40"/>
  <c r="H7" i="40"/>
  <c r="H6" i="40"/>
  <c r="H5" i="40"/>
  <c r="H4" i="40"/>
  <c r="H7" i="38"/>
  <c r="H6" i="38"/>
  <c r="H5" i="38"/>
  <c r="O25" i="35"/>
  <c r="N25" i="35"/>
  <c r="O21" i="35"/>
  <c r="N21" i="35"/>
  <c r="I10" i="35"/>
  <c r="H10" i="35"/>
  <c r="G10" i="35"/>
  <c r="F10" i="35"/>
  <c r="E10" i="35"/>
  <c r="D10" i="35"/>
  <c r="C10" i="35"/>
  <c r="K9" i="35"/>
  <c r="K8" i="35"/>
  <c r="K10" i="35" s="1"/>
  <c r="K7" i="35"/>
  <c r="K6" i="35"/>
  <c r="O25" i="34"/>
  <c r="N25" i="34"/>
  <c r="O21" i="34"/>
  <c r="N21" i="34"/>
  <c r="H10" i="34"/>
  <c r="G10" i="34"/>
  <c r="F10" i="34"/>
  <c r="E10" i="34"/>
  <c r="D10" i="34"/>
  <c r="C10" i="34"/>
  <c r="J9" i="34"/>
  <c r="J8" i="34"/>
  <c r="J7" i="34"/>
  <c r="J6" i="34"/>
  <c r="AL14" i="32"/>
  <c r="AK14" i="32"/>
  <c r="AJ14" i="32"/>
  <c r="AI14" i="32"/>
  <c r="AH14" i="32"/>
  <c r="U14" i="32"/>
  <c r="S14" i="32"/>
  <c r="R14" i="32"/>
  <c r="O14" i="32"/>
  <c r="N14" i="32"/>
  <c r="M14" i="32"/>
  <c r="L14" i="32"/>
  <c r="I14" i="32"/>
  <c r="H14" i="32"/>
  <c r="F14" i="32"/>
  <c r="E14" i="32"/>
  <c r="D14" i="32"/>
  <c r="R12" i="32"/>
  <c r="R18" i="32" s="1"/>
  <c r="R22" i="32" s="1"/>
  <c r="R26" i="32" s="1"/>
  <c r="L12" i="32"/>
  <c r="L18" i="32" s="1"/>
  <c r="L22" i="32" s="1"/>
  <c r="L26" i="32" s="1"/>
  <c r="AL8" i="32"/>
  <c r="AK8" i="32"/>
  <c r="AK12" i="32" s="1"/>
  <c r="AK18" i="32" s="1"/>
  <c r="AK22" i="32" s="1"/>
  <c r="AK26" i="32" s="1"/>
  <c r="AJ8" i="32"/>
  <c r="AJ12" i="32" s="1"/>
  <c r="AJ18" i="32" s="1"/>
  <c r="AJ22" i="32" s="1"/>
  <c r="AJ26" i="32" s="1"/>
  <c r="AI8" i="32"/>
  <c r="AI12" i="32" s="1"/>
  <c r="AI18" i="32" s="1"/>
  <c r="AI22" i="32" s="1"/>
  <c r="AI26" i="32" s="1"/>
  <c r="AH8" i="32"/>
  <c r="AH12" i="32" s="1"/>
  <c r="AH18" i="32" s="1"/>
  <c r="AH22" i="32" s="1"/>
  <c r="AH26" i="32" s="1"/>
  <c r="U8" i="32"/>
  <c r="S8" i="32"/>
  <c r="R8" i="32"/>
  <c r="O8" i="32"/>
  <c r="N8" i="32"/>
  <c r="M8" i="32"/>
  <c r="L8" i="32"/>
  <c r="I8" i="32"/>
  <c r="H8" i="32"/>
  <c r="F8" i="32"/>
  <c r="E8" i="32"/>
  <c r="D8" i="32"/>
  <c r="AL6" i="32"/>
  <c r="AL12" i="32" s="1"/>
  <c r="U6" i="32"/>
  <c r="U12" i="32" s="1"/>
  <c r="U18" i="32" s="1"/>
  <c r="U22" i="32" s="1"/>
  <c r="U26" i="32" s="1"/>
  <c r="S6" i="32"/>
  <c r="R6" i="32"/>
  <c r="O6" i="32"/>
  <c r="O12" i="32" s="1"/>
  <c r="N6" i="32"/>
  <c r="N12" i="32" s="1"/>
  <c r="N18" i="32" s="1"/>
  <c r="N22" i="32" s="1"/>
  <c r="N26" i="32" s="1"/>
  <c r="M6" i="32"/>
  <c r="L6" i="32"/>
  <c r="J6" i="32"/>
  <c r="I6" i="32"/>
  <c r="I12" i="32" s="1"/>
  <c r="I18" i="32" s="1"/>
  <c r="I22" i="32" s="1"/>
  <c r="I26" i="32" s="1"/>
  <c r="H6" i="32"/>
  <c r="F6" i="32"/>
  <c r="E6" i="32"/>
  <c r="E12" i="32" s="1"/>
  <c r="E18" i="32" s="1"/>
  <c r="E22" i="32" s="1"/>
  <c r="E26" i="32" s="1"/>
  <c r="D6" i="32"/>
  <c r="D12" i="32" s="1"/>
  <c r="D18" i="32" s="1"/>
  <c r="D22" i="32" s="1"/>
  <c r="D26" i="32" s="1"/>
  <c r="CA13" i="31"/>
  <c r="BZ13" i="31"/>
  <c r="BY13" i="31"/>
  <c r="BX13" i="31"/>
  <c r="BW13" i="31"/>
  <c r="AM44" i="30"/>
  <c r="CD38" i="30"/>
  <c r="CC38" i="30"/>
  <c r="CB38" i="30"/>
  <c r="CA38" i="30"/>
  <c r="BZ38" i="30"/>
  <c r="BY38" i="30"/>
  <c r="BX38" i="30"/>
  <c r="BW38" i="30"/>
  <c r="BV38" i="30"/>
  <c r="BU38" i="30"/>
  <c r="BT38" i="30"/>
  <c r="BS38" i="30"/>
  <c r="BR38" i="30"/>
  <c r="BQ38" i="30"/>
  <c r="BP38" i="30"/>
  <c r="BO38" i="30"/>
  <c r="BN38" i="30"/>
  <c r="BM38" i="30"/>
  <c r="BL38" i="30"/>
  <c r="BK38" i="30"/>
  <c r="BJ38" i="30"/>
  <c r="BI38" i="30"/>
  <c r="BH38" i="30"/>
  <c r="AO38" i="30"/>
  <c r="AL38" i="30"/>
  <c r="AK38" i="30"/>
  <c r="AJ38" i="30"/>
  <c r="AI38" i="30"/>
  <c r="AH38" i="30"/>
  <c r="AG38" i="30"/>
  <c r="AF38" i="30"/>
  <c r="AE38" i="30"/>
  <c r="AD38" i="30"/>
  <c r="AC38" i="30"/>
  <c r="AB38" i="30"/>
  <c r="AA38" i="30"/>
  <c r="Z38" i="30"/>
  <c r="Y38" i="30"/>
  <c r="X38" i="30"/>
  <c r="W38" i="30"/>
  <c r="V38" i="30"/>
  <c r="U38" i="30"/>
  <c r="T38" i="30"/>
  <c r="S38" i="30"/>
  <c r="R38" i="30"/>
  <c r="Q38" i="30"/>
  <c r="CB31" i="30"/>
  <c r="CA31" i="30"/>
  <c r="BZ31" i="30"/>
  <c r="BY31" i="30"/>
  <c r="AM31" i="30"/>
  <c r="CB30" i="30"/>
  <c r="CA30" i="30"/>
  <c r="BZ30" i="30"/>
  <c r="BY30" i="30"/>
  <c r="CB28" i="30"/>
  <c r="CA28" i="30"/>
  <c r="BZ28" i="30"/>
  <c r="BY28" i="30"/>
  <c r="CD26" i="30"/>
  <c r="CC26" i="30"/>
  <c r="CB26" i="30"/>
  <c r="CA26" i="30"/>
  <c r="BZ26" i="30"/>
  <c r="BY26" i="30"/>
  <c r="BX26" i="30"/>
  <c r="BW26" i="30"/>
  <c r="BV26" i="30"/>
  <c r="BU26" i="30"/>
  <c r="BT26" i="30"/>
  <c r="BS26" i="30"/>
  <c r="BR26" i="30"/>
  <c r="BQ26" i="30"/>
  <c r="BP26" i="30"/>
  <c r="BO26" i="30"/>
  <c r="BN26" i="30"/>
  <c r="BM26" i="30"/>
  <c r="BL26" i="30"/>
  <c r="BK26" i="30"/>
  <c r="BJ26" i="30"/>
  <c r="BI26" i="30"/>
  <c r="BH26" i="30"/>
  <c r="AT26" i="30"/>
  <c r="AS26" i="30"/>
  <c r="AR26" i="30"/>
  <c r="AQ26" i="30"/>
  <c r="AP26" i="30"/>
  <c r="AO26" i="30"/>
  <c r="AL26" i="30"/>
  <c r="AK26" i="30"/>
  <c r="AJ26" i="30"/>
  <c r="AI26" i="30"/>
  <c r="AH26" i="30"/>
  <c r="AG26" i="30"/>
  <c r="AF26" i="30"/>
  <c r="AE26" i="30"/>
  <c r="AD26" i="30"/>
  <c r="AC26" i="30"/>
  <c r="AB26" i="30"/>
  <c r="AA26" i="30"/>
  <c r="Z26" i="30"/>
  <c r="Y26" i="30"/>
  <c r="X26" i="30"/>
  <c r="W26" i="30"/>
  <c r="V26" i="30"/>
  <c r="U26" i="30"/>
  <c r="T26" i="30"/>
  <c r="S26" i="30"/>
  <c r="R26" i="30"/>
  <c r="Q26" i="30"/>
  <c r="CL16" i="30"/>
  <c r="CI16" i="30"/>
  <c r="CF16" i="30"/>
  <c r="CC16" i="30"/>
  <c r="BZ16" i="30"/>
  <c r="BW16" i="30"/>
  <c r="BT16" i="30"/>
  <c r="BQ16" i="30"/>
  <c r="BZ15" i="30"/>
  <c r="BY15" i="30"/>
  <c r="BX15" i="30"/>
  <c r="BW15" i="30"/>
  <c r="BV15" i="30"/>
  <c r="BU15" i="30"/>
  <c r="BT15" i="30"/>
  <c r="BS15" i="30"/>
  <c r="BR15" i="30"/>
  <c r="BQ15" i="30"/>
  <c r="BP15" i="30"/>
  <c r="BY13" i="30"/>
  <c r="BX13" i="30"/>
  <c r="BW13" i="30"/>
  <c r="BV13" i="30"/>
  <c r="BU13" i="30"/>
  <c r="BT13" i="30"/>
  <c r="BS13" i="30"/>
  <c r="BR13" i="30"/>
  <c r="BQ13" i="30"/>
  <c r="BP13" i="30"/>
  <c r="BJ13" i="30"/>
  <c r="AP13" i="30"/>
  <c r="Y13" i="30"/>
  <c r="AP11" i="30"/>
  <c r="Y11" i="30"/>
  <c r="X11" i="30"/>
  <c r="X13" i="30" s="1"/>
  <c r="CA10" i="30"/>
  <c r="BZ10" i="30"/>
  <c r="BY10" i="30"/>
  <c r="BX10" i="30"/>
  <c r="BW10" i="30"/>
  <c r="BV10" i="30"/>
  <c r="BU10" i="30"/>
  <c r="BT10" i="30"/>
  <c r="BS10" i="30"/>
  <c r="BR10" i="30"/>
  <c r="BQ10" i="30"/>
  <c r="BP10" i="30"/>
  <c r="CA7" i="30"/>
  <c r="BZ7" i="30"/>
  <c r="BY7" i="30"/>
  <c r="BX7" i="30"/>
  <c r="BW7" i="30"/>
  <c r="BV7" i="30"/>
  <c r="BU7" i="30"/>
  <c r="BT7" i="30"/>
  <c r="BS7" i="30"/>
  <c r="BR7" i="30"/>
  <c r="BQ7" i="30"/>
  <c r="BP7" i="30"/>
  <c r="CA6" i="30"/>
  <c r="BZ6" i="30"/>
  <c r="BY6" i="30"/>
  <c r="BX6" i="30"/>
  <c r="BW6" i="30"/>
  <c r="BV6" i="30"/>
  <c r="BU6" i="30"/>
  <c r="BT6" i="30"/>
  <c r="BS6" i="30"/>
  <c r="BR6" i="30"/>
  <c r="BQ6" i="30"/>
  <c r="BP6" i="30"/>
  <c r="F125" i="28"/>
  <c r="E125" i="28"/>
  <c r="C125" i="28"/>
  <c r="F114" i="28"/>
  <c r="E114" i="28"/>
  <c r="E125" i="27"/>
  <c r="C125" i="27"/>
  <c r="F125" i="27" s="1"/>
  <c r="F114" i="27"/>
  <c r="E114" i="27"/>
  <c r="F107" i="27"/>
  <c r="E107" i="27"/>
  <c r="F106" i="27"/>
  <c r="E106" i="27"/>
  <c r="F105" i="27"/>
  <c r="E105" i="27"/>
  <c r="F104" i="27"/>
  <c r="E104" i="27"/>
  <c r="F103" i="27"/>
  <c r="E103" i="27"/>
  <c r="F102" i="27"/>
  <c r="E102" i="27"/>
  <c r="F101" i="27"/>
  <c r="E101" i="27"/>
  <c r="F100" i="27"/>
  <c r="E100" i="27"/>
  <c r="F99" i="27"/>
  <c r="E99" i="27"/>
  <c r="F98" i="27"/>
  <c r="E98" i="27"/>
  <c r="F97" i="27"/>
  <c r="E97" i="27"/>
  <c r="F96" i="27"/>
  <c r="E96" i="27"/>
  <c r="F95" i="27"/>
  <c r="E95" i="27"/>
  <c r="F94" i="27"/>
  <c r="E94" i="27"/>
  <c r="F93" i="27"/>
  <c r="E93" i="27"/>
  <c r="F92" i="27"/>
  <c r="E92" i="27"/>
  <c r="F91" i="27"/>
  <c r="E91" i="27"/>
  <c r="F90" i="27"/>
  <c r="E90" i="27"/>
  <c r="F89" i="27"/>
  <c r="E89" i="27"/>
  <c r="F88" i="27"/>
  <c r="E88" i="27"/>
  <c r="F87" i="27"/>
  <c r="E87" i="27"/>
  <c r="F86" i="27"/>
  <c r="F73" i="27"/>
  <c r="E73" i="27"/>
  <c r="F72" i="27"/>
  <c r="E72" i="27"/>
  <c r="X194" i="26"/>
  <c r="J194" i="26"/>
  <c r="X193" i="26"/>
  <c r="J193" i="26"/>
  <c r="Y193" i="26" s="1"/>
  <c r="Y192" i="26"/>
  <c r="X192" i="26"/>
  <c r="J192" i="26"/>
  <c r="X191" i="26"/>
  <c r="J191" i="26"/>
  <c r="Y191" i="26" s="1"/>
  <c r="J190" i="26"/>
  <c r="Y190" i="26" s="1"/>
  <c r="X189" i="26"/>
  <c r="J189" i="26"/>
  <c r="Y189" i="26" s="1"/>
  <c r="X188" i="26"/>
  <c r="J188" i="26"/>
  <c r="Y188" i="26" s="1"/>
  <c r="X187" i="26"/>
  <c r="J187" i="26"/>
  <c r="Y187" i="26" s="1"/>
  <c r="J186" i="26"/>
  <c r="Y186" i="26" s="1"/>
  <c r="Y171" i="26"/>
  <c r="Y169" i="26"/>
  <c r="Y168" i="26"/>
  <c r="Y167" i="26"/>
  <c r="Y166" i="26"/>
  <c r="O18" i="32" l="1"/>
  <c r="O22" i="32" s="1"/>
  <c r="O26" i="32" s="1"/>
  <c r="AL18" i="32"/>
  <c r="AL22" i="32" s="1"/>
  <c r="AL26" i="32" s="1"/>
  <c r="J10" i="34"/>
  <c r="K236" i="47"/>
  <c r="L239" i="47" s="1"/>
  <c r="M240" i="47" s="1"/>
  <c r="K249" i="47"/>
  <c r="L249" i="47" s="1"/>
  <c r="M249" i="47" s="1"/>
  <c r="M265" i="47" s="1"/>
  <c r="F12" i="32"/>
  <c r="F18" i="32" s="1"/>
  <c r="F22" i="32" s="1"/>
  <c r="F26" i="32" s="1"/>
  <c r="E45" i="40"/>
  <c r="F45" i="40"/>
  <c r="B15" i="41"/>
  <c r="Y194" i="26"/>
  <c r="H12" i="32"/>
  <c r="H18" i="32" s="1"/>
  <c r="H22" i="32" s="1"/>
  <c r="H26" i="32" s="1"/>
  <c r="M12" i="32"/>
  <c r="M18" i="32" s="1"/>
  <c r="M22" i="32" s="1"/>
  <c r="M26" i="32" s="1"/>
  <c r="S12" i="32"/>
  <c r="S18" i="32" s="1"/>
  <c r="S22" i="32" s="1"/>
  <c r="S26" i="32" s="1"/>
  <c r="H24" i="40"/>
  <c r="C15" i="41"/>
  <c r="K212" i="47"/>
  <c r="L212" i="47" s="1"/>
  <c r="P216" i="47"/>
  <c r="Q216" i="47" s="1"/>
  <c r="K263" i="47"/>
  <c r="L263" i="47" s="1"/>
  <c r="M263" i="47" s="1"/>
  <c r="H35" i="40"/>
  <c r="H45" i="40" s="1"/>
  <c r="K265" i="47" l="1"/>
  <c r="L265" i="47" s="1"/>
  <c r="L267" i="47" s="1"/>
  <c r="D431" i="12"/>
  <c r="C431" i="12"/>
  <c r="B431" i="12"/>
  <c r="F161" i="22"/>
  <c r="E161" i="22"/>
  <c r="E158" i="22" s="1"/>
  <c r="E157" i="22" s="1"/>
  <c r="D161" i="22"/>
  <c r="C161" i="22"/>
  <c r="C158" i="22" s="1"/>
  <c r="C157" i="22" s="1"/>
  <c r="B161" i="22"/>
  <c r="F158" i="22"/>
  <c r="D158" i="22"/>
  <c r="D157" i="22" s="1"/>
  <c r="B158" i="22"/>
  <c r="B157" i="22" s="1"/>
  <c r="F157" i="22"/>
  <c r="F155" i="22"/>
  <c r="E155" i="22"/>
  <c r="D155" i="22"/>
  <c r="C155" i="22"/>
  <c r="B155" i="22"/>
  <c r="F153" i="22"/>
  <c r="F151" i="22"/>
  <c r="F150" i="22" s="1"/>
  <c r="E151" i="22"/>
  <c r="E150" i="22" s="1"/>
  <c r="D151" i="22"/>
  <c r="D150" i="22" s="1"/>
  <c r="C150" i="22"/>
  <c r="B150" i="22"/>
  <c r="F147" i="22"/>
  <c r="F146" i="22" s="1"/>
  <c r="E147" i="22"/>
  <c r="E146" i="22" s="1"/>
  <c r="D147" i="22"/>
  <c r="D146" i="22" s="1"/>
  <c r="C147" i="22"/>
  <c r="B147" i="22"/>
  <c r="B146" i="22" s="1"/>
  <c r="C146" i="22"/>
  <c r="F143" i="22"/>
  <c r="E143" i="22"/>
  <c r="D143" i="22"/>
  <c r="C143" i="22"/>
  <c r="B143" i="22"/>
  <c r="E141" i="22"/>
  <c r="E140" i="22" s="1"/>
  <c r="D141" i="22"/>
  <c r="D140" i="22" s="1"/>
  <c r="C141" i="22"/>
  <c r="B141" i="22"/>
  <c r="F140" i="22"/>
  <c r="B140" i="22"/>
  <c r="B139" i="22"/>
  <c r="B137" i="22" s="1"/>
  <c r="C138" i="22"/>
  <c r="B138" i="22"/>
  <c r="F137" i="22"/>
  <c r="E137" i="22"/>
  <c r="D137" i="22"/>
  <c r="F135" i="22"/>
  <c r="E135" i="22"/>
  <c r="E129" i="22" s="1"/>
  <c r="D135" i="22"/>
  <c r="C135" i="22"/>
  <c r="B135" i="22"/>
  <c r="F133" i="22"/>
  <c r="E133" i="22"/>
  <c r="D133" i="22"/>
  <c r="C133" i="22"/>
  <c r="B133" i="22"/>
  <c r="F130" i="22"/>
  <c r="E130" i="22"/>
  <c r="D130" i="22"/>
  <c r="C130" i="22"/>
  <c r="B130" i="22"/>
  <c r="F126" i="22"/>
  <c r="F125" i="22" s="1"/>
  <c r="E126" i="22"/>
  <c r="E125" i="22" s="1"/>
  <c r="D126" i="22"/>
  <c r="D125" i="22" s="1"/>
  <c r="C126" i="22"/>
  <c r="C125" i="22" s="1"/>
  <c r="B126" i="22"/>
  <c r="B125" i="22" s="1"/>
  <c r="E122" i="22"/>
  <c r="E120" i="22" s="1"/>
  <c r="D122" i="22"/>
  <c r="D120" i="22" s="1"/>
  <c r="C122" i="22"/>
  <c r="C120" i="22" s="1"/>
  <c r="B122" i="22"/>
  <c r="B120" i="22" s="1"/>
  <c r="F120" i="22"/>
  <c r="F117" i="22"/>
  <c r="E117" i="22"/>
  <c r="D117" i="22"/>
  <c r="C117" i="22"/>
  <c r="B117" i="22"/>
  <c r="F114" i="22"/>
  <c r="E114" i="22"/>
  <c r="D114" i="22"/>
  <c r="C114" i="22"/>
  <c r="B114" i="22"/>
  <c r="F111" i="22"/>
  <c r="E111" i="22"/>
  <c r="D111" i="22"/>
  <c r="C111" i="22"/>
  <c r="B111" i="22"/>
  <c r="F108" i="22"/>
  <c r="E108" i="22"/>
  <c r="D108" i="22"/>
  <c r="C108" i="22"/>
  <c r="B108" i="22"/>
  <c r="F103" i="22"/>
  <c r="E103" i="22"/>
  <c r="D103" i="22"/>
  <c r="C103" i="22"/>
  <c r="B103" i="22"/>
  <c r="F95" i="22"/>
  <c r="E95" i="22"/>
  <c r="D95" i="22"/>
  <c r="C95" i="22"/>
  <c r="C87" i="22" s="1"/>
  <c r="B95" i="22"/>
  <c r="F88" i="22"/>
  <c r="F87" i="22" s="1"/>
  <c r="E88" i="22"/>
  <c r="D88" i="22"/>
  <c r="D87" i="22" s="1"/>
  <c r="C88" i="22"/>
  <c r="B88" i="22"/>
  <c r="B87" i="22" s="1"/>
  <c r="F82" i="22"/>
  <c r="F78" i="22" s="1"/>
  <c r="E82" i="22"/>
  <c r="E78" i="22" s="1"/>
  <c r="D82" i="22"/>
  <c r="D78" i="22" s="1"/>
  <c r="C82" i="22"/>
  <c r="C78" i="22" s="1"/>
  <c r="B82" i="22"/>
  <c r="B78" i="22" s="1"/>
  <c r="F73" i="22"/>
  <c r="F72" i="22" s="1"/>
  <c r="E73" i="22"/>
  <c r="D73" i="22"/>
  <c r="D72" i="22" s="1"/>
  <c r="C73" i="22"/>
  <c r="C72" i="22" s="1"/>
  <c r="B73" i="22"/>
  <c r="B72" i="22" s="1"/>
  <c r="E72" i="22"/>
  <c r="E69" i="22" s="1"/>
  <c r="F70" i="22"/>
  <c r="E70" i="22"/>
  <c r="D70" i="22"/>
  <c r="C70" i="22"/>
  <c r="B70" i="22"/>
  <c r="F67" i="22"/>
  <c r="F66" i="22" s="1"/>
  <c r="E67" i="22"/>
  <c r="E66" i="22" s="1"/>
  <c r="D67" i="22"/>
  <c r="D66" i="22" s="1"/>
  <c r="C67" i="22"/>
  <c r="C66" i="22" s="1"/>
  <c r="B67" i="22"/>
  <c r="B66" i="22" s="1"/>
  <c r="F63" i="22"/>
  <c r="F62" i="22" s="1"/>
  <c r="E63" i="22"/>
  <c r="E62" i="22" s="1"/>
  <c r="D63" i="22"/>
  <c r="D62" i="22" s="1"/>
  <c r="C63" i="22"/>
  <c r="C62" i="22" s="1"/>
  <c r="B63" i="22"/>
  <c r="B62" i="22" s="1"/>
  <c r="F59" i="22"/>
  <c r="E59" i="22"/>
  <c r="D59" i="22"/>
  <c r="C59" i="22"/>
  <c r="B59" i="22"/>
  <c r="E57" i="22"/>
  <c r="E55" i="22" s="1"/>
  <c r="D57" i="22"/>
  <c r="C57" i="22"/>
  <c r="C54" i="22" s="1"/>
  <c r="B57" i="22"/>
  <c r="F55" i="22"/>
  <c r="D55" i="22"/>
  <c r="C55" i="22"/>
  <c r="F54" i="22"/>
  <c r="E54" i="22"/>
  <c r="D54" i="22"/>
  <c r="F53" i="22"/>
  <c r="D53" i="22"/>
  <c r="C53" i="22"/>
  <c r="B53" i="22"/>
  <c r="E52" i="22"/>
  <c r="F50" i="22"/>
  <c r="E50" i="22"/>
  <c r="D50" i="22"/>
  <c r="C50" i="22"/>
  <c r="B50" i="22"/>
  <c r="F46" i="22"/>
  <c r="F44" i="22" s="1"/>
  <c r="E46" i="22"/>
  <c r="E44" i="22" s="1"/>
  <c r="D46" i="22"/>
  <c r="D44" i="22" s="1"/>
  <c r="C46" i="22"/>
  <c r="C44" i="22" s="1"/>
  <c r="B46" i="22"/>
  <c r="B44" i="22" s="1"/>
  <c r="C41" i="22"/>
  <c r="C39" i="22" s="1"/>
  <c r="B41" i="22"/>
  <c r="B39" i="22" s="1"/>
  <c r="F39" i="22"/>
  <c r="E39" i="22"/>
  <c r="D39" i="22"/>
  <c r="F34" i="22"/>
  <c r="E34" i="22"/>
  <c r="D34" i="22"/>
  <c r="C34" i="22"/>
  <c r="B34" i="22"/>
  <c r="F32" i="22"/>
  <c r="E32" i="22"/>
  <c r="D32" i="22"/>
  <c r="C32" i="22"/>
  <c r="B32" i="22"/>
  <c r="F29" i="22"/>
  <c r="E29" i="22"/>
  <c r="D29" i="22"/>
  <c r="C29" i="22"/>
  <c r="B29" i="22"/>
  <c r="F22" i="22"/>
  <c r="E22" i="22"/>
  <c r="D22" i="22"/>
  <c r="C22" i="22"/>
  <c r="B22" i="22"/>
  <c r="F14" i="22"/>
  <c r="E14" i="22"/>
  <c r="D14" i="22"/>
  <c r="C14" i="22"/>
  <c r="B14" i="22"/>
  <c r="F7" i="22"/>
  <c r="E7" i="22"/>
  <c r="E6" i="22" s="1"/>
  <c r="D7" i="22"/>
  <c r="C7" i="22"/>
  <c r="B7" i="22"/>
  <c r="D6" i="22"/>
  <c r="G155" i="21"/>
  <c r="D155" i="21"/>
  <c r="G154" i="21"/>
  <c r="D154" i="21"/>
  <c r="G153" i="21"/>
  <c r="D153" i="21"/>
  <c r="G152" i="21"/>
  <c r="D152" i="21"/>
  <c r="G151" i="21"/>
  <c r="D151" i="21"/>
  <c r="G150" i="21"/>
  <c r="D150" i="21"/>
  <c r="E149" i="21"/>
  <c r="G149" i="21" s="1"/>
  <c r="B149" i="21"/>
  <c r="D149" i="21" s="1"/>
  <c r="G148" i="21"/>
  <c r="D148" i="21"/>
  <c r="G147" i="21"/>
  <c r="D147" i="21"/>
  <c r="G146" i="21"/>
  <c r="D146" i="21"/>
  <c r="G145" i="21"/>
  <c r="D145" i="21"/>
  <c r="F144" i="21"/>
  <c r="E144" i="21"/>
  <c r="C144" i="21"/>
  <c r="B144" i="21"/>
  <c r="G143" i="21"/>
  <c r="D143" i="21"/>
  <c r="G142" i="21"/>
  <c r="D142" i="21"/>
  <c r="F141" i="21"/>
  <c r="E141" i="21"/>
  <c r="G141" i="21" s="1"/>
  <c r="C141" i="21"/>
  <c r="D141" i="21" s="1"/>
  <c r="B141" i="21"/>
  <c r="G140" i="21"/>
  <c r="D140" i="21"/>
  <c r="G139" i="21"/>
  <c r="D139" i="21"/>
  <c r="F138" i="21"/>
  <c r="E138" i="21"/>
  <c r="E137" i="21" s="1"/>
  <c r="C138" i="21"/>
  <c r="C137" i="21" s="1"/>
  <c r="B138" i="21"/>
  <c r="G136" i="21"/>
  <c r="D136" i="21"/>
  <c r="G135" i="21"/>
  <c r="D135" i="21"/>
  <c r="F134" i="21"/>
  <c r="E134" i="21"/>
  <c r="E133" i="21" s="1"/>
  <c r="C134" i="21"/>
  <c r="B134" i="21"/>
  <c r="C133" i="21"/>
  <c r="G132" i="21"/>
  <c r="D132" i="21"/>
  <c r="G131" i="21"/>
  <c r="D131" i="21"/>
  <c r="G130" i="21"/>
  <c r="D130" i="21"/>
  <c r="G129" i="21"/>
  <c r="D129" i="21"/>
  <c r="G128" i="21"/>
  <c r="D128" i="21"/>
  <c r="G127" i="21"/>
  <c r="D127" i="21"/>
  <c r="G126" i="21"/>
  <c r="D126" i="21"/>
  <c r="G125" i="21"/>
  <c r="D125" i="21"/>
  <c r="G124" i="21"/>
  <c r="D124" i="21"/>
  <c r="F123" i="21"/>
  <c r="F114" i="21" s="1"/>
  <c r="E123" i="21"/>
  <c r="E114" i="21" s="1"/>
  <c r="C123" i="21"/>
  <c r="D123" i="21" s="1"/>
  <c r="B123" i="21"/>
  <c r="B114" i="21" s="1"/>
  <c r="G122" i="21"/>
  <c r="D122" i="21"/>
  <c r="G121" i="21"/>
  <c r="D121" i="21"/>
  <c r="G120" i="21"/>
  <c r="D120" i="21"/>
  <c r="G119" i="21"/>
  <c r="D119" i="21"/>
  <c r="G118" i="21"/>
  <c r="D118" i="21"/>
  <c r="G117" i="21"/>
  <c r="D117" i="21"/>
  <c r="G116" i="21"/>
  <c r="D116" i="21"/>
  <c r="G115" i="21"/>
  <c r="D115" i="21"/>
  <c r="G113" i="21"/>
  <c r="D113" i="21"/>
  <c r="G112" i="21"/>
  <c r="D112" i="21"/>
  <c r="G111" i="21"/>
  <c r="D111" i="21"/>
  <c r="G110" i="21"/>
  <c r="D110" i="21"/>
  <c r="G109" i="21"/>
  <c r="D109" i="21"/>
  <c r="G108" i="21"/>
  <c r="D108" i="21"/>
  <c r="G107" i="21"/>
  <c r="D107" i="21"/>
  <c r="G106" i="21"/>
  <c r="D106" i="21"/>
  <c r="G105" i="21"/>
  <c r="D105" i="21"/>
  <c r="G104" i="21"/>
  <c r="D104" i="21"/>
  <c r="F103" i="21"/>
  <c r="E103" i="21"/>
  <c r="C103" i="21"/>
  <c r="B103" i="21"/>
  <c r="G102" i="21"/>
  <c r="D102" i="21"/>
  <c r="G100" i="21"/>
  <c r="D100" i="21"/>
  <c r="G99" i="21"/>
  <c r="D99" i="21"/>
  <c r="G98" i="21"/>
  <c r="D98" i="21"/>
  <c r="G97" i="21"/>
  <c r="D97" i="21"/>
  <c r="G96" i="21"/>
  <c r="D96" i="21"/>
  <c r="G95" i="21"/>
  <c r="F95" i="21"/>
  <c r="E95" i="21"/>
  <c r="C95" i="21"/>
  <c r="B95" i="21"/>
  <c r="G94" i="21"/>
  <c r="D94" i="21"/>
  <c r="G93" i="21"/>
  <c r="D93" i="21"/>
  <c r="G92" i="21"/>
  <c r="D92" i="21"/>
  <c r="G91" i="21"/>
  <c r="D91" i="21"/>
  <c r="G90" i="21"/>
  <c r="D90" i="21"/>
  <c r="G89" i="21"/>
  <c r="D89" i="21"/>
  <c r="G88" i="21"/>
  <c r="D88" i="21"/>
  <c r="G87" i="21"/>
  <c r="D87" i="21"/>
  <c r="G86" i="21"/>
  <c r="D86" i="21"/>
  <c r="F85" i="21"/>
  <c r="E85" i="21"/>
  <c r="E78" i="21" s="1"/>
  <c r="C85" i="21"/>
  <c r="D85" i="21" s="1"/>
  <c r="B85" i="21"/>
  <c r="G84" i="21"/>
  <c r="D84" i="21"/>
  <c r="G83" i="21"/>
  <c r="D83" i="21"/>
  <c r="G82" i="21"/>
  <c r="D82" i="21"/>
  <c r="G81" i="21"/>
  <c r="D81" i="21"/>
  <c r="G80" i="21"/>
  <c r="D80" i="21"/>
  <c r="F79" i="21"/>
  <c r="E79" i="21"/>
  <c r="G79" i="21" s="1"/>
  <c r="C79" i="21"/>
  <c r="B79" i="21"/>
  <c r="B78" i="21" s="1"/>
  <c r="G77" i="21"/>
  <c r="D77" i="21"/>
  <c r="G76" i="21"/>
  <c r="D76" i="21"/>
  <c r="G75" i="21"/>
  <c r="D75" i="21"/>
  <c r="G74" i="21"/>
  <c r="D74" i="21"/>
  <c r="F73" i="21"/>
  <c r="E73" i="21"/>
  <c r="C73" i="21"/>
  <c r="B73" i="21"/>
  <c r="F67" i="21"/>
  <c r="E67" i="21"/>
  <c r="C67" i="21"/>
  <c r="B67" i="21"/>
  <c r="G66" i="21"/>
  <c r="D66" i="21"/>
  <c r="G65" i="21"/>
  <c r="D65" i="21"/>
  <c r="F64" i="21"/>
  <c r="E64" i="21"/>
  <c r="G64" i="21" s="1"/>
  <c r="C64" i="21"/>
  <c r="B64" i="21"/>
  <c r="G58" i="21"/>
  <c r="D58" i="21"/>
  <c r="G57" i="21"/>
  <c r="D57" i="21"/>
  <c r="G56" i="21"/>
  <c r="D56" i="21"/>
  <c r="G55" i="21"/>
  <c r="D55" i="21"/>
  <c r="G54" i="21"/>
  <c r="D54" i="21"/>
  <c r="F53" i="21"/>
  <c r="E53" i="21"/>
  <c r="C53" i="21"/>
  <c r="B53" i="21"/>
  <c r="G52" i="21"/>
  <c r="D52" i="21"/>
  <c r="G51" i="21"/>
  <c r="D51" i="21"/>
  <c r="G50" i="21"/>
  <c r="D50" i="21"/>
  <c r="G49" i="21"/>
  <c r="D49" i="21"/>
  <c r="G48" i="21"/>
  <c r="D48" i="21"/>
  <c r="G47" i="21"/>
  <c r="D47" i="21"/>
  <c r="G46" i="21"/>
  <c r="D46" i="21"/>
  <c r="G45" i="21"/>
  <c r="D45" i="21"/>
  <c r="G44" i="21"/>
  <c r="D44" i="21"/>
  <c r="F43" i="21"/>
  <c r="E43" i="21"/>
  <c r="G43" i="21" s="1"/>
  <c r="C43" i="21"/>
  <c r="B43" i="21"/>
  <c r="G42" i="21"/>
  <c r="D42" i="21"/>
  <c r="G41" i="21"/>
  <c r="D41" i="21"/>
  <c r="G40" i="21"/>
  <c r="D40" i="21"/>
  <c r="F39" i="21"/>
  <c r="E39" i="21"/>
  <c r="C39" i="21"/>
  <c r="B39" i="21"/>
  <c r="G38" i="21"/>
  <c r="D38" i="21"/>
  <c r="G37" i="21"/>
  <c r="D37" i="21"/>
  <c r="G36" i="21"/>
  <c r="D36" i="21"/>
  <c r="F35" i="21"/>
  <c r="E35" i="21"/>
  <c r="G35" i="21" s="1"/>
  <c r="C35" i="21"/>
  <c r="B35" i="21"/>
  <c r="G34" i="21"/>
  <c r="D34" i="21"/>
  <c r="G33" i="21"/>
  <c r="D33" i="21"/>
  <c r="G32" i="21"/>
  <c r="D32" i="21"/>
  <c r="F31" i="21"/>
  <c r="E31" i="21"/>
  <c r="C31" i="21"/>
  <c r="B31" i="21"/>
  <c r="G30" i="21"/>
  <c r="D30" i="21"/>
  <c r="G29" i="21"/>
  <c r="D29" i="21"/>
  <c r="G28" i="21"/>
  <c r="D28" i="21"/>
  <c r="G27" i="21"/>
  <c r="D27" i="21"/>
  <c r="G26" i="21"/>
  <c r="D26" i="21"/>
  <c r="G25" i="21"/>
  <c r="D25" i="21"/>
  <c r="F24" i="21"/>
  <c r="E24" i="21"/>
  <c r="C24" i="21"/>
  <c r="B24" i="21"/>
  <c r="G23" i="21"/>
  <c r="D23" i="21"/>
  <c r="G22" i="21"/>
  <c r="D22" i="21"/>
  <c r="F21" i="21"/>
  <c r="E21" i="21"/>
  <c r="C21" i="21"/>
  <c r="B21" i="21"/>
  <c r="D21" i="21" s="1"/>
  <c r="G20" i="21"/>
  <c r="D20" i="21"/>
  <c r="G19" i="21"/>
  <c r="D19" i="21"/>
  <c r="F18" i="21"/>
  <c r="E18" i="21"/>
  <c r="C18" i="21"/>
  <c r="B18" i="21"/>
  <c r="D18" i="21" s="1"/>
  <c r="G17" i="21"/>
  <c r="D17" i="21"/>
  <c r="G16" i="21"/>
  <c r="D16" i="21"/>
  <c r="G15" i="21"/>
  <c r="D15" i="21"/>
  <c r="G14" i="21"/>
  <c r="D14" i="21"/>
  <c r="F13" i="21"/>
  <c r="G13" i="21" s="1"/>
  <c r="E13" i="21"/>
  <c r="C13" i="21"/>
  <c r="B13" i="21"/>
  <c r="G12" i="21"/>
  <c r="D12" i="21"/>
  <c r="G10" i="21"/>
  <c r="D10" i="21"/>
  <c r="G9" i="21"/>
  <c r="D9" i="21"/>
  <c r="G8" i="21"/>
  <c r="D8" i="21"/>
  <c r="F7" i="21"/>
  <c r="E7" i="21"/>
  <c r="C7" i="21"/>
  <c r="B7" i="21"/>
  <c r="D7" i="21" s="1"/>
  <c r="E129" i="15"/>
  <c r="H45" i="15"/>
  <c r="H44" i="15"/>
  <c r="H36" i="15"/>
  <c r="H35" i="15"/>
  <c r="H34" i="15"/>
  <c r="H33" i="15"/>
  <c r="H32" i="15"/>
  <c r="H31" i="15"/>
  <c r="I31" i="15" s="1"/>
  <c r="H30" i="15"/>
  <c r="I30" i="15" s="1"/>
  <c r="H29" i="15"/>
  <c r="I29" i="15" s="1"/>
  <c r="H28" i="15"/>
  <c r="I28" i="15" s="1"/>
  <c r="H27" i="15"/>
  <c r="H26" i="15"/>
  <c r="H25" i="15"/>
  <c r="H24" i="15"/>
  <c r="H21" i="15"/>
  <c r="H20" i="15"/>
  <c r="H19" i="15"/>
  <c r="H18" i="15"/>
  <c r="H17" i="15"/>
  <c r="H16" i="15"/>
  <c r="H15" i="15"/>
  <c r="H14" i="15"/>
  <c r="H13" i="15"/>
  <c r="H12" i="15"/>
  <c r="H10" i="15"/>
  <c r="I9" i="15"/>
  <c r="H9" i="15"/>
  <c r="I8" i="15"/>
  <c r="H8" i="15"/>
  <c r="Q19" i="14"/>
  <c r="P19" i="14"/>
  <c r="O19" i="14"/>
  <c r="N19" i="14"/>
  <c r="M19" i="14"/>
  <c r="L19" i="14"/>
  <c r="K19" i="14"/>
  <c r="J19" i="14"/>
  <c r="I19" i="14"/>
  <c r="H19" i="14"/>
  <c r="G19" i="14"/>
  <c r="F19" i="14"/>
  <c r="E19" i="14"/>
  <c r="D19" i="14"/>
  <c r="C19" i="14"/>
  <c r="B19" i="14"/>
  <c r="H242" i="12"/>
  <c r="G242" i="12"/>
  <c r="H240" i="12"/>
  <c r="G240" i="12"/>
  <c r="D13" i="21" l="1"/>
  <c r="C114" i="21"/>
  <c r="F63" i="21"/>
  <c r="F61" i="21" s="1"/>
  <c r="G73" i="21"/>
  <c r="G85" i="21"/>
  <c r="G24" i="21"/>
  <c r="G31" i="21"/>
  <c r="G39" i="21"/>
  <c r="G53" i="21"/>
  <c r="G103" i="21"/>
  <c r="D114" i="21"/>
  <c r="D144" i="21"/>
  <c r="F11" i="21"/>
  <c r="G7" i="21"/>
  <c r="D24" i="21"/>
  <c r="D35" i="21"/>
  <c r="D43" i="21"/>
  <c r="C63" i="21"/>
  <c r="C61" i="21" s="1"/>
  <c r="D67" i="21"/>
  <c r="D73" i="21"/>
  <c r="C78" i="21"/>
  <c r="D78" i="21" s="1"/>
  <c r="E101" i="21"/>
  <c r="G144" i="21"/>
  <c r="G114" i="21"/>
  <c r="G18" i="21"/>
  <c r="G21" i="21"/>
  <c r="D31" i="21"/>
  <c r="D39" i="21"/>
  <c r="D53" i="21"/>
  <c r="G67" i="21"/>
  <c r="F78" i="21"/>
  <c r="D95" i="21"/>
  <c r="G123" i="21"/>
  <c r="C28" i="22"/>
  <c r="C21" i="22" s="1"/>
  <c r="D153" i="22"/>
  <c r="C6" i="22"/>
  <c r="D129" i="22"/>
  <c r="C153" i="22"/>
  <c r="C107" i="22"/>
  <c r="C102" i="22" s="1"/>
  <c r="B6" i="22"/>
  <c r="F6" i="22"/>
  <c r="B28" i="22"/>
  <c r="B21" i="22" s="1"/>
  <c r="F28" i="22"/>
  <c r="F21" i="22" s="1"/>
  <c r="F52" i="22"/>
  <c r="F49" i="22" s="1"/>
  <c r="E87" i="22"/>
  <c r="C69" i="22"/>
  <c r="E107" i="22"/>
  <c r="E102" i="22" s="1"/>
  <c r="D28" i="22"/>
  <c r="E49" i="22"/>
  <c r="E43" i="22" s="1"/>
  <c r="D69" i="22"/>
  <c r="B107" i="22"/>
  <c r="B102" i="22" s="1"/>
  <c r="F107" i="22"/>
  <c r="F102" i="22" s="1"/>
  <c r="D107" i="22"/>
  <c r="D102" i="22" s="1"/>
  <c r="D86" i="22" s="1"/>
  <c r="F129" i="22"/>
  <c r="F124" i="22" s="1"/>
  <c r="F86" i="22" s="1"/>
  <c r="B153" i="22"/>
  <c r="G11" i="21"/>
  <c r="F137" i="21"/>
  <c r="G137" i="21" s="1"/>
  <c r="G138" i="21"/>
  <c r="D21" i="22"/>
  <c r="E63" i="21"/>
  <c r="D79" i="21"/>
  <c r="C11" i="21"/>
  <c r="C6" i="21" s="1"/>
  <c r="C5" i="21" s="1"/>
  <c r="E11" i="21"/>
  <c r="E6" i="21" s="1"/>
  <c r="E5" i="21" s="1"/>
  <c r="F133" i="21"/>
  <c r="G133" i="21" s="1"/>
  <c r="G134" i="21"/>
  <c r="C52" i="22"/>
  <c r="C49" i="22" s="1"/>
  <c r="E153" i="22"/>
  <c r="E124" i="22" s="1"/>
  <c r="E86" i="22" s="1"/>
  <c r="D124" i="22"/>
  <c r="F6" i="21"/>
  <c r="F5" i="21" s="1"/>
  <c r="B11" i="21"/>
  <c r="B6" i="21" s="1"/>
  <c r="D64" i="21"/>
  <c r="D138" i="21"/>
  <c r="B137" i="21"/>
  <c r="D137" i="21" s="1"/>
  <c r="B63" i="21"/>
  <c r="C101" i="21"/>
  <c r="D103" i="21"/>
  <c r="B133" i="21"/>
  <c r="D133" i="21" s="1"/>
  <c r="D134" i="21"/>
  <c r="E28" i="22"/>
  <c r="E21" i="22" s="1"/>
  <c r="E5" i="22" s="1"/>
  <c r="D52" i="22"/>
  <c r="D49" i="22" s="1"/>
  <c r="B55" i="22"/>
  <c r="B54" i="22"/>
  <c r="B52" i="22" s="1"/>
  <c r="B49" i="22" s="1"/>
  <c r="B129" i="22"/>
  <c r="C140" i="22"/>
  <c r="C139" i="22"/>
  <c r="C137" i="22" s="1"/>
  <c r="C129" i="22" s="1"/>
  <c r="G78" i="21"/>
  <c r="B69" i="22"/>
  <c r="F69" i="22"/>
  <c r="F43" i="22" s="1"/>
  <c r="G6" i="21" l="1"/>
  <c r="D11" i="21"/>
  <c r="D6" i="21"/>
  <c r="B5" i="21"/>
  <c r="D5" i="21" s="1"/>
  <c r="C124" i="22"/>
  <c r="C86" i="22" s="1"/>
  <c r="B124" i="22"/>
  <c r="B86" i="22" s="1"/>
  <c r="F5" i="22"/>
  <c r="B43" i="22"/>
  <c r="B5" i="22" s="1"/>
  <c r="D43" i="22"/>
  <c r="D5" i="22" s="1"/>
  <c r="D4" i="22" s="1"/>
  <c r="C43" i="22"/>
  <c r="C5" i="22" s="1"/>
  <c r="C4" i="22" s="1"/>
  <c r="F4" i="22"/>
  <c r="F101" i="21"/>
  <c r="G101" i="21" s="1"/>
  <c r="G72" i="21" s="1"/>
  <c r="G156" i="21" s="1"/>
  <c r="G5" i="21"/>
  <c r="B61" i="21"/>
  <c r="D61" i="21" s="1"/>
  <c r="D63" i="21"/>
  <c r="E4" i="22"/>
  <c r="B101" i="21"/>
  <c r="D101" i="21" s="1"/>
  <c r="D72" i="21" s="1"/>
  <c r="G63" i="21"/>
  <c r="E61" i="21"/>
  <c r="G61" i="21" s="1"/>
  <c r="D156" i="21"/>
  <c r="EJ94" i="11"/>
  <c r="EI94" i="11"/>
  <c r="EF94" i="11"/>
  <c r="EE94" i="11"/>
  <c r="ED94" i="11"/>
  <c r="EC94" i="11"/>
  <c r="EB94" i="11"/>
  <c r="EA94" i="11"/>
  <c r="DZ94" i="11"/>
  <c r="DY94" i="11"/>
  <c r="EH93" i="11"/>
  <c r="EG93" i="11"/>
  <c r="EH92" i="11"/>
  <c r="EG92" i="11"/>
  <c r="EH91" i="11"/>
  <c r="EG91" i="11"/>
  <c r="EH90" i="11"/>
  <c r="EG90" i="11"/>
  <c r="EH89" i="11"/>
  <c r="EG89" i="11"/>
  <c r="EH88" i="11"/>
  <c r="EG88" i="11"/>
  <c r="EH87" i="11"/>
  <c r="EG87" i="11"/>
  <c r="EH86" i="11"/>
  <c r="EG86" i="11"/>
  <c r="EH85" i="11"/>
  <c r="EG85" i="11"/>
  <c r="EH84" i="11"/>
  <c r="EG84" i="11"/>
  <c r="EH83" i="11"/>
  <c r="EG83" i="11"/>
  <c r="EH82" i="11"/>
  <c r="EG82" i="11"/>
  <c r="EH81" i="11"/>
  <c r="EG81" i="11"/>
  <c r="EH80" i="11"/>
  <c r="EG80" i="11"/>
  <c r="EH79" i="11"/>
  <c r="EG79" i="11"/>
  <c r="EH78" i="11"/>
  <c r="EG78" i="11"/>
  <c r="EJ76" i="11"/>
  <c r="EI76" i="11"/>
  <c r="EH76" i="11"/>
  <c r="EG76" i="11"/>
  <c r="EF76" i="11"/>
  <c r="EE76" i="11"/>
  <c r="ED76" i="11"/>
  <c r="EC76" i="11"/>
  <c r="EB76" i="11"/>
  <c r="EA76" i="11"/>
  <c r="DZ76" i="11"/>
  <c r="DY76" i="11"/>
  <c r="EJ58" i="11"/>
  <c r="EI58" i="11"/>
  <c r="EH58" i="11"/>
  <c r="EG58" i="11"/>
  <c r="EF58" i="11"/>
  <c r="EE58" i="11"/>
  <c r="ED58" i="11"/>
  <c r="EC58" i="11"/>
  <c r="EB58" i="11"/>
  <c r="EA58" i="11"/>
  <c r="DZ58" i="11"/>
  <c r="DY58" i="11"/>
  <c r="EJ40" i="11"/>
  <c r="EI40" i="11"/>
  <c r="EH40" i="11"/>
  <c r="EG40" i="11"/>
  <c r="EF40" i="11"/>
  <c r="EE40" i="11"/>
  <c r="ED40" i="11"/>
  <c r="EC40" i="11"/>
  <c r="EB40" i="11"/>
  <c r="EA40" i="11"/>
  <c r="DZ40" i="11"/>
  <c r="DY40" i="11"/>
  <c r="EJ22" i="11"/>
  <c r="EI22" i="11"/>
  <c r="EH22" i="11"/>
  <c r="EG22" i="11"/>
  <c r="EF22" i="11"/>
  <c r="EE22" i="11"/>
  <c r="ED22" i="11"/>
  <c r="EC22" i="11"/>
  <c r="EB22" i="11"/>
  <c r="EA22" i="11"/>
  <c r="DZ22" i="11"/>
  <c r="DY22" i="11"/>
  <c r="B4" i="22" l="1"/>
  <c r="EG94" i="11"/>
  <c r="EH94" i="11"/>
  <c r="F160" i="8"/>
  <c r="E169" i="8"/>
  <c r="CE10" i="7"/>
  <c r="BZ26" i="7"/>
  <c r="CA26" i="7"/>
  <c r="CB26" i="7"/>
  <c r="CC26" i="7"/>
  <c r="BZ26" i="6"/>
  <c r="CA26" i="6"/>
  <c r="CB26" i="6"/>
  <c r="CC26" i="6"/>
  <c r="J76" i="5"/>
  <c r="D9" i="3"/>
  <c r="D10" i="3"/>
  <c r="D11" i="3"/>
  <c r="D12" i="3"/>
  <c r="D13" i="3"/>
  <c r="D14" i="3"/>
  <c r="D15" i="3"/>
  <c r="D16" i="3"/>
  <c r="D17" i="3"/>
  <c r="D18" i="3"/>
  <c r="D19" i="3"/>
  <c r="D20" i="3"/>
  <c r="DS3" i="2"/>
  <c r="DT3" i="2" s="1"/>
  <c r="DF22" i="2"/>
  <c r="DG22" i="2"/>
  <c r="DH22" i="2"/>
  <c r="DI22" i="2"/>
  <c r="DJ22" i="2"/>
  <c r="DK22" i="2"/>
  <c r="DL22" i="2"/>
  <c r="DM22" i="2"/>
  <c r="DN22" i="2"/>
  <c r="DO22" i="2"/>
  <c r="DP22" i="2"/>
  <c r="DQ22" i="2"/>
  <c r="DR22" i="2"/>
  <c r="DS22" i="2" l="1"/>
  <c r="DT22" i="2"/>
  <c r="DU3" i="2"/>
  <c r="DU22" i="2" l="1"/>
  <c r="DV3" i="2"/>
  <c r="DW3" i="2" l="1"/>
  <c r="DV22" i="2"/>
  <c r="DX3" i="2" l="1"/>
  <c r="DW22" i="2"/>
  <c r="DX22" i="2" l="1"/>
  <c r="DY3" i="2"/>
  <c r="DY22" i="2" l="1"/>
  <c r="DZ3" i="2"/>
  <c r="EA3" i="2" l="1"/>
  <c r="DZ22" i="2"/>
  <c r="EB3" i="2" l="1"/>
  <c r="EA22" i="2"/>
  <c r="EB22" i="2" l="1"/>
  <c r="EC3" i="2"/>
  <c r="EC22" i="2" l="1"/>
  <c r="ED3" i="2"/>
  <c r="EE3" i="2" l="1"/>
  <c r="ED22" i="2"/>
  <c r="EF3" i="2" l="1"/>
  <c r="EE22" i="2"/>
  <c r="EF22" i="2" l="1"/>
  <c r="EG3" i="2"/>
  <c r="EG22" i="2" l="1"/>
  <c r="EH3" i="2"/>
  <c r="EH22" i="2" l="1"/>
  <c r="EI3" i="2"/>
  <c r="EJ3" i="2" l="1"/>
  <c r="EI22" i="2"/>
  <c r="EJ22" i="2" l="1"/>
  <c r="EK3" i="2"/>
  <c r="EK22" i="2" l="1"/>
  <c r="EL3" i="2"/>
  <c r="EM3" i="2" l="1"/>
  <c r="EL22" i="2"/>
  <c r="EN3" i="2" l="1"/>
  <c r="EM22" i="2"/>
  <c r="EN22" i="2" l="1"/>
  <c r="EO3" i="2"/>
  <c r="EO22" i="2" l="1"/>
  <c r="EP3" i="2"/>
  <c r="EQ3" i="2" l="1"/>
  <c r="EP22" i="2"/>
  <c r="ER3" i="2" l="1"/>
  <c r="EQ22" i="2"/>
  <c r="ER22" i="2" l="1"/>
  <c r="ES3" i="2"/>
  <c r="ES22" i="2" l="1"/>
  <c r="ET3" i="2"/>
  <c r="EU3" i="2" l="1"/>
  <c r="ET22" i="2"/>
  <c r="EV3" i="2" l="1"/>
  <c r="EU22" i="2"/>
  <c r="EV22" i="2" l="1"/>
  <c r="EW3" i="2"/>
  <c r="EW22" i="2" l="1"/>
  <c r="EX3" i="2"/>
  <c r="EY3" i="2" l="1"/>
  <c r="EX22" i="2"/>
  <c r="EZ3" i="2" l="1"/>
  <c r="EY22" i="2"/>
  <c r="EZ22" i="2" l="1"/>
  <c r="FA3" i="2"/>
  <c r="FA22" i="2" l="1"/>
  <c r="FB3" i="2"/>
  <c r="FB22" i="2" l="1"/>
  <c r="FC3" i="2"/>
  <c r="FD3" i="2" l="1"/>
  <c r="FC22" i="2"/>
  <c r="FD22" i="2" l="1"/>
  <c r="FE3" i="2"/>
  <c r="FE22" i="2" l="1"/>
  <c r="FF3" i="2"/>
  <c r="FG3" i="2" l="1"/>
  <c r="FF22" i="2"/>
  <c r="FH3" i="2" l="1"/>
  <c r="FG22" i="2"/>
  <c r="FH22" i="2" l="1"/>
  <c r="FI3" i="2"/>
  <c r="FI22" i="2" l="1"/>
  <c r="FJ3" i="2"/>
  <c r="FJ22" i="2" l="1"/>
  <c r="FK3" i="2"/>
  <c r="FL3" i="2" l="1"/>
  <c r="FK22" i="2"/>
  <c r="FL22" i="2" l="1"/>
  <c r="FM3" i="2"/>
  <c r="FM22" i="2" l="1"/>
  <c r="FN3" i="2"/>
  <c r="FO3" i="2" l="1"/>
  <c r="FN22" i="2"/>
  <c r="FP3" i="2" l="1"/>
  <c r="FO22" i="2"/>
  <c r="FP22" i="2" l="1"/>
  <c r="FQ3" i="2"/>
  <c r="FQ22" i="2" l="1"/>
  <c r="FR3" i="2"/>
  <c r="FR22" i="2" l="1"/>
  <c r="FS3" i="2"/>
  <c r="FT3" i="2" l="1"/>
  <c r="FS22" i="2"/>
  <c r="FT22" i="2" l="1"/>
  <c r="FU3" i="2"/>
  <c r="FU22" i="2" l="1"/>
  <c r="FV3" i="2"/>
  <c r="FW3" i="2" l="1"/>
  <c r="FV22" i="2"/>
  <c r="FX3" i="2" l="1"/>
  <c r="FW22" i="2"/>
  <c r="FX22" i="2" l="1"/>
  <c r="FY3" i="2"/>
  <c r="FY22" i="2" l="1"/>
  <c r="FZ3" i="2"/>
  <c r="FZ22" i="2" l="1"/>
  <c r="GA3" i="2"/>
  <c r="GB3" i="2" l="1"/>
  <c r="GA22" i="2"/>
  <c r="GB22" i="2" l="1"/>
  <c r="GC3" i="2"/>
  <c r="GC22" i="2" l="1"/>
  <c r="GD3" i="2"/>
  <c r="GE3" i="2" l="1"/>
  <c r="GD22" i="2"/>
  <c r="GF3" i="2" l="1"/>
  <c r="GE22" i="2"/>
  <c r="GF22" i="2" l="1"/>
  <c r="GG3" i="2"/>
  <c r="GG22" i="2" l="1"/>
  <c r="GH3" i="2"/>
  <c r="GI3" i="2" l="1"/>
  <c r="GH22" i="2"/>
  <c r="GJ3" i="2" l="1"/>
  <c r="GI22" i="2"/>
  <c r="GJ22" i="2" l="1"/>
  <c r="GK3" i="2"/>
  <c r="GK22" i="2" l="1"/>
  <c r="GL3" i="2"/>
  <c r="GL22" i="2" l="1"/>
  <c r="GM3" i="2"/>
  <c r="GN3" i="2" l="1"/>
  <c r="GM22" i="2"/>
  <c r="GN22" i="2" l="1"/>
  <c r="GO3" i="2"/>
  <c r="GO22" i="2" l="1"/>
  <c r="GP3" i="2"/>
  <c r="GQ3" i="2" l="1"/>
  <c r="GP22" i="2"/>
  <c r="GR3" i="2" l="1"/>
  <c r="GQ22" i="2"/>
  <c r="GR22" i="2" l="1"/>
  <c r="GS3" i="2"/>
  <c r="GS22" i="2" l="1"/>
  <c r="GT3" i="2"/>
  <c r="GT22" i="2" l="1"/>
  <c r="GU3" i="2"/>
  <c r="GV3" i="2" l="1"/>
  <c r="GU22" i="2"/>
  <c r="GV22" i="2" l="1"/>
  <c r="GW3" i="2"/>
  <c r="GW22" i="2" l="1"/>
  <c r="GX3" i="2"/>
  <c r="GY3" i="2" l="1"/>
  <c r="GX22" i="2"/>
  <c r="GZ3" i="2" l="1"/>
  <c r="GY22" i="2"/>
  <c r="GZ22" i="2" l="1"/>
  <c r="HA3" i="2"/>
  <c r="HA22" i="2" l="1"/>
  <c r="HB3" i="2"/>
  <c r="HC3" i="2" l="1"/>
  <c r="HB22" i="2"/>
  <c r="HD3" i="2" l="1"/>
  <c r="HC22" i="2"/>
  <c r="HD22" i="2" l="1"/>
  <c r="HE3" i="2"/>
  <c r="HE22" i="2" l="1"/>
  <c r="HF3" i="2"/>
  <c r="HF22" i="2" l="1"/>
  <c r="HG3" i="2"/>
  <c r="HH3" i="2" l="1"/>
  <c r="HG22" i="2"/>
  <c r="HH22" i="2" l="1"/>
  <c r="HI3" i="2"/>
  <c r="HI22" i="2" l="1"/>
  <c r="HJ3" i="2"/>
  <c r="HK3" i="2" l="1"/>
  <c r="HJ22" i="2"/>
  <c r="HL3" i="2" l="1"/>
  <c r="HK22" i="2"/>
  <c r="HL22" i="2" l="1"/>
  <c r="HM3" i="2"/>
  <c r="HM22" i="2" l="1"/>
  <c r="HN3" i="2"/>
  <c r="HO3" i="2" l="1"/>
  <c r="HN22" i="2"/>
  <c r="HP3" i="2" l="1"/>
  <c r="HO22" i="2"/>
  <c r="HP22" i="2" l="1"/>
  <c r="HQ3" i="2"/>
  <c r="HQ22" i="2" l="1"/>
  <c r="HR3" i="2"/>
  <c r="HR22" i="2" l="1"/>
  <c r="HS3" i="2"/>
  <c r="HT3" i="2" l="1"/>
  <c r="HS22" i="2"/>
  <c r="HT22" i="2" l="1"/>
  <c r="HU3" i="2"/>
  <c r="HU22" i="2" l="1"/>
  <c r="HV3" i="2"/>
  <c r="HW3" i="2" l="1"/>
  <c r="HV22" i="2"/>
  <c r="HX3" i="2" l="1"/>
  <c r="HW22" i="2"/>
  <c r="HX22" i="2" l="1"/>
  <c r="HY3" i="2"/>
  <c r="HY22" i="2" l="1"/>
  <c r="HZ3" i="2"/>
  <c r="IA3" i="2" l="1"/>
  <c r="HZ22" i="2"/>
  <c r="IB3" i="2" l="1"/>
  <c r="IA22" i="2"/>
  <c r="IB22" i="2" l="1"/>
  <c r="IC3" i="2"/>
  <c r="IC22" i="2" l="1"/>
  <c r="ID3" i="2"/>
  <c r="ID22" i="2" l="1"/>
  <c r="IE3" i="2"/>
  <c r="IF3" i="2" l="1"/>
  <c r="IE22" i="2"/>
  <c r="IF22" i="2" l="1"/>
  <c r="IG3" i="2"/>
  <c r="IG22" i="2" l="1"/>
  <c r="IH3" i="2"/>
  <c r="II3" i="2" l="1"/>
  <c r="IH22" i="2"/>
  <c r="IJ3" i="2" l="1"/>
  <c r="II22" i="2"/>
  <c r="IJ22" i="2" l="1"/>
  <c r="IK3" i="2"/>
  <c r="IK22" i="2" l="1"/>
  <c r="IL3" i="2"/>
  <c r="IM3" i="2" l="1"/>
  <c r="IL22" i="2"/>
  <c r="IN3" i="2" l="1"/>
  <c r="IM22" i="2"/>
  <c r="IN22" i="2" l="1"/>
  <c r="IO3" i="2"/>
  <c r="IO22" i="2" l="1"/>
  <c r="IP3" i="2"/>
  <c r="IP22" i="2" l="1"/>
  <c r="IQ3" i="2"/>
  <c r="IR3" i="2" l="1"/>
  <c r="IQ22" i="2"/>
  <c r="IR22" i="2" l="1"/>
  <c r="IS3" i="2"/>
  <c r="IS22" i="2" s="1"/>
</calcChain>
</file>

<file path=xl/sharedStrings.xml><?xml version="1.0" encoding="utf-8"?>
<sst xmlns="http://schemas.openxmlformats.org/spreadsheetml/2006/main" count="16496" uniqueCount="5612">
  <si>
    <t>Source: Financial Markets Operations Division.</t>
  </si>
  <si>
    <r>
      <t xml:space="preserve">1 </t>
    </r>
    <r>
      <rPr>
        <i/>
        <sz val="10"/>
        <color rgb="FF002060"/>
        <rFont val="Segoe UI"/>
        <family val="2"/>
      </rPr>
      <t>Calculated on spot transactions of USD20,000 and above, or equivalent, conducted by banks and forex dealers.</t>
    </r>
  </si>
  <si>
    <t xml:space="preserve">  </t>
  </si>
  <si>
    <t>(Period Average)</t>
  </si>
  <si>
    <t>(End of Period)</t>
  </si>
  <si>
    <t>Period</t>
  </si>
  <si>
    <t>Rs/GBP</t>
  </si>
  <si>
    <t>Rs/EUR</t>
  </si>
  <si>
    <t>Rs/USD</t>
  </si>
  <si>
    <t>September 2022 to September 2023</t>
  </si>
  <si>
    <r>
      <t>Table 50a: Weighted Average Dealt Selling Rates of the Rupee</t>
    </r>
    <r>
      <rPr>
        <b/>
        <vertAlign val="superscript"/>
        <sz val="12"/>
        <color rgb="FF002060"/>
        <rFont val="Segoe UI"/>
        <family val="2"/>
      </rPr>
      <t>1</t>
    </r>
    <r>
      <rPr>
        <b/>
        <sz val="12"/>
        <color rgb="FF002060"/>
        <rFont val="Segoe UI"/>
        <family val="2"/>
      </rPr>
      <t xml:space="preserve"> against the USD, EUR and GBP:</t>
    </r>
  </si>
  <si>
    <t>Note: The daily average exchange rate of the rupee is based on the average indicative selling rates for T.T. &amp; D.D. of Banks.</t>
  </si>
  <si>
    <t>Euro</t>
  </si>
  <si>
    <t>Pound sterling</t>
  </si>
  <si>
    <t>US dollar</t>
  </si>
  <si>
    <t>Swiss franc</t>
  </si>
  <si>
    <t>South African rand</t>
  </si>
  <si>
    <t>Singapore dollar</t>
  </si>
  <si>
    <t>New Zealand dollar</t>
  </si>
  <si>
    <t>Kenya shilling (100)</t>
  </si>
  <si>
    <t>Japanese yen (100)</t>
  </si>
  <si>
    <t>Indian rupee (100)</t>
  </si>
  <si>
    <t>Hong kong dollar</t>
  </si>
  <si>
    <t>Australian dollar</t>
  </si>
  <si>
    <t>Selling Rates</t>
  </si>
  <si>
    <t xml:space="preserve">Indicative </t>
  </si>
  <si>
    <t>Table 50c: Exchange Rate of the Rupee (Period Average): September 2022 to September 2023</t>
  </si>
  <si>
    <t>Table 50b: Exchange Rate of the Rupee (End of Period): September 2022 to September 2023</t>
  </si>
  <si>
    <t xml:space="preserve">      (Previous period exchange rate - Current period exchange rate) ÷ Current period exchange rate.</t>
  </si>
  <si>
    <t>(iii) The appreciation/depreciation of the Rupee is calculated as follows:</t>
  </si>
  <si>
    <t>(ii)  The daily average exchange rate of the Rupee is based on the average indicative selling rates for T.T. &amp; D.D. of banks.</t>
  </si>
  <si>
    <t xml:space="preserve">      [2] is calculated on the basis of the daily average exchange rates for the period October 2022 to September 2023.</t>
  </si>
  <si>
    <t>(i)   [1] is calculated on the basis of the daily average exchange rates for the period October 2021 to September 2022.</t>
  </si>
  <si>
    <t xml:space="preserve">Notes: </t>
  </si>
  <si>
    <t>Hong Kong dollar</t>
  </si>
  <si>
    <t>Per cent</t>
  </si>
  <si>
    <t>[2]</t>
  </si>
  <si>
    <t>[1]</t>
  </si>
  <si>
    <t>between [1] &amp; [2]</t>
  </si>
  <si>
    <t>of Rupee</t>
  </si>
  <si>
    <t>ended September 2023</t>
  </si>
  <si>
    <t>ended September 2022</t>
  </si>
  <si>
    <t>(Depreciation)</t>
  </si>
  <si>
    <t>12 Months</t>
  </si>
  <si>
    <t>Appreciation/</t>
  </si>
  <si>
    <t>Average for</t>
  </si>
  <si>
    <t>Indicative Selling Rates</t>
  </si>
  <si>
    <t>Table 50d: Average Exchange Rate of the Rupee vis-à-vis Major Trading Partner Currencies: September 2022 and September 2023</t>
  </si>
  <si>
    <t>(v) An increase (decrease) in the index indicates a depreciation (appreciation) of the rupee.</t>
  </si>
  <si>
    <t xml:space="preserve">(iv) The base year of the MERI is January - December 2007 = 100. </t>
  </si>
  <si>
    <t xml:space="preserve">(iii) Two indices have been derived: MERI1 and MERI2. MERI1 is based on the currency distribution of merchandise trade, while MERI2 is based on the currency distribution of merchandise trade and tourism earnings. </t>
  </si>
  <si>
    <t>(ii) The choice of currencies has been influenced by the importance of the currency distribution of trade flows of Mauritius with the rest of the world.</t>
  </si>
  <si>
    <t xml:space="preserve">(i) The Mauritius Exchange Rate Index (MERI), which is a weighted average of bilateral exchange rates for the Mauritian rupee, is a summary measure of the rupee's movements against the currencies of its important trading partners. </t>
  </si>
  <si>
    <t>Notes:</t>
  </si>
  <si>
    <t>December</t>
  </si>
  <si>
    <t>November</t>
  </si>
  <si>
    <t>October</t>
  </si>
  <si>
    <t>September</t>
  </si>
  <si>
    <t>August</t>
  </si>
  <si>
    <t>July</t>
  </si>
  <si>
    <t>June</t>
  </si>
  <si>
    <t>May</t>
  </si>
  <si>
    <t>April</t>
  </si>
  <si>
    <t>March</t>
  </si>
  <si>
    <t>February</t>
  </si>
  <si>
    <t>January</t>
  </si>
  <si>
    <t>MERI2</t>
  </si>
  <si>
    <t>MERI1</t>
  </si>
  <si>
    <t>Table 52: Mauritius Exchange Rate Index (MERI): January 2021 to September 2023</t>
  </si>
  <si>
    <r>
      <rPr>
        <i/>
        <vertAlign val="superscript"/>
        <sz val="10"/>
        <color indexed="56"/>
        <rFont val="Segoe UI"/>
        <family val="2"/>
      </rPr>
      <t>1</t>
    </r>
    <r>
      <rPr>
        <i/>
        <sz val="10"/>
        <color indexed="56"/>
        <rFont val="Segoe UI"/>
        <family val="2"/>
      </rPr>
      <t>Reuters with reference to Asian Markets, 09 30 hrs, Mauritian time.</t>
    </r>
  </si>
  <si>
    <t>134.91/93</t>
  </si>
  <si>
    <t>113.89/91</t>
  </si>
  <si>
    <t>1.2171/74</t>
  </si>
  <si>
    <t>1.3306/09</t>
  </si>
  <si>
    <t>1.0581/84</t>
  </si>
  <si>
    <t>1.1303/06</t>
  </si>
  <si>
    <t>142.20/23</t>
  </si>
  <si>
    <t>114.05/08</t>
  </si>
  <si>
    <t>1.1743/47</t>
  </si>
  <si>
    <t>1.3435/37</t>
  </si>
  <si>
    <t>1.0205/09</t>
  </si>
  <si>
    <t>1.1387/90</t>
  </si>
  <si>
    <t>146.94/95</t>
  </si>
  <si>
    <t>113.11/14</t>
  </si>
  <si>
    <t>1.1289/92</t>
  </si>
  <si>
    <t>1.3682/85</t>
  </si>
  <si>
    <t>0.9836/40</t>
  </si>
  <si>
    <t>1.1600/03</t>
  </si>
  <si>
    <t>147.61/63</t>
  </si>
  <si>
    <t>143.26/28</t>
  </si>
  <si>
    <t>110.15/17</t>
  </si>
  <si>
    <t>1.2411/14</t>
  </si>
  <si>
    <t>1.1312/15</t>
  </si>
  <si>
    <t>1.3739/41</t>
  </si>
  <si>
    <t>1.0685/88</t>
  </si>
  <si>
    <t>0.9899/02</t>
  </si>
  <si>
    <t>1.1774/77</t>
  </si>
  <si>
    <t>144.77/79</t>
  </si>
  <si>
    <t>135.16/18</t>
  </si>
  <si>
    <t>109.83/85</t>
  </si>
  <si>
    <t>1.2710/13</t>
  </si>
  <si>
    <t>1.1987/90</t>
  </si>
  <si>
    <t>1.3802/04</t>
  </si>
  <si>
    <t>1.0913/17</t>
  </si>
  <si>
    <t>1.0120/24</t>
  </si>
  <si>
    <t>1.1771/74</t>
  </si>
  <si>
    <t>141.01/04</t>
  </si>
  <si>
    <t>136.67/69</t>
  </si>
  <si>
    <t>110.26/28</t>
  </si>
  <si>
    <t>1.2880/83</t>
  </si>
  <si>
    <t>1.1996/99</t>
  </si>
  <si>
    <t>1.3807/09</t>
  </si>
  <si>
    <t>1.1055/58</t>
  </si>
  <si>
    <t>1.0192/95</t>
  </si>
  <si>
    <t>1.1822/25</t>
  </si>
  <si>
    <t>141.26/29</t>
  </si>
  <si>
    <t>133.88/90</t>
  </si>
  <si>
    <t>110.08/10</t>
  </si>
  <si>
    <t>1.2620/23</t>
  </si>
  <si>
    <t>1.2329/33</t>
  </si>
  <si>
    <t>1.4031/33</t>
  </si>
  <si>
    <t>1.0833/36</t>
  </si>
  <si>
    <t>1.0573/76</t>
  </si>
  <si>
    <t>1.2051/54</t>
  </si>
  <si>
    <t>137.05/07</t>
  </si>
  <si>
    <t>128.86/88</t>
  </si>
  <si>
    <t>109.15/17</t>
  </si>
  <si>
    <t>1.2481/84</t>
  </si>
  <si>
    <t>1.2445/48</t>
  </si>
  <si>
    <t>1.4075/77</t>
  </si>
  <si>
    <t>1.0873/76</t>
  </si>
  <si>
    <t>1.0574/77</t>
  </si>
  <si>
    <t>1.2141/44</t>
  </si>
  <si>
    <t>133.42/44</t>
  </si>
  <si>
    <t>126.23/26</t>
  </si>
  <si>
    <t>109.06/08</t>
  </si>
  <si>
    <t>1.2435/38</t>
  </si>
  <si>
    <t>1.2959/63</t>
  </si>
  <si>
    <t>1.3844/46</t>
  </si>
  <si>
    <t>1.0953/57</t>
  </si>
  <si>
    <t>1.0823/27</t>
  </si>
  <si>
    <t>1.1951/53</t>
  </si>
  <si>
    <t>133.81/82</t>
  </si>
  <si>
    <t>118.68/70</t>
  </si>
  <si>
    <t>108.63/65</t>
  </si>
  <si>
    <t>1.2134/37</t>
  </si>
  <si>
    <t>1.3164/67</t>
  </si>
  <si>
    <t>1.3848/50</t>
  </si>
  <si>
    <t>1.0706/09</t>
  </si>
  <si>
    <t>1.1008/11</t>
  </si>
  <si>
    <t>1.1905/08</t>
  </si>
  <si>
    <t>132.92/93</t>
  </si>
  <si>
    <t>115.22/24</t>
  </si>
  <si>
    <t>105.35/37</t>
  </si>
  <si>
    <t>1.2080/83</t>
  </si>
  <si>
    <t>1.3538/41</t>
  </si>
  <si>
    <t>1.3875/77</t>
  </si>
  <si>
    <t>1.0707/10</t>
  </si>
  <si>
    <t>1.1341/45</t>
  </si>
  <si>
    <t>1.2096/99</t>
  </si>
  <si>
    <t>130.42/43</t>
  </si>
  <si>
    <t>114.86/88</t>
  </si>
  <si>
    <t>103.63/64</t>
  </si>
  <si>
    <t>1.2233/37</t>
  </si>
  <si>
    <t>1.3558/61</t>
  </si>
  <si>
    <t>1.3637/39</t>
  </si>
  <si>
    <t>1.0779/83</t>
  </si>
  <si>
    <t>1.1319/21</t>
  </si>
  <si>
    <t>1.2180/83</t>
  </si>
  <si>
    <t>USD/JPY</t>
  </si>
  <si>
    <t>GBP/USD</t>
  </si>
  <si>
    <t>EUR/USD</t>
  </si>
  <si>
    <r>
      <t>Table 51: Monthly Average Exchange Rates of Selected Currencies vis-à-vis the US Dollar</t>
    </r>
    <r>
      <rPr>
        <b/>
        <vertAlign val="superscript"/>
        <sz val="12"/>
        <color rgb="FF002060"/>
        <rFont val="Segoe UI"/>
        <family val="2"/>
      </rPr>
      <t>1</t>
    </r>
    <r>
      <rPr>
        <b/>
        <sz val="12"/>
        <color rgb="FF002060"/>
        <rFont val="Segoe UI"/>
        <family val="2"/>
      </rPr>
      <t xml:space="preserve"> :                                               January 2021 to September 2023</t>
    </r>
  </si>
  <si>
    <t>Figures may not add up to totals due to rounding.</t>
  </si>
  <si>
    <r>
      <rPr>
        <i/>
        <vertAlign val="superscript"/>
        <sz val="10"/>
        <color rgb="FF002060"/>
        <rFont val="Segoe UI"/>
        <family val="2"/>
      </rPr>
      <t>2</t>
    </r>
    <r>
      <rPr>
        <i/>
        <sz val="10"/>
        <color rgb="FF002060"/>
        <rFont val="Segoe UI"/>
        <family val="2"/>
      </rPr>
      <t xml:space="preserve"> Includes transactions below US$20,000 or equivalent.</t>
    </r>
  </si>
  <si>
    <r>
      <rPr>
        <i/>
        <vertAlign val="superscript"/>
        <sz val="10"/>
        <color rgb="FF002060"/>
        <rFont val="Segoe UI"/>
        <family val="2"/>
      </rPr>
      <t xml:space="preserve">1 </t>
    </r>
    <r>
      <rPr>
        <i/>
        <sz val="10"/>
        <color rgb="FF002060"/>
        <rFont val="Segoe UI"/>
        <family val="2"/>
      </rPr>
      <t>Transactions conducted by banks and foreign exchange dealers, excluding interbank and swap transactions.</t>
    </r>
  </si>
  <si>
    <t>Total</t>
  </si>
  <si>
    <t>Forward</t>
  </si>
  <si>
    <t>Spot</t>
  </si>
  <si>
    <r>
      <t>Miscellaneous</t>
    </r>
    <r>
      <rPr>
        <b/>
        <vertAlign val="superscript"/>
        <sz val="11"/>
        <color rgb="FF002060"/>
        <rFont val="Segoe UI"/>
        <family val="2"/>
      </rPr>
      <t>2</t>
    </r>
  </si>
  <si>
    <t>Turnover</t>
  </si>
  <si>
    <t>Sales by banks and FX dealers</t>
  </si>
  <si>
    <t>Purchases by banks and FX dealers</t>
  </si>
  <si>
    <t>Month</t>
  </si>
  <si>
    <t>(US$ million)</t>
  </si>
  <si>
    <r>
      <t>Table 53: Foreign Currency Transactions: September 2022 to September 2023</t>
    </r>
    <r>
      <rPr>
        <b/>
        <vertAlign val="superscript"/>
        <sz val="12"/>
        <color rgb="FF002060"/>
        <rFont val="Segoe UI"/>
        <family val="2"/>
      </rPr>
      <t>1</t>
    </r>
  </si>
  <si>
    <r>
      <rPr>
        <i/>
        <vertAlign val="superscript"/>
        <sz val="10"/>
        <color rgb="FF002060"/>
        <rFont val="Segoe UI"/>
        <family val="2"/>
      </rPr>
      <t xml:space="preserve">1 </t>
    </r>
    <r>
      <rPr>
        <i/>
        <sz val="10"/>
        <color rgb="FF002060"/>
        <rFont val="Segoe UI"/>
        <family val="2"/>
      </rPr>
      <t>Spot and forward foreign currency transactions conducted by banks and foreign exchange dealers, above US$20,000 or equivalent, excluding interbank and swap transactions.</t>
    </r>
  </si>
  <si>
    <t xml:space="preserve"> Details on ISIC Rev.4 are available on the United Nations Statistics Division website.</t>
  </si>
  <si>
    <t>* The data are in line with the structure of the fourth revision of the UN's International Standard Industrial Classification (ISIC Rev. 4).</t>
  </si>
  <si>
    <t>Personal</t>
  </si>
  <si>
    <t>Activities of extraterritorial organizations and bodies</t>
  </si>
  <si>
    <t>U</t>
  </si>
  <si>
    <t>Activities of households as employers; undifferentiated goods- and services-producing activities of households for own use</t>
  </si>
  <si>
    <t>T</t>
  </si>
  <si>
    <t>Other service activities</t>
  </si>
  <si>
    <t>S</t>
  </si>
  <si>
    <t>Arts, entertainment and recreation</t>
  </si>
  <si>
    <t>R</t>
  </si>
  <si>
    <t>Human health and social work activities</t>
  </si>
  <si>
    <t>Q</t>
  </si>
  <si>
    <t>Education</t>
  </si>
  <si>
    <t>P</t>
  </si>
  <si>
    <t>Public administration and defence; compulsory social security</t>
  </si>
  <si>
    <t>O</t>
  </si>
  <si>
    <t>Administrative and support service activities</t>
  </si>
  <si>
    <t>N</t>
  </si>
  <si>
    <t>Professional, scientific and technical activities</t>
  </si>
  <si>
    <t>M</t>
  </si>
  <si>
    <t>Real estate activities</t>
  </si>
  <si>
    <t>L</t>
  </si>
  <si>
    <t>Financial and insurance activities</t>
  </si>
  <si>
    <t>K</t>
  </si>
  <si>
    <t>Information and communication</t>
  </si>
  <si>
    <t>J</t>
  </si>
  <si>
    <t>Accommodation and food service activities</t>
  </si>
  <si>
    <t>I</t>
  </si>
  <si>
    <t>Transportation and storage</t>
  </si>
  <si>
    <t>H</t>
  </si>
  <si>
    <t>Wholesale and retail trade; repair of motor vehicles and motorcycles</t>
  </si>
  <si>
    <t>G</t>
  </si>
  <si>
    <t>Construction</t>
  </si>
  <si>
    <t>F</t>
  </si>
  <si>
    <t>Water supply; sewerage, waste management and remediation activities</t>
  </si>
  <si>
    <t>E</t>
  </si>
  <si>
    <t>Electricity, gas, steam and air conditioning supply</t>
  </si>
  <si>
    <t>D</t>
  </si>
  <si>
    <t>Manufacturing</t>
  </si>
  <si>
    <t>C</t>
  </si>
  <si>
    <t>Mining and quarrying</t>
  </si>
  <si>
    <t>B</t>
  </si>
  <si>
    <t>Agriculture, forestry and fishing</t>
  </si>
  <si>
    <t>A</t>
  </si>
  <si>
    <t>Description</t>
  </si>
  <si>
    <t>Sector (ISIC 1 digit)*</t>
  </si>
  <si>
    <r>
      <t>Table 54a: Foreign Currency Purchases by banks and FX dealers (Sectorwise): September 2022 to September 2023</t>
    </r>
    <r>
      <rPr>
        <b/>
        <vertAlign val="superscript"/>
        <sz val="12"/>
        <color rgb="FF002060"/>
        <rFont val="Segoe UI"/>
        <family val="2"/>
      </rPr>
      <t>1</t>
    </r>
  </si>
  <si>
    <r>
      <t>Table 54b: Foreign Currency Sales by banks and FX dealers (Sectorwise): September 2022 to September 2023</t>
    </r>
    <r>
      <rPr>
        <b/>
        <vertAlign val="superscript"/>
        <sz val="12"/>
        <color rgb="FF002060"/>
        <rFont val="Segoe UI"/>
        <family val="2"/>
      </rPr>
      <t>1</t>
    </r>
  </si>
  <si>
    <t xml:space="preserve"> above US$20,000 or equivalent, excluding interbank and swap transactions.</t>
  </si>
  <si>
    <r>
      <rPr>
        <i/>
        <vertAlign val="superscript"/>
        <sz val="10"/>
        <color rgb="FF002060"/>
        <rFont val="Segoe UI"/>
        <family val="2"/>
      </rPr>
      <t xml:space="preserve">1 </t>
    </r>
    <r>
      <rPr>
        <i/>
        <sz val="10"/>
        <color rgb="FF002060"/>
        <rFont val="Segoe UI"/>
        <family val="2"/>
      </rPr>
      <t xml:space="preserve">Spot and forward foreign currency transactions conducted by banks and foreign exchange dealers, </t>
    </r>
  </si>
  <si>
    <t>Others</t>
  </si>
  <si>
    <t>GBP</t>
  </si>
  <si>
    <t>EUR</t>
  </si>
  <si>
    <t>USD</t>
  </si>
  <si>
    <r>
      <t>Table 55b: Foreign Currency Sales by banks and FX dealers in Major Currencies: September 2022 to September 2023</t>
    </r>
    <r>
      <rPr>
        <b/>
        <vertAlign val="superscript"/>
        <sz val="12"/>
        <color rgb="FF002060"/>
        <rFont val="Segoe UI"/>
        <family val="2"/>
      </rPr>
      <t>1</t>
    </r>
  </si>
  <si>
    <r>
      <t>Table 55a: Foreign Currency Purchases by banks and FX dealers in Major Currencies: September 2022 to September 2023</t>
    </r>
    <r>
      <rPr>
        <b/>
        <vertAlign val="superscript"/>
        <sz val="12"/>
        <color rgb="FF002060"/>
        <rFont val="Segoe UI"/>
        <family val="2"/>
      </rPr>
      <t>1</t>
    </r>
  </si>
  <si>
    <r>
      <rPr>
        <i/>
        <vertAlign val="superscript"/>
        <sz val="12"/>
        <color rgb="FF002060"/>
        <rFont val="Segoe UI"/>
        <family val="2"/>
      </rPr>
      <t>1</t>
    </r>
    <r>
      <rPr>
        <i/>
        <sz val="12"/>
        <color rgb="FF002060"/>
        <rFont val="Segoe UI"/>
        <family val="2"/>
      </rPr>
      <t xml:space="preserve"> Swap transactions against MUR in US$ equivalent.</t>
    </r>
  </si>
  <si>
    <t>GRAND TOTAL</t>
  </si>
  <si>
    <t>ALL FOREIGN CURRENCIES</t>
  </si>
  <si>
    <t>Total - Other foreign currencies</t>
  </si>
  <si>
    <t>Other foreign currencies</t>
  </si>
  <si>
    <t>Total- GBP</t>
  </si>
  <si>
    <t>Total - EUR</t>
  </si>
  <si>
    <t>Total - USD</t>
  </si>
  <si>
    <t>Sales                by banks</t>
  </si>
  <si>
    <t>Purchases          by banks</t>
  </si>
  <si>
    <t>Sales</t>
  </si>
  <si>
    <t>Purchases</t>
  </si>
  <si>
    <t>Sector</t>
  </si>
  <si>
    <t>ISIC 1 digit*</t>
  </si>
  <si>
    <r>
      <t>Table 56: Swap Transactions by banks in Major Currencies (Sectorwise): July 2023 to September 2023</t>
    </r>
    <r>
      <rPr>
        <b/>
        <vertAlign val="superscript"/>
        <sz val="12"/>
        <color rgb="FF002060"/>
        <rFont val="Segoe UI"/>
        <family val="2"/>
      </rPr>
      <t>1</t>
    </r>
  </si>
  <si>
    <t>Table 66: Leasing Facilities to Households and Corporates: June 2022 to June 2023</t>
  </si>
  <si>
    <t xml:space="preserve">As at end-June 2018 </t>
  </si>
  <si>
    <t xml:space="preserve">As at end-September 2018 </t>
  </si>
  <si>
    <t>As at end-December 2018</t>
  </si>
  <si>
    <t xml:space="preserve">As at end-March 2019 </t>
  </si>
  <si>
    <t>As at end-June 2019</t>
  </si>
  <si>
    <t>As at end-September 2019</t>
  </si>
  <si>
    <t>As at end-December 2019</t>
  </si>
  <si>
    <t>As at end-March 2020</t>
  </si>
  <si>
    <t>As at end-June 2020</t>
  </si>
  <si>
    <t>As at end-September 2020</t>
  </si>
  <si>
    <t>As at end-December 2020</t>
  </si>
  <si>
    <t>As at end-March 2021</t>
  </si>
  <si>
    <t>As at end-June 2021</t>
  </si>
  <si>
    <t>As at end-September 2021</t>
  </si>
  <si>
    <t>As at end-December 2021</t>
  </si>
  <si>
    <t>As at end-March 2022</t>
  </si>
  <si>
    <t>As at end-June 2022</t>
  </si>
  <si>
    <t>As at end-September 2022</t>
  </si>
  <si>
    <t>As at end-December 2022</t>
  </si>
  <si>
    <t>As at end-March 2023</t>
  </si>
  <si>
    <t>As at end-June 2023</t>
  </si>
  <si>
    <t>(Rs million)</t>
  </si>
  <si>
    <t>(Number)</t>
  </si>
  <si>
    <t>Motor vehicle</t>
  </si>
  <si>
    <t xml:space="preserve">      Leasing</t>
  </si>
  <si>
    <t xml:space="preserve">      NBDTIs</t>
  </si>
  <si>
    <t xml:space="preserve">      Banks</t>
  </si>
  <si>
    <t>Other</t>
  </si>
  <si>
    <t>Figures may not add up due to rounding.</t>
  </si>
  <si>
    <r>
      <t>1</t>
    </r>
    <r>
      <rPr>
        <i/>
        <sz val="9"/>
        <color rgb="FF002060"/>
        <rFont val="Segoe UI"/>
        <family val="2"/>
      </rPr>
      <t xml:space="preserve"> Leasing facilities granted for buildings, office equipment, machinery and other assets.</t>
    </r>
  </si>
  <si>
    <t>Source: Economic Analysis &amp; Research and Statistics Department.</t>
  </si>
  <si>
    <t>Table 57a: Transactions on the Stock Exchange of Mauritius: September 2022 to September 2023</t>
  </si>
  <si>
    <t>Official Market</t>
  </si>
  <si>
    <t>Number</t>
  </si>
  <si>
    <t>Average</t>
  </si>
  <si>
    <t>of</t>
  </si>
  <si>
    <r>
      <t>SEMTRI</t>
    </r>
    <r>
      <rPr>
        <b/>
        <vertAlign val="superscript"/>
        <sz val="11"/>
        <color indexed="56"/>
        <rFont val="Segoe UI"/>
        <family val="2"/>
      </rPr>
      <t>1</t>
    </r>
  </si>
  <si>
    <t>SEM-7/</t>
  </si>
  <si>
    <t>SEMDEX</t>
  </si>
  <si>
    <t>Value of</t>
  </si>
  <si>
    <t>Volume of</t>
  </si>
  <si>
    <t>Sessions</t>
  </si>
  <si>
    <t>(in Rs terms)</t>
  </si>
  <si>
    <t>(in US$ terms)</t>
  </si>
  <si>
    <r>
      <t>SEM10</t>
    </r>
    <r>
      <rPr>
        <b/>
        <vertAlign val="superscript"/>
        <sz val="11"/>
        <color indexed="56"/>
        <rFont val="Segoe UI"/>
        <family val="2"/>
      </rPr>
      <t>2</t>
    </r>
  </si>
  <si>
    <t>Transactions</t>
  </si>
  <si>
    <t xml:space="preserve"> </t>
  </si>
  <si>
    <t>(Rs'000)</t>
  </si>
  <si>
    <t>('000)</t>
  </si>
  <si>
    <t>Nov-18</t>
  </si>
  <si>
    <r>
      <t>Mar-20</t>
    </r>
    <r>
      <rPr>
        <b/>
        <vertAlign val="superscript"/>
        <sz val="11"/>
        <color rgb="FF002060"/>
        <rFont val="Segoe UI"/>
        <family val="2"/>
      </rPr>
      <t>3</t>
    </r>
  </si>
  <si>
    <t>Apr-20</t>
  </si>
  <si>
    <t>May-20</t>
  </si>
  <si>
    <t>Jun-20</t>
  </si>
  <si>
    <t>Jul-20</t>
  </si>
  <si>
    <t>Aug-20</t>
  </si>
  <si>
    <t>Sep-20</t>
  </si>
  <si>
    <t>Oct-20</t>
  </si>
  <si>
    <t>Nov-20</t>
  </si>
  <si>
    <t>Dec-20</t>
  </si>
  <si>
    <t>Jan-21</t>
  </si>
  <si>
    <t>Feb-21</t>
  </si>
  <si>
    <t>Mar-21</t>
  </si>
  <si>
    <t>Apr-21</t>
  </si>
  <si>
    <t>May-21</t>
  </si>
  <si>
    <t>Jun-21</t>
  </si>
  <si>
    <t>Jul-21</t>
  </si>
  <si>
    <t>Aug-21</t>
  </si>
  <si>
    <t>Sep-21</t>
  </si>
  <si>
    <r>
      <t xml:space="preserve">1 </t>
    </r>
    <r>
      <rPr>
        <i/>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</si>
  <si>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 xml:space="preserve">2 </t>
    </r>
    <r>
      <rPr>
        <i/>
        <sz val="10"/>
        <color indexed="56"/>
        <rFont val="Segoe UI"/>
        <family val="2"/>
      </rPr>
      <t>The SEM-7 started with an index value of 100 on 30 March 1998. As from 2 October 2014, the SEM-7 has been replaced by the SEM-10. The opening level of the SEM-10 was set at the closing level of the SEM-7 index on 1 October 2014.</t>
    </r>
  </si>
  <si>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</si>
  <si>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</si>
  <si>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</si>
  <si>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</si>
  <si>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</si>
  <si>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</si>
  <si>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</si>
  <si>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</si>
  <si>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</si>
  <si>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</si>
  <si>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</si>
  <si>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</si>
  <si>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</si>
  <si>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</si>
  <si>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</si>
  <si>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</si>
  <si>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</si>
  <si>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</si>
  <si>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</si>
  <si>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</si>
  <si>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</si>
  <si>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</si>
  <si>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</si>
  <si>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</si>
  <si>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</si>
  <si>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</si>
  <si>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</si>
  <si>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</si>
  <si>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</si>
  <si>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</si>
  <si>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Refer to transactions on the Official Market.</t>
  </si>
  <si>
    <t xml:space="preserve">Figures may not add up to total due to rounding. </t>
  </si>
  <si>
    <t>Source: The Stock Exchange of Mauritius Ltd.</t>
  </si>
  <si>
    <t>Table 57b: Transactions* by Non-Residents on the Stock Exchange of Mauritius: September 2022 to September 2023</t>
  </si>
  <si>
    <t>Table 58: Tourist Arrivals: January 2019 to September 2023 and Gross Tourism Earnings: January 2019 to August 2023</t>
  </si>
  <si>
    <r>
      <t>2023</t>
    </r>
    <r>
      <rPr>
        <b/>
        <vertAlign val="superscript"/>
        <sz val="11"/>
        <color rgb="FF002060"/>
        <rFont val="Segoe UI"/>
        <family val="2"/>
      </rPr>
      <t xml:space="preserve"> 1</t>
    </r>
  </si>
  <si>
    <t>Tourist Arrivals</t>
  </si>
  <si>
    <t>Gross Tourism Earnings</t>
  </si>
  <si>
    <t xml:space="preserve">(Rs million) </t>
  </si>
  <si>
    <t>n.a.</t>
  </si>
  <si>
    <t xml:space="preserve"> Total</t>
  </si>
  <si>
    <t>Note: Gross tourism earnings are estimated from banking records as well as returns submitted by money-changers and foreign exchange dealers. It should be noted that there may be leads and lags in the recording of tourism earnings data.</t>
  </si>
  <si>
    <r>
      <rPr>
        <i/>
        <vertAlign val="superscript"/>
        <sz val="10"/>
        <color rgb="FF002060"/>
        <rFont val="Segoe UI"/>
        <family val="2"/>
      </rPr>
      <t>1</t>
    </r>
    <r>
      <rPr>
        <i/>
        <sz val="10"/>
        <color rgb="FF002060"/>
        <rFont val="Segoe UI"/>
        <family val="2"/>
      </rPr>
      <t xml:space="preserve"> Provisional.</t>
    </r>
  </si>
  <si>
    <t xml:space="preserve">n.a.: not available. </t>
  </si>
  <si>
    <t>Source: Statistics Mauritius; Economic Analysis &amp; Research and Statistics Department, Bank of Mauritius.</t>
  </si>
  <si>
    <t>Table 59: Gross Official International Reserves: September 2020 to September 2023</t>
  </si>
  <si>
    <t>Gross Foreign</t>
  </si>
  <si>
    <t>Reserve Position in the IMF</t>
  </si>
  <si>
    <t>Foreign Assets of Government</t>
  </si>
  <si>
    <t>Gross Official International Reserves</t>
  </si>
  <si>
    <r>
      <t xml:space="preserve">Gross Official International Reserves </t>
    </r>
    <r>
      <rPr>
        <b/>
        <vertAlign val="superscript"/>
        <sz val="11"/>
        <color rgb="FF002060"/>
        <rFont val="Segoe UI"/>
        <family val="2"/>
      </rPr>
      <t>1</t>
    </r>
  </si>
  <si>
    <t>Import Cover</t>
  </si>
  <si>
    <t>Assets of</t>
  </si>
  <si>
    <t>Bank of Mauritius</t>
  </si>
  <si>
    <r>
      <t>Gold</t>
    </r>
    <r>
      <rPr>
        <b/>
        <vertAlign val="superscript"/>
        <sz val="11"/>
        <color rgb="FF002060"/>
        <rFont val="Segoe UI"/>
        <family val="2"/>
      </rPr>
      <t xml:space="preserve"> </t>
    </r>
  </si>
  <si>
    <t>SDR</t>
  </si>
  <si>
    <t>TOTAL</t>
  </si>
  <si>
    <t>(No. of months)</t>
  </si>
  <si>
    <t xml:space="preserve">Sep-12 </t>
  </si>
  <si>
    <t xml:space="preserve">Dec-12 </t>
  </si>
  <si>
    <t xml:space="preserve">Jan-13 </t>
  </si>
  <si>
    <t xml:space="preserve">Feb-13 </t>
  </si>
  <si>
    <t>Mar-13</t>
  </si>
  <si>
    <t>Apr-13</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</si>
  <si>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</si>
  <si>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</si>
  <si>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</si>
  <si>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</si>
  <si>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</si>
  <si>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</si>
  <si>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</si>
  <si>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</si>
  <si>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</si>
  <si>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</si>
  <si>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</si>
  <si>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</si>
  <si>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</si>
  <si>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</si>
  <si>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2"/>
        <color rgb="FF002060"/>
        <rFont val="Segoe UI"/>
        <family val="2"/>
      </rPr>
      <t xml:space="preserve"> </t>
    </r>
  </si>
  <si>
    <t xml:space="preserve">Aug-14 </t>
  </si>
  <si>
    <r>
      <t>Sep-14</t>
    </r>
    <r>
      <rPr>
        <b/>
        <vertAlign val="superscript"/>
        <sz val="12"/>
        <color rgb="FF002060"/>
        <rFont val="Segoe UI"/>
        <family val="2"/>
      </rPr>
      <t xml:space="preserve"> </t>
    </r>
  </si>
  <si>
    <r>
      <t>Oct-14</t>
    </r>
    <r>
      <rPr>
        <b/>
        <vertAlign val="superscript"/>
        <sz val="12"/>
        <color rgb="FF002060"/>
        <rFont val="Segoe UI"/>
        <family val="2"/>
      </rPr>
      <t xml:space="preserve"> </t>
    </r>
  </si>
  <si>
    <r>
      <t>Nov-14</t>
    </r>
    <r>
      <rPr>
        <b/>
        <vertAlign val="superscript"/>
        <sz val="12"/>
        <color rgb="FF002060"/>
        <rFont val="Segoe UI"/>
        <family val="2"/>
      </rPr>
      <t xml:space="preserve"> </t>
    </r>
  </si>
  <si>
    <r>
      <t>Dec-14</t>
    </r>
    <r>
      <rPr>
        <b/>
        <vertAlign val="superscript"/>
        <sz val="12"/>
        <color rgb="FF002060"/>
        <rFont val="Segoe UI"/>
        <family val="2"/>
      </rPr>
      <t xml:space="preserve"> </t>
    </r>
  </si>
  <si>
    <r>
      <t>Jan-15</t>
    </r>
    <r>
      <rPr>
        <b/>
        <vertAlign val="superscript"/>
        <sz val="12"/>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</si>
  <si>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</si>
  <si>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</si>
  <si>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</si>
  <si>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</si>
  <si>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</si>
  <si>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</si>
  <si>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</si>
  <si>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</si>
  <si>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</si>
  <si>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</si>
  <si>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</si>
  <si>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1"/>
        <color rgb="FF002060"/>
        <rFont val="Segoe UI"/>
        <family val="2"/>
      </rPr>
      <t xml:space="preserve"> </t>
    </r>
  </si>
  <si>
    <t xml:space="preserve">Feb-16 </t>
  </si>
  <si>
    <t>Mar-16</t>
  </si>
  <si>
    <t xml:space="preserve">Apr-16 </t>
  </si>
  <si>
    <t xml:space="preserve">May-16 </t>
  </si>
  <si>
    <t xml:space="preserve">Jun-16 </t>
  </si>
  <si>
    <t xml:space="preserve">Jul-16 </t>
  </si>
  <si>
    <t xml:space="preserve">Aug-16 </t>
  </si>
  <si>
    <r>
      <t>Sep-16</t>
    </r>
    <r>
      <rPr>
        <b/>
        <vertAlign val="superscript"/>
        <sz val="11"/>
        <color rgb="FF002060"/>
        <rFont val="Segoe UI"/>
        <family val="2"/>
      </rPr>
      <t xml:space="preserve"> </t>
    </r>
  </si>
  <si>
    <r>
      <t>Oct-16</t>
    </r>
    <r>
      <rPr>
        <b/>
        <vertAlign val="superscript"/>
        <sz val="11"/>
        <color rgb="FF002060"/>
        <rFont val="Segoe UI"/>
        <family val="2"/>
      </rPr>
      <t xml:space="preserve"> </t>
    </r>
  </si>
  <si>
    <t xml:space="preserve">Nov-16 </t>
  </si>
  <si>
    <r>
      <t>Dec-16</t>
    </r>
    <r>
      <rPr>
        <b/>
        <vertAlign val="superscript"/>
        <sz val="11"/>
        <color rgb="FF002060"/>
        <rFont val="Segoe UI"/>
        <family val="2"/>
      </rPr>
      <t xml:space="preserve"> </t>
    </r>
  </si>
  <si>
    <t xml:space="preserve">Jan-17 </t>
  </si>
  <si>
    <r>
      <t>Feb-17</t>
    </r>
    <r>
      <rPr>
        <b/>
        <vertAlign val="superscript"/>
        <sz val="11"/>
        <color rgb="FF002060"/>
        <rFont val="Segoe UI"/>
        <family val="2"/>
      </rPr>
      <t xml:space="preserve"> </t>
    </r>
  </si>
  <si>
    <r>
      <t>Mar-17</t>
    </r>
    <r>
      <rPr>
        <b/>
        <vertAlign val="superscript"/>
        <sz val="11"/>
        <color rgb="FF002060"/>
        <rFont val="Segoe UI"/>
        <family val="2"/>
      </rPr>
      <t xml:space="preserve"> </t>
    </r>
  </si>
  <si>
    <r>
      <t>Apr-17</t>
    </r>
    <r>
      <rPr>
        <b/>
        <vertAlign val="superscript"/>
        <sz val="11"/>
        <color rgb="FF002060"/>
        <rFont val="Segoe UI"/>
        <family val="2"/>
      </rPr>
      <t xml:space="preserve"> </t>
    </r>
  </si>
  <si>
    <r>
      <t>May-17</t>
    </r>
    <r>
      <rPr>
        <b/>
        <vertAlign val="superscript"/>
        <sz val="11"/>
        <color rgb="FF002060"/>
        <rFont val="Segoe UI"/>
        <family val="2"/>
      </rPr>
      <t xml:space="preserve"> </t>
    </r>
  </si>
  <si>
    <r>
      <t>Jun-17</t>
    </r>
    <r>
      <rPr>
        <b/>
        <vertAlign val="superscript"/>
        <sz val="11"/>
        <color rgb="FF002060"/>
        <rFont val="Segoe UI"/>
        <family val="2"/>
      </rPr>
      <t xml:space="preserve"> </t>
    </r>
  </si>
  <si>
    <t xml:space="preserve">Jul-17 </t>
  </si>
  <si>
    <t xml:space="preserve">Aug-17 </t>
  </si>
  <si>
    <t xml:space="preserve">Sep-17 </t>
  </si>
  <si>
    <t xml:space="preserve">Oct-17 </t>
  </si>
  <si>
    <t xml:space="preserve">Nov-17 </t>
  </si>
  <si>
    <t xml:space="preserve">Dec-17 </t>
  </si>
  <si>
    <r>
      <t>Jan-18</t>
    </r>
    <r>
      <rPr>
        <b/>
        <vertAlign val="superscript"/>
        <sz val="11"/>
        <color rgb="FF002060"/>
        <rFont val="Segoe UI"/>
        <family val="2"/>
      </rPr>
      <t xml:space="preserve"> </t>
    </r>
  </si>
  <si>
    <r>
      <t>Feb-18</t>
    </r>
    <r>
      <rPr>
        <b/>
        <vertAlign val="superscript"/>
        <sz val="11"/>
        <color rgb="FF002060"/>
        <rFont val="Segoe UI"/>
        <family val="2"/>
      </rPr>
      <t xml:space="preserve"> </t>
    </r>
  </si>
  <si>
    <r>
      <t>Mar-18</t>
    </r>
    <r>
      <rPr>
        <b/>
        <vertAlign val="superscript"/>
        <sz val="11"/>
        <color rgb="FF002060"/>
        <rFont val="Segoe UI"/>
        <family val="2"/>
      </rPr>
      <t xml:space="preserve"> </t>
    </r>
  </si>
  <si>
    <r>
      <t>Apr-18</t>
    </r>
    <r>
      <rPr>
        <b/>
        <vertAlign val="superscript"/>
        <sz val="11"/>
        <color rgb="FF002060"/>
        <rFont val="Segoe UI"/>
        <family val="2"/>
      </rPr>
      <t xml:space="preserve"> </t>
    </r>
  </si>
  <si>
    <r>
      <t>May-18</t>
    </r>
    <r>
      <rPr>
        <b/>
        <vertAlign val="superscript"/>
        <sz val="11"/>
        <color rgb="FF002060"/>
        <rFont val="Segoe UI"/>
        <family val="2"/>
      </rPr>
      <t xml:space="preserve"> </t>
    </r>
  </si>
  <si>
    <r>
      <t>Jun-18</t>
    </r>
    <r>
      <rPr>
        <b/>
        <vertAlign val="superscript"/>
        <sz val="11"/>
        <color rgb="FF002060"/>
        <rFont val="Segoe UI"/>
        <family val="2"/>
      </rPr>
      <t xml:space="preserve"> </t>
    </r>
  </si>
  <si>
    <r>
      <t>Jul-18</t>
    </r>
    <r>
      <rPr>
        <b/>
        <vertAlign val="superscript"/>
        <sz val="11"/>
        <color rgb="FF002060"/>
        <rFont val="Segoe UI"/>
        <family val="2"/>
      </rPr>
      <t xml:space="preserve"> </t>
    </r>
  </si>
  <si>
    <r>
      <t>Aug-18</t>
    </r>
    <r>
      <rPr>
        <b/>
        <vertAlign val="superscript"/>
        <sz val="11"/>
        <color rgb="FF002060"/>
        <rFont val="Segoe UI"/>
        <family val="2"/>
      </rPr>
      <t xml:space="preserve"> </t>
    </r>
  </si>
  <si>
    <r>
      <t>Sep-18</t>
    </r>
    <r>
      <rPr>
        <b/>
        <vertAlign val="superscript"/>
        <sz val="11"/>
        <color rgb="FF002060"/>
        <rFont val="Segoe UI"/>
        <family val="2"/>
      </rPr>
      <t xml:space="preserve"> </t>
    </r>
  </si>
  <si>
    <r>
      <t>Oct-18</t>
    </r>
    <r>
      <rPr>
        <b/>
        <vertAlign val="superscript"/>
        <sz val="11"/>
        <color rgb="FF002060"/>
        <rFont val="Segoe UI"/>
        <family val="2"/>
      </rPr>
      <t xml:space="preserve"> </t>
    </r>
  </si>
  <si>
    <r>
      <t>Nov-18</t>
    </r>
    <r>
      <rPr>
        <b/>
        <vertAlign val="superscript"/>
        <sz val="11"/>
        <color rgb="FF002060"/>
        <rFont val="Segoe UI"/>
        <family val="2"/>
      </rPr>
      <t xml:space="preserve"> </t>
    </r>
  </si>
  <si>
    <r>
      <t>Dec-18</t>
    </r>
    <r>
      <rPr>
        <b/>
        <vertAlign val="superscript"/>
        <sz val="11"/>
        <color rgb="FF002060"/>
        <rFont val="Segoe UI"/>
        <family val="2"/>
      </rPr>
      <t xml:space="preserve"> </t>
    </r>
  </si>
  <si>
    <r>
      <t>Jan-19</t>
    </r>
    <r>
      <rPr>
        <b/>
        <vertAlign val="superscript"/>
        <sz val="11"/>
        <color rgb="FF002060"/>
        <rFont val="Segoe UI"/>
        <family val="2"/>
      </rPr>
      <t xml:space="preserve"> </t>
    </r>
  </si>
  <si>
    <t xml:space="preserve">Feb-19 </t>
  </si>
  <si>
    <t xml:space="preserve">Mar-19 </t>
  </si>
  <si>
    <t xml:space="preserve">Apr-19 </t>
  </si>
  <si>
    <r>
      <t>May-19</t>
    </r>
    <r>
      <rPr>
        <b/>
        <vertAlign val="superscript"/>
        <sz val="11"/>
        <color rgb="FF002060"/>
        <rFont val="Segoe UI"/>
        <family val="2"/>
      </rPr>
      <t xml:space="preserve"> </t>
    </r>
  </si>
  <si>
    <t>Jun-19</t>
  </si>
  <si>
    <r>
      <t>Jul-19</t>
    </r>
    <r>
      <rPr>
        <b/>
        <vertAlign val="superscript"/>
        <sz val="11"/>
        <color rgb="FF002060"/>
        <rFont val="Segoe UI"/>
        <family val="2"/>
      </rPr>
      <t xml:space="preserve"> </t>
    </r>
  </si>
  <si>
    <r>
      <t>Aug-19</t>
    </r>
    <r>
      <rPr>
        <b/>
        <vertAlign val="superscript"/>
        <sz val="11"/>
        <color rgb="FF002060"/>
        <rFont val="Segoe UI"/>
        <family val="2"/>
      </rPr>
      <t xml:space="preserve"> </t>
    </r>
  </si>
  <si>
    <r>
      <t>Sep-19</t>
    </r>
    <r>
      <rPr>
        <b/>
        <vertAlign val="superscript"/>
        <sz val="11"/>
        <color rgb="FF002060"/>
        <rFont val="Segoe UI"/>
        <family val="2"/>
      </rPr>
      <t xml:space="preserve"> </t>
    </r>
  </si>
  <si>
    <r>
      <t>Oct-19</t>
    </r>
    <r>
      <rPr>
        <b/>
        <vertAlign val="superscript"/>
        <sz val="11"/>
        <color rgb="FF002060"/>
        <rFont val="Segoe UI"/>
        <family val="2"/>
      </rPr>
      <t xml:space="preserve"> </t>
    </r>
  </si>
  <si>
    <r>
      <t>Nov-19</t>
    </r>
    <r>
      <rPr>
        <b/>
        <vertAlign val="superscript"/>
        <sz val="11"/>
        <color rgb="FF002060"/>
        <rFont val="Segoe UI"/>
        <family val="2"/>
      </rPr>
      <t xml:space="preserve"> </t>
    </r>
  </si>
  <si>
    <r>
      <t>Dec-19</t>
    </r>
    <r>
      <rPr>
        <b/>
        <vertAlign val="superscript"/>
        <sz val="11"/>
        <color rgb="FF002060"/>
        <rFont val="Segoe UI"/>
        <family val="2"/>
      </rPr>
      <t xml:space="preserve"> </t>
    </r>
  </si>
  <si>
    <r>
      <t>Jan-20</t>
    </r>
    <r>
      <rPr>
        <b/>
        <vertAlign val="superscript"/>
        <sz val="11"/>
        <color rgb="FF002060"/>
        <rFont val="Segoe UI"/>
        <family val="2"/>
      </rPr>
      <t xml:space="preserve"> </t>
    </r>
  </si>
  <si>
    <r>
      <t>Feb-20</t>
    </r>
    <r>
      <rPr>
        <b/>
        <vertAlign val="superscript"/>
        <sz val="11"/>
        <color rgb="FF002060"/>
        <rFont val="Segoe UI"/>
        <family val="2"/>
      </rPr>
      <t xml:space="preserve"> </t>
    </r>
  </si>
  <si>
    <t xml:space="preserve">Mar-20 </t>
  </si>
  <si>
    <r>
      <t>Apr-20</t>
    </r>
    <r>
      <rPr>
        <b/>
        <vertAlign val="superscript"/>
        <sz val="11"/>
        <color rgb="FF002060"/>
        <rFont val="Segoe UI"/>
        <family val="2"/>
      </rPr>
      <t xml:space="preserve"> </t>
    </r>
  </si>
  <si>
    <t xml:space="preserve">Jun-20 </t>
  </si>
  <si>
    <t xml:space="preserve">Jul-20 </t>
  </si>
  <si>
    <t xml:space="preserve">Aug-20 </t>
  </si>
  <si>
    <t xml:space="preserve">Sep-20 </t>
  </si>
  <si>
    <t xml:space="preserve">May-21 </t>
  </si>
  <si>
    <t xml:space="preserve">Jun-21 </t>
  </si>
  <si>
    <t xml:space="preserve">Oct-21 </t>
  </si>
  <si>
    <t>Nov-21</t>
  </si>
  <si>
    <t>Dec-21</t>
  </si>
  <si>
    <t xml:space="preserve">Jan-22 </t>
  </si>
  <si>
    <r>
      <t>Feb-22</t>
    </r>
    <r>
      <rPr>
        <b/>
        <vertAlign val="superscript"/>
        <sz val="11"/>
        <color rgb="FF002060"/>
        <rFont val="Segoe UI"/>
        <family val="2"/>
      </rPr>
      <t xml:space="preserve"> </t>
    </r>
  </si>
  <si>
    <t xml:space="preserve">Mar-22 </t>
  </si>
  <si>
    <t xml:space="preserve">Apr-22 </t>
  </si>
  <si>
    <t xml:space="preserve">May-22 </t>
  </si>
  <si>
    <t xml:space="preserve">Jun-22 </t>
  </si>
  <si>
    <t>Jul-22</t>
  </si>
  <si>
    <t>Aug-22</t>
  </si>
  <si>
    <t>Sep-22</t>
  </si>
  <si>
    <r>
      <t>Oct-22</t>
    </r>
    <r>
      <rPr>
        <b/>
        <vertAlign val="superscript"/>
        <sz val="11"/>
        <color rgb="FF002060"/>
        <rFont val="Segoe UI"/>
        <family val="2"/>
      </rPr>
      <t xml:space="preserve"> </t>
    </r>
  </si>
  <si>
    <t xml:space="preserve">Nov-22 </t>
  </si>
  <si>
    <t>Dec-22</t>
  </si>
  <si>
    <t>Jan-23</t>
  </si>
  <si>
    <t xml:space="preserve">Feb-23 </t>
  </si>
  <si>
    <t>Mar-23</t>
  </si>
  <si>
    <t xml:space="preserve">Apr-23 </t>
  </si>
  <si>
    <t>May-23</t>
  </si>
  <si>
    <t>Jun-23</t>
  </si>
  <si>
    <t>Jul-23</t>
  </si>
  <si>
    <t>Aug-23</t>
  </si>
  <si>
    <r>
      <t xml:space="preserve">Sep-23 </t>
    </r>
    <r>
      <rPr>
        <b/>
        <vertAlign val="superscript"/>
        <sz val="11"/>
        <color rgb="FF002060"/>
        <rFont val="Segoe UI"/>
        <family val="2"/>
      </rPr>
      <t>2</t>
    </r>
  </si>
  <si>
    <r>
      <rPr>
        <i/>
        <vertAlign val="superscript"/>
        <sz val="9.5"/>
        <color rgb="FF002060"/>
        <rFont val="Segoe UI"/>
        <family val="2"/>
      </rPr>
      <t xml:space="preserve">1 </t>
    </r>
    <r>
      <rPr>
        <i/>
        <sz val="9.5"/>
        <color rgb="FF002060"/>
        <rFont val="Segoe UI"/>
        <family val="2"/>
      </rPr>
      <t>Valued at end-of-period exchange rate.</t>
    </r>
  </si>
  <si>
    <r>
      <rPr>
        <i/>
        <vertAlign val="superscript"/>
        <sz val="9.5"/>
        <color rgb="FF002060"/>
        <rFont val="Segoe UI"/>
        <family val="2"/>
      </rPr>
      <t>2</t>
    </r>
    <r>
      <rPr>
        <i/>
        <sz val="9.5"/>
        <color rgb="FF002060"/>
        <rFont val="Segoe UI"/>
        <family val="2"/>
      </rPr>
      <t xml:space="preserve"> Provisional.</t>
    </r>
  </si>
  <si>
    <t>Note: The import cover is based on imports of goods and services for the corresponding calendar year except for 2023 which is based on that of calendar year 2022.</t>
  </si>
  <si>
    <t>2006</t>
  </si>
  <si>
    <t>2007</t>
  </si>
  <si>
    <t>2008</t>
  </si>
  <si>
    <t>2009</t>
  </si>
  <si>
    <r>
      <t>2010</t>
    </r>
    <r>
      <rPr>
        <b/>
        <vertAlign val="superscript"/>
        <sz val="11"/>
        <color rgb="FF002060"/>
        <rFont val="Segoe UI"/>
        <family val="2"/>
      </rPr>
      <t xml:space="preserve"> </t>
    </r>
  </si>
  <si>
    <t>2011</t>
  </si>
  <si>
    <t>2012</t>
  </si>
  <si>
    <t>2013</t>
  </si>
  <si>
    <t>2014</t>
  </si>
  <si>
    <t>2015</t>
  </si>
  <si>
    <t>2016</t>
  </si>
  <si>
    <t>2017</t>
  </si>
  <si>
    <t>2018</t>
  </si>
  <si>
    <t>2019</t>
  </si>
  <si>
    <t xml:space="preserve">2020 </t>
  </si>
  <si>
    <t xml:space="preserve"> 2021</t>
  </si>
  <si>
    <r>
      <t xml:space="preserve"> 2022</t>
    </r>
    <r>
      <rPr>
        <b/>
        <vertAlign val="superscript"/>
        <sz val="11"/>
        <color rgb="FF002060"/>
        <rFont val="Segoe UI"/>
        <family val="2"/>
      </rPr>
      <t xml:space="preserve"> 1</t>
    </r>
  </si>
  <si>
    <t xml:space="preserve"> -</t>
  </si>
  <si>
    <t>Water supply; sewerage, waste management and remediation</t>
  </si>
  <si>
    <t xml:space="preserve">Wholesale and retail trade; repair of motor vehicles and motorcycles </t>
  </si>
  <si>
    <t xml:space="preserve">Financial and insurance activities </t>
  </si>
  <si>
    <r>
      <t xml:space="preserve">   of which - IRS/RES/IHS/PDS/SCS </t>
    </r>
    <r>
      <rPr>
        <i/>
        <vertAlign val="superscript"/>
        <sz val="11"/>
        <color rgb="FF002060"/>
        <rFont val="Segoe UI"/>
        <family val="2"/>
      </rPr>
      <t>2</t>
    </r>
  </si>
  <si>
    <r>
      <t xml:space="preserve">Unspecified </t>
    </r>
    <r>
      <rPr>
        <vertAlign val="superscript"/>
        <sz val="11"/>
        <color rgb="FF002060"/>
        <rFont val="Segoe UI"/>
        <family val="2"/>
      </rPr>
      <t>3</t>
    </r>
  </si>
  <si>
    <t xml:space="preserve">Note: </t>
  </si>
  <si>
    <t>(i) Sector is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</si>
  <si>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(ii) The data for 2015 to 2021 have been supplemented with the results from the annual Foreign Assets and Liabilities Survey (FALS) and therefore also include reinvested earnings and shareholders’ loans.</t>
  </si>
  <si>
    <r>
      <t xml:space="preserve">1 </t>
    </r>
    <r>
      <rPr>
        <i/>
        <sz val="10"/>
        <color rgb="FF002060"/>
        <rFont val="Segoe UI"/>
        <family val="2"/>
      </rPr>
      <t xml:space="preserve">Preliminary estimates.
</t>
    </r>
  </si>
  <si>
    <r>
      <t xml:space="preserve">2 </t>
    </r>
    <r>
      <rPr>
        <i/>
        <sz val="10"/>
        <color rgb="FF002060"/>
        <rFont val="Segoe UI"/>
        <family val="2"/>
      </rPr>
      <t>IRS/RES/IHS/PDS/SCS: Integrated Resort Scheme/Real Estate Scheme/Invest Hotel Scheme/Property Development Scheme/Smart City Scheme.</t>
    </r>
  </si>
  <si>
    <t>Region / Economy</t>
  </si>
  <si>
    <t xml:space="preserve">2017 </t>
  </si>
  <si>
    <r>
      <t xml:space="preserve"> 2022 </t>
    </r>
    <r>
      <rPr>
        <b/>
        <vertAlign val="superscript"/>
        <sz val="11"/>
        <color rgb="FF002060"/>
        <rFont val="Segoe UI"/>
        <family val="2"/>
      </rPr>
      <t>1</t>
    </r>
  </si>
  <si>
    <t>Total world</t>
  </si>
  <si>
    <t xml:space="preserve">     Developed countries</t>
  </si>
  <si>
    <t xml:space="preserve">       Europe</t>
  </si>
  <si>
    <r>
      <t xml:space="preserve">         European Union 27 </t>
    </r>
    <r>
      <rPr>
        <vertAlign val="superscript"/>
        <sz val="11"/>
        <color rgb="FF002060"/>
        <rFont val="Segoe UI"/>
        <family val="2"/>
      </rPr>
      <t>2</t>
    </r>
  </si>
  <si>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</si>
  <si>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</si>
  <si>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</si>
  <si>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</si>
  <si>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</si>
  <si>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</si>
  <si>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</si>
  <si>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</si>
  <si>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</si>
  <si>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</si>
  <si>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</si>
  <si>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</si>
  <si>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</si>
  <si>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</si>
  <si>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</si>
  <si>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</si>
  <si>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</si>
  <si>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</si>
  <si>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</si>
  <si>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</si>
  <si>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</si>
  <si>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</si>
  <si>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</si>
  <si>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</si>
  <si>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</si>
  <si>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 *</t>
  </si>
  <si>
    <t xml:space="preserve">Other </t>
  </si>
  <si>
    <t xml:space="preserve">        Oceania </t>
  </si>
  <si>
    <r>
      <t xml:space="preserve">   Unspecified </t>
    </r>
    <r>
      <rPr>
        <b/>
        <vertAlign val="superscript"/>
        <sz val="11"/>
        <color rgb="FF002060"/>
        <rFont val="Segoe UI"/>
        <family val="2"/>
      </rPr>
      <t>3</t>
    </r>
  </si>
  <si>
    <t>Note: The data for 2015 to 2021 have been supplemented with the results from the Foreign Assets and Liabilities Survey (FALS) and therefore also include reinvested earnings and shareholders’ loans.</t>
  </si>
  <si>
    <r>
      <t xml:space="preserve">2 </t>
    </r>
    <r>
      <rPr>
        <i/>
        <sz val="10"/>
        <color rgb="FF002060"/>
        <rFont val="Segoe UI"/>
        <family val="2"/>
      </rPr>
      <t>From 2020, United Kingdom is not part of European Union 27 and the data has been adjusted accordingly.</t>
    </r>
  </si>
  <si>
    <t>* Including Hong Kong S.A.R and Macao S.A.R.</t>
  </si>
  <si>
    <t xml:space="preserve">Sector </t>
  </si>
  <si>
    <t>2020</t>
  </si>
  <si>
    <r>
      <t xml:space="preserve">Unspecified </t>
    </r>
    <r>
      <rPr>
        <vertAlign val="superscript"/>
        <sz val="11"/>
        <color rgb="FF002060"/>
        <rFont val="Segoe UI"/>
        <family val="2"/>
      </rPr>
      <t>2</t>
    </r>
  </si>
  <si>
    <t>(ii)  The data for 2015 to 2021 have been supplemented with the results from the Foreign Assets and Liabilities Survey (FALS) and therefore also include reinvested earnings and shareholders’ loans.</t>
  </si>
  <si>
    <t xml:space="preserve">  Developed countries</t>
  </si>
  <si>
    <t xml:space="preserve">    North  and Central America</t>
  </si>
  <si>
    <t xml:space="preserve">  Developing economies</t>
  </si>
  <si>
    <t xml:space="preserve">           Comoros</t>
  </si>
  <si>
    <t xml:space="preserve">           Kenya</t>
  </si>
  <si>
    <t xml:space="preserve">           Madagascar</t>
  </si>
  <si>
    <t xml:space="preserve">           Mozambique</t>
  </si>
  <si>
    <t xml:space="preserve">           Seychelles</t>
  </si>
  <si>
    <t xml:space="preserve">       Latin America and the Carribbean</t>
  </si>
  <si>
    <t xml:space="preserve">        Asia </t>
  </si>
  <si>
    <t>China*</t>
  </si>
  <si>
    <r>
      <t xml:space="preserve">  Unspecified </t>
    </r>
    <r>
      <rPr>
        <b/>
        <vertAlign val="superscript"/>
        <sz val="11"/>
        <color rgb="FF002060"/>
        <rFont val="Segoe UI"/>
        <family val="2"/>
      </rPr>
      <t>3</t>
    </r>
  </si>
  <si>
    <r>
      <rPr>
        <i/>
        <vertAlign val="superscript"/>
        <sz val="10"/>
        <color rgb="FF002060"/>
        <rFont val="Segoe UI"/>
        <family val="2"/>
      </rPr>
      <t>2</t>
    </r>
    <r>
      <rPr>
        <i/>
        <sz val="10"/>
        <color rgb="FF002060"/>
        <rFont val="Segoe UI"/>
        <family val="2"/>
      </rPr>
      <t xml:space="preserve"> From 2020, United Kingdom is not part of the EU-27 and the data have been adjusted accordingly.</t>
    </r>
  </si>
  <si>
    <t>* including Hong Kong S.A.R and Macao S.A.R.</t>
  </si>
  <si>
    <t>Table 62a: Inward Workers' Remittances, Top 10 Source Countries: 2019Q1 to 2023Q2</t>
  </si>
  <si>
    <t>2019Q1</t>
  </si>
  <si>
    <t>2019Q2</t>
  </si>
  <si>
    <t>2019Q3</t>
  </si>
  <si>
    <t>2019Q4</t>
  </si>
  <si>
    <t>2020Q1</t>
  </si>
  <si>
    <t>2020Q2</t>
  </si>
  <si>
    <t>2020Q3</t>
  </si>
  <si>
    <t>2020Q4</t>
  </si>
  <si>
    <t>2021Q1</t>
  </si>
  <si>
    <t>2021Q2</t>
  </si>
  <si>
    <t>2021Q3</t>
  </si>
  <si>
    <t>2021Q4</t>
  </si>
  <si>
    <t>2022Q1</t>
  </si>
  <si>
    <t>2022Q2</t>
  </si>
  <si>
    <t>2022Q3</t>
  </si>
  <si>
    <t>2022Q4</t>
  </si>
  <si>
    <t>2023Q1</t>
  </si>
  <si>
    <r>
      <t>2023Q2</t>
    </r>
    <r>
      <rPr>
        <b/>
        <vertAlign val="superscript"/>
        <sz val="10.5"/>
        <color rgb="FF002060"/>
        <rFont val="Segoe UI"/>
        <family val="2"/>
      </rPr>
      <t xml:space="preserve"> 1</t>
    </r>
  </si>
  <si>
    <t>Inward Remittances</t>
  </si>
  <si>
    <t>of which:</t>
  </si>
  <si>
    <t>France</t>
  </si>
  <si>
    <t>United Kingdom</t>
  </si>
  <si>
    <t>USA</t>
  </si>
  <si>
    <t>Switzerland</t>
  </si>
  <si>
    <t>Ireland</t>
  </si>
  <si>
    <t>Australia</t>
  </si>
  <si>
    <t>Canada</t>
  </si>
  <si>
    <t>United Arab Emirates</t>
  </si>
  <si>
    <t>Seychelles</t>
  </si>
  <si>
    <t>Italy</t>
  </si>
  <si>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</si>
  <si>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r>
      <rPr>
        <i/>
        <vertAlign val="superscript"/>
        <sz val="9"/>
        <color rgb="FF002060"/>
        <rFont val="Segoe UI"/>
        <family val="2"/>
      </rPr>
      <t>1</t>
    </r>
    <r>
      <rPr>
        <i/>
        <sz val="9"/>
        <color rgb="FF002060"/>
        <rFont val="Segoe UI"/>
        <family val="2"/>
      </rPr>
      <t xml:space="preserve"> Provisional.</t>
    </r>
  </si>
  <si>
    <t>Table 62b: Outward Workers' Remittances, Top 5 Destination Countries: 2019Q1 to 2023Q2</t>
  </si>
  <si>
    <t xml:space="preserve">2019Q3 </t>
  </si>
  <si>
    <t xml:space="preserve">2022Q2 </t>
  </si>
  <si>
    <r>
      <t xml:space="preserve">2023Q2 </t>
    </r>
    <r>
      <rPr>
        <b/>
        <vertAlign val="superscript"/>
        <sz val="10.5"/>
        <color rgb="FF002060"/>
        <rFont val="Segoe UI"/>
        <family val="2"/>
      </rPr>
      <t>1</t>
    </r>
  </si>
  <si>
    <t>Outward Remittances</t>
  </si>
  <si>
    <t>Bangladesh</t>
  </si>
  <si>
    <t>Madagascar</t>
  </si>
  <si>
    <t>Nepal</t>
  </si>
  <si>
    <r>
      <t>Table 62c: Remittance Cost</t>
    </r>
    <r>
      <rPr>
        <b/>
        <vertAlign val="superscript"/>
        <sz val="12"/>
        <color rgb="FF002060"/>
        <rFont val="Segoe UI"/>
        <family val="2"/>
      </rPr>
      <t>1</t>
    </r>
    <r>
      <rPr>
        <b/>
        <sz val="12"/>
        <color rgb="FF002060"/>
        <rFont val="Segoe UI"/>
        <family val="2"/>
      </rPr>
      <t>: 2019Q1 to 2023Q2</t>
    </r>
  </si>
  <si>
    <t xml:space="preserve">2022Q1 </t>
  </si>
  <si>
    <t xml:space="preserve">2022Q3 </t>
  </si>
  <si>
    <t xml:space="preserve">2022Q4 </t>
  </si>
  <si>
    <t xml:space="preserve">2023Q1 </t>
  </si>
  <si>
    <r>
      <t xml:space="preserve">2023Q2 </t>
    </r>
    <r>
      <rPr>
        <b/>
        <vertAlign val="superscript"/>
        <sz val="10.5"/>
        <color rgb="FF002060"/>
        <rFont val="Segoe UI"/>
        <family val="2"/>
      </rPr>
      <t>2</t>
    </r>
  </si>
  <si>
    <t>Inward Remittance Cost</t>
  </si>
  <si>
    <t>Outward Remittance Cost</t>
  </si>
  <si>
    <r>
      <rPr>
        <i/>
        <vertAlign val="superscript"/>
        <sz val="9"/>
        <color rgb="FF002060"/>
        <rFont val="Segoe UI"/>
        <family val="2"/>
      </rPr>
      <t xml:space="preserve">1 </t>
    </r>
    <r>
      <rPr>
        <i/>
        <sz val="9"/>
        <color rgb="FF002060"/>
        <rFont val="Segoe UI"/>
        <family val="2"/>
      </rPr>
      <t>Mauritius is already compliant with the United Nations Sustainable Development Goals (SDGs), target 10.c, that is, to reduce to less than 3 per cent the transaction costs of migrant remittances.</t>
    </r>
  </si>
  <si>
    <r>
      <rPr>
        <i/>
        <vertAlign val="superscript"/>
        <sz val="9"/>
        <color rgb="FF002060"/>
        <rFont val="Segoe UI"/>
        <family val="2"/>
      </rPr>
      <t>2</t>
    </r>
    <r>
      <rPr>
        <i/>
        <sz val="9"/>
        <color rgb="FF002060"/>
        <rFont val="Segoe UI"/>
        <family val="2"/>
      </rPr>
      <t xml:space="preserve"> Provisional.</t>
    </r>
  </si>
  <si>
    <t>Note: Figures in italics represent the share of remittance cost in total inward/outward remittances.</t>
  </si>
  <si>
    <t>Table 62d: Outward Workers' Remittances by Domestic Remitter's Sector of Activity, 2019Q1 to 2023Q2</t>
  </si>
  <si>
    <t>Water supply, sewage, waste management and remediation activities</t>
  </si>
  <si>
    <t xml:space="preserve">Construction  </t>
  </si>
  <si>
    <t>Note: Sector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</si>
  <si>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r>
      <t>Table 63: Coordinated Direct Investment Survey - Position data for Mauritius as at end-2020</t>
    </r>
    <r>
      <rPr>
        <b/>
        <vertAlign val="superscript"/>
        <sz val="12"/>
        <color rgb="FF002060"/>
        <rFont val="Segoe UI"/>
        <family val="2"/>
      </rPr>
      <t xml:space="preserve"> </t>
    </r>
    <r>
      <rPr>
        <b/>
        <sz val="12"/>
        <color rgb="FF002060"/>
        <rFont val="Segoe UI"/>
        <family val="2"/>
      </rPr>
      <t>and end-2021</t>
    </r>
    <r>
      <rPr>
        <b/>
        <vertAlign val="superscript"/>
        <sz val="12"/>
        <color rgb="FF002060"/>
        <rFont val="Segoe UI"/>
        <family val="2"/>
      </rPr>
      <t xml:space="preserve">  </t>
    </r>
    <r>
      <rPr>
        <b/>
        <sz val="12"/>
        <color rgb="FF002060"/>
        <rFont val="Segoe UI"/>
        <family val="2"/>
      </rPr>
      <t>vis-à-vis Top 10 Counterpart Economies</t>
    </r>
  </si>
  <si>
    <t>Stock of Direct Investment Liabilities</t>
  </si>
  <si>
    <t>Stock of Direct Investment Assets</t>
  </si>
  <si>
    <t xml:space="preserve">Total    </t>
  </si>
  <si>
    <t xml:space="preserve">Total </t>
  </si>
  <si>
    <t>United States</t>
  </si>
  <si>
    <t>Cayman Islands</t>
  </si>
  <si>
    <t>Singapore</t>
  </si>
  <si>
    <t>South Africa</t>
  </si>
  <si>
    <t>Netherlands</t>
  </si>
  <si>
    <t>Bermuda</t>
  </si>
  <si>
    <t>Thailand</t>
  </si>
  <si>
    <t>China, P.R.: Mainland</t>
  </si>
  <si>
    <t>Virgin Islands, British</t>
  </si>
  <si>
    <t>China, P.R.: Hong Kong</t>
  </si>
  <si>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2</t>
    </r>
    <r>
      <rPr>
        <i/>
        <sz val="10"/>
        <color rgb="FF002060"/>
        <rFont val="Segoe UI"/>
        <family val="2"/>
      </rPr>
      <t xml:space="preserve"> Provisional.</t>
    </r>
  </si>
  <si>
    <t>Note: The Coordinated Direct Investment Survey includes cross-border position data of Global Business License Holders (GBLHs). For further information, please refer to https://data.imf.org/CDIS.</t>
  </si>
  <si>
    <t>Table 64: Balance of Payments - Second Quarters of 2022 and 2023, Rs million</t>
  </si>
  <si>
    <r>
      <t xml:space="preserve">2022Q2 </t>
    </r>
    <r>
      <rPr>
        <b/>
        <vertAlign val="superscript"/>
        <sz val="11"/>
        <color rgb="FF002060"/>
        <rFont val="Segoe UI"/>
        <family val="2"/>
      </rPr>
      <t>1</t>
    </r>
  </si>
  <si>
    <r>
      <t>2023Q2</t>
    </r>
    <r>
      <rPr>
        <b/>
        <vertAlign val="superscript"/>
        <sz val="11"/>
        <color rgb="FF002060"/>
        <rFont val="Segoe UI"/>
        <family val="2"/>
      </rPr>
      <t xml:space="preserve"> 1</t>
    </r>
  </si>
  <si>
    <t>Credits</t>
  </si>
  <si>
    <t>Debits</t>
  </si>
  <si>
    <t>Net</t>
  </si>
  <si>
    <t>CURRENT ACCOUNT</t>
  </si>
  <si>
    <t>GOODS AND SERVICES</t>
  </si>
  <si>
    <t>GOODS</t>
  </si>
  <si>
    <t>General merchandise on a BOP basis</t>
  </si>
  <si>
    <t xml:space="preserve">o/w: Re-exports </t>
  </si>
  <si>
    <t>Nonmonetary gold</t>
  </si>
  <si>
    <t>SERVICES</t>
  </si>
  <si>
    <t>Maintenance and repair services n.i.e.</t>
  </si>
  <si>
    <t>Transport</t>
  </si>
  <si>
    <t>Passenger</t>
  </si>
  <si>
    <t>Freight</t>
  </si>
  <si>
    <t>Postal and courier services</t>
  </si>
  <si>
    <t>Travel</t>
  </si>
  <si>
    <t>Business</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</si>
  <si>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</si>
  <si>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</si>
  <si>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</si>
  <si>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</si>
  <si>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</si>
  <si>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</si>
  <si>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</si>
  <si>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</si>
  <si>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</si>
  <si>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</si>
  <si>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</si>
  <si>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</si>
  <si>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</si>
  <si>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</si>
  <si>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</si>
  <si>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</si>
  <si>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</si>
  <si>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</si>
  <si>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</si>
  <si>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</si>
  <si>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</si>
  <si>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</si>
  <si>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</si>
  <si>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</si>
  <si>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</si>
  <si>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</si>
  <si>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</si>
  <si>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</si>
  <si>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</si>
  <si>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</si>
  <si>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</si>
  <si>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</si>
  <si>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</si>
  <si>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</si>
  <si>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CAPITAL ACCOUNT</t>
  </si>
  <si>
    <t>Gross acquisitions/disposals of nonproduced nonfinancial assets</t>
  </si>
  <si>
    <t>Capital transfers</t>
  </si>
  <si>
    <t xml:space="preserve">  General government</t>
  </si>
  <si>
    <t xml:space="preserve">          Debt forgiveness</t>
  </si>
  <si>
    <t xml:space="preserve">          Other capital transfers</t>
  </si>
  <si>
    <t xml:space="preserve">  Financial corporations, nonfinancial corporations, households, and NPISHs</t>
  </si>
  <si>
    <t xml:space="preserve">Net acquisition of financial assets </t>
  </si>
  <si>
    <t>Net incurrence of liabilities</t>
  </si>
  <si>
    <t xml:space="preserve">Financial account Net lending (+) / net borrowing (–) </t>
  </si>
  <si>
    <t xml:space="preserve">Direct investment </t>
  </si>
  <si>
    <t xml:space="preserve">Equity and investment fund shares </t>
  </si>
  <si>
    <t>Debt instruments</t>
  </si>
  <si>
    <t xml:space="preserve">Portfolio investment </t>
  </si>
  <si>
    <t xml:space="preserve">Central bank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</si>
  <si>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</si>
  <si>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</si>
  <si>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</si>
  <si>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</si>
  <si>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</si>
  <si>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</si>
  <si>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</si>
  <si>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</si>
  <si>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</si>
  <si>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</si>
  <si>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</si>
  <si>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</si>
  <si>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</si>
  <si>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Other financial corporations</t>
  </si>
  <si>
    <t xml:space="preserve">Loans </t>
  </si>
  <si>
    <t>Credits and loans with the IMF</t>
  </si>
  <si>
    <t>Other short-term</t>
  </si>
  <si>
    <t>Other long-term</t>
  </si>
  <si>
    <t>Nonfinancial corporations, households and NPISHs</t>
  </si>
  <si>
    <t xml:space="preserve">Trade Credits and advances </t>
  </si>
  <si>
    <t xml:space="preserve">Other accounts receivable/payable—other </t>
  </si>
  <si>
    <t xml:space="preserve">Special drawing rights </t>
  </si>
  <si>
    <t xml:space="preserve">Reserve assets </t>
  </si>
  <si>
    <t xml:space="preserve">Monetary gold </t>
  </si>
  <si>
    <t>Gold bullion</t>
  </si>
  <si>
    <t>Unallocated gold accounts</t>
  </si>
  <si>
    <t xml:space="preserve">Reserve position in the IMF </t>
  </si>
  <si>
    <t xml:space="preserve">Other reserve assets </t>
  </si>
  <si>
    <t>Net errors and omissions</t>
  </si>
  <si>
    <r>
      <rPr>
        <i/>
        <vertAlign val="superscript"/>
        <sz val="9.5"/>
        <color rgb="FF002060"/>
        <rFont val="Segoe UI"/>
        <family val="2"/>
      </rPr>
      <t xml:space="preserve">1 </t>
    </r>
    <r>
      <rPr>
        <i/>
        <sz val="9.5"/>
        <color rgb="FF002060"/>
        <rFont val="Segoe UI"/>
        <family val="2"/>
      </rPr>
      <t>Preliminary estimates.</t>
    </r>
  </si>
  <si>
    <t>The figures may not add up to total due to rounding.</t>
  </si>
  <si>
    <t>Table 65: International Investment Position: External Assets and Liabilities at end-December 2018 to 2022</t>
  </si>
  <si>
    <r>
      <t xml:space="preserve">2022 </t>
    </r>
    <r>
      <rPr>
        <b/>
        <vertAlign val="superscript"/>
        <sz val="11"/>
        <color rgb="FF002060"/>
        <rFont val="Segoe UI"/>
        <family val="2"/>
      </rPr>
      <t>1</t>
    </r>
  </si>
  <si>
    <t>Net International Investment Position</t>
  </si>
  <si>
    <t>Assets</t>
  </si>
  <si>
    <t>Direct investor in direct investment enterprises</t>
  </si>
  <si>
    <t>Direct investment enterprises in direct investor (reverse investment)</t>
  </si>
  <si>
    <t>Between fellow enterprises</t>
  </si>
  <si>
    <t>Deposit-taking corporations, except central bank</t>
  </si>
  <si>
    <t xml:space="preserve">Financial derivatives (other than reserves) and employee stock options </t>
  </si>
  <si>
    <t>Nonfinancial corporations, households, and NPISHs</t>
  </si>
  <si>
    <t xml:space="preserve"> Insurance, pension, and standardized guarantee schemes </t>
  </si>
  <si>
    <t xml:space="preserve"> Other sectors</t>
  </si>
  <si>
    <t xml:space="preserve">    Other Financial Corporations</t>
  </si>
  <si>
    <t xml:space="preserve">    Nonfinancial corporations, households, and NPISHs</t>
  </si>
  <si>
    <t xml:space="preserve">Trade credit and advances </t>
  </si>
  <si>
    <t>Other accounts receivable</t>
  </si>
  <si>
    <t>Reserve position in the IMF</t>
  </si>
  <si>
    <t>Other reserve assets</t>
  </si>
  <si>
    <t>Currency and deposits</t>
  </si>
  <si>
    <t>Securities</t>
  </si>
  <si>
    <t>Other claims</t>
  </si>
  <si>
    <t>Liabilities</t>
  </si>
  <si>
    <t>Direct investor in direct investment  enterprises</t>
  </si>
  <si>
    <t>Central banks</t>
  </si>
  <si>
    <t xml:space="preserve">Other accounts payable  - other </t>
  </si>
  <si>
    <t>Special drawing rights  (Net incurrence of liabilities)</t>
  </si>
  <si>
    <t>Note: The Bank started the publication of its International Investment Position in line with the IMF's manual on Balance of Payments and International Investment Position - Sixth Edition (BPM6) as from 2018.</t>
  </si>
  <si>
    <r>
      <rPr>
        <i/>
        <vertAlign val="superscript"/>
        <sz val="10"/>
        <color rgb="FF002060"/>
        <rFont val="Segoe UI"/>
        <family val="2"/>
      </rPr>
      <t>1</t>
    </r>
    <r>
      <rPr>
        <i/>
        <sz val="10"/>
        <color rgb="FF002060"/>
        <rFont val="Segoe UI"/>
        <family val="2"/>
      </rPr>
      <t xml:space="preserve"> Preliminary Estimates.</t>
    </r>
  </si>
  <si>
    <t>Table of Contents</t>
  </si>
  <si>
    <t>Statistical Tables</t>
  </si>
  <si>
    <t>1. Selected Economic Indicators of Mauritius: 2012 to 2023</t>
  </si>
  <si>
    <t>3. Outstanding Public Sector Debt: March 2021 to June 2023</t>
  </si>
  <si>
    <t>6. Bank of Mauritius Statement of Financial Position as at end August 2023</t>
  </si>
  <si>
    <t>13b. Sectoral Balance Sheet of Other Financial Corporations : 2023Q1</t>
  </si>
  <si>
    <t>13c. Sectoral Balance Sheet of Other Financial Corporations (Excluding GBCs) : 2023Q1</t>
  </si>
  <si>
    <t>13d: Other Financial Corporations Survey: 2023Q1</t>
  </si>
  <si>
    <t>13e: Financial Corporations Survey: 2023Q1</t>
  </si>
  <si>
    <t>26. Maturity Pattern of Banks' Foreign Currency Deposits: As at end-June 2023</t>
  </si>
  <si>
    <t>28. Currency in Circulation: August 2022 to September 2023</t>
  </si>
  <si>
    <t>29. Cheque Clearance: January 2020 to September 2023</t>
  </si>
  <si>
    <t>30a. Mauritius Automated Clearing and Settlement System (MACSS) Rupee Transactions: January 2020 to September 2023</t>
  </si>
  <si>
    <t>30b. Mauritius Automated Clearing and Settlement System (MACSS) Foreign Currency Transactions: January 2020 to September 2023  (in foreign currency)</t>
  </si>
  <si>
    <t>31. Card Transactions: August 2022 to August 2023</t>
  </si>
  <si>
    <t>32. Internet Banking Transactions: August 2022 to August 2023</t>
  </si>
  <si>
    <t>33. Mobile Banking and Mobile Payments: August 2022 to August 2023</t>
  </si>
  <si>
    <t>34. Assets and Liabilities of Non-Bank Deposit Taking Leasing Companies: August 2022 - August 2023</t>
  </si>
  <si>
    <t>35. Consolidated Quarterly Profit and Loss Statement of Non-Bank Deposit Taking Leasing Companies: December 2018 - June 2023</t>
  </si>
  <si>
    <t>36. Sectorwise Distribution of Credit to Non-Residents: June 2023</t>
  </si>
  <si>
    <t>37a. Auctions of Government of Mauritius Treasury Bills: August and September 2023</t>
  </si>
  <si>
    <t>37b. Auctions of Government of Mauritius Treasury Bills: September 2022 to September 2023</t>
  </si>
  <si>
    <t>38a. Auctions of Bank of Mauritius Bills: August 2023 and September 2023</t>
  </si>
  <si>
    <t>38b. Auctions of Bank of Mauritius Bills: September 2022 to September 2023</t>
  </si>
  <si>
    <t>39a. Weighted Average Yields on Government of Mauritius Treasury Bills/ Bank of Mauritius Bills: September 2023</t>
  </si>
  <si>
    <t>39b. Weighted Average Yields on Government of Mauritius Treasury Bills/ Bank of Mauritius Bills: September 2022 to September 2023</t>
  </si>
  <si>
    <t>40a. Auctions of Government of Mauritius Notes and Bonds</t>
  </si>
  <si>
    <t xml:space="preserve">40b. Buyback Auction of Government of Mauritius Securities </t>
  </si>
  <si>
    <t>41a. Issue of 7-Day Bank of Mauritius Bills: August and September 2023</t>
  </si>
  <si>
    <t>41b. Issue of Bank of Mauritius Notes : September 2023</t>
  </si>
  <si>
    <t>42. Overnight Standing Facility: January 2023 to September 2023</t>
  </si>
  <si>
    <t>43. Outstanding Government of Mauritius Securities: September 2022 to September 2023</t>
  </si>
  <si>
    <t>44. Maturity Structure of Government of Mauritius Securities outstanding at end September 2023</t>
  </si>
  <si>
    <t>45a. Secondary Market Transactions by Counterparty: September 2023</t>
  </si>
  <si>
    <t>45b. Weekly Secondary Market Transactions: September 2023</t>
  </si>
  <si>
    <t>45c. Secondary Market Yields by Residual Days to Maturity: September 2023</t>
  </si>
  <si>
    <t>46. Secondary Market Activity: September 2022 to September 2023</t>
  </si>
  <si>
    <t>47a. Overnight Transactions on the Interbank Money Market: January 2023 to September 2023</t>
  </si>
  <si>
    <t>47b.Transactions on the Interbank Money Market: September 2022 to September 2023</t>
  </si>
  <si>
    <t>47c. Repo Transactions on the Interbank Money Market: September 2022 to September 2023</t>
  </si>
  <si>
    <t>48. Transactions on the Interbank Foreign Exchange Market: September 2021 to September 2023</t>
  </si>
  <si>
    <t>49a. Intervention by the Bank of Mauritius on the Domestic Foreign Exchange Market: September 2022 to September 2023</t>
  </si>
  <si>
    <t>49b. Purchases and Sales of Foreign Currency by the Bank of Mauritius from Government and Other Institutions: September 2022 to September 2023</t>
  </si>
  <si>
    <t>50a. Weighted Average Dealt Selling Rates of the Rupee against the USD, EUR and GBP: September 2022 to September 2023</t>
  </si>
  <si>
    <t>50b. Exchange Rate of the Rupee (End of Period): September 2022 to September 2023</t>
  </si>
  <si>
    <t>50c. Exchange Rate of the Rupee (Period Average): September 2022 to September 2023</t>
  </si>
  <si>
    <t>50d. Average Exchange Rate of the Rupee vis-à-vis Major Trading Partner Currencies: September 2022 and September 2023</t>
  </si>
  <si>
    <t>51. Monthly Average Exchange Rates of Selected Currencies vis-à-vis the US Dollar: January 2021 to September 2023</t>
  </si>
  <si>
    <t>52. Mauritius Exchange Rate Index (MERI): January 2021 to September 2023</t>
  </si>
  <si>
    <t>53. Foreign Currency Transactions: September 2022 to September 2023</t>
  </si>
  <si>
    <t>54a. Foreign Currency Purchases by banks and FX dealers (Sectorwise): September 2022 to September 2023</t>
  </si>
  <si>
    <t>54b. Foreign Currency Sales by banks and FX dealers (Sectorwise): September 2022 to September 2023</t>
  </si>
  <si>
    <t>55a. Foreign Currency Purchases by banks and FX dealers in Major Currencies: September 2022 to September 2023</t>
  </si>
  <si>
    <t>55b. Foreign Currency Sales by banks and FX dealers in Major Currencies: September 2022 to September 2023</t>
  </si>
  <si>
    <t>56. Swap Transactions by banks in Major Currencies (Sectorwise): July 2023 to September 2023</t>
  </si>
  <si>
    <t>57a. Transactions on the Stock Exchange of Mauritius: September 2022 to September 2023</t>
  </si>
  <si>
    <t>57b. Transactions by Non-Residents on the Stock Exchange of Mauritius:  September 2022 to September 2023</t>
  </si>
  <si>
    <t>58. Tourist Arrivals: January 2019 to September 2023 and Gross Tourism Earnings: January 2019 to August 2023</t>
  </si>
  <si>
    <t>59. Gross Official International Reserves: September 2020 to September 2023</t>
  </si>
  <si>
    <t>62a. Inward Workers' Remittances, Top 10 Source Countries: 2019Q1 to 2023Q2</t>
  </si>
  <si>
    <t>62b. Outward Workers' Remittances, Top 5 Destination Countries: 2019Q1 to 2023Q2</t>
  </si>
  <si>
    <t>62c. Remittance Cost: 2019Q1 to 2023Q2</t>
  </si>
  <si>
    <t>62d. Outward Workers' Remittances by Domestic Remitter's Sector of Activity: 2019Q1 to 2023Q2</t>
  </si>
  <si>
    <t>63. Coordinated Direct Investment Survey - Position data for Mauritius as at end-2020 and end-2021 vis-à-vis Top 10 Counterpart Economies</t>
  </si>
  <si>
    <t>65. International Investment Position: External Assets and Liabilities at end-December 2018 to 2022</t>
  </si>
  <si>
    <t>66. Leasing Facilities to Households and Corporates: June 2022 to June 2023</t>
  </si>
  <si>
    <r>
      <t>Table 26: Maturity Pattern of  Banks' Foreign Currency Deposits</t>
    </r>
    <r>
      <rPr>
        <b/>
        <vertAlign val="superscript"/>
        <sz val="12"/>
        <color indexed="56"/>
        <rFont val="Segoe UI"/>
        <family val="2"/>
      </rPr>
      <t>1</t>
    </r>
    <r>
      <rPr>
        <b/>
        <sz val="12"/>
        <color indexed="56"/>
        <rFont val="Segoe UI"/>
        <family val="2"/>
      </rPr>
      <t>: As at end-June 2023</t>
    </r>
  </si>
  <si>
    <t>(Rupees)</t>
  </si>
  <si>
    <t>Duration</t>
  </si>
  <si>
    <t>RUPEE EQUIVALENT OF DEPOSITS DENOMINATED IN FOREIGN CURRENCIES</t>
  </si>
  <si>
    <t>US</t>
  </si>
  <si>
    <t>Pound</t>
  </si>
  <si>
    <t>South African</t>
  </si>
  <si>
    <t>Dollar</t>
  </si>
  <si>
    <t>Sterling</t>
  </si>
  <si>
    <t>Rand</t>
  </si>
  <si>
    <r>
      <t xml:space="preserve">1. TRANSFERABLE </t>
    </r>
    <r>
      <rPr>
        <b/>
        <vertAlign val="superscript"/>
        <sz val="11"/>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</si>
  <si>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</si>
  <si>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</si>
  <si>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</si>
  <si>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</si>
  <si>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</si>
  <si>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</si>
  <si>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</si>
  <si>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</si>
  <si>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</si>
  <si>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</si>
  <si>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</si>
  <si>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</si>
  <si>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</si>
  <si>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</si>
  <si>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</si>
  <si>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</si>
  <si>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10"/>
        <color rgb="FF002060"/>
        <rFont val="Segoe UI"/>
        <family val="2"/>
      </rPr>
      <t xml:space="preserve">1 </t>
    </r>
    <r>
      <rPr>
        <i/>
        <sz val="10"/>
        <color rgb="FF002060"/>
        <rFont val="Segoe UI"/>
        <family val="2"/>
      </rPr>
      <t>Include deposits mobilised from residents, Global Business Corporations and non-residents.</t>
    </r>
  </si>
  <si>
    <r>
      <rPr>
        <i/>
        <vertAlign val="superscript"/>
        <sz val="10"/>
        <color rgb="FF002060"/>
        <rFont val="Segoe UI"/>
        <family val="2"/>
      </rPr>
      <t>2</t>
    </r>
    <r>
      <rPr>
        <i/>
        <sz val="10"/>
        <color rgb="FF002060"/>
        <rFont val="Segoe UI"/>
        <family val="2"/>
      </rPr>
      <t xml:space="preserve"> Include savings deposits.</t>
    </r>
  </si>
  <si>
    <t>Core Set of Financial Soundness Indicators (FSIs)</t>
  </si>
  <si>
    <t>Jun-18</t>
  </si>
  <si>
    <t>Sep-18</t>
  </si>
  <si>
    <t>Dec-18</t>
  </si>
  <si>
    <t>Mar-19</t>
  </si>
  <si>
    <t>Sep-19</t>
  </si>
  <si>
    <t>Dec-19</t>
  </si>
  <si>
    <t>Mar-20</t>
  </si>
  <si>
    <r>
      <t>Dec-21</t>
    </r>
    <r>
      <rPr>
        <b/>
        <vertAlign val="superscript"/>
        <sz val="11"/>
        <color rgb="FF002060"/>
        <rFont val="Segoe UI"/>
        <family val="2"/>
      </rPr>
      <t>1</t>
    </r>
  </si>
  <si>
    <r>
      <t>Mar-22</t>
    </r>
    <r>
      <rPr>
        <b/>
        <vertAlign val="superscript"/>
        <sz val="11"/>
        <color rgb="FF002060"/>
        <rFont val="Segoe UI"/>
        <family val="2"/>
      </rPr>
      <t>1</t>
    </r>
  </si>
  <si>
    <r>
      <t>Jun-22</t>
    </r>
    <r>
      <rPr>
        <b/>
        <vertAlign val="superscript"/>
        <sz val="11"/>
        <color rgb="FF002060"/>
        <rFont val="Segoe UI"/>
        <family val="2"/>
      </rPr>
      <t>1</t>
    </r>
  </si>
  <si>
    <r>
      <t>Sep-22</t>
    </r>
    <r>
      <rPr>
        <b/>
        <vertAlign val="superscript"/>
        <sz val="11"/>
        <color rgb="FF002060"/>
        <rFont val="Segoe UI"/>
        <family val="2"/>
      </rPr>
      <t>1</t>
    </r>
  </si>
  <si>
    <r>
      <t>Dec-22</t>
    </r>
    <r>
      <rPr>
        <b/>
        <vertAlign val="superscript"/>
        <sz val="11"/>
        <color rgb="FF002060"/>
        <rFont val="Segoe UI"/>
        <family val="2"/>
      </rPr>
      <t>1</t>
    </r>
  </si>
  <si>
    <r>
      <t>Mar-23</t>
    </r>
    <r>
      <rPr>
        <b/>
        <vertAlign val="superscript"/>
        <sz val="11"/>
        <color rgb="FF002060"/>
        <rFont val="Segoe UI"/>
        <family val="2"/>
      </rPr>
      <t>1</t>
    </r>
  </si>
  <si>
    <t>Capital-based</t>
  </si>
  <si>
    <t xml:space="preserve">Regulatory capital to risk-weighted assets </t>
  </si>
  <si>
    <t xml:space="preserve">Regulatory Tier 1 capital to risk-weighted assets </t>
  </si>
  <si>
    <t>Non-performing loans net of provisions to capital</t>
  </si>
  <si>
    <r>
      <t>Common Equity Tier 1 capital to risk-weighted assets</t>
    </r>
    <r>
      <rPr>
        <vertAlign val="superscript"/>
        <sz val="12"/>
        <color rgb="FF002060"/>
        <rFont val="Segoe UI"/>
        <family val="2"/>
      </rPr>
      <t>3</t>
    </r>
  </si>
  <si>
    <r>
      <t>Tier 1 capital to assets</t>
    </r>
    <r>
      <rPr>
        <vertAlign val="superscript"/>
        <sz val="12"/>
        <color rgb="FF002060"/>
        <rFont val="Segoe UI"/>
        <family val="2"/>
      </rPr>
      <t>3</t>
    </r>
  </si>
  <si>
    <t>Asset Quality</t>
  </si>
  <si>
    <r>
      <t>Non-performing loans to total loans</t>
    </r>
    <r>
      <rPr>
        <vertAlign val="superscript"/>
        <sz val="10.5"/>
        <color rgb="FF002060"/>
        <rFont val="Segoe UI"/>
        <family val="2"/>
      </rPr>
      <t>4</t>
    </r>
  </si>
  <si>
    <r>
      <t>Loan concentration by economic activity</t>
    </r>
    <r>
      <rPr>
        <vertAlign val="superscript"/>
        <sz val="12"/>
        <color rgb="FF002060"/>
        <rFont val="Segoe UI"/>
        <family val="2"/>
      </rPr>
      <t>3</t>
    </r>
  </si>
  <si>
    <r>
      <t>Provisions to nonperforming loans</t>
    </r>
    <r>
      <rPr>
        <vertAlign val="superscript"/>
        <sz val="12"/>
        <color rgb="FF002060"/>
        <rFont val="Segoe UI"/>
        <family val="2"/>
      </rPr>
      <t>3</t>
    </r>
  </si>
  <si>
    <r>
      <t>Sectoral distribution of loans to total loans</t>
    </r>
    <r>
      <rPr>
        <vertAlign val="superscript"/>
        <sz val="10.5"/>
        <color rgb="FF002060"/>
        <rFont val="Segoe UI"/>
        <family val="2"/>
      </rPr>
      <t>5</t>
    </r>
  </si>
  <si>
    <t>Interbank loans</t>
  </si>
  <si>
    <t>…</t>
  </si>
  <si>
    <t>General Government</t>
  </si>
  <si>
    <t>Non-financial corporations</t>
  </si>
  <si>
    <t xml:space="preserve">Other domestic sectors </t>
  </si>
  <si>
    <t xml:space="preserve">Non-residents </t>
  </si>
  <si>
    <t>Earnings and Profitability</t>
  </si>
  <si>
    <t>Return on assets</t>
  </si>
  <si>
    <r>
      <t>Return on equity</t>
    </r>
    <r>
      <rPr>
        <vertAlign val="superscript"/>
        <sz val="12"/>
        <color rgb="FF002060"/>
        <rFont val="Segoe UI"/>
        <family val="2"/>
      </rPr>
      <t>6</t>
    </r>
    <r>
      <rPr>
        <sz val="12"/>
        <color rgb="FF002060"/>
        <rFont val="Segoe UI"/>
        <family val="2"/>
      </rPr>
      <t xml:space="preserve"> </t>
    </r>
  </si>
  <si>
    <r>
      <t>Interest margin to gross income</t>
    </r>
    <r>
      <rPr>
        <vertAlign val="superscript"/>
        <sz val="12"/>
        <color rgb="FF002060"/>
        <rFont val="Segoe UI"/>
        <family val="2"/>
      </rPr>
      <t>6</t>
    </r>
  </si>
  <si>
    <r>
      <t>Non-interest expenses to gross income</t>
    </r>
    <r>
      <rPr>
        <vertAlign val="superscript"/>
        <sz val="12"/>
        <color rgb="FF002060"/>
        <rFont val="Segoe UI"/>
        <family val="2"/>
      </rPr>
      <t>6</t>
    </r>
  </si>
  <si>
    <t>Liquidity</t>
  </si>
  <si>
    <r>
      <t>Liquid assets to total assets</t>
    </r>
    <r>
      <rPr>
        <vertAlign val="superscript"/>
        <sz val="12"/>
        <color rgb="FF002060"/>
        <rFont val="Segoe UI"/>
        <family val="2"/>
      </rPr>
      <t>6</t>
    </r>
    <r>
      <rPr>
        <sz val="12"/>
        <color rgb="FF002060"/>
        <rFont val="Segoe UI"/>
        <family val="2"/>
      </rPr>
      <t xml:space="preserve"> </t>
    </r>
  </si>
  <si>
    <r>
      <t>Liquid assets to short-term liabilities</t>
    </r>
    <r>
      <rPr>
        <vertAlign val="superscript"/>
        <sz val="12"/>
        <color rgb="FF002060"/>
        <rFont val="Segoe UI"/>
        <family val="2"/>
      </rPr>
      <t>6</t>
    </r>
    <r>
      <rPr>
        <sz val="12"/>
        <color rgb="FF002060"/>
        <rFont val="Segoe UI"/>
        <family val="2"/>
      </rPr>
      <t xml:space="preserve"> </t>
    </r>
  </si>
  <si>
    <r>
      <t>Liquidity Coverage Ratio</t>
    </r>
    <r>
      <rPr>
        <vertAlign val="superscript"/>
        <sz val="12"/>
        <color rgb="FF002060"/>
        <rFont val="Segoe UI"/>
        <family val="2"/>
      </rPr>
      <t>3</t>
    </r>
  </si>
  <si>
    <t xml:space="preserve">Sensitivity to Market Risk </t>
  </si>
  <si>
    <t>Net open position in foreign exchange to capital</t>
  </si>
  <si>
    <t>Encouraged Set of Financial Soundness Indicators</t>
  </si>
  <si>
    <r>
      <t xml:space="preserve"> Mar-23</t>
    </r>
    <r>
      <rPr>
        <b/>
        <vertAlign val="superscript"/>
        <sz val="11"/>
        <color rgb="FF002060"/>
        <rFont val="Segoe UI"/>
        <family val="2"/>
      </rPr>
      <t>1</t>
    </r>
  </si>
  <si>
    <r>
      <t>Capital to assets</t>
    </r>
    <r>
      <rPr>
        <vertAlign val="superscript"/>
        <sz val="12"/>
        <color rgb="FF002060"/>
        <rFont val="Segoe UI"/>
        <family val="2"/>
      </rPr>
      <t>5</t>
    </r>
  </si>
  <si>
    <r>
      <t>Credit growth to private sector</t>
    </r>
    <r>
      <rPr>
        <vertAlign val="superscript"/>
        <sz val="12"/>
        <color rgb="FF002060"/>
        <rFont val="Segoe UI"/>
        <family val="2"/>
      </rPr>
      <t>3</t>
    </r>
  </si>
  <si>
    <r>
      <t>Value of large exposures</t>
    </r>
    <r>
      <rPr>
        <vertAlign val="superscript"/>
        <sz val="12"/>
        <color rgb="FF002060"/>
        <rFont val="Segoe UI"/>
        <family val="2"/>
      </rPr>
      <t>7</t>
    </r>
    <r>
      <rPr>
        <sz val="12"/>
        <color rgb="FF002060"/>
        <rFont val="Segoe UI"/>
        <family val="2"/>
      </rPr>
      <t xml:space="preserve"> to capital</t>
    </r>
  </si>
  <si>
    <t>224.4*</t>
  </si>
  <si>
    <t>228.3*</t>
  </si>
  <si>
    <t>235.3*</t>
  </si>
  <si>
    <t>Customer deposits to total (non-interbank) loans</t>
  </si>
  <si>
    <r>
      <t>Residential real estate loans to total loans</t>
    </r>
    <r>
      <rPr>
        <vertAlign val="superscript"/>
        <sz val="10.5"/>
        <color rgb="FF002060"/>
        <rFont val="Segoe UI"/>
        <family val="2"/>
      </rPr>
      <t>4</t>
    </r>
  </si>
  <si>
    <r>
      <t>Commercial real estate loans to total loans</t>
    </r>
    <r>
      <rPr>
        <vertAlign val="superscript"/>
        <sz val="10.5"/>
        <color rgb="FF002060"/>
        <rFont val="Segoe UI"/>
        <family val="2"/>
      </rPr>
      <t>4</t>
    </r>
  </si>
  <si>
    <r>
      <t>Trading income to total income</t>
    </r>
    <r>
      <rPr>
        <vertAlign val="superscript"/>
        <sz val="12"/>
        <color rgb="FF002060"/>
        <rFont val="Segoe UI"/>
        <family val="2"/>
      </rPr>
      <t>6</t>
    </r>
  </si>
  <si>
    <r>
      <t>Personnel expenses to non-interest expenses</t>
    </r>
    <r>
      <rPr>
        <vertAlign val="superscript"/>
        <sz val="12"/>
        <color rgb="FF002060"/>
        <rFont val="Segoe UI"/>
        <family val="2"/>
      </rPr>
      <t>6</t>
    </r>
  </si>
  <si>
    <r>
      <rPr>
        <i/>
        <vertAlign val="superscript"/>
        <sz val="10"/>
        <color rgb="FF002060"/>
        <rFont val="Segoe UI"/>
        <family val="2"/>
      </rPr>
      <t>1</t>
    </r>
    <r>
      <rPr>
        <i/>
        <sz val="10"/>
        <color rgb="FF002060"/>
        <rFont val="Segoe UI"/>
        <family val="2"/>
      </rPr>
      <t>Effective December 2021, FSIs are computed based on the Financial Soundness Indicators Compilation Guide (2019) of the International Monetary Fund. Some FSIs may, therefore, not be strictly comparable with those prior to December 2021.</t>
    </r>
  </si>
  <si>
    <r>
      <rPr>
        <i/>
        <vertAlign val="superscript"/>
        <sz val="10"/>
        <color rgb="FF002060"/>
        <rFont val="Segoe UI"/>
        <family val="2"/>
      </rPr>
      <t>2</t>
    </r>
    <r>
      <rPr>
        <i/>
        <sz val="10"/>
        <color rgb="FF002060"/>
        <rFont val="Segoe UI"/>
        <family val="2"/>
      </rPr>
      <t xml:space="preserve">Other Depository Corporations refer to Banks and Non-Bank Deposit-Taking Institutions. </t>
    </r>
  </si>
  <si>
    <r>
      <rPr>
        <i/>
        <vertAlign val="superscript"/>
        <sz val="10"/>
        <color rgb="FF002060"/>
        <rFont val="Segoe UI"/>
        <family val="2"/>
      </rPr>
      <t>3</t>
    </r>
    <r>
      <rPr>
        <i/>
        <sz val="10"/>
        <color rgb="FF002060"/>
        <rFont val="Segoe UI"/>
        <family val="2"/>
      </rPr>
      <t>New indicators introduced following the adoption of the Financial Soundness Indicators Compilation Guide (2019) of the International Monetary Fund as from December 2021.</t>
    </r>
  </si>
  <si>
    <r>
      <rPr>
        <i/>
        <vertAlign val="superscript"/>
        <sz val="10"/>
        <color rgb="FF002060"/>
        <rFont val="Segoe UI"/>
        <family val="2"/>
      </rPr>
      <t>4</t>
    </r>
    <r>
      <rPr>
        <i/>
        <sz val="10"/>
        <color rgb="FF002060"/>
        <rFont val="Segoe UI"/>
        <family val="2"/>
      </rPr>
      <t>Total loans include commercial loans, installment loans, hire-purchase credit, loans to finance trade credit and advances, finance leases, repurchase agreements not classified as a deposit, and overdrafts.</t>
    </r>
  </si>
  <si>
    <r>
      <rPr>
        <vertAlign val="superscript"/>
        <sz val="10"/>
        <color rgb="FF002060"/>
        <rFont val="Segoe UI"/>
        <family val="2"/>
      </rPr>
      <t>5</t>
    </r>
    <r>
      <rPr>
        <i/>
        <sz val="10"/>
        <color rgb="FF002060"/>
        <rFont val="Segoe UI"/>
        <family val="2"/>
      </rPr>
      <t>Indicators discontinued following adoption of the new Financial Soundness Indicators Compiltation Guide (2019) of the International Monetary Fund as from December 2021.</t>
    </r>
  </si>
  <si>
    <r>
      <rPr>
        <i/>
        <vertAlign val="superscript"/>
        <sz val="10"/>
        <color rgb="FF002060"/>
        <rFont val="Segoe UI"/>
        <family val="2"/>
      </rPr>
      <t>6</t>
    </r>
    <r>
      <rPr>
        <i/>
        <sz val="10"/>
        <color rgb="FF002060"/>
        <rFont val="Segoe UI"/>
        <family val="2"/>
      </rPr>
      <t>Indicators amended following adoption of the new Financial Soundness Indicators Compilation Guide (2019) of the International Monetary Fund as from December 2021. Hence, data may not be strictly comparable to quarters prior to December 2021.</t>
    </r>
  </si>
  <si>
    <r>
      <rPr>
        <vertAlign val="superscript"/>
        <sz val="10"/>
        <color rgb="FF002060"/>
        <rFont val="Segoe UI"/>
        <family val="2"/>
      </rPr>
      <t>7</t>
    </r>
    <r>
      <rPr>
        <i/>
        <sz val="10"/>
        <color rgb="FF002060"/>
        <rFont val="Segoe UI"/>
        <family val="2"/>
      </rPr>
      <t>As from December 2017, the measurement of credit concentration ratio has been revised to aggregate large credit exposure (above 10 per cent of Tier 1 capital) as a percentage of aggregate Tier 1 capital. Hence, data are not strictly comparable with those prior to December 2017.</t>
    </r>
  </si>
  <si>
    <t>…not available. Also, refer to footnote 5.</t>
  </si>
  <si>
    <t>Source: Financial Stability Division.</t>
  </si>
  <si>
    <t>Table 28: Currency in Circulation: August 2022 to September 2023</t>
  </si>
  <si>
    <t>End 
of 
Month</t>
  </si>
  <si>
    <t>BANKNOTES</t>
  </si>
  <si>
    <t>COINS</t>
  </si>
  <si>
    <t>Demonetized</t>
  </si>
  <si>
    <t>Commemorative</t>
  </si>
  <si>
    <t>Gold</t>
  </si>
  <si>
    <t>NOTES</t>
  </si>
  <si>
    <t>Currency</t>
  </si>
  <si>
    <t>Rs25</t>
  </si>
  <si>
    <t>Rs50</t>
  </si>
  <si>
    <t>Rs100</t>
  </si>
  <si>
    <t>Rs200</t>
  </si>
  <si>
    <t>Rs500</t>
  </si>
  <si>
    <t>Rs1000</t>
  </si>
  <si>
    <t>Rs2000</t>
  </si>
  <si>
    <t>Bullion</t>
  </si>
  <si>
    <t>Rs20</t>
  </si>
  <si>
    <t>Rs10</t>
  </si>
  <si>
    <t>Rs5</t>
  </si>
  <si>
    <t>Re1</t>
  </si>
  <si>
    <t>50c</t>
  </si>
  <si>
    <t>25c</t>
  </si>
  <si>
    <t>20c</t>
  </si>
  <si>
    <t>10c</t>
  </si>
  <si>
    <t>5c</t>
  </si>
  <si>
    <t xml:space="preserve"> 2c</t>
  </si>
  <si>
    <t>1c</t>
  </si>
  <si>
    <t>AND</t>
  </si>
  <si>
    <t>Notes</t>
  </si>
  <si>
    <t>Coins</t>
  </si>
  <si>
    <t/>
  </si>
  <si>
    <t>Source: Banking and Currency Division.</t>
  </si>
  <si>
    <t>Table 29: Cheque Clearance: January 2020 to September 2023</t>
  </si>
  <si>
    <t>Amount</t>
  </si>
  <si>
    <t>Daily Average</t>
  </si>
  <si>
    <t xml:space="preserve"> Number  of</t>
  </si>
  <si>
    <t>Cheques</t>
  </si>
  <si>
    <t>Days</t>
  </si>
  <si>
    <t xml:space="preserve"> (Rs'000)</t>
  </si>
  <si>
    <r>
      <rPr>
        <b/>
        <sz val="10.5"/>
        <color indexed="56"/>
        <rFont val="Segoe UI"/>
        <family val="2"/>
      </rPr>
      <t>*</t>
    </r>
    <r>
      <rPr>
        <sz val="10.5"/>
        <color indexed="56"/>
        <rFont val="Segoe UI"/>
        <family val="2"/>
      </rPr>
      <t>340,037</t>
    </r>
  </si>
  <si>
    <t>Source: Payment Systems and Digital Innovation Division.</t>
  </si>
  <si>
    <t>Table 30a: Mauritius Automated Clearing and Settlement System (MACSS)*</t>
  </si>
  <si>
    <t>Rupee Transactions: January 2020 to September 2023</t>
  </si>
  <si>
    <t>Number of Transactions</t>
  </si>
  <si>
    <r>
      <t xml:space="preserve">Value of Transactions </t>
    </r>
    <r>
      <rPr>
        <i/>
        <sz val="10.5"/>
        <color indexed="56"/>
        <rFont val="Segoe UI"/>
        <family val="2"/>
      </rPr>
      <t>(Rs million)</t>
    </r>
  </si>
  <si>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</si>
  <si>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</si>
  <si>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</si>
  <si>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30b: Mauritius Automated Clearing and Settlement System (MACSS)</t>
  </si>
  <si>
    <r>
      <t xml:space="preserve">Foreign Currency Transactions: January 2020 to September 2023  </t>
    </r>
    <r>
      <rPr>
        <b/>
        <sz val="12"/>
        <color indexed="56"/>
        <rFont val="Segoe UI"/>
        <family val="2"/>
      </rPr>
      <t>(in foreign currency)</t>
    </r>
  </si>
  <si>
    <t>US Dollar</t>
  </si>
  <si>
    <t>Pound Sterling</t>
  </si>
  <si>
    <t>Swiss Franc</t>
  </si>
  <si>
    <t>South African Rand</t>
  </si>
  <si>
    <t>Japanese Yen</t>
  </si>
  <si>
    <t>Singapore Dollar</t>
  </si>
  <si>
    <t>-</t>
  </si>
  <si>
    <t>Jan-11*</t>
  </si>
  <si>
    <t>Mar-12*</t>
  </si>
  <si>
    <t>_</t>
  </si>
  <si>
    <r>
      <t xml:space="preserve">Table 31: Card Transactions: August 2022 to August 2023 </t>
    </r>
    <r>
      <rPr>
        <b/>
        <vertAlign val="superscript"/>
        <sz val="12"/>
        <color rgb="FF002060"/>
        <rFont val="Segoe UI"/>
        <family val="2"/>
      </rPr>
      <t xml:space="preserve"> 1</t>
    </r>
  </si>
  <si>
    <t>Number of ATMs in Operation</t>
  </si>
  <si>
    <t xml:space="preserve">Number of Transactions </t>
  </si>
  <si>
    <r>
      <t>Value of Transactions (</t>
    </r>
    <r>
      <rPr>
        <i/>
        <sz val="11"/>
        <color rgb="FF002060"/>
        <rFont val="Segoe UI"/>
        <family val="2"/>
      </rPr>
      <t>Rs million</t>
    </r>
    <r>
      <rPr>
        <sz val="11"/>
        <color rgb="FF002060"/>
        <rFont val="Segoe UI"/>
        <family val="2"/>
      </rPr>
      <t xml:space="preserve">) </t>
    </r>
    <r>
      <rPr>
        <vertAlign val="superscript"/>
        <sz val="11"/>
        <color rgb="FF002060"/>
        <rFont val="Segoe UI"/>
        <family val="2"/>
      </rPr>
      <t xml:space="preserve">2 </t>
    </r>
  </si>
  <si>
    <t>Number of Cards in Circulation</t>
  </si>
  <si>
    <t xml:space="preserve">Credit Cards </t>
  </si>
  <si>
    <t xml:space="preserve">Debit Cards </t>
  </si>
  <si>
    <t xml:space="preserve">Others </t>
  </si>
  <si>
    <r>
      <t>Outstanding Advances on Credit Cards (</t>
    </r>
    <r>
      <rPr>
        <i/>
        <sz val="11"/>
        <color rgb="FF002060"/>
        <rFont val="Segoe UI"/>
        <family val="2"/>
      </rPr>
      <t>Rs million</t>
    </r>
    <r>
      <rPr>
        <sz val="11"/>
        <color rgb="FF002060"/>
        <rFont val="Segoe UI"/>
        <family val="2"/>
      </rPr>
      <t>)</t>
    </r>
    <r>
      <rPr>
        <vertAlign val="superscript"/>
        <sz val="11"/>
        <color rgb="FF002060"/>
        <rFont val="Segoe UI"/>
        <family val="2"/>
      </rPr>
      <t>3</t>
    </r>
  </si>
  <si>
    <r>
      <t>Impaired Advances on Credit Cards (</t>
    </r>
    <r>
      <rPr>
        <i/>
        <sz val="11"/>
        <color rgb="FF002060"/>
        <rFont val="Segoe UI"/>
        <family val="2"/>
      </rPr>
      <t>Rs million</t>
    </r>
    <r>
      <rPr>
        <sz val="11"/>
        <color rgb="FF002060"/>
        <rFont val="Segoe UI"/>
        <family val="2"/>
      </rPr>
      <t>)</t>
    </r>
    <r>
      <rPr>
        <vertAlign val="superscript"/>
        <sz val="11"/>
        <color rgb="FF002060"/>
        <rFont val="Segoe UI"/>
        <family val="2"/>
      </rPr>
      <t>4</t>
    </r>
  </si>
  <si>
    <r>
      <rPr>
        <i/>
        <vertAlign val="superscript"/>
        <sz val="11"/>
        <color rgb="FF002060"/>
        <rFont val="Segoe UI"/>
        <family val="2"/>
      </rPr>
      <t>1</t>
    </r>
    <r>
      <rPr>
        <i/>
        <sz val="11"/>
        <color rgb="FF002060"/>
        <rFont val="Segoe UI"/>
        <family val="2"/>
      </rPr>
      <t xml:space="preserve"> Renamed in July 2018, previously known as Electronic Banking Transactions.</t>
    </r>
  </si>
  <si>
    <r>
      <rPr>
        <i/>
        <vertAlign val="superscript"/>
        <sz val="11"/>
        <color rgb="FF002060"/>
        <rFont val="Segoe UI"/>
        <family val="2"/>
      </rPr>
      <t>2</t>
    </r>
    <r>
      <rPr>
        <i/>
        <sz val="11"/>
        <color rgb="FF002060"/>
        <rFont val="Segoe UI"/>
        <family val="2"/>
      </rPr>
      <t xml:space="preserve"> Involve the use of credit cards, debit cards, ATMs and Merchant Points of Sale.</t>
    </r>
  </si>
  <si>
    <r>
      <rPr>
        <i/>
        <vertAlign val="superscript"/>
        <sz val="11"/>
        <color rgb="FF002060"/>
        <rFont val="Segoe UI"/>
        <family val="2"/>
      </rPr>
      <t xml:space="preserve">3 </t>
    </r>
    <r>
      <rPr>
        <i/>
        <sz val="11"/>
        <color rgb="FF002060"/>
        <rFont val="Segoe UI"/>
        <family val="2"/>
      </rPr>
      <t>Revised</t>
    </r>
  </si>
  <si>
    <r>
      <rPr>
        <i/>
        <vertAlign val="superscript"/>
        <sz val="10.5"/>
        <color rgb="FF002060"/>
        <rFont val="Segoe UI"/>
        <family val="2"/>
      </rPr>
      <t>4</t>
    </r>
    <r>
      <rPr>
        <i/>
        <sz val="10.5"/>
        <color rgb="FF002060"/>
        <rFont val="Segoe UI"/>
        <family val="2"/>
      </rPr>
      <t xml:space="preserve"> Information available on a quarterly basis.</t>
    </r>
  </si>
  <si>
    <t xml:space="preserve">Table 32: Internet Banking Transactions: August 2022 to August 2023 </t>
  </si>
  <si>
    <t>Number of Customers</t>
  </si>
  <si>
    <r>
      <t>Value of Transactions (</t>
    </r>
    <r>
      <rPr>
        <i/>
        <sz val="11"/>
        <color rgb="FF002060"/>
        <rFont val="Segoe UI"/>
        <family val="2"/>
      </rPr>
      <t>Rs million</t>
    </r>
    <r>
      <rPr>
        <sz val="11"/>
        <color rgb="FF002060"/>
        <rFont val="Segoe UI"/>
        <family val="2"/>
      </rPr>
      <t>)</t>
    </r>
    <r>
      <rPr>
        <vertAlign val="superscript"/>
        <sz val="11"/>
        <color rgb="FF002060"/>
        <rFont val="Segoe UI"/>
        <family val="2"/>
      </rPr>
      <t>1</t>
    </r>
  </si>
  <si>
    <r>
      <t xml:space="preserve">Average Value of Transactions </t>
    </r>
    <r>
      <rPr>
        <vertAlign val="superscript"/>
        <sz val="11"/>
        <color rgb="FF002060"/>
        <rFont val="Segoe UI"/>
        <family val="2"/>
      </rPr>
      <t xml:space="preserve">2 </t>
    </r>
    <r>
      <rPr>
        <sz val="11"/>
        <color rgb="FF002060"/>
        <rFont val="Segoe UI"/>
        <family val="2"/>
      </rPr>
      <t>(</t>
    </r>
    <r>
      <rPr>
        <i/>
        <sz val="11"/>
        <color rgb="FF002060"/>
        <rFont val="Segoe UI"/>
        <family val="2"/>
      </rPr>
      <t>Rs million</t>
    </r>
    <r>
      <rPr>
        <sz val="11"/>
        <color rgb="FF002060"/>
        <rFont val="Segoe UI"/>
        <family val="2"/>
      </rPr>
      <t xml:space="preserve">) </t>
    </r>
  </si>
  <si>
    <r>
      <rPr>
        <i/>
        <vertAlign val="superscript"/>
        <sz val="10"/>
        <color rgb="FF002060"/>
        <rFont val="Segoe UI"/>
        <family val="2"/>
      </rPr>
      <t xml:space="preserve">1 </t>
    </r>
    <r>
      <rPr>
        <i/>
        <sz val="10"/>
        <color rgb="FF002060"/>
        <rFont val="Segoe UI"/>
        <family val="2"/>
      </rPr>
      <t>Revised</t>
    </r>
  </si>
  <si>
    <r>
      <rPr>
        <i/>
        <vertAlign val="superscript"/>
        <sz val="10"/>
        <color rgb="FF002060"/>
        <rFont val="Segoe UI"/>
        <family val="2"/>
      </rPr>
      <t xml:space="preserve">2 </t>
    </r>
    <r>
      <rPr>
        <i/>
        <sz val="10"/>
        <color rgb="FF002060"/>
        <rFont val="Segoe UI"/>
        <family val="2"/>
      </rPr>
      <t>Average monthly transactions from the start of the calendar year.</t>
    </r>
  </si>
  <si>
    <r>
      <t xml:space="preserve">Table 33: Mobile Banking and Mobile Payments </t>
    </r>
    <r>
      <rPr>
        <b/>
        <vertAlign val="superscript"/>
        <sz val="12"/>
        <color rgb="FF002060"/>
        <rFont val="Segoe UI"/>
        <family val="2"/>
      </rPr>
      <t>1&amp;2</t>
    </r>
    <r>
      <rPr>
        <b/>
        <sz val="12"/>
        <color rgb="FF002060"/>
        <rFont val="Segoe UI"/>
        <family val="2"/>
      </rPr>
      <t xml:space="preserve">:  August 2022 to August 2023 </t>
    </r>
  </si>
  <si>
    <t>Number of subscribers</t>
  </si>
  <si>
    <t>Number of active agent outlets</t>
  </si>
  <si>
    <t>Number of transactions</t>
  </si>
  <si>
    <r>
      <t>Value of transactions (</t>
    </r>
    <r>
      <rPr>
        <i/>
        <sz val="11"/>
        <color rgb="FF002060"/>
        <rFont val="Segoe UI"/>
        <family val="2"/>
      </rPr>
      <t>Rs million</t>
    </r>
    <r>
      <rPr>
        <sz val="11"/>
        <color rgb="FF002060"/>
        <rFont val="Segoe UI"/>
        <family val="2"/>
      </rPr>
      <t>)</t>
    </r>
  </si>
  <si>
    <r>
      <rPr>
        <i/>
        <vertAlign val="superscript"/>
        <sz val="10"/>
        <color rgb="FF002060"/>
        <rFont val="Segoe UI"/>
        <family val="2"/>
      </rPr>
      <t>1</t>
    </r>
    <r>
      <rPr>
        <i/>
        <sz val="10"/>
        <color rgb="FF002060"/>
        <rFont val="Segoe UI"/>
        <family val="2"/>
      </rPr>
      <t xml:space="preserve"> Renamed, previously known as Mobile Transactions.</t>
    </r>
  </si>
  <si>
    <r>
      <rPr>
        <i/>
        <vertAlign val="superscript"/>
        <sz val="10"/>
        <color rgb="FF002060"/>
        <rFont val="Segoe UI"/>
        <family val="2"/>
      </rPr>
      <t>2</t>
    </r>
    <r>
      <rPr>
        <i/>
        <sz val="10"/>
        <color rgb="FF002060"/>
        <rFont val="Segoe UI"/>
        <family val="2"/>
      </rPr>
      <t xml:space="preserve"> Include non-bank entities.</t>
    </r>
  </si>
  <si>
    <r>
      <rPr>
        <i/>
        <vertAlign val="superscript"/>
        <sz val="10"/>
        <color rgb="FF002060"/>
        <rFont val="Segoe UI"/>
        <family val="2"/>
      </rPr>
      <t>2</t>
    </r>
    <r>
      <rPr>
        <i/>
        <sz val="10"/>
        <color rgb="FF002060"/>
        <rFont val="Segoe UI"/>
        <family val="2"/>
      </rPr>
      <t xml:space="preserve"> restated figures for  January 2017.</t>
    </r>
  </si>
  <si>
    <t>Source: Supervision Department.</t>
  </si>
  <si>
    <t>: Zoya Aungraheeta</t>
  </si>
  <si>
    <t>: Itranjan Seetohul / Mehisha Luchmadu</t>
  </si>
  <si>
    <t>: C Rutah</t>
  </si>
  <si>
    <t>: Supervision</t>
  </si>
  <si>
    <r>
      <t xml:space="preserve">Table 34: Assets and Liabilities of Non-Bank Deposit Taking Leasing Companies </t>
    </r>
    <r>
      <rPr>
        <b/>
        <vertAlign val="superscript"/>
        <sz val="12"/>
        <color rgb="FF002060"/>
        <rFont val="Segoe UI"/>
        <family val="2"/>
      </rPr>
      <t>1</t>
    </r>
    <r>
      <rPr>
        <b/>
        <sz val="12"/>
        <color rgb="FF002060"/>
        <rFont val="Segoe UI"/>
        <family val="2"/>
      </rPr>
      <t>: August 2022 - August 2023</t>
    </r>
  </si>
  <si>
    <t>ASSETS</t>
  </si>
  <si>
    <r>
      <t>Jun-19</t>
    </r>
    <r>
      <rPr>
        <b/>
        <vertAlign val="superscript"/>
        <sz val="10.5"/>
        <color rgb="FF002060"/>
        <rFont val="Segoe UI"/>
        <family val="2"/>
      </rPr>
      <t>4</t>
    </r>
  </si>
  <si>
    <t xml:space="preserve">Liquid Assets </t>
  </si>
  <si>
    <t>Investment in Leased Assets</t>
  </si>
  <si>
    <t>Investment in Shares &amp; Securities</t>
  </si>
  <si>
    <t>Loans</t>
  </si>
  <si>
    <t>Fixed Assets</t>
  </si>
  <si>
    <t>Other Assets</t>
  </si>
  <si>
    <t>TOTAL ASSETS</t>
  </si>
  <si>
    <t>LIABILITIES</t>
  </si>
  <si>
    <t>Share Capital (including share premium)</t>
  </si>
  <si>
    <t>Reserves and Surplus</t>
  </si>
  <si>
    <t>Shareholders' Loan</t>
  </si>
  <si>
    <r>
      <t xml:space="preserve"> 1,219.1  </t>
    </r>
    <r>
      <rPr>
        <vertAlign val="superscript"/>
        <sz val="11"/>
        <color rgb="FF002060"/>
        <rFont val="Calibri"/>
        <family val="2"/>
      </rPr>
      <t>2</t>
    </r>
  </si>
  <si>
    <t>Net income / (expenditure) for current year</t>
  </si>
  <si>
    <t>Deposits and Long-Term Liabilities</t>
  </si>
  <si>
    <t xml:space="preserve">  o/w: Deposits</t>
  </si>
  <si>
    <t>Borrowings</t>
  </si>
  <si>
    <t>Other Liabilities</t>
  </si>
  <si>
    <t>TOTAL LIABILITIES</t>
  </si>
  <si>
    <r>
      <rPr>
        <i/>
        <vertAlign val="superscript"/>
        <sz val="10"/>
        <color rgb="FF002060"/>
        <rFont val="Segoe UI"/>
        <family val="2"/>
      </rPr>
      <t>1</t>
    </r>
    <r>
      <rPr>
        <i/>
        <sz val="10"/>
        <color rgb="FF002060"/>
        <rFont val="Segoe UI"/>
        <family val="2"/>
      </rPr>
      <t>Include all Non-Bank Deposit Taking Institutions other than Mauritius Housing Company Ltd and The Mauritius Civil Service Mutual Aid Association Ltd.</t>
    </r>
  </si>
  <si>
    <r>
      <t>Table 35: Consolidated Quarterly Profit and Loss Statement of Non-Bank Deposit Taking Leasing Companies</t>
    </r>
    <r>
      <rPr>
        <b/>
        <vertAlign val="superscript"/>
        <sz val="12"/>
        <color rgb="FF002060"/>
        <rFont val="Segoe UI"/>
        <family val="2"/>
      </rPr>
      <t>1</t>
    </r>
    <r>
      <rPr>
        <b/>
        <sz val="12"/>
        <color rgb="FF002060"/>
        <rFont val="Segoe UI"/>
        <family val="2"/>
      </rPr>
      <t>: December 2018 - June 2023</t>
    </r>
  </si>
  <si>
    <t>Mar-22</t>
  </si>
  <si>
    <t>Jun-22</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</si>
  <si>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</si>
  <si>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</si>
  <si>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</si>
  <si>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</si>
  <si>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</si>
  <si>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</si>
  <si>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</si>
  <si>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</si>
  <si>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</si>
  <si>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</si>
  <si>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</si>
  <si>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</si>
  <si>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</si>
  <si>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</si>
  <si>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</si>
  <si>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r>
      <rPr>
        <i/>
        <vertAlign val="superscript"/>
        <sz val="10"/>
        <color rgb="FF002060"/>
        <rFont val="Segoe UI"/>
        <family val="2"/>
      </rPr>
      <t>1</t>
    </r>
    <r>
      <rPr>
        <i/>
        <sz val="10"/>
        <color rgb="FF002060"/>
        <rFont val="Segoe UI"/>
        <family val="2"/>
      </rPr>
      <t xml:space="preserve"> Include all Non-Bank Deposit Taking Institutions other than Mauritius Housing Company Ltd and The Mauritius Civil Service Mutual Aid Association Ltd.</t>
    </r>
  </si>
  <si>
    <t>Figures may not add up to totals due to rounding up.</t>
  </si>
  <si>
    <t>Table 36: Sectorwise Distribution of Credit to Non Residents: June 2023</t>
  </si>
  <si>
    <t>SECTORS</t>
  </si>
  <si>
    <t>Overdrafts</t>
  </si>
  <si>
    <t>Foreign Bills Purchased &amp; Discounted</t>
  </si>
  <si>
    <t>Bills Receivable</t>
  </si>
  <si>
    <t>Investment in Foreign Securities</t>
  </si>
  <si>
    <t>Corporate Shares</t>
  </si>
  <si>
    <t>Debentures</t>
  </si>
  <si>
    <t>Corporate Bonds</t>
  </si>
  <si>
    <t>Other Debt Securities</t>
  </si>
  <si>
    <t>Wholesale and retail trade; and repair of motor vehicles and motorcycles</t>
  </si>
  <si>
    <t>Households</t>
  </si>
  <si>
    <t>Other institutional sectors*</t>
  </si>
  <si>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</si>
  <si>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t>Table 37a: Auctions of Government of Mauritius Treasury Bills: August and September 2023</t>
  </si>
  <si>
    <t xml:space="preserve">        (Rs million)</t>
  </si>
  <si>
    <t>Date</t>
  </si>
  <si>
    <t xml:space="preserve">Amount of Bills put on Tender </t>
  </si>
  <si>
    <t>Value of Bids Received</t>
  </si>
  <si>
    <t>Value of Bids Accepted</t>
  </si>
  <si>
    <t xml:space="preserve">Value of Bills Maturing </t>
  </si>
  <si>
    <t>Net Issue of Bills (3 - 4)</t>
  </si>
  <si>
    <t>Table 37b: Auctions of Government of Mauritius Treasury Bills: September 2022 to September 2023</t>
  </si>
  <si>
    <t>Amount of Bills put on Tender</t>
  </si>
  <si>
    <t>Total Value of Bids Received</t>
  </si>
  <si>
    <t xml:space="preserve">     91-day</t>
  </si>
  <si>
    <t xml:space="preserve">    182-day</t>
  </si>
  <si>
    <t xml:space="preserve">    364-day</t>
  </si>
  <si>
    <t>Total Value of Bids Accepted</t>
  </si>
  <si>
    <t>Table 38a: Auctions of Bank of Mauritius Bills: August and September 2023</t>
  </si>
  <si>
    <t xml:space="preserve">                (Rs million)</t>
  </si>
  <si>
    <t>Table 38b: Auctions of Bank of Mauritius Bills: September 2022 to September 2023</t>
  </si>
  <si>
    <t>Note: Effective 12 May 2017, GMTBs and BOM Bills are issued through separate auctions.</t>
  </si>
  <si>
    <t>Note: Under the New Monetary Policy Framework, BOM Bills are issued to all banks.</t>
  </si>
  <si>
    <t xml:space="preserve">        </t>
  </si>
  <si>
    <t>Table 39a: Weighted Average Yields on Government of Mauritius Treasury Bills/Bank of Mauritius Bills: September 2023</t>
  </si>
  <si>
    <t>(Per cent per annum)</t>
  </si>
  <si>
    <t>Auctions held on</t>
  </si>
  <si>
    <t>Weighted Yield for :</t>
  </si>
  <si>
    <t xml:space="preserve">91-day </t>
  </si>
  <si>
    <t xml:space="preserve">182-day </t>
  </si>
  <si>
    <t xml:space="preserve">364-day </t>
  </si>
  <si>
    <t>Table 39b: Weighted Average Yields on Government of Mauritius Treasury Bills/Bank of Mauritius Bills: September 2022 to September 2023</t>
  </si>
  <si>
    <t>Weighted Average Yield</t>
  </si>
  <si>
    <t>Overall Weighted Yield</t>
  </si>
  <si>
    <t xml:space="preserve">Table 40a: Auctions of Government of Mauritius Notes and Bonds </t>
  </si>
  <si>
    <t>Three-Year Government of Mauritius Treasury Notes</t>
  </si>
  <si>
    <t>Five-Year Government of Mauritius  Bonds</t>
  </si>
  <si>
    <t>Seven-Year Government of Mauritius  Bonds</t>
  </si>
  <si>
    <t>Ten-Year Government of Mauritius  Bonds</t>
  </si>
  <si>
    <t>Fifteen-Year Government of Mauritius Bonds</t>
  </si>
  <si>
    <t>Twenty-Year Government of Mauritius Bonds</t>
  </si>
  <si>
    <r>
      <t>25-Aug-23</t>
    </r>
    <r>
      <rPr>
        <b/>
        <vertAlign val="superscript"/>
        <sz val="11"/>
        <color rgb="FF002060"/>
        <rFont val="Segoe UI"/>
        <family val="2"/>
      </rPr>
      <t>1</t>
    </r>
  </si>
  <si>
    <r>
      <t>22-Sep-23</t>
    </r>
    <r>
      <rPr>
        <b/>
        <vertAlign val="superscript"/>
        <sz val="11"/>
        <color rgb="FF002060"/>
        <rFont val="Segoe UI"/>
        <family val="2"/>
      </rPr>
      <t>1</t>
    </r>
  </si>
  <si>
    <r>
      <t>10-Mar-23</t>
    </r>
    <r>
      <rPr>
        <b/>
        <vertAlign val="superscript"/>
        <sz val="11"/>
        <color rgb="FF002060"/>
        <rFont val="Segoe UI"/>
        <family val="2"/>
      </rPr>
      <t>2</t>
    </r>
  </si>
  <si>
    <r>
      <t>02-Jun-23</t>
    </r>
    <r>
      <rPr>
        <b/>
        <vertAlign val="superscript"/>
        <sz val="11"/>
        <color rgb="FF002060"/>
        <rFont val="Segoe UI"/>
        <family val="2"/>
      </rPr>
      <t>3</t>
    </r>
  </si>
  <si>
    <r>
      <t>08-Jun-23</t>
    </r>
    <r>
      <rPr>
        <b/>
        <vertAlign val="superscript"/>
        <sz val="11"/>
        <color rgb="FF002060"/>
        <rFont val="Segoe UI"/>
        <family val="2"/>
      </rPr>
      <t>3</t>
    </r>
  </si>
  <si>
    <t xml:space="preserve">Amount of Securities put on Tender </t>
  </si>
  <si>
    <r>
      <t xml:space="preserve">Value of Bids Received </t>
    </r>
    <r>
      <rPr>
        <i/>
        <sz val="11"/>
        <color rgb="FF002060"/>
        <rFont val="Segoe UI"/>
        <family val="2"/>
      </rPr>
      <t>(Rs million)</t>
    </r>
  </si>
  <si>
    <r>
      <t>Value of Bids Accepted</t>
    </r>
    <r>
      <rPr>
        <sz val="11"/>
        <color rgb="FF002060"/>
        <rFont val="Segoe UI"/>
        <family val="2"/>
      </rPr>
      <t xml:space="preserve"> </t>
    </r>
    <r>
      <rPr>
        <i/>
        <sz val="11"/>
        <color rgb="FF002060"/>
        <rFont val="Segoe UI"/>
        <family val="2"/>
      </rPr>
      <t>(Rs million)</t>
    </r>
  </si>
  <si>
    <r>
      <t>Coupon Rate</t>
    </r>
    <r>
      <rPr>
        <b/>
        <i/>
        <sz val="11"/>
        <color rgb="FF002060"/>
        <rFont val="Segoe UI"/>
        <family val="2"/>
      </rPr>
      <t xml:space="preserve"> </t>
    </r>
    <r>
      <rPr>
        <i/>
        <sz val="11"/>
        <color rgb="FF002060"/>
        <rFont val="Segoe UI"/>
        <family val="2"/>
      </rPr>
      <t>(% p.a.)</t>
    </r>
  </si>
  <si>
    <r>
      <t xml:space="preserve">Highest Yield Accepted </t>
    </r>
    <r>
      <rPr>
        <i/>
        <sz val="11"/>
        <color rgb="FF002060"/>
        <rFont val="Segoe UI"/>
        <family val="2"/>
      </rPr>
      <t>(% p.a.)</t>
    </r>
  </si>
  <si>
    <r>
      <t>Weighted Yield on Bids Accepted</t>
    </r>
    <r>
      <rPr>
        <b/>
        <i/>
        <sz val="11"/>
        <color rgb="FF002060"/>
        <rFont val="Segoe UI"/>
        <family val="2"/>
      </rPr>
      <t xml:space="preserve"> </t>
    </r>
    <r>
      <rPr>
        <i/>
        <sz val="11"/>
        <color rgb="FF002060"/>
        <rFont val="Segoe UI"/>
        <family val="2"/>
      </rPr>
      <t>(% p.a.)</t>
    </r>
  </si>
  <si>
    <r>
      <t xml:space="preserve">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</si>
  <si>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 xml:space="preserve"> Re-Opening 3.68% 3-Year Government of Mauritius Treasury Notes maturing on 28 July 2026.</t>
    </r>
  </si>
  <si>
    <r>
      <rPr>
        <i/>
        <vertAlign val="superscript"/>
        <sz val="10"/>
        <color rgb="FF002060"/>
        <rFont val="Segoe UI"/>
        <family val="2"/>
      </rPr>
      <t>2</t>
    </r>
    <r>
      <rPr>
        <i/>
        <sz val="10"/>
        <color rgb="FF002060"/>
        <rFont val="Segoe UI"/>
        <family val="2"/>
      </rPr>
      <t xml:space="preserve"> Re-Opening 5.12% 5-Year Government of Mauritius Bonds maturing on 13 January 2028.</t>
    </r>
  </si>
  <si>
    <r>
      <rPr>
        <i/>
        <vertAlign val="superscript"/>
        <sz val="10"/>
        <color rgb="FF002060"/>
        <rFont val="Segoe UI"/>
        <family val="2"/>
      </rPr>
      <t>3</t>
    </r>
    <r>
      <rPr>
        <i/>
        <sz val="10"/>
        <color rgb="FF002060"/>
        <rFont val="Segoe UI"/>
        <family val="2"/>
      </rPr>
      <t xml:space="preserve"> Re-Opening 4.95% 7-Year Government of Mauritius Bonds maturing on 7 April 2030.</t>
    </r>
  </si>
  <si>
    <t xml:space="preserve">Table 40b: Buyback Auction of Government of Mauritius Securities </t>
  </si>
  <si>
    <t>21 February 2022 Rs500 mn</t>
  </si>
  <si>
    <t>25 March 2022  Rs500 mn</t>
  </si>
  <si>
    <t>19 April 2022    Rs500 mn</t>
  </si>
  <si>
    <t>6 May 2022      Rs500 mn</t>
  </si>
  <si>
    <r>
      <t xml:space="preserve">2Y-GMTNotes </t>
    </r>
    <r>
      <rPr>
        <b/>
        <vertAlign val="superscript"/>
        <sz val="11"/>
        <color rgb="FF002060"/>
        <rFont val="Segoe UI"/>
        <family val="2"/>
      </rPr>
      <t>1</t>
    </r>
  </si>
  <si>
    <r>
      <t xml:space="preserve"> Value of Bids Received </t>
    </r>
    <r>
      <rPr>
        <i/>
        <sz val="11"/>
        <color rgb="FF002060"/>
        <rFont val="Segoe UI"/>
        <family val="2"/>
      </rPr>
      <t>(Rs million)</t>
    </r>
  </si>
  <si>
    <t>Nil</t>
  </si>
  <si>
    <r>
      <t xml:space="preserve"> Value of Bids Accepted</t>
    </r>
    <r>
      <rPr>
        <i/>
        <sz val="11"/>
        <color rgb="FF002060"/>
        <rFont val="Segoe UI"/>
        <family val="2"/>
      </rPr>
      <t xml:space="preserve"> (Rs million)</t>
    </r>
  </si>
  <si>
    <t xml:space="preserve"> Highest Price Accepted</t>
  </si>
  <si>
    <t xml:space="preserve"> Weighted Price of Bids Accepted </t>
  </si>
  <si>
    <r>
      <rPr>
        <i/>
        <vertAlign val="superscript"/>
        <sz val="10"/>
        <color rgb="FF002060"/>
        <rFont val="Segoe UI"/>
        <family val="2"/>
      </rPr>
      <t>1</t>
    </r>
    <r>
      <rPr>
        <i/>
        <sz val="10"/>
        <color rgb="FF002060"/>
        <rFont val="Segoe UI"/>
        <family val="2"/>
      </rPr>
      <t xml:space="preserve"> 0.72% 2-Year Government of Mauritius Treasury Notes due on 12 June 2022.</t>
    </r>
  </si>
  <si>
    <t>Table 41a: Issue of 7-Day Bank of Mauritius Bills: August and September 2023</t>
  </si>
  <si>
    <t>Issue Date</t>
  </si>
  <si>
    <r>
      <t xml:space="preserve">Tender Amount </t>
    </r>
    <r>
      <rPr>
        <i/>
        <sz val="11"/>
        <color rgb="FF002060"/>
        <rFont val="Segoe UI"/>
        <family val="2"/>
      </rPr>
      <t>(Rs million)</t>
    </r>
  </si>
  <si>
    <r>
      <t xml:space="preserve">Amount Received </t>
    </r>
    <r>
      <rPr>
        <i/>
        <sz val="11"/>
        <color rgb="FF002060"/>
        <rFont val="Segoe UI"/>
        <family val="2"/>
      </rPr>
      <t>(Rs million)</t>
    </r>
  </si>
  <si>
    <r>
      <t>Amount Accepted</t>
    </r>
    <r>
      <rPr>
        <i/>
        <sz val="11"/>
        <color rgb="FF002060"/>
        <rFont val="Segoe UI"/>
        <family val="2"/>
      </rPr>
      <t xml:space="preserve"> (Rs million)</t>
    </r>
  </si>
  <si>
    <r>
      <t xml:space="preserve">Yield </t>
    </r>
    <r>
      <rPr>
        <i/>
        <sz val="11"/>
        <color rgb="FF002060"/>
        <rFont val="Segoe UI"/>
        <family val="2"/>
      </rPr>
      <t xml:space="preserve">(% p.a) </t>
    </r>
  </si>
  <si>
    <r>
      <t xml:space="preserve">Price  </t>
    </r>
    <r>
      <rPr>
        <i/>
        <sz val="11"/>
        <color rgb="FF002060"/>
        <rFont val="Segoe UI"/>
        <family val="2"/>
      </rPr>
      <t>(%)</t>
    </r>
  </si>
  <si>
    <t>Note: Effective 07 July 2023, 7-Day Bank of Mauritius Bills are issued at the Key Rate on tender basis.</t>
  </si>
  <si>
    <t>Table 41b: Issue of Bank of Mauritius Notes: September 2023</t>
  </si>
  <si>
    <t>Two-Year BOM Notes</t>
  </si>
  <si>
    <r>
      <t>Highest Yield Accepted</t>
    </r>
    <r>
      <rPr>
        <sz val="11"/>
        <color rgb="FF002060"/>
        <rFont val="Segoe UI"/>
        <family val="2"/>
      </rPr>
      <t xml:space="preserve"> </t>
    </r>
    <r>
      <rPr>
        <i/>
        <sz val="11"/>
        <color rgb="FF002060"/>
        <rFont val="Segoe UI"/>
        <family val="2"/>
      </rPr>
      <t>(% p.a.)</t>
    </r>
  </si>
  <si>
    <r>
      <t xml:space="preserve">Weighted Yield on Bids Accepted </t>
    </r>
    <r>
      <rPr>
        <i/>
        <sz val="11"/>
        <color rgb="FF002060"/>
        <rFont val="Segoe UI"/>
        <family val="2"/>
      </rPr>
      <t>(% p.a.)</t>
    </r>
  </si>
  <si>
    <t>Table 42: Overnight Standing Facility: January 2023 to September 2023</t>
  </si>
  <si>
    <t xml:space="preserve">Period </t>
  </si>
  <si>
    <t xml:space="preserve">Overnight Deposit Facility </t>
  </si>
  <si>
    <t xml:space="preserve">Overnight Lending Facility </t>
  </si>
  <si>
    <t>Cumulative Amount                   (Rs million)</t>
  </si>
  <si>
    <t>Rate (% p.a.)</t>
  </si>
  <si>
    <t>01 Sep</t>
  </si>
  <si>
    <t>04-08 Sep</t>
  </si>
  <si>
    <t>11-15 Sep</t>
  </si>
  <si>
    <t>18-22 Sep</t>
  </si>
  <si>
    <t>25-29 Sep</t>
  </si>
  <si>
    <t>3.00-3.50</t>
  </si>
  <si>
    <t>Effective 07 July 2023, the Overnight Deposit/ Lending Facility is available at the Key Rate (-/+) 150 basis points.</t>
  </si>
  <si>
    <t>Table 43: Outstanding Government of Mauritius Securities:  September 2022 to September 2023</t>
  </si>
  <si>
    <t xml:space="preserve">Treasury Bills  </t>
  </si>
  <si>
    <t>Treasury Certificates</t>
  </si>
  <si>
    <t>Treasury Notes</t>
  </si>
  <si>
    <t>5-Year GoM Bonds</t>
  </si>
  <si>
    <t xml:space="preserve">GOM Bonds  </t>
  </si>
  <si>
    <t>Silver Bonds</t>
  </si>
  <si>
    <t>Source: Accounting and Budgeting Division.</t>
  </si>
  <si>
    <t>Table 44: Maturity Structure of Government of Mauritius Securities outstanding at end September 2023</t>
  </si>
  <si>
    <t>GOM Bonds</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</si>
  <si>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</si>
  <si>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</si>
  <si>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</si>
  <si>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</si>
  <si>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</si>
  <si>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</si>
  <si>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</si>
  <si>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</si>
  <si>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</si>
  <si>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</si>
  <si>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</si>
  <si>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</si>
  <si>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</si>
  <si>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</si>
  <si>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</si>
  <si>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</si>
  <si>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</si>
  <si>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</si>
  <si>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</si>
  <si>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</si>
  <si>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 xml:space="preserve">Figures include: </t>
  </si>
  <si>
    <t>Government of Mauritius Silver Retirement and Savings Bonds with no fixed maturity date.</t>
  </si>
  <si>
    <t>Table 45a: Secondary Market Transactions by Counterparty: September 2023</t>
  </si>
  <si>
    <t>Number of</t>
  </si>
  <si>
    <t xml:space="preserve">Turnover </t>
  </si>
  <si>
    <t>Banks</t>
  </si>
  <si>
    <t>Primary Dealers</t>
  </si>
  <si>
    <t>Non-Primary Dealer Banks</t>
  </si>
  <si>
    <t>Non-Bank Financial Institutions</t>
  </si>
  <si>
    <t>Pensions Funds</t>
  </si>
  <si>
    <t>Insurance Companies</t>
  </si>
  <si>
    <t>Non-Financial Institutions</t>
  </si>
  <si>
    <t>Individuals</t>
  </si>
  <si>
    <t>Table 45b: Weekly Secondary Market Transactions: September 2023</t>
  </si>
  <si>
    <t>Value</t>
  </si>
  <si>
    <t>Table 45c: Secondary Market Yields by Residual Days to Maturity: September 2023</t>
  </si>
  <si>
    <t>Residual days to maturity</t>
  </si>
  <si>
    <t xml:space="preserve">Amount traded </t>
  </si>
  <si>
    <t xml:space="preserve">Range </t>
  </si>
  <si>
    <t xml:space="preserve">  (Rs million)</t>
  </si>
  <si>
    <t>(Per cent)</t>
  </si>
  <si>
    <t>Up to 91 days</t>
  </si>
  <si>
    <t>2.99-4.35</t>
  </si>
  <si>
    <t>Between 92 and 182 days</t>
  </si>
  <si>
    <t>3.10-3.35</t>
  </si>
  <si>
    <t>Between 183 and 364 days</t>
  </si>
  <si>
    <t>3.20-3.48</t>
  </si>
  <si>
    <t>Between 1 and 3 years</t>
  </si>
  <si>
    <t>3.30-3.78</t>
  </si>
  <si>
    <t>Between 3 and 5 years</t>
  </si>
  <si>
    <t>3.70-4.15</t>
  </si>
  <si>
    <t>Between 5 and 10 years</t>
  </si>
  <si>
    <t>4.15-4.37</t>
  </si>
  <si>
    <t>More than 10 years</t>
  </si>
  <si>
    <t>4.45-4.82</t>
  </si>
  <si>
    <t>2.99-4.82</t>
  </si>
  <si>
    <t>Table 46: Secondary Market Activity: September 2022 to September 2023</t>
  </si>
  <si>
    <r>
      <t xml:space="preserve">Holdings of SMC </t>
    </r>
    <r>
      <rPr>
        <b/>
        <vertAlign val="superscript"/>
        <sz val="12"/>
        <color rgb="FF002060"/>
        <rFont val="Segoe UI"/>
        <family val="2"/>
      </rPr>
      <t>1</t>
    </r>
    <r>
      <rPr>
        <b/>
        <sz val="12"/>
        <color rgb="FF002060"/>
        <rFont val="Segoe UI"/>
        <family val="2"/>
      </rPr>
      <t xml:space="preserve"> as at end of period</t>
    </r>
  </si>
  <si>
    <t>Total amount of secondary market transactions</t>
  </si>
  <si>
    <t>4-8 Sep</t>
  </si>
  <si>
    <r>
      <t xml:space="preserve">1 </t>
    </r>
    <r>
      <rPr>
        <i/>
        <sz val="10"/>
        <color rgb="FF002060"/>
        <rFont val="Segoe UI"/>
        <family val="2"/>
      </rPr>
      <t xml:space="preserve">SMC: Secondary Market Cell of the Bank of Mauritius.  </t>
    </r>
    <r>
      <rPr>
        <i/>
        <vertAlign val="superscript"/>
        <sz val="9"/>
        <rFont val="Arial"/>
        <family val="2"/>
      </rPr>
      <t/>
    </r>
  </si>
  <si>
    <r>
      <t xml:space="preserve"> </t>
    </r>
    <r>
      <rPr>
        <i/>
        <sz val="10"/>
        <color rgb="FF002060"/>
        <rFont val="Segoe UI"/>
        <family val="2"/>
      </rPr>
      <t>Figures may not add up to totals due to rounding.</t>
    </r>
  </si>
  <si>
    <t>Source:  Accounting and Budgeting Division.</t>
  </si>
  <si>
    <t>Table 47a: Overnight Transactions on the Interbank Money Market: January 2023 to September 2023</t>
  </si>
  <si>
    <t>Total Amount Transacted</t>
  </si>
  <si>
    <r>
      <t>Daily Average</t>
    </r>
    <r>
      <rPr>
        <b/>
        <vertAlign val="superscript"/>
        <sz val="11"/>
        <color rgb="FF002060"/>
        <rFont val="Segoe UI"/>
        <family val="2"/>
      </rPr>
      <t>1</t>
    </r>
  </si>
  <si>
    <t>Range of Interbank Rates</t>
  </si>
  <si>
    <t>Weighted Average Interest Rate</t>
  </si>
  <si>
    <t>01-07 Sep</t>
  </si>
  <si>
    <t>08-14 Sep</t>
  </si>
  <si>
    <t>15-21 Sep</t>
  </si>
  <si>
    <t>22-28 Sep</t>
  </si>
  <si>
    <t>29-30 Sep</t>
  </si>
  <si>
    <t>4.10-4.50</t>
  </si>
  <si>
    <t>4.40-4.50</t>
  </si>
  <si>
    <t>3.75-4.50</t>
  </si>
  <si>
    <t>4.00-4.50</t>
  </si>
  <si>
    <t>4.25-4.50</t>
  </si>
  <si>
    <t>4.25-4.35</t>
  </si>
  <si>
    <t>3.10-3.25</t>
  </si>
  <si>
    <r>
      <rPr>
        <i/>
        <vertAlign val="superscript"/>
        <sz val="10"/>
        <color rgb="FF002060"/>
        <rFont val="Segoe UI"/>
        <family val="2"/>
      </rPr>
      <t>1</t>
    </r>
    <r>
      <rPr>
        <i/>
        <sz val="10"/>
        <color rgb="FF002060"/>
        <rFont val="Segoe UI"/>
        <family val="2"/>
      </rPr>
      <t xml:space="preserve"> For transactions days only.</t>
    </r>
  </si>
  <si>
    <t>Table 47b: Transactions on the Interbank Money Market: September 2022 to September 2023</t>
  </si>
  <si>
    <t>Amount Transacted</t>
  </si>
  <si>
    <t>Daily</t>
  </si>
  <si>
    <t>Range of</t>
  </si>
  <si>
    <t>Interbank</t>
  </si>
  <si>
    <r>
      <t>Average</t>
    </r>
    <r>
      <rPr>
        <b/>
        <vertAlign val="superscript"/>
        <sz val="11"/>
        <color rgb="FF002060"/>
        <rFont val="Segoe UI"/>
        <family val="2"/>
      </rPr>
      <t>1</t>
    </r>
  </si>
  <si>
    <t xml:space="preserve">Interbank </t>
  </si>
  <si>
    <t>W.A.I</t>
  </si>
  <si>
    <t>Lowest</t>
  </si>
  <si>
    <t>Highest</t>
  </si>
  <si>
    <t xml:space="preserve"> Rates  </t>
  </si>
  <si>
    <r>
      <t>Rate</t>
    </r>
    <r>
      <rPr>
        <b/>
        <vertAlign val="superscript"/>
        <sz val="11"/>
        <color rgb="FF002060"/>
        <rFont val="Segoe UI"/>
        <family val="2"/>
      </rPr>
      <t>2</t>
    </r>
  </si>
  <si>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</si>
  <si>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</si>
  <si>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</si>
  <si>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</si>
  <si>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</si>
  <si>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</si>
  <si>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</si>
  <si>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</si>
  <si>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</si>
  <si>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</si>
  <si>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</si>
  <si>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</si>
  <si>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</si>
  <si>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</si>
  <si>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</si>
  <si>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</si>
  <si>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</si>
  <si>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</si>
  <si>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</si>
  <si>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</si>
  <si>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</si>
  <si>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</si>
  <si>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</si>
  <si>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5.50-6.75</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</si>
  <si>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</si>
  <si>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</si>
  <si>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</si>
  <si>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</si>
  <si>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</si>
  <si>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</si>
  <si>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</si>
  <si>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</si>
  <si>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</si>
  <si>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</si>
  <si>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</si>
  <si>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</si>
  <si>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</si>
  <si>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</si>
  <si>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</si>
  <si>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</si>
  <si>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</si>
  <si>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</si>
  <si>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</si>
  <si>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</si>
  <si>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</si>
  <si>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</si>
  <si>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</si>
  <si>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</si>
  <si>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</si>
  <si>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</si>
  <si>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</si>
  <si>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</si>
  <si>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</si>
  <si>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</si>
  <si>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</si>
  <si>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</si>
  <si>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</si>
  <si>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</si>
  <si>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</si>
  <si>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</si>
  <si>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</si>
  <si>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</si>
  <si>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</si>
  <si>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</si>
  <si>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3.50-4.75</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</si>
  <si>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</si>
  <si>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</si>
  <si>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</si>
  <si>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</si>
  <si>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</si>
  <si>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</si>
  <si>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</si>
  <si>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</si>
  <si>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</si>
  <si>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</si>
  <si>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</si>
  <si>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</si>
  <si>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</si>
  <si>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</si>
  <si>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</si>
  <si>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</si>
  <si>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</si>
  <si>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</si>
  <si>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</si>
  <si>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</si>
  <si>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</si>
  <si>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</si>
  <si>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</si>
  <si>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</si>
  <si>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</si>
  <si>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</si>
  <si>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</si>
  <si>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</si>
  <si>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</si>
  <si>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</si>
  <si>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</si>
  <si>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</si>
  <si>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</si>
  <si>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</si>
  <si>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</si>
  <si>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</si>
  <si>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</si>
  <si>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</si>
  <si>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</si>
  <si>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</si>
  <si>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</si>
  <si>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</si>
  <si>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</si>
  <si>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</si>
  <si>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</si>
  <si>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</si>
  <si>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</si>
  <si>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</si>
  <si>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</si>
  <si>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</si>
  <si>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</si>
  <si>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</si>
  <si>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</si>
  <si>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</si>
  <si>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</si>
  <si>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</si>
  <si>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</si>
  <si>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</si>
  <si>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</si>
  <si>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</si>
  <si>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</si>
  <si>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1.55-3.00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</si>
  <si>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</si>
  <si>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</si>
  <si>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</si>
  <si>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</si>
  <si>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</si>
  <si>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</si>
  <si>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</si>
  <si>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</si>
  <si>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</si>
  <si>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</si>
  <si>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</si>
  <si>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</si>
  <si>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</si>
  <si>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</si>
  <si>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</si>
  <si>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</si>
  <si>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</si>
  <si>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</si>
  <si>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</si>
  <si>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</si>
  <si>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</si>
  <si>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</si>
  <si>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</si>
  <si>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</si>
  <si>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</si>
  <si>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</si>
  <si>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</si>
  <si>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</si>
  <si>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</si>
  <si>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</si>
  <si>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</si>
  <si>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</si>
  <si>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</si>
  <si>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</si>
  <si>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</si>
  <si>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1.20-2.00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</si>
  <si>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</si>
  <si>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</si>
  <si>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</si>
  <si>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</si>
  <si>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</si>
  <si>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</si>
  <si>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</si>
  <si>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</si>
  <si>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</si>
  <si>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</si>
  <si>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</si>
  <si>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</si>
  <si>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</si>
  <si>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</si>
  <si>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</si>
  <si>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</si>
  <si>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</si>
  <si>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</si>
  <si>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</si>
  <si>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</si>
  <si>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</si>
  <si>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</si>
  <si>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</si>
  <si>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</si>
  <si>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3.20-3.50</t>
  </si>
  <si>
    <t>3.20-3.70</t>
  </si>
  <si>
    <t>3.20-3.30</t>
  </si>
  <si>
    <t>3.15-5.10</t>
  </si>
  <si>
    <t>3.10-5.10</t>
  </si>
  <si>
    <t>2.95-5.10</t>
  </si>
  <si>
    <t>2.85-5.10</t>
  </si>
  <si>
    <t>2.80-5.10</t>
  </si>
  <si>
    <t>2.50-3.20</t>
  </si>
  <si>
    <t>2.00-2.50</t>
  </si>
  <si>
    <t>2.08-2.20</t>
  </si>
  <si>
    <t>1.90-2.20</t>
  </si>
  <si>
    <t>1.90-2.05</t>
  </si>
  <si>
    <t>1.90-2.25</t>
  </si>
  <si>
    <t>1.60-2.20</t>
  </si>
  <si>
    <t>1.80-2.50</t>
  </si>
  <si>
    <t>1.85-2.50</t>
  </si>
  <si>
    <t>1.30-1.85</t>
  </si>
  <si>
    <t>0.85-1.65</t>
  </si>
  <si>
    <t>0.50-1.65</t>
  </si>
  <si>
    <t>0.50-0.75</t>
  </si>
  <si>
    <t>0.40-0.45</t>
  </si>
  <si>
    <t>0.45-0.64</t>
  </si>
  <si>
    <t>0.35-0.45</t>
  </si>
  <si>
    <t>0.22-0.35</t>
  </si>
  <si>
    <t>0.15-0.20</t>
  </si>
  <si>
    <t>0.12-0.20</t>
  </si>
  <si>
    <t>0.12-0.25</t>
  </si>
  <si>
    <t>0.25-0.45</t>
  </si>
  <si>
    <t>0.25-0.70</t>
  </si>
  <si>
    <t>0.30-2.00</t>
  </si>
  <si>
    <t>0.30-1.50</t>
  </si>
  <si>
    <t>0.25-0.40</t>
  </si>
  <si>
    <t>0.20-0.30</t>
  </si>
  <si>
    <t>0.25-0.33</t>
  </si>
  <si>
    <t>0.30-0.80</t>
  </si>
  <si>
    <t>0.55-0.80</t>
  </si>
  <si>
    <t>0.55-0.75</t>
  </si>
  <si>
    <t>0.75-2.25</t>
  </si>
  <si>
    <t>3.20-4.50</t>
  </si>
  <si>
    <t>4.10-5.00</t>
  </si>
  <si>
    <t>4.40-5.00</t>
  </si>
  <si>
    <t>3.75-4.95</t>
  </si>
  <si>
    <t>4.00-4.70</t>
  </si>
  <si>
    <t>4.25-4.40</t>
  </si>
  <si>
    <t>3.45-4.30</t>
  </si>
  <si>
    <r>
      <rPr>
        <i/>
        <vertAlign val="superscript"/>
        <sz val="10"/>
        <color rgb="FF002060"/>
        <rFont val="Segoe UI"/>
        <family val="2"/>
      </rPr>
      <t>2</t>
    </r>
    <r>
      <rPr>
        <i/>
        <sz val="10"/>
        <color rgb="FF002060"/>
        <rFont val="Segoe UI"/>
        <family val="2"/>
      </rPr>
      <t xml:space="preserve"> Interbank Weighted Average Interest Rate.</t>
    </r>
  </si>
  <si>
    <t>Table 47c: Repo Transactions on the Interbank Money Market: September 2022 to September 2023</t>
  </si>
  <si>
    <r>
      <t xml:space="preserve">Amount 
</t>
    </r>
    <r>
      <rPr>
        <i/>
        <sz val="10"/>
        <color rgb="FF002060"/>
        <rFont val="Segoe UI"/>
        <family val="2"/>
      </rPr>
      <t>(Million)</t>
    </r>
  </si>
  <si>
    <r>
      <t xml:space="preserve">Interest Rate 
</t>
    </r>
    <r>
      <rPr>
        <i/>
        <sz val="10"/>
        <color rgb="FF002060"/>
        <rFont val="Segoe UI"/>
        <family val="2"/>
      </rPr>
      <t>(Per cent per annum)</t>
    </r>
  </si>
  <si>
    <t>MUR</t>
  </si>
  <si>
    <t xml:space="preserve"> Interest Rate applicable as from 21.06.2018.</t>
  </si>
  <si>
    <t>2.7451 1</t>
  </si>
  <si>
    <t>Note: Repo transactions are collateralised by Government of Mauritius/Bank of Mauritius Securities.</t>
  </si>
  <si>
    <t>Table 48: Transactions on the Interbank Foreign Exchange Market: September 2021 to September 2023</t>
  </si>
  <si>
    <t xml:space="preserve">Purchase of  </t>
  </si>
  <si>
    <t xml:space="preserve">Purchase of </t>
  </si>
  <si>
    <t>Total Purchases</t>
  </si>
  <si>
    <r>
      <t xml:space="preserve">Average Interbank Rate </t>
    </r>
    <r>
      <rPr>
        <b/>
        <vertAlign val="superscript"/>
        <sz val="11"/>
        <color rgb="FF002060"/>
        <rFont val="Segoe UI"/>
        <family val="2"/>
      </rPr>
      <t>2</t>
    </r>
  </si>
  <si>
    <t>US$ against</t>
  </si>
  <si>
    <t xml:space="preserve">US$ against </t>
  </si>
  <si>
    <t>US$</t>
  </si>
  <si>
    <t>Rupee</t>
  </si>
  <si>
    <t>Min-Max</t>
  </si>
  <si>
    <t xml:space="preserve">Rupee </t>
  </si>
  <si>
    <t>Other Foreign</t>
  </si>
  <si>
    <r>
      <t xml:space="preserve">Equivalent </t>
    </r>
    <r>
      <rPr>
        <b/>
        <vertAlign val="superscript"/>
        <sz val="11"/>
        <color rgb="FF002060"/>
        <rFont val="Segoe UI"/>
        <family val="2"/>
      </rPr>
      <t>1</t>
    </r>
  </si>
  <si>
    <t>Equivalent</t>
  </si>
  <si>
    <t>Currencies</t>
  </si>
  <si>
    <t>(Rs/US$)</t>
  </si>
  <si>
    <t>01 September</t>
  </si>
  <si>
    <t>04 - 08 September</t>
  </si>
  <si>
    <t>45.2000-46.2300</t>
  </si>
  <si>
    <t>11 - 15 September</t>
  </si>
  <si>
    <t>44.7500-45.6000</t>
  </si>
  <si>
    <t>18 - 22 September</t>
  </si>
  <si>
    <t>44.6297-45.3500</t>
  </si>
  <si>
    <t>25 - 29 September</t>
  </si>
  <si>
    <t>44.4607-45.2600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</si>
  <si>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</si>
  <si>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</si>
  <si>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</si>
  <si>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</si>
  <si>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</si>
  <si>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</si>
  <si>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</si>
  <si>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</si>
  <si>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</si>
  <si>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</si>
  <si>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</si>
  <si>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</si>
  <si>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</si>
  <si>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</si>
  <si>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</si>
  <si>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</si>
  <si>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</si>
  <si>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</si>
  <si>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</si>
  <si>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</si>
  <si>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</si>
  <si>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</si>
  <si>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</si>
  <si>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</si>
  <si>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</si>
  <si>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</si>
  <si>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</si>
  <si>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</si>
  <si>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</si>
  <si>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</si>
  <si>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</si>
  <si>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</si>
  <si>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</si>
  <si>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</si>
  <si>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</si>
  <si>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</si>
  <si>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</si>
  <si>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</si>
  <si>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</si>
  <si>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</si>
  <si>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</si>
  <si>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</si>
  <si>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</si>
  <si>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</si>
  <si>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</si>
  <si>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</si>
  <si>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</si>
  <si>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</si>
  <si>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</si>
  <si>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</si>
  <si>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</si>
  <si>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</si>
  <si>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</si>
  <si>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</si>
  <si>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</si>
  <si>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</si>
  <si>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</si>
  <si>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</si>
  <si>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</si>
  <si>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</si>
  <si>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</si>
  <si>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</si>
  <si>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</si>
  <si>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</si>
  <si>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</si>
  <si>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</si>
  <si>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</si>
  <si>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</si>
  <si>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</si>
  <si>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</si>
  <si>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</si>
  <si>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</si>
  <si>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</si>
  <si>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</si>
  <si>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</si>
  <si>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</si>
  <si>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</si>
  <si>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</si>
  <si>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</si>
  <si>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</si>
  <si>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</si>
  <si>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22.94#</t>
  </si>
  <si>
    <t>28.3500-29.5375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</si>
  <si>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</si>
  <si>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</si>
  <si>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</si>
  <si>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</si>
  <si>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</si>
  <si>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</si>
  <si>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</si>
  <si>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</si>
  <si>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</si>
  <si>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</si>
  <si>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</si>
  <si>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</si>
  <si>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</si>
  <si>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</si>
  <si>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</si>
  <si>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</si>
  <si>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</si>
  <si>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</si>
  <si>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</si>
  <si>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</si>
  <si>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</si>
  <si>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</si>
  <si>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</si>
  <si>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</si>
  <si>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</si>
  <si>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</si>
  <si>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</si>
  <si>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</si>
  <si>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</si>
  <si>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</si>
  <si>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</si>
  <si>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</si>
  <si>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</si>
  <si>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</si>
  <si>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</si>
  <si>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</si>
  <si>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</si>
  <si>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</si>
  <si>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</si>
  <si>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</si>
  <si>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</si>
  <si>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</si>
  <si>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</si>
  <si>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</si>
  <si>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</si>
  <si>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</si>
  <si>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</si>
  <si>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</si>
  <si>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</si>
  <si>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</si>
  <si>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</si>
  <si>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</si>
  <si>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</si>
  <si>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</si>
  <si>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</si>
  <si>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</si>
  <si>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</si>
  <si>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</si>
  <si>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</si>
  <si>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</si>
  <si>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</si>
  <si>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</si>
  <si>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</si>
  <si>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</si>
  <si>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</si>
  <si>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</si>
  <si>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45.09#</t>
  </si>
  <si>
    <t>28.1000 - 28.5750</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</si>
  <si>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</si>
  <si>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</si>
  <si>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</si>
  <si>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</si>
  <si>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</si>
  <si>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</si>
  <si>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</si>
  <si>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</si>
  <si>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</si>
  <si>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</si>
  <si>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</si>
  <si>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</si>
  <si>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</si>
  <si>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</si>
  <si>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</si>
  <si>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</si>
  <si>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</si>
  <si>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</si>
  <si>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</si>
  <si>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</si>
  <si>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</si>
  <si>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</si>
  <si>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</si>
  <si>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</si>
  <si>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</si>
  <si>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</si>
  <si>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</si>
  <si>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</si>
  <si>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</si>
  <si>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</si>
  <si>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</si>
  <si>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</si>
  <si>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</si>
  <si>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</si>
  <si>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</si>
  <si>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</si>
  <si>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</si>
  <si>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</si>
  <si>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</si>
  <si>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</si>
  <si>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</si>
  <si>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</si>
  <si>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</si>
  <si>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</si>
  <si>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</si>
  <si>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</si>
  <si>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</si>
  <si>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</si>
  <si>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</si>
  <si>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</si>
  <si>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</si>
  <si>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</si>
  <si>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</si>
  <si>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</si>
  <si>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</si>
  <si>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</si>
  <si>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</si>
  <si>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</si>
  <si>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</si>
  <si>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</si>
  <si>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</si>
  <si>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</si>
  <si>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</si>
  <si>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</si>
  <si>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</si>
  <si>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</si>
  <si>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</si>
  <si>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</si>
  <si>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</si>
  <si>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</si>
  <si>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</si>
  <si>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</si>
  <si>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</si>
  <si>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</si>
  <si>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</si>
  <si>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</si>
  <si>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</si>
  <si>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</si>
  <si>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</si>
  <si>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</si>
  <si>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</si>
  <si>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</si>
  <si>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</si>
  <si>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t>33.8025-34.3375</t>
  </si>
  <si>
    <t>32.5500-33.8700</t>
  </si>
  <si>
    <t>32.3700-33.3650</t>
  </si>
  <si>
    <t>33.0200-33.8500</t>
  </si>
  <si>
    <t>33.8100-34.7400</t>
  </si>
  <si>
    <t>34.7500-35.3000</t>
  </si>
  <si>
    <t>34.2050-35.3075</t>
  </si>
  <si>
    <t>34.4400-34.9500</t>
  </si>
  <si>
    <t>34.3325-35.0450</t>
  </si>
  <si>
    <t>34.3425-34.6675</t>
  </si>
  <si>
    <t>34.5500-34.9550</t>
  </si>
  <si>
    <t>34.6200-34.9550</t>
  </si>
  <si>
    <t>34.3500-34.6708</t>
  </si>
  <si>
    <t>34.2762-34.5915</t>
  </si>
  <si>
    <t>34.3077-34.6162</t>
  </si>
  <si>
    <t>34.3123-35.1208</t>
  </si>
  <si>
    <t>34.9538-35.4377</t>
  </si>
  <si>
    <t>35.1169-35.8008</t>
  </si>
  <si>
    <t>35.3362-36.0100</t>
  </si>
  <si>
    <t>35.8731-36.3715</t>
  </si>
  <si>
    <t>35.8069-36.1687</t>
  </si>
  <si>
    <t>36.1874-36.5210</t>
  </si>
  <si>
    <t>36.1589-36.6077</t>
  </si>
  <si>
    <t>36.3129-36.7897</t>
  </si>
  <si>
    <t>36.4746-36.8011</t>
  </si>
  <si>
    <t>36.4829-36.9833</t>
  </si>
  <si>
    <t>36.8817-37.7127</t>
  </si>
  <si>
    <t>37.0361-39.8818</t>
  </si>
  <si>
    <t>39.2823-40.5100</t>
  </si>
  <si>
    <t>39.8141-40.6000</t>
  </si>
  <si>
    <t>39.7000-40.6000</t>
  </si>
  <si>
    <t>39.7000-40.7500</t>
  </si>
  <si>
    <t>39.6001-40.3855</t>
  </si>
  <si>
    <t>39.5700-40.0589</t>
  </si>
  <si>
    <t>39.7800-40.2000</t>
  </si>
  <si>
    <t>39.7995-40.3193</t>
  </si>
  <si>
    <t>39.2452-40.1250</t>
  </si>
  <si>
    <t>39.3000-39.8423</t>
  </si>
  <si>
    <t>39.8933-40.1739</t>
  </si>
  <si>
    <t>39.9000-40.8017</t>
  </si>
  <si>
    <t>40.3001-41.1446</t>
  </si>
  <si>
    <t>40.4558-41.0259</t>
  </si>
  <si>
    <t>40.6318-42.8429</t>
  </si>
  <si>
    <t>42.5143-43.2000</t>
  </si>
  <si>
    <t>42.5421-43.2282</t>
  </si>
  <si>
    <t>42.5307-43.0813</t>
  </si>
  <si>
    <t>42.5543-43.5500</t>
  </si>
  <si>
    <t>43.0207-43.8000</t>
  </si>
  <si>
    <t>43.2892-44.1364</t>
  </si>
  <si>
    <t>43.2852-44.2171</t>
  </si>
  <si>
    <t>43.5480-44.8684</t>
  </si>
  <si>
    <t>43.7000-44.9621</t>
  </si>
  <si>
    <t>42.8500-45.1500</t>
  </si>
  <si>
    <t>42.9500-43.7000</t>
  </si>
  <si>
    <t>43.7000-45.8433</t>
  </si>
  <si>
    <t>44.7440-45.6500</t>
  </si>
  <si>
    <t>44.0000-46.5500</t>
  </si>
  <si>
    <t>44.1329-45.7000</t>
  </si>
  <si>
    <t>43.6500-46.0000</t>
  </si>
  <si>
    <t>43.5986-45.3000</t>
  </si>
  <si>
    <t>43.5000-45.1738</t>
  </si>
  <si>
    <t>43.8719-45.2000</t>
  </si>
  <si>
    <t>45.0000-46.6429</t>
  </si>
  <si>
    <t>45.8628-47.4225</t>
  </si>
  <si>
    <t>44.7404-45.6777</t>
  </si>
  <si>
    <t>45.0150-46.0000</t>
  </si>
  <si>
    <t>45.4100-46.0833</t>
  </si>
  <si>
    <t>45.3500-45.9826</t>
  </si>
  <si>
    <t>45.0500-45.9300</t>
  </si>
  <si>
    <t>44.4607-46.2300</t>
  </si>
  <si>
    <r>
      <rPr>
        <i/>
        <vertAlign val="superscript"/>
        <sz val="10"/>
        <color rgb="FF002060"/>
        <rFont val="Segoe UI"/>
        <family val="2"/>
      </rPr>
      <t>1</t>
    </r>
    <r>
      <rPr>
        <i/>
        <sz val="10"/>
        <color rgb="FF002060"/>
        <rFont val="Segoe UI"/>
        <family val="2"/>
      </rPr>
      <t xml:space="preserve"> Includes purchases of foreign currencies other than US dollar. </t>
    </r>
  </si>
  <si>
    <r>
      <rPr>
        <i/>
        <vertAlign val="superscript"/>
        <sz val="10"/>
        <color rgb="FF002060"/>
        <rFont val="Segoe UI"/>
        <family val="2"/>
      </rPr>
      <t>2</t>
    </r>
    <r>
      <rPr>
        <i/>
        <sz val="10"/>
        <color rgb="FF002060"/>
        <rFont val="Segoe UI"/>
        <family val="2"/>
      </rPr>
      <t xml:space="preserve"> Weighted Average Interbank Rate on Rs/US$ transactions, as from August 2019.</t>
    </r>
  </si>
  <si>
    <t>Table 49a: Intervention by the Bank of Mauritius on the Domestic Foreign Exchange Market: September 2022 to September 2023</t>
  </si>
  <si>
    <t xml:space="preserve">Purchase </t>
  </si>
  <si>
    <t xml:space="preserve">Amount </t>
  </si>
  <si>
    <t xml:space="preserve">Sterilisation </t>
  </si>
  <si>
    <t>Sale</t>
  </si>
  <si>
    <t>of US dollar</t>
  </si>
  <si>
    <t>Intervention</t>
  </si>
  <si>
    <t>Sterilised</t>
  </si>
  <si>
    <t>Rates</t>
  </si>
  <si>
    <t>Bid Rates</t>
  </si>
  <si>
    <t>Ask Rates</t>
  </si>
  <si>
    <t>(US$ mn)</t>
  </si>
  <si>
    <t>(Rs mn)</t>
  </si>
  <si>
    <t>(Per cent p.a.)</t>
  </si>
  <si>
    <t>35.75-36.00</t>
  </si>
  <si>
    <t>35.60-35.75</t>
  </si>
  <si>
    <t>2.47-2.62</t>
  </si>
  <si>
    <t>2.29 - 2.54</t>
  </si>
  <si>
    <t>35.00-35.10</t>
  </si>
  <si>
    <t>2.24 - 2.45</t>
  </si>
  <si>
    <t>33.06-33.35</t>
  </si>
  <si>
    <t>33.05-33.85</t>
  </si>
  <si>
    <t>32.50-33.50</t>
  </si>
  <si>
    <t>2.60-3.49</t>
  </si>
  <si>
    <t>33.00-33.55</t>
  </si>
  <si>
    <t>33.90-34.40</t>
  </si>
  <si>
    <t>3.68-3.75</t>
  </si>
  <si>
    <t>34.50-34.90</t>
  </si>
  <si>
    <t>35.05-35.65</t>
  </si>
  <si>
    <t>35.40-35.95</t>
  </si>
  <si>
    <t>2.60-3.35</t>
  </si>
  <si>
    <t>35.70-36.00</t>
  </si>
  <si>
    <t>37.50-38.00</t>
  </si>
  <si>
    <t>38.85-39.20</t>
  </si>
  <si>
    <t>39.30-40.02</t>
  </si>
  <si>
    <t>39.65-39.75</t>
  </si>
  <si>
    <t>39.55-39.75</t>
  </si>
  <si>
    <t>39.75-39.90</t>
  </si>
  <si>
    <t>39.70-39.85</t>
  </si>
  <si>
    <t>39.35-39.55</t>
  </si>
  <si>
    <t>39.25-39.60</t>
  </si>
  <si>
    <t>39.70-39.75</t>
  </si>
  <si>
    <t>39.80-40.30</t>
  </si>
  <si>
    <t>40.30-40.40</t>
  </si>
  <si>
    <t>40.70-42.50</t>
  </si>
  <si>
    <t>42.45-42.50</t>
  </si>
  <si>
    <t>42.40-42.50</t>
  </si>
  <si>
    <t>42.30-42.40</t>
  </si>
  <si>
    <t>42.45-42.60</t>
  </si>
  <si>
    <t>42.88-43.26</t>
  </si>
  <si>
    <t>42.65-42.97</t>
  </si>
  <si>
    <t>42.97-43.10</t>
  </si>
  <si>
    <t>43.10-43.15</t>
  </si>
  <si>
    <t>42.90-43.15</t>
  </si>
  <si>
    <t>43.00-43.10</t>
  </si>
  <si>
    <t>44.70-45.30</t>
  </si>
  <si>
    <t>44.15-44.50</t>
  </si>
  <si>
    <t>43.90-44.00</t>
  </si>
  <si>
    <t>43.65-43.80</t>
  </si>
  <si>
    <t>45.50-46.50</t>
  </si>
  <si>
    <t>44.50-45.15</t>
  </si>
  <si>
    <t>Table 49b: Purchases and Sales of Foreign Currency by the Bank of Mauritius from Government and Other Institutions: September 2022 to September 2023</t>
  </si>
  <si>
    <t xml:space="preserve">US dollar </t>
  </si>
  <si>
    <t xml:space="preserve">EURO </t>
  </si>
  <si>
    <t xml:space="preserve">GBP </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</si>
  <si>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</si>
  <si>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</si>
  <si>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</si>
  <si>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</si>
  <si>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</si>
  <si>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</si>
  <si>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</si>
  <si>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</si>
  <si>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</si>
  <si>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</si>
  <si>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</si>
  <si>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</si>
  <si>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</si>
  <si>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</si>
  <si>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</si>
  <si>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</si>
  <si>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</si>
  <si>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</si>
  <si>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</si>
  <si>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</si>
  <si>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</si>
  <si>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</si>
  <si>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</si>
  <si>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</si>
  <si>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</si>
  <si>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</si>
  <si>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</si>
  <si>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</si>
  <si>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</si>
  <si>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</si>
  <si>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</si>
  <si>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</si>
  <si>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</si>
  <si>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</si>
  <si>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</si>
  <si>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</si>
  <si>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</si>
  <si>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</si>
  <si>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</si>
  <si>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</si>
  <si>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</si>
  <si>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</si>
  <si>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</si>
  <si>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</si>
  <si>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</si>
  <si>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</si>
  <si>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</si>
  <si>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</si>
  <si>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</si>
  <si>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</si>
  <si>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</si>
  <si>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</si>
  <si>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</si>
  <si>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</si>
  <si>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</si>
  <si>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</si>
  <si>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</si>
  <si>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</si>
  <si>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</si>
  <si>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</si>
  <si>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</si>
  <si>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</si>
  <si>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</si>
  <si>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</si>
  <si>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</si>
  <si>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</si>
  <si>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</si>
  <si>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</si>
  <si>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</si>
  <si>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</si>
  <si>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</si>
  <si>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</si>
  <si>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</si>
  <si>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</si>
  <si>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</si>
  <si>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</si>
  <si>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</si>
  <si>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</si>
  <si>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</si>
  <si>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40.05-40.76</t>
  </si>
  <si>
    <t>40.59-41.69</t>
  </si>
  <si>
    <t>46.00-47.47</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</si>
  <si>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</si>
  <si>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</si>
  <si>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</si>
  <si>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</si>
  <si>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</si>
  <si>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</si>
  <si>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</si>
  <si>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</si>
  <si>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</si>
  <si>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</si>
  <si>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</si>
  <si>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</si>
  <si>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</si>
  <si>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</si>
  <si>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</si>
  <si>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</si>
  <si>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</si>
  <si>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</si>
  <si>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38.29-39.09</t>
  </si>
  <si>
    <t>39.16-39.98</t>
  </si>
  <si>
    <t>44.25-45.48</t>
  </si>
  <si>
    <t>34.00-34.03</t>
  </si>
  <si>
    <t>38.40-38.86</t>
  </si>
  <si>
    <t>39.27-39.72</t>
  </si>
  <si>
    <t>43.32-44.34</t>
  </si>
  <si>
    <t>38.27-39.07</t>
  </si>
  <si>
    <t>39.14-39.96</t>
  </si>
  <si>
    <t>44.44-45.32</t>
  </si>
  <si>
    <t>38.22-38.60</t>
  </si>
  <si>
    <t>39.09-39.47</t>
  </si>
  <si>
    <t>44.29-45.29</t>
  </si>
  <si>
    <t>38.13-39.05</t>
  </si>
  <si>
    <t>38.99-39.94</t>
  </si>
  <si>
    <t>46.15-46.58</t>
  </si>
  <si>
    <t>38.38-38.89</t>
  </si>
  <si>
    <t>39.26-39.77</t>
  </si>
  <si>
    <t>45.48-46.39</t>
  </si>
  <si>
    <t>38.59-39.16</t>
  </si>
  <si>
    <t>39.46-40.05</t>
  </si>
  <si>
    <t>45.23-45.44</t>
  </si>
  <si>
    <t>35.08 -35.46</t>
  </si>
  <si>
    <t>39.26-40.25</t>
  </si>
  <si>
    <t>40.15-41.16</t>
  </si>
  <si>
    <t>45.10-46.05</t>
  </si>
  <si>
    <t>39.52-40.03</t>
  </si>
  <si>
    <t>40.41-40.94</t>
  </si>
  <si>
    <t>45.12-45.27</t>
  </si>
  <si>
    <t>39.28-39.94</t>
  </si>
  <si>
    <t>40.17-40.71</t>
  </si>
  <si>
    <t>39.21-39.70</t>
  </si>
  <si>
    <t>40.10-40.60</t>
  </si>
  <si>
    <t>39.30-40.21</t>
  </si>
  <si>
    <t>40.19-41.11</t>
  </si>
  <si>
    <t>39.69-40.17</t>
  </si>
  <si>
    <t>40.64 -41.02</t>
  </si>
  <si>
    <t>40.05-40.62</t>
  </si>
  <si>
    <t>40.96-41.54</t>
  </si>
  <si>
    <t>48.05-49.69</t>
  </si>
  <si>
    <t>40.10-40.43</t>
  </si>
  <si>
    <t>36.70-37.29</t>
  </si>
  <si>
    <t>41.00-41.35</t>
  </si>
  <si>
    <t>39.91-40.99</t>
  </si>
  <si>
    <t>37.18-37.96</t>
  </si>
  <si>
    <t>40.81-41.92</t>
  </si>
  <si>
    <t>48.50-49.46</t>
  </si>
  <si>
    <t>41.12-43.29</t>
  </si>
  <si>
    <t>39.50-39.83</t>
  </si>
  <si>
    <t>42.06-44.27</t>
  </si>
  <si>
    <t>42.40-43.27</t>
  </si>
  <si>
    <t>39.64-40.28</t>
  </si>
  <si>
    <t>43.74-44.10</t>
  </si>
  <si>
    <t>49.52-50.39</t>
  </si>
  <si>
    <t>42.95-44.10</t>
  </si>
  <si>
    <t>40.30-40.51</t>
  </si>
  <si>
    <t>44.04-45.10</t>
  </si>
  <si>
    <t>49.52-49.96</t>
  </si>
  <si>
    <t>44.23-45.07</t>
  </si>
  <si>
    <t>40.23-40.56</t>
  </si>
  <si>
    <t>45.24-46.09</t>
  </si>
  <si>
    <t>50.46-51.46</t>
  </si>
  <si>
    <t>44.64-47.10</t>
  </si>
  <si>
    <t>40.24-40.52</t>
  </si>
  <si>
    <t>45.79-48.17</t>
  </si>
  <si>
    <t>46.26-47.07</t>
  </si>
  <si>
    <t>39.91-40.10</t>
  </si>
  <si>
    <t>47.31-48.14</t>
  </si>
  <si>
    <t>46.06-47.24</t>
  </si>
  <si>
    <t>39.88-40.18</t>
  </si>
  <si>
    <t>47.10-48.31</t>
  </si>
  <si>
    <t>46.29-46.99</t>
  </si>
  <si>
    <t>40.11-40.15</t>
  </si>
  <si>
    <t>47.42-48.04</t>
  </si>
  <si>
    <t>46.32-47.45</t>
  </si>
  <si>
    <t>40.17-40.31</t>
  </si>
  <si>
    <t>47.37-48.53</t>
  </si>
  <si>
    <t>47.37-48.16</t>
  </si>
  <si>
    <t>39.73-40.14</t>
  </si>
  <si>
    <t>48.45-49.25</t>
  </si>
  <si>
    <t>53.67-54.47</t>
  </si>
  <si>
    <t>47.22-48.19</t>
  </si>
  <si>
    <t>39.68-39.86</t>
  </si>
  <si>
    <t>48.29-49.29</t>
  </si>
  <si>
    <t>47.22-48.21</t>
  </si>
  <si>
    <t>40.08-40.16</t>
  </si>
  <si>
    <t>48.29-49.26</t>
  </si>
  <si>
    <t>55.67-56.96</t>
  </si>
  <si>
    <t>47.05-47.95</t>
  </si>
  <si>
    <t>40.22-40.79</t>
  </si>
  <si>
    <t>48.11-49.04</t>
  </si>
  <si>
    <t>56.28-56.51</t>
  </si>
  <si>
    <t>47.13-48.75</t>
  </si>
  <si>
    <t>40.80-40.85</t>
  </si>
  <si>
    <t>48.20-49.86</t>
  </si>
  <si>
    <t>48.22-49.40</t>
  </si>
  <si>
    <t>40.83-40.84</t>
  </si>
  <si>
    <t>49.31-50.44</t>
  </si>
  <si>
    <t>58.05-58.31</t>
  </si>
  <si>
    <t>48.37-49.64</t>
  </si>
  <si>
    <t>40.93-41.45</t>
  </si>
  <si>
    <t>49.46-50.76</t>
  </si>
  <si>
    <t>58.17-58.54</t>
  </si>
  <si>
    <t>49.91-50.52</t>
  </si>
  <si>
    <t>51.09-51.67</t>
  </si>
  <si>
    <t>49.49-50.35</t>
  </si>
  <si>
    <t>42.93-43.03</t>
  </si>
  <si>
    <t>50.62-51.49</t>
  </si>
  <si>
    <t>49.10-50.19</t>
  </si>
  <si>
    <t>42.79-42.95</t>
  </si>
  <si>
    <t>50.21-51.27</t>
  </si>
  <si>
    <t>49.02-49.70</t>
  </si>
  <si>
    <t>42.95-43.16</t>
  </si>
  <si>
    <t>50.05-50.83</t>
  </si>
  <si>
    <t>48.16-49.39</t>
  </si>
  <si>
    <t>43.16-43.19</t>
  </si>
  <si>
    <t>49.26-50.42</t>
  </si>
  <si>
    <t>58.39-59.02</t>
  </si>
  <si>
    <t>48.41-48.97</t>
  </si>
  <si>
    <t>43.44-43.75</t>
  </si>
  <si>
    <t>49.51-50.08</t>
  </si>
  <si>
    <t>57.92-59.04</t>
  </si>
  <si>
    <t>48.36-49.39</t>
  </si>
  <si>
    <t>43.58-43.82</t>
  </si>
  <si>
    <t>49.46-50.63</t>
  </si>
  <si>
    <t>59.38-59.45</t>
  </si>
  <si>
    <t>48.49-49.47</t>
  </si>
  <si>
    <t>43.89-44.09</t>
  </si>
  <si>
    <t>49.89-50.64</t>
  </si>
  <si>
    <t>47.44-49.14</t>
  </si>
  <si>
    <t>44.01-44.73</t>
  </si>
  <si>
    <t>48.52-50.26</t>
  </si>
  <si>
    <t>42.76-42.90</t>
  </si>
  <si>
    <t>45.00-48.76</t>
  </si>
  <si>
    <t>43.25-44.96</t>
  </si>
  <si>
    <t>45.79-49.87</t>
  </si>
  <si>
    <t>54.60-57.70</t>
  </si>
  <si>
    <t>44.53-46.36</t>
  </si>
  <si>
    <t>45.55-47.39</t>
  </si>
  <si>
    <t>53.38-55.06</t>
  </si>
  <si>
    <t>44.70-44.73</t>
  </si>
  <si>
    <t>45.50-47.02</t>
  </si>
  <si>
    <t>44.15-45.16</t>
  </si>
  <si>
    <t>46.53-48.09</t>
  </si>
  <si>
    <t>53.60-55.63</t>
  </si>
  <si>
    <t>44.58-45.30</t>
  </si>
  <si>
    <t>44.57-47.10</t>
  </si>
  <si>
    <t>44.58-45.09</t>
  </si>
  <si>
    <t>45.63-47.94</t>
  </si>
  <si>
    <t>43.58-46.01</t>
  </si>
  <si>
    <t>44.57-47.09</t>
  </si>
  <si>
    <t>42.16-44.64</t>
  </si>
  <si>
    <t>43.12-45.46</t>
  </si>
  <si>
    <t>43.69-43.80</t>
  </si>
  <si>
    <t>43.54-43.61</t>
  </si>
  <si>
    <t>44.02-45.23</t>
  </si>
  <si>
    <t>43.43-43.80</t>
  </si>
  <si>
    <t>45.61-46.48</t>
  </si>
  <si>
    <t>43.20-43.65</t>
  </si>
  <si>
    <t>53.55-55.15</t>
  </si>
  <si>
    <t>43.65-45.55</t>
  </si>
  <si>
    <t>55.31- 56.49</t>
  </si>
  <si>
    <t>45.60-46.53</t>
  </si>
  <si>
    <t>50.13-50.91</t>
  </si>
  <si>
    <t>56.80-57.48</t>
  </si>
  <si>
    <t>44.84-45.16</t>
  </si>
  <si>
    <t>48.35-48.75</t>
  </si>
  <si>
    <t>50.21-50.11</t>
  </si>
  <si>
    <t>57.26-57.55</t>
  </si>
  <si>
    <t>44.95-45.42</t>
  </si>
  <si>
    <t>45.80-46.04</t>
  </si>
  <si>
    <t>59.23-59.51</t>
  </si>
  <si>
    <t>44.76-45.20</t>
  </si>
  <si>
    <t>58.03-59.64</t>
  </si>
  <si>
    <t>44.46-44.99</t>
  </si>
  <si>
    <t>55.42-58.53</t>
  </si>
  <si>
    <t>Source: Financial Markets Operations Division; Accounting and Budgeting Division.</t>
  </si>
  <si>
    <t>BUY</t>
  </si>
  <si>
    <t>ZAR</t>
  </si>
  <si>
    <t xml:space="preserve">Central COB </t>
  </si>
  <si>
    <t>SELL</t>
  </si>
  <si>
    <t>CAD</t>
  </si>
  <si>
    <t>CHF</t>
  </si>
  <si>
    <t>AUD</t>
  </si>
  <si>
    <t>check</t>
  </si>
  <si>
    <t>Table 1: Selected Economic Indicators of Mauritius: 2012 to 2023</t>
  </si>
  <si>
    <t>Unit</t>
  </si>
  <si>
    <r>
      <t xml:space="preserve">1. Population-Republic of Mauritius </t>
    </r>
    <r>
      <rPr>
        <b/>
        <vertAlign val="superscript"/>
        <sz val="11"/>
        <color rgb="FF002060"/>
        <rFont val="Segoe UI"/>
        <family val="2"/>
      </rPr>
      <t>1</t>
    </r>
    <r>
      <rPr>
        <b/>
        <sz val="11"/>
        <color rgb="FF002060"/>
        <rFont val="Segoe UI"/>
        <family val="2"/>
      </rPr>
      <t>*</t>
    </r>
  </si>
  <si>
    <t>Mid-year</t>
  </si>
  <si>
    <r>
      <t xml:space="preserve">1,260,767 </t>
    </r>
    <r>
      <rPr>
        <vertAlign val="superscript"/>
        <sz val="10.5"/>
        <color rgb="FF002060"/>
        <rFont val="Segoe UI"/>
        <family val="2"/>
      </rPr>
      <t>3</t>
    </r>
  </si>
  <si>
    <t>2. Tourist Arrivals*</t>
  </si>
  <si>
    <t>Calendar Year</t>
  </si>
  <si>
    <r>
      <t>1,300,000</t>
    </r>
    <r>
      <rPr>
        <vertAlign val="superscript"/>
        <sz val="11.5"/>
        <color rgb="FF002060"/>
        <rFont val="Segoe UI"/>
        <family val="2"/>
      </rPr>
      <t xml:space="preserve"> 5</t>
    </r>
  </si>
  <si>
    <t>3. Gross Tourism Earnings</t>
  </si>
  <si>
    <t>n.a</t>
  </si>
  <si>
    <t xml:space="preserve">4. Real Growth Rate of Gross Value Added (at basic prices)* </t>
  </si>
  <si>
    <t xml:space="preserve">3.7 </t>
  </si>
  <si>
    <t xml:space="preserve">3.2 </t>
  </si>
  <si>
    <t xml:space="preserve">3.6 </t>
  </si>
  <si>
    <t xml:space="preserve">3.9 </t>
  </si>
  <si>
    <t xml:space="preserve">3.0 </t>
  </si>
  <si>
    <t>-14.3</t>
  </si>
  <si>
    <t>4.0</t>
  </si>
  <si>
    <r>
      <t xml:space="preserve">9.9 </t>
    </r>
    <r>
      <rPr>
        <vertAlign val="superscript"/>
        <sz val="10.5"/>
        <color rgb="FF002060"/>
        <rFont val="Segoe UI"/>
        <family val="2"/>
      </rPr>
      <t>2</t>
    </r>
  </si>
  <si>
    <r>
      <t xml:space="preserve">6.7 </t>
    </r>
    <r>
      <rPr>
        <vertAlign val="superscript"/>
        <sz val="10.5"/>
        <color rgb="FF002060"/>
        <rFont val="Segoe UI"/>
        <family val="2"/>
      </rPr>
      <t>5</t>
    </r>
  </si>
  <si>
    <t xml:space="preserve">5. Real Growth Rate of Gross Domestic Product (at market prices)* </t>
  </si>
  <si>
    <t xml:space="preserve">3.8 </t>
  </si>
  <si>
    <t xml:space="preserve">4.0 </t>
  </si>
  <si>
    <t xml:space="preserve">2.9 </t>
  </si>
  <si>
    <t>-14.5</t>
  </si>
  <si>
    <t>3.4</t>
  </si>
  <si>
    <r>
      <t xml:space="preserve">8.9 </t>
    </r>
    <r>
      <rPr>
        <vertAlign val="superscript"/>
        <sz val="10.5"/>
        <color rgb="FF002060"/>
        <rFont val="Segoe UI"/>
        <family val="2"/>
      </rPr>
      <t>2</t>
    </r>
  </si>
  <si>
    <r>
      <t xml:space="preserve">6.8 </t>
    </r>
    <r>
      <rPr>
        <vertAlign val="superscript"/>
        <sz val="10.5"/>
        <color rgb="FF002060"/>
        <rFont val="Segoe UI"/>
        <family val="2"/>
      </rPr>
      <t>5</t>
    </r>
  </si>
  <si>
    <t xml:space="preserve">6. Gross Domestic Product (at market prices)* </t>
  </si>
  <si>
    <t>448,874</t>
  </si>
  <si>
    <t>478,807</t>
  </si>
  <si>
    <r>
      <t xml:space="preserve">572,111 </t>
    </r>
    <r>
      <rPr>
        <vertAlign val="superscript"/>
        <sz val="10.5"/>
        <color rgb="FF002060"/>
        <rFont val="Segoe UI"/>
        <family val="2"/>
      </rPr>
      <t>2</t>
    </r>
  </si>
  <si>
    <r>
      <t>646,989</t>
    </r>
    <r>
      <rPr>
        <vertAlign val="superscript"/>
        <sz val="10.5"/>
        <color rgb="FF002060"/>
        <rFont val="Segoe UI"/>
        <family val="2"/>
      </rPr>
      <t xml:space="preserve"> 5</t>
    </r>
  </si>
  <si>
    <t xml:space="preserve">7. Gross National Income (at market prices)^* </t>
  </si>
  <si>
    <t xml:space="preserve">351,836 </t>
  </si>
  <si>
    <t>457,535</t>
  </si>
  <si>
    <t>486,019</t>
  </si>
  <si>
    <r>
      <t>582,135</t>
    </r>
    <r>
      <rPr>
        <vertAlign val="superscript"/>
        <sz val="10.5"/>
        <color rgb="FF002060"/>
        <rFont val="Segoe UI"/>
        <family val="2"/>
      </rPr>
      <t xml:space="preserve"> 2</t>
    </r>
  </si>
  <si>
    <r>
      <t xml:space="preserve">663,294 </t>
    </r>
    <r>
      <rPr>
        <vertAlign val="superscript"/>
        <sz val="10.5"/>
        <color rgb="FF002060"/>
        <rFont val="Segoe UI"/>
        <family val="2"/>
      </rPr>
      <t>5</t>
    </r>
  </si>
  <si>
    <t xml:space="preserve">8. GNI Per Capita (at market prices)^* </t>
  </si>
  <si>
    <t xml:space="preserve">Calendar Year </t>
  </si>
  <si>
    <t>361,398</t>
  </si>
  <si>
    <t>383,800</t>
  </si>
  <si>
    <r>
      <t>461,089</t>
    </r>
    <r>
      <rPr>
        <vertAlign val="superscript"/>
        <sz val="10.5"/>
        <color rgb="FF002060"/>
        <rFont val="Segoe UI"/>
        <family val="2"/>
      </rPr>
      <t xml:space="preserve"> 2</t>
    </r>
  </si>
  <si>
    <r>
      <t>525,989</t>
    </r>
    <r>
      <rPr>
        <vertAlign val="superscript"/>
        <sz val="10.5"/>
        <color rgb="FF002060"/>
        <rFont val="Segoe UI"/>
        <family val="2"/>
      </rPr>
      <t xml:space="preserve"> 5</t>
    </r>
  </si>
  <si>
    <t>9. Headline Inflation Rate*</t>
  </si>
  <si>
    <t>Year ended June</t>
  </si>
  <si>
    <t>10. Headline Inflation Rate*</t>
  </si>
  <si>
    <t xml:space="preserve">11. Unemployment Rate* </t>
  </si>
  <si>
    <t>9.1</t>
  </si>
  <si>
    <t xml:space="preserve">7.7 </t>
  </si>
  <si>
    <t>12. Current Account Balance</t>
  </si>
  <si>
    <t>-17,758</t>
  </si>
  <si>
    <t>-22,695</t>
  </si>
  <si>
    <t>-30,438</t>
  </si>
  <si>
    <t xml:space="preserve">-51,914 </t>
  </si>
  <si>
    <r>
      <t xml:space="preserve">-70,954 </t>
    </r>
    <r>
      <rPr>
        <vertAlign val="superscript"/>
        <sz val="11.5"/>
        <color rgb="FF002060"/>
        <rFont val="Segoe UI"/>
        <family val="2"/>
      </rPr>
      <t>3</t>
    </r>
  </si>
  <si>
    <r>
      <t xml:space="preserve">-45,332 </t>
    </r>
    <r>
      <rPr>
        <vertAlign val="superscript"/>
        <sz val="11.5"/>
        <color rgb="FF002060"/>
        <rFont val="Segoe UI"/>
        <family val="2"/>
      </rPr>
      <t>3</t>
    </r>
  </si>
  <si>
    <t>13. Current Account Balance</t>
  </si>
  <si>
    <t>-18,995</t>
  </si>
  <si>
    <t>-25,650</t>
  </si>
  <si>
    <t>-39,694</t>
  </si>
  <si>
    <t xml:space="preserve">-62,641 </t>
  </si>
  <si>
    <r>
      <t xml:space="preserve">-65,638 </t>
    </r>
    <r>
      <rPr>
        <vertAlign val="superscript"/>
        <sz val="11.5"/>
        <color rgb="FF002060"/>
        <rFont val="Segoe UI"/>
        <family val="2"/>
      </rPr>
      <t>3</t>
    </r>
  </si>
  <si>
    <r>
      <t>14. Overall Balance of Payments</t>
    </r>
    <r>
      <rPr>
        <b/>
        <vertAlign val="superscript"/>
        <sz val="11.5"/>
        <color rgb="FF002060"/>
        <rFont val="Segoe UI"/>
        <family val="2"/>
      </rPr>
      <t xml:space="preserve"> </t>
    </r>
  </si>
  <si>
    <t xml:space="preserve">+2,692 </t>
  </si>
  <si>
    <t xml:space="preserve">+20,335 </t>
  </si>
  <si>
    <t>+15,939</t>
  </si>
  <si>
    <t>+15,105</t>
  </si>
  <si>
    <t>+26,921</t>
  </si>
  <si>
    <t>+18,644</t>
  </si>
  <si>
    <t>+47,549</t>
  </si>
  <si>
    <t>+17,521</t>
  </si>
  <si>
    <t>-3,534</t>
  </si>
  <si>
    <t>-6,818</t>
  </si>
  <si>
    <t>+29,317</t>
  </si>
  <si>
    <r>
      <t>15. Overall Balance of Payments</t>
    </r>
    <r>
      <rPr>
        <b/>
        <vertAlign val="superscript"/>
        <sz val="11.5"/>
        <color rgb="FF002060"/>
        <rFont val="Segoe UI"/>
        <family val="2"/>
      </rPr>
      <t xml:space="preserve"> </t>
    </r>
  </si>
  <si>
    <t xml:space="preserve">+6,041 </t>
  </si>
  <si>
    <t xml:space="preserve">+16,580 </t>
  </si>
  <si>
    <t>+28,315</t>
  </si>
  <si>
    <t>+16,618</t>
  </si>
  <si>
    <t>+32,834</t>
  </si>
  <si>
    <t>-21,058</t>
  </si>
  <si>
    <t>+55,200</t>
  </si>
  <si>
    <t xml:space="preserve">-13,857 </t>
  </si>
  <si>
    <t>16. Gross Official International Reserves</t>
  </si>
  <si>
    <t>End-June</t>
  </si>
  <si>
    <t>17. Total Imports (c.i.f.)*</t>
  </si>
  <si>
    <t>214,836</t>
  </si>
  <si>
    <r>
      <t xml:space="preserve">292,112 </t>
    </r>
    <r>
      <rPr>
        <vertAlign val="superscript"/>
        <sz val="11.5"/>
        <color rgb="FF002060"/>
        <rFont val="Segoe UI"/>
        <family val="2"/>
      </rPr>
      <t>2</t>
    </r>
  </si>
  <si>
    <r>
      <t>315,000</t>
    </r>
    <r>
      <rPr>
        <vertAlign val="superscript"/>
        <sz val="11.5"/>
        <color rgb="FF002060"/>
        <rFont val="Segoe UI"/>
        <family val="2"/>
      </rPr>
      <t xml:space="preserve"> 5</t>
    </r>
  </si>
  <si>
    <t xml:space="preserve">18. Total Exports (f.o.b.)* </t>
  </si>
  <si>
    <t>81,992</t>
  </si>
  <si>
    <r>
      <t xml:space="preserve">105,524 </t>
    </r>
    <r>
      <rPr>
        <vertAlign val="superscript"/>
        <sz val="11.5"/>
        <color rgb="FF002060"/>
        <rFont val="Segoe UI"/>
        <family val="2"/>
      </rPr>
      <t>2</t>
    </r>
  </si>
  <si>
    <r>
      <t>110,000</t>
    </r>
    <r>
      <rPr>
        <vertAlign val="superscript"/>
        <sz val="11.5"/>
        <color rgb="FF002060"/>
        <rFont val="Segoe UI"/>
        <family val="2"/>
      </rPr>
      <t xml:space="preserve"> 5</t>
    </r>
  </si>
  <si>
    <t>19. Ratio of Budget Deficit to GDP at market prices**</t>
  </si>
  <si>
    <t>@</t>
  </si>
  <si>
    <t xml:space="preserve">5.6 </t>
  </si>
  <si>
    <r>
      <t xml:space="preserve">3.9 </t>
    </r>
    <r>
      <rPr>
        <vertAlign val="superscript"/>
        <sz val="10.5"/>
        <color rgb="FF002060"/>
        <rFont val="Segoe UI"/>
        <family val="2"/>
      </rPr>
      <t>2</t>
    </r>
  </si>
  <si>
    <r>
      <t xml:space="preserve">2.9 </t>
    </r>
    <r>
      <rPr>
        <vertAlign val="superscript"/>
        <sz val="10.5"/>
        <color rgb="FF002060"/>
        <rFont val="Segoe UI"/>
        <family val="2"/>
      </rPr>
      <t>4</t>
    </r>
  </si>
  <si>
    <t>20. External Debt: Budgetary Central Government (BCG)</t>
  </si>
  <si>
    <r>
      <t>End-December</t>
    </r>
    <r>
      <rPr>
        <sz val="14"/>
        <color rgb="FF002060"/>
        <rFont val="Segoe UI"/>
        <family val="2"/>
      </rPr>
      <t xml:space="preserve"> </t>
    </r>
    <r>
      <rPr>
        <vertAlign val="superscript"/>
        <sz val="14"/>
        <color rgb="FF002060"/>
        <rFont val="Segoe UI"/>
        <family val="2"/>
      </rPr>
      <t xml:space="preserve"># </t>
    </r>
  </si>
  <si>
    <r>
      <t xml:space="preserve">41,414 </t>
    </r>
    <r>
      <rPr>
        <vertAlign val="superscript"/>
        <sz val="11.5"/>
        <color rgb="FF002060"/>
        <rFont val="Segoe UI"/>
        <family val="2"/>
      </rPr>
      <t>2</t>
    </r>
  </si>
  <si>
    <r>
      <t xml:space="preserve">39,592 </t>
    </r>
    <r>
      <rPr>
        <vertAlign val="superscript"/>
        <sz val="11.5"/>
        <color rgb="FF002060"/>
        <rFont val="Segoe UI"/>
        <family val="2"/>
      </rPr>
      <t>2</t>
    </r>
  </si>
  <si>
    <r>
      <t xml:space="preserve">68,736 </t>
    </r>
    <r>
      <rPr>
        <vertAlign val="superscript"/>
        <sz val="11.5"/>
        <color rgb="FF002060"/>
        <rFont val="Segoe UI"/>
        <family val="2"/>
      </rPr>
      <t>2</t>
    </r>
  </si>
  <si>
    <r>
      <t>89,709</t>
    </r>
    <r>
      <rPr>
        <vertAlign val="superscript"/>
        <sz val="11.5"/>
        <color rgb="FF002060"/>
        <rFont val="Segoe UI"/>
        <family val="2"/>
      </rPr>
      <t xml:space="preserve"> 2</t>
    </r>
  </si>
  <si>
    <r>
      <t xml:space="preserve">81,788 </t>
    </r>
    <r>
      <rPr>
        <b/>
        <vertAlign val="superscript"/>
        <sz val="11.5"/>
        <color rgb="FF002060"/>
        <rFont val="Segoe UI"/>
        <family val="2"/>
      </rPr>
      <t>2</t>
    </r>
  </si>
  <si>
    <r>
      <t xml:space="preserve">83,874 </t>
    </r>
    <r>
      <rPr>
        <vertAlign val="superscript"/>
        <sz val="11.5"/>
        <color rgb="FF002060"/>
        <rFont val="Segoe UI"/>
        <family val="2"/>
      </rPr>
      <t>3</t>
    </r>
  </si>
  <si>
    <t>21. Ratio of BCG External Debt to GDP at market prices**</t>
  </si>
  <si>
    <r>
      <t xml:space="preserve">8.6 </t>
    </r>
    <r>
      <rPr>
        <vertAlign val="superscript"/>
        <sz val="11.5"/>
        <color rgb="FF002060"/>
        <rFont val="Segoe UI"/>
        <family val="2"/>
      </rPr>
      <t>2</t>
    </r>
  </si>
  <si>
    <r>
      <t xml:space="preserve">7.9 </t>
    </r>
    <r>
      <rPr>
        <vertAlign val="superscript"/>
        <sz val="11.5"/>
        <color rgb="FF002060"/>
        <rFont val="Segoe UI"/>
        <family val="2"/>
      </rPr>
      <t>2</t>
    </r>
  </si>
  <si>
    <r>
      <t xml:space="preserve">16.0 </t>
    </r>
    <r>
      <rPr>
        <vertAlign val="superscript"/>
        <sz val="11.5"/>
        <color rgb="FF002060"/>
        <rFont val="Segoe UI"/>
        <family val="2"/>
      </rPr>
      <t>2</t>
    </r>
  </si>
  <si>
    <r>
      <t>18.7</t>
    </r>
    <r>
      <rPr>
        <vertAlign val="superscript"/>
        <sz val="11.5"/>
        <color rgb="FF002060"/>
        <rFont val="Segoe UI"/>
        <family val="2"/>
      </rPr>
      <t xml:space="preserve"> 2</t>
    </r>
  </si>
  <si>
    <r>
      <t xml:space="preserve">14.3 </t>
    </r>
    <r>
      <rPr>
        <b/>
        <vertAlign val="superscript"/>
        <sz val="11.5"/>
        <color rgb="FF002060"/>
        <rFont val="Segoe UI"/>
        <family val="2"/>
      </rPr>
      <t>2</t>
    </r>
  </si>
  <si>
    <r>
      <t xml:space="preserve">13.5 </t>
    </r>
    <r>
      <rPr>
        <vertAlign val="superscript"/>
        <sz val="11.5"/>
        <color rgb="FF002060"/>
        <rFont val="Segoe UI"/>
        <family val="2"/>
      </rPr>
      <t>3</t>
    </r>
  </si>
  <si>
    <t>22. Internal Debt: Budgetary Central Government (BCG)</t>
  </si>
  <si>
    <r>
      <t xml:space="preserve">234,258 </t>
    </r>
    <r>
      <rPr>
        <vertAlign val="superscript"/>
        <sz val="11.5"/>
        <color rgb="FF002060"/>
        <rFont val="Segoe UI"/>
        <family val="2"/>
      </rPr>
      <t>2</t>
    </r>
  </si>
  <si>
    <r>
      <t xml:space="preserve">252,862 </t>
    </r>
    <r>
      <rPr>
        <vertAlign val="superscript"/>
        <sz val="11.5"/>
        <color rgb="FF002060"/>
        <rFont val="Segoe UI"/>
        <family val="2"/>
      </rPr>
      <t>2</t>
    </r>
  </si>
  <si>
    <r>
      <t xml:space="preserve">258,807 </t>
    </r>
    <r>
      <rPr>
        <vertAlign val="superscript"/>
        <sz val="11.5"/>
        <color rgb="FF002060"/>
        <rFont val="Segoe UI"/>
        <family val="2"/>
      </rPr>
      <t>2</t>
    </r>
  </si>
  <si>
    <r>
      <t>291,907</t>
    </r>
    <r>
      <rPr>
        <vertAlign val="superscript"/>
        <sz val="11.5"/>
        <color rgb="FF002060"/>
        <rFont val="Segoe UI"/>
        <family val="2"/>
      </rPr>
      <t xml:space="preserve"> 2</t>
    </r>
  </si>
  <si>
    <r>
      <t xml:space="preserve">331,265 </t>
    </r>
    <r>
      <rPr>
        <b/>
        <vertAlign val="superscript"/>
        <sz val="11.5"/>
        <color rgb="FF002060"/>
        <rFont val="Segoe UI"/>
        <family val="2"/>
      </rPr>
      <t>2</t>
    </r>
  </si>
  <si>
    <r>
      <t xml:space="preserve">346,944 </t>
    </r>
    <r>
      <rPr>
        <vertAlign val="superscript"/>
        <sz val="11.5"/>
        <color rgb="FF002060"/>
        <rFont val="Segoe UI"/>
        <family val="2"/>
      </rPr>
      <t>3</t>
    </r>
  </si>
  <si>
    <t>23. Ratio of BCG Internal Debt to GDP at market prices**</t>
  </si>
  <si>
    <r>
      <t xml:space="preserve">48.6 </t>
    </r>
    <r>
      <rPr>
        <vertAlign val="superscript"/>
        <sz val="11.5"/>
        <color rgb="FF002060"/>
        <rFont val="Segoe UI"/>
        <family val="2"/>
      </rPr>
      <t>2</t>
    </r>
  </si>
  <si>
    <r>
      <t xml:space="preserve">50.7 </t>
    </r>
    <r>
      <rPr>
        <vertAlign val="superscript"/>
        <sz val="11.5"/>
        <color rgb="FF002060"/>
        <rFont val="Segoe UI"/>
        <family val="2"/>
      </rPr>
      <t>2</t>
    </r>
  </si>
  <si>
    <r>
      <t xml:space="preserve">60.2 </t>
    </r>
    <r>
      <rPr>
        <vertAlign val="superscript"/>
        <sz val="11.5"/>
        <color rgb="FF002060"/>
        <rFont val="Segoe UI"/>
        <family val="2"/>
      </rPr>
      <t>2</t>
    </r>
  </si>
  <si>
    <r>
      <t xml:space="preserve">60.7 </t>
    </r>
    <r>
      <rPr>
        <vertAlign val="superscript"/>
        <sz val="11.5"/>
        <color rgb="FF002060"/>
        <rFont val="Segoe UI"/>
        <family val="2"/>
      </rPr>
      <t>2</t>
    </r>
  </si>
  <si>
    <r>
      <t xml:space="preserve">58.0 </t>
    </r>
    <r>
      <rPr>
        <b/>
        <vertAlign val="superscript"/>
        <sz val="11.5"/>
        <color rgb="FF002060"/>
        <rFont val="Segoe UI"/>
        <family val="2"/>
      </rPr>
      <t>2</t>
    </r>
  </si>
  <si>
    <r>
      <t xml:space="preserve">55.7 </t>
    </r>
    <r>
      <rPr>
        <vertAlign val="superscript"/>
        <sz val="11.5"/>
        <color rgb="FF002060"/>
        <rFont val="Segoe UI"/>
        <family val="2"/>
      </rPr>
      <t>3</t>
    </r>
  </si>
  <si>
    <t>24. Currency Outside Depository Corporations</t>
  </si>
  <si>
    <t>25. Broad Money Liabilities (BML)</t>
  </si>
  <si>
    <t>26. Growth Rate of BML</t>
  </si>
  <si>
    <t>27. Claims on Other Sectors by Depository Corporations</t>
  </si>
  <si>
    <t>28. Growth Rate of Claims on Other Sectors by Depository Corporations</t>
  </si>
  <si>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t>
    </r>
    <r>
      <rPr>
        <i/>
        <vertAlign val="superscript"/>
        <sz val="10"/>
        <color rgb="FF002060"/>
        <rFont val="Segoe UI"/>
        <family val="2"/>
      </rPr>
      <t>4</t>
    </r>
    <r>
      <rPr>
        <i/>
        <sz val="10"/>
        <color rgb="FF002060"/>
        <rFont val="Segoe UI"/>
        <family val="2"/>
      </rPr>
      <t xml:space="preserve"> Estimates.        </t>
    </r>
    <r>
      <rPr>
        <i/>
        <vertAlign val="superscript"/>
        <sz val="10"/>
        <color rgb="FF002060"/>
        <rFont val="Segoe UI"/>
        <family val="2"/>
      </rPr>
      <t xml:space="preserve"> 5 </t>
    </r>
    <r>
      <rPr>
        <i/>
        <sz val="10"/>
        <color rgb="FF002060"/>
        <rFont val="Segoe UI"/>
        <family val="2"/>
      </rPr>
      <t xml:space="preserve">Statistics Mauritius Forecast.                                                   </t>
    </r>
    <r>
      <rPr>
        <i/>
        <vertAlign val="superscript"/>
        <sz val="10"/>
        <color rgb="FF002060"/>
        <rFont val="Segoe UI"/>
        <family val="2"/>
      </rPr>
      <t xml:space="preserve">      </t>
    </r>
    <r>
      <rPr>
        <i/>
        <sz val="10"/>
        <color rgb="FF002060"/>
        <rFont val="Segoe UI"/>
        <family val="2"/>
      </rPr>
      <t xml:space="preserve"> n.a.: not available.     
</t>
    </r>
  </si>
  <si>
    <t xml:space="preserve">^ Excluding net primary income of GBC from abroad. </t>
  </si>
  <si>
    <t>@ For the period 2011 to 2014, government finance statistics were compiled on a calendar year basis, spanning from January to December. As from 2015, the financial year for government finance statistics spanned from July to June of the following year. 
As from 2008-09, government finance statistics are compiled using the IMF's GFS Manual 2001.</t>
  </si>
  <si>
    <t>Note: Following IMF recommendations in January 2013 and with effect from January 2010, liabilities to Central Government now include deposits of budgetary central government, extra-budgetary units and social security funds, as well as their holdings of Bank of Mauritius securities, which were formerly classified as "Deposits and Securities Other than Shares, Excluded from Monetary Base".</t>
  </si>
  <si>
    <t># Debt Data for 2023 as at end-June.</t>
  </si>
  <si>
    <t xml:space="preserve">* Source:  Statistics Mauritius.     </t>
  </si>
  <si>
    <t>** Source: Ministry of Finance, Economic Planning and Development.</t>
  </si>
  <si>
    <t>Table 2: FAO Food Price Indices and Oil Prices: 2018 to 2022 (Annual) and January 2018 to September 2023 (Monthly)</t>
  </si>
  <si>
    <t>FAO Food Price Indices (2014-2016=100)</t>
  </si>
  <si>
    <t>Oil Prices (USD per barrel)</t>
  </si>
  <si>
    <t>Overall</t>
  </si>
  <si>
    <t xml:space="preserve">Meat </t>
  </si>
  <si>
    <t>Dairy</t>
  </si>
  <si>
    <t xml:space="preserve">Cereals </t>
  </si>
  <si>
    <t xml:space="preserve">Oils </t>
  </si>
  <si>
    <t xml:space="preserve">Sugar </t>
  </si>
  <si>
    <t>ICE Brent</t>
  </si>
  <si>
    <t>NYMEX WTI</t>
  </si>
  <si>
    <t>Yearly average</t>
  </si>
  <si>
    <t>Monthly average</t>
  </si>
  <si>
    <t>2015        January</t>
  </si>
  <si>
    <t xml:space="preserve"> June</t>
  </si>
  <si>
    <t xml:space="preserve"> July</t>
  </si>
  <si>
    <t>2016        January</t>
  </si>
  <si>
    <t>2017            January</t>
  </si>
  <si>
    <t>2018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</si>
  <si>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</si>
  <si>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</si>
  <si>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</si>
  <si>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</si>
  <si>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</si>
  <si>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</si>
  <si>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</si>
  <si>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</si>
  <si>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</si>
  <si>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</si>
  <si>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</si>
  <si>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2019                    January</t>
  </si>
  <si>
    <t>2020                    January</t>
  </si>
  <si>
    <t xml:space="preserve">                  February</t>
  </si>
  <si>
    <t xml:space="preserve">                     March</t>
  </si>
  <si>
    <t xml:space="preserve">                       April</t>
  </si>
  <si>
    <t xml:space="preserve">                        May</t>
  </si>
  <si>
    <t xml:space="preserve">                        June</t>
  </si>
  <si>
    <t xml:space="preserve">                        July</t>
  </si>
  <si>
    <t xml:space="preserve">                       August</t>
  </si>
  <si>
    <t>2021                    January</t>
  </si>
  <si>
    <t>2022                    January</t>
  </si>
  <si>
    <t>2023                    January</t>
  </si>
  <si>
    <t>Source: FAO; Thomson Reuters.</t>
  </si>
  <si>
    <t>Table 3: Outstanding Public Sector Debt: March 2021 to June 2023</t>
  </si>
  <si>
    <r>
      <t xml:space="preserve">Dec-22 </t>
    </r>
    <r>
      <rPr>
        <b/>
        <vertAlign val="superscript"/>
        <sz val="11"/>
        <color rgb="FF002060"/>
        <rFont val="Segoe UI"/>
        <family val="2"/>
      </rPr>
      <t>2</t>
    </r>
  </si>
  <si>
    <r>
      <t xml:space="preserve">Mar-23 </t>
    </r>
    <r>
      <rPr>
        <b/>
        <vertAlign val="superscript"/>
        <sz val="11"/>
        <color rgb="FF002060"/>
        <rFont val="Segoe UI"/>
        <family val="2"/>
      </rPr>
      <t>2</t>
    </r>
  </si>
  <si>
    <r>
      <t xml:space="preserve">Jun-23 </t>
    </r>
    <r>
      <rPr>
        <b/>
        <vertAlign val="superscript"/>
        <sz val="11"/>
        <color rgb="FF002060"/>
        <rFont val="Segoe UI"/>
        <family val="2"/>
      </rPr>
      <t>3</t>
    </r>
  </si>
  <si>
    <t>1. Short-term Domestic Obligations</t>
  </si>
  <si>
    <t>2. Medium-term Domestic Obligations</t>
  </si>
  <si>
    <t>3. Long-term Domestic Obligations</t>
  </si>
  <si>
    <t>4. Government securities issued for mopping up excess liquidity</t>
  </si>
  <si>
    <t>5. Consolidation adjustment (iro Govt Securities held by non-financial public corporations)</t>
  </si>
  <si>
    <t xml:space="preserve">6. Central Government Domestic Debt  </t>
  </si>
  <si>
    <t xml:space="preserve"> As a percentage of GDP</t>
  </si>
  <si>
    <t>7. Central Government External Debt</t>
  </si>
  <si>
    <t>8. Extra Budgetary Units Domestic Debt</t>
  </si>
  <si>
    <t>9. Extra Budgetary Units External Debt</t>
  </si>
  <si>
    <t>10. Local Government Debt</t>
  </si>
  <si>
    <t>11. Public Enterprises Domestic Debt</t>
  </si>
  <si>
    <t>12. Public Enterprises External Debt</t>
  </si>
  <si>
    <t>13. Public Sector Domestic Debt</t>
  </si>
  <si>
    <t>14.Public Sector External Debt</t>
  </si>
  <si>
    <t>15. Total Public Sector Debt</t>
  </si>
  <si>
    <r>
      <t>16. Net Public Sector Debt</t>
    </r>
    <r>
      <rPr>
        <vertAlign val="superscript"/>
        <sz val="11"/>
        <color rgb="FF002060"/>
        <rFont val="Segoe UI"/>
        <family val="2"/>
      </rPr>
      <t>1</t>
    </r>
  </si>
  <si>
    <r>
      <rPr>
        <i/>
        <vertAlign val="superscript"/>
        <sz val="10"/>
        <color rgb="FF002060"/>
        <rFont val="Segoe UI"/>
        <family val="2"/>
      </rPr>
      <t>1</t>
    </r>
    <r>
      <rPr>
        <i/>
        <sz val="10"/>
        <color rgb="FF002060"/>
        <rFont val="Segoe UI"/>
        <family val="2"/>
      </rPr>
      <t xml:space="preserve"> Public sector net debt was not applicable prior to March 2020 as Section 6(1A) of Public Debt Management Act was amended in The Covid-19 (Miscellaneous Provisions) Act in May 2020, which is effective as from 23 March 2020. </t>
    </r>
  </si>
  <si>
    <r>
      <rPr>
        <i/>
        <vertAlign val="superscript"/>
        <sz val="10"/>
        <color rgb="FF002060"/>
        <rFont val="Segoe UI"/>
        <family val="2"/>
      </rPr>
      <t>2</t>
    </r>
    <r>
      <rPr>
        <i/>
        <sz val="10"/>
        <color rgb="FF002060"/>
        <rFont val="Segoe UI"/>
        <family val="2"/>
      </rPr>
      <t xml:space="preserve"> Revised.</t>
    </r>
  </si>
  <si>
    <r>
      <rPr>
        <i/>
        <vertAlign val="superscript"/>
        <sz val="10"/>
        <color rgb="FF002060"/>
        <rFont val="Segoe UI"/>
        <family val="2"/>
      </rPr>
      <t>3</t>
    </r>
    <r>
      <rPr>
        <i/>
        <sz val="10"/>
        <color rgb="FF002060"/>
        <rFont val="Segoe UI"/>
        <family val="2"/>
      </rPr>
      <t xml:space="preserve"> Provisional.</t>
    </r>
  </si>
  <si>
    <t>Notes: (i) Short-term: Up to 12 months; Medium-term: Over 1 year but less than 5 years; Long-term: 5 years and above.</t>
  </si>
  <si>
    <t xml:space="preserve">           (ii) Figures may not add up to totals due to rounding.</t>
  </si>
  <si>
    <t>Source: Ministry of Finance, Economic Planning and Development.</t>
  </si>
  <si>
    <t>GDP</t>
  </si>
  <si>
    <r>
      <t>Table 4: Consumer Price Index (CPI) and Inflation Rates: January 2017 to September 2023</t>
    </r>
    <r>
      <rPr>
        <b/>
        <vertAlign val="superscript"/>
        <sz val="12"/>
        <color rgb="FF002060"/>
        <rFont val="Segoe UI"/>
        <family val="2"/>
      </rPr>
      <t xml:space="preserve"> 1</t>
    </r>
  </si>
  <si>
    <t xml:space="preserve">March </t>
  </si>
  <si>
    <t>Year-on-Year Inflation Rate</t>
  </si>
  <si>
    <r>
      <t>+4.2</t>
    </r>
    <r>
      <rPr>
        <vertAlign val="superscript"/>
        <sz val="10.5"/>
        <color rgb="FF002060"/>
        <rFont val="Segoe UI"/>
        <family val="2"/>
      </rPr>
      <t xml:space="preserve"> </t>
    </r>
  </si>
  <si>
    <r>
      <t>+1.8</t>
    </r>
    <r>
      <rPr>
        <vertAlign val="superscript"/>
        <sz val="10.5"/>
        <color rgb="FF002060"/>
        <rFont val="Segoe UI"/>
        <family val="2"/>
      </rPr>
      <t xml:space="preserve"> </t>
    </r>
  </si>
  <si>
    <r>
      <t>+0.9</t>
    </r>
    <r>
      <rPr>
        <vertAlign val="superscript"/>
        <sz val="10.5"/>
        <color rgb="FF002060"/>
        <rFont val="Segoe UI"/>
        <family val="2"/>
      </rPr>
      <t xml:space="preserve"> </t>
    </r>
  </si>
  <si>
    <t>+2.7</t>
  </si>
  <si>
    <t>+6.8</t>
  </si>
  <si>
    <t>+12.2</t>
  </si>
  <si>
    <r>
      <t xml:space="preserve">+5.2 </t>
    </r>
    <r>
      <rPr>
        <vertAlign val="superscript"/>
        <sz val="10.5"/>
        <color rgb="FF002060"/>
        <rFont val="Segoe UI"/>
        <family val="2"/>
      </rPr>
      <t>2</t>
    </r>
  </si>
  <si>
    <t>Headline Inflation Rate</t>
  </si>
  <si>
    <r>
      <t>+3.7</t>
    </r>
    <r>
      <rPr>
        <vertAlign val="superscript"/>
        <sz val="10.5"/>
        <color rgb="FF002060"/>
        <rFont val="Segoe UI"/>
        <family val="2"/>
      </rPr>
      <t xml:space="preserve"> </t>
    </r>
  </si>
  <si>
    <r>
      <t>+3.2</t>
    </r>
    <r>
      <rPr>
        <vertAlign val="superscript"/>
        <sz val="10.5"/>
        <color rgb="FF002060"/>
        <rFont val="Segoe UI"/>
        <family val="2"/>
      </rPr>
      <t xml:space="preserve"> </t>
    </r>
  </si>
  <si>
    <t>+0.5</t>
  </si>
  <si>
    <t>+2.5</t>
  </si>
  <si>
    <t>+4.0</t>
  </si>
  <si>
    <t>+10.8</t>
  </si>
  <si>
    <r>
      <t xml:space="preserve">+9.0 </t>
    </r>
    <r>
      <rPr>
        <vertAlign val="superscript"/>
        <sz val="10.5"/>
        <color rgb="FF002060"/>
        <rFont val="Segoe UI"/>
        <family val="2"/>
      </rPr>
      <t>3</t>
    </r>
  </si>
  <si>
    <r>
      <rPr>
        <i/>
        <vertAlign val="superscript"/>
        <sz val="10"/>
        <color rgb="FF002060"/>
        <rFont val="Segoe UI"/>
        <family val="2"/>
      </rPr>
      <t xml:space="preserve">1 </t>
    </r>
    <r>
      <rPr>
        <i/>
        <sz val="10"/>
        <color rgb="FF002060"/>
        <rFont val="Segoe UI"/>
        <family val="2"/>
      </rPr>
      <t xml:space="preserve">Effective April 2018, the CPI is based on an updated basket of goods and services derived from the 2017 Household Budget Survey. </t>
    </r>
  </si>
  <si>
    <t xml:space="preserve">  The base period is January – December 2017 = 100. </t>
  </si>
  <si>
    <r>
      <t>2</t>
    </r>
    <r>
      <rPr>
        <i/>
        <sz val="10"/>
        <color rgb="FF002060"/>
        <rFont val="Segoe UI"/>
        <family val="2"/>
      </rPr>
      <t xml:space="preserve"> Year-on-Year Inflation Rate for September 2023.</t>
    </r>
  </si>
  <si>
    <r>
      <rPr>
        <i/>
        <vertAlign val="superscript"/>
        <sz val="10"/>
        <color rgb="FF002060"/>
        <rFont val="Segoe UI"/>
        <family val="2"/>
      </rPr>
      <t xml:space="preserve">3 </t>
    </r>
    <r>
      <rPr>
        <i/>
        <sz val="10"/>
        <color rgb="FF002060"/>
        <rFont val="Segoe UI"/>
        <family val="2"/>
      </rPr>
      <t>Headline Inflation Rate for the twelve-month period ended September 2023.</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</si>
  <si>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</si>
  <si>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</si>
  <si>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monthly CPI, during a twelve-month period</t>
  </si>
  <si>
    <t xml:space="preserve">               with the average level during the corresponding previous twelve-month period.</t>
  </si>
  <si>
    <t xml:space="preserve">Source: Statistics Mauritius. </t>
  </si>
  <si>
    <t>Annual Average</t>
  </si>
  <si>
    <t>Year-on-Year</t>
  </si>
  <si>
    <r>
      <t>Headline</t>
    </r>
    <r>
      <rPr>
        <b/>
        <vertAlign val="superscript"/>
        <sz val="11"/>
        <color rgb="FF002060"/>
        <rFont val="Segoe UI"/>
        <family val="2"/>
      </rPr>
      <t xml:space="preserve"> </t>
    </r>
  </si>
  <si>
    <r>
      <t>CORE1</t>
    </r>
    <r>
      <rPr>
        <b/>
        <vertAlign val="superscript"/>
        <sz val="11"/>
        <color rgb="FF002060"/>
        <rFont val="Segoe UI"/>
        <family val="2"/>
      </rPr>
      <t xml:space="preserve"> </t>
    </r>
  </si>
  <si>
    <r>
      <t>CORE2</t>
    </r>
    <r>
      <rPr>
        <b/>
        <vertAlign val="superscript"/>
        <sz val="11"/>
        <color rgb="FF002060"/>
        <rFont val="Segoe UI"/>
        <family val="2"/>
      </rPr>
      <t xml:space="preserve"> </t>
    </r>
  </si>
  <si>
    <t xml:space="preserve"> CPI Inflation</t>
  </si>
  <si>
    <t xml:space="preserve"> CORE1</t>
  </si>
  <si>
    <t xml:space="preserve"> CORE2</t>
  </si>
  <si>
    <r>
      <rPr>
        <i/>
        <vertAlign val="superscript"/>
        <sz val="10"/>
        <color rgb="FF002060"/>
        <rFont val="Segoe UI"/>
        <family val="2"/>
      </rPr>
      <t>1</t>
    </r>
    <r>
      <rPr>
        <i/>
        <sz val="10"/>
        <color rgb="FF002060"/>
        <rFont val="Segoe UI"/>
        <family val="2"/>
      </rPr>
      <t xml:space="preserve"> Effective April 2018, Core inflation data are compiled using the basket of goods and services derived from the 2017 Household Budget Survey.</t>
    </r>
  </si>
  <si>
    <t xml:space="preserve">(i) CORE1 excludes “Food, Beverages and Tobacco” components and mortgage interest on housing loan from the CPI basket. </t>
  </si>
  <si>
    <t>(ii) CORE2 excludes "Food, Beverages, Tobacco", mortgage interest, energy prices and administered prices from the CPI basket.</t>
  </si>
  <si>
    <t>(iii) The annual average method compares the average level of prices during a twelve-month period with the average level during the corresponding previous twelve-month period.</t>
  </si>
  <si>
    <t>(iv) The year-on-year methodology is calculated as the change in the CPI for a given month compared with the same month of the preceding year in percentage terms.</t>
  </si>
  <si>
    <t xml:space="preserve">(v) Effective May 2021, CORE inflation data are computed by Statistics Mauritius. </t>
  </si>
  <si>
    <t>Source: Statistics Mauritius.</t>
  </si>
  <si>
    <t>Table 6: Bank of Mauritius Statement of Financial Position as at end August 2023</t>
  </si>
  <si>
    <t>Rs 000</t>
  </si>
  <si>
    <t>Foreign Assets</t>
  </si>
  <si>
    <t>Cash and Cash Equivalents</t>
  </si>
  <si>
    <t>Gold Deposits</t>
  </si>
  <si>
    <t>Financial Assets held at Amortised Cost</t>
  </si>
  <si>
    <t>Financial Assets held at Fair Value Through Other Comprehensive Income</t>
  </si>
  <si>
    <t>Financial Assets held at Fair Value Through Profit or Loss</t>
  </si>
  <si>
    <t>Domestic Assets</t>
  </si>
  <si>
    <t>Equity Investment in Mauritius Investment Corporation Ltd</t>
  </si>
  <si>
    <t>Computer Software</t>
  </si>
  <si>
    <t>Property, Plant and Equipment</t>
  </si>
  <si>
    <t>Currency in Circulation</t>
  </si>
  <si>
    <t>Demand Deposits</t>
  </si>
  <si>
    <t>Government</t>
  </si>
  <si>
    <t>Mauritius Investment Corporation Ltd</t>
  </si>
  <si>
    <t>Monetary Policy Instruments</t>
  </si>
  <si>
    <t>Provisions</t>
  </si>
  <si>
    <t>Employee Benefits</t>
  </si>
  <si>
    <r>
      <t>Other Liabilities</t>
    </r>
    <r>
      <rPr>
        <sz val="10"/>
        <color indexed="56"/>
        <rFont val="Segoe UI"/>
        <family val="2"/>
      </rPr>
      <t xml:space="preserve"> </t>
    </r>
  </si>
  <si>
    <t>CAPITAL AND RESERVES</t>
  </si>
  <si>
    <t>Stated and Paid Up Capital</t>
  </si>
  <si>
    <t>Reserves</t>
  </si>
  <si>
    <t>Total Comprehensive Income</t>
  </si>
  <si>
    <t>TOTAL LIABILITIES, CAPITAL AND RESERVES</t>
  </si>
  <si>
    <r>
      <t>Table 7: Sectoral Balance Sheet of Bank of Mauritius</t>
    </r>
    <r>
      <rPr>
        <b/>
        <vertAlign val="superscript"/>
        <sz val="12"/>
        <color rgb="FF002060"/>
        <rFont val="Segoe UI"/>
        <family val="2"/>
      </rPr>
      <t>1</t>
    </r>
    <r>
      <rPr>
        <b/>
        <sz val="12"/>
        <color rgb="FF002060"/>
        <rFont val="Segoe UI"/>
        <family val="2"/>
      </rPr>
      <t>: September 2022 to September 2023</t>
    </r>
  </si>
  <si>
    <t>Code</t>
  </si>
  <si>
    <t xml:space="preserve">Apr-20 </t>
  </si>
  <si>
    <t xml:space="preserve">May-20 </t>
  </si>
  <si>
    <t>Feb-22</t>
  </si>
  <si>
    <t>Oct-22</t>
  </si>
  <si>
    <r>
      <t>Aug-23</t>
    </r>
    <r>
      <rPr>
        <b/>
        <vertAlign val="superscript"/>
        <sz val="11"/>
        <color rgb="FF002060"/>
        <rFont val="Segoe UI"/>
        <family val="2"/>
      </rPr>
      <t>2</t>
    </r>
  </si>
  <si>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</si>
  <si>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</si>
  <si>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</si>
  <si>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</si>
  <si>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</si>
  <si>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</si>
  <si>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</si>
  <si>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</si>
  <si>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</si>
  <si>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</si>
  <si>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</si>
  <si>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</si>
  <si>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</si>
  <si>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Debt Securities</t>
  </si>
  <si>
    <t>A4</t>
  </si>
  <si>
    <t>A5</t>
  </si>
  <si>
    <t>Equity and Investment Fund Shares</t>
  </si>
  <si>
    <t>A6</t>
  </si>
  <si>
    <t>Insurance, Pension, and Standardized Guarantee Schemes</t>
  </si>
  <si>
    <t>A7</t>
  </si>
  <si>
    <t>Financial Derivatives</t>
  </si>
  <si>
    <t>A8</t>
  </si>
  <si>
    <t>Other Accounts Receivable</t>
  </si>
  <si>
    <t>A9</t>
  </si>
  <si>
    <t>Nonfinancial Assets</t>
  </si>
  <si>
    <t>L1</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</si>
  <si>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</si>
  <si>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</si>
  <si>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</si>
  <si>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</si>
  <si>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</si>
  <si>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</si>
  <si>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</si>
  <si>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</si>
  <si>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</si>
  <si>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</si>
  <si>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</si>
  <si>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</si>
  <si>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</si>
  <si>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</si>
  <si>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Debt Securities, Included in Broad Money</t>
  </si>
  <si>
    <t>L5</t>
  </si>
  <si>
    <t>Debt Securities, Excluded from Broad Money</t>
  </si>
  <si>
    <t>L6</t>
  </si>
  <si>
    <t>L7</t>
  </si>
  <si>
    <t>L8</t>
  </si>
  <si>
    <t>L9</t>
  </si>
  <si>
    <t>Other Accounts Payable</t>
  </si>
  <si>
    <t>L10</t>
  </si>
  <si>
    <t xml:space="preserve"> Figures may not add up to totals due to rounding.</t>
  </si>
  <si>
    <r>
      <t xml:space="preserve"> 1</t>
    </r>
    <r>
      <rPr>
        <i/>
        <sz val="10"/>
        <color rgb="FF002060"/>
        <rFont val="Segoe UI"/>
        <family val="2"/>
      </rPr>
      <t xml:space="preserve"> The sectoral balance sheet follows the concepts and principles of the IMF's Monetary and Financial Statistics Manual and Compilation Guide (2016).</t>
    </r>
  </si>
  <si>
    <r>
      <rPr>
        <i/>
        <vertAlign val="superscript"/>
        <sz val="10"/>
        <color rgb="FF002060"/>
        <rFont val="Segoe UI"/>
        <family val="2"/>
      </rPr>
      <t>2</t>
    </r>
    <r>
      <rPr>
        <i/>
        <sz val="10"/>
        <color rgb="FF002060"/>
        <rFont val="Segoe UI"/>
        <family val="2"/>
      </rPr>
      <t>Revised.</t>
    </r>
  </si>
  <si>
    <r>
      <t>Table 8: Central Bank Survey</t>
    </r>
    <r>
      <rPr>
        <b/>
        <vertAlign val="superscript"/>
        <sz val="12"/>
        <color rgb="FF002060"/>
        <rFont val="Segoe UI"/>
        <family val="2"/>
      </rPr>
      <t>1</t>
    </r>
    <r>
      <rPr>
        <b/>
        <sz val="12"/>
        <color rgb="FF002060"/>
        <rFont val="Segoe UI"/>
        <family val="2"/>
      </rPr>
      <t>: September 2022 to September 2023</t>
    </r>
  </si>
  <si>
    <r>
      <t>June-20</t>
    </r>
    <r>
      <rPr>
        <b/>
        <vertAlign val="superscript"/>
        <sz val="11"/>
        <color rgb="FF002060"/>
        <rFont val="Segoe UI"/>
        <family val="2"/>
      </rPr>
      <t xml:space="preserve"> </t>
    </r>
  </si>
  <si>
    <r>
      <t>July-20</t>
    </r>
    <r>
      <rPr>
        <b/>
        <vertAlign val="superscript"/>
        <sz val="11"/>
        <color rgb="FF002060"/>
        <rFont val="Segoe UI"/>
        <family val="2"/>
      </rPr>
      <t/>
    </r>
  </si>
  <si>
    <r>
      <t>Aug-20</t>
    </r>
    <r>
      <rPr>
        <b/>
        <vertAlign val="superscript"/>
        <sz val="11"/>
        <color rgb="FF002060"/>
        <rFont val="Segoe UI"/>
        <family val="2"/>
      </rPr>
      <t/>
    </r>
  </si>
  <si>
    <r>
      <t>Sep-20</t>
    </r>
    <r>
      <rPr>
        <b/>
        <vertAlign val="superscript"/>
        <sz val="11"/>
        <color rgb="FF002060"/>
        <rFont val="Segoe UI"/>
        <family val="2"/>
      </rPr>
      <t/>
    </r>
  </si>
  <si>
    <r>
      <t>Oct-20</t>
    </r>
    <r>
      <rPr>
        <b/>
        <vertAlign val="superscript"/>
        <sz val="11"/>
        <color rgb="FF002060"/>
        <rFont val="Segoe UI"/>
        <family val="2"/>
      </rPr>
      <t/>
    </r>
  </si>
  <si>
    <r>
      <t>Aug-23</t>
    </r>
    <r>
      <rPr>
        <b/>
        <vertAlign val="superscript"/>
        <sz val="11"/>
        <color rgb="FF002060"/>
        <rFont val="Segoe UI"/>
        <family val="2"/>
      </rPr>
      <t>3</t>
    </r>
  </si>
  <si>
    <t xml:space="preserve">Net Foreign Assets </t>
  </si>
  <si>
    <r>
      <t xml:space="preserve">   Claims on Nonresidents </t>
    </r>
    <r>
      <rPr>
        <vertAlign val="superscript"/>
        <sz val="11"/>
        <color rgb="FF002060"/>
        <rFont val="Segoe UI"/>
        <family val="2"/>
      </rPr>
      <t>2</t>
    </r>
  </si>
  <si>
    <t xml:space="preserve">   less: Liabilities to Nonresidents</t>
  </si>
  <si>
    <t>Claims on Other Depository Corporations</t>
  </si>
  <si>
    <t xml:space="preserve">Net Claims on Central Government </t>
  </si>
  <si>
    <t xml:space="preserve">    Claims on Central Government</t>
  </si>
  <si>
    <t xml:space="preserve">     less: Liabilities to Central Government</t>
  </si>
  <si>
    <t>Claims on Other Sectors</t>
  </si>
  <si>
    <t>Monetary Base</t>
  </si>
  <si>
    <t xml:space="preserve">    Currency in circulation</t>
  </si>
  <si>
    <t xml:space="preserve">    Liabilities to Other Depository Corporations</t>
  </si>
  <si>
    <t xml:space="preserve">    Liabilities to Other Sectors</t>
  </si>
  <si>
    <t>Other Liabilities to Other Depository Corporations</t>
  </si>
  <si>
    <t>Deposits and Debt Securities, Excluded from Monetary Base</t>
  </si>
  <si>
    <t xml:space="preserve">    Deposits Included in Broad Money</t>
  </si>
  <si>
    <t xml:space="preserve">    Debt Securities Included in Broad Money</t>
  </si>
  <si>
    <t xml:space="preserve">    Deposits Excluded from Broad Money</t>
  </si>
  <si>
    <t xml:space="preserve">    Debt Securities Excluded from Broad Money</t>
  </si>
  <si>
    <t>Other Items (net)</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</si>
  <si>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 the monetary aggregates of the economy.</t>
    </r>
  </si>
  <si>
    <r>
      <rPr>
        <i/>
        <vertAlign val="superscript"/>
        <sz val="10"/>
        <color rgb="FF002060"/>
        <rFont val="Arial"/>
        <family val="2"/>
      </rPr>
      <t>2</t>
    </r>
    <r>
      <rPr>
        <i/>
        <sz val="10"/>
        <color rgb="FF002060"/>
        <rFont val="Arial"/>
        <family val="2"/>
      </rPr>
      <t xml:space="preserve"> Excludes reserve position of the Fund.</t>
    </r>
  </si>
  <si>
    <r>
      <rPr>
        <i/>
        <vertAlign val="superscript"/>
        <sz val="10"/>
        <color rgb="FF002060"/>
        <rFont val="Segoe UI"/>
        <family val="2"/>
      </rPr>
      <t>3</t>
    </r>
    <r>
      <rPr>
        <i/>
        <sz val="10"/>
        <color rgb="FF002060"/>
        <rFont val="Segoe UI"/>
        <family val="2"/>
      </rPr>
      <t>Revised.</t>
    </r>
  </si>
  <si>
    <r>
      <t>Table 9: Sectoral Balance Sheet of Banks</t>
    </r>
    <r>
      <rPr>
        <b/>
        <vertAlign val="superscript"/>
        <sz val="12"/>
        <color rgb="FF002060"/>
        <rFont val="Segoe UI"/>
        <family val="2"/>
      </rPr>
      <t>1</t>
    </r>
    <r>
      <rPr>
        <b/>
        <sz val="12"/>
        <color rgb="FF002060"/>
        <rFont val="Segoe UI"/>
        <family val="2"/>
      </rPr>
      <t>: August 2022 to August 2023</t>
    </r>
  </si>
  <si>
    <t xml:space="preserve">Feb-20 </t>
  </si>
  <si>
    <r>
      <t xml:space="preserve">Apr-20 </t>
    </r>
    <r>
      <rPr>
        <sz val="11"/>
        <color theme="1"/>
        <rFont val="Calibri"/>
        <family val="2"/>
        <scheme val="minor"/>
      </rPr>
      <t/>
    </r>
  </si>
  <si>
    <r>
      <t xml:space="preserve">May-20 </t>
    </r>
    <r>
      <rPr>
        <sz val="11"/>
        <color theme="1"/>
        <rFont val="Calibri"/>
        <family val="2"/>
        <scheme val="minor"/>
      </rPr>
      <t/>
    </r>
  </si>
  <si>
    <t xml:space="preserve">Feb-21 </t>
  </si>
  <si>
    <t xml:space="preserve">Mar-21 </t>
  </si>
  <si>
    <r>
      <t>Apr-21</t>
    </r>
    <r>
      <rPr>
        <b/>
        <vertAlign val="superscript"/>
        <sz val="11"/>
        <color rgb="FF002060"/>
        <rFont val="Segoe UI"/>
        <family val="2"/>
      </rPr>
      <t xml:space="preserve"> </t>
    </r>
  </si>
  <si>
    <t xml:space="preserve">Jul-21 </t>
  </si>
  <si>
    <t xml:space="preserve">Aug-21 </t>
  </si>
  <si>
    <t>Jan-22</t>
  </si>
  <si>
    <t>Apr-23</t>
  </si>
  <si>
    <t>A1.1</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</si>
  <si>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</si>
  <si>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</si>
  <si>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</si>
  <si>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</si>
  <si>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 xml:space="preserve">Financial Derivatives </t>
  </si>
  <si>
    <t xml:space="preserve">Sep-21 </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</si>
  <si>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</si>
  <si>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</si>
  <si>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</si>
  <si>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</si>
  <si>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</si>
  <si>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Financial Derivatives and Employee Stock Options</t>
  </si>
  <si>
    <t xml:space="preserve">Note: For data prior to October 2018, please refer to the Bank's Monthly Statistical Bulletin available at </t>
  </si>
  <si>
    <t xml:space="preserve"> https://www.bom.mu/publications-statistics/statistics/monthly-statistical-bulletin/monthly-statistical-bulletin-February-2021</t>
  </si>
  <si>
    <r>
      <rPr>
        <i/>
        <vertAlign val="superscript"/>
        <sz val="10"/>
        <color rgb="FF002060"/>
        <rFont val="Segoe UI"/>
        <family val="2"/>
      </rPr>
      <t>1</t>
    </r>
    <r>
      <rPr>
        <i/>
        <sz val="10"/>
        <color rgb="FF002060"/>
        <rFont val="Segoe UI"/>
        <family val="2"/>
      </rPr>
      <t xml:space="preserve"> The sectoral balance sheet follows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</si>
  <si>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</si>
  <si>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</si>
  <si>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r>
      <t>Table 10: Sectoral Balance Sheet of Non-Bank Deposit Taking Institutions</t>
    </r>
    <r>
      <rPr>
        <b/>
        <vertAlign val="superscript"/>
        <sz val="12"/>
        <color rgb="FF002060"/>
        <rFont val="Segoe UI"/>
        <family val="2"/>
      </rPr>
      <t>1</t>
    </r>
    <r>
      <rPr>
        <b/>
        <sz val="12"/>
        <color rgb="FF002060"/>
        <rFont val="Segoe UI"/>
        <family val="2"/>
      </rPr>
      <t>: August 2022 to August 2023</t>
    </r>
  </si>
  <si>
    <r>
      <t>Jun-20</t>
    </r>
    <r>
      <rPr>
        <sz val="11"/>
        <color theme="1"/>
        <rFont val="Calibri"/>
        <family val="2"/>
        <scheme val="minor"/>
      </rPr>
      <t/>
    </r>
  </si>
  <si>
    <t xml:space="preserve">Apr-21 </t>
  </si>
  <si>
    <r>
      <t xml:space="preserve">Jul-21 </t>
    </r>
    <r>
      <rPr>
        <sz val="11"/>
        <color theme="1"/>
        <rFont val="Calibri"/>
        <family val="2"/>
        <scheme val="minor"/>
      </rPr>
      <t/>
    </r>
  </si>
  <si>
    <r>
      <t xml:space="preserve">Aug-21 </t>
    </r>
    <r>
      <rPr>
        <sz val="11"/>
        <color theme="1"/>
        <rFont val="Calibri"/>
        <family val="2"/>
        <scheme val="minor"/>
      </rPr>
      <t/>
    </r>
  </si>
  <si>
    <r>
      <t xml:space="preserve">Sep-21 </t>
    </r>
    <r>
      <rPr>
        <sz val="11"/>
        <color theme="1"/>
        <rFont val="Calibri"/>
        <family val="2"/>
        <scheme val="minor"/>
      </rPr>
      <t/>
    </r>
  </si>
  <si>
    <r>
      <t xml:space="preserve">Oct-21 </t>
    </r>
    <r>
      <rPr>
        <sz val="11"/>
        <color theme="1"/>
        <rFont val="Calibri"/>
        <family val="2"/>
        <scheme val="minor"/>
      </rPr>
      <t/>
    </r>
  </si>
  <si>
    <t xml:space="preserve">Nov-21 </t>
  </si>
  <si>
    <t xml:space="preserve">Dec-21 </t>
  </si>
  <si>
    <r>
      <t>Feb-21</t>
    </r>
    <r>
      <rPr>
        <b/>
        <vertAlign val="superscript"/>
        <sz val="11"/>
        <color rgb="FF002060"/>
        <rFont val="Segoe UI"/>
        <family val="2"/>
      </rPr>
      <t xml:space="preserve"> </t>
    </r>
  </si>
  <si>
    <r>
      <t>Table 11: Sectoral Balance Sheet of Other Depository Corporations</t>
    </r>
    <r>
      <rPr>
        <b/>
        <vertAlign val="superscript"/>
        <sz val="12"/>
        <color rgb="FF002060"/>
        <rFont val="Segoe UI"/>
        <family val="2"/>
      </rPr>
      <t>1</t>
    </r>
    <r>
      <rPr>
        <b/>
        <sz val="12"/>
        <color rgb="FF002060"/>
        <rFont val="Segoe UI"/>
        <family val="2"/>
      </rPr>
      <t>: August 2022 to August 2023</t>
    </r>
  </si>
  <si>
    <r>
      <t>June-20</t>
    </r>
    <r>
      <rPr>
        <sz val="11"/>
        <color theme="1"/>
        <rFont val="Calibri"/>
        <family val="2"/>
        <scheme val="minor"/>
      </rPr>
      <t/>
    </r>
  </si>
  <si>
    <t>June-20</t>
  </si>
  <si>
    <r>
      <t>Table 12: Other Depository Corporations Survey</t>
    </r>
    <r>
      <rPr>
        <b/>
        <vertAlign val="superscript"/>
        <sz val="12"/>
        <color rgb="FF002060"/>
        <rFont val="Segoe UI"/>
        <family val="2"/>
      </rPr>
      <t>1</t>
    </r>
    <r>
      <rPr>
        <b/>
        <sz val="12"/>
        <color rgb="FF002060"/>
        <rFont val="Segoe UI"/>
        <family val="2"/>
      </rPr>
      <t>: August 2022 to August 2023</t>
    </r>
  </si>
  <si>
    <t>Apr-22</t>
  </si>
  <si>
    <r>
      <t>Net Foreign Assets</t>
    </r>
    <r>
      <rPr>
        <b/>
        <vertAlign val="superscript"/>
        <sz val="11"/>
        <color rgb="FF002060"/>
        <rFont val="Segoe UI"/>
        <family val="2"/>
      </rPr>
      <t xml:space="preserve"> </t>
    </r>
  </si>
  <si>
    <r>
      <t xml:space="preserve">    Claims on nonresidents</t>
    </r>
    <r>
      <rPr>
        <vertAlign val="superscript"/>
        <sz val="11"/>
        <color rgb="FF002060"/>
        <rFont val="Segoe UI"/>
        <family val="2"/>
      </rPr>
      <t xml:space="preserve"> </t>
    </r>
  </si>
  <si>
    <t xml:space="preserve">    Liabilities to nonresidents</t>
  </si>
  <si>
    <t>Claims on Central Bank</t>
  </si>
  <si>
    <t xml:space="preserve">    Currency</t>
  </si>
  <si>
    <t xml:space="preserve">    Reserve Deposits and Debt Securities</t>
  </si>
  <si>
    <t xml:space="preserve">    Other claims</t>
  </si>
  <si>
    <t>Net Claims on Central Government</t>
  </si>
  <si>
    <t xml:space="preserve">      Claims on central government</t>
  </si>
  <si>
    <t xml:space="preserve">      Liabilities to central government </t>
  </si>
  <si>
    <t xml:space="preserve">Claims on Other Sectors </t>
  </si>
  <si>
    <t>Liabilities to Central Bank</t>
  </si>
  <si>
    <r>
      <t>Transferable Deposits Included in Broad Money</t>
    </r>
    <r>
      <rPr>
        <b/>
        <vertAlign val="superscript"/>
        <sz val="11"/>
        <color rgb="FF002060"/>
        <rFont val="Segoe UI"/>
        <family val="2"/>
      </rPr>
      <t xml:space="preserve"> 2</t>
    </r>
  </si>
  <si>
    <r>
      <t xml:space="preserve">Other deposits Included in Broad Money </t>
    </r>
    <r>
      <rPr>
        <b/>
        <vertAlign val="superscript"/>
        <sz val="11"/>
        <color rgb="FF002060"/>
        <rFont val="Segoe UI"/>
        <family val="2"/>
      </rPr>
      <t>3</t>
    </r>
  </si>
  <si>
    <t>Debt securities Included in Broad Money</t>
  </si>
  <si>
    <t>Deposits Excluded from Broad Money:</t>
  </si>
  <si>
    <t xml:space="preserve">               Deposits of Global Business Licence Holders</t>
  </si>
  <si>
    <t>Debt securities Excluded from Broad Money</t>
  </si>
  <si>
    <r>
      <rPr>
        <i/>
        <vertAlign val="superscript"/>
        <sz val="10"/>
        <color rgb="FF002060"/>
        <rFont val="Segoe UI"/>
        <family val="2"/>
      </rPr>
      <t xml:space="preserve">1 </t>
    </r>
    <r>
      <rPr>
        <i/>
        <sz val="10"/>
        <color rgb="FF002060"/>
        <rFont val="Segoe UI"/>
        <family val="2"/>
      </rPr>
      <t>The Other Depository Corporations covers all institutional units, i.e., banks and non-bank deposit taking institutions that issue liabilities included in the national definition of broad money. The Other Depository Corporation Survey is derived from the sectoral balance sheets of Other Depository Corporations.</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</si>
  <si>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</si>
  <si>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t xml:space="preserve">Table 13a: Depository Corporations Survey </t>
    </r>
    <r>
      <rPr>
        <b/>
        <vertAlign val="superscript"/>
        <sz val="12"/>
        <color rgb="FF002060"/>
        <rFont val="Segoe UI"/>
        <family val="2"/>
      </rPr>
      <t>1</t>
    </r>
    <r>
      <rPr>
        <b/>
        <sz val="12"/>
        <color rgb="FF002060"/>
        <rFont val="Segoe UI"/>
        <family val="2"/>
      </rPr>
      <t>: August 2022 to August 2023</t>
    </r>
  </si>
  <si>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</si>
  <si>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</si>
  <si>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</si>
  <si>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</si>
  <si>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</si>
  <si>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</si>
  <si>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</si>
  <si>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</si>
  <si>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</si>
  <si>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r>
      <t xml:space="preserve">    Transferable Deposits </t>
    </r>
    <r>
      <rPr>
        <vertAlign val="superscript"/>
        <sz val="11"/>
        <color rgb="FF002060"/>
        <rFont val="Segoe UI"/>
        <family val="2"/>
      </rPr>
      <t>2</t>
    </r>
  </si>
  <si>
    <r>
      <t xml:space="preserve">    Other Deposits</t>
    </r>
    <r>
      <rPr>
        <vertAlign val="superscript"/>
        <sz val="11"/>
        <color rgb="FF002060"/>
        <rFont val="Segoe UI"/>
        <family val="2"/>
      </rPr>
      <t xml:space="preserve"> 3</t>
    </r>
  </si>
  <si>
    <t xml:space="preserve">    Debt securities </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</si>
  <si>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</si>
  <si>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</si>
  <si>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 by check, draft, giro order, direct debit/credit or other direct payment facility.</t>
    </r>
  </si>
  <si>
    <r>
      <t>Table 13b: Sectoral Balance Sheet</t>
    </r>
    <r>
      <rPr>
        <b/>
        <vertAlign val="superscript"/>
        <sz val="12"/>
        <color rgb="FF002060"/>
        <rFont val="Segoe UI"/>
        <family val="2"/>
      </rPr>
      <t>1</t>
    </r>
    <r>
      <rPr>
        <b/>
        <sz val="12"/>
        <color rgb="FF002060"/>
        <rFont val="Segoe UI"/>
        <family val="2"/>
      </rPr>
      <t xml:space="preserve"> of Other Financial Corporations* : 2023Q1</t>
    </r>
  </si>
  <si>
    <t xml:space="preserve">Transferable deposits </t>
  </si>
  <si>
    <t xml:space="preserve">Other deposits </t>
  </si>
  <si>
    <r>
      <rPr>
        <i/>
        <vertAlign val="superscript"/>
        <sz val="9"/>
        <color rgb="FF002060"/>
        <rFont val="Segoe UI"/>
        <family val="2"/>
      </rPr>
      <t>1</t>
    </r>
    <r>
      <rPr>
        <i/>
        <sz val="9"/>
        <color rgb="FF002060"/>
        <rFont val="Segoe UI"/>
        <family val="2"/>
      </rPr>
      <t xml:space="preserve"> The sectoral balance sheet contains the stock data for all categories of assets and liabilities.</t>
    </r>
  </si>
  <si>
    <t>* Comprise Global Business Corporations (GBCs), insurance corporations, pension funds, investment funds and financial auxiliaries.</t>
  </si>
  <si>
    <t>Source : Economic Analysis &amp; Research and Statistics Department and Financial Services Commission, Mauritius.</t>
  </si>
  <si>
    <r>
      <t>Table 13c: Sectoral Balance Sheet</t>
    </r>
    <r>
      <rPr>
        <b/>
        <vertAlign val="superscript"/>
        <sz val="12"/>
        <color rgb="FF002060"/>
        <rFont val="Segoe UI"/>
        <family val="2"/>
      </rPr>
      <t>1</t>
    </r>
    <r>
      <rPr>
        <b/>
        <sz val="12"/>
        <color rgb="FF002060"/>
        <rFont val="Segoe UI"/>
        <family val="2"/>
      </rPr>
      <t xml:space="preserve"> of Other Financial Corporations (Excluding GBCs) : 2023Q1</t>
    </r>
  </si>
  <si>
    <r>
      <t>Table 13d: Other Financial Corporations Survey</t>
    </r>
    <r>
      <rPr>
        <b/>
        <vertAlign val="superscript"/>
        <sz val="12"/>
        <color rgb="FF002060"/>
        <rFont val="Segoe UI"/>
        <family val="2"/>
      </rPr>
      <t>1</t>
    </r>
    <r>
      <rPr>
        <b/>
        <sz val="12"/>
        <color rgb="FF002060"/>
        <rFont val="Segoe UI"/>
        <family val="2"/>
      </rPr>
      <t xml:space="preserve"> : 2023Q1</t>
    </r>
  </si>
  <si>
    <t xml:space="preserve">Claims on nonresidents </t>
  </si>
  <si>
    <t>Liabilities to nonresidents*</t>
  </si>
  <si>
    <t>Claims on Depository Corporations</t>
  </si>
  <si>
    <t>Claims on central government</t>
  </si>
  <si>
    <t xml:space="preserve">Liabilities to central government </t>
  </si>
  <si>
    <t>Deposits</t>
  </si>
  <si>
    <t>Debt securities</t>
  </si>
  <si>
    <r>
      <t xml:space="preserve">1 </t>
    </r>
    <r>
      <rPr>
        <i/>
        <sz val="10"/>
        <color rgb="FF002060"/>
        <rFont val="Segoe UI"/>
        <family val="2"/>
      </rPr>
      <t>The Other Financial Corporations Survey (OFCS) is derived from the sectoral balance sheets of Other Financial Corporations, which comprise Global Business Corporations (GBCs), insurance corporations, pension funds, investment funds and financial auxiliaries.</t>
    </r>
  </si>
  <si>
    <r>
      <t xml:space="preserve">* </t>
    </r>
    <r>
      <rPr>
        <i/>
        <sz val="10"/>
        <color rgb="FF002060"/>
        <rFont val="Segoe UI"/>
        <family val="2"/>
      </rPr>
      <t>GBCs' nonresident equity liability positions have been treated as foreign (external) liabilities, in line with IMF recommendations.</t>
    </r>
  </si>
  <si>
    <r>
      <t>Table 13e: Financial Corporations Survey</t>
    </r>
    <r>
      <rPr>
        <b/>
        <vertAlign val="superscript"/>
        <sz val="12"/>
        <color rgb="FF002060"/>
        <rFont val="Segoe UI"/>
        <family val="2"/>
      </rPr>
      <t>1</t>
    </r>
    <r>
      <rPr>
        <b/>
        <sz val="12"/>
        <color rgb="FF002060"/>
        <rFont val="Segoe UI"/>
        <family val="2"/>
      </rPr>
      <t xml:space="preserve"> : 2023Q1</t>
    </r>
  </si>
  <si>
    <t xml:space="preserve">    Liabilities to Nonresidents*</t>
  </si>
  <si>
    <t>Domestic Claims</t>
  </si>
  <si>
    <t>Net claims on Central Government</t>
  </si>
  <si>
    <t>Claims on Central Government</t>
  </si>
  <si>
    <t>Liabilities to Central Government</t>
  </si>
  <si>
    <t>Claims on other sectors</t>
  </si>
  <si>
    <t>Currency outside financial corporations</t>
  </si>
  <si>
    <r>
      <t xml:space="preserve">1 </t>
    </r>
    <r>
      <rPr>
        <i/>
        <sz val="10"/>
        <color rgb="FF002060"/>
        <rFont val="Segoe UI"/>
        <family val="2"/>
      </rPr>
      <t xml:space="preserve">Financial Corporations Survey (FCS) covers the accounts of all institutions included in the financial corporations sector, i.e depository corporations and other financial corporations. </t>
    </r>
  </si>
  <si>
    <r>
      <t>Table 14a: Components and Sources of Monetary Base</t>
    </r>
    <r>
      <rPr>
        <b/>
        <vertAlign val="superscript"/>
        <sz val="12"/>
        <color rgb="FF002060"/>
        <rFont val="Segoe UI"/>
        <family val="2"/>
      </rPr>
      <t>1</t>
    </r>
    <r>
      <rPr>
        <b/>
        <sz val="12"/>
        <color rgb="FF002060"/>
        <rFont val="Segoe UI"/>
        <family val="2"/>
      </rPr>
      <t>: August 2022 to August 2023</t>
    </r>
  </si>
  <si>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</si>
  <si>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</si>
  <si>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</si>
  <si>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</si>
  <si>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</si>
  <si>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</si>
  <si>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</si>
  <si>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</si>
  <si>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</si>
  <si>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</si>
  <si>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</si>
  <si>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</si>
  <si>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</si>
  <si>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</si>
  <si>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</si>
  <si>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Table 14b: Components and Sources of Broad Money Liabilities</t>
    </r>
    <r>
      <rPr>
        <b/>
        <vertAlign val="superscript"/>
        <sz val="12"/>
        <color rgb="FF002060"/>
        <rFont val="Segoe UI"/>
        <family val="2"/>
      </rPr>
      <t>1</t>
    </r>
    <r>
      <rPr>
        <b/>
        <sz val="12"/>
        <color rgb="FF002060"/>
        <rFont val="Segoe UI"/>
        <family val="2"/>
      </rPr>
      <t>: August 2022 to August 2023</t>
    </r>
  </si>
  <si>
    <r>
      <t xml:space="preserve">Components of Broad Money Liabilities </t>
    </r>
    <r>
      <rPr>
        <b/>
        <vertAlign val="superscript"/>
        <sz val="11"/>
        <color rgb="FF002060"/>
        <rFont val="Segoe UI"/>
        <family val="2"/>
      </rPr>
      <t>2</t>
    </r>
  </si>
  <si>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</si>
  <si>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</si>
  <si>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</si>
  <si>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</si>
  <si>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</si>
  <si>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</si>
  <si>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</si>
  <si>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</si>
  <si>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Bank of Mauritius</t>
  </si>
  <si>
    <t xml:space="preserve">    Other Depository Corporations</t>
  </si>
  <si>
    <t>1. Net Claims on Central Government</t>
  </si>
  <si>
    <r>
      <t xml:space="preserve">2. Claims on Other Sectors </t>
    </r>
    <r>
      <rPr>
        <b/>
        <i/>
        <vertAlign val="superscript"/>
        <sz val="11"/>
        <color rgb="FF002060"/>
        <rFont val="Segoe UI"/>
        <family val="2"/>
      </rPr>
      <t>3</t>
    </r>
  </si>
  <si>
    <t xml:space="preserve">    Other Depository Corporations </t>
  </si>
  <si>
    <t>2.1 Claims on other sectors, excluding financial derivatives</t>
  </si>
  <si>
    <t xml:space="preserve">II. Domestic Claims (1+2) </t>
  </si>
  <si>
    <t>III. Net Non-Monetary Liabilities</t>
  </si>
  <si>
    <t>BROAD MONEY LIABILITES (I+II-III)</t>
  </si>
  <si>
    <r>
      <rPr>
        <i/>
        <vertAlign val="superscript"/>
        <sz val="10"/>
        <color rgb="FF002060"/>
        <rFont val="Segoe UI"/>
        <family val="2"/>
      </rPr>
      <t>1</t>
    </r>
    <r>
      <rPr>
        <i/>
        <sz val="10"/>
        <color rgb="FF002060"/>
        <rFont val="Segoe UI"/>
        <family val="2"/>
      </rPr>
      <t xml:space="preserve"> Based on the methodology of  the IMF's Depository Corporations Survey framework.</t>
    </r>
  </si>
  <si>
    <r>
      <rPr>
        <i/>
        <vertAlign val="superscript"/>
        <sz val="10"/>
        <color rgb="FF002060"/>
        <rFont val="Segoe UI"/>
        <family val="2"/>
      </rPr>
      <t>2</t>
    </r>
    <r>
      <rPr>
        <i/>
        <sz val="10"/>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</si>
  <si>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r>
      <rPr>
        <i/>
        <vertAlign val="superscript"/>
        <sz val="10"/>
        <color rgb="FF002060"/>
        <rFont val="Segoe UI"/>
        <family val="2"/>
      </rPr>
      <t xml:space="preserve">3 </t>
    </r>
    <r>
      <rPr>
        <i/>
        <sz val="10"/>
        <color rgb="FF002060"/>
        <rFont val="Segoe UI"/>
        <family val="2"/>
      </rPr>
      <t xml:space="preserve">Effective May 2018, Financial Derivatives are recorded at market or fair values and are not strictly comparable with prior months' data. </t>
    </r>
  </si>
  <si>
    <r>
      <t>Table 15 : Bank Loans to Other Nonfinancial Corporations, Households and Other Sectors</t>
    </r>
    <r>
      <rPr>
        <b/>
        <vertAlign val="superscript"/>
        <sz val="12"/>
        <color rgb="FF002060"/>
        <rFont val="Segoe UI"/>
        <family val="2"/>
      </rPr>
      <t>1</t>
    </r>
    <r>
      <rPr>
        <b/>
        <sz val="12"/>
        <color rgb="FF002060"/>
        <rFont val="Segoe UI"/>
        <family val="2"/>
      </rPr>
      <t xml:space="preserve"> as at end-August 2023</t>
    </r>
  </si>
  <si>
    <t xml:space="preserve"> (Rs million)</t>
  </si>
  <si>
    <r>
      <t>MUR</t>
    </r>
    <r>
      <rPr>
        <b/>
        <vertAlign val="superscript"/>
        <sz val="11"/>
        <color rgb="FF002060"/>
        <rFont val="Segoe UI"/>
        <family val="2"/>
      </rPr>
      <t>2</t>
    </r>
  </si>
  <si>
    <r>
      <t>FCY</t>
    </r>
    <r>
      <rPr>
        <b/>
        <vertAlign val="superscript"/>
        <sz val="11"/>
        <color rgb="FF002060"/>
        <rFont val="Segoe UI"/>
        <family val="2"/>
      </rPr>
      <t>3</t>
    </r>
  </si>
  <si>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</si>
  <si>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</si>
  <si>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</si>
  <si>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</si>
  <si>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</si>
  <si>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</si>
  <si>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</si>
  <si>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</si>
  <si>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</si>
  <si>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</si>
  <si>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</si>
  <si>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</si>
  <si>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</si>
  <si>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</si>
  <si>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</si>
  <si>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</si>
  <si>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</si>
  <si>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</si>
  <si>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</si>
  <si>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</si>
  <si>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</si>
  <si>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</si>
  <si>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</si>
  <si>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</si>
  <si>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</si>
  <si>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</si>
  <si>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</si>
  <si>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</si>
  <si>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</si>
  <si>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</si>
  <si>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</si>
  <si>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</si>
  <si>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</si>
  <si>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</si>
  <si>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</si>
  <si>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</si>
  <si>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</si>
  <si>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</si>
  <si>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</si>
  <si>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</si>
  <si>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</si>
  <si>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</si>
  <si>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</si>
  <si>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</si>
  <si>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</si>
  <si>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</si>
  <si>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</si>
  <si>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</si>
  <si>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</si>
  <si>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</si>
  <si>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</si>
  <si>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</si>
  <si>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</si>
  <si>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</si>
  <si>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</si>
  <si>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</si>
  <si>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</si>
  <si>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</si>
  <si>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</si>
  <si>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</si>
  <si>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</si>
  <si>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</si>
  <si>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</si>
  <si>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FCY2</t>
  </si>
  <si>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</si>
  <si>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</si>
  <si>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</si>
  <si>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</si>
  <si>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</si>
  <si>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</si>
  <si>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</si>
  <si>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</si>
  <si>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</si>
  <si>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</si>
  <si>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</si>
  <si>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</si>
  <si>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</si>
  <si>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</si>
  <si>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</si>
  <si>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</si>
  <si>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</si>
  <si>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</si>
  <si>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</si>
  <si>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</si>
  <si>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</si>
  <si>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</si>
  <si>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</si>
  <si>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</si>
  <si>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</si>
  <si>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</si>
  <si>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</si>
  <si>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</si>
  <si>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</si>
  <si>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</si>
  <si>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</si>
  <si>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</si>
  <si>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</si>
  <si>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</si>
  <si>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</si>
  <si>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</si>
  <si>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</si>
  <si>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</si>
  <si>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</si>
  <si>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</si>
  <si>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</si>
  <si>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</si>
  <si>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GBCs*)</t>
  </si>
  <si>
    <t>4. Public nonfinancial corporations</t>
  </si>
  <si>
    <t>5. Global Business Corporations (GBCs*)</t>
  </si>
  <si>
    <t>6. Authorized Companies</t>
  </si>
  <si>
    <t>GRAND TOTAL (1+2+3+4+5+6)</t>
  </si>
  <si>
    <t>TOTAL (excluding Global Business Sector [5+6])</t>
  </si>
  <si>
    <r>
      <rPr>
        <i/>
        <vertAlign val="superscript"/>
        <sz val="10"/>
        <color rgb="FF002060"/>
        <rFont val="Segoe UI"/>
        <family val="2"/>
      </rPr>
      <t xml:space="preserve">1 </t>
    </r>
    <r>
      <rPr>
        <i/>
        <sz val="10"/>
        <color rgb="FF002060"/>
        <rFont val="Segoe UI"/>
        <family val="2"/>
      </rPr>
      <t xml:space="preserve">Bank  loans  include only facilities provided by banks in the form of loans, overdrafts and finance leases. </t>
    </r>
  </si>
  <si>
    <r>
      <rPr>
        <i/>
        <vertAlign val="superscript"/>
        <sz val="10"/>
        <color rgb="FF002060"/>
        <rFont val="Segoe UI"/>
        <family val="2"/>
      </rPr>
      <t>2</t>
    </r>
    <r>
      <rPr>
        <i/>
        <sz val="10"/>
        <color rgb="FF002060"/>
        <rFont val="Segoe UI"/>
        <family val="2"/>
      </rPr>
      <t xml:space="preserve"> MUR refers to Mauritian Rupees.</t>
    </r>
  </si>
  <si>
    <r>
      <rPr>
        <i/>
        <vertAlign val="superscript"/>
        <sz val="10"/>
        <color rgb="FF002060"/>
        <rFont val="Segoe UI"/>
        <family val="2"/>
      </rPr>
      <t>3</t>
    </r>
    <r>
      <rPr>
        <i/>
        <sz val="10"/>
        <color rgb="FF002060"/>
        <rFont val="Segoe UI"/>
        <family val="2"/>
      </rPr>
      <t>FCY refers to the rupee equivalent of loans in foreign currency.</t>
    </r>
  </si>
  <si>
    <t>*Following IMF recommendations, Global Business Corporations (GBCs) include both financial and non-financial GBCs.</t>
  </si>
  <si>
    <r>
      <t>Table 16a: Bank Loans to Other Nonfinancial Corporations, Households and Other Sectors</t>
    </r>
    <r>
      <rPr>
        <b/>
        <vertAlign val="superscript"/>
        <sz val="12"/>
        <color rgb="FF002060"/>
        <rFont val="Segoe UI"/>
        <family val="2"/>
      </rPr>
      <t>1</t>
    </r>
    <r>
      <rPr>
        <b/>
        <sz val="12"/>
        <color rgb="FF002060"/>
        <rFont val="Segoe UI"/>
        <family val="2"/>
      </rPr>
      <t>: December 2020 to December 2021</t>
    </r>
  </si>
  <si>
    <t>Jan-19</t>
  </si>
  <si>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</si>
  <si>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</si>
  <si>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</si>
  <si>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</si>
  <si>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</si>
  <si>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</si>
  <si>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</si>
  <si>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</si>
  <si>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</si>
  <si>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</si>
  <si>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</si>
  <si>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</si>
  <si>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</si>
  <si>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</si>
  <si>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</si>
  <si>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</si>
  <si>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</si>
  <si>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</si>
  <si>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</si>
  <si>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 xml:space="preserve">   Of which: Housing</t>
  </si>
  <si>
    <t>3. Other Financial Corporations (excluding Financial GBCs)</t>
  </si>
  <si>
    <t>4. Public Nonfinancial corporations</t>
  </si>
  <si>
    <t>5. Financial GBCs</t>
  </si>
  <si>
    <t>6. Nonfinancial GBCs</t>
  </si>
  <si>
    <t>7. Authorised Companies</t>
  </si>
  <si>
    <t>GRAND TOTAL (1+2+3+4+5+6+7)</t>
  </si>
  <si>
    <t>TOTAL (excluding Global Business Sector [5+6+7])</t>
  </si>
  <si>
    <r>
      <rPr>
        <i/>
        <vertAlign val="superscript"/>
        <sz val="9"/>
        <color rgb="FF002060"/>
        <rFont val="Segoe UI"/>
        <family val="2"/>
      </rPr>
      <t>1</t>
    </r>
    <r>
      <rPr>
        <i/>
        <sz val="9"/>
        <color rgb="FF002060"/>
        <rFont val="Segoe UI"/>
        <family val="2"/>
      </rPr>
      <t xml:space="preserve"> Bank loans include </t>
    </r>
    <r>
      <rPr>
        <i/>
        <u/>
        <sz val="9"/>
        <color rgb="FF002060"/>
        <rFont val="Segoe UI"/>
        <family val="2"/>
      </rPr>
      <t>only</t>
    </r>
    <r>
      <rPr>
        <i/>
        <sz val="9"/>
        <color rgb="FF002060"/>
        <rFont val="Segoe UI"/>
        <family val="2"/>
      </rPr>
      <t xml:space="preserve"> facilities provided by banks in the form of loans, overdrafts and finance leases.</t>
    </r>
  </si>
  <si>
    <r>
      <t>Table 16b: Bank Loans to Other Nonfinancial Corporations, Households and Other Sectors</t>
    </r>
    <r>
      <rPr>
        <b/>
        <vertAlign val="superscript"/>
        <sz val="12"/>
        <color rgb="FF002060"/>
        <rFont val="Segoe UI"/>
        <family val="2"/>
      </rPr>
      <t>1</t>
    </r>
    <r>
      <rPr>
        <b/>
        <sz val="12"/>
        <color rgb="FF002060"/>
        <rFont val="Segoe UI"/>
        <family val="2"/>
      </rPr>
      <t>: August 2022 to August 2023</t>
    </r>
  </si>
  <si>
    <t>*Following IMF recommendations, with effect from January 2022, Global Business Corporations (GBCs) include both financial and non-financial GBCs.</t>
  </si>
  <si>
    <t>Table 17a: Banks' Interest Rates on New Rupee Deposits: August 2022 to August 2023</t>
  </si>
  <si>
    <t xml:space="preserve">DEPOSITS </t>
  </si>
  <si>
    <t>1. Savings</t>
  </si>
  <si>
    <t>1.75-2.75</t>
  </si>
  <si>
    <t>1.75-2.60</t>
  </si>
  <si>
    <t>1.35-2.60</t>
  </si>
  <si>
    <t>1.35-2.10</t>
  </si>
  <si>
    <t>1.20-1.95</t>
  </si>
  <si>
    <t>0.85-1.85</t>
  </si>
  <si>
    <t>0.15-1.40</t>
  </si>
  <si>
    <t>0.15-0.60</t>
  </si>
  <si>
    <t>0.20-0.60</t>
  </si>
  <si>
    <t>0.20-0.75</t>
  </si>
  <si>
    <t>0.25-0.75</t>
  </si>
  <si>
    <t>0.25-1.40</t>
  </si>
  <si>
    <t>0.25-1.45</t>
  </si>
  <si>
    <t>1.00-2.45</t>
  </si>
  <si>
    <t>1.40-2.95</t>
  </si>
  <si>
    <t>1.90-2.95</t>
  </si>
  <si>
    <t>2.10-3.40</t>
  </si>
  <si>
    <t>2.70-3.40</t>
  </si>
  <si>
    <t>2. Time</t>
  </si>
  <si>
    <t xml:space="preserve">     Up to 6 Months</t>
  </si>
  <si>
    <t>0.00-4.20</t>
  </si>
  <si>
    <t>0.00-3.55</t>
  </si>
  <si>
    <t>0.00-2.90</t>
  </si>
  <si>
    <t>0.00-3.50</t>
  </si>
  <si>
    <t>0.00-3.00</t>
  </si>
  <si>
    <t>0.00-3.65</t>
  </si>
  <si>
    <t>0.10-4.40</t>
  </si>
  <si>
    <t>0.00-3.25</t>
  </si>
  <si>
    <t>0.00-3.30</t>
  </si>
  <si>
    <t>0.00-2.15</t>
  </si>
  <si>
    <t>0.00-2.35</t>
  </si>
  <si>
    <t>0.10-3.52</t>
  </si>
  <si>
    <t>0.10-3.40</t>
  </si>
  <si>
    <t>0.00-3.80</t>
  </si>
  <si>
    <t>0.10-3.94</t>
  </si>
  <si>
    <t>0.30-3.95</t>
  </si>
  <si>
    <t>0.10-4.05</t>
  </si>
  <si>
    <t>0.10-4.50</t>
  </si>
  <si>
    <t>0.10-4.85</t>
  </si>
  <si>
    <t>0.10-3.95</t>
  </si>
  <si>
    <t>0.30-3.85</t>
  </si>
  <si>
    <t>0.10-3.85</t>
  </si>
  <si>
    <t>0.10-3.45</t>
  </si>
  <si>
    <t>0.10-3.75</t>
  </si>
  <si>
    <t>0.10-3.50</t>
  </si>
  <si>
    <t>0.05-2.85</t>
  </si>
  <si>
    <t>0.00-1.60</t>
  </si>
  <si>
    <t>0.01-1.50</t>
  </si>
  <si>
    <t>0.00-1.75</t>
  </si>
  <si>
    <t>0.00-1.50</t>
  </si>
  <si>
    <t>0.00-1.96</t>
  </si>
  <si>
    <t>0.01-0.70</t>
  </si>
  <si>
    <t>0.00-0.60</t>
  </si>
  <si>
    <t>0.00-0.70</t>
  </si>
  <si>
    <t>0.00-0.50</t>
  </si>
  <si>
    <t>0.00-0.55</t>
  </si>
  <si>
    <t>0.00-0.65</t>
  </si>
  <si>
    <t>0.00-0.75</t>
  </si>
  <si>
    <t>0.00-1.35</t>
  </si>
  <si>
    <t>0.00-1.45</t>
  </si>
  <si>
    <t>0.00-1.30</t>
  </si>
  <si>
    <t>0.00-1.20</t>
  </si>
  <si>
    <t>0.05-1.00</t>
  </si>
  <si>
    <t>0.05-0.75</t>
  </si>
  <si>
    <t>0.00-0.90</t>
  </si>
  <si>
    <t>0.20-1.25</t>
  </si>
  <si>
    <t>0.10-1.05</t>
  </si>
  <si>
    <t>0.27-1.25</t>
  </si>
  <si>
    <t>0.10-1.00</t>
  </si>
  <si>
    <t>0.15-0.75</t>
  </si>
  <si>
    <t>0.00-1.40</t>
  </si>
  <si>
    <t>0.00-1.87</t>
  </si>
  <si>
    <t>0.30-2.45</t>
  </si>
  <si>
    <t>1.95-3.00</t>
  </si>
  <si>
    <t>0.60-4.65</t>
  </si>
  <si>
    <t>1.00-4.85</t>
  </si>
  <si>
    <t>0.00-4.65</t>
  </si>
  <si>
    <t>1.00-4.75</t>
  </si>
  <si>
    <t>0.50-4.70</t>
  </si>
  <si>
    <t>1.50-4.90</t>
  </si>
  <si>
    <t>1.00-4.90</t>
  </si>
  <si>
    <t xml:space="preserve">     Exceeding 6 Months &amp; Up to 12 Months</t>
  </si>
  <si>
    <t>0.05-4.00</t>
  </si>
  <si>
    <t>0.75-4.00</t>
  </si>
  <si>
    <t>1.00-4.00</t>
  </si>
  <si>
    <t>1.40-4.20</t>
  </si>
  <si>
    <t>1.00-4.25</t>
  </si>
  <si>
    <t>0.45-3.50</t>
  </si>
  <si>
    <t>0.40-3.90</t>
  </si>
  <si>
    <t>0.20-3.25</t>
  </si>
  <si>
    <t>0.30-3.68</t>
  </si>
  <si>
    <t>1.05-3.70</t>
  </si>
  <si>
    <t>0.85-3.00</t>
  </si>
  <si>
    <t>0.25-3.00</t>
  </si>
  <si>
    <t>0.25-3.45</t>
  </si>
  <si>
    <t>0.50-4.02</t>
  </si>
  <si>
    <t>0.95-3.84</t>
  </si>
  <si>
    <t>0.95-3.75</t>
  </si>
  <si>
    <t>0.45-3.80</t>
  </si>
  <si>
    <t>0.95-3.85</t>
  </si>
  <si>
    <t>0.70-3.85</t>
  </si>
  <si>
    <t>1.00-4.05</t>
  </si>
  <si>
    <t>0.50-3.95</t>
  </si>
  <si>
    <t>1.05-4.05</t>
  </si>
  <si>
    <t>1.25-4.00</t>
  </si>
  <si>
    <t>0.25-3.95</t>
  </si>
  <si>
    <t>0.25-4.45</t>
  </si>
  <si>
    <t>0.50-4.10</t>
  </si>
  <si>
    <t>0.95-4.50</t>
  </si>
  <si>
    <t>0.95-4.00</t>
  </si>
  <si>
    <t>0.45-4.10</t>
  </si>
  <si>
    <t>1.20-3.80</t>
  </si>
  <si>
    <t>1.00-3.90</t>
  </si>
  <si>
    <t>0.50-4.30</t>
  </si>
  <si>
    <t>1.00-4.50</t>
  </si>
  <si>
    <t>1.10-3.95</t>
  </si>
  <si>
    <t>0.25-3.25</t>
  </si>
  <si>
    <t>0.10-2.25</t>
  </si>
  <si>
    <t>0.15-2.25</t>
  </si>
  <si>
    <t>0.10-2.02</t>
  </si>
  <si>
    <t>0.15-2.00</t>
  </si>
  <si>
    <t>0.15-2.50</t>
  </si>
  <si>
    <t>0.15-1.75</t>
  </si>
  <si>
    <t>0.05-1.90</t>
  </si>
  <si>
    <t>0.05-1.75</t>
  </si>
  <si>
    <t>0.20-1.50</t>
  </si>
  <si>
    <t>0.25-1.60</t>
  </si>
  <si>
    <t>0.10-1.50</t>
  </si>
  <si>
    <t>0.10-1.75</t>
  </si>
  <si>
    <t>0.10-1.80</t>
  </si>
  <si>
    <t>0.12-1.50</t>
  </si>
  <si>
    <t>0.10-1.85</t>
  </si>
  <si>
    <t>0.15-1.65</t>
  </si>
  <si>
    <t>0.10-1.60</t>
  </si>
  <si>
    <t>0.25-1.50</t>
  </si>
  <si>
    <t>0.10-1.70</t>
  </si>
  <si>
    <t>0.10-1.90</t>
  </si>
  <si>
    <t>0.35-1.75</t>
  </si>
  <si>
    <t>0.10-2.50</t>
  </si>
  <si>
    <t>0.50-3.00</t>
  </si>
  <si>
    <t>1.00-3.55</t>
  </si>
  <si>
    <t>0.50-4.89</t>
  </si>
  <si>
    <t>0.15-4.95</t>
  </si>
  <si>
    <t>0.15-5.00</t>
  </si>
  <si>
    <t>0.30-4.95</t>
  </si>
  <si>
    <t>0.50-5.00</t>
  </si>
  <si>
    <t>0.30-5.00</t>
  </si>
  <si>
    <t>0.55-5.00</t>
  </si>
  <si>
    <t>0.25-5.00</t>
  </si>
  <si>
    <t xml:space="preserve">     Exceeding 12 Months &amp; Up to 24 Months</t>
  </si>
  <si>
    <t>2.30-4.25</t>
  </si>
  <si>
    <t>2.05-4.30</t>
  </si>
  <si>
    <t>1.40-4.25</t>
  </si>
  <si>
    <t>1.75-4.80</t>
  </si>
  <si>
    <t>1.00-4.10</t>
  </si>
  <si>
    <t>0.60-3.65</t>
  </si>
  <si>
    <t>0.30-3.60</t>
  </si>
  <si>
    <t>1.10-4.25</t>
  </si>
  <si>
    <t>1.10-3.60</t>
  </si>
  <si>
    <t>1.00-2.85</t>
  </si>
  <si>
    <t>1.30-2.85</t>
  </si>
  <si>
    <t>1.10-3.00</t>
  </si>
  <si>
    <t>1.10-2.90</t>
  </si>
  <si>
    <t>1.40-3.25</t>
  </si>
  <si>
    <t>1.93-4.20</t>
  </si>
  <si>
    <t>1.00-3.50</t>
  </si>
  <si>
    <t>1.30-4.35</t>
  </si>
  <si>
    <t>1.80-4.00</t>
  </si>
  <si>
    <t>1.90-3.90</t>
  </si>
  <si>
    <t>1.85-3.75</t>
  </si>
  <si>
    <t>1.80-3.50</t>
  </si>
  <si>
    <t>1.80-3.75</t>
  </si>
  <si>
    <t>1.85-4.00</t>
  </si>
  <si>
    <t>2.08-4.10</t>
  </si>
  <si>
    <t>1.70-4.00</t>
  </si>
  <si>
    <t>1.75-3.85</t>
  </si>
  <si>
    <t>1.85-4.82</t>
  </si>
  <si>
    <t>1.00-3.95</t>
  </si>
  <si>
    <t>1.55-4.50</t>
  </si>
  <si>
    <t>1.05-3.85</t>
  </si>
  <si>
    <t>1.70-3.95</t>
  </si>
  <si>
    <t>1.60-3.60</t>
  </si>
  <si>
    <t>1.55-3.75</t>
  </si>
  <si>
    <t>1.25-4.05</t>
  </si>
  <si>
    <t>1.35-4.25</t>
  </si>
  <si>
    <t>1.35-3.85</t>
  </si>
  <si>
    <t>0.80-3.50</t>
  </si>
  <si>
    <t>0.10-2.85</t>
  </si>
  <si>
    <t>0.30-2.50</t>
  </si>
  <si>
    <t>0.25-2.50</t>
  </si>
  <si>
    <t>0.08-2.50</t>
  </si>
  <si>
    <t>0.35-2.50</t>
  </si>
  <si>
    <t>0.24-2.20</t>
  </si>
  <si>
    <t>0.15-2.10</t>
  </si>
  <si>
    <t>0.24-2.10</t>
  </si>
  <si>
    <t>0.20-2.00</t>
  </si>
  <si>
    <t>0.25-2.00</t>
  </si>
  <si>
    <t>0.45-2.10</t>
  </si>
  <si>
    <t>0.30-1.75</t>
  </si>
  <si>
    <t>0.25-1.75</t>
  </si>
  <si>
    <t>0.20-1.95</t>
  </si>
  <si>
    <t>0.15-2.05</t>
  </si>
  <si>
    <t>0.35-2.30</t>
  </si>
  <si>
    <t>0.55-2.25</t>
  </si>
  <si>
    <t>0.60-2.25</t>
  </si>
  <si>
    <t>0.30-2.25</t>
  </si>
  <si>
    <t>0.70-3.00</t>
  </si>
  <si>
    <t>1.20-3.60</t>
  </si>
  <si>
    <t>2.23-4.25</t>
  </si>
  <si>
    <t>1.64-4.50</t>
  </si>
  <si>
    <t>2.60-4.50</t>
  </si>
  <si>
    <t>2.00-5.12</t>
  </si>
  <si>
    <t>2.50-5.25</t>
  </si>
  <si>
    <t>2.90-5.25</t>
  </si>
  <si>
    <t>2.90-5.20</t>
  </si>
  <si>
    <t>2.00-5.50</t>
  </si>
  <si>
    <t>2.08-5.55</t>
  </si>
  <si>
    <t xml:space="preserve">     Exceeding 24 Months &amp; Up to 36 Months</t>
  </si>
  <si>
    <t>2.30-4.50</t>
  </si>
  <si>
    <t>1.50-4.50</t>
  </si>
  <si>
    <t>1.90-4.50</t>
  </si>
  <si>
    <t>1.80-4.15</t>
  </si>
  <si>
    <t>1.60-4.50</t>
  </si>
  <si>
    <t>0.45-4.15</t>
  </si>
  <si>
    <t>1.50-3.25</t>
  </si>
  <si>
    <t>1.50-3.50</t>
  </si>
  <si>
    <t>1.80-3.90</t>
  </si>
  <si>
    <t>1.60-4.30</t>
  </si>
  <si>
    <t>2.03-3.80</t>
  </si>
  <si>
    <t>0.30-3.90</t>
  </si>
  <si>
    <t>2.03-4.60</t>
  </si>
  <si>
    <t>2.07-4.96</t>
  </si>
  <si>
    <t>2.03-5.25</t>
  </si>
  <si>
    <t>2.03-4.96</t>
  </si>
  <si>
    <t>1.80-4.96</t>
  </si>
  <si>
    <t>1.90-4.96</t>
  </si>
  <si>
    <t>2.20-4.96</t>
  </si>
  <si>
    <t>2.10-4.96</t>
  </si>
  <si>
    <t>1.85-4.25</t>
  </si>
  <si>
    <t>2.10-4.80</t>
  </si>
  <si>
    <t>2.10-4.15</t>
  </si>
  <si>
    <t>1.50-4.00</t>
  </si>
  <si>
    <t>1.30-5.00</t>
  </si>
  <si>
    <t>1.40-4.35</t>
  </si>
  <si>
    <t>1.80-4.25</t>
  </si>
  <si>
    <t>1.95-3.50</t>
  </si>
  <si>
    <t>1.80-3.80</t>
  </si>
  <si>
    <t>1.55-3.85</t>
  </si>
  <si>
    <t>0.80-3.40</t>
  </si>
  <si>
    <t>0.55-3.00</t>
  </si>
  <si>
    <t>0.30-2.65</t>
  </si>
  <si>
    <t>0.25-2.75</t>
  </si>
  <si>
    <t>0.20-2.50</t>
  </si>
  <si>
    <t>0.50-2.50</t>
  </si>
  <si>
    <t>0.25-2.60</t>
  </si>
  <si>
    <t>0.50-2.60</t>
  </si>
  <si>
    <t>0.50-2.25</t>
  </si>
  <si>
    <t>0.50-2.35</t>
  </si>
  <si>
    <t>0.52-2.00</t>
  </si>
  <si>
    <t>0.25-2.30</t>
  </si>
  <si>
    <t>0.35-2.20</t>
  </si>
  <si>
    <t>0.45-2.40</t>
  </si>
  <si>
    <t>0.30-2.20</t>
  </si>
  <si>
    <t>0.45-2.25</t>
  </si>
  <si>
    <t>0.65-2.75</t>
  </si>
  <si>
    <t>0.65-2.68</t>
  </si>
  <si>
    <t>0.50-2.70</t>
  </si>
  <si>
    <t>0.85-2.85</t>
  </si>
  <si>
    <t>0.85-3.10</t>
  </si>
  <si>
    <t>1.90-4.05</t>
  </si>
  <si>
    <t>1.90-4.10</t>
  </si>
  <si>
    <t>1.65-5.10</t>
  </si>
  <si>
    <t>2.65-5.10</t>
  </si>
  <si>
    <t>2.95-5.20</t>
  </si>
  <si>
    <t>3.05-5.75</t>
  </si>
  <si>
    <t>2.95-5.50</t>
  </si>
  <si>
    <t>2.95-5.75</t>
  </si>
  <si>
    <t xml:space="preserve">     Exceeding 36 Months &amp; Up to 48 Months</t>
  </si>
  <si>
    <t>2.55-4.65</t>
  </si>
  <si>
    <t>2.30-3.60</t>
  </si>
  <si>
    <t>2.40-4.25</t>
  </si>
  <si>
    <t>2.10-4.40</t>
  </si>
  <si>
    <t>1.60-4.25</t>
  </si>
  <si>
    <t>1.35-4.60</t>
  </si>
  <si>
    <t>1.70-4.40</t>
  </si>
  <si>
    <t>1.60-3.20</t>
  </si>
  <si>
    <t>1.50-3.75</t>
  </si>
  <si>
    <t>1.75-3.25</t>
  </si>
  <si>
    <t>2.35-3.20</t>
  </si>
  <si>
    <t>2.50-4.25</t>
  </si>
  <si>
    <t>2.60-4.70</t>
  </si>
  <si>
    <t>2.68-4.70</t>
  </si>
  <si>
    <t>1.83-4.15</t>
  </si>
  <si>
    <t xml:space="preserve">2.68-4.15 </t>
  </si>
  <si>
    <t>2.50-3.65</t>
  </si>
  <si>
    <t>1.90-3.70</t>
  </si>
  <si>
    <t>2.70-4.00</t>
  </si>
  <si>
    <t>2.70-4.50</t>
  </si>
  <si>
    <t>2.40-4.30</t>
  </si>
  <si>
    <t>2.65-4.35</t>
  </si>
  <si>
    <t>1.85-4.35</t>
  </si>
  <si>
    <t>2.60-4.00</t>
  </si>
  <si>
    <t>2.60-3.50</t>
  </si>
  <si>
    <t>2.00-4.75</t>
  </si>
  <si>
    <t>2.25-3.75</t>
  </si>
  <si>
    <t>1.55-3.12</t>
  </si>
  <si>
    <t>1.90-3.50</t>
  </si>
  <si>
    <t>2.20-3.80</t>
  </si>
  <si>
    <t>2.25-4.50</t>
  </si>
  <si>
    <t>2.05-3.68</t>
  </si>
  <si>
    <t>0.35-1.80</t>
  </si>
  <si>
    <t>0.60-1.50</t>
  </si>
  <si>
    <t>0.40-2.55</t>
  </si>
  <si>
    <t>0.85-1.55</t>
  </si>
  <si>
    <t>0.85-1.30</t>
  </si>
  <si>
    <t>0.90-2.55</t>
  </si>
  <si>
    <t>0.95-1.50</t>
  </si>
  <si>
    <t>0.40-2.60</t>
  </si>
  <si>
    <t>0.40-1.60</t>
  </si>
  <si>
    <t>0.53-2.55</t>
  </si>
  <si>
    <t>0.53-2.60</t>
  </si>
  <si>
    <t>0.68-2.10</t>
  </si>
  <si>
    <t>0.65-2.25</t>
  </si>
  <si>
    <t>1.05-2.80</t>
  </si>
  <si>
    <t>1.05-2.65</t>
  </si>
  <si>
    <t>0.95-2.30</t>
  </si>
  <si>
    <t>0.71-2.50</t>
  </si>
  <si>
    <t>0.80-2.45</t>
  </si>
  <si>
    <t>0.88-2.35</t>
  </si>
  <si>
    <t>0.50-2.45</t>
  </si>
  <si>
    <t>0.90-1.55</t>
  </si>
  <si>
    <t>0.65-2.35</t>
  </si>
  <si>
    <t>0.86-2.45</t>
  </si>
  <si>
    <t>1.00-2.30</t>
  </si>
  <si>
    <t>1.00-2.35</t>
  </si>
  <si>
    <t>1.40-1.60</t>
  </si>
  <si>
    <t>0.80-2.00</t>
  </si>
  <si>
    <t>1.05-1.70</t>
  </si>
  <si>
    <t>1.10-2.30</t>
  </si>
  <si>
    <t>1.75-4.25</t>
  </si>
  <si>
    <t>2.40-5.00</t>
  </si>
  <si>
    <t>3.42-5.15</t>
  </si>
  <si>
    <t>3.36-5.25</t>
  </si>
  <si>
    <t>3.25-5.30</t>
  </si>
  <si>
    <t>3.70-5.75</t>
  </si>
  <si>
    <t>3.50-5.65</t>
  </si>
  <si>
    <t>3.65-5.65</t>
  </si>
  <si>
    <t>3.60-5.70</t>
  </si>
  <si>
    <t>2.90-5.65</t>
  </si>
  <si>
    <t xml:space="preserve">     Exceeding 48 Months</t>
  </si>
  <si>
    <t>2.80-5.00</t>
  </si>
  <si>
    <t>2.80-6.25</t>
  </si>
  <si>
    <t>2.60-5.00</t>
  </si>
  <si>
    <t>2.70-5.00</t>
  </si>
  <si>
    <t>2.15-4.90</t>
  </si>
  <si>
    <t>2.50-4.75</t>
  </si>
  <si>
    <t>2.30-4.75</t>
  </si>
  <si>
    <t>2.20-4.75</t>
  </si>
  <si>
    <t>2.25-5.10</t>
  </si>
  <si>
    <t>2.25-5.37</t>
  </si>
  <si>
    <t>2.30-5.15</t>
  </si>
  <si>
    <t>2.73-4.00</t>
  </si>
  <si>
    <t>2.25-4.90</t>
  </si>
  <si>
    <t>2.65-5.15</t>
  </si>
  <si>
    <t>2.65-5.30</t>
  </si>
  <si>
    <t>2.02-5.19</t>
  </si>
  <si>
    <t>1.90-6.25</t>
  </si>
  <si>
    <t>2.85-6.67</t>
  </si>
  <si>
    <t>2.73-6.00</t>
  </si>
  <si>
    <t>1.80-5.33</t>
  </si>
  <si>
    <t>2.65-5.40</t>
  </si>
  <si>
    <t>2.83-4.90</t>
  </si>
  <si>
    <t>2.70-6.15</t>
  </si>
  <si>
    <t>2.83-6.00</t>
  </si>
  <si>
    <t>2.40-5.25</t>
  </si>
  <si>
    <t>2.15-4.60</t>
  </si>
  <si>
    <t>2.75-4.70</t>
  </si>
  <si>
    <t>2.65-4.65</t>
  </si>
  <si>
    <t>2.50-4.50</t>
  </si>
  <si>
    <t>2.45-5.05</t>
  </si>
  <si>
    <t>2.68-5.00</t>
  </si>
  <si>
    <t>2.30-4.92</t>
  </si>
  <si>
    <t>2.20-4.55</t>
  </si>
  <si>
    <t>2.20-4.25</t>
  </si>
  <si>
    <t>0.75-3.75</t>
  </si>
  <si>
    <t>0.98-3.25</t>
  </si>
  <si>
    <t>0.96-3.75</t>
  </si>
  <si>
    <t>1.00-3.40</t>
  </si>
  <si>
    <t>1.00-2.65</t>
  </si>
  <si>
    <t>0.95-2.50</t>
  </si>
  <si>
    <t>0.95-2.08</t>
  </si>
  <si>
    <t>0.65-2.08</t>
  </si>
  <si>
    <t>0.80-3.25</t>
  </si>
  <si>
    <t>0.75-3.50</t>
  </si>
  <si>
    <t>0.80-3.00</t>
  </si>
  <si>
    <t>0.75-3.10</t>
  </si>
  <si>
    <t>1.10-3.35</t>
  </si>
  <si>
    <t>1.25-3.30</t>
  </si>
  <si>
    <t>1.14-3.00</t>
  </si>
  <si>
    <t>1.05-3.00</t>
  </si>
  <si>
    <t>1.25-3.02</t>
  </si>
  <si>
    <t>1.30-3.00</t>
  </si>
  <si>
    <t>1.30-2.91</t>
  </si>
  <si>
    <t>1.15-3.25</t>
  </si>
  <si>
    <t>1.30-3.05</t>
  </si>
  <si>
    <t>1.85-4.95</t>
  </si>
  <si>
    <t>3.30-5.50</t>
  </si>
  <si>
    <t>3.40-5.50</t>
  </si>
  <si>
    <t>3.40-5.75</t>
  </si>
  <si>
    <t>3.30-5.90</t>
  </si>
  <si>
    <t>3.39-6.25</t>
  </si>
  <si>
    <t>3.40-6.00</t>
  </si>
  <si>
    <t>3.50-6.00</t>
  </si>
  <si>
    <t>3.65-6.00</t>
  </si>
  <si>
    <t>0.40-6.00</t>
  </si>
  <si>
    <r>
      <t>Table 17b: Banks' Interest Rates on New Rupee Loans to Other Nonfinancial Corporations, Households and Other Sectors</t>
    </r>
    <r>
      <rPr>
        <b/>
        <vertAlign val="superscript"/>
        <sz val="13"/>
        <color rgb="FF002060"/>
        <rFont val="Segoe UI"/>
        <family val="2"/>
      </rPr>
      <t>1</t>
    </r>
    <r>
      <rPr>
        <b/>
        <sz val="13"/>
        <color rgb="FF002060"/>
        <rFont val="Segoe UI"/>
        <family val="2"/>
      </rPr>
      <t xml:space="preserve"> : December 2020 to December 2021</t>
    </r>
  </si>
  <si>
    <t>2.00-16.75</t>
  </si>
  <si>
    <t>2.00-18.50</t>
  </si>
  <si>
    <t>1.80-17.35</t>
  </si>
  <si>
    <t>1.80-17.90</t>
  </si>
  <si>
    <t>1.80-19.25</t>
  </si>
  <si>
    <t>1.80-17.25</t>
  </si>
  <si>
    <t>2.00-20.40</t>
  </si>
  <si>
    <t>2.35-20.40</t>
  </si>
  <si>
    <t>2.35-17.25</t>
  </si>
  <si>
    <t>1.85-17.25</t>
  </si>
  <si>
    <t>0.85-16.75</t>
  </si>
  <si>
    <t>0.85-17.60</t>
  </si>
  <si>
    <t>0.85-15.75</t>
  </si>
  <si>
    <t>0.74-15.75</t>
  </si>
  <si>
    <t>2.50-16.75</t>
  </si>
  <si>
    <t>3.60-16.75</t>
  </si>
  <si>
    <t>3.50-16.75</t>
  </si>
  <si>
    <t>2.50-17.35</t>
  </si>
  <si>
    <t>2.35-17.35</t>
  </si>
  <si>
    <t>2.35-16.75</t>
  </si>
  <si>
    <t>1.85-16.75</t>
  </si>
  <si>
    <t>3.04-16.75</t>
  </si>
  <si>
    <t>1.50-16.75</t>
  </si>
  <si>
    <t>1.50-8.35</t>
  </si>
  <si>
    <t>1.00-8.85</t>
  </si>
  <si>
    <t>2.80-8.35</t>
  </si>
  <si>
    <t>0.85-8.35</t>
  </si>
  <si>
    <t>0.85-15.00</t>
  </si>
  <si>
    <t>A.0114 - Sugar Cane</t>
  </si>
  <si>
    <t>4.00-16.75</t>
  </si>
  <si>
    <t>4.35-16.75</t>
  </si>
  <si>
    <t>3.85-16.75</t>
  </si>
  <si>
    <t>3.90-16.75</t>
  </si>
  <si>
    <t>2.92-16.75</t>
  </si>
  <si>
    <t>2.70-16.75</t>
  </si>
  <si>
    <t>4.10-7.85</t>
  </si>
  <si>
    <t>1.50-7.85</t>
  </si>
  <si>
    <t>3.10-7.85</t>
  </si>
  <si>
    <t>1.70-7.85</t>
  </si>
  <si>
    <t>2.80-7.85</t>
  </si>
  <si>
    <t>3.85-15.00</t>
  </si>
  <si>
    <t>A.0140 - Other Crop and animal production, hunting and related service activities</t>
  </si>
  <si>
    <t>3.60-10.50</t>
  </si>
  <si>
    <t>3.50-10.60</t>
  </si>
  <si>
    <t>2.50-13.60</t>
  </si>
  <si>
    <t>2.35-9.85</t>
  </si>
  <si>
    <t>2.35-10.50</t>
  </si>
  <si>
    <t>2.35-10.35</t>
  </si>
  <si>
    <t>1.85-10.50</t>
  </si>
  <si>
    <t>3.85-8.85</t>
  </si>
  <si>
    <t>1.50-9.00</t>
  </si>
  <si>
    <t>2.50-8.35</t>
  </si>
  <si>
    <t>0.85-13.75</t>
  </si>
  <si>
    <t>2.00-8.35</t>
  </si>
  <si>
    <t>3.85-8.35</t>
  </si>
  <si>
    <t>0.85-8.60</t>
  </si>
  <si>
    <t>5.50-16.75</t>
  </si>
  <si>
    <t>6.50-16.75</t>
  </si>
  <si>
    <t>5.35-16.75</t>
  </si>
  <si>
    <t>6.35-16.75</t>
  </si>
  <si>
    <t>5.85-16.75</t>
  </si>
  <si>
    <t>4.85-16.75</t>
  </si>
  <si>
    <t>5.10-7.85</t>
  </si>
  <si>
    <t>7.85-8.35</t>
  </si>
  <si>
    <t>3.85-7.85</t>
  </si>
  <si>
    <t>6.60-7.85</t>
  </si>
  <si>
    <t>5.75-16.75</t>
  </si>
  <si>
    <t>5.00-16.75</t>
  </si>
  <si>
    <t>5.60-16.75</t>
  </si>
  <si>
    <t>5.10-16.75</t>
  </si>
  <si>
    <t>4.10-16.75</t>
  </si>
  <si>
    <t>3.40-16.75</t>
  </si>
  <si>
    <t>5.60-7.85</t>
  </si>
  <si>
    <t>5.20-7.85</t>
  </si>
  <si>
    <t>6.25-9.50</t>
  </si>
  <si>
    <t>6.50-9.50</t>
  </si>
  <si>
    <t>6.35-9.35</t>
  </si>
  <si>
    <t>5.85-8.85</t>
  </si>
  <si>
    <t>4.85-7.85</t>
  </si>
  <si>
    <t>0.85-8.85</t>
  </si>
  <si>
    <t>0.74-13.75</t>
  </si>
  <si>
    <t>0.85-10.35</t>
  </si>
  <si>
    <t>0.85-9.85</t>
  </si>
  <si>
    <t>0.85-9.10</t>
  </si>
  <si>
    <t>5.35-17.35</t>
  </si>
  <si>
    <t>3.50-17.35</t>
  </si>
  <si>
    <t>3.50-17.25</t>
  </si>
  <si>
    <t>2.85-7.90</t>
  </si>
  <si>
    <t>2.50-7.90</t>
  </si>
  <si>
    <t>1.50-15.75</t>
  </si>
  <si>
    <t>2.80-7.90</t>
  </si>
  <si>
    <t>2.80-8.00</t>
  </si>
  <si>
    <t>2.80-15.00</t>
  </si>
  <si>
    <t>2.70-7.90</t>
  </si>
  <si>
    <t>C.1020 - Processing and preserving of fish, crustaceans and molluscs</t>
  </si>
  <si>
    <t>6.25-16.75</t>
  </si>
  <si>
    <t>4.60-16.75</t>
  </si>
  <si>
    <t>4.55-16.75</t>
  </si>
  <si>
    <t>6.35-7.85</t>
  </si>
  <si>
    <t>5.55-7.85</t>
  </si>
  <si>
    <t>4.55-7.85</t>
  </si>
  <si>
    <t>C.1072 - Manufacture of sugar</t>
  </si>
  <si>
    <t>6.00-16.75</t>
  </si>
  <si>
    <t>5.25-16.75</t>
  </si>
  <si>
    <t>4.35-7.85</t>
  </si>
  <si>
    <t>C.1090 - Other manufacturing of food products</t>
  </si>
  <si>
    <t>2.85-7.85</t>
  </si>
  <si>
    <t>2.50-15.75</t>
  </si>
  <si>
    <t>4.25-16.75</t>
  </si>
  <si>
    <t>4.40-16.75</t>
  </si>
  <si>
    <t>4.90-16.75</t>
  </si>
  <si>
    <t>4.15-16.75</t>
  </si>
  <si>
    <t>4.70-16.75</t>
  </si>
  <si>
    <t>3.00-16.75</t>
  </si>
  <si>
    <t>4.60-7.85</t>
  </si>
  <si>
    <t>3.90-7.85</t>
  </si>
  <si>
    <t>4.50-16.75</t>
  </si>
  <si>
    <t>5.35-17.25</t>
  </si>
  <si>
    <t>1.50-8.85</t>
  </si>
  <si>
    <t>0.85-14.80</t>
  </si>
  <si>
    <t>3.25-8.85</t>
  </si>
  <si>
    <t>4.20-16.75</t>
  </si>
  <si>
    <t>3.60-8.85</t>
  </si>
  <si>
    <t>3.00-7.85</t>
  </si>
  <si>
    <t>1.50-15.00</t>
  </si>
  <si>
    <t>0.85-7.85</t>
  </si>
  <si>
    <t>3.35-16.75</t>
  </si>
  <si>
    <t>6.85-7.85</t>
  </si>
  <si>
    <t>3.35-7.85</t>
  </si>
  <si>
    <t>3.85-9.10</t>
  </si>
  <si>
    <t>4.10-9.10</t>
  </si>
  <si>
    <t>4.85-8.00</t>
  </si>
  <si>
    <t>3.85-8.00</t>
  </si>
  <si>
    <t>4.95-8.00</t>
  </si>
  <si>
    <t>1.50-8.00</t>
  </si>
  <si>
    <t>4.10-8.00</t>
  </si>
  <si>
    <t>4.60-8.00</t>
  </si>
  <si>
    <t>3.60-8.00</t>
  </si>
  <si>
    <t>5.50-17.35</t>
  </si>
  <si>
    <t>3.20-8.85</t>
  </si>
  <si>
    <t>4.30-16.75</t>
  </si>
  <si>
    <t>3.65-16.75</t>
  </si>
  <si>
    <t>3.25-16.75</t>
  </si>
  <si>
    <t>2.90-16.75</t>
  </si>
  <si>
    <t>3.15-7.85</t>
  </si>
  <si>
    <t>3.25-7.85</t>
  </si>
  <si>
    <t>7.00-16.75</t>
  </si>
  <si>
    <t>8.25-16.75</t>
  </si>
  <si>
    <t>4.80-16.75</t>
  </si>
  <si>
    <t>6.85-16.75</t>
  </si>
  <si>
    <t>8.10-16.75</t>
  </si>
  <si>
    <t>7.60-16.75</t>
  </si>
  <si>
    <t>6.60-16.75</t>
  </si>
  <si>
    <t>5.00-8.35</t>
  </si>
  <si>
    <t>7.85-7.85</t>
  </si>
  <si>
    <t>4.25-7.85</t>
  </si>
  <si>
    <t>3.45-16.75</t>
  </si>
  <si>
    <t>1.50-11.55</t>
  </si>
  <si>
    <t>3.60-7.85</t>
  </si>
  <si>
    <t>5.25-17.35</t>
  </si>
  <si>
    <t>5.20-16.75</t>
  </si>
  <si>
    <t>5.35-20.40</t>
  </si>
  <si>
    <t>4.95-16.75</t>
  </si>
  <si>
    <t>4.85-17.25</t>
  </si>
  <si>
    <t>2.95-16.75</t>
  </si>
  <si>
    <t>2.75-7.85</t>
  </si>
  <si>
    <t>4.10-8.85</t>
  </si>
  <si>
    <t>3.85-10.35</t>
  </si>
  <si>
    <t>7.85-10.35</t>
  </si>
  <si>
    <t>3.85-9.85</t>
  </si>
  <si>
    <t>3.15-16.75</t>
  </si>
  <si>
    <t>2.15-16.75</t>
  </si>
  <si>
    <t>1.95-7.85</t>
  </si>
  <si>
    <t>3.85-15.75</t>
  </si>
  <si>
    <t>2.15-15.75</t>
  </si>
  <si>
    <t>2.15-7.85</t>
  </si>
  <si>
    <t>0.74-7.85</t>
  </si>
  <si>
    <t>C.321 - Manufacture of jewellery, bijouterie and related articles</t>
  </si>
  <si>
    <t>4.65-16.75</t>
  </si>
  <si>
    <t>2.30-7.85</t>
  </si>
  <si>
    <t>3.50-7.85</t>
  </si>
  <si>
    <t>C.329 - Manufacture not included elsewhere</t>
  </si>
  <si>
    <t>2.50-16.70</t>
  </si>
  <si>
    <t>2.50-9.50</t>
  </si>
  <si>
    <t>2.50-10.50</t>
  </si>
  <si>
    <t>2.50-9.75</t>
  </si>
  <si>
    <t>3.90-10.50</t>
  </si>
  <si>
    <t>2.50-10.75</t>
  </si>
  <si>
    <t>2.35-11.10</t>
  </si>
  <si>
    <t>2.35-9.35</t>
  </si>
  <si>
    <t>2.35-16.55</t>
  </si>
  <si>
    <t>1.85-8.85</t>
  </si>
  <si>
    <t>1.50-10.00</t>
  </si>
  <si>
    <t>0.85-15.05</t>
  </si>
  <si>
    <t>5.50-12.75</t>
  </si>
  <si>
    <t>5.50-13.85</t>
  </si>
  <si>
    <t>5.50-15.35</t>
  </si>
  <si>
    <t>5.35-12.60</t>
  </si>
  <si>
    <t>4.85-12.10</t>
  </si>
  <si>
    <t>3.85-11.10</t>
  </si>
  <si>
    <t>1.50-11.10</t>
  </si>
  <si>
    <t>3.85-13.75</t>
  </si>
  <si>
    <t>5.85-17.25</t>
  </si>
  <si>
    <t>1.56-7.85</t>
  </si>
  <si>
    <t>2.00-17.35</t>
  </si>
  <si>
    <t>2.00-17.90</t>
  </si>
  <si>
    <t>4.70-17.35</t>
  </si>
  <si>
    <t>3.85-17.25</t>
  </si>
  <si>
    <t>3.69-16.75</t>
  </si>
  <si>
    <t>3.05-16.75</t>
  </si>
  <si>
    <t>1.50-8.25</t>
  </si>
  <si>
    <t>1.50-11.75</t>
  </si>
  <si>
    <t>1.50-8.05</t>
  </si>
  <si>
    <t>1.50-15.05</t>
  </si>
  <si>
    <t>1.50-11.40</t>
  </si>
  <si>
    <t>1.90-15.75</t>
  </si>
  <si>
    <t>1.50-10.35</t>
  </si>
  <si>
    <t>1.70-8.25</t>
  </si>
  <si>
    <t>1.90-11.75</t>
  </si>
  <si>
    <t>1.75-15.75</t>
  </si>
  <si>
    <t>2.80-11.40</t>
  </si>
  <si>
    <t>1.70-15.75</t>
  </si>
  <si>
    <t>1.50-14.80</t>
  </si>
  <si>
    <t>F.4101 - Construction of all types of residential buildings</t>
  </si>
  <si>
    <t>4.70-12.05</t>
  </si>
  <si>
    <t>4.90-12.05</t>
  </si>
  <si>
    <t>4.90-12.00</t>
  </si>
  <si>
    <t>4.90-17.35</t>
  </si>
  <si>
    <t>4.90-10.50</t>
  </si>
  <si>
    <t>5.10-17.35</t>
  </si>
  <si>
    <t>5.15-16.25</t>
  </si>
  <si>
    <t>4.00-17.35</t>
  </si>
  <si>
    <t>4.75-10.35</t>
  </si>
  <si>
    <t>5.35-15.25</t>
  </si>
  <si>
    <t>5.35-10.35</t>
  </si>
  <si>
    <t>3.95-17.25</t>
  </si>
  <si>
    <t>4.75-17.25</t>
  </si>
  <si>
    <t>3.45-10.35</t>
  </si>
  <si>
    <t>5.10-9.85</t>
  </si>
  <si>
    <t>1.75-8.85</t>
  </si>
  <si>
    <t>2.80-8.85</t>
  </si>
  <si>
    <t>1.75-10.35</t>
  </si>
  <si>
    <t>1.75-8.25</t>
  </si>
  <si>
    <t>1.90-8.85</t>
  </si>
  <si>
    <t>1.75-11.05</t>
  </si>
  <si>
    <t>2.80-11.05</t>
  </si>
  <si>
    <t>1.90-14.80</t>
  </si>
  <si>
    <t>F.4102 - Construction of all types of non-residential buildings</t>
  </si>
  <si>
    <t>3.50-11.75</t>
  </si>
  <si>
    <t>3.50-15.75</t>
  </si>
  <si>
    <t>3.50-15.00</t>
  </si>
  <si>
    <t>4.10-15.75</t>
  </si>
  <si>
    <t>4.10-10.35</t>
  </si>
  <si>
    <t>F.4102.1 - Buildings for industrial production</t>
  </si>
  <si>
    <t>5.75-17.35</t>
  </si>
  <si>
    <t>F.4102.2 - Office buildings</t>
  </si>
  <si>
    <t>5.55-16.75</t>
  </si>
  <si>
    <t>3.70-7.85</t>
  </si>
  <si>
    <t>6.05-7.85</t>
  </si>
  <si>
    <t>F.4102.3 - Hotels, stores, shopping malls, restaurants</t>
  </si>
  <si>
    <t>F.4102.4 - Other non-residential buildings</t>
  </si>
  <si>
    <t>5.50-12.00</t>
  </si>
  <si>
    <t>5.75-9.50</t>
  </si>
  <si>
    <t>6.25-17.35</t>
  </si>
  <si>
    <t>5.00-17.35</t>
  </si>
  <si>
    <t>5.00-9.50</t>
  </si>
  <si>
    <t>5.50-11.85</t>
  </si>
  <si>
    <t>5.35-10.05</t>
  </si>
  <si>
    <t>5.35-11.85</t>
  </si>
  <si>
    <t>5.60-10.05</t>
  </si>
  <si>
    <t>5.60-9.35</t>
  </si>
  <si>
    <t>4.10-17.25</t>
  </si>
  <si>
    <t>5.35-9.35</t>
  </si>
  <si>
    <t>4.85-8.85</t>
  </si>
  <si>
    <t>3.20-7.85</t>
  </si>
  <si>
    <t>5.55-8.10</t>
  </si>
  <si>
    <t>5.49-16.75</t>
  </si>
  <si>
    <t>5.50-17.90</t>
  </si>
  <si>
    <t>3.85-9.15</t>
  </si>
  <si>
    <t>5.00-17.25</t>
  </si>
  <si>
    <t>3.20-16.75</t>
  </si>
  <si>
    <t>3.85-8.05</t>
  </si>
  <si>
    <t>3.15-8.05</t>
  </si>
  <si>
    <t>2.50-18.50</t>
  </si>
  <si>
    <t>3.35-17.35</t>
  </si>
  <si>
    <t>3.00-17.35</t>
  </si>
  <si>
    <t>3.50-13.25</t>
  </si>
  <si>
    <t>3.25-17.35</t>
  </si>
  <si>
    <t>3.40-17.35</t>
  </si>
  <si>
    <t>3.30-17.25</t>
  </si>
  <si>
    <t>2.00-17.25</t>
  </si>
  <si>
    <t>3.00-17.25</t>
  </si>
  <si>
    <t>1.25-16.75</t>
  </si>
  <si>
    <t>1.25-15.75</t>
  </si>
  <si>
    <t>1.00-16.00</t>
  </si>
  <si>
    <t>1.25-15.05</t>
  </si>
  <si>
    <t>1.25-16.00</t>
  </si>
  <si>
    <t>1.25-15.00</t>
  </si>
  <si>
    <t>1.15-13.75</t>
  </si>
  <si>
    <t>1.50-12.00</t>
  </si>
  <si>
    <t>1.25-11.35</t>
  </si>
  <si>
    <t>3.60-12.00</t>
  </si>
  <si>
    <t>3.60-16.25</t>
  </si>
  <si>
    <t>3.35-13.00</t>
  </si>
  <si>
    <t>3.65-13.00</t>
  </si>
  <si>
    <t>3.68-13.00</t>
  </si>
  <si>
    <t>3.50-13.00</t>
  </si>
  <si>
    <t>3.25-13.00</t>
  </si>
  <si>
    <t>3.40-13.00</t>
  </si>
  <si>
    <t>3.40-10.90</t>
  </si>
  <si>
    <t>3.45-12.85</t>
  </si>
  <si>
    <t>3.30-11.05</t>
  </si>
  <si>
    <t>3.50-12.85</t>
  </si>
  <si>
    <t>3.00-10.60</t>
  </si>
  <si>
    <t>3.00-16.55</t>
  </si>
  <si>
    <t>3.00-16.05</t>
  </si>
  <si>
    <t>3.00-14.75</t>
  </si>
  <si>
    <t>1.50-11.35</t>
  </si>
  <si>
    <t>1.00-11.35</t>
  </si>
  <si>
    <t>1.50-9.55</t>
  </si>
  <si>
    <t>1.50-9.45</t>
  </si>
  <si>
    <t>2.75-12.00</t>
  </si>
  <si>
    <t>1.50-9.15</t>
  </si>
  <si>
    <t>2.50-11.35</t>
  </si>
  <si>
    <t>2.50-15.00</t>
  </si>
  <si>
    <t>1.15-11.35</t>
  </si>
  <si>
    <t>2.90-11.35</t>
  </si>
  <si>
    <t>2.50-12.00</t>
  </si>
  <si>
    <t>3.50-12.00</t>
  </si>
  <si>
    <t>3.55-17.35</t>
  </si>
  <si>
    <t>3.30-10.35</t>
  </si>
  <si>
    <t>3.30-13.50</t>
  </si>
  <si>
    <t>3.35-17.25</t>
  </si>
  <si>
    <t>2.35-11.85</t>
  </si>
  <si>
    <t>1.85-10.85</t>
  </si>
  <si>
    <t>1.25-10.35</t>
  </si>
  <si>
    <t>1.25-10.70</t>
  </si>
  <si>
    <t>1.25-8.85</t>
  </si>
  <si>
    <t>1.25-10.05</t>
  </si>
  <si>
    <t>1.25-13.75</t>
  </si>
  <si>
    <t>4.50-16.70</t>
  </si>
  <si>
    <t>4.00-13.60</t>
  </si>
  <si>
    <t>4.25-17.35</t>
  </si>
  <si>
    <t>4.50-13.25</t>
  </si>
  <si>
    <t>4.50-17.35</t>
  </si>
  <si>
    <t>3.50-16.10</t>
  </si>
  <si>
    <t>4.40-17.25</t>
  </si>
  <si>
    <t>3.60-17.25</t>
  </si>
  <si>
    <t>2.75-17.25</t>
  </si>
  <si>
    <t>2.75-16.75</t>
  </si>
  <si>
    <t>1.50-11.60</t>
  </si>
  <si>
    <t>1.50-16.00</t>
  </si>
  <si>
    <t>1.50-14.42</t>
  </si>
  <si>
    <t>1.50-10.85</t>
  </si>
  <si>
    <t>1.70-10.55</t>
  </si>
  <si>
    <t>4.75-16.75</t>
  </si>
  <si>
    <t>4.99-16.75</t>
  </si>
  <si>
    <t>4.89-16.75</t>
  </si>
  <si>
    <t>1.50-8.30</t>
  </si>
  <si>
    <t>2.95-8.85</t>
  </si>
  <si>
    <t>3.85-15.05</t>
  </si>
  <si>
    <t>3.70-8.85</t>
  </si>
  <si>
    <t>6.38-16.75</t>
  </si>
  <si>
    <t>7.75-16.75</t>
  </si>
  <si>
    <t>5.80-16.75</t>
  </si>
  <si>
    <t>6.10-7.85</t>
  </si>
  <si>
    <t>9.50-12.75</t>
  </si>
  <si>
    <t>7.60-12.75</t>
  </si>
  <si>
    <t>6.25-12.75</t>
  </si>
  <si>
    <t>7.25-12.75</t>
  </si>
  <si>
    <t>9.50-9.50</t>
  </si>
  <si>
    <t>9.35-12.60</t>
  </si>
  <si>
    <t>7.05-12.60</t>
  </si>
  <si>
    <t>9.35-9.35</t>
  </si>
  <si>
    <t>8.85-8.85</t>
  </si>
  <si>
    <t>7.85-11.10</t>
  </si>
  <si>
    <t>4.50-7.85</t>
  </si>
  <si>
    <t>4.75-7.85</t>
  </si>
  <si>
    <t>6.30-7.85</t>
  </si>
  <si>
    <t>7.00-7.85</t>
  </si>
  <si>
    <t>7.50-16.75</t>
  </si>
  <si>
    <t>7.10-16.75</t>
  </si>
  <si>
    <t>6.10-16.75</t>
  </si>
  <si>
    <t>6.10-11.10</t>
  </si>
  <si>
    <t>4.05-16.75</t>
  </si>
  <si>
    <t>2.94-17.25</t>
  </si>
  <si>
    <t>1.00-15.00</t>
  </si>
  <si>
    <t>1.00-7.85</t>
  </si>
  <si>
    <t>I.551 - Resort Hotels</t>
  </si>
  <si>
    <t>2.94-16.75</t>
  </si>
  <si>
    <t>I.552 - Hotels other than Resort</t>
  </si>
  <si>
    <t>3.95-16.75</t>
  </si>
  <si>
    <t>3.75-16.75</t>
  </si>
  <si>
    <t>I.553 - Bungalows</t>
  </si>
  <si>
    <t>I.554 - Guest Houses</t>
  </si>
  <si>
    <t>5.35-7.85</t>
  </si>
  <si>
    <t>I.555 - Holiday Homes</t>
  </si>
  <si>
    <t>I.556 - Other accommodation not included above</t>
  </si>
  <si>
    <t>4.55-17.25</t>
  </si>
  <si>
    <t>7.60-7.85</t>
  </si>
  <si>
    <t>6.65-7.85</t>
  </si>
  <si>
    <t>4.85-10.50</t>
  </si>
  <si>
    <t>5.50-10.50</t>
  </si>
  <si>
    <t>5.50-13.60</t>
  </si>
  <si>
    <t>5.35-10.10</t>
  </si>
  <si>
    <t>5.35-9.60</t>
  </si>
  <si>
    <t>4.30-9.35</t>
  </si>
  <si>
    <t>1.50-8.15</t>
  </si>
  <si>
    <t>3.50-8.25</t>
  </si>
  <si>
    <t>Continued on the next page.</t>
  </si>
  <si>
    <t>1.18-16.75</t>
  </si>
  <si>
    <t>3.60-9.10</t>
  </si>
  <si>
    <t>5.50-9.50</t>
  </si>
  <si>
    <t>5.35-15.00</t>
  </si>
  <si>
    <t>5.60-8.85</t>
  </si>
  <si>
    <t>1.18-7.85</t>
  </si>
  <si>
    <t>3.85-11.25</t>
  </si>
  <si>
    <t>1.50-11.25</t>
  </si>
  <si>
    <t>9.50-16.75</t>
  </si>
  <si>
    <t>0.00-0.00</t>
  </si>
  <si>
    <t>9.35-16.75</t>
  </si>
  <si>
    <t>8.85-16.75</t>
  </si>
  <si>
    <t>7.85-16.75</t>
  </si>
  <si>
    <t>6.75-16.75</t>
  </si>
  <si>
    <t>7.15-7.85</t>
  </si>
  <si>
    <t>2.65-16.75</t>
  </si>
  <si>
    <t>4.05-10.35</t>
  </si>
  <si>
    <t>4.05-7.85</t>
  </si>
  <si>
    <t>2.30-9.10</t>
  </si>
  <si>
    <t>2.25-7.85</t>
  </si>
  <si>
    <t>3.85-12.00</t>
  </si>
  <si>
    <t>3.99-7.85</t>
  </si>
  <si>
    <t>4.85-15.00</t>
  </si>
  <si>
    <t>4.90-17.90</t>
  </si>
  <si>
    <t>3.85-8.15</t>
  </si>
  <si>
    <t>1.50-8.60</t>
  </si>
  <si>
    <t>3.75-17.35</t>
  </si>
  <si>
    <t>3.25-17.25</t>
  </si>
  <si>
    <t>3.15-17.25</t>
  </si>
  <si>
    <t>2.65-15.00</t>
  </si>
  <si>
    <t>2.60-8.85</t>
  </si>
  <si>
    <t>3.60-17.35</t>
  </si>
  <si>
    <t>3.99-8.85</t>
  </si>
  <si>
    <t>2.60-7.85</t>
  </si>
  <si>
    <t>1.50-9.10</t>
  </si>
  <si>
    <t>7.35-16.75</t>
  </si>
  <si>
    <t>7.20-16.75</t>
  </si>
  <si>
    <t>5.40-16.75</t>
  </si>
  <si>
    <t>6.70-16.75</t>
  </si>
  <si>
    <t>5.70-16.75</t>
  </si>
  <si>
    <t>5.05-9.75</t>
  </si>
  <si>
    <t>5.50-9.75</t>
  </si>
  <si>
    <t>5.50-16.25</t>
  </si>
  <si>
    <t>5.20-17.25</t>
  </si>
  <si>
    <t>5.40-9.35</t>
  </si>
  <si>
    <t>5.60-15.00</t>
  </si>
  <si>
    <t>3.85-14.80</t>
  </si>
  <si>
    <t>2.90-7.85</t>
  </si>
  <si>
    <t>3.20-8.30</t>
  </si>
  <si>
    <t>3.55-16.75</t>
  </si>
  <si>
    <t>1.50-9.85</t>
  </si>
  <si>
    <t>1.50-9.95</t>
  </si>
  <si>
    <t>2.90-8.00</t>
  </si>
  <si>
    <t>3.00-15.75</t>
  </si>
  <si>
    <t>12.60-16.75</t>
  </si>
  <si>
    <t>3.85-9.95</t>
  </si>
  <si>
    <t>6.25-7.85</t>
  </si>
  <si>
    <t>3.25-8.20</t>
  </si>
  <si>
    <t>3.35-15.75</t>
  </si>
  <si>
    <t>3.85-9.25</t>
  </si>
  <si>
    <t>1.75-7.85</t>
  </si>
  <si>
    <t>4.90-11.50</t>
  </si>
  <si>
    <t>5.35-11.35</t>
  </si>
  <si>
    <t>5.10-11.35</t>
  </si>
  <si>
    <t>4.85-11.85</t>
  </si>
  <si>
    <t>4.85-10.85</t>
  </si>
  <si>
    <t>3.35-9.85</t>
  </si>
  <si>
    <t>1.25-9.85</t>
  </si>
  <si>
    <t>4.60-15.00</t>
  </si>
  <si>
    <t>15.75-15.75</t>
  </si>
  <si>
    <t>3.85-4.60</t>
  </si>
  <si>
    <t>3.85-5.05</t>
  </si>
  <si>
    <t>4.10-4.10</t>
  </si>
  <si>
    <t>5.25-7.85</t>
  </si>
  <si>
    <t>5.75-10.25</t>
  </si>
  <si>
    <t>5.35-16.55</t>
  </si>
  <si>
    <t>5.25-9.35</t>
  </si>
  <si>
    <t>5.50-5.50</t>
  </si>
  <si>
    <t>5.50-7.00</t>
  </si>
  <si>
    <t>8.70-8.70</t>
  </si>
  <si>
    <t>17.90-17.90</t>
  </si>
  <si>
    <t>5.35-7.10</t>
  </si>
  <si>
    <t>7.10-7.10</t>
  </si>
  <si>
    <t>17.25-17.25</t>
  </si>
  <si>
    <t>1.50-1.50</t>
  </si>
  <si>
    <t>6.25-6.25</t>
  </si>
  <si>
    <t>4.25-5.00</t>
  </si>
  <si>
    <t>15.00-15.00</t>
  </si>
  <si>
    <t>5.25-5.25</t>
  </si>
  <si>
    <t>6.00-15.00</t>
  </si>
  <si>
    <t>2.05-7.85</t>
  </si>
  <si>
    <t>4.00-7.85</t>
  </si>
  <si>
    <t>2.01-7.85</t>
  </si>
  <si>
    <t>5.75-5.75</t>
  </si>
  <si>
    <t>4.90-9.50</t>
  </si>
  <si>
    <t>5.75-10.50</t>
  </si>
  <si>
    <t>7.60-10.35</t>
  </si>
  <si>
    <t>5.10-8.85</t>
  </si>
  <si>
    <t>4.10-15.00</t>
  </si>
  <si>
    <t>4.10-15.05</t>
  </si>
  <si>
    <t>1.50-8.70</t>
  </si>
  <si>
    <t>1.70-8.70</t>
  </si>
  <si>
    <t>3.85-3.85</t>
  </si>
  <si>
    <t>1.50-4.10</t>
  </si>
  <si>
    <t>3.85-4.10</t>
  </si>
  <si>
    <t>1.50-3.85</t>
  </si>
  <si>
    <t>3.85-5.35</t>
  </si>
  <si>
    <t>7.10-7.85</t>
  </si>
  <si>
    <t>7.85-15.00</t>
  </si>
  <si>
    <t>1.80-16.75</t>
  </si>
  <si>
    <t>4.45-16.75</t>
  </si>
  <si>
    <t>1.50-17.60</t>
  </si>
  <si>
    <t>2.50-9.35</t>
  </si>
  <si>
    <t>3.25-9.35</t>
  </si>
  <si>
    <t>1.50-9.35</t>
  </si>
  <si>
    <t>3.35-9.35</t>
  </si>
  <si>
    <t>2.05-9.35</t>
  </si>
  <si>
    <t>3.85-9.35</t>
  </si>
  <si>
    <t>3.00-9.35</t>
  </si>
  <si>
    <t>5.60-17.25</t>
  </si>
  <si>
    <t>5.50-16.70</t>
  </si>
  <si>
    <t>7.35-9.50</t>
  </si>
  <si>
    <t>6.20-10.50</t>
  </si>
  <si>
    <t>5.85-12.00</t>
  </si>
  <si>
    <t>6.50-16.25</t>
  </si>
  <si>
    <t>4.25-10.50</t>
  </si>
  <si>
    <t>5.15-10.50</t>
  </si>
  <si>
    <t>6.55-10.35</t>
  </si>
  <si>
    <t>6.35-10.35</t>
  </si>
  <si>
    <t>6.35-11.00</t>
  </si>
  <si>
    <t>5.10-10.35</t>
  </si>
  <si>
    <t>7.10-10.35</t>
  </si>
  <si>
    <t>4.45-10.35</t>
  </si>
  <si>
    <t>5.15-9.85</t>
  </si>
  <si>
    <t>2.95-15.05</t>
  </si>
  <si>
    <t>5.75-8.85</t>
  </si>
  <si>
    <t>5.75-7.85</t>
  </si>
  <si>
    <t>4.85-14.80</t>
  </si>
  <si>
    <t>2.50-7.85</t>
  </si>
  <si>
    <t>6.00-7.85</t>
  </si>
  <si>
    <t>3.75-7.85</t>
  </si>
  <si>
    <t>3.95-7.85</t>
  </si>
  <si>
    <t>4.85-8.15</t>
  </si>
  <si>
    <t>3.00-8.15</t>
  </si>
  <si>
    <t>2. Households</t>
  </si>
  <si>
    <t>2.00-16.00</t>
  </si>
  <si>
    <t>2.00-16.25</t>
  </si>
  <si>
    <t>2.00-24.00</t>
  </si>
  <si>
    <t>1.65-24.00</t>
  </si>
  <si>
    <t>1.75-16.75</t>
  </si>
  <si>
    <t>1.15-15.75</t>
  </si>
  <si>
    <t>1.15-24.00</t>
  </si>
  <si>
    <t>Of which: Housing</t>
  </si>
  <si>
    <t>2.00-13.40</t>
  </si>
  <si>
    <t>2.00-13.25</t>
  </si>
  <si>
    <t>2.00-13.15</t>
  </si>
  <si>
    <t>2.00-12.25</t>
  </si>
  <si>
    <t>2.00-13.10</t>
  </si>
  <si>
    <t>2.00-13.00</t>
  </si>
  <si>
    <t>2.30-13.15</t>
  </si>
  <si>
    <t>1.65-13.10</t>
  </si>
  <si>
    <t>2.00-6.60</t>
  </si>
  <si>
    <t>2.30-8.10</t>
  </si>
  <si>
    <t>1.85-11.60</t>
  </si>
  <si>
    <t>1.70-10.25</t>
  </si>
  <si>
    <t>2.00-10.25</t>
  </si>
  <si>
    <t>2.00-11.60</t>
  </si>
  <si>
    <t>2.00-13.80</t>
  </si>
  <si>
    <t>1.80-11.60</t>
  </si>
  <si>
    <t>3. Other Financial Corporations (excluding financial GBCs)</t>
  </si>
  <si>
    <t>3.55-12.00</t>
  </si>
  <si>
    <t>3.55-9.50</t>
  </si>
  <si>
    <t>3.45-9.75</t>
  </si>
  <si>
    <t>3.45-15.35</t>
  </si>
  <si>
    <t>3.40-15.00</t>
  </si>
  <si>
    <t>3.35-13.55</t>
  </si>
  <si>
    <t>3.40-9.35</t>
  </si>
  <si>
    <t>3.30-16.55</t>
  </si>
  <si>
    <t>3.30-15.25</t>
  </si>
  <si>
    <t>3.20-14.35</t>
  </si>
  <si>
    <t>3.00-14.35</t>
  </si>
  <si>
    <t>2.70-13.85</t>
  </si>
  <si>
    <t>2.55-14.75</t>
  </si>
  <si>
    <t>2.40-15.00</t>
  </si>
  <si>
    <t>1.50-12.85</t>
  </si>
  <si>
    <t>2.85-24.00</t>
  </si>
  <si>
    <t>2.40-12.85</t>
  </si>
  <si>
    <t>1.00-12.85</t>
  </si>
  <si>
    <t>2.25-15.00</t>
  </si>
  <si>
    <t>2.25-15.75</t>
  </si>
  <si>
    <t>1.15-15.00</t>
  </si>
  <si>
    <t>1.57-24.00</t>
  </si>
  <si>
    <t>2.35-15.75</t>
  </si>
  <si>
    <t>4. Financial GBCs</t>
  </si>
  <si>
    <t>8.75-9.50</t>
  </si>
  <si>
    <t>6.85-9.50</t>
  </si>
  <si>
    <t>8.25-9.50</t>
  </si>
  <si>
    <t>6.50-9.35</t>
  </si>
  <si>
    <t>8.60-9.35</t>
  </si>
  <si>
    <t>7.85-14.75</t>
  </si>
  <si>
    <t>4.10-13.75</t>
  </si>
  <si>
    <t>3.60-13.75</t>
  </si>
  <si>
    <t>5. Nonfinancial GBCs</t>
  </si>
  <si>
    <t>5.65-9.50</t>
  </si>
  <si>
    <t>5.50-9.35</t>
  </si>
  <si>
    <t>6.60-9.35</t>
  </si>
  <si>
    <t>4.10-12.15</t>
  </si>
  <si>
    <t>6. Authorised companies</t>
  </si>
  <si>
    <t>9.35-16.55</t>
  </si>
  <si>
    <t>7.85-15.05</t>
  </si>
  <si>
    <t>7. Public Nonfinancial corporations</t>
  </si>
  <si>
    <t>3.80-16.75</t>
  </si>
  <si>
    <t>3.30-16.75</t>
  </si>
  <si>
    <t>3.22-16.75</t>
  </si>
  <si>
    <t>11.10-16.75</t>
  </si>
  <si>
    <t>4.10-6.01</t>
  </si>
  <si>
    <t>4.10-6.03</t>
  </si>
  <si>
    <t>4.75-15.00</t>
  </si>
  <si>
    <r>
      <rPr>
        <i/>
        <vertAlign val="superscript"/>
        <sz val="10"/>
        <color rgb="FF002060"/>
        <rFont val="Segoe UI"/>
        <family val="2"/>
      </rPr>
      <t xml:space="preserve">1 </t>
    </r>
    <r>
      <rPr>
        <i/>
        <sz val="10"/>
        <color rgb="FF002060"/>
        <rFont val="Segoe UI"/>
        <family val="2"/>
      </rPr>
      <t>Please refer to the communiqué in the Bank's Monthly Statistical Bulletin for October 2018 available at  https://www.bom.mu/sites/default/files/pdf/Research_and_Publications/Monthly_Statistical_Bulletin/msb_oct18_2.pdf.</t>
    </r>
  </si>
  <si>
    <r>
      <t>Table 17c: Banks' Interest Rates on New Rupee Loans to Other Nonfinancial Corporations, Households and Other Sectors</t>
    </r>
    <r>
      <rPr>
        <b/>
        <vertAlign val="superscript"/>
        <sz val="13"/>
        <color rgb="FF002060"/>
        <rFont val="Segoe UI"/>
        <family val="2"/>
      </rPr>
      <t>1</t>
    </r>
    <r>
      <rPr>
        <b/>
        <sz val="13"/>
        <color rgb="FF002060"/>
        <rFont val="Segoe UI"/>
        <family val="2"/>
      </rPr>
      <t xml:space="preserve"> : June 2023 to August 2023</t>
    </r>
  </si>
  <si>
    <t>1.00-15.75</t>
  </si>
  <si>
    <t>1.00-15.90</t>
  </si>
  <si>
    <t>1.25-15.90</t>
  </si>
  <si>
    <t>1.25-16.40</t>
  </si>
  <si>
    <t>1.25-16.15</t>
  </si>
  <si>
    <t>1.50-16.15</t>
  </si>
  <si>
    <t>1.50-16.90</t>
  </si>
  <si>
    <t>1.50-17.90</t>
  </si>
  <si>
    <t>1.50-17.70</t>
  </si>
  <si>
    <t>1.50-18.40</t>
  </si>
  <si>
    <t>1.80-18.40</t>
  </si>
  <si>
    <t>3.90-24.00</t>
  </si>
  <si>
    <t>1.50-21.60</t>
  </si>
  <si>
    <t>3.50-21.60</t>
  </si>
  <si>
    <t>2.65-15.75</t>
  </si>
  <si>
    <t>1.01-8.50</t>
  </si>
  <si>
    <t>1.70-8.50</t>
  </si>
  <si>
    <t>1.61-8.75</t>
  </si>
  <si>
    <t>3.05-8.75</t>
  </si>
  <si>
    <t>1.70-15.00</t>
  </si>
  <si>
    <t>2.10-9.00</t>
  </si>
  <si>
    <t>1.90-15.00</t>
  </si>
  <si>
    <t>2.00-13.50</t>
  </si>
  <si>
    <t>2.60-9.00</t>
  </si>
  <si>
    <t>4.00-11.25</t>
  </si>
  <si>
    <t>5.00-10.50</t>
  </si>
  <si>
    <t>5.40-11.25</t>
  </si>
  <si>
    <t>1.80-11.25</t>
  </si>
  <si>
    <t>1.80-10.50</t>
  </si>
  <si>
    <t>5.10-11.25</t>
  </si>
  <si>
    <t>6.50-10.90</t>
  </si>
  <si>
    <t>4.75-21.60</t>
  </si>
  <si>
    <t>4.25-8.00</t>
  </si>
  <si>
    <t>1.61-8.00</t>
  </si>
  <si>
    <t>4.50-8.25</t>
  </si>
  <si>
    <t>4.98-9.00</t>
  </si>
  <si>
    <t>5.25-9.00</t>
  </si>
  <si>
    <t>5.45-10.50</t>
  </si>
  <si>
    <t>6.75-10.50</t>
  </si>
  <si>
    <t>5.12-10.50</t>
  </si>
  <si>
    <t>5.95-10.50</t>
  </si>
  <si>
    <t>2.10-8.75</t>
  </si>
  <si>
    <t>5.25-8.00</t>
  </si>
  <si>
    <t>8.00-8.00</t>
  </si>
  <si>
    <t>7.25-10.00</t>
  </si>
  <si>
    <t>8.25-10.50</t>
  </si>
  <si>
    <t>7.75-10.50</t>
  </si>
  <si>
    <t>2.66-7.85</t>
  </si>
  <si>
    <t>5.75-8.00</t>
  </si>
  <si>
    <t>6.75-9.00</t>
  </si>
  <si>
    <t>7.75-10.00</t>
  </si>
  <si>
    <t>10.50-10.50</t>
  </si>
  <si>
    <t>5.00-8.00</t>
  </si>
  <si>
    <t>4.00-8.00</t>
  </si>
  <si>
    <t>4.25-8.25</t>
  </si>
  <si>
    <t>5.25-8.25</t>
  </si>
  <si>
    <t>6.00-9.00</t>
  </si>
  <si>
    <t>5.00-9.00</t>
  </si>
  <si>
    <t>6.50-10.50</t>
  </si>
  <si>
    <t>1.00-12.15</t>
  </si>
  <si>
    <t>1.00-9.25</t>
  </si>
  <si>
    <t>1.00-15.20</t>
  </si>
  <si>
    <t>1.25-12.40</t>
  </si>
  <si>
    <t>1.25-9.65</t>
  </si>
  <si>
    <t>2.95-16.90</t>
  </si>
  <si>
    <t>3.00-17.20</t>
  </si>
  <si>
    <t>1.80-11.75</t>
  </si>
  <si>
    <t>1.80-15.75</t>
  </si>
  <si>
    <t>3.71-11.75</t>
  </si>
  <si>
    <t>5.40-18.40</t>
  </si>
  <si>
    <t>5.10-15.00</t>
  </si>
  <si>
    <t>4.90-21.60</t>
  </si>
  <si>
    <t>2.18-7.90</t>
  </si>
  <si>
    <t>2.85-8.40</t>
  </si>
  <si>
    <t>1.70-8.40</t>
  </si>
  <si>
    <t>2.70-14.95</t>
  </si>
  <si>
    <t>2.75-12.40</t>
  </si>
  <si>
    <t>1.50-8.65</t>
  </si>
  <si>
    <t>2.95-9.05</t>
  </si>
  <si>
    <t>3.75-10.00</t>
  </si>
  <si>
    <t>4.50-10.55</t>
  </si>
  <si>
    <t>5.40-10.55</t>
  </si>
  <si>
    <t>1.80-10.55</t>
  </si>
  <si>
    <t>5.40-15.00</t>
  </si>
  <si>
    <t>5.00-11.25</t>
  </si>
  <si>
    <t>4.80-9.00</t>
  </si>
  <si>
    <t>8.50-10.00</t>
  </si>
  <si>
    <t>9.00-10.50</t>
  </si>
  <si>
    <t>9.50-10.50</t>
  </si>
  <si>
    <t>9.00-11.25</t>
  </si>
  <si>
    <t>6.75-11.25</t>
  </si>
  <si>
    <t>5.50-8.25</t>
  </si>
  <si>
    <t>8.30-10.50</t>
  </si>
  <si>
    <t>9.25-9.25</t>
  </si>
  <si>
    <t>4.40-8.00</t>
  </si>
  <si>
    <t>6.75-8.00</t>
  </si>
  <si>
    <t>4.65-9.00</t>
  </si>
  <si>
    <t>6.25-10.00</t>
  </si>
  <si>
    <t>6.90-10.50</t>
  </si>
  <si>
    <t>3.00-8.85</t>
  </si>
  <si>
    <t>4.00-9.00</t>
  </si>
  <si>
    <t>1.00-9.00</t>
  </si>
  <si>
    <t>4.25-9.25</t>
  </si>
  <si>
    <t>1.25-9.50</t>
  </si>
  <si>
    <t>1.25-9.25</t>
  </si>
  <si>
    <t>2.00-15.45</t>
  </si>
  <si>
    <t>3.15-10.00</t>
  </si>
  <si>
    <t>3.50-11.50</t>
  </si>
  <si>
    <t>1.80-11.50</t>
  </si>
  <si>
    <t>5.85-11.50</t>
  </si>
  <si>
    <t>5.85-11.75</t>
  </si>
  <si>
    <t>6.50-11.50</t>
  </si>
  <si>
    <t>1.00-8.00</t>
  </si>
  <si>
    <t>3.40-9.00</t>
  </si>
  <si>
    <t>3.60-9.65</t>
  </si>
  <si>
    <t>2.00-10.00</t>
  </si>
  <si>
    <t>3.60-10.00</t>
  </si>
  <si>
    <t>3.60-11.00</t>
  </si>
  <si>
    <t>4.10-10.80</t>
  </si>
  <si>
    <t>4.60-11.50</t>
  </si>
  <si>
    <t>6.10-10.50</t>
  </si>
  <si>
    <t>6.20-11.50</t>
  </si>
  <si>
    <t>5.10-11.50</t>
  </si>
  <si>
    <t>3.50-8.00</t>
  </si>
  <si>
    <t>4.00-9.25</t>
  </si>
  <si>
    <t>3.75-9.50</t>
  </si>
  <si>
    <t>4.50-10.25</t>
  </si>
  <si>
    <t>5.50-11.25</t>
  </si>
  <si>
    <t>6.00-11.75</t>
  </si>
  <si>
    <t>6.15-11.75</t>
  </si>
  <si>
    <t>6.75-11.75</t>
  </si>
  <si>
    <t>4.00-8.15</t>
  </si>
  <si>
    <t>4.30-8.40</t>
  </si>
  <si>
    <t>4.25-8.40</t>
  </si>
  <si>
    <t>4.25-9.00</t>
  </si>
  <si>
    <t>5.00-9.15</t>
  </si>
  <si>
    <t>5.25-10.15</t>
  </si>
  <si>
    <t>1.80-10.65</t>
  </si>
  <si>
    <t>6.25-13.40</t>
  </si>
  <si>
    <t>6.50-10.65</t>
  </si>
  <si>
    <t>6.25-10.50</t>
  </si>
  <si>
    <t>6.75-10.80</t>
  </si>
  <si>
    <t>4.00-12.15</t>
  </si>
  <si>
    <t>5.00-10.00</t>
  </si>
  <si>
    <t>6.00-11.00</t>
  </si>
  <si>
    <t>6.50-11.25</t>
  </si>
  <si>
    <t>6.50-15.00</t>
  </si>
  <si>
    <t>3.25-8.00</t>
  </si>
  <si>
    <t>3.25-8.25</t>
  </si>
  <si>
    <t>3.25-9.00</t>
  </si>
  <si>
    <t>3.90-10.00</t>
  </si>
  <si>
    <t>4.35-10.50</t>
  </si>
  <si>
    <t>5.40-10.50</t>
  </si>
  <si>
    <t>5.65-10.50</t>
  </si>
  <si>
    <t>5.90-8.25</t>
  </si>
  <si>
    <t>5.20-8.25</t>
  </si>
  <si>
    <t>3.75-9.00</t>
  </si>
  <si>
    <t>10.25-10.50</t>
  </si>
  <si>
    <t>6.85-10.50</t>
  </si>
  <si>
    <t>8.45-10.50</t>
  </si>
  <si>
    <t>4.00-8.25</t>
  </si>
  <si>
    <t>1.50-10.25</t>
  </si>
  <si>
    <t>4.00-10.00</t>
  </si>
  <si>
    <t>3.75-10.50</t>
  </si>
  <si>
    <t>6.50-12.50</t>
  </si>
  <si>
    <t>4.00-15.20</t>
  </si>
  <si>
    <t>4.40-8.25</t>
  </si>
  <si>
    <t>6.65-10.50</t>
  </si>
  <si>
    <t>6.40-10.50</t>
  </si>
  <si>
    <t>2.20-8.25</t>
  </si>
  <si>
    <t>2.25-13.50</t>
  </si>
  <si>
    <t>5.25-10.75</t>
  </si>
  <si>
    <t>5.25-15.75</t>
  </si>
  <si>
    <t>6.25-11.25</t>
  </si>
  <si>
    <t>6.25-15.00</t>
  </si>
  <si>
    <t>6.45-11.25</t>
  </si>
  <si>
    <t>5.10-21.60</t>
  </si>
  <si>
    <t>4.50-9.25</t>
  </si>
  <si>
    <t>5.25-9.25</t>
  </si>
  <si>
    <t>1.70-10.00</t>
  </si>
  <si>
    <t>6.50-18.40</t>
  </si>
  <si>
    <t>7.50-11.50</t>
  </si>
  <si>
    <t>8.00-10.50</t>
  </si>
  <si>
    <t>8.00-11.50</t>
  </si>
  <si>
    <t>4.25-9.15</t>
  </si>
  <si>
    <t>7.50-16.40</t>
  </si>
  <si>
    <t>2.50-8.00</t>
  </si>
  <si>
    <t>4.00-8.75</t>
  </si>
  <si>
    <t>2.25-8.25</t>
  </si>
  <si>
    <t>4.25-16.15</t>
  </si>
  <si>
    <t>3.75-8.25</t>
  </si>
  <si>
    <t>4.25-9.75</t>
  </si>
  <si>
    <t>3.65-16.90</t>
  </si>
  <si>
    <t>4.50-10.00</t>
  </si>
  <si>
    <t>5.00-18.40</t>
  </si>
  <si>
    <t>5.30-15.00</t>
  </si>
  <si>
    <t>6.50-21.60</t>
  </si>
  <si>
    <t>5.30-11.25</t>
  </si>
  <si>
    <t>1.70-9.50</t>
  </si>
  <si>
    <t>3.90-9.50</t>
  </si>
  <si>
    <t>1.70-9.75</t>
  </si>
  <si>
    <t>4.75-11.25</t>
  </si>
  <si>
    <t>4.80-11.75</t>
  </si>
  <si>
    <t>5.10-11.75</t>
  </si>
  <si>
    <t>2.35-9.25</t>
  </si>
  <si>
    <t>4.25-9.50</t>
  </si>
  <si>
    <t>2.55-9.50</t>
  </si>
  <si>
    <t>5.65-11.25</t>
  </si>
  <si>
    <t>6.50-11.75</t>
  </si>
  <si>
    <t>1.25-8.25</t>
  </si>
  <si>
    <t>4.10-8.25</t>
  </si>
  <si>
    <t>4.75-10.75</t>
  </si>
  <si>
    <t>3.75-11.25</t>
  </si>
  <si>
    <t>5.75-11.25</t>
  </si>
  <si>
    <t>5.00-9.75</t>
  </si>
  <si>
    <t>3.55-7.85</t>
  </si>
  <si>
    <t>3.70-8.00</t>
  </si>
  <si>
    <t>5.40-9.00</t>
  </si>
  <si>
    <t>9.75-10.50</t>
  </si>
  <si>
    <t>4.00-9.55</t>
  </si>
  <si>
    <t>4.25-9.80</t>
  </si>
  <si>
    <t>1.50-10.55</t>
  </si>
  <si>
    <t>1.70-9.00</t>
  </si>
  <si>
    <t>1.70-15.90</t>
  </si>
  <si>
    <t>1.70-9.80</t>
  </si>
  <si>
    <t>1.70-15.45</t>
  </si>
  <si>
    <t>1.70-16.15</t>
  </si>
  <si>
    <t>1.80-13.00</t>
  </si>
  <si>
    <t>4.95-18.40</t>
  </si>
  <si>
    <t>1.80-15.10</t>
  </si>
  <si>
    <t>1.80-15.00</t>
  </si>
  <si>
    <t>4.50-13.00</t>
  </si>
  <si>
    <t>5.45-21.60</t>
  </si>
  <si>
    <t>3.65-16.15</t>
  </si>
  <si>
    <t>3.25-16.15</t>
  </si>
  <si>
    <t>4.40-15.00</t>
  </si>
  <si>
    <t>4.70-15.00</t>
  </si>
  <si>
    <t>5.20-18.40</t>
  </si>
  <si>
    <t>6.30-11.80</t>
  </si>
  <si>
    <t>1.70-8.85</t>
  </si>
  <si>
    <t>3.05-8.00</t>
  </si>
  <si>
    <t>2.60-9.80</t>
  </si>
  <si>
    <t>3.25-10.25</t>
  </si>
  <si>
    <t>6.00-10.50</t>
  </si>
  <si>
    <t>5.20-11.50</t>
  </si>
  <si>
    <t>5.45-17.95</t>
  </si>
  <si>
    <t>3.20-8.10</t>
  </si>
  <si>
    <t>3.60-8.50</t>
  </si>
  <si>
    <t>3.60-16.15</t>
  </si>
  <si>
    <t>5.25-14.25</t>
  </si>
  <si>
    <t>5.85-10.00</t>
  </si>
  <si>
    <t>6.75-18.40</t>
  </si>
  <si>
    <t>6.15-21.60</t>
  </si>
  <si>
    <t>7.75-8.00</t>
  </si>
  <si>
    <t>8.00-8.25</t>
  </si>
  <si>
    <t>8.75-16.15</t>
  </si>
  <si>
    <t>6.75-10.00</t>
  </si>
  <si>
    <t>7.25-15.10</t>
  </si>
  <si>
    <t>7.25-10.50</t>
  </si>
  <si>
    <t>3.15-8.00</t>
  </si>
  <si>
    <t>7.80-8.25</t>
  </si>
  <si>
    <t>8.55-9.75</t>
  </si>
  <si>
    <t>10.05-10.50</t>
  </si>
  <si>
    <t>10.50-11.25</t>
  </si>
  <si>
    <t>7.65-10.50</t>
  </si>
  <si>
    <t>7.80-10.50</t>
  </si>
  <si>
    <t>5.79-10.50</t>
  </si>
  <si>
    <t>6.15-12.50</t>
  </si>
  <si>
    <t>4.75-8.00</t>
  </si>
  <si>
    <t>4.50-8.50</t>
  </si>
  <si>
    <t>3.60-9.00</t>
  </si>
  <si>
    <t>5.75-14.25</t>
  </si>
  <si>
    <t>1.80-13.40</t>
  </si>
  <si>
    <t>7.25-18.40</t>
  </si>
  <si>
    <t>7.05-11.75</t>
  </si>
  <si>
    <t>6.75-15.00</t>
  </si>
  <si>
    <t>6.75-21.60</t>
  </si>
  <si>
    <t>4.00-8.05</t>
  </si>
  <si>
    <t>3.75-8.00</t>
  </si>
  <si>
    <t>4.10-9.00</t>
  </si>
  <si>
    <t>4.60-9.05</t>
  </si>
  <si>
    <t>5.85-10.75</t>
  </si>
  <si>
    <t>4.95-11.75</t>
  </si>
  <si>
    <t>5.50-11.75</t>
  </si>
  <si>
    <t>3.10-11.75</t>
  </si>
  <si>
    <t>6.50-10.55</t>
  </si>
  <si>
    <t>6.50-13.00</t>
  </si>
  <si>
    <t>3.20-8.75</t>
  </si>
  <si>
    <t>3.55-15.45</t>
  </si>
  <si>
    <t>4.25-8.45</t>
  </si>
  <si>
    <t>1.70-11.25</t>
  </si>
  <si>
    <t>4.20-11.75</t>
  </si>
  <si>
    <t>6.10-11.25</t>
  </si>
  <si>
    <t>4.50-11.75</t>
  </si>
  <si>
    <t>5.50-15.00</t>
  </si>
  <si>
    <t>2.30-14.80</t>
  </si>
  <si>
    <t>1.50-16.40</t>
  </si>
  <si>
    <t>1.50-12.40</t>
  </si>
  <si>
    <t>1.50-13.50</t>
  </si>
  <si>
    <t>1.80-16.00</t>
  </si>
  <si>
    <t>1.80-17.70</t>
  </si>
  <si>
    <t>1.80-16.40</t>
  </si>
  <si>
    <t>4.40-21.60</t>
  </si>
  <si>
    <t>4.40-14.00</t>
  </si>
  <si>
    <t>1.61-11.35</t>
  </si>
  <si>
    <t>2.50-9.55</t>
  </si>
  <si>
    <t>1.70-11.50</t>
  </si>
  <si>
    <t>2.50-11.50</t>
  </si>
  <si>
    <t>1.70-11.75</t>
  </si>
  <si>
    <t>2.75-11.75</t>
  </si>
  <si>
    <t>2.50-11.75</t>
  </si>
  <si>
    <t>2.95-12.50</t>
  </si>
  <si>
    <t>3.25-13.50</t>
  </si>
  <si>
    <t>3.75-14.00</t>
  </si>
  <si>
    <t>3.65-12.20</t>
  </si>
  <si>
    <t>4.75-14.00</t>
  </si>
  <si>
    <t>5.00-16.40</t>
  </si>
  <si>
    <t>1.80-14.00</t>
  </si>
  <si>
    <t>5.25-12.20</t>
  </si>
  <si>
    <t>5.40-14.00</t>
  </si>
  <si>
    <t>5.05-14.00</t>
  </si>
  <si>
    <t>1.70-12.00</t>
  </si>
  <si>
    <t>2.30-8.85</t>
  </si>
  <si>
    <t>2.30-15.90</t>
  </si>
  <si>
    <t>1.70-13.90</t>
  </si>
  <si>
    <t>1.50-9.80</t>
  </si>
  <si>
    <t>1.50-15.90</t>
  </si>
  <si>
    <t>3.75-11.75</t>
  </si>
  <si>
    <t>3.35-18.40</t>
  </si>
  <si>
    <t>4.40-12.05</t>
  </si>
  <si>
    <t>2.65-14.80</t>
  </si>
  <si>
    <t>1.50-12.15</t>
  </si>
  <si>
    <t>1.70-10.70</t>
  </si>
  <si>
    <t>1.70-17.90</t>
  </si>
  <si>
    <t>1.80-12.20</t>
  </si>
  <si>
    <t>1.80-15.90</t>
  </si>
  <si>
    <t>1.80-12.45</t>
  </si>
  <si>
    <t>4.91-12.45</t>
  </si>
  <si>
    <t>3.70-13.75</t>
  </si>
  <si>
    <t>1.70-11.05</t>
  </si>
  <si>
    <t>3.99-10.50</t>
  </si>
  <si>
    <t>1.70-12.40</t>
  </si>
  <si>
    <t>1.50-10.75</t>
  </si>
  <si>
    <t>1.50-11.50</t>
  </si>
  <si>
    <t>1.50-12.50</t>
  </si>
  <si>
    <t>1.50-13.00</t>
  </si>
  <si>
    <t>1.70-9.55</t>
  </si>
  <si>
    <t>4.95-7.85</t>
  </si>
  <si>
    <t>4.55-9.55</t>
  </si>
  <si>
    <t>4.05-8.00</t>
  </si>
  <si>
    <t>6.50-8.25</t>
  </si>
  <si>
    <t>10.50-17.70</t>
  </si>
  <si>
    <t>7.60-11.25</t>
  </si>
  <si>
    <t>7.20-10.50</t>
  </si>
  <si>
    <t>7.60-10.50</t>
  </si>
  <si>
    <t>5.95-8.00</t>
  </si>
  <si>
    <t>3.70-11.05</t>
  </si>
  <si>
    <t>1.70-8.00</t>
  </si>
  <si>
    <t>4.25-11.30</t>
  </si>
  <si>
    <t>5.93-10.00</t>
  </si>
  <si>
    <t>6.35-11.25</t>
  </si>
  <si>
    <t>6.35-10.50</t>
  </si>
  <si>
    <t>6.30-11.25</t>
  </si>
  <si>
    <t>6.30-10.50</t>
  </si>
  <si>
    <t>6.30-11.75</t>
  </si>
  <si>
    <t>1.85-15.00</t>
  </si>
  <si>
    <t>1.50-13.55</t>
  </si>
  <si>
    <t>4.95-11.25</t>
  </si>
  <si>
    <t>1.80-12.00</t>
  </si>
  <si>
    <t>5.45-14.05</t>
  </si>
  <si>
    <t>5.45-18.40</t>
  </si>
  <si>
    <t>4.95-10.50</t>
  </si>
  <si>
    <t>1.50-10.50</t>
  </si>
  <si>
    <t>5.10-10.50</t>
  </si>
  <si>
    <t>5.45-11.75</t>
  </si>
  <si>
    <t>4.25-9.55</t>
  </si>
  <si>
    <t>4.25-15.90</t>
  </si>
  <si>
    <t>5.25-10.50</t>
  </si>
  <si>
    <t>4.50-9.00</t>
  </si>
  <si>
    <t>5.50-9.00</t>
  </si>
  <si>
    <t>5.75-9.00</t>
  </si>
  <si>
    <t>5.25-9.75</t>
  </si>
  <si>
    <t>7.75-12.00</t>
  </si>
  <si>
    <t>8.75-10.50</t>
  </si>
  <si>
    <t>6.95-8.00</t>
  </si>
  <si>
    <t>8.75-9.00</t>
  </si>
  <si>
    <t>9.75-10.00</t>
  </si>
  <si>
    <t>7.00-10.50</t>
  </si>
  <si>
    <t>10.25-14.05</t>
  </si>
  <si>
    <t>6.95-18.40</t>
  </si>
  <si>
    <t>10.25-11.25</t>
  </si>
  <si>
    <t>2.00-13.55</t>
  </si>
  <si>
    <t>3.90-9.00</t>
  </si>
  <si>
    <t>3.90-8.25</t>
  </si>
  <si>
    <t>4.80-9.75</t>
  </si>
  <si>
    <t>5.00-10.25</t>
  </si>
  <si>
    <t>6.00-11.25</t>
  </si>
  <si>
    <t>6.05-11.75</t>
  </si>
  <si>
    <t>6.50-12.25</t>
  </si>
  <si>
    <t>2.35-15.20</t>
  </si>
  <si>
    <t>2.40-9.80</t>
  </si>
  <si>
    <t>2.40-9.25</t>
  </si>
  <si>
    <t>3.85-10.25</t>
  </si>
  <si>
    <t>6.00-15.90</t>
  </si>
  <si>
    <t>5.55-11.75</t>
  </si>
  <si>
    <t>5.10-17.95</t>
  </si>
  <si>
    <t>6.50-17.95</t>
  </si>
  <si>
    <t>4.55-6.40</t>
  </si>
  <si>
    <t>4.20-8.00</t>
  </si>
  <si>
    <t>2.35-9.55</t>
  </si>
  <si>
    <t>2.40-8.25</t>
  </si>
  <si>
    <t>4.45-10.25</t>
  </si>
  <si>
    <t>5.20-10.25</t>
  </si>
  <si>
    <t>6.20-11.25</t>
  </si>
  <si>
    <t>6.70-11.75</t>
  </si>
  <si>
    <t>6.70-10.50</t>
  </si>
  <si>
    <t>6.70-21.60</t>
  </si>
  <si>
    <t>3.85-9.75</t>
  </si>
  <si>
    <t>6.00-10.25</t>
  </si>
  <si>
    <t>7.00-10.00</t>
  </si>
  <si>
    <t>7.50-11.75</t>
  </si>
  <si>
    <t>9.05-11.75</t>
  </si>
  <si>
    <t>3.35-8.40</t>
  </si>
  <si>
    <t>1.75-12.55</t>
  </si>
  <si>
    <t>3.15-9.55</t>
  </si>
  <si>
    <t>3.90-9.80</t>
  </si>
  <si>
    <t>3.15-9.00</t>
  </si>
  <si>
    <t>3.15-16.15</t>
  </si>
  <si>
    <t>3.50-10.25</t>
  </si>
  <si>
    <t>3.15-9.75</t>
  </si>
  <si>
    <t>3.25-10.55</t>
  </si>
  <si>
    <t>5.50-15.90</t>
  </si>
  <si>
    <t>5.50-13.00</t>
  </si>
  <si>
    <t>5.55-17.95</t>
  </si>
  <si>
    <t>5.10-18.40</t>
  </si>
  <si>
    <t>5.50-12.05</t>
  </si>
  <si>
    <t>2.26-15.75</t>
  </si>
  <si>
    <t>2.60-14.80</t>
  </si>
  <si>
    <t>3.25-15.00</t>
  </si>
  <si>
    <t>1.50-9.50</t>
  </si>
  <si>
    <t>2.95-10.25</t>
  </si>
  <si>
    <t>3.10-15.00</t>
  </si>
  <si>
    <t>4.25-15.10</t>
  </si>
  <si>
    <t>4.75-11.75</t>
  </si>
  <si>
    <t>5.40-11.50</t>
  </si>
  <si>
    <t>5.10-12.05</t>
  </si>
  <si>
    <t>5.05-12.70</t>
  </si>
  <si>
    <t>5.10-13.00</t>
  </si>
  <si>
    <t>4.25-9.30</t>
  </si>
  <si>
    <t>5.25-10.00</t>
  </si>
  <si>
    <t>4.75-11.00</t>
  </si>
  <si>
    <t>6.75-11.50</t>
  </si>
  <si>
    <t>2.55-10.10</t>
  </si>
  <si>
    <t>2.60-8.00</t>
  </si>
  <si>
    <t>3.20-8.25</t>
  </si>
  <si>
    <t>3.10-8.25</t>
  </si>
  <si>
    <t>2.90-9.00</t>
  </si>
  <si>
    <t>2.95-9.00</t>
  </si>
  <si>
    <t>4.75-10.50</t>
  </si>
  <si>
    <t>5.00-11.75</t>
  </si>
  <si>
    <t>5.70-15.00</t>
  </si>
  <si>
    <t>3.85-9.00</t>
  </si>
  <si>
    <t>8.20-10.50</t>
  </si>
  <si>
    <t>9.05-11.25</t>
  </si>
  <si>
    <t>7.40-11.25</t>
  </si>
  <si>
    <t>9.25-10.50</t>
  </si>
  <si>
    <t>3.95-8.25</t>
  </si>
  <si>
    <t>5.25-10.25</t>
  </si>
  <si>
    <t>4.85-10.00</t>
  </si>
  <si>
    <t>6.10-11.75</t>
  </si>
  <si>
    <t>2.26-12.00</t>
  </si>
  <si>
    <t>3.85-12.30</t>
  </si>
  <si>
    <t>4.00-15.00</t>
  </si>
  <si>
    <t>3.41-8.00</t>
  </si>
  <si>
    <t>4.15-15.45</t>
  </si>
  <si>
    <t>3.25-10.00</t>
  </si>
  <si>
    <t>5.85-10.50</t>
  </si>
  <si>
    <t>4.75-11.60</t>
  </si>
  <si>
    <t>5.75-10.75</t>
  </si>
  <si>
    <t>6.40-11.75</t>
  </si>
  <si>
    <t>3.00-15.90</t>
  </si>
  <si>
    <t>1.50-12.60</t>
  </si>
  <si>
    <t>1.50-11.00</t>
  </si>
  <si>
    <t>3.75-12.75</t>
  </si>
  <si>
    <t>3.35-12.50</t>
  </si>
  <si>
    <t>5.50-21.60</t>
  </si>
  <si>
    <t>5.90-18.40</t>
  </si>
  <si>
    <t>4.00-15.90</t>
  </si>
  <si>
    <t>3.75-9.15</t>
  </si>
  <si>
    <t>4.55-11.25</t>
  </si>
  <si>
    <t>6.15-11.25</t>
  </si>
  <si>
    <t>5.75-11.75</t>
  </si>
  <si>
    <t>6.05-11.25</t>
  </si>
  <si>
    <t>5.50-16.40</t>
  </si>
  <si>
    <t>8.00-15.90</t>
  </si>
  <si>
    <t>7.55-9.00</t>
  </si>
  <si>
    <t>9.00-9.00</t>
  </si>
  <si>
    <t>8.65-10.50</t>
  </si>
  <si>
    <t>2.95-9.55</t>
  </si>
  <si>
    <t>3.00-8.00</t>
  </si>
  <si>
    <t>4.00-15.05</t>
  </si>
  <si>
    <t>3.15-9.40</t>
  </si>
  <si>
    <t>3.15-8.25</t>
  </si>
  <si>
    <t>3.05-8.25</t>
  </si>
  <si>
    <t>6.00-10.75</t>
  </si>
  <si>
    <t>3.35-11.75</t>
  </si>
  <si>
    <t>5.60-17.95</t>
  </si>
  <si>
    <t>4.00-10.50</t>
  </si>
  <si>
    <t>3.75-10.25</t>
  </si>
  <si>
    <t>2.50-10.25</t>
  </si>
  <si>
    <t>3.75-10.75</t>
  </si>
  <si>
    <t>4.80-11.00</t>
  </si>
  <si>
    <t>6.00-12.50</t>
  </si>
  <si>
    <t>5.90-12.50</t>
  </si>
  <si>
    <t>3.40-8.25</t>
  </si>
  <si>
    <t>5.60-10.00</t>
  </si>
  <si>
    <t>6.50-24.00</t>
  </si>
  <si>
    <t>5.65-21.60</t>
  </si>
  <si>
    <t>6.55-10.50</t>
  </si>
  <si>
    <t>10.50-21.60</t>
  </si>
  <si>
    <t>4.00-4.00</t>
  </si>
  <si>
    <t>4.00-4.25</t>
  </si>
  <si>
    <t>4.25-5.50</t>
  </si>
  <si>
    <t>9.30-10.50</t>
  </si>
  <si>
    <t>8.05-10.50</t>
  </si>
  <si>
    <t>8.75-11.25</t>
  </si>
  <si>
    <t>1.70-1.70</t>
  </si>
  <si>
    <t>7.90-10.50</t>
  </si>
  <si>
    <t>9.80-10.50</t>
  </si>
  <si>
    <t>1.90-7.85</t>
  </si>
  <si>
    <t>3.20-8.00</t>
  </si>
  <si>
    <t>3.35-8.25</t>
  </si>
  <si>
    <t>3.90-10.25</t>
  </si>
  <si>
    <t>5.60-10.50</t>
  </si>
  <si>
    <t>3.90-10.90</t>
  </si>
  <si>
    <t>5.60-11.75</t>
  </si>
  <si>
    <t>5.90-11.75</t>
  </si>
  <si>
    <t>3.90-11.75</t>
  </si>
  <si>
    <t>5.90-10.50</t>
  </si>
  <si>
    <t>6.25-8.00</t>
  </si>
  <si>
    <t>4.00-11.55</t>
  </si>
  <si>
    <t>3.75-9.80</t>
  </si>
  <si>
    <t>6.50-17.45</t>
  </si>
  <si>
    <t>6.75-17.45</t>
  </si>
  <si>
    <t>4.25-5.75</t>
  </si>
  <si>
    <t>4.75-11.55</t>
  </si>
  <si>
    <t>5.15-8.25</t>
  </si>
  <si>
    <t>5.90-9.00</t>
  </si>
  <si>
    <t>8.80-10.50</t>
  </si>
  <si>
    <t>3.50-9.50</t>
  </si>
  <si>
    <t>3.65-9.80</t>
  </si>
  <si>
    <t>3.50-9.75</t>
  </si>
  <si>
    <t>3.85-12.40</t>
  </si>
  <si>
    <t>3.85-10.50</t>
  </si>
  <si>
    <t>6.50-12.00</t>
  </si>
  <si>
    <t>3.75-12.00</t>
  </si>
  <si>
    <t>1.80-12.05</t>
  </si>
  <si>
    <t>5.40-12.00</t>
  </si>
  <si>
    <t>4.38-8.00</t>
  </si>
  <si>
    <t>6.88-10.50</t>
  </si>
  <si>
    <t>4.55-11.55</t>
  </si>
  <si>
    <t>3.00-9.55</t>
  </si>
  <si>
    <t>5.05-8.55</t>
  </si>
  <si>
    <t>6.80-21.60</t>
  </si>
  <si>
    <t>5.50-11.30</t>
  </si>
  <si>
    <t>7.90-11.25</t>
  </si>
  <si>
    <t>4.00-9.50</t>
  </si>
  <si>
    <t>4.25-12.40</t>
  </si>
  <si>
    <t>6.50-15.75</t>
  </si>
  <si>
    <t>1.30-24.00</t>
  </si>
  <si>
    <t>1.50-24.00</t>
  </si>
  <si>
    <t>1.80-24.00</t>
  </si>
  <si>
    <t>1.60-24.00</t>
  </si>
  <si>
    <t>2.00-10.40</t>
  </si>
  <si>
    <t>2.00-14.10</t>
  </si>
  <si>
    <t>2.00-14.20</t>
  </si>
  <si>
    <t>2.00-14.35</t>
  </si>
  <si>
    <t>2.00-14.45</t>
  </si>
  <si>
    <t>2.00-15.20</t>
  </si>
  <si>
    <t>2.00-16.10</t>
  </si>
  <si>
    <t>2.00-16.70</t>
  </si>
  <si>
    <t>2.00-16.60</t>
  </si>
  <si>
    <t>2.00-15.10</t>
  </si>
  <si>
    <t>2.30-14.30</t>
  </si>
  <si>
    <t>3. Other Financial Corporations (excluding GBCs)</t>
  </si>
  <si>
    <t>1.37-15.00</t>
  </si>
  <si>
    <t>2.35-24.00</t>
  </si>
  <si>
    <t>1.09-15.00</t>
  </si>
  <si>
    <t>2.00-15.00</t>
  </si>
  <si>
    <t>2.50-13.25</t>
  </si>
  <si>
    <t>2.40-13.25</t>
  </si>
  <si>
    <t>2.40-9.75</t>
  </si>
  <si>
    <t>2.50-24.00</t>
  </si>
  <si>
    <t>2.50-14.40</t>
  </si>
  <si>
    <t>5.00-17.70</t>
  </si>
  <si>
    <t>3.42-17.70</t>
  </si>
  <si>
    <t>5.20-17.95</t>
  </si>
  <si>
    <t>5.25-24.00</t>
  </si>
  <si>
    <t>4.95-24.00</t>
  </si>
  <si>
    <t>4.85-18.40</t>
  </si>
  <si>
    <r>
      <t>4. GBCs</t>
    </r>
    <r>
      <rPr>
        <b/>
        <vertAlign val="superscript"/>
        <sz val="12"/>
        <color rgb="FF002060"/>
        <rFont val="Segoe UI"/>
        <family val="2"/>
      </rPr>
      <t>2</t>
    </r>
  </si>
  <si>
    <t>3.75-15.00</t>
  </si>
  <si>
    <t>3.75-13.90</t>
  </si>
  <si>
    <t>2.60-8.25</t>
  </si>
  <si>
    <t>4.60-9.00</t>
  </si>
  <si>
    <t>5.75-10.00</t>
  </si>
  <si>
    <t>6.15-10.50</t>
  </si>
  <si>
    <t>6.15-12.05</t>
  </si>
  <si>
    <t>5. Authorised companies</t>
  </si>
  <si>
    <t>6. Public Nonfinancial corporations</t>
  </si>
  <si>
    <t>4.10-5.90</t>
  </si>
  <si>
    <t>4.50-15.00</t>
  </si>
  <si>
    <t>2.15-15.00</t>
  </si>
  <si>
    <t>4.40-5.90</t>
  </si>
  <si>
    <t>4.50-10.50</t>
  </si>
  <si>
    <t>6.20-8.70</t>
  </si>
  <si>
    <t>4.80-15.00</t>
  </si>
  <si>
    <r>
      <rPr>
        <i/>
        <vertAlign val="superscript"/>
        <sz val="10"/>
        <color rgb="FF002060"/>
        <rFont val="Segoe UI"/>
        <family val="2"/>
      </rPr>
      <t xml:space="preserve">2 </t>
    </r>
    <r>
      <rPr>
        <i/>
        <sz val="10"/>
        <color rgb="FF002060"/>
        <rFont val="Segoe UI"/>
        <family val="2"/>
      </rPr>
      <t>Following IMF recommendations, with effect from January 2022, Global Business Corporations (GBCs) include both financial and non-financial GBCs.</t>
    </r>
  </si>
  <si>
    <t>Table 18: Banks' Principal Interest Rates and Other Interest Rates: August 2021 to August 2023</t>
  </si>
  <si>
    <t>Key</t>
  </si>
  <si>
    <t>Prime</t>
  </si>
  <si>
    <t>Interest</t>
  </si>
  <si>
    <t>Weighted</t>
  </si>
  <si>
    <t xml:space="preserve">Weighted </t>
  </si>
  <si>
    <r>
      <t>Rate</t>
    </r>
    <r>
      <rPr>
        <b/>
        <vertAlign val="superscript"/>
        <sz val="11"/>
        <color rgb="FF002060"/>
        <rFont val="Segoe UI"/>
        <family val="2"/>
      </rPr>
      <t xml:space="preserve"> 1</t>
    </r>
  </si>
  <si>
    <t>Lending</t>
  </si>
  <si>
    <t xml:space="preserve">Rates on </t>
  </si>
  <si>
    <t>Rates on</t>
  </si>
  <si>
    <t xml:space="preserve">Average </t>
  </si>
  <si>
    <t>Rate</t>
  </si>
  <si>
    <t xml:space="preserve"> Rupee</t>
  </si>
  <si>
    <t>Yield</t>
  </si>
  <si>
    <t>of banks</t>
  </si>
  <si>
    <t>Savings</t>
  </si>
  <si>
    <t>Term</t>
  </si>
  <si>
    <t xml:space="preserve"> Loans and </t>
  </si>
  <si>
    <t xml:space="preserve">Deposits Rate </t>
  </si>
  <si>
    <t>on Bills</t>
  </si>
  <si>
    <t>Advances</t>
  </si>
  <si>
    <t>of Banks</t>
  </si>
  <si>
    <t>Rate of</t>
  </si>
  <si>
    <t>Accepted</t>
  </si>
  <si>
    <t>with Banks</t>
  </si>
  <si>
    <r>
      <t xml:space="preserve">with Banks </t>
    </r>
    <r>
      <rPr>
        <b/>
        <vertAlign val="superscript"/>
        <sz val="11"/>
        <color rgb="FF002060"/>
        <rFont val="Segoe UI"/>
        <family val="2"/>
      </rPr>
      <t>2</t>
    </r>
  </si>
  <si>
    <r>
      <t xml:space="preserve">by Banks </t>
    </r>
    <r>
      <rPr>
        <b/>
        <vertAlign val="superscript"/>
        <sz val="11"/>
        <color rgb="FF002060"/>
        <rFont val="Segoe UI"/>
        <family val="2"/>
      </rPr>
      <t>3</t>
    </r>
  </si>
  <si>
    <t>at Primary</t>
  </si>
  <si>
    <t>Auctions</t>
  </si>
  <si>
    <t>9.20-10.25</t>
  </si>
  <si>
    <t>5.70-6.27</t>
  </si>
  <si>
    <t>4.50 - 13.00</t>
  </si>
  <si>
    <t>6.25 - 22.50</t>
  </si>
  <si>
    <t>9.70-10.75</t>
  </si>
  <si>
    <t>6.20-6.80</t>
  </si>
  <si>
    <t>4.50 - 13.25</t>
  </si>
  <si>
    <t>6.25 - 23.00</t>
  </si>
  <si>
    <t>10.70-11.75</t>
  </si>
  <si>
    <t>7.20-7.60</t>
  </si>
  <si>
    <t>4.63 - 14.25</t>
  </si>
  <si>
    <t>6.25 - 24.00</t>
  </si>
  <si>
    <t>4.63 - 14.50</t>
  </si>
  <si>
    <t>4.63 - 14.75</t>
  </si>
  <si>
    <t>4.63 - 16.50</t>
  </si>
  <si>
    <t>4.63 - 16.00</t>
  </si>
  <si>
    <t>4.63 - 15.60</t>
  </si>
  <si>
    <t>11.25-12.25</t>
  </si>
  <si>
    <t>8.00-8.60</t>
  </si>
  <si>
    <t>6.25 - 24.25</t>
  </si>
  <si>
    <t>6.25 - 22.75</t>
  </si>
  <si>
    <t>11.40-12.25</t>
  </si>
  <si>
    <t>6.25 - 22.73</t>
  </si>
  <si>
    <t>4.63 - 15.00</t>
  </si>
  <si>
    <t>11.15-12.00</t>
  </si>
  <si>
    <t>7.75-8.25</t>
  </si>
  <si>
    <t>4.63-15.00</t>
  </si>
  <si>
    <t>6.25-22.57</t>
  </si>
  <si>
    <t>10.65-11.75</t>
  </si>
  <si>
    <t>7.00-7.75</t>
  </si>
  <si>
    <t>6.50-22.56</t>
  </si>
  <si>
    <t>6.00-22.38</t>
  </si>
  <si>
    <t>10.15-11.50</t>
  </si>
  <si>
    <t>6.00-21.78</t>
  </si>
  <si>
    <t>6.00-21.80</t>
  </si>
  <si>
    <t>6.50-7.25</t>
  </si>
  <si>
    <t>6.00-22.22</t>
  </si>
  <si>
    <t>6.00-22.30</t>
  </si>
  <si>
    <t>6.00-22.26</t>
  </si>
  <si>
    <t>10.05-11.00</t>
  </si>
  <si>
    <t>6.00-6.75</t>
  </si>
  <si>
    <t>4.65-15.00</t>
  </si>
  <si>
    <t>6.00-22.00</t>
  </si>
  <si>
    <t>9.05-10.00</t>
  </si>
  <si>
    <t>5.00-5.75</t>
  </si>
  <si>
    <t>6.00-21.00</t>
  </si>
  <si>
    <t>8.05-10.00</t>
  </si>
  <si>
    <t>4.00-5.75</t>
  </si>
  <si>
    <t>8.05-9.00</t>
  </si>
  <si>
    <t>4.00-4.75</t>
  </si>
  <si>
    <t>6.00-19.75</t>
  </si>
  <si>
    <t>4.53</t>
  </si>
  <si>
    <t>7.05-9.00</t>
  </si>
  <si>
    <t>3.40-4.75</t>
  </si>
  <si>
    <t xml:space="preserve">Oct-10 </t>
  </si>
  <si>
    <t>7.05-8.50</t>
  </si>
  <si>
    <t>3.00-4.00</t>
  </si>
  <si>
    <t>5.00-19.75</t>
  </si>
  <si>
    <t>Nov-10</t>
  </si>
  <si>
    <t>3.00-16.50</t>
  </si>
  <si>
    <t>4.70-19.75</t>
  </si>
  <si>
    <t xml:space="preserve">Dec-10 </t>
  </si>
  <si>
    <t>Jan-11</t>
  </si>
  <si>
    <t>Feb-11</t>
  </si>
  <si>
    <t>Mar-11</t>
  </si>
  <si>
    <t>7.30-9.00</t>
  </si>
  <si>
    <t>3.50-4.25</t>
  </si>
  <si>
    <t>7.50-9.00</t>
  </si>
  <si>
    <t>4.00-19.75</t>
  </si>
  <si>
    <t>4.00-19.55</t>
  </si>
  <si>
    <t>4.00-19.57</t>
  </si>
  <si>
    <t>7.40-9.00</t>
  </si>
  <si>
    <t>3.00-4.15</t>
  </si>
  <si>
    <t>2.40-16.55</t>
  </si>
  <si>
    <t>3.65-19.35</t>
  </si>
  <si>
    <t>7.00-9.00</t>
  </si>
  <si>
    <t>3.00-3.65</t>
  </si>
  <si>
    <t>2.25-16.55</t>
  </si>
  <si>
    <t>3.65-19.25</t>
  </si>
  <si>
    <t>3.55-19.25</t>
  </si>
  <si>
    <t>2.00-16.55</t>
  </si>
  <si>
    <t>2.00-16.04</t>
  </si>
  <si>
    <t>2.00-19.75</t>
  </si>
  <si>
    <t>2.00-19.84</t>
  </si>
  <si>
    <t>1.40-16.00</t>
  </si>
  <si>
    <t>2.00-19.57</t>
  </si>
  <si>
    <t>2.00-19.59</t>
  </si>
  <si>
    <t>2.75-3.65</t>
  </si>
  <si>
    <t>2.00-19.90</t>
  </si>
  <si>
    <t>6.75-8.50</t>
  </si>
  <si>
    <t>2.75-3.40</t>
  </si>
  <si>
    <t>2.00-19.65</t>
  </si>
  <si>
    <t>1.15-16.00</t>
  </si>
  <si>
    <t>2.00-19.78</t>
  </si>
  <si>
    <t>2.00-21.00</t>
  </si>
  <si>
    <t>6.25-8.50</t>
  </si>
  <si>
    <t>2.50-3.40</t>
  </si>
  <si>
    <t>2.00-19.91</t>
  </si>
  <si>
    <t>1.15-14.00</t>
  </si>
  <si>
    <t>1.15-12.00</t>
  </si>
  <si>
    <t>2.00-21.18</t>
  </si>
  <si>
    <t>1.15-12.25</t>
  </si>
  <si>
    <t>2.00-22.11</t>
  </si>
  <si>
    <t>2.00-21.91</t>
  </si>
  <si>
    <t>2.40-3.40</t>
  </si>
  <si>
    <t>2.00-19.50</t>
  </si>
  <si>
    <t>1.00-12.00</t>
  </si>
  <si>
    <t>2.00-21.90</t>
  </si>
  <si>
    <t>2.00-19.89</t>
  </si>
  <si>
    <t>2.00-19.68</t>
  </si>
  <si>
    <t>0.40-12.00</t>
  </si>
  <si>
    <t>2.00-19.72</t>
  </si>
  <si>
    <t>2.00-19.71</t>
  </si>
  <si>
    <t>0.40-11.00</t>
  </si>
  <si>
    <t>2.00-19.62</t>
  </si>
  <si>
    <t>2.00-19.55</t>
  </si>
  <si>
    <t>2.40-4.00</t>
  </si>
  <si>
    <t>0.10-11.00</t>
  </si>
  <si>
    <t>0.25-11.00</t>
  </si>
  <si>
    <t>2.00-19.40</t>
  </si>
  <si>
    <t>1.96-19.25</t>
  </si>
  <si>
    <t>0.15-11.00</t>
  </si>
  <si>
    <t>2.00-19.25</t>
  </si>
  <si>
    <t>0.25-10.50</t>
  </si>
  <si>
    <t>2.00-19.30</t>
  </si>
  <si>
    <t>0.25-10.30</t>
  </si>
  <si>
    <t>2.00-19.00</t>
  </si>
  <si>
    <t>1.50-18.50</t>
  </si>
  <si>
    <t>0.05-10.30</t>
  </si>
  <si>
    <t>1.50-19.25</t>
  </si>
  <si>
    <t>1.98-19.25</t>
  </si>
  <si>
    <t>1.97-19.25</t>
  </si>
  <si>
    <t>1.94-19.25</t>
  </si>
  <si>
    <t>1.75-4.00</t>
  </si>
  <si>
    <t>1.93-19.25</t>
  </si>
  <si>
    <t>1.92-19.25</t>
  </si>
  <si>
    <t>1.91-19.25</t>
  </si>
  <si>
    <t>0.00-5.00</t>
  </si>
  <si>
    <t>1.00-19.25</t>
  </si>
  <si>
    <t>0.00-6.25</t>
  </si>
  <si>
    <t>0.00-4.90</t>
  </si>
  <si>
    <t>0.00-4.75</t>
  </si>
  <si>
    <t>0.10-4.75</t>
  </si>
  <si>
    <t>5.65-8.50</t>
  </si>
  <si>
    <t>0.00-5.10</t>
  </si>
  <si>
    <t>0.00-5.37</t>
  </si>
  <si>
    <t>0.00-5.15</t>
  </si>
  <si>
    <t>0.00-4.00</t>
  </si>
  <si>
    <t>1.80-19.00</t>
  </si>
  <si>
    <t>0.10-5.30</t>
  </si>
  <si>
    <t>0.10-5.19</t>
  </si>
  <si>
    <t>0.00-6.67</t>
  </si>
  <si>
    <t>0.00-6.00</t>
  </si>
  <si>
    <t>0.10-5.33</t>
  </si>
  <si>
    <t>1.90-19.00</t>
  </si>
  <si>
    <t>0.30-5.40</t>
  </si>
  <si>
    <t>0.10-4.96</t>
  </si>
  <si>
    <t>0.10-6.15</t>
  </si>
  <si>
    <t>1.80-20.40</t>
  </si>
  <si>
    <t>0.10-5.00</t>
  </si>
  <si>
    <t>0.10-6.00</t>
  </si>
  <si>
    <t>0.10-4.90</t>
  </si>
  <si>
    <t>0.10-5.25</t>
  </si>
  <si>
    <t>5.50-8.50</t>
  </si>
  <si>
    <t>0.10-4.65</t>
  </si>
  <si>
    <t>5.50-8.35</t>
  </si>
  <si>
    <t>0.10-5.05</t>
  </si>
  <si>
    <t>0.10-4.92</t>
  </si>
  <si>
    <t>0.00-4.55</t>
  </si>
  <si>
    <t>0.00-4.50</t>
  </si>
  <si>
    <t>0.00-4.25</t>
  </si>
  <si>
    <t>4.00-6.85</t>
  </si>
  <si>
    <t>0.05-3.75</t>
  </si>
  <si>
    <t>0.85-24.00</t>
  </si>
  <si>
    <t>0.01-3.75</t>
  </si>
  <si>
    <t>0.00-3.40</t>
  </si>
  <si>
    <t>0.00-2.65</t>
  </si>
  <si>
    <t>0.01-2.50</t>
  </si>
  <si>
    <t>0.00-2.60</t>
  </si>
  <si>
    <t>0.00-2.50</t>
  </si>
  <si>
    <t>0.74-24.00</t>
  </si>
  <si>
    <t>0.00-3.10</t>
  </si>
  <si>
    <t>0.00-3.35</t>
  </si>
  <si>
    <t>4.00-7.10</t>
  </si>
  <si>
    <t>0.05-3.00</t>
  </si>
  <si>
    <t>0.00-3.02</t>
  </si>
  <si>
    <t>4.15-6.85</t>
  </si>
  <si>
    <t>0.15-3.00</t>
  </si>
  <si>
    <t>1.00-24.00</t>
  </si>
  <si>
    <t>4.15-7.00</t>
  </si>
  <si>
    <t>0.10-3.00</t>
  </si>
  <si>
    <t>4.40-7.25</t>
  </si>
  <si>
    <t>1.25-24.00</t>
  </si>
  <si>
    <t>0.10-2.91</t>
  </si>
  <si>
    <t>0.10-3.25</t>
  </si>
  <si>
    <t>0.00-3.05</t>
  </si>
  <si>
    <t>4.80-8.00</t>
  </si>
  <si>
    <t>0.00-4.05</t>
  </si>
  <si>
    <t>6.15-9.00</t>
  </si>
  <si>
    <t>6.55-9.50</t>
  </si>
  <si>
    <t>1.00-5.50</t>
  </si>
  <si>
    <t>6.65-9.50</t>
  </si>
  <si>
    <t>0.50-5.50</t>
  </si>
  <si>
    <t>0.15-5.75</t>
  </si>
  <si>
    <t>0.00-5.90</t>
  </si>
  <si>
    <t>0.30-6.25</t>
  </si>
  <si>
    <t>0.50-6.00</t>
  </si>
  <si>
    <t>0.30-6.00</t>
  </si>
  <si>
    <t>0.55-6.00</t>
  </si>
  <si>
    <t>0.25-6.00</t>
  </si>
  <si>
    <r>
      <rPr>
        <i/>
        <vertAlign val="superscript"/>
        <sz val="10"/>
        <color rgb="FF002060"/>
        <rFont val="Segoe UI"/>
        <family val="2"/>
      </rPr>
      <t xml:space="preserve">1 </t>
    </r>
    <r>
      <rPr>
        <i/>
        <sz val="10"/>
        <color rgb="FF002060"/>
        <rFont val="Segoe UI"/>
        <family val="2"/>
      </rPr>
      <t>Effective 16 January 2023, the Key Rate has replaced the Key Repo Rate as the policy rate used to signal the stance of monetary policy.  The level of the Key Rate has been set at the same level as the Key Repo Rate.</t>
    </r>
  </si>
  <si>
    <r>
      <rPr>
        <i/>
        <vertAlign val="superscript"/>
        <sz val="10"/>
        <color rgb="FF002060"/>
        <rFont val="Segoe UI"/>
        <family val="2"/>
      </rPr>
      <t xml:space="preserve">2 </t>
    </r>
    <r>
      <rPr>
        <i/>
        <sz val="10"/>
        <color rgb="FF002060"/>
        <rFont val="Segoe UI"/>
        <family val="2"/>
      </rPr>
      <t>Effective January 2017, the data refer to interest rates on new rupee deposits acquired during the month. Consequently, the data are not strictly comparable to those prior to January 2017.</t>
    </r>
  </si>
  <si>
    <r>
      <rPr>
        <i/>
        <vertAlign val="superscript"/>
        <sz val="10"/>
        <color rgb="FF002060"/>
        <rFont val="Segoe UI"/>
        <family val="2"/>
      </rPr>
      <t xml:space="preserve">3 </t>
    </r>
    <r>
      <rPr>
        <i/>
        <sz val="10"/>
        <color rgb="FF002060"/>
        <rFont val="Segoe UI"/>
        <family val="2"/>
      </rPr>
      <t>Effective October 2018, the data refer to interest rates on new rupee loans and overdrafts. Consequently, the data are not strictly comparable to those prior to October 2018.</t>
    </r>
  </si>
  <si>
    <r>
      <t>Table 19: NBDTIs* Loans to Other Nonfinancial Corporations, Households and Other Sectors</t>
    </r>
    <r>
      <rPr>
        <b/>
        <vertAlign val="superscript"/>
        <sz val="12"/>
        <color rgb="FF002060"/>
        <rFont val="Segoe UI"/>
        <family val="2"/>
      </rPr>
      <t>1</t>
    </r>
    <r>
      <rPr>
        <b/>
        <sz val="12"/>
        <color rgb="FF002060"/>
        <rFont val="Segoe UI"/>
        <family val="2"/>
      </rPr>
      <t xml:space="preserve"> as at end-August 2023</t>
    </r>
  </si>
  <si>
    <r>
      <t>MUR</t>
    </r>
    <r>
      <rPr>
        <b/>
        <vertAlign val="superscript"/>
        <sz val="11"/>
        <color rgb="FF002060"/>
        <rFont val="Segoe UI"/>
        <family val="2"/>
      </rPr>
      <t xml:space="preserve">2 </t>
    </r>
  </si>
  <si>
    <t>A - Agriculture, forestry and fishing</t>
  </si>
  <si>
    <t>* NBDTIs refer to Non-Bank Deposit Taking Institutions.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</si>
  <si>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</si>
  <si>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r>
      <rPr>
        <i/>
        <vertAlign val="superscript"/>
        <sz val="10"/>
        <color rgb="FF002060"/>
        <rFont val="Segoe UI"/>
        <family val="2"/>
      </rPr>
      <t xml:space="preserve">2 </t>
    </r>
    <r>
      <rPr>
        <i/>
        <sz val="10"/>
        <color rgb="FF002060"/>
        <rFont val="Segoe UI"/>
        <family val="2"/>
      </rPr>
      <t>MUR refers to Mauritian Rupees.</t>
    </r>
  </si>
  <si>
    <r>
      <rPr>
        <i/>
        <vertAlign val="superscript"/>
        <sz val="10"/>
        <color rgb="FF002060"/>
        <rFont val="Segoe UI"/>
        <family val="2"/>
      </rPr>
      <t>3</t>
    </r>
    <r>
      <rPr>
        <i/>
        <sz val="10"/>
        <color rgb="FF002060"/>
        <rFont val="Segoe UI"/>
        <family val="2"/>
      </rPr>
      <t xml:space="preserve"> FCY refers to the rupee equivalent of loans in foreign currency.</t>
    </r>
  </si>
  <si>
    <r>
      <t>Table 20a: NBDTIs</t>
    </r>
    <r>
      <rPr>
        <b/>
        <vertAlign val="superscript"/>
        <sz val="12"/>
        <color rgb="FF002060"/>
        <rFont val="Segoe UI"/>
        <family val="2"/>
      </rPr>
      <t>*</t>
    </r>
    <r>
      <rPr>
        <b/>
        <sz val="12"/>
        <color rgb="FF002060"/>
        <rFont val="Segoe UI"/>
        <family val="2"/>
      </rPr>
      <t xml:space="preserve"> Loans to Other Nonfinancial Corporations, Households and Other Sectors</t>
    </r>
    <r>
      <rPr>
        <b/>
        <vertAlign val="superscript"/>
        <sz val="12"/>
        <color rgb="FF002060"/>
        <rFont val="Segoe UI"/>
        <family val="2"/>
      </rPr>
      <t>1</t>
    </r>
    <r>
      <rPr>
        <b/>
        <sz val="12"/>
        <color rgb="FF002060"/>
        <rFont val="Segoe UI"/>
        <family val="2"/>
      </rPr>
      <t>: December 2020 to December 2021</t>
    </r>
  </si>
  <si>
    <t>Feb-20</t>
  </si>
  <si>
    <t>4. Public Non-Financial corporations</t>
  </si>
  <si>
    <t>6. Non-Financial GBCs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</si>
  <si>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</si>
  <si>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r>
      <t>Table 20b: NBDTIs</t>
    </r>
    <r>
      <rPr>
        <b/>
        <vertAlign val="superscript"/>
        <sz val="12"/>
        <color rgb="FF002060"/>
        <rFont val="Segoe UI"/>
        <family val="2"/>
      </rPr>
      <t>*</t>
    </r>
    <r>
      <rPr>
        <b/>
        <sz val="12"/>
        <color rgb="FF002060"/>
        <rFont val="Segoe UI"/>
        <family val="2"/>
      </rPr>
      <t xml:space="preserve"> Loans to Other Nonfinancial Corporations, Households and Other Sectors</t>
    </r>
    <r>
      <rPr>
        <b/>
        <vertAlign val="superscript"/>
        <sz val="12"/>
        <color rgb="FF002060"/>
        <rFont val="Segoe UI"/>
        <family val="2"/>
      </rPr>
      <t>1</t>
    </r>
    <r>
      <rPr>
        <b/>
        <sz val="12"/>
        <color rgb="FF002060"/>
        <rFont val="Segoe UI"/>
        <family val="2"/>
      </rPr>
      <t>: August 2022 to August 2023</t>
    </r>
  </si>
  <si>
    <t>Table 21: NBDTIs* Interest Rates on New Rupee Deposits: August 2022 to August 2023</t>
  </si>
  <si>
    <t>DEPOSITS</t>
  </si>
  <si>
    <t xml:space="preserve">    Time</t>
  </si>
  <si>
    <t>1.80-5.45</t>
  </si>
  <si>
    <t>1.35-5.90</t>
  </si>
  <si>
    <t>1.85-6.00</t>
  </si>
  <si>
    <t>1.85-5.60</t>
  </si>
  <si>
    <t>1.35-5.60</t>
  </si>
  <si>
    <t>2.95-5.60</t>
  </si>
  <si>
    <t>2.10-5.50</t>
  </si>
  <si>
    <t>1.85-5.55</t>
  </si>
  <si>
    <t>1.70-5.40</t>
  </si>
  <si>
    <t>1.95-5.55</t>
  </si>
  <si>
    <t>2.00-5.70</t>
  </si>
  <si>
    <t>1.70-5.35</t>
  </si>
  <si>
    <t>1.75-5.35</t>
  </si>
  <si>
    <t>1.70-5.50</t>
  </si>
  <si>
    <t>1.35-5.55</t>
  </si>
  <si>
    <t>1.95-4.50</t>
  </si>
  <si>
    <t>0.45-5.10</t>
  </si>
  <si>
    <t>0.60-4.20</t>
  </si>
  <si>
    <t>0.60-4.50</t>
  </si>
  <si>
    <t>0.20-4.50</t>
  </si>
  <si>
    <t>0.25-4.75</t>
  </si>
  <si>
    <t>0.35-5.00</t>
  </si>
  <si>
    <t>0.45-4.05</t>
  </si>
  <si>
    <t>0.30-4.00</t>
  </si>
  <si>
    <t>0.25-4.00</t>
  </si>
  <si>
    <t>0.25-3.75</t>
  </si>
  <si>
    <t>0.45-4.00</t>
  </si>
  <si>
    <t>0.35-4.00</t>
  </si>
  <si>
    <t>0.25-4.10</t>
  </si>
  <si>
    <t>0.25-4.50</t>
  </si>
  <si>
    <t>0.30-4.75</t>
  </si>
  <si>
    <t>0.60-4.25</t>
  </si>
  <si>
    <t>0.20-4.60</t>
  </si>
  <si>
    <t>0.30-4.50</t>
  </si>
  <si>
    <t>0.35-4.65</t>
  </si>
  <si>
    <t>0.30-4.45</t>
  </si>
  <si>
    <t>0.70-5.00</t>
  </si>
  <si>
    <t>0.65-5.35</t>
  </si>
  <si>
    <t>0.30-5.20</t>
  </si>
  <si>
    <t>1.60-5.50</t>
  </si>
  <si>
    <t>0.75-6.35</t>
  </si>
  <si>
    <t>1.75-6.65</t>
  </si>
  <si>
    <t>2.25-6.50</t>
  </si>
  <si>
    <t>2.10-6.65</t>
  </si>
  <si>
    <t>1.85-6.50</t>
  </si>
  <si>
    <t>2.15-6.75</t>
  </si>
  <si>
    <t>2.10-6.75</t>
  </si>
  <si>
    <t>2.15-6.95</t>
  </si>
  <si>
    <t>2.00-6.50</t>
  </si>
  <si>
    <t>2.75-6.80</t>
  </si>
  <si>
    <t>1.85-2.10</t>
  </si>
  <si>
    <t>2.00-2.10</t>
  </si>
  <si>
    <t>2.00-2.70</t>
  </si>
  <si>
    <t>1.35-2.70</t>
  </si>
  <si>
    <t>1.00-3.00</t>
  </si>
  <si>
    <t>0.85-1.50</t>
  </si>
  <si>
    <t>0.50-1.75</t>
  </si>
  <si>
    <t>0.50-2.00</t>
  </si>
  <si>
    <t>0.50-1.00</t>
  </si>
  <si>
    <t>1.75-3.00</t>
  </si>
  <si>
    <t>0.35-2.00</t>
  </si>
  <si>
    <t>0.35-3.00</t>
  </si>
  <si>
    <t>0.30-3.00</t>
  </si>
  <si>
    <t>0.35-1.50</t>
  </si>
  <si>
    <t>0.30-4.55</t>
  </si>
  <si>
    <t>1.95-3.75</t>
  </si>
  <si>
    <t>1.75-3.50</t>
  </si>
  <si>
    <t>2.25-4.00</t>
  </si>
  <si>
    <t>3.00-5.00</t>
  </si>
  <si>
    <t>2.15-4.50</t>
  </si>
  <si>
    <t>2.25-4.75</t>
  </si>
  <si>
    <t>2.15-4.75</t>
  </si>
  <si>
    <t>2.15-4.25</t>
  </si>
  <si>
    <t>3.75-4.00</t>
  </si>
  <si>
    <t>1.90-5.90</t>
  </si>
  <si>
    <t>2.10-4.00</t>
  </si>
  <si>
    <t>1.85-3.50</t>
  </si>
  <si>
    <t>2.10-3.90</t>
  </si>
  <si>
    <t>1.85-3.30</t>
  </si>
  <si>
    <t>1.70-3.85</t>
  </si>
  <si>
    <t>1.95-3.10</t>
  </si>
  <si>
    <t>1.70-3.30</t>
  </si>
  <si>
    <t>1.75-3.15</t>
  </si>
  <si>
    <t>1.35-2.40</t>
  </si>
  <si>
    <t>0.45-2.65</t>
  </si>
  <si>
    <t>0.60-2.40</t>
  </si>
  <si>
    <t>0.60-2.00</t>
  </si>
  <si>
    <t>0.35-2.75</t>
  </si>
  <si>
    <t>0.45-1.60</t>
  </si>
  <si>
    <t>0.30-1.60</t>
  </si>
  <si>
    <t>0.25-2.35</t>
  </si>
  <si>
    <t>0.45-0.60</t>
  </si>
  <si>
    <t>0.35-2.25</t>
  </si>
  <si>
    <t>0.35-2.40</t>
  </si>
  <si>
    <t>0.20-3.00</t>
  </si>
  <si>
    <t>0.25-3.60</t>
  </si>
  <si>
    <t>0.60-3.00</t>
  </si>
  <si>
    <t>0.20-3.50</t>
  </si>
  <si>
    <t>0.60-3.50</t>
  </si>
  <si>
    <t>0.75-3.00</t>
  </si>
  <si>
    <t>0.70-3.50</t>
  </si>
  <si>
    <t>0.70-3.60</t>
  </si>
  <si>
    <t>0.65-3.95</t>
  </si>
  <si>
    <t>1.60-3.75</t>
  </si>
  <si>
    <t>2.10-5.25</t>
  </si>
  <si>
    <t>1.85-5.10</t>
  </si>
  <si>
    <t>2.25-5.15</t>
  </si>
  <si>
    <t>2.10-5.15</t>
  </si>
  <si>
    <t>2.00-5.15</t>
  </si>
  <si>
    <t>2.75-5.50</t>
  </si>
  <si>
    <t>2.50-5.10</t>
  </si>
  <si>
    <t>2.75-3.70</t>
  </si>
  <si>
    <t>2.50-3.70</t>
  </si>
  <si>
    <t>2.65-4.05</t>
  </si>
  <si>
    <t>2.35-4.00</t>
  </si>
  <si>
    <t>2.55-4.00</t>
  </si>
  <si>
    <t>2.35-3.90</t>
  </si>
  <si>
    <t>2.40-3.50</t>
  </si>
  <si>
    <t>3.25-3.40</t>
  </si>
  <si>
    <t>0.85-3.25</t>
  </si>
  <si>
    <t>1.00-2.60</t>
  </si>
  <si>
    <t>0.85-2.50</t>
  </si>
  <si>
    <t>1.10-2.10</t>
  </si>
  <si>
    <t>1.05-2.15</t>
  </si>
  <si>
    <t>1.10-2.50</t>
  </si>
  <si>
    <t>1.10-2.35</t>
  </si>
  <si>
    <t>1.10-2.75</t>
  </si>
  <si>
    <t>0.85-2.70</t>
  </si>
  <si>
    <t>0.85-2.10</t>
  </si>
  <si>
    <t>1.15-5.00</t>
  </si>
  <si>
    <t>1.10-2.60</t>
  </si>
  <si>
    <t>0.90-3.40</t>
  </si>
  <si>
    <t>0.85-3.40</t>
  </si>
  <si>
    <t>1.40-3.40</t>
  </si>
  <si>
    <t>0.95-5.00</t>
  </si>
  <si>
    <t>1.15-2.90</t>
  </si>
  <si>
    <t>0.95-3.50</t>
  </si>
  <si>
    <t>1.25-3.15</t>
  </si>
  <si>
    <t>1.25-3.25</t>
  </si>
  <si>
    <t>1.25-3.85</t>
  </si>
  <si>
    <t>1.30-3.50</t>
  </si>
  <si>
    <t>2.75-5.75</t>
  </si>
  <si>
    <t>2.65-5.00</t>
  </si>
  <si>
    <t>3.10-4.65</t>
  </si>
  <si>
    <t>2.75-6.00</t>
  </si>
  <si>
    <t>2.60-6.05</t>
  </si>
  <si>
    <t>2.50-6.00</t>
  </si>
  <si>
    <t>2.60-6.25</t>
  </si>
  <si>
    <t>2.75-5.35</t>
  </si>
  <si>
    <t>3.00-4.65</t>
  </si>
  <si>
    <t>2.80-4.65</t>
  </si>
  <si>
    <t>3.00-4.40</t>
  </si>
  <si>
    <t>2.85-4.25</t>
  </si>
  <si>
    <t>3.15-4.25</t>
  </si>
  <si>
    <t>3.00-4.25</t>
  </si>
  <si>
    <t>2.75-4.55</t>
  </si>
  <si>
    <t>2.85-4.50</t>
  </si>
  <si>
    <t>2.85-4.60</t>
  </si>
  <si>
    <t>2.85-4.00</t>
  </si>
  <si>
    <t>3.10-4.50</t>
  </si>
  <si>
    <t>2.80-4.40</t>
  </si>
  <si>
    <t>3.00-4.55</t>
  </si>
  <si>
    <t>2.60-4.25</t>
  </si>
  <si>
    <t>3.00-4.50</t>
  </si>
  <si>
    <t>1.35-3.50</t>
  </si>
  <si>
    <t>1.35-2.35</t>
  </si>
  <si>
    <t>1.35-2.65</t>
  </si>
  <si>
    <t>1.60-4.00</t>
  </si>
  <si>
    <t>1.40-2.60</t>
  </si>
  <si>
    <t>1.55-2.95</t>
  </si>
  <si>
    <t>1.35-2.55</t>
  </si>
  <si>
    <t>1.60-3.10</t>
  </si>
  <si>
    <t>1.40-4.00</t>
  </si>
  <si>
    <t>1.35-3.75</t>
  </si>
  <si>
    <t>1.35-3.80</t>
  </si>
  <si>
    <t>0.90-3.50</t>
  </si>
  <si>
    <t>1.35-3.00</t>
  </si>
  <si>
    <t>1.60-3.70</t>
  </si>
  <si>
    <t>1.60-4.60</t>
  </si>
  <si>
    <t>1.50-3.55</t>
  </si>
  <si>
    <t>1.70-3.55</t>
  </si>
  <si>
    <t>1.85-4.50</t>
  </si>
  <si>
    <t>1.50-5.00</t>
  </si>
  <si>
    <t>1.80-4.55</t>
  </si>
  <si>
    <t>3.00-5.55</t>
  </si>
  <si>
    <t>3.50-6.05</t>
  </si>
  <si>
    <t>3.80-6.05</t>
  </si>
  <si>
    <t>3.25-6.05</t>
  </si>
  <si>
    <t>3.25-6.25</t>
  </si>
  <si>
    <t>3.25-6.00</t>
  </si>
  <si>
    <t>3.00-6.00</t>
  </si>
  <si>
    <t>3.25-4.75</t>
  </si>
  <si>
    <t>2.50-4.60</t>
  </si>
  <si>
    <t>2.90-4.65</t>
  </si>
  <si>
    <t>2.90-4.25</t>
  </si>
  <si>
    <t>3.05-4.65</t>
  </si>
  <si>
    <t>2.95-5.00</t>
  </si>
  <si>
    <t>3.00-4.75</t>
  </si>
  <si>
    <t>2.95-4.65</t>
  </si>
  <si>
    <t>2.95-4.50</t>
  </si>
  <si>
    <t>2.90-4.35</t>
  </si>
  <si>
    <t>3.40-5.00</t>
  </si>
  <si>
    <t>3.40-4.85</t>
  </si>
  <si>
    <t>2.95-4.05</t>
  </si>
  <si>
    <t>2.00-4.05</t>
  </si>
  <si>
    <t>2.05-3.85</t>
  </si>
  <si>
    <t>2.00-4.50</t>
  </si>
  <si>
    <t>2.05-2.75</t>
  </si>
  <si>
    <t>1.80-2.85</t>
  </si>
  <si>
    <t>2.20-2.75</t>
  </si>
  <si>
    <t>2.05-2.60</t>
  </si>
  <si>
    <t>2.00-3.05</t>
  </si>
  <si>
    <t>2.00-2.65</t>
  </si>
  <si>
    <t>2.05-3.15</t>
  </si>
  <si>
    <t>2.00-3.25</t>
  </si>
  <si>
    <t>1.90-3.85</t>
  </si>
  <si>
    <t>1.95-4.00</t>
  </si>
  <si>
    <t>2.05-4.15</t>
  </si>
  <si>
    <t>2.05-4.00</t>
  </si>
  <si>
    <t>1.80-3.40</t>
  </si>
  <si>
    <t>2.00-3.35</t>
  </si>
  <si>
    <t>2.00-3.70</t>
  </si>
  <si>
    <t>1.95-2.60</t>
  </si>
  <si>
    <t>2.20-2.65</t>
  </si>
  <si>
    <t>2.25-4.15</t>
  </si>
  <si>
    <t>2.45-2.90</t>
  </si>
  <si>
    <t>2.40-2.90</t>
  </si>
  <si>
    <t>3.55-5.50</t>
  </si>
  <si>
    <t>3.50-5.10</t>
  </si>
  <si>
    <t>4.00-5.25</t>
  </si>
  <si>
    <t>3.45-5.15</t>
  </si>
  <si>
    <t>3.85-6.00</t>
  </si>
  <si>
    <t>3.70-5.05</t>
  </si>
  <si>
    <t>3.65-6.80</t>
  </si>
  <si>
    <t>3.10-5.45</t>
  </si>
  <si>
    <t>3.10-5.50</t>
  </si>
  <si>
    <t>3.10-6.00</t>
  </si>
  <si>
    <t>3.10-5.60</t>
  </si>
  <si>
    <t>3.10-5.55</t>
  </si>
  <si>
    <t>3.10-5.40</t>
  </si>
  <si>
    <t>2.90-5.70</t>
  </si>
  <si>
    <t>3.10-5.35</t>
  </si>
  <si>
    <t>2.10-3.50</t>
  </si>
  <si>
    <t>2.10-4.20</t>
  </si>
  <si>
    <t>2.10-4.75</t>
  </si>
  <si>
    <t>1.50-4.05</t>
  </si>
  <si>
    <t>1.75-3.75</t>
  </si>
  <si>
    <t>1.75-4.50</t>
  </si>
  <si>
    <t>2.10-4.10</t>
  </si>
  <si>
    <t>2.00-4.25</t>
  </si>
  <si>
    <t>2.10-4.50</t>
  </si>
  <si>
    <t>2.10-4.65</t>
  </si>
  <si>
    <t>2.10-4.45</t>
  </si>
  <si>
    <t>2.10-5.00</t>
  </si>
  <si>
    <t>2.10-5.35</t>
  </si>
  <si>
    <t>2.10-5.20</t>
  </si>
  <si>
    <t>3.10-6.35</t>
  </si>
  <si>
    <t>3.60-6.65</t>
  </si>
  <si>
    <t>2.45-6.50</t>
  </si>
  <si>
    <t>3.65-6.65</t>
  </si>
  <si>
    <t>3.65-6.50</t>
  </si>
  <si>
    <t>3.65-6.75</t>
  </si>
  <si>
    <t>3.10-6.95</t>
  </si>
  <si>
    <t>3.90-6.50</t>
  </si>
  <si>
    <t>3.65-6.35</t>
  </si>
  <si>
    <r>
      <t>Table 22a: NBDTIs* Interest Rates on New Rupee Loans to Other Nonfinancial Corporations</t>
    </r>
    <r>
      <rPr>
        <b/>
        <vertAlign val="superscript"/>
        <sz val="12"/>
        <color rgb="FF002060"/>
        <rFont val="Segoe UI"/>
        <family val="2"/>
      </rPr>
      <t>1</t>
    </r>
    <r>
      <rPr>
        <b/>
        <sz val="12"/>
        <color rgb="FF002060"/>
        <rFont val="Segoe UI"/>
        <family val="2"/>
      </rPr>
      <t>, Households and Other Sectors: December 2020 to December 2021</t>
    </r>
  </si>
  <si>
    <t>5.50-9.95</t>
  </si>
  <si>
    <t>5.50-10.00</t>
  </si>
  <si>
    <t>6.00-9.95</t>
  </si>
  <si>
    <t>2.50-9.95</t>
  </si>
  <si>
    <t>3.35-9.95</t>
  </si>
  <si>
    <t>3.90-9.95</t>
  </si>
  <si>
    <t>4.70-10.00</t>
  </si>
  <si>
    <t>4.25-10.00</t>
  </si>
  <si>
    <t>3.90-11.00</t>
  </si>
  <si>
    <t>4.75-9.95</t>
  </si>
  <si>
    <t>3.80-11.00</t>
  </si>
  <si>
    <t>4.75-10.00</t>
  </si>
  <si>
    <t>6.35-9.75</t>
  </si>
  <si>
    <t>6.40-9.75</t>
  </si>
  <si>
    <t>6.25-9.00</t>
  </si>
  <si>
    <t>6.25-9.95</t>
  </si>
  <si>
    <t>6.25-9.20</t>
  </si>
  <si>
    <t>6.20-9.20</t>
  </si>
  <si>
    <t>6.40-9.20</t>
  </si>
  <si>
    <t>6.35-7.50</t>
  </si>
  <si>
    <t>6.35-8.50</t>
  </si>
  <si>
    <t>6.37-6.40</t>
  </si>
  <si>
    <t>6.00-7.00</t>
  </si>
  <si>
    <t>4.75-6.40</t>
  </si>
  <si>
    <t>2.50-8.06</t>
  </si>
  <si>
    <t>4.75-5.35</t>
  </si>
  <si>
    <t>5.35-7.99</t>
  </si>
  <si>
    <t>4.90-7.50</t>
  </si>
  <si>
    <t>4.75-7.03</t>
  </si>
  <si>
    <t>4.75-5.50</t>
  </si>
  <si>
    <t>5.23-7.50</t>
  </si>
  <si>
    <t>5.26</t>
  </si>
  <si>
    <t>4.75</t>
  </si>
  <si>
    <t>5.25-7.50</t>
  </si>
  <si>
    <t>6.75-6.90</t>
  </si>
  <si>
    <t>6.35-9.25</t>
  </si>
  <si>
    <t>6.35-9.50</t>
  </si>
  <si>
    <t>6.40-8.50</t>
  </si>
  <si>
    <t>5.50-9.70</t>
  </si>
  <si>
    <t>6.00-8.75</t>
  </si>
  <si>
    <t>6.00-9.75</t>
  </si>
  <si>
    <t>6.00-9.25</t>
  </si>
  <si>
    <t>5.75-9.95</t>
  </si>
  <si>
    <t>6.25-8.75</t>
  </si>
  <si>
    <t>6.00-9.50</t>
  </si>
  <si>
    <t>5.75-6.10</t>
  </si>
  <si>
    <t>5.25-9.50</t>
  </si>
  <si>
    <t>4.85-9.25</t>
  </si>
  <si>
    <t>4.75-8.95</t>
  </si>
  <si>
    <t>5.60-8.75</t>
  </si>
  <si>
    <t>4.75-8.50</t>
  </si>
  <si>
    <t>3.90-8.50</t>
  </si>
  <si>
    <t>4.75-10.25</t>
  </si>
  <si>
    <t>3.90-9.99</t>
  </si>
  <si>
    <t>4.75-9.50</t>
  </si>
  <si>
    <t>4.75-9.00</t>
  </si>
  <si>
    <t>7.00-8.00</t>
  </si>
  <si>
    <t>9.25</t>
  </si>
  <si>
    <t>6.35-7.20</t>
  </si>
  <si>
    <t>6.48</t>
  </si>
  <si>
    <t>6.25-9.75</t>
  </si>
  <si>
    <t>6.50-9.20</t>
  </si>
  <si>
    <t>6.00-8.04</t>
  </si>
  <si>
    <t>2.50-9.25</t>
  </si>
  <si>
    <t>3.35-9.25</t>
  </si>
  <si>
    <t>4.25-9.95</t>
  </si>
  <si>
    <t>2.50-8.50</t>
  </si>
  <si>
    <t>4.25-8.50</t>
  </si>
  <si>
    <t>4.90-9.95</t>
  </si>
  <si>
    <t>5.70-10.00</t>
  </si>
  <si>
    <t>4.70-11.00</t>
  </si>
  <si>
    <t>4.75-9.25</t>
  </si>
  <si>
    <t>4.90-9.00</t>
  </si>
  <si>
    <t>5.50-9.25</t>
  </si>
  <si>
    <t>4.70-8.50</t>
  </si>
  <si>
    <t>5.70-8.95</t>
  </si>
  <si>
    <t>5.70-9.25</t>
  </si>
  <si>
    <t>4.70-9.50</t>
  </si>
  <si>
    <t>3.90-9.25</t>
  </si>
  <si>
    <t>4.70-8.95</t>
  </si>
  <si>
    <t>3.90-7.95</t>
  </si>
  <si>
    <t>4.50-9.50</t>
  </si>
  <si>
    <t>4.75-9.99</t>
  </si>
  <si>
    <t>7.20-9.75</t>
  </si>
  <si>
    <t>6.50-9.75</t>
  </si>
  <si>
    <t>7.00-9.75</t>
  </si>
  <si>
    <t>5.75-9.75</t>
  </si>
  <si>
    <t>6.35-9.95</t>
  </si>
  <si>
    <t>7.00-9.25</t>
  </si>
  <si>
    <t>6.80-9.75</t>
  </si>
  <si>
    <t>6.40-9.95</t>
  </si>
  <si>
    <t>6.75-12.00</t>
  </si>
  <si>
    <t>6.99-9.95</t>
  </si>
  <si>
    <t>7.50-9.50</t>
  </si>
  <si>
    <t>5.70-10.50</t>
  </si>
  <si>
    <t>8.95-9.95</t>
  </si>
  <si>
    <t>7.45-8.50</t>
  </si>
  <si>
    <t>7.00-9.95</t>
  </si>
  <si>
    <t>6.30-8.95</t>
  </si>
  <si>
    <t>7.25-8.25</t>
  </si>
  <si>
    <t>6.95-9.75</t>
  </si>
  <si>
    <t>5.25-9.95</t>
  </si>
  <si>
    <t>6.20-9.75</t>
  </si>
  <si>
    <t>6.20-9.95</t>
  </si>
  <si>
    <t>7.87-9.75</t>
  </si>
  <si>
    <t>6.85-8.00</t>
  </si>
  <si>
    <t>6.85-8.25</t>
  </si>
  <si>
    <t>7.71-9.95</t>
  </si>
  <si>
    <t>7.76-9.95</t>
  </si>
  <si>
    <t>6.50-9.95</t>
  </si>
  <si>
    <t>4.50-7.25</t>
  </si>
  <si>
    <t>6.95-8.25</t>
  </si>
  <si>
    <t>7.50-10.00</t>
  </si>
  <si>
    <t>5.25-6.66</t>
  </si>
  <si>
    <t>9.95</t>
  </si>
  <si>
    <t>6.99-8.75</t>
  </si>
  <si>
    <t>5.26-9.95</t>
  </si>
  <si>
    <t>6.90-9.75</t>
  </si>
  <si>
    <t>7.50-7.75</t>
  </si>
  <si>
    <t>6.50-7.80</t>
  </si>
  <si>
    <t>5.50-9.20</t>
  </si>
  <si>
    <t>7.00-9.50</t>
  </si>
  <si>
    <t>6.20-8.95</t>
  </si>
  <si>
    <t>6.00-7.50</t>
  </si>
  <si>
    <t>7.00-7.50</t>
  </si>
  <si>
    <t>5.00-7.25</t>
  </si>
  <si>
    <t>5.90-7.75</t>
  </si>
  <si>
    <t>4.75-7.01</t>
  </si>
  <si>
    <t>4.75-7.25</t>
  </si>
  <si>
    <t>5.45-10.00</t>
  </si>
  <si>
    <t>6.50</t>
  </si>
  <si>
    <t>5.50</t>
  </si>
  <si>
    <t>6.20-7.50</t>
  </si>
  <si>
    <t>7.75-8.50</t>
  </si>
  <si>
    <t>7.95-9.25</t>
  </si>
  <si>
    <t>8.50-9.25</t>
  </si>
  <si>
    <t>7.04-7.50</t>
  </si>
  <si>
    <t>6.35-8.00</t>
  </si>
  <si>
    <t>6.95-9.25</t>
  </si>
  <si>
    <t>4.75-7.50</t>
  </si>
  <si>
    <t>7.01-7.50</t>
  </si>
  <si>
    <t>4.75-5.00</t>
  </si>
  <si>
    <t>5.75-7.75</t>
  </si>
  <si>
    <t>7.50</t>
  </si>
  <si>
    <t>6.00-7.81</t>
  </si>
  <si>
    <t>6.00-8.51</t>
  </si>
  <si>
    <t>6.40-10.00</t>
  </si>
  <si>
    <t>6.35-8.95</t>
  </si>
  <si>
    <t>6.35-10.00</t>
  </si>
  <si>
    <t>6.25-7.95</t>
  </si>
  <si>
    <t>6.42-8.52</t>
  </si>
  <si>
    <t>7.00-12.00</t>
  </si>
  <si>
    <t>5.50-8.00</t>
  </si>
  <si>
    <t>5.35-8.75</t>
  </si>
  <si>
    <t>3.90-8.95</t>
  </si>
  <si>
    <t>6.08-9.50</t>
  </si>
  <si>
    <t>7.50-8.00</t>
  </si>
  <si>
    <t>7.25-8.50</t>
  </si>
  <si>
    <t>6.60-9.00</t>
  </si>
  <si>
    <t>6.20-11.00</t>
  </si>
  <si>
    <t>6.35-9.00</t>
  </si>
  <si>
    <t>6.35-8.75</t>
  </si>
  <si>
    <t>6.20-9.50</t>
  </si>
  <si>
    <t>5.75-11.00</t>
  </si>
  <si>
    <t>6.60-9.85</t>
  </si>
  <si>
    <t>8.50-8.75</t>
  </si>
  <si>
    <t>4.85-8.17</t>
  </si>
  <si>
    <t>6.64-9.25</t>
  </si>
  <si>
    <t>2.50-9.00</t>
  </si>
  <si>
    <t>5.70-7.25</t>
  </si>
  <si>
    <t>4.75-8.75</t>
  </si>
  <si>
    <t>6.81-9.00</t>
  </si>
  <si>
    <t>7.26-8.50</t>
  </si>
  <si>
    <t>6.99-8.00</t>
  </si>
  <si>
    <t>7.95-8.50</t>
  </si>
  <si>
    <t>7.25-7.50</t>
  </si>
  <si>
    <t>7.13-8.75</t>
  </si>
  <si>
    <t>8.50</t>
  </si>
  <si>
    <t>7.51</t>
  </si>
  <si>
    <t>7.95</t>
  </si>
  <si>
    <t>5.75-8.50</t>
  </si>
  <si>
    <t>6.90-7.50</t>
  </si>
  <si>
    <t>6.00-7.75</t>
  </si>
  <si>
    <t>9.00-9.25</t>
  </si>
  <si>
    <t>5.48-7.25</t>
  </si>
  <si>
    <t>5.00</t>
  </si>
  <si>
    <t>4.75-7.17</t>
  </si>
  <si>
    <t>6.20-8.00</t>
  </si>
  <si>
    <t>7.25-9.50</t>
  </si>
  <si>
    <t>6.90-8.00</t>
  </si>
  <si>
    <t>5.50-8.75</t>
  </si>
  <si>
    <t>6.45-9.50</t>
  </si>
  <si>
    <t>6.35-7.68</t>
  </si>
  <si>
    <t>6.31-7.00</t>
  </si>
  <si>
    <t>7.00-7.69</t>
  </si>
  <si>
    <t>5.60-7.24</t>
  </si>
  <si>
    <t>4.75-7.02</t>
  </si>
  <si>
    <t>8.25</t>
  </si>
  <si>
    <t>6.49</t>
  </si>
  <si>
    <t>8.50-9.99</t>
  </si>
  <si>
    <t>6.90-8.50</t>
  </si>
  <si>
    <t>8.00-8.23</t>
  </si>
  <si>
    <t>7.80-10.00</t>
  </si>
  <si>
    <t>8.00-8.75</t>
  </si>
  <si>
    <t>7.82-9.25</t>
  </si>
  <si>
    <t>7.25-8.02</t>
  </si>
  <si>
    <t>7.50-7.99</t>
  </si>
  <si>
    <t>5.25-8.75</t>
  </si>
  <si>
    <t>5.25-8.50</t>
  </si>
  <si>
    <t>7.75-9.95</t>
  </si>
  <si>
    <t>7.49</t>
  </si>
  <si>
    <t>5.25-7.95</t>
  </si>
  <si>
    <t>5.25</t>
  </si>
  <si>
    <t>4.60-15.96</t>
  </si>
  <si>
    <t>4.80-15.96</t>
  </si>
  <si>
    <t>4.75-15.96</t>
  </si>
  <si>
    <t>4.85-15.96</t>
  </si>
  <si>
    <t>4.70-15.96</t>
  </si>
  <si>
    <t>4.75-10.65</t>
  </si>
  <si>
    <t>4.80-10.70</t>
  </si>
  <si>
    <t>4.65-11.00</t>
  </si>
  <si>
    <t>4.45-11.00</t>
  </si>
  <si>
    <t>3.30-9.15</t>
  </si>
  <si>
    <t>3.30-10.00</t>
  </si>
  <si>
    <t>3.25-11.10</t>
  </si>
  <si>
    <t>3.30-11.00</t>
  </si>
  <si>
    <t>3.20-10.50</t>
  </si>
  <si>
    <t>3.30-10.50</t>
  </si>
  <si>
    <t>3.20-10.00</t>
  </si>
  <si>
    <t>3.10-9.95</t>
  </si>
  <si>
    <t>3.00-10.00</t>
  </si>
  <si>
    <t>2.00-11.00</t>
  </si>
  <si>
    <t>3.00-10.50</t>
  </si>
  <si>
    <t>1.85-11.00</t>
  </si>
  <si>
    <t>1.85-10.00</t>
  </si>
  <si>
    <t>4.60-8.55</t>
  </si>
  <si>
    <t>4.80-8.55</t>
  </si>
  <si>
    <t>4.60-8.50</t>
  </si>
  <si>
    <t>4.80-10.80</t>
  </si>
  <si>
    <t>4.75-10.80</t>
  </si>
  <si>
    <t>4.85-8.55</t>
  </si>
  <si>
    <t>4.70-8.40</t>
  </si>
  <si>
    <t>4.60-10.65</t>
  </si>
  <si>
    <t>4.75-8.40</t>
  </si>
  <si>
    <t>4.80-10.65</t>
  </si>
  <si>
    <t>4.65-10.65</t>
  </si>
  <si>
    <t>4.45-8.40</t>
  </si>
  <si>
    <t>4.05-6.90</t>
  </si>
  <si>
    <t>3.25-9.15</t>
  </si>
  <si>
    <t>3.30-9.50</t>
  </si>
  <si>
    <t>3.20-9.50</t>
  </si>
  <si>
    <t>3.35-9.15</t>
  </si>
  <si>
    <t>3.20-9.15</t>
  </si>
  <si>
    <t>3.10-7.00</t>
  </si>
  <si>
    <t>3.00-9.15</t>
  </si>
  <si>
    <t>2.00-9.50</t>
  </si>
  <si>
    <t>3.00-9.50</t>
  </si>
  <si>
    <t>1.85-9.15</t>
  </si>
  <si>
    <t>1.85-9.50</t>
  </si>
  <si>
    <t xml:space="preserve">3. Other Financial Corporations (excluding financial GBCs) </t>
  </si>
  <si>
    <t>7.50-9.20</t>
  </si>
  <si>
    <t>8.20-9.20</t>
  </si>
  <si>
    <t>4.90-8.25</t>
  </si>
  <si>
    <t>6.25-8.29</t>
  </si>
  <si>
    <t>5. Non-Financial GBCs</t>
  </si>
  <si>
    <t>6. Authorised Companies</t>
  </si>
  <si>
    <t>7. Public Non-Financial corporations</t>
  </si>
  <si>
    <r>
      <t>Table 22b: NBDTIs* Interest Rates on New Rupee Loans to Other Nonfinancial Corporations</t>
    </r>
    <r>
      <rPr>
        <b/>
        <vertAlign val="superscript"/>
        <sz val="12"/>
        <color rgb="FF002060"/>
        <rFont val="Segoe UI"/>
        <family val="2"/>
      </rPr>
      <t>1</t>
    </r>
    <r>
      <rPr>
        <b/>
        <sz val="12"/>
        <color rgb="FF002060"/>
        <rFont val="Segoe UI"/>
        <family val="2"/>
      </rPr>
      <t>, Households and Other Sectors: August 2022 to August 2023</t>
    </r>
  </si>
  <si>
    <t>2.90-12.00</t>
  </si>
  <si>
    <t>2.90-11.00</t>
  </si>
  <si>
    <t>4.75-10.14</t>
  </si>
  <si>
    <t>2.90-11.25</t>
  </si>
  <si>
    <t>4.75-11.20</t>
  </si>
  <si>
    <t>4.95-12.00</t>
  </si>
  <si>
    <t>4.90-14.25</t>
  </si>
  <si>
    <t>5.15-12.00</t>
  </si>
  <si>
    <t>5.25-12.00</t>
  </si>
  <si>
    <t>4.90-12.50</t>
  </si>
  <si>
    <t>4.75-12.00</t>
  </si>
  <si>
    <t>6.00-12.25</t>
  </si>
  <si>
    <t>5.50-12.50</t>
  </si>
  <si>
    <t>5.50-7.15</t>
  </si>
  <si>
    <t>6.50-7.15</t>
  </si>
  <si>
    <t>7.15</t>
  </si>
  <si>
    <t>5.00-9.95</t>
  </si>
  <si>
    <t>5.50-9.99</t>
  </si>
  <si>
    <t>8.50-9.50</t>
  </si>
  <si>
    <t>5.80-9.95</t>
  </si>
  <si>
    <t>5.65-10.70</t>
  </si>
  <si>
    <t>9.50</t>
  </si>
  <si>
    <t>8.59-9.50</t>
  </si>
  <si>
    <t>10.00</t>
  </si>
  <si>
    <t>11.00-12.00</t>
  </si>
  <si>
    <t>7.75-10.25</t>
  </si>
  <si>
    <t>3.90-12.00</t>
  </si>
  <si>
    <t>8.95-11.00</t>
  </si>
  <si>
    <t>5.50-7.75</t>
  </si>
  <si>
    <t>2.90-9.99</t>
  </si>
  <si>
    <t>4.85-9.75</t>
  </si>
  <si>
    <t>5.25-10.14</t>
  </si>
  <si>
    <t>5.40-9.95</t>
  </si>
  <si>
    <t>5.65-10.24</t>
  </si>
  <si>
    <t>5.15-8.95</t>
  </si>
  <si>
    <t>5.25-9.70</t>
  </si>
  <si>
    <t>5.25-11.50</t>
  </si>
  <si>
    <t>5.75-12.50</t>
  </si>
  <si>
    <t>8.75-12.00</t>
  </si>
  <si>
    <t>5.65-9.65</t>
  </si>
  <si>
    <t>6.00-12.00</t>
  </si>
  <si>
    <t>11.00</t>
  </si>
  <si>
    <t>7.00</t>
  </si>
  <si>
    <t>6.60</t>
  </si>
  <si>
    <t>6.65</t>
  </si>
  <si>
    <t>6.90</t>
  </si>
  <si>
    <t>4.25-9.10</t>
  </si>
  <si>
    <t>7.25-9.95</t>
  </si>
  <si>
    <t>2.90-10.25</t>
  </si>
  <si>
    <t>4.90-10.14</t>
  </si>
  <si>
    <t>5.15-10.25</t>
  </si>
  <si>
    <t>4.90-11.00</t>
  </si>
  <si>
    <t>4.95-11.50</t>
  </si>
  <si>
    <t>6.20-8.40</t>
  </si>
  <si>
    <t>6.65-12.00</t>
  </si>
  <si>
    <t>9.00-12.00</t>
  </si>
  <si>
    <t>4.90-9.99</t>
  </si>
  <si>
    <t>4.90-10.25</t>
  </si>
  <si>
    <t>4.90-11.20</t>
  </si>
  <si>
    <t>5.35-12.49</t>
  </si>
  <si>
    <t>6.70-11.00</t>
  </si>
  <si>
    <t>5.50-10.74</t>
  </si>
  <si>
    <t>5.50-11.74</t>
  </si>
  <si>
    <t>6.15-14.25</t>
  </si>
  <si>
    <t>5.65-11.65</t>
  </si>
  <si>
    <t>5.65-11.00</t>
  </si>
  <si>
    <t>7.30-12.00</t>
  </si>
  <si>
    <t>7.75-12.25</t>
  </si>
  <si>
    <t>9.25-10.00</t>
  </si>
  <si>
    <t>10.20</t>
  </si>
  <si>
    <t>6.75-9.95</t>
  </si>
  <si>
    <t>5.15-11.00</t>
  </si>
  <si>
    <t>5.55-9.00</t>
  </si>
  <si>
    <t>6.90-10.20</t>
  </si>
  <si>
    <t>7.30-11.00</t>
  </si>
  <si>
    <t>10.50</t>
  </si>
  <si>
    <t>9.25-11.50</t>
  </si>
  <si>
    <t>6.75</t>
  </si>
  <si>
    <t>5.48-9.50</t>
  </si>
  <si>
    <t>4.75-5.75</t>
  </si>
  <si>
    <t>5.15</t>
  </si>
  <si>
    <t>8.75-10.00</t>
  </si>
  <si>
    <t>5.75</t>
  </si>
  <si>
    <t>6.90-10.25</t>
  </si>
  <si>
    <t>6.10-10.75</t>
  </si>
  <si>
    <t>9.75</t>
  </si>
  <si>
    <t>9.99-11.00</t>
  </si>
  <si>
    <t>8.00-12.50</t>
  </si>
  <si>
    <t>7.30-9.99</t>
  </si>
  <si>
    <t>9.25-12.15</t>
  </si>
  <si>
    <t>7.75-12.15</t>
  </si>
  <si>
    <t>4.95-8.70</t>
  </si>
  <si>
    <t>10.25</t>
  </si>
  <si>
    <t>9.99-12.00</t>
  </si>
  <si>
    <t>4.75-7.95</t>
  </si>
  <si>
    <t>4.95-9.75</t>
  </si>
  <si>
    <t>4.75-10.70</t>
  </si>
  <si>
    <t>5.90-12.00</t>
  </si>
  <si>
    <t>6.88-12.25</t>
  </si>
  <si>
    <t>5.00-8.95</t>
  </si>
  <si>
    <t>6.92-8.95</t>
  </si>
  <si>
    <t>4.95-10.00</t>
  </si>
  <si>
    <t>5.25-9.99</t>
  </si>
  <si>
    <t>5.55-10.00</t>
  </si>
  <si>
    <t>5.50-10.75</t>
  </si>
  <si>
    <t>6.25-11.50</t>
  </si>
  <si>
    <t>5.25-11.00</t>
  </si>
  <si>
    <t>7.20-12.00</t>
  </si>
  <si>
    <t>8.00-11.25</t>
  </si>
  <si>
    <t>8.50-11.00</t>
  </si>
  <si>
    <t>6.50-10.00</t>
  </si>
  <si>
    <t>7.06</t>
  </si>
  <si>
    <t>8.75</t>
  </si>
  <si>
    <t>9.00-9.50</t>
  </si>
  <si>
    <t>7.25-8.00</t>
  </si>
  <si>
    <t>8.00</t>
  </si>
  <si>
    <t>7.12-10.25</t>
  </si>
  <si>
    <t>7.00-7.90</t>
  </si>
  <si>
    <t>5.90</t>
  </si>
  <si>
    <t>7.25</t>
  </si>
  <si>
    <t>4.90-7.25</t>
  </si>
  <si>
    <t>6.25-12.00</t>
  </si>
  <si>
    <t>11.50</t>
  </si>
  <si>
    <t>6.81-8.75</t>
  </si>
  <si>
    <t>6.75-8.95</t>
  </si>
  <si>
    <t>7.15-9.50</t>
  </si>
  <si>
    <t>6.05-9.75</t>
  </si>
  <si>
    <t>9.00-9.65</t>
  </si>
  <si>
    <t>5.15-10.00</t>
  </si>
  <si>
    <t>9.20-12.00</t>
  </si>
  <si>
    <t>7.21-10.50</t>
  </si>
  <si>
    <t>9.95-12.00</t>
  </si>
  <si>
    <t>11.25</t>
  </si>
  <si>
    <t>10.85</t>
  </si>
  <si>
    <t>4.75-7.00</t>
  </si>
  <si>
    <t>8.90</t>
  </si>
  <si>
    <t>6.89</t>
  </si>
  <si>
    <t>2.90-9.75</t>
  </si>
  <si>
    <t>5.65-9.95</t>
  </si>
  <si>
    <t>5.65-8.75</t>
  </si>
  <si>
    <t>5.35-10.00</t>
  </si>
  <si>
    <t>6.80-9.50</t>
  </si>
  <si>
    <t>8.00-9.19</t>
  </si>
  <si>
    <t>7.75-11.00</t>
  </si>
  <si>
    <t>3.85-11.00</t>
  </si>
  <si>
    <t>2.00-11.15</t>
  </si>
  <si>
    <t>2.40-13.00</t>
  </si>
  <si>
    <t>2.25-12.00</t>
  </si>
  <si>
    <t>2.00-12.75</t>
  </si>
  <si>
    <t>3.00-12.75</t>
  </si>
  <si>
    <t>3.00-13.25</t>
  </si>
  <si>
    <t>3.00-12.20</t>
  </si>
  <si>
    <t>2.00-12.50</t>
  </si>
  <si>
    <t>2.00-12.00</t>
  </si>
  <si>
    <t>2.00-9.15</t>
  </si>
  <si>
    <t>3.85-9.50</t>
  </si>
  <si>
    <t>1.85-9.30</t>
  </si>
  <si>
    <t>2.00-9.65</t>
  </si>
  <si>
    <t>2.15-9.55</t>
  </si>
  <si>
    <t>2.40-9.90</t>
  </si>
  <si>
    <t>2.25-9.90</t>
  </si>
  <si>
    <t>2.00-10.65</t>
  </si>
  <si>
    <t>3.00-11.65</t>
  </si>
  <si>
    <t>3.00-11.80</t>
  </si>
  <si>
    <t>3.00-12.15</t>
  </si>
  <si>
    <t>2.00-12.15</t>
  </si>
  <si>
    <t>2.00-11.65</t>
  </si>
  <si>
    <r>
      <t>3. Other Financial Corporations (excluding GBCs</t>
    </r>
    <r>
      <rPr>
        <b/>
        <vertAlign val="superscript"/>
        <sz val="11"/>
        <color rgb="FF002060"/>
        <rFont val="Segoe UI"/>
        <family val="2"/>
      </rPr>
      <t>2</t>
    </r>
    <r>
      <rPr>
        <b/>
        <sz val="11"/>
        <color rgb="FF002060"/>
        <rFont val="Segoe UI"/>
        <family val="2"/>
      </rPr>
      <t>)</t>
    </r>
  </si>
  <si>
    <t>5.85-6.10</t>
  </si>
  <si>
    <r>
      <t>4. Global Business Corporations ( GBCs</t>
    </r>
    <r>
      <rPr>
        <b/>
        <vertAlign val="superscript"/>
        <sz val="11"/>
        <color rgb="FF002060"/>
        <rFont val="Segoe UI"/>
        <family val="2"/>
      </rPr>
      <t>2</t>
    </r>
    <r>
      <rPr>
        <b/>
        <sz val="11"/>
        <color rgb="FF002060"/>
        <rFont val="Segoe UI"/>
        <family val="2"/>
      </rPr>
      <t>)</t>
    </r>
  </si>
  <si>
    <t>7.75</t>
  </si>
  <si>
    <t>7.75-9.00</t>
  </si>
  <si>
    <t>5. Authorised Companies</t>
  </si>
  <si>
    <t>6. Public Non-Financial corporations</t>
  </si>
  <si>
    <r>
      <rPr>
        <i/>
        <vertAlign val="superscript"/>
        <sz val="10"/>
        <color rgb="FF002060"/>
        <rFont val="Segoe UI"/>
        <family val="2"/>
      </rPr>
      <t>2</t>
    </r>
    <r>
      <rPr>
        <i/>
        <sz val="10"/>
        <color rgb="FF002060"/>
        <rFont val="Segoe UI"/>
        <family val="2"/>
      </rPr>
      <t xml:space="preserve"> Following IMF recommendations, with effect from January 2022, Global Business Corporations (GBCs) include both financial and non-financial GBCs.</t>
    </r>
  </si>
  <si>
    <r>
      <t>Table 23: ODCs* Loans to Other Nonfinancial Corporations, Households and Other Sectors</t>
    </r>
    <r>
      <rPr>
        <b/>
        <vertAlign val="superscript"/>
        <sz val="12"/>
        <color rgb="FF002060"/>
        <rFont val="Segoe UI"/>
        <family val="2"/>
      </rPr>
      <t>1</t>
    </r>
    <r>
      <rPr>
        <b/>
        <sz val="12"/>
        <color rgb="FF002060"/>
        <rFont val="Segoe UI"/>
        <family val="2"/>
      </rPr>
      <t xml:space="preserve"> as at end-August 2023</t>
    </r>
  </si>
  <si>
    <t>1. OTHER NON-FINANCIAL CORPORATIONS</t>
  </si>
  <si>
    <r>
      <t>5. GBCs</t>
    </r>
    <r>
      <rPr>
        <b/>
        <vertAlign val="superscript"/>
        <sz val="11"/>
        <color rgb="FF002060"/>
        <rFont val="Segoe UI"/>
        <family val="2"/>
      </rPr>
      <t>4</t>
    </r>
  </si>
  <si>
    <t>* ODCs refer to Other Depository Corporations.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</si>
  <si>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</si>
  <si>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rPr>
        <i/>
        <vertAlign val="superscript"/>
        <sz val="10"/>
        <color rgb="FF002060"/>
        <rFont val="Segoe UI"/>
        <family val="2"/>
      </rPr>
      <t>4</t>
    </r>
    <r>
      <rPr>
        <i/>
        <sz val="10"/>
        <color rgb="FF002060"/>
        <rFont val="Segoe UI"/>
        <family val="2"/>
      </rPr>
      <t>Following IMF recommendations, Global Business Corporations (GBCs) include both financial and non-financial GBCs.</t>
    </r>
  </si>
  <si>
    <r>
      <t>Table 24a: ODCs* Loans to Other Nonfinancial Corporations, Households and Other Sectors</t>
    </r>
    <r>
      <rPr>
        <b/>
        <vertAlign val="superscript"/>
        <sz val="12"/>
        <color rgb="FF002060"/>
        <rFont val="Segoe UI"/>
        <family val="2"/>
      </rPr>
      <t>1</t>
    </r>
    <r>
      <rPr>
        <b/>
        <sz val="12"/>
        <color rgb="FF002060"/>
        <rFont val="Segoe UI"/>
        <family val="2"/>
      </rPr>
      <t>: December 2020 to December 2021</t>
    </r>
  </si>
  <si>
    <t>6. NonFinancial GBCs</t>
  </si>
  <si>
    <t>7. Authorised companies</t>
  </si>
  <si>
    <r>
      <t>Table 24b: ODCs* Loans to Other Nonfinancial Corporations, Households and Other Sectors</t>
    </r>
    <r>
      <rPr>
        <b/>
        <vertAlign val="superscript"/>
        <sz val="12"/>
        <color rgb="FF002060"/>
        <rFont val="Segoe UI"/>
        <family val="2"/>
      </rPr>
      <t>1</t>
    </r>
    <r>
      <rPr>
        <b/>
        <sz val="12"/>
        <color rgb="FF002060"/>
        <rFont val="Segoe UI"/>
        <family val="2"/>
      </rPr>
      <t>: June 2023 to August 2023</t>
    </r>
  </si>
  <si>
    <r>
      <t>5. GBCs</t>
    </r>
    <r>
      <rPr>
        <b/>
        <vertAlign val="superscript"/>
        <sz val="11"/>
        <color rgb="FF002060"/>
        <rFont val="Segoe UI"/>
        <family val="2"/>
      </rPr>
      <t>2</t>
    </r>
  </si>
  <si>
    <r>
      <t>Table 25: Maintenance of Cash Reserve Ratio (CRR) by Banks</t>
    </r>
    <r>
      <rPr>
        <b/>
        <vertAlign val="superscript"/>
        <sz val="12"/>
        <color rgb="FF002060"/>
        <rFont val="Segoe UI"/>
        <family val="2"/>
      </rPr>
      <t>1</t>
    </r>
    <r>
      <rPr>
        <b/>
        <sz val="12"/>
        <color rgb="FF002060"/>
        <rFont val="Segoe UI"/>
        <family val="2"/>
      </rPr>
      <t>: 06 October 2022 to 05 October 2023</t>
    </r>
  </si>
  <si>
    <t>Period Ended</t>
  </si>
  <si>
    <r>
      <t xml:space="preserve">Deposit Base </t>
    </r>
    <r>
      <rPr>
        <b/>
        <vertAlign val="superscript"/>
        <sz val="11"/>
        <color rgb="FF002060"/>
        <rFont val="Segoe UI"/>
        <family val="2"/>
      </rPr>
      <t>2,3</t>
    </r>
  </si>
  <si>
    <r>
      <t xml:space="preserve">Average Cash Balances held for the Period </t>
    </r>
    <r>
      <rPr>
        <b/>
        <vertAlign val="superscript"/>
        <sz val="11"/>
        <color rgb="FF002060"/>
        <rFont val="Segoe UI"/>
        <family val="2"/>
      </rPr>
      <t>4</t>
    </r>
  </si>
  <si>
    <t>Required Minimum Cash Balances</t>
  </si>
  <si>
    <t>Excess Cash Holdings</t>
  </si>
  <si>
    <t>Average CRR</t>
  </si>
  <si>
    <t>CRR of (A)</t>
  </si>
  <si>
    <t>(A)</t>
  </si>
  <si>
    <t>(B)</t>
  </si>
  <si>
    <t>(C)</t>
  </si>
  <si>
    <t>(B) - (C)</t>
  </si>
  <si>
    <t>MUR^</t>
  </si>
  <si>
    <t>FCY*</t>
  </si>
  <si>
    <r>
      <t xml:space="preserve">FCY* </t>
    </r>
    <r>
      <rPr>
        <b/>
        <vertAlign val="superscript"/>
        <sz val="11"/>
        <color rgb="FF002060"/>
        <rFont val="Segoe UI"/>
        <family val="2"/>
      </rPr>
      <t>5</t>
    </r>
  </si>
  <si>
    <r>
      <t xml:space="preserve">26-Mar-20 </t>
    </r>
    <r>
      <rPr>
        <b/>
        <vertAlign val="superscript"/>
        <sz val="11"/>
        <color rgb="FF002060"/>
        <rFont val="Segoe UI"/>
        <family val="2"/>
      </rPr>
      <t>1</t>
    </r>
  </si>
  <si>
    <t xml:space="preserve">09-Apr-20 </t>
  </si>
  <si>
    <t>11-Mar-21</t>
  </si>
  <si>
    <t>25-Mar-21</t>
  </si>
  <si>
    <t>08-Apr-21</t>
  </si>
  <si>
    <t>22-Apr-21</t>
  </si>
  <si>
    <t>06-May-21</t>
  </si>
  <si>
    <t>20-May-21</t>
  </si>
  <si>
    <t xml:space="preserve">03-Jun-21 </t>
  </si>
  <si>
    <t xml:space="preserve">17-Jun-21 </t>
  </si>
  <si>
    <r>
      <rPr>
        <i/>
        <vertAlign val="superscript"/>
        <sz val="10"/>
        <color rgb="FF002060"/>
        <rFont val="Segoe UI"/>
        <family val="2"/>
      </rPr>
      <t>1</t>
    </r>
    <r>
      <rPr>
        <i/>
        <sz val="10"/>
        <color rgb="FF002060"/>
        <rFont val="Segoe UI"/>
        <family val="2"/>
      </rPr>
      <t xml:space="preserve"> Effective 27 January 2023, the average 28-day CRR on both rupee and foreign currency deposits stand at 9.0 per cent.</t>
    </r>
  </si>
  <si>
    <r>
      <rPr>
        <i/>
        <vertAlign val="superscript"/>
        <sz val="10"/>
        <color rgb="FF002060"/>
        <rFont val="Segoe UI"/>
        <family val="2"/>
      </rPr>
      <t>2</t>
    </r>
    <r>
      <rPr>
        <i/>
        <sz val="10"/>
        <color rgb="FF002060"/>
        <rFont val="Segoe UI"/>
        <family val="2"/>
      </rPr>
      <t xml:space="preserve"> The deposit base is lagged by two weeks.                                                     </t>
    </r>
  </si>
  <si>
    <r>
      <rPr>
        <i/>
        <vertAlign val="superscript"/>
        <sz val="10"/>
        <color rgb="FF002060"/>
        <rFont val="Segoe UI"/>
        <family val="2"/>
      </rPr>
      <t>3</t>
    </r>
    <r>
      <rPr>
        <i/>
        <sz val="10"/>
        <color rgb="FF002060"/>
        <rFont val="Segoe UI"/>
        <family val="2"/>
      </rPr>
      <t xml:space="preserve"> The deposit base is lagged by four weeks as from the maintenance period ended 23 February 2023.                                           </t>
    </r>
  </si>
  <si>
    <r>
      <rPr>
        <i/>
        <vertAlign val="superscript"/>
        <sz val="10"/>
        <color rgb="FF002060"/>
        <rFont val="Segoe UI"/>
        <family val="2"/>
      </rPr>
      <t>4</t>
    </r>
    <r>
      <rPr>
        <i/>
        <sz val="10"/>
        <color rgb="FF002060"/>
        <rFont val="Segoe UI"/>
        <family val="2"/>
      </rPr>
      <t xml:space="preserve"> Cash balances consist exclusively of balances held by banks with the Bank of Mauritius.</t>
    </r>
  </si>
  <si>
    <r>
      <rPr>
        <i/>
        <vertAlign val="superscript"/>
        <sz val="10"/>
        <color rgb="FF002060"/>
        <rFont val="Segoe UI"/>
        <family val="2"/>
      </rPr>
      <t>5</t>
    </r>
    <r>
      <rPr>
        <i/>
        <sz val="10"/>
        <color rgb="FF002060"/>
        <rFont val="Segoe UI"/>
        <family val="2"/>
      </rPr>
      <t xml:space="preserve"> Includes requirements for the Liquidity Coverage Ratio (LCR). </t>
    </r>
  </si>
  <si>
    <t>^ MUR refers to Mauritian Rupee.</t>
  </si>
  <si>
    <t>* FCY refers to MUR equivalent of foreign currencies.</t>
  </si>
  <si>
    <t xml:space="preserve">Note: Cash Reserve Requirement, as from the maintenance period ended 05 October 2023, is based on the new guideline wherein the eligible deposit liabilities of banks shall be based on sectoral balance sheet reporting.  </t>
  </si>
  <si>
    <t>2. FAO Food Price Indices and Oil Prices: 2018 to 2022 (Annual) and January 2018 to September 2023 (Monthly)</t>
  </si>
  <si>
    <t>4. Consumer Price Index (CPI) and Inflation Rates: January 2017 to September 2023</t>
  </si>
  <si>
    <t>5. Headline and Core Inflation Rates: September 2021 to September 2023</t>
  </si>
  <si>
    <t>7. Sectoral Balance Sheet of Bank of Mauritius: September 2022 to September 2023</t>
  </si>
  <si>
    <t>8. Central Bank Survey: September 2022 to September 2023</t>
  </si>
  <si>
    <t xml:space="preserve">9. Sectoral Balance Sheet of Banks: August 2022 to August 2023 </t>
  </si>
  <si>
    <t>10. Sectoral Balance Sheet of Non-Bank Deposit Taking Institutions: August 2022 to August 2023</t>
  </si>
  <si>
    <t>11. Sectoral Balance Sheet of Other Depository Corporations: August 2022 to August 2023</t>
  </si>
  <si>
    <t>12. Other Depository Corporations Survey: August 2022 to August 2023</t>
  </si>
  <si>
    <t>13a. Depository Corporations Survey: August 2022 to August 2023</t>
  </si>
  <si>
    <t>14a. Components and Sources of Monetary Base: August 2022 to August 2023</t>
  </si>
  <si>
    <t>14b. Components and Sources of Broad Money Liabilities: August 2022 to August 2023</t>
  </si>
  <si>
    <t>15. Bank Loans to Other Nonfinancial Corporations, Households and Other Sectors as at end-August 2023</t>
  </si>
  <si>
    <t>16a. Bank Loans to Other Nonfinancial Corporations, Households and Other Sectors: December 2020 to December 2021</t>
  </si>
  <si>
    <t>17a. Banks' Interest Rates on New Rupee Deposits: August 2022 to August 2023</t>
  </si>
  <si>
    <t>17b. Banks' Interest Rates on New Rupee Loans to Other Nonfinancial Corporations, Households and Other Sectors: December 2020 to December 2021</t>
  </si>
  <si>
    <t>18. Banks' Principal Interest Rates and Other Interest Rates: August 2021 to August 2023</t>
  </si>
  <si>
    <t>19. NBDTIs Loans to Other Nonfinancial Corporations, Households and Other Sectors as at end-August 2023</t>
  </si>
  <si>
    <t>20a. NBDTIs Loans to Other Nonfinancial Corporations, Households and Other Sectors: December 2020 to December 2021</t>
  </si>
  <si>
    <t>21. NBDTIs Interest Rates on New Rupee Deposits: August 2022 to August 2023</t>
  </si>
  <si>
    <t>23. ODCs Loans to Other Nonfinancial Corporations, Households and Other Sectors as at end-August 2023</t>
  </si>
  <si>
    <t>25. Maintenance of Cash Reserve Ratio (CRR) by Banks: 06 October 2022 to 05 October 2023</t>
  </si>
  <si>
    <t>16b. Bank Loans to Other Nonfinancial Corporations, Households and Other Sectors : August 2022 to August 2023</t>
  </si>
  <si>
    <t>17c. Bank's Interest Rates on New Rupee Loans to Other Nonfinancial Corporations, Households and Other Sectors: June 2023 to August 2023</t>
  </si>
  <si>
    <t>20b. NBDTIs Loans to Other Nonfinancial Corporations, Households and Other Sectors: August 2022 to August 2023</t>
  </si>
  <si>
    <t>22a.NBDTIs Interest Rates on New Rupee Loans to Other Nonfinancial Corporations, Households and Other Sectors: December 2020 to December 2021</t>
  </si>
  <si>
    <t>22b.NBDTIs Interest Rates on New Rupee Loans to Other Nonfinancial Corporations, Households and Other Sectors: August 2022 to August 2023</t>
  </si>
  <si>
    <t>24a. ODCs Loans to Other Nonfinancial Corporations, Households and Other Sectors : December 2020 to December 2021</t>
  </si>
  <si>
    <t>24b. ODCs Loans to Other Nonfinancial Corporations, Households and Other Sectors : June 2023 to August 2023</t>
  </si>
  <si>
    <t>64. Balance of Payments - Second Quarters of 2022 and 2023</t>
  </si>
  <si>
    <r>
      <t>Table 27: Financial Soundness Indicators</t>
    </r>
    <r>
      <rPr>
        <b/>
        <vertAlign val="superscript"/>
        <sz val="12"/>
        <color rgb="FF002060"/>
        <rFont val="Segoe UI"/>
        <family val="2"/>
      </rPr>
      <t>1</t>
    </r>
    <r>
      <rPr>
        <b/>
        <sz val="12"/>
        <color rgb="FF002060"/>
        <rFont val="Segoe UI"/>
        <family val="2"/>
      </rPr>
      <t xml:space="preserve"> of Other Depository Corporations </t>
    </r>
    <r>
      <rPr>
        <b/>
        <vertAlign val="superscript"/>
        <sz val="12"/>
        <color rgb="FF002060"/>
        <rFont val="Segoe UI"/>
        <family val="2"/>
      </rPr>
      <t>2</t>
    </r>
    <r>
      <rPr>
        <b/>
        <sz val="12"/>
        <color rgb="FF002060"/>
        <rFont val="Segoe UI"/>
        <family val="2"/>
      </rPr>
      <t>: December 2018 to June 2023</t>
    </r>
  </si>
  <si>
    <r>
      <t>Jun-23</t>
    </r>
    <r>
      <rPr>
        <b/>
        <vertAlign val="superscript"/>
        <sz val="11"/>
        <color rgb="FF002060"/>
        <rFont val="Segoe UI"/>
        <family val="2"/>
      </rPr>
      <t>1</t>
    </r>
  </si>
  <si>
    <r>
      <t xml:space="preserve"> Jun-23</t>
    </r>
    <r>
      <rPr>
        <b/>
        <vertAlign val="superscript"/>
        <sz val="11"/>
        <color rgb="FF002060"/>
        <rFont val="Segoe UI"/>
        <family val="2"/>
      </rPr>
      <t>1</t>
    </r>
  </si>
  <si>
    <t>27. Financial Soundness Indicators of Other Depository Corporations: December 2018 to June 2023</t>
  </si>
  <si>
    <r>
      <t>Table 5: Headline and Core Inflation Rates: September 2021 to September 2023</t>
    </r>
    <r>
      <rPr>
        <b/>
        <vertAlign val="superscript"/>
        <sz val="12"/>
        <color rgb="FF002060"/>
        <rFont val="Segoe UI"/>
        <family val="2"/>
      </rPr>
      <t>1</t>
    </r>
  </si>
  <si>
    <t>61b. Gross Direct Investment Flows Abroad (Excluding Global Business) by Geographical Destination: 2015 to 2022 (Annual) and 2023H1</t>
  </si>
  <si>
    <t>61a. Gross Direct Investment Flows Abroad (Excluding Global Business) by Sector: 2015 to 2022 (Annual) and 2023H1</t>
  </si>
  <si>
    <t>60b. Gross Direct Investment Flows in Mauritius (Excluding Global Business) by Geographical Origin: 2015 to 2022 (Annual) and 2023H1</t>
  </si>
  <si>
    <t>60a. Gross Direct Investment Flows in Mauritius (Excluding Global Business) by Sector: 2015 to 2022 (Annual) and 2023H1</t>
  </si>
  <si>
    <t>Table 60a: Gross Direct Investment Flows in Mauritius (Excluding Global Business) by Sector: 2015 to 2022 (Annual) and First Semester of 2023 (2023H1)</t>
  </si>
  <si>
    <r>
      <t xml:space="preserve">2023H1 </t>
    </r>
    <r>
      <rPr>
        <b/>
        <vertAlign val="superscript"/>
        <sz val="11"/>
        <color rgb="FF002060"/>
        <rFont val="Segoe UI"/>
        <family val="2"/>
      </rPr>
      <t>1</t>
    </r>
  </si>
  <si>
    <r>
      <t xml:space="preserve">3 </t>
    </r>
    <r>
      <rPr>
        <i/>
        <sz val="10"/>
        <color rgb="FF002060"/>
        <rFont val="Segoe UI"/>
        <family val="2"/>
      </rPr>
      <t xml:space="preserve">The data for 2022 and 2023H1 include the Bank's estimates for gross direct investment based on past FALS data. </t>
    </r>
  </si>
  <si>
    <t>Table 60b: Gross Direct Investment Flows in Mauritius (Excluding Global Business) by Geographical Origin: 2015 to 2022 (Annual) and First Semester of 2023 (2023H1)</t>
  </si>
  <si>
    <r>
      <t xml:space="preserve">3 </t>
    </r>
    <r>
      <rPr>
        <i/>
        <sz val="10"/>
        <color rgb="FF002060"/>
        <rFont val="Segoe UI"/>
        <family val="2"/>
      </rPr>
      <t>The data for 2022 and 2023H1 include the Bank's estimates for gross direct investment ,based on past FALS and other unspecified data.</t>
    </r>
  </si>
  <si>
    <t>Table 61a: Gross Direct Investment Flows Abroad (Excluding Global Business) by Sector: 2015 to 2022 (Annual) and First Semester of 2023 (2023H1)</t>
  </si>
  <si>
    <r>
      <t xml:space="preserve"> 2023H1 </t>
    </r>
    <r>
      <rPr>
        <b/>
        <vertAlign val="superscript"/>
        <sz val="11"/>
        <color rgb="FF002060"/>
        <rFont val="Segoe UI"/>
        <family val="2"/>
      </rPr>
      <t>1</t>
    </r>
  </si>
  <si>
    <r>
      <t xml:space="preserve">2 </t>
    </r>
    <r>
      <rPr>
        <i/>
        <sz val="10"/>
        <color rgb="FF002060"/>
        <rFont val="Segoe UI"/>
        <family val="2"/>
      </rPr>
      <t>The data for 2022 and 2023H1 include the Bank's estimates for gross foreign direct investment based on past FALS data.</t>
    </r>
  </si>
  <si>
    <t>Table 61b: Gross Direct Investment Flows Abroad (Excluding Global Business) by Geographical Destination: 2015 to 2022 (Annual) and First Semester of 2023 (2023H1)</t>
  </si>
  <si>
    <r>
      <t xml:space="preserve">3 </t>
    </r>
    <r>
      <rPr>
        <i/>
        <sz val="10"/>
        <color rgb="FF002060"/>
        <rFont val="Segoe UI"/>
        <family val="2"/>
      </rPr>
      <t>The data for 2022 and 2023H1 include the Bank's estimates for gross foreign direct investment based on past FALS data and other unspecified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</si>
</sst>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41" formatCode="_(* #,##0_);_(* \(#,##0\);_(* &quot;-&quot;_);_(@_)"/>
    <numFmt numFmtId="43" formatCode="_(* #,##0.00_);_(* \(#,##0.00\);_(* &quot;-&quot;??_);_(@_)"/>
    <numFmt numFmtId="164" formatCode="0.000"/>
    <numFmt numFmtId="165" formatCode="#,##0.0"/>
    <numFmt numFmtId="166" formatCode="0.0000"/>
    <numFmt numFmtId="167" formatCode="#,##0.0_);\(#,##0.0\)"/>
    <numFmt numFmtId="168" formatCode="#,##0.0000"/>
    <numFmt numFmtId="169" formatCode="0.00000"/>
    <numFmt numFmtId="170" formatCode="[$-409]mmmmm;@"/>
    <numFmt numFmtId="171" formatCode="0.000000"/>
    <numFmt numFmtId="172" formatCode="#,##0.000"/>
    <numFmt numFmtId="173" formatCode="0.0"/>
    <numFmt numFmtId="174" formatCode="_(* #,##0.0_);_(* \(#,##0.0\);_(* &quot;-&quot;??_);_(@_)"/>
    <numFmt numFmtId="175" formatCode="[$-409]mmm\-yy;@"/>
    <numFmt numFmtId="176" formatCode="#,##0.000_);\(#,##0.000\)"/>
    <numFmt numFmtId="177" formatCode="0.0%"/>
    <numFmt numFmtId="178" formatCode="[$-409]mmm/yy;@"/>
    <numFmt numFmtId="179" formatCode="_(* #,##0_);_(* \(#,##0\);_(* &quot;-&quot;??_);_(@_)"/>
    <numFmt numFmtId="180" formatCode="_-* #,##0.00_-;\-* #,##0.00_-;_-* &quot;-&quot;??_-;_-@_-"/>
    <numFmt numFmtId="181" formatCode="_-* #,##0_-;\-* #,##0_-;_-* &quot;-&quot;??_-;_-@_-"/>
    <numFmt numFmtId="182" formatCode="0;;\-;@\,"/>
    <numFmt numFmtId="183" formatCode="#\ ###\ ##0;\-#\ ###;&quot;-&quot;"/>
    <numFmt numFmtId="184" formatCode="0.0;;\-;@\,"/>
    <numFmt numFmtId="185" formatCode="\(0.00\)"/>
    <numFmt numFmtId="186" formatCode="0."/>
    <numFmt numFmtId="187" formatCode="0.0."/>
    <numFmt numFmtId="188" formatCode="[$-809]dd\ mmmm\ yyyy;@"/>
    <numFmt numFmtId="189" formatCode="[$-409]d/mmm/yy;@"/>
    <numFmt numFmtId="190" formatCode="#,##0_ ;[Red]\-#,##0\ "/>
    <numFmt numFmtId="191" formatCode="#,##0.0000000"/>
    <numFmt numFmtId="192" formatCode="#,##0.00000"/>
    <numFmt numFmtId="193" formatCode="[$-409]mmmm\-yy;@"/>
    <numFmt numFmtId="194" formatCode="dd\ mmmm"/>
    <numFmt numFmtId="195" formatCode="d\ mmm"/>
    <numFmt numFmtId="196" formatCode="d\ mmmm"/>
    <numFmt numFmtId="197" formatCode="mmmm\-yy"/>
    <numFmt numFmtId="198" formatCode="dd/mmmm"/>
    <numFmt numFmtId="199" formatCode="_(* #,##0.0000_);_(* \(#,##0.0000\);_(* &quot;-&quot;??_);_(@_)"/>
    <numFmt numFmtId="200" formatCode="_(* #,##0.000_);_(* \(#,##0.000\);_(* &quot;-&quot;??_);_(@_)"/>
    <numFmt numFmtId="201" formatCode="\+#,##0"/>
    <numFmt numFmtId="202" formatCode="0.0_);\(0.0\)"/>
    <numFmt numFmtId="203" formatCode="0_);\(0\)"/>
    <numFmt numFmtId="204" formatCode="\(#,##0.0\)"/>
    <numFmt numFmtId="205" formatCode="&quot;+&quot;#,##0.0"/>
    <numFmt numFmtId="206" formatCode="mmmm\ yyyy"/>
    <numFmt numFmtId="207" formatCode="\(0\)"/>
  </numFmts>
  <fonts count="169" x14ac:knownFonts="1">
    <font>
      <sz val="11"/>
      <color theme="1"/>
      <name val="Calibri"/>
      <family val="2"/>
      <scheme val="minor"/>
    </font>
    <font>
      <sz val="11"/>
      <color theme="1"/>
      <name val="Calibri"/>
      <family val="2"/>
      <scheme val="minor"/>
    </font>
    <font>
      <sz val="10"/>
      <name val="Arial"/>
      <family val="2"/>
    </font>
    <font>
      <sz val="10"/>
      <color rgb="FF002060"/>
      <name val="Segoe UI"/>
      <family val="2"/>
    </font>
    <font>
      <i/>
      <sz val="10"/>
      <color rgb="FF002060"/>
      <name val="Segoe UI"/>
      <family val="2"/>
    </font>
    <font>
      <i/>
      <sz val="11"/>
      <color rgb="FF002060"/>
      <name val="Segoe UI"/>
      <family val="2"/>
    </font>
    <font>
      <i/>
      <vertAlign val="superscript"/>
      <sz val="10"/>
      <color rgb="FF002060"/>
      <name val="Segoe UI"/>
      <family val="2"/>
    </font>
    <font>
      <sz val="10.5"/>
      <color rgb="FF002060"/>
      <name val="Segoe UI"/>
      <family val="2"/>
    </font>
    <font>
      <b/>
      <sz val="11"/>
      <color rgb="FF002060"/>
      <name val="Segoe UI"/>
      <family val="2"/>
    </font>
    <font>
      <sz val="11"/>
      <color rgb="FF002060"/>
      <name val="Segoe UI"/>
      <family val="2"/>
    </font>
    <font>
      <sz val="14"/>
      <color rgb="FF002060"/>
      <name val="Segoe UI"/>
      <family val="2"/>
    </font>
    <font>
      <b/>
      <sz val="14"/>
      <color rgb="FF002060"/>
      <name val="Segoe UI"/>
      <family val="2"/>
    </font>
    <font>
      <b/>
      <sz val="12"/>
      <color rgb="FF002060"/>
      <name val="Segoe UI"/>
      <family val="2"/>
    </font>
    <font>
      <b/>
      <vertAlign val="superscript"/>
      <sz val="12"/>
      <color rgb="FF002060"/>
      <name val="Segoe UI"/>
      <family val="2"/>
    </font>
    <font>
      <b/>
      <sz val="10.5"/>
      <color rgb="FF002060"/>
      <name val="Segoe UI"/>
      <family val="2"/>
    </font>
    <font>
      <sz val="10"/>
      <color theme="1"/>
      <name val="Segoe UI"/>
      <family val="2"/>
    </font>
    <font>
      <sz val="11"/>
      <color theme="1"/>
      <name val="Segoe UI"/>
      <family val="2"/>
    </font>
    <font>
      <b/>
      <sz val="10"/>
      <color rgb="FF002060"/>
      <name val="Segoe UI"/>
      <family val="2"/>
    </font>
    <font>
      <sz val="20"/>
      <color rgb="FF002060"/>
      <name val="Segoe UI"/>
      <family val="2"/>
    </font>
    <font>
      <sz val="12"/>
      <color rgb="FF002060"/>
      <name val="Segoe UI"/>
      <family val="2"/>
    </font>
    <font>
      <i/>
      <vertAlign val="superscript"/>
      <sz val="10"/>
      <color indexed="56"/>
      <name val="Segoe UI"/>
      <family val="2"/>
    </font>
    <font>
      <i/>
      <sz val="10"/>
      <color indexed="56"/>
      <name val="Segoe UI"/>
      <family val="2"/>
    </font>
    <font>
      <b/>
      <sz val="11"/>
      <name val="Times New Roman"/>
      <family val="1"/>
    </font>
    <font>
      <sz val="11"/>
      <name val="Segoe UI"/>
      <family val="2"/>
    </font>
    <font>
      <b/>
      <sz val="10"/>
      <name val="Segoe UI"/>
      <family val="2"/>
    </font>
    <font>
      <b/>
      <vertAlign val="superscript"/>
      <sz val="11"/>
      <color rgb="FF002060"/>
      <name val="Segoe UI"/>
      <family val="2"/>
    </font>
    <font>
      <i/>
      <vertAlign val="superscript"/>
      <sz val="10"/>
      <color theme="3" tint="-0.249977111117893"/>
      <name val="Segoe UI"/>
      <family val="2"/>
    </font>
    <font>
      <i/>
      <sz val="10.5"/>
      <color rgb="FF002060"/>
      <name val="Segoe UI"/>
      <family val="2"/>
    </font>
    <font>
      <i/>
      <sz val="11"/>
      <color theme="1"/>
      <name val="Segoe UI"/>
      <family val="2"/>
    </font>
    <font>
      <sz val="12"/>
      <color theme="1"/>
      <name val="Calibri"/>
      <family val="2"/>
      <scheme val="minor"/>
    </font>
    <font>
      <i/>
      <sz val="12"/>
      <color rgb="FF002060"/>
      <name val="Segoe UI"/>
      <family val="2"/>
    </font>
    <font>
      <i/>
      <vertAlign val="superscript"/>
      <sz val="12"/>
      <color rgb="FF002060"/>
      <name val="Segoe UI"/>
      <family val="2"/>
    </font>
    <font>
      <i/>
      <sz val="9"/>
      <color rgb="FF002060"/>
      <name val="Segoe UI"/>
      <family val="2"/>
    </font>
    <font>
      <sz val="10"/>
      <name val="Courier"/>
      <family val="3"/>
    </font>
    <font>
      <sz val="10"/>
      <name val="Segoe UI"/>
      <family val="2"/>
    </font>
    <font>
      <sz val="9"/>
      <name val="Segoe UI"/>
      <family val="2"/>
    </font>
    <font>
      <i/>
      <vertAlign val="superscript"/>
      <sz val="9"/>
      <color rgb="FF002060"/>
      <name val="Segoe UI"/>
      <family val="2"/>
    </font>
    <font>
      <sz val="11.5"/>
      <name val="Segoe UI"/>
      <family val="2"/>
    </font>
    <font>
      <b/>
      <sz val="11"/>
      <color theme="1"/>
      <name val="Calibri"/>
      <family val="2"/>
      <scheme val="minor"/>
    </font>
    <font>
      <b/>
      <vertAlign val="superscript"/>
      <sz val="11"/>
      <color indexed="56"/>
      <name val="Segoe UI"/>
      <family val="2"/>
    </font>
    <font>
      <sz val="10"/>
      <name val="Calibri"/>
      <family val="2"/>
    </font>
    <font>
      <sz val="8"/>
      <color rgb="FF002060"/>
      <name val="Segoe UI"/>
      <family val="2"/>
    </font>
    <font>
      <sz val="9"/>
      <color rgb="FF002060"/>
      <name val="Segoe UI"/>
      <family val="2"/>
    </font>
    <font>
      <sz val="12"/>
      <color theme="4" tint="-0.249977111117893"/>
      <name val="Segoe UI"/>
      <family val="2"/>
    </font>
    <font>
      <i/>
      <sz val="9.5"/>
      <color rgb="FF002060"/>
      <name val="Segoe UI"/>
      <family val="2"/>
    </font>
    <font>
      <i/>
      <vertAlign val="superscript"/>
      <sz val="9.5"/>
      <color rgb="FF002060"/>
      <name val="Segoe UI"/>
      <family val="2"/>
    </font>
    <font>
      <sz val="9.5"/>
      <color rgb="FF002060"/>
      <name val="Segoe UI"/>
      <family val="2"/>
    </font>
    <font>
      <sz val="11.5"/>
      <color rgb="FF002060"/>
      <name val="Segoe UI"/>
      <family val="2"/>
    </font>
    <font>
      <b/>
      <i/>
      <sz val="11"/>
      <color rgb="FF002060"/>
      <name val="Segoe UI"/>
      <family val="2"/>
    </font>
    <font>
      <i/>
      <vertAlign val="superscript"/>
      <sz val="11"/>
      <color rgb="FF002060"/>
      <name val="Segoe UI"/>
      <family val="2"/>
    </font>
    <font>
      <vertAlign val="superscript"/>
      <sz val="11"/>
      <color rgb="FF002060"/>
      <name val="Segoe UI"/>
      <family val="2"/>
    </font>
    <font>
      <sz val="10.5"/>
      <color theme="1"/>
      <name val="Segoe UI"/>
      <family val="2"/>
    </font>
    <font>
      <sz val="10.5"/>
      <color theme="1"/>
      <name val="Calibri"/>
      <family val="2"/>
      <scheme val="minor"/>
    </font>
    <font>
      <b/>
      <vertAlign val="superscript"/>
      <sz val="10.5"/>
      <color rgb="FF002060"/>
      <name val="Segoe UI"/>
      <family val="2"/>
    </font>
    <font>
      <i/>
      <sz val="10.5"/>
      <color theme="1"/>
      <name val="Calibri"/>
      <family val="2"/>
      <scheme val="minor"/>
    </font>
    <font>
      <i/>
      <sz val="9"/>
      <color theme="1"/>
      <name val="Segoe UI"/>
      <family val="2"/>
    </font>
    <font>
      <i/>
      <sz val="9.5"/>
      <color theme="1"/>
      <name val="Calibri"/>
      <family val="2"/>
      <scheme val="minor"/>
    </font>
    <font>
      <sz val="9"/>
      <color theme="1"/>
      <name val="Segoe UI"/>
      <family val="2"/>
    </font>
    <font>
      <sz val="9"/>
      <color theme="1"/>
      <name val="Calibri"/>
      <family val="2"/>
      <scheme val="minor"/>
    </font>
    <font>
      <sz val="12"/>
      <color theme="1"/>
      <name val="Segoe UI"/>
      <family val="2"/>
    </font>
    <font>
      <sz val="18"/>
      <color theme="1"/>
      <name val="Calibri"/>
      <family val="2"/>
      <scheme val="minor"/>
    </font>
    <font>
      <i/>
      <sz val="11"/>
      <color theme="1"/>
      <name val="Calibri"/>
      <family val="2"/>
      <scheme val="minor"/>
    </font>
    <font>
      <sz val="11"/>
      <name val="Arial"/>
      <family val="2"/>
    </font>
    <font>
      <b/>
      <u/>
      <sz val="11"/>
      <color rgb="FF002060"/>
      <name val="Segoe UI"/>
      <family val="2"/>
    </font>
    <font>
      <b/>
      <sz val="9.5"/>
      <color rgb="FFFF0000"/>
      <name val="Arial"/>
      <family val="2"/>
    </font>
    <font>
      <sz val="9.5"/>
      <name val="Arial"/>
      <family val="2"/>
    </font>
    <font>
      <sz val="9.5"/>
      <color theme="1"/>
      <name val="Calibri"/>
      <family val="2"/>
      <scheme val="minor"/>
    </font>
    <font>
      <sz val="9.5"/>
      <color theme="1"/>
      <name val="Segoe UI"/>
      <family val="2"/>
    </font>
    <font>
      <i/>
      <sz val="10.5"/>
      <color theme="1"/>
      <name val="Segoe UI"/>
      <family val="2"/>
    </font>
    <font>
      <b/>
      <sz val="10.5"/>
      <color rgb="FFFF0000"/>
      <name val="Segoe UI"/>
      <family val="2"/>
    </font>
    <font>
      <u/>
      <sz val="11"/>
      <color theme="10"/>
      <name val="Calibri"/>
      <family val="2"/>
      <scheme val="minor"/>
    </font>
    <font>
      <b/>
      <sz val="20"/>
      <color rgb="FF002060"/>
      <name val="Segoe UI Semibold"/>
      <family val="2"/>
    </font>
    <font>
      <sz val="13"/>
      <color rgb="FF002060"/>
      <name val="Segoe UI Semibold"/>
      <family val="2"/>
    </font>
    <font>
      <u/>
      <sz val="11"/>
      <color rgb="FF002060"/>
      <name val="Segoe UI"/>
      <family val="2"/>
    </font>
    <font>
      <sz val="11"/>
      <color rgb="FF0070C0"/>
      <name val="Segoe UI"/>
      <family val="2"/>
    </font>
    <font>
      <b/>
      <vertAlign val="superscript"/>
      <sz val="12"/>
      <color indexed="56"/>
      <name val="Segoe UI"/>
      <family val="2"/>
    </font>
    <font>
      <b/>
      <sz val="12"/>
      <color indexed="56"/>
      <name val="Segoe UI"/>
      <family val="2"/>
    </font>
    <font>
      <sz val="12"/>
      <color theme="4" tint="-0.499984740745262"/>
      <name val="Arial"/>
      <family val="2"/>
    </font>
    <font>
      <sz val="10"/>
      <color theme="4" tint="-0.499984740745262"/>
      <name val="Arial"/>
      <family val="2"/>
    </font>
    <font>
      <vertAlign val="superscript"/>
      <sz val="12"/>
      <color rgb="FF002060"/>
      <name val="Segoe UI"/>
      <family val="2"/>
    </font>
    <font>
      <vertAlign val="superscript"/>
      <sz val="10.5"/>
      <color rgb="FF002060"/>
      <name val="Segoe UI"/>
      <family val="2"/>
    </font>
    <font>
      <vertAlign val="superscript"/>
      <sz val="10"/>
      <color rgb="FF002060"/>
      <name val="Segoe UI"/>
      <family val="2"/>
    </font>
    <font>
      <sz val="10"/>
      <name val="Times New Roman"/>
      <family val="1"/>
    </font>
    <font>
      <b/>
      <sz val="10"/>
      <name val="Times New Roman"/>
      <family val="1"/>
    </font>
    <font>
      <i/>
      <sz val="14"/>
      <color rgb="FF002060"/>
      <name val="Segoe UI"/>
      <family val="2"/>
    </font>
    <font>
      <sz val="10"/>
      <name val="MS Sans Serif"/>
      <family val="2"/>
    </font>
    <font>
      <b/>
      <sz val="10.5"/>
      <color indexed="56"/>
      <name val="Segoe UI"/>
      <family val="2"/>
    </font>
    <font>
      <sz val="10.5"/>
      <color indexed="56"/>
      <name val="Segoe UI"/>
      <family val="2"/>
    </font>
    <font>
      <b/>
      <sz val="12"/>
      <color theme="3" tint="-0.249977111117893"/>
      <name val="Segoe UI"/>
      <family val="2"/>
    </font>
    <font>
      <sz val="12"/>
      <color theme="3" tint="-0.249977111117893"/>
      <name val="Segoe UI"/>
      <family val="2"/>
    </font>
    <font>
      <b/>
      <sz val="11"/>
      <color theme="3" tint="-0.249977111117893"/>
      <name val="Segoe UI"/>
      <family val="2"/>
    </font>
    <font>
      <sz val="11"/>
      <color theme="3" tint="-0.249977111117893"/>
      <name val="Segoe UI"/>
      <family val="2"/>
    </font>
    <font>
      <i/>
      <sz val="10.5"/>
      <color indexed="56"/>
      <name val="Segoe UI"/>
      <family val="2"/>
    </font>
    <font>
      <sz val="10.5"/>
      <color theme="3" tint="-0.249977111117893"/>
      <name val="Segoe UI"/>
      <family val="2"/>
    </font>
    <font>
      <i/>
      <sz val="10"/>
      <color theme="3" tint="-0.249977111117893"/>
      <name val="Segoe UI"/>
      <family val="2"/>
    </font>
    <font>
      <sz val="14"/>
      <color theme="3" tint="-0.249977111117893"/>
      <name val="Segoe UI"/>
      <family val="2"/>
    </font>
    <font>
      <sz val="10"/>
      <color theme="3" tint="-0.249977111117893"/>
      <name val="Segoe UI"/>
      <family val="2"/>
    </font>
    <font>
      <b/>
      <sz val="10.5"/>
      <color theme="3" tint="-0.249977111117893"/>
      <name val="Segoe UI"/>
      <family val="2"/>
    </font>
    <font>
      <i/>
      <sz val="11"/>
      <color theme="3" tint="-0.249977111117893"/>
      <name val="Segoe UI"/>
      <family val="2"/>
    </font>
    <font>
      <sz val="13"/>
      <color rgb="FF002060"/>
      <name val="Segoe UI"/>
      <family val="2"/>
    </font>
    <font>
      <b/>
      <sz val="13"/>
      <color rgb="FF002060"/>
      <name val="Segoe UI"/>
      <family val="2"/>
    </font>
    <font>
      <i/>
      <vertAlign val="superscript"/>
      <sz val="10.5"/>
      <color rgb="FF002060"/>
      <name val="Segoe UI"/>
      <family val="2"/>
    </font>
    <font>
      <i/>
      <sz val="13"/>
      <color rgb="FF002060"/>
      <name val="Segoe UI"/>
      <family val="2"/>
    </font>
    <font>
      <b/>
      <i/>
      <sz val="10"/>
      <color theme="1" tint="4.9989318521683403E-2"/>
      <name val="Segoe UI"/>
      <family val="2"/>
    </font>
    <font>
      <sz val="10"/>
      <color rgb="FF002060"/>
      <name val="Arial"/>
      <family val="2"/>
    </font>
    <font>
      <i/>
      <sz val="10"/>
      <color rgb="FF002060"/>
      <name val="Arial"/>
      <family val="2"/>
    </font>
    <font>
      <b/>
      <sz val="12"/>
      <color rgb="FF002060"/>
      <name val="Arial"/>
      <family val="2"/>
    </font>
    <font>
      <vertAlign val="superscript"/>
      <sz val="11"/>
      <color rgb="FF002060"/>
      <name val="Calibri"/>
      <family val="2"/>
    </font>
    <font>
      <sz val="11"/>
      <color theme="1"/>
      <name val="Calibri"/>
      <family val="2"/>
    </font>
    <font>
      <i/>
      <sz val="12"/>
      <color theme="1"/>
      <name val="Segoe UI"/>
      <family val="2"/>
    </font>
    <font>
      <b/>
      <i/>
      <sz val="10"/>
      <color rgb="FF002060"/>
      <name val="Segoe UI"/>
      <family val="2"/>
    </font>
    <font>
      <b/>
      <sz val="12"/>
      <color theme="1"/>
      <name val="Segoe UI"/>
      <family val="2"/>
    </font>
    <font>
      <sz val="12"/>
      <name val="Segoe UI"/>
      <family val="2"/>
    </font>
    <font>
      <sz val="10.5"/>
      <name val="Segoe UI"/>
      <family val="2"/>
    </font>
    <font>
      <i/>
      <sz val="12"/>
      <name val="Segoe UI"/>
      <family val="2"/>
    </font>
    <font>
      <i/>
      <vertAlign val="superscript"/>
      <sz val="9"/>
      <name val="Arial"/>
      <family val="2"/>
    </font>
    <font>
      <i/>
      <sz val="10"/>
      <name val="Segoe UI"/>
      <family val="2"/>
    </font>
    <font>
      <i/>
      <sz val="8"/>
      <color rgb="FF002060"/>
      <name val="Segoe UI"/>
      <family val="2"/>
    </font>
    <font>
      <b/>
      <sz val="9"/>
      <color theme="1"/>
      <name val="Calibri"/>
      <family val="2"/>
      <scheme val="minor"/>
    </font>
    <font>
      <b/>
      <i/>
      <sz val="11"/>
      <color theme="1"/>
      <name val="Calibri"/>
      <family val="2"/>
      <scheme val="minor"/>
    </font>
    <font>
      <sz val="11"/>
      <color rgb="FF002060"/>
      <name val="Times New Roman"/>
      <family val="1"/>
    </font>
    <font>
      <sz val="11"/>
      <name val="Times New Roman"/>
      <family val="1"/>
    </font>
    <font>
      <b/>
      <sz val="11.5"/>
      <color rgb="FF002060"/>
      <name val="Segoe UI"/>
      <family val="2"/>
    </font>
    <font>
      <sz val="11.5"/>
      <name val="Times New Roman"/>
      <family val="1"/>
    </font>
    <font>
      <vertAlign val="superscript"/>
      <sz val="11.5"/>
      <color rgb="FF002060"/>
      <name val="Segoe UI"/>
      <family val="2"/>
    </font>
    <font>
      <sz val="11.5"/>
      <color rgb="FFFF0000"/>
      <name val="Times New Roman"/>
      <family val="1"/>
    </font>
    <font>
      <sz val="11.5"/>
      <color rgb="FFC00000"/>
      <name val="Times New Roman"/>
      <family val="1"/>
    </font>
    <font>
      <b/>
      <vertAlign val="superscript"/>
      <sz val="11.5"/>
      <color rgb="FF002060"/>
      <name val="Segoe UI"/>
      <family val="2"/>
    </font>
    <font>
      <vertAlign val="superscript"/>
      <sz val="14"/>
      <color rgb="FF002060"/>
      <name val="Segoe UI"/>
      <family val="2"/>
    </font>
    <font>
      <i/>
      <sz val="10"/>
      <name val="Times New Roman"/>
      <family val="1"/>
    </font>
    <font>
      <b/>
      <sz val="11"/>
      <color rgb="FF002060"/>
      <name val="Times New Roman"/>
      <family val="1"/>
    </font>
    <font>
      <sz val="12"/>
      <name val="Times New Roman"/>
      <family val="1"/>
    </font>
    <font>
      <i/>
      <sz val="10"/>
      <color theme="1"/>
      <name val="Calibri"/>
      <family val="2"/>
      <scheme val="minor"/>
    </font>
    <font>
      <sz val="10"/>
      <color theme="1"/>
      <name val="Calibri"/>
      <family val="2"/>
      <scheme val="minor"/>
    </font>
    <font>
      <b/>
      <u/>
      <sz val="9"/>
      <name val="Segoe UI"/>
      <family val="2"/>
    </font>
    <font>
      <b/>
      <sz val="13"/>
      <color rgb="FFFF0000"/>
      <name val="Segoe UI"/>
      <family val="2"/>
    </font>
    <font>
      <b/>
      <sz val="11"/>
      <name val="Segoe UI"/>
      <family val="2"/>
    </font>
    <font>
      <u/>
      <sz val="12"/>
      <color rgb="FF002060"/>
      <name val="Segoe UI"/>
      <family val="2"/>
    </font>
    <font>
      <b/>
      <u/>
      <sz val="12"/>
      <color rgb="FF002060"/>
      <name val="Segoe UI"/>
      <family val="2"/>
    </font>
    <font>
      <sz val="10"/>
      <color indexed="56"/>
      <name val="Segoe UI"/>
      <family val="2"/>
    </font>
    <font>
      <sz val="10.5"/>
      <color theme="4" tint="0.79998168889431442"/>
      <name val="Segoe UI"/>
      <family val="2"/>
    </font>
    <font>
      <i/>
      <vertAlign val="superscript"/>
      <sz val="10"/>
      <color rgb="FF002060"/>
      <name val="Arial"/>
      <family val="2"/>
    </font>
    <font>
      <i/>
      <u/>
      <sz val="11"/>
      <color theme="10"/>
      <name val="Calibri"/>
      <family val="2"/>
      <scheme val="minor"/>
    </font>
    <font>
      <sz val="12"/>
      <color indexed="23"/>
      <name val="Segoe UI"/>
      <family val="2"/>
    </font>
    <font>
      <sz val="11"/>
      <color indexed="23"/>
      <name val="Segoe UI"/>
      <family val="2"/>
    </font>
    <font>
      <sz val="10"/>
      <color indexed="23"/>
      <name val="Segoe UI"/>
      <family val="2"/>
    </font>
    <font>
      <b/>
      <sz val="9"/>
      <color rgb="FFC00000"/>
      <name val="Segoe UI"/>
      <family val="2"/>
    </font>
    <font>
      <b/>
      <sz val="9"/>
      <color rgb="FFFF0000"/>
      <name val="Segoe UI"/>
      <family val="2"/>
    </font>
    <font>
      <i/>
      <sz val="10"/>
      <color indexed="23"/>
      <name val="Segoe UI"/>
      <family val="2"/>
    </font>
    <font>
      <b/>
      <i/>
      <sz val="10.5"/>
      <color rgb="FF002060"/>
      <name val="Segoe UI"/>
      <family val="2"/>
    </font>
    <font>
      <b/>
      <i/>
      <vertAlign val="superscript"/>
      <sz val="11"/>
      <color rgb="FF002060"/>
      <name val="Segoe UI"/>
      <family val="2"/>
    </font>
    <font>
      <sz val="12"/>
      <color theme="1" tint="4.9989318521683403E-2"/>
      <name val="Segoe UI"/>
      <family val="2"/>
    </font>
    <font>
      <sz val="10.5"/>
      <color theme="1" tint="4.9989318521683403E-2"/>
      <name val="Segoe UI"/>
      <family val="2"/>
    </font>
    <font>
      <b/>
      <i/>
      <sz val="9"/>
      <color rgb="FF002060"/>
      <name val="Segoe UI"/>
      <family val="2"/>
    </font>
    <font>
      <b/>
      <i/>
      <sz val="9"/>
      <color theme="1" tint="4.9989318521683403E-2"/>
      <name val="Segoe UI"/>
      <family val="2"/>
    </font>
    <font>
      <i/>
      <u/>
      <sz val="9"/>
      <color rgb="FF002060"/>
      <name val="Segoe UI"/>
      <family val="2"/>
    </font>
    <font>
      <b/>
      <vertAlign val="superscript"/>
      <sz val="13"/>
      <color rgb="FF002060"/>
      <name val="Segoe UI"/>
      <family val="2"/>
    </font>
    <font>
      <sz val="10"/>
      <color rgb="FF0070C0"/>
      <name val="Segoe UI"/>
      <family val="2"/>
    </font>
    <font>
      <sz val="10"/>
      <color theme="7" tint="-0.499984740745262"/>
      <name val="Segoe UI"/>
      <family val="2"/>
    </font>
    <font>
      <sz val="16"/>
      <color rgb="FF002060"/>
      <name val="Segoe UI"/>
      <family val="2"/>
    </font>
    <font>
      <b/>
      <i/>
      <sz val="16"/>
      <color rgb="FF002060"/>
      <name val="Segoe UI"/>
      <family val="2"/>
    </font>
    <font>
      <i/>
      <sz val="16"/>
      <color rgb="FF002060"/>
      <name val="Segoe UI"/>
      <family val="2"/>
    </font>
    <font>
      <i/>
      <u/>
      <sz val="10"/>
      <color rgb="FF002060"/>
      <name val="Segoe UI"/>
      <family val="2"/>
    </font>
    <font>
      <b/>
      <sz val="17"/>
      <color rgb="FF002060"/>
      <name val="Segoe UI"/>
      <family val="2"/>
    </font>
    <font>
      <sz val="10"/>
      <color theme="1" tint="4.9989318521683403E-2"/>
      <name val="Segoe UI"/>
      <family val="2"/>
    </font>
    <font>
      <sz val="10.5"/>
      <color rgb="FF92D050"/>
      <name val="Segoe UI"/>
      <family val="2"/>
    </font>
    <font>
      <sz val="14"/>
      <name val="Segoe UI"/>
      <family val="2"/>
    </font>
    <font>
      <b/>
      <i/>
      <sz val="14"/>
      <color theme="1" tint="4.9989318521683403E-2"/>
      <name val="Segoe UI"/>
      <family val="2"/>
    </font>
    <font>
      <sz val="14"/>
      <color theme="1" tint="4.9989318521683403E-2"/>
      <name val="Segoe UI"/>
      <family val="2"/>
    </font>
  </fonts>
  <fills count="24">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lightGray">
        <fgColor indexed="22"/>
        <bgColor theme="0" tint="-0.14999847407452621"/>
      </patternFill>
    </fill>
    <fill>
      <patternFill patternType="lightGray">
        <fgColor indexed="22"/>
        <bgColor theme="0"/>
      </patternFill>
    </fill>
    <fill>
      <patternFill patternType="lightGray">
        <fgColor indexed="22"/>
        <bgColor theme="2"/>
      </patternFill>
    </fill>
    <fill>
      <patternFill patternType="lightGray">
        <fgColor indexed="22"/>
        <bgColor theme="4" tint="0.59999389629810485"/>
      </patternFill>
    </fill>
    <fill>
      <patternFill patternType="solid">
        <fgColor rgb="FFFFFF00"/>
        <bgColor indexed="64"/>
      </patternFill>
    </fill>
    <fill>
      <patternFill patternType="solid">
        <fgColor theme="4" tint="0.59999389629810485"/>
        <bgColor indexed="22"/>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gray125">
        <bgColor theme="0"/>
      </patternFill>
    </fill>
    <fill>
      <patternFill patternType="solid">
        <fgColor theme="0"/>
        <bgColor indexed="22"/>
      </patternFill>
    </fill>
    <fill>
      <patternFill patternType="solid">
        <fgColor theme="4" tint="0.59999389629810485"/>
        <bgColor indexed="9"/>
      </patternFill>
    </fill>
    <fill>
      <patternFill patternType="mediumGray">
        <fgColor indexed="9"/>
        <bgColor theme="0"/>
      </patternFill>
    </fill>
    <fill>
      <patternFill patternType="solid">
        <fgColor theme="4" tint="0.59999389629810485"/>
        <bgColor theme="4" tint="0.79998168889431442"/>
      </patternFill>
    </fill>
    <fill>
      <patternFill patternType="solid">
        <fgColor theme="0"/>
        <bgColor theme="4" tint="0.79998168889431442"/>
      </patternFill>
    </fill>
    <fill>
      <patternFill patternType="solid">
        <fgColor theme="0"/>
        <bgColor indexed="9"/>
      </patternFill>
    </fill>
    <fill>
      <patternFill patternType="solid">
        <fgColor theme="0" tint="-0.14999847407452621"/>
        <bgColor indexed="9"/>
      </patternFill>
    </fill>
    <fill>
      <patternFill patternType="solid">
        <fgColor indexed="9"/>
        <bgColor indexed="64"/>
      </patternFill>
    </fill>
  </fills>
  <borders count="385">
    <border>
      <left/>
      <right/>
      <top/>
      <bottom/>
      <diagonal/>
    </border>
    <border>
      <left style="medium">
        <color rgb="FF002060"/>
      </left>
      <right style="thick">
        <color rgb="FF002060"/>
      </right>
      <top/>
      <bottom style="thick">
        <color rgb="FF002060"/>
      </bottom>
      <diagonal/>
    </border>
    <border>
      <left style="medium">
        <color rgb="FF002060"/>
      </left>
      <right style="medium">
        <color rgb="FF002060"/>
      </right>
      <top/>
      <bottom style="thick">
        <color rgb="FF002060"/>
      </bottom>
      <diagonal/>
    </border>
    <border>
      <left style="thick">
        <color rgb="FF002060"/>
      </left>
      <right style="medium">
        <color rgb="FF002060"/>
      </right>
      <top/>
      <bottom style="thick">
        <color rgb="FF002060"/>
      </bottom>
      <diagonal/>
    </border>
    <border>
      <left style="medium">
        <color rgb="FF002060"/>
      </left>
      <right style="thick">
        <color rgb="FF002060"/>
      </right>
      <top/>
      <bottom/>
      <diagonal/>
    </border>
    <border>
      <left style="medium">
        <color rgb="FF002060"/>
      </left>
      <right style="medium">
        <color rgb="FF002060"/>
      </right>
      <top/>
      <bottom/>
      <diagonal/>
    </border>
    <border>
      <left style="thick">
        <color rgb="FF002060"/>
      </left>
      <right style="medium">
        <color rgb="FF002060"/>
      </right>
      <top/>
      <bottom/>
      <diagonal/>
    </border>
    <border>
      <left style="medium">
        <color rgb="FF002060"/>
      </left>
      <right style="thick">
        <color rgb="FF002060"/>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thick">
        <color rgb="FF002060"/>
      </left>
      <right style="medium">
        <color rgb="FF002060"/>
      </right>
      <top/>
      <bottom style="medium">
        <color rgb="FF002060"/>
      </bottom>
      <diagonal/>
    </border>
    <border>
      <left style="medium">
        <color rgb="FF002060"/>
      </left>
      <right style="thick">
        <color rgb="FF002060"/>
      </right>
      <top/>
      <bottom style="medium">
        <color rgb="FF002060"/>
      </bottom>
      <diagonal/>
    </border>
    <border>
      <left style="medium">
        <color rgb="FF002060"/>
      </left>
      <right style="medium">
        <color rgb="FF002060"/>
      </right>
      <top/>
      <bottom style="medium">
        <color rgb="FF002060"/>
      </bottom>
      <diagonal/>
    </border>
    <border>
      <left style="medium">
        <color rgb="FF002060"/>
      </left>
      <right style="thick">
        <color rgb="FF002060"/>
      </right>
      <top style="thick">
        <color rgb="FF002060"/>
      </top>
      <bottom/>
      <diagonal/>
    </border>
    <border>
      <left style="medium">
        <color rgb="FF002060"/>
      </left>
      <right style="medium">
        <color rgb="FF002060"/>
      </right>
      <top style="thick">
        <color rgb="FF002060"/>
      </top>
      <bottom/>
      <diagonal/>
    </border>
    <border>
      <left style="thick">
        <color rgb="FF002060"/>
      </left>
      <right style="medium">
        <color rgb="FF002060"/>
      </right>
      <top style="thick">
        <color rgb="FF002060"/>
      </top>
      <bottom/>
      <diagonal/>
    </border>
    <border>
      <left style="medium">
        <color indexed="64"/>
      </left>
      <right style="medium">
        <color indexed="64"/>
      </right>
      <top/>
      <bottom/>
      <diagonal/>
    </border>
    <border>
      <left/>
      <right/>
      <top/>
      <bottom style="thick">
        <color rgb="FF002060"/>
      </bottom>
      <diagonal/>
    </border>
    <border>
      <left/>
      <right/>
      <top/>
      <bottom style="medium">
        <color rgb="FF002060"/>
      </bottom>
      <diagonal/>
    </border>
    <border>
      <left/>
      <right/>
      <top style="thick">
        <color rgb="FF002060"/>
      </top>
      <bottom/>
      <diagonal/>
    </border>
    <border>
      <left/>
      <right style="medium">
        <color indexed="64"/>
      </right>
      <top/>
      <bottom/>
      <diagonal/>
    </border>
    <border>
      <left style="thin">
        <color rgb="FF002060"/>
      </left>
      <right style="medium">
        <color rgb="FF002060"/>
      </right>
      <top/>
      <bottom style="medium">
        <color rgb="FF002060"/>
      </bottom>
      <diagonal/>
    </border>
    <border>
      <left style="thin">
        <color rgb="FF002060"/>
      </left>
      <right style="thin">
        <color rgb="FF002060"/>
      </right>
      <top/>
      <bottom style="medium">
        <color rgb="FF002060"/>
      </bottom>
      <diagonal/>
    </border>
    <border>
      <left style="medium">
        <color rgb="FF002060"/>
      </left>
      <right style="thin">
        <color rgb="FF002060"/>
      </right>
      <top/>
      <bottom style="medium">
        <color rgb="FF002060"/>
      </bottom>
      <diagonal/>
    </border>
    <border>
      <left style="thin">
        <color rgb="FF002060"/>
      </left>
      <right style="medium">
        <color rgb="FF002060"/>
      </right>
      <top/>
      <bottom/>
      <diagonal/>
    </border>
    <border>
      <left style="thin">
        <color rgb="FF002060"/>
      </left>
      <right style="thin">
        <color rgb="FF002060"/>
      </right>
      <top/>
      <bottom/>
      <diagonal/>
    </border>
    <border>
      <left style="medium">
        <color rgb="FF002060"/>
      </left>
      <right style="thin">
        <color rgb="FF002060"/>
      </right>
      <top/>
      <bottom/>
      <diagonal/>
    </border>
    <border>
      <left style="thin">
        <color rgb="FF002060"/>
      </left>
      <right style="medium">
        <color rgb="FF002060"/>
      </right>
      <top style="thick">
        <color rgb="FF002060"/>
      </top>
      <bottom/>
      <diagonal/>
    </border>
    <border>
      <left style="thin">
        <color rgb="FF002060"/>
      </left>
      <right style="thin">
        <color rgb="FF002060"/>
      </right>
      <top style="thick">
        <color rgb="FF002060"/>
      </top>
      <bottom/>
      <diagonal/>
    </border>
    <border>
      <left style="medium">
        <color rgb="FF002060"/>
      </left>
      <right style="thin">
        <color rgb="FF002060"/>
      </right>
      <top style="thick">
        <color rgb="FF002060"/>
      </top>
      <bottom/>
      <diagonal/>
    </border>
    <border>
      <left style="thin">
        <color rgb="FF002060"/>
      </left>
      <right style="medium">
        <color rgb="FF002060"/>
      </right>
      <top style="medium">
        <color rgb="FF002060"/>
      </top>
      <bottom/>
      <diagonal/>
    </border>
    <border>
      <left style="thin">
        <color rgb="FF002060"/>
      </left>
      <right style="thin">
        <color rgb="FF002060"/>
      </right>
      <top style="medium">
        <color rgb="FF002060"/>
      </top>
      <bottom/>
      <diagonal/>
    </border>
    <border>
      <left style="medium">
        <color rgb="FF002060"/>
      </left>
      <right style="thin">
        <color rgb="FF002060"/>
      </right>
      <top style="medium">
        <color rgb="FF002060"/>
      </top>
      <bottom/>
      <diagonal/>
    </border>
    <border>
      <left style="thin">
        <color rgb="FF002060"/>
      </left>
      <right style="medium">
        <color rgb="FF002060"/>
      </right>
      <top style="medium">
        <color rgb="FF002060"/>
      </top>
      <bottom style="thick">
        <color rgb="FF002060"/>
      </bottom>
      <diagonal/>
    </border>
    <border>
      <left style="thin">
        <color rgb="FF002060"/>
      </left>
      <right style="thin">
        <color rgb="FF002060"/>
      </right>
      <top style="medium">
        <color rgb="FF002060"/>
      </top>
      <bottom style="thick">
        <color rgb="FF002060"/>
      </bottom>
      <diagonal/>
    </border>
    <border>
      <left style="medium">
        <color rgb="FF002060"/>
      </left>
      <right style="thin">
        <color rgb="FF002060"/>
      </right>
      <top style="medium">
        <color rgb="FF002060"/>
      </top>
      <bottom style="thick">
        <color rgb="FF002060"/>
      </bottom>
      <diagonal/>
    </border>
    <border>
      <left style="thin">
        <color rgb="FF002060"/>
      </left>
      <right style="medium">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ck">
        <color rgb="FF002060"/>
      </left>
      <right style="thin">
        <color rgb="FF002060"/>
      </right>
      <top style="medium">
        <color rgb="FF002060"/>
      </top>
      <bottom style="medium">
        <color rgb="FF002060"/>
      </bottom>
      <diagonal/>
    </border>
    <border>
      <left/>
      <right style="medium">
        <color rgb="FF002060"/>
      </right>
      <top style="medium">
        <color rgb="FF002060"/>
      </top>
      <bottom style="medium">
        <color rgb="FF002060"/>
      </bottom>
      <diagonal/>
    </border>
    <border>
      <left/>
      <right/>
      <top style="medium">
        <color rgb="FF002060"/>
      </top>
      <bottom style="medium">
        <color rgb="FF002060"/>
      </bottom>
      <diagonal/>
    </border>
    <border>
      <left style="medium">
        <color rgb="FF002060"/>
      </left>
      <right/>
      <top style="medium">
        <color rgb="FF002060"/>
      </top>
      <bottom style="medium">
        <color rgb="FF002060"/>
      </bottom>
      <diagonal/>
    </border>
    <border>
      <left style="thick">
        <color rgb="FF002060"/>
      </left>
      <right/>
      <top style="medium">
        <color rgb="FF002060"/>
      </top>
      <bottom style="medium">
        <color rgb="FF002060"/>
      </bottom>
      <diagonal/>
    </border>
    <border>
      <left style="medium">
        <color rgb="FF002060"/>
      </left>
      <right style="thick">
        <color rgb="FF002060"/>
      </right>
      <top style="medium">
        <color rgb="FF002060"/>
      </top>
      <bottom/>
      <diagonal/>
    </border>
    <border>
      <left style="medium">
        <color rgb="FF002060"/>
      </left>
      <right style="thin">
        <color rgb="FF002060"/>
      </right>
      <top style="medium">
        <color rgb="FF002060"/>
      </top>
      <bottom style="medium">
        <color rgb="FF002060"/>
      </bottom>
      <diagonal/>
    </border>
    <border>
      <left style="medium">
        <color rgb="FF002060"/>
      </left>
      <right style="medium">
        <color rgb="FF002060"/>
      </right>
      <top style="medium">
        <color rgb="FF002060"/>
      </top>
      <bottom/>
      <diagonal/>
    </border>
    <border>
      <left/>
      <right style="thick">
        <color rgb="FF002060"/>
      </right>
      <top/>
      <bottom style="thick">
        <color rgb="FF002060"/>
      </bottom>
      <diagonal/>
    </border>
    <border>
      <left style="medium">
        <color rgb="FF002060"/>
      </left>
      <right style="double">
        <color rgb="FF002060"/>
      </right>
      <top/>
      <bottom style="thick">
        <color rgb="FF002060"/>
      </bottom>
      <diagonal/>
    </border>
    <border>
      <left style="medium">
        <color rgb="FF002060"/>
      </left>
      <right/>
      <top/>
      <bottom style="thick">
        <color rgb="FF002060"/>
      </bottom>
      <diagonal/>
    </border>
    <border>
      <left style="double">
        <color rgb="FF002060"/>
      </left>
      <right style="medium">
        <color rgb="FF002060"/>
      </right>
      <top/>
      <bottom style="thick">
        <color rgb="FF002060"/>
      </bottom>
      <diagonal/>
    </border>
    <border>
      <left style="thick">
        <color rgb="FF002060"/>
      </left>
      <right/>
      <top/>
      <bottom style="thick">
        <color rgb="FF002060"/>
      </bottom>
      <diagonal/>
    </border>
    <border>
      <left/>
      <right style="thick">
        <color rgb="FF002060"/>
      </right>
      <top/>
      <bottom/>
      <diagonal/>
    </border>
    <border>
      <left style="medium">
        <color rgb="FF002060"/>
      </left>
      <right style="double">
        <color rgb="FF002060"/>
      </right>
      <top/>
      <bottom/>
      <diagonal/>
    </border>
    <border>
      <left style="medium">
        <color rgb="FF002060"/>
      </left>
      <right/>
      <top/>
      <bottom/>
      <diagonal/>
    </border>
    <border>
      <left style="double">
        <color rgb="FF002060"/>
      </left>
      <right style="medium">
        <color rgb="FF002060"/>
      </right>
      <top/>
      <bottom/>
      <diagonal/>
    </border>
    <border>
      <left/>
      <right style="thick">
        <color rgb="FF002060"/>
      </right>
      <top style="medium">
        <color rgb="FF002060"/>
      </top>
      <bottom/>
      <diagonal/>
    </border>
    <border>
      <left style="medium">
        <color rgb="FF002060"/>
      </left>
      <right style="double">
        <color rgb="FF002060"/>
      </right>
      <top style="medium">
        <color rgb="FF002060"/>
      </top>
      <bottom/>
      <diagonal/>
    </border>
    <border>
      <left style="medium">
        <color rgb="FF002060"/>
      </left>
      <right/>
      <top style="medium">
        <color rgb="FF002060"/>
      </top>
      <bottom/>
      <diagonal/>
    </border>
    <border>
      <left style="double">
        <color rgb="FF002060"/>
      </left>
      <right style="medium">
        <color rgb="FF002060"/>
      </right>
      <top style="medium">
        <color rgb="FF002060"/>
      </top>
      <bottom/>
      <diagonal/>
    </border>
    <border>
      <left style="thick">
        <color rgb="FF002060"/>
      </left>
      <right style="medium">
        <color rgb="FF002060"/>
      </right>
      <top style="medium">
        <color rgb="FF002060"/>
      </top>
      <bottom/>
      <diagonal/>
    </border>
    <border>
      <left/>
      <right style="thick">
        <color rgb="FF002060"/>
      </right>
      <top/>
      <bottom style="medium">
        <color rgb="FF002060"/>
      </bottom>
      <diagonal/>
    </border>
    <border>
      <left style="medium">
        <color rgb="FF002060"/>
      </left>
      <right style="double">
        <color rgb="FF002060"/>
      </right>
      <top/>
      <bottom style="medium">
        <color rgb="FF002060"/>
      </bottom>
      <diagonal/>
    </border>
    <border>
      <left style="double">
        <color rgb="FF002060"/>
      </left>
      <right style="medium">
        <color rgb="FF002060"/>
      </right>
      <top style="medium">
        <color rgb="FF002060"/>
      </top>
      <bottom style="medium">
        <color rgb="FF002060"/>
      </bottom>
      <diagonal/>
    </border>
    <border>
      <left/>
      <right style="thick">
        <color rgb="FF002060"/>
      </right>
      <top style="thick">
        <color rgb="FF002060"/>
      </top>
      <bottom/>
      <diagonal/>
    </border>
    <border>
      <left/>
      <right style="double">
        <color rgb="FF002060"/>
      </right>
      <top style="thick">
        <color rgb="FF002060"/>
      </top>
      <bottom style="medium">
        <color rgb="FF002060"/>
      </bottom>
      <diagonal/>
    </border>
    <border>
      <left/>
      <right/>
      <top style="thick">
        <color rgb="FF002060"/>
      </top>
      <bottom style="medium">
        <color rgb="FF002060"/>
      </bottom>
      <diagonal/>
    </border>
    <border>
      <left style="double">
        <color rgb="FF002060"/>
      </left>
      <right/>
      <top style="thick">
        <color rgb="FF002060"/>
      </top>
      <bottom style="medium">
        <color rgb="FF002060"/>
      </bottom>
      <diagonal/>
    </border>
    <border>
      <left style="medium">
        <color rgb="FF002060"/>
      </left>
      <right/>
      <top style="thick">
        <color rgb="FF002060"/>
      </top>
      <bottom style="medium">
        <color rgb="FF002060"/>
      </bottom>
      <diagonal/>
    </border>
    <border>
      <left style="thick">
        <color rgb="FF002060"/>
      </left>
      <right style="thick">
        <color rgb="FF002060"/>
      </right>
      <top/>
      <bottom style="thick">
        <color rgb="FF002060"/>
      </bottom>
      <diagonal/>
    </border>
    <border>
      <left style="thick">
        <color rgb="FF002060"/>
      </left>
      <right style="thick">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indexed="64"/>
      </left>
      <right/>
      <top/>
      <bottom style="thick">
        <color rgb="FF002060"/>
      </bottom>
      <diagonal/>
    </border>
    <border>
      <left style="medium">
        <color indexed="64"/>
      </left>
      <right style="medium">
        <color indexed="64"/>
      </right>
      <top/>
      <bottom style="thick">
        <color rgb="FF002060"/>
      </bottom>
      <diagonal/>
    </border>
    <border>
      <left/>
      <right style="medium">
        <color indexed="64"/>
      </right>
      <top/>
      <bottom style="thick">
        <color rgb="FF002060"/>
      </bottom>
      <diagonal/>
    </border>
    <border>
      <left style="thick">
        <color rgb="FF002060"/>
      </left>
      <right style="thick">
        <color rgb="FF002060"/>
      </right>
      <top/>
      <bottom style="medium">
        <color rgb="FF002060"/>
      </bottom>
      <diagonal/>
    </border>
    <border>
      <left style="medium">
        <color indexed="64"/>
      </left>
      <right/>
      <top/>
      <bottom style="medium">
        <color rgb="FF002060"/>
      </bottom>
      <diagonal/>
    </border>
    <border>
      <left style="medium">
        <color indexed="64"/>
      </left>
      <right style="medium">
        <color indexed="64"/>
      </right>
      <top/>
      <bottom style="medium">
        <color rgb="FF002060"/>
      </bottom>
      <diagonal/>
    </border>
    <border>
      <left/>
      <right style="medium">
        <color indexed="64"/>
      </right>
      <top/>
      <bottom style="medium">
        <color rgb="FF002060"/>
      </bottom>
      <diagonal/>
    </border>
    <border>
      <left style="thick">
        <color rgb="FF002060"/>
      </left>
      <right/>
      <top/>
      <bottom style="medium">
        <color rgb="FF002060"/>
      </bottom>
      <diagonal/>
    </border>
    <border>
      <left style="thick">
        <color rgb="FF002060"/>
      </left>
      <right style="thick">
        <color rgb="FF002060"/>
      </right>
      <top/>
      <bottom/>
      <diagonal/>
    </border>
    <border>
      <left style="medium">
        <color indexed="64"/>
      </left>
      <right/>
      <top/>
      <bottom/>
      <diagonal/>
    </border>
    <border>
      <left style="thick">
        <color rgb="FF002060"/>
      </left>
      <right/>
      <top/>
      <bottom/>
      <diagonal/>
    </border>
    <border>
      <left style="thick">
        <color rgb="FF002060"/>
      </left>
      <right style="thick">
        <color rgb="FF002060"/>
      </right>
      <top style="medium">
        <color rgb="FF002060"/>
      </top>
      <bottom/>
      <diagonal/>
    </border>
    <border>
      <left style="medium">
        <color indexed="64"/>
      </left>
      <right/>
      <top style="medium">
        <color rgb="FF002060"/>
      </top>
      <bottom/>
      <diagonal/>
    </border>
    <border>
      <left style="medium">
        <color indexed="64"/>
      </left>
      <right style="medium">
        <color indexed="64"/>
      </right>
      <top style="medium">
        <color rgb="FF002060"/>
      </top>
      <bottom/>
      <diagonal/>
    </border>
    <border>
      <left/>
      <right style="medium">
        <color indexed="64"/>
      </right>
      <top style="medium">
        <color rgb="FF002060"/>
      </top>
      <bottom/>
      <diagonal/>
    </border>
    <border>
      <left style="thick">
        <color rgb="FF002060"/>
      </left>
      <right/>
      <top style="medium">
        <color rgb="FF002060"/>
      </top>
      <bottom/>
      <diagonal/>
    </border>
    <border>
      <left style="thick">
        <color rgb="FF002060"/>
      </left>
      <right style="thick">
        <color rgb="FF002060"/>
      </right>
      <top style="thick">
        <color rgb="FF002060"/>
      </top>
      <bottom style="medium">
        <color rgb="FF002060"/>
      </bottom>
      <diagonal/>
    </border>
    <border>
      <left style="thick">
        <color rgb="FF002060"/>
      </left>
      <right style="thick">
        <color rgb="FF002060"/>
      </right>
      <top style="thick">
        <color rgb="FF002060"/>
      </top>
      <bottom/>
      <diagonal/>
    </border>
    <border>
      <left style="medium">
        <color indexed="64"/>
      </left>
      <right/>
      <top style="thick">
        <color rgb="FF002060"/>
      </top>
      <bottom/>
      <diagonal/>
    </border>
    <border>
      <left style="medium">
        <color indexed="64"/>
      </left>
      <right style="medium">
        <color indexed="64"/>
      </right>
      <top style="thick">
        <color rgb="FF002060"/>
      </top>
      <bottom/>
      <diagonal/>
    </border>
    <border>
      <left/>
      <right style="medium">
        <color indexed="64"/>
      </right>
      <top style="thick">
        <color rgb="FF002060"/>
      </top>
      <bottom/>
      <diagonal/>
    </border>
    <border>
      <left style="thick">
        <color rgb="FF002060"/>
      </left>
      <right/>
      <top style="thick">
        <color rgb="FF002060"/>
      </top>
      <bottom/>
      <diagonal/>
    </border>
    <border>
      <left style="thick">
        <color rgb="FF002060"/>
      </left>
      <right style="thick">
        <color rgb="FF002060"/>
      </right>
      <top style="medium">
        <color indexed="64"/>
      </top>
      <bottom style="thick">
        <color rgb="FF002060"/>
      </bottom>
      <diagonal/>
    </border>
    <border>
      <left/>
      <right style="thick">
        <color rgb="FF002060"/>
      </right>
      <top style="medium">
        <color rgb="FF002060"/>
      </top>
      <bottom style="medium">
        <color rgb="FF002060"/>
      </bottom>
      <diagonal/>
    </border>
    <border>
      <left style="thick">
        <color rgb="FF002060"/>
      </left>
      <right style="thick">
        <color rgb="FF002060"/>
      </right>
      <top style="medium">
        <color indexed="64"/>
      </top>
      <bottom style="medium">
        <color rgb="FF002060"/>
      </bottom>
      <diagonal/>
    </border>
    <border>
      <left style="thick">
        <color rgb="FF002060"/>
      </left>
      <right style="medium">
        <color rgb="FF002060"/>
      </right>
      <top style="medium">
        <color rgb="FF002060"/>
      </top>
      <bottom style="medium">
        <color rgb="FF002060"/>
      </bottom>
      <diagonal/>
    </border>
    <border>
      <left style="medium">
        <color rgb="FF002060"/>
      </left>
      <right/>
      <top/>
      <bottom style="medium">
        <color rgb="FF002060"/>
      </bottom>
      <diagonal/>
    </border>
    <border>
      <left style="medium">
        <color rgb="FF002060"/>
      </left>
      <right style="medium">
        <color rgb="FF002060"/>
      </right>
      <top style="medium">
        <color indexed="64"/>
      </top>
      <bottom style="medium">
        <color rgb="FF002060"/>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002060"/>
      </left>
      <right style="thick">
        <color rgb="FF002060"/>
      </right>
      <top style="medium">
        <color rgb="FF002060"/>
      </top>
      <bottom style="medium">
        <color rgb="FF002060"/>
      </bottom>
      <diagonal/>
    </border>
    <border>
      <left/>
      <right/>
      <top style="medium">
        <color rgb="FF002060"/>
      </top>
      <bottom style="medium">
        <color indexed="64"/>
      </bottom>
      <diagonal/>
    </border>
    <border>
      <left/>
      <right style="medium">
        <color indexed="64"/>
      </right>
      <top style="medium">
        <color rgb="FF002060"/>
      </top>
      <bottom style="medium">
        <color indexed="64"/>
      </bottom>
      <diagonal/>
    </border>
    <border>
      <left style="medium">
        <color indexed="64"/>
      </left>
      <right style="medium">
        <color indexed="64"/>
      </right>
      <top style="medium">
        <color indexed="64"/>
      </top>
      <bottom style="medium">
        <color rgb="FF002060"/>
      </bottom>
      <diagonal/>
    </border>
    <border>
      <left/>
      <right style="medium">
        <color indexed="64"/>
      </right>
      <top style="medium">
        <color indexed="64"/>
      </top>
      <bottom style="medium">
        <color rgb="FF002060"/>
      </bottom>
      <diagonal/>
    </border>
    <border>
      <left/>
      <right style="thick">
        <color rgb="FF002060"/>
      </right>
      <top style="thick">
        <color rgb="FF002060"/>
      </top>
      <bottom style="medium">
        <color rgb="FF002060"/>
      </bottom>
      <diagonal/>
    </border>
    <border>
      <left style="thick">
        <color rgb="FF002060"/>
      </left>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right/>
      <top style="thick">
        <color rgb="FF002060"/>
      </top>
      <bottom style="medium">
        <color indexed="64"/>
      </bottom>
      <diagonal/>
    </border>
    <border>
      <left style="medium">
        <color indexed="64"/>
      </left>
      <right/>
      <top style="thick">
        <color rgb="FF002060"/>
      </top>
      <bottom style="medium">
        <color indexed="64"/>
      </bottom>
      <diagonal/>
    </border>
    <border>
      <left/>
      <right style="medium">
        <color indexed="64"/>
      </right>
      <top style="thick">
        <color rgb="FF002060"/>
      </top>
      <bottom style="medium">
        <color indexed="64"/>
      </bottom>
      <diagonal/>
    </border>
    <border>
      <left style="thick">
        <color rgb="FF002060"/>
      </left>
      <right/>
      <top style="thick">
        <color rgb="FF002060"/>
      </top>
      <bottom style="thin">
        <color rgb="FF002060"/>
      </bottom>
      <diagonal/>
    </border>
    <border>
      <left style="medium">
        <color rgb="FF002060"/>
      </left>
      <right/>
      <top style="thick">
        <color rgb="FF002060"/>
      </top>
      <bottom style="thin">
        <color rgb="FF002060"/>
      </bottom>
      <diagonal/>
    </border>
    <border>
      <left/>
      <right style="medium">
        <color rgb="FF002060"/>
      </right>
      <top style="thick">
        <color rgb="FF002060"/>
      </top>
      <bottom style="thin">
        <color rgb="FF002060"/>
      </bottom>
      <diagonal/>
    </border>
    <border>
      <left/>
      <right style="thick">
        <color rgb="FF002060"/>
      </right>
      <top style="thick">
        <color rgb="FF002060"/>
      </top>
      <bottom style="thin">
        <color rgb="FF002060"/>
      </bottom>
      <diagonal/>
    </border>
    <border>
      <left style="medium">
        <color rgb="FF002060"/>
      </left>
      <right style="double">
        <color rgb="FF002060"/>
      </right>
      <top style="thin">
        <color rgb="FF002060"/>
      </top>
      <bottom/>
      <diagonal/>
    </border>
    <border>
      <left/>
      <right style="medium">
        <color rgb="FF002060"/>
      </right>
      <top/>
      <bottom/>
      <diagonal/>
    </border>
    <border>
      <left style="hair">
        <color auto="1"/>
      </left>
      <right style="medium">
        <color rgb="FF002060"/>
      </right>
      <top/>
      <bottom/>
      <diagonal/>
    </border>
    <border>
      <left style="hair">
        <color auto="1"/>
      </left>
      <right style="thick">
        <color rgb="FF002060"/>
      </right>
      <top/>
      <bottom/>
      <diagonal/>
    </border>
    <border>
      <left style="medium">
        <color rgb="FF002060"/>
      </left>
      <right style="double">
        <color rgb="FF002060"/>
      </right>
      <top style="medium">
        <color rgb="FF002060"/>
      </top>
      <bottom style="medium">
        <color rgb="FF002060"/>
      </bottom>
      <diagonal/>
    </border>
    <border>
      <left style="thick">
        <color rgb="FF002060"/>
      </left>
      <right/>
      <top style="medium">
        <color rgb="FF002060"/>
      </top>
      <bottom style="thin">
        <color rgb="FF002060"/>
      </bottom>
      <diagonal/>
    </border>
    <border>
      <left style="medium">
        <color rgb="FF002060"/>
      </left>
      <right style="double">
        <color rgb="FF002060"/>
      </right>
      <top style="medium">
        <color rgb="FF002060"/>
      </top>
      <bottom style="thin">
        <color rgb="FF002060"/>
      </bottom>
      <diagonal/>
    </border>
    <border>
      <left/>
      <right style="medium">
        <color rgb="FF002060"/>
      </right>
      <top style="medium">
        <color rgb="FF002060"/>
      </top>
      <bottom style="thin">
        <color rgb="FF002060"/>
      </bottom>
      <diagonal/>
    </border>
    <border>
      <left style="hair">
        <color auto="1"/>
      </left>
      <right style="medium">
        <color rgb="FF002060"/>
      </right>
      <top style="medium">
        <color rgb="FF002060"/>
      </top>
      <bottom style="thin">
        <color rgb="FF002060"/>
      </bottom>
      <diagonal/>
    </border>
    <border>
      <left style="hair">
        <color auto="1"/>
      </left>
      <right style="thick">
        <color rgb="FF002060"/>
      </right>
      <top style="medium">
        <color rgb="FF002060"/>
      </top>
      <bottom style="thin">
        <color rgb="FF002060"/>
      </bottom>
      <diagonal/>
    </border>
    <border>
      <left style="thick">
        <color rgb="FF002060"/>
      </left>
      <right/>
      <top style="thin">
        <color rgb="FF002060"/>
      </top>
      <bottom style="thin">
        <color rgb="FF002060"/>
      </bottom>
      <diagonal/>
    </border>
    <border>
      <left style="medium">
        <color rgb="FF002060"/>
      </left>
      <right style="double">
        <color rgb="FF002060"/>
      </right>
      <top style="thin">
        <color rgb="FF002060"/>
      </top>
      <bottom style="thin">
        <color rgb="FF002060"/>
      </bottom>
      <diagonal/>
    </border>
    <border>
      <left/>
      <right style="medium">
        <color rgb="FF002060"/>
      </right>
      <top style="thin">
        <color rgb="FF002060"/>
      </top>
      <bottom style="thin">
        <color rgb="FF002060"/>
      </bottom>
      <diagonal/>
    </border>
    <border>
      <left style="hair">
        <color auto="1"/>
      </left>
      <right style="medium">
        <color rgb="FF002060"/>
      </right>
      <top style="thin">
        <color rgb="FF002060"/>
      </top>
      <bottom style="thin">
        <color rgb="FF002060"/>
      </bottom>
      <diagonal/>
    </border>
    <border>
      <left style="hair">
        <color auto="1"/>
      </left>
      <right style="thick">
        <color rgb="FF002060"/>
      </right>
      <top style="thin">
        <color rgb="FF002060"/>
      </top>
      <bottom style="thin">
        <color rgb="FF002060"/>
      </bottom>
      <diagonal/>
    </border>
    <border>
      <left style="thick">
        <color rgb="FF002060"/>
      </left>
      <right/>
      <top style="thin">
        <color rgb="FF002060"/>
      </top>
      <bottom style="medium">
        <color rgb="FF002060"/>
      </bottom>
      <diagonal/>
    </border>
    <border>
      <left style="medium">
        <color rgb="FF002060"/>
      </left>
      <right style="double">
        <color rgb="FF002060"/>
      </right>
      <top style="thin">
        <color rgb="FF002060"/>
      </top>
      <bottom style="medium">
        <color rgb="FF002060"/>
      </bottom>
      <diagonal/>
    </border>
    <border>
      <left/>
      <right style="medium">
        <color rgb="FF002060"/>
      </right>
      <top style="thin">
        <color rgb="FF002060"/>
      </top>
      <bottom style="medium">
        <color rgb="FF002060"/>
      </bottom>
      <diagonal/>
    </border>
    <border>
      <left style="hair">
        <color auto="1"/>
      </left>
      <right style="medium">
        <color rgb="FF002060"/>
      </right>
      <top style="thin">
        <color rgb="FF002060"/>
      </top>
      <bottom style="medium">
        <color rgb="FF002060"/>
      </bottom>
      <diagonal/>
    </border>
    <border>
      <left style="hair">
        <color auto="1"/>
      </left>
      <right style="thick">
        <color rgb="FF002060"/>
      </right>
      <top style="thin">
        <color rgb="FF002060"/>
      </top>
      <bottom style="medium">
        <color rgb="FF002060"/>
      </bottom>
      <diagonal/>
    </border>
    <border>
      <left style="thick">
        <color rgb="FF002060"/>
      </left>
      <right style="medium">
        <color rgb="FF002060"/>
      </right>
      <top style="thick">
        <color rgb="FF002060"/>
      </top>
      <bottom style="medium">
        <color rgb="FF002060"/>
      </bottom>
      <diagonal/>
    </border>
    <border>
      <left style="thick">
        <color rgb="FF002060"/>
      </left>
      <right style="medium">
        <color rgb="FF002060"/>
      </right>
      <top style="medium">
        <color rgb="FF002060"/>
      </top>
      <bottom style="thick">
        <color rgb="FF002060"/>
      </bottom>
      <diagonal/>
    </border>
    <border>
      <left style="thick">
        <color rgb="FF002060"/>
      </left>
      <right style="double">
        <color rgb="FF002060"/>
      </right>
      <top style="thick">
        <color rgb="FF002060"/>
      </top>
      <bottom/>
      <diagonal/>
    </border>
    <border>
      <left style="double">
        <color rgb="FF002060"/>
      </left>
      <right style="medium">
        <color rgb="FF002060"/>
      </right>
      <top style="thick">
        <color rgb="FF002060"/>
      </top>
      <bottom/>
      <diagonal/>
    </border>
    <border>
      <left style="medium">
        <color rgb="FF002060"/>
      </left>
      <right style="double">
        <color rgb="FF002060"/>
      </right>
      <top style="thick">
        <color rgb="FF002060"/>
      </top>
      <bottom/>
      <diagonal/>
    </border>
    <border>
      <left/>
      <right style="medium">
        <color rgb="FF002060"/>
      </right>
      <top style="thick">
        <color rgb="FF002060"/>
      </top>
      <bottom/>
      <diagonal/>
    </border>
    <border>
      <left style="thick">
        <color rgb="FF002060"/>
      </left>
      <right style="double">
        <color rgb="FF002060"/>
      </right>
      <top/>
      <bottom/>
      <diagonal/>
    </border>
    <border>
      <left/>
      <right style="medium">
        <color rgb="FF002060"/>
      </right>
      <top style="medium">
        <color rgb="FF002060"/>
      </top>
      <bottom/>
      <diagonal/>
    </border>
    <border>
      <left style="thick">
        <color rgb="FF002060"/>
      </left>
      <right style="double">
        <color rgb="FF002060"/>
      </right>
      <top/>
      <bottom style="thick">
        <color rgb="FF002060"/>
      </bottom>
      <diagonal/>
    </border>
    <border>
      <left/>
      <right style="medium">
        <color rgb="FF002060"/>
      </right>
      <top/>
      <bottom style="thick">
        <color rgb="FF002060"/>
      </bottom>
      <diagonal/>
    </border>
    <border>
      <left style="double">
        <color rgb="FF002060"/>
      </left>
      <right/>
      <top/>
      <bottom/>
      <diagonal/>
    </border>
    <border>
      <left style="double">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right style="thick">
        <color rgb="FF002060"/>
      </right>
      <top style="medium">
        <color rgb="FF002060"/>
      </top>
      <bottom style="thick">
        <color rgb="FF002060"/>
      </bottom>
      <diagonal/>
    </border>
    <border>
      <left style="medium">
        <color rgb="FF002060"/>
      </left>
      <right/>
      <top style="thick">
        <color rgb="FF002060"/>
      </top>
      <bottom/>
      <diagonal/>
    </border>
    <border>
      <left style="medium">
        <color rgb="FF002060"/>
      </left>
      <right style="double">
        <color rgb="FF002060"/>
      </right>
      <top style="thick">
        <color rgb="FF002060"/>
      </top>
      <bottom style="medium">
        <color rgb="FF002060"/>
      </bottom>
      <diagonal/>
    </border>
    <border>
      <left/>
      <right style="thin">
        <color rgb="FF002060"/>
      </right>
      <top style="medium">
        <color rgb="FF002060"/>
      </top>
      <bottom/>
      <diagonal/>
    </border>
    <border>
      <left/>
      <right style="thin">
        <color rgb="FF002060"/>
      </right>
      <top/>
      <bottom/>
      <diagonal/>
    </border>
    <border>
      <left/>
      <right style="medium">
        <color rgb="FF002060"/>
      </right>
      <top style="thick">
        <color rgb="FF002060"/>
      </top>
      <bottom style="medium">
        <color rgb="FF002060"/>
      </bottom>
      <diagonal/>
    </border>
    <border>
      <left style="medium">
        <color rgb="FF002060"/>
      </left>
      <right style="medium">
        <color rgb="FF002060"/>
      </right>
      <top/>
      <bottom style="thin">
        <color rgb="FF002060"/>
      </bottom>
      <diagonal/>
    </border>
    <border>
      <left style="thick">
        <color rgb="FF002060"/>
      </left>
      <right/>
      <top style="medium">
        <color rgb="FF002060"/>
      </top>
      <bottom style="thick">
        <color rgb="FF002060"/>
      </bottom>
      <diagonal/>
    </border>
    <border>
      <left style="medium">
        <color rgb="FF002060"/>
      </left>
      <right/>
      <top style="medium">
        <color rgb="FF002060"/>
      </top>
      <bottom style="thick">
        <color rgb="FF002060"/>
      </bottom>
      <diagonal/>
    </border>
    <border>
      <left style="double">
        <color rgb="FF002060"/>
      </left>
      <right style="thick">
        <color rgb="FF002060"/>
      </right>
      <top style="thick">
        <color rgb="FF002060"/>
      </top>
      <bottom style="medium">
        <color rgb="FF002060"/>
      </bottom>
      <diagonal/>
    </border>
    <border>
      <left/>
      <right style="thin">
        <color rgb="FF002060"/>
      </right>
      <top/>
      <bottom style="thick">
        <color rgb="FF002060"/>
      </bottom>
      <diagonal/>
    </border>
    <border>
      <left style="thin">
        <color rgb="FF002060"/>
      </left>
      <right style="thin">
        <color rgb="FF002060"/>
      </right>
      <top style="thick">
        <color rgb="FF002060"/>
      </top>
      <bottom style="medium">
        <color rgb="FF002060"/>
      </bottom>
      <diagonal/>
    </border>
    <border>
      <left style="thin">
        <color rgb="FF002060"/>
      </left>
      <right/>
      <top style="thick">
        <color rgb="FF002060"/>
      </top>
      <bottom style="medium">
        <color rgb="FF002060"/>
      </bottom>
      <diagonal/>
    </border>
    <border>
      <left style="thin">
        <color rgb="FF002060"/>
      </left>
      <right style="thick">
        <color rgb="FF002060"/>
      </right>
      <top style="thick">
        <color rgb="FF002060"/>
      </top>
      <bottom style="medium">
        <color rgb="FF002060"/>
      </bottom>
      <diagonal/>
    </border>
    <border>
      <left/>
      <right/>
      <top style="medium">
        <color rgb="FF002060"/>
      </top>
      <bottom/>
      <diagonal/>
    </border>
    <border>
      <left style="thin">
        <color rgb="FF002060"/>
      </left>
      <right/>
      <top style="medium">
        <color rgb="FF002060"/>
      </top>
      <bottom/>
      <diagonal/>
    </border>
    <border>
      <left style="thin">
        <color rgb="FF002060"/>
      </left>
      <right style="thick">
        <color rgb="FF002060"/>
      </right>
      <top style="medium">
        <color rgb="FF002060"/>
      </top>
      <bottom/>
      <diagonal/>
    </border>
    <border>
      <left style="thick">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right/>
      <top style="thin">
        <color rgb="FF002060"/>
      </top>
      <bottom style="hair">
        <color rgb="FF002060"/>
      </bottom>
      <diagonal/>
    </border>
    <border>
      <left style="thin">
        <color rgb="FF002060"/>
      </left>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right/>
      <top style="hair">
        <color rgb="FF002060"/>
      </top>
      <bottom style="hair">
        <color rgb="FF002060"/>
      </bottom>
      <diagonal/>
    </border>
    <border>
      <left style="thin">
        <color rgb="FF002060"/>
      </left>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thick">
        <color rgb="FF002060"/>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top/>
      <bottom style="thick">
        <color rgb="FF002060"/>
      </bottom>
      <diagonal/>
    </border>
    <border>
      <left style="thin">
        <color rgb="FF002060"/>
      </left>
      <right style="thick">
        <color rgb="FF002060"/>
      </right>
      <top/>
      <bottom style="thick">
        <color rgb="FF002060"/>
      </bottom>
      <diagonal/>
    </border>
    <border>
      <left style="thin">
        <color indexed="64"/>
      </left>
      <right style="thin">
        <color rgb="FF002060"/>
      </right>
      <top style="thick">
        <color rgb="FF002060"/>
      </top>
      <bottom style="medium">
        <color rgb="FF002060"/>
      </bottom>
      <diagonal/>
    </border>
    <border>
      <left style="thin">
        <color indexed="64"/>
      </left>
      <right style="thin">
        <color rgb="FF002060"/>
      </right>
      <top style="medium">
        <color rgb="FF002060"/>
      </top>
      <bottom style="thin">
        <color rgb="FF002060"/>
      </bottom>
      <diagonal/>
    </border>
    <border>
      <left style="thin">
        <color rgb="FF002060"/>
      </left>
      <right style="thick">
        <color rgb="FF002060"/>
      </right>
      <top style="medium">
        <color rgb="FF002060"/>
      </top>
      <bottom style="thin">
        <color rgb="FF002060"/>
      </bottom>
      <diagonal/>
    </border>
    <border>
      <left style="thin">
        <color rgb="FF002060"/>
      </left>
      <right style="thick">
        <color rgb="FF002060"/>
      </right>
      <top style="thin">
        <color rgb="FF002060"/>
      </top>
      <bottom/>
      <diagonal/>
    </border>
    <border>
      <left/>
      <right style="thick">
        <color rgb="FF002060"/>
      </right>
      <top style="hair">
        <color rgb="FF002060"/>
      </top>
      <bottom style="hair">
        <color rgb="FF002060"/>
      </bottom>
      <diagonal/>
    </border>
    <border>
      <left style="thick">
        <color rgb="FF002060"/>
      </left>
      <right style="thin">
        <color rgb="FF002060"/>
      </right>
      <top style="hair">
        <color rgb="FF002060"/>
      </top>
      <bottom style="thick">
        <color rgb="FF002060"/>
      </bottom>
      <diagonal/>
    </border>
    <border>
      <left style="thin">
        <color rgb="FF002060"/>
      </left>
      <right style="thin">
        <color rgb="FF002060"/>
      </right>
      <top style="hair">
        <color rgb="FF002060"/>
      </top>
      <bottom style="thick">
        <color rgb="FF002060"/>
      </bottom>
      <diagonal/>
    </border>
    <border>
      <left/>
      <right style="thick">
        <color rgb="FF002060"/>
      </right>
      <top style="hair">
        <color rgb="FF002060"/>
      </top>
      <bottom style="thick">
        <color rgb="FF002060"/>
      </bottom>
      <diagonal/>
    </border>
    <border>
      <left style="thick">
        <color rgb="FF002060"/>
      </left>
      <right style="thin">
        <color rgb="FF002060"/>
      </right>
      <top style="medium">
        <color rgb="FF002060"/>
      </top>
      <bottom style="hair">
        <color rgb="FF002060"/>
      </bottom>
      <diagonal/>
    </border>
    <border>
      <left/>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style="thin">
        <color rgb="FF002060"/>
      </left>
      <right/>
      <top style="medium">
        <color rgb="FF002060"/>
      </top>
      <bottom style="hair">
        <color rgb="FF002060"/>
      </bottom>
      <diagonal/>
    </border>
    <border>
      <left style="thin">
        <color rgb="FF002060"/>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right/>
      <top style="hair">
        <color rgb="FF002060"/>
      </top>
      <bottom/>
      <diagonal/>
    </border>
    <border>
      <left style="thin">
        <color rgb="FF002060"/>
      </left>
      <right style="thin">
        <color rgb="FF002060"/>
      </right>
      <top style="hair">
        <color rgb="FF002060"/>
      </top>
      <bottom/>
      <diagonal/>
    </border>
    <border>
      <left style="thin">
        <color rgb="FF002060"/>
      </left>
      <right/>
      <top style="hair">
        <color rgb="FF002060"/>
      </top>
      <bottom/>
      <diagonal/>
    </border>
    <border>
      <left style="thin">
        <color rgb="FF002060"/>
      </left>
      <right style="thick">
        <color rgb="FF002060"/>
      </right>
      <top style="hair">
        <color rgb="FF002060"/>
      </top>
      <bottom/>
      <diagonal/>
    </border>
    <border>
      <left/>
      <right/>
      <top style="hair">
        <color rgb="FF002060"/>
      </top>
      <bottom style="thick">
        <color rgb="FF002060"/>
      </bottom>
      <diagonal/>
    </border>
    <border>
      <left style="thin">
        <color rgb="FF002060"/>
      </left>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thick">
        <color rgb="FF002060"/>
      </left>
      <right style="medium">
        <color rgb="FF002060"/>
      </right>
      <top style="thick">
        <color rgb="FF002060"/>
      </top>
      <bottom style="thick">
        <color rgb="FF002060"/>
      </bottom>
      <diagonal/>
    </border>
    <border>
      <left/>
      <right/>
      <top style="thick">
        <color rgb="FF002060"/>
      </top>
      <bottom style="thick">
        <color rgb="FF002060"/>
      </bottom>
      <diagonal/>
    </border>
    <border>
      <left style="medium">
        <color rgb="FF002060"/>
      </left>
      <right/>
      <top style="thick">
        <color rgb="FF002060"/>
      </top>
      <bottom style="thick">
        <color rgb="FF002060"/>
      </bottom>
      <diagonal/>
    </border>
    <border>
      <left style="medium">
        <color rgb="FF002060"/>
      </left>
      <right style="medium">
        <color rgb="FF002060"/>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2060"/>
      </left>
      <right/>
      <top style="thick">
        <color rgb="FF002060"/>
      </top>
      <bottom style="thick">
        <color rgb="FF002060"/>
      </bottom>
      <diagonal/>
    </border>
    <border>
      <left/>
      <right style="medium">
        <color rgb="FF002060"/>
      </right>
      <top style="thick">
        <color rgb="FF002060"/>
      </top>
      <bottom style="thick">
        <color rgb="FF002060"/>
      </bottom>
      <diagonal/>
    </border>
    <border>
      <left style="thick">
        <color rgb="FF002060"/>
      </left>
      <right style="medium">
        <color indexed="64"/>
      </right>
      <top style="thick">
        <color rgb="FF002060"/>
      </top>
      <bottom style="medium">
        <color rgb="FF002060"/>
      </bottom>
      <diagonal/>
    </border>
    <border>
      <left style="medium">
        <color indexed="64"/>
      </left>
      <right style="thick">
        <color rgb="FF002060"/>
      </right>
      <top style="thick">
        <color rgb="FF002060"/>
      </top>
      <bottom style="medium">
        <color rgb="FF002060"/>
      </bottom>
      <diagonal/>
    </border>
    <border>
      <left/>
      <right style="medium">
        <color indexed="64"/>
      </right>
      <top style="thick">
        <color rgb="FF002060"/>
      </top>
      <bottom style="medium">
        <color rgb="FF002060"/>
      </bottom>
      <diagonal/>
    </border>
    <border>
      <left style="double">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double">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right style="thin">
        <color rgb="FF002060"/>
      </right>
      <top style="hair">
        <color rgb="FF002060"/>
      </top>
      <bottom style="hair">
        <color rgb="FF002060"/>
      </bottom>
      <diagonal/>
    </border>
    <border>
      <left style="thick">
        <color rgb="FF002060"/>
      </left>
      <right/>
      <top style="hair">
        <color rgb="FF002060"/>
      </top>
      <bottom style="thick">
        <color rgb="FF002060"/>
      </bottom>
      <diagonal/>
    </border>
    <border>
      <left style="double">
        <color rgb="FF002060"/>
      </left>
      <right style="thin">
        <color rgb="FF002060"/>
      </right>
      <top style="hair">
        <color rgb="FF002060"/>
      </top>
      <bottom style="thick">
        <color rgb="FF002060"/>
      </bottom>
      <diagonal/>
    </border>
    <border>
      <left style="thick">
        <color rgb="FF002060"/>
      </left>
      <right style="double">
        <color indexed="64"/>
      </right>
      <top style="thick">
        <color rgb="FF002060"/>
      </top>
      <bottom style="thin">
        <color rgb="FF002060"/>
      </bottom>
      <diagonal/>
    </border>
    <border>
      <left/>
      <right style="thin">
        <color rgb="FF002060"/>
      </right>
      <top style="thick">
        <color rgb="FF002060"/>
      </top>
      <bottom style="thin">
        <color rgb="FF002060"/>
      </bottom>
      <diagonal/>
    </border>
    <border>
      <left style="thick">
        <color rgb="FF002060"/>
      </left>
      <right style="double">
        <color indexed="64"/>
      </right>
      <top style="thin">
        <color rgb="FF002060"/>
      </top>
      <bottom style="thin">
        <color rgb="FF002060"/>
      </bottom>
      <diagonal/>
    </border>
    <border>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double">
        <color rgb="FF002060"/>
      </left>
      <right style="thin">
        <color rgb="FF002060"/>
      </right>
      <top style="thin">
        <color rgb="FF002060"/>
      </top>
      <bottom style="thin">
        <color rgb="FF002060"/>
      </bottom>
      <diagonal/>
    </border>
    <border>
      <left style="thick">
        <color rgb="FF002060"/>
      </left>
      <right style="medium">
        <color rgb="FF002060"/>
      </right>
      <top/>
      <bottom style="hair">
        <color rgb="FF002060"/>
      </bottom>
      <diagonal/>
    </border>
    <border>
      <left style="double">
        <color rgb="FF002060"/>
      </left>
      <right style="thin">
        <color rgb="FF002060"/>
      </right>
      <top style="thin">
        <color rgb="FF002060"/>
      </top>
      <bottom style="hair">
        <color rgb="FF002060"/>
      </bottom>
      <diagonal/>
    </border>
    <border>
      <left style="double">
        <color rgb="FF002060"/>
      </left>
      <right style="thin">
        <color rgb="FF002060"/>
      </right>
      <top/>
      <bottom/>
      <diagonal/>
    </border>
    <border>
      <left style="thin">
        <color rgb="FF002060"/>
      </left>
      <right style="thick">
        <color rgb="FF002060"/>
      </right>
      <top/>
      <bottom/>
      <diagonal/>
    </border>
    <border>
      <left style="thick">
        <color rgb="FF002060"/>
      </left>
      <right/>
      <top/>
      <bottom style="hair">
        <color rgb="FF002060"/>
      </bottom>
      <diagonal/>
    </border>
    <border>
      <left style="double">
        <color rgb="FF002060"/>
      </left>
      <right/>
      <top style="hair">
        <color rgb="FF002060"/>
      </top>
      <bottom style="hair">
        <color rgb="FF002060"/>
      </bottom>
      <diagonal/>
    </border>
    <border>
      <left style="thick">
        <color rgb="FF002060"/>
      </left>
      <right/>
      <top style="hair">
        <color rgb="FF002060"/>
      </top>
      <bottom style="double">
        <color rgb="FF002060"/>
      </bottom>
      <diagonal/>
    </border>
    <border>
      <left/>
      <right style="thin">
        <color rgb="FF002060"/>
      </right>
      <top style="hair">
        <color rgb="FF002060"/>
      </top>
      <bottom style="double">
        <color rgb="FF002060"/>
      </bottom>
      <diagonal/>
    </border>
    <border>
      <left style="thin">
        <color rgb="FF002060"/>
      </left>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double">
        <color rgb="FF002060"/>
      </left>
      <right style="thin">
        <color rgb="FF002060"/>
      </right>
      <top style="double">
        <color rgb="FF002060"/>
      </top>
      <bottom style="thick">
        <color rgb="FF002060"/>
      </bottom>
      <diagonal/>
    </border>
    <border>
      <left/>
      <right style="thin">
        <color rgb="FF002060"/>
      </right>
      <top style="hair">
        <color rgb="FF002060"/>
      </top>
      <bottom style="thick">
        <color rgb="FF002060"/>
      </bottom>
      <diagonal/>
    </border>
    <border>
      <left style="medium">
        <color rgb="FF002060"/>
      </left>
      <right/>
      <top style="medium">
        <color rgb="FF002060"/>
      </top>
      <bottom style="double">
        <color rgb="FF002060"/>
      </bottom>
      <diagonal/>
    </border>
    <border>
      <left style="medium">
        <color rgb="FF002060"/>
      </left>
      <right style="medium">
        <color rgb="FF002060"/>
      </right>
      <top style="medium">
        <color rgb="FF002060"/>
      </top>
      <bottom style="double">
        <color rgb="FF002060"/>
      </bottom>
      <diagonal/>
    </border>
    <border>
      <left style="medium">
        <color rgb="FF002060"/>
      </left>
      <right/>
      <top/>
      <bottom style="hair">
        <color rgb="FF002060"/>
      </bottom>
      <diagonal/>
    </border>
    <border>
      <left style="medium">
        <color rgb="FF002060"/>
      </left>
      <right style="medium">
        <color rgb="FF002060"/>
      </right>
      <top/>
      <bottom style="hair">
        <color rgb="FF002060"/>
      </bottom>
      <diagonal/>
    </border>
    <border>
      <left style="medium">
        <color rgb="FF002060"/>
      </left>
      <right/>
      <top style="hair">
        <color rgb="FF002060"/>
      </top>
      <bottom style="hair">
        <color rgb="FF002060"/>
      </bottom>
      <diagonal/>
    </border>
    <border>
      <left style="medium">
        <color rgb="FF002060"/>
      </left>
      <right style="medium">
        <color rgb="FF002060"/>
      </right>
      <top style="hair">
        <color rgb="FF002060"/>
      </top>
      <bottom style="hair">
        <color rgb="FF002060"/>
      </bottom>
      <diagonal/>
    </border>
    <border>
      <left style="medium">
        <color rgb="FF002060"/>
      </left>
      <right/>
      <top style="hair">
        <color rgb="FF002060"/>
      </top>
      <bottom style="medium">
        <color rgb="FF002060"/>
      </bottom>
      <diagonal/>
    </border>
    <border>
      <left style="medium">
        <color rgb="FF002060"/>
      </left>
      <right style="medium">
        <color rgb="FF002060"/>
      </right>
      <top style="hair">
        <color rgb="FF002060"/>
      </top>
      <bottom style="medium">
        <color rgb="FF002060"/>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thin">
        <color rgb="FF002060"/>
      </left>
      <right/>
      <top/>
      <bottom/>
      <diagonal/>
    </border>
    <border>
      <left style="thin">
        <color rgb="FF002060"/>
      </left>
      <right/>
      <top/>
      <bottom style="medium">
        <color rgb="FF002060"/>
      </bottom>
      <diagonal/>
    </border>
    <border>
      <left style="thin">
        <color rgb="FF002060"/>
      </left>
      <right/>
      <top style="medium">
        <color rgb="FF002060"/>
      </top>
      <bottom style="medium">
        <color rgb="FF002060"/>
      </bottom>
      <diagonal/>
    </border>
    <border>
      <left style="thin">
        <color indexed="64"/>
      </left>
      <right/>
      <top/>
      <bottom/>
      <diagonal/>
    </border>
    <border>
      <left/>
      <right style="medium">
        <color rgb="FF002060"/>
      </right>
      <top/>
      <bottom style="medium">
        <color rgb="FF002060"/>
      </bottom>
      <diagonal/>
    </border>
    <border>
      <left style="medium">
        <color rgb="FF002060"/>
      </left>
      <right style="medium">
        <color rgb="FF002060"/>
      </right>
      <top/>
      <bottom style="medium">
        <color indexed="64"/>
      </bottom>
      <diagonal/>
    </border>
    <border>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thick">
        <color rgb="FF002060"/>
      </left>
      <right style="double">
        <color rgb="FF002060"/>
      </right>
      <top/>
      <bottom style="medium">
        <color indexed="64"/>
      </bottom>
      <diagonal/>
    </border>
    <border>
      <left style="thick">
        <color rgb="FF002060"/>
      </left>
      <right style="double">
        <color rgb="FF002060"/>
      </right>
      <top style="thick">
        <color rgb="FF002060"/>
      </top>
      <bottom style="medium">
        <color rgb="FF002060"/>
      </bottom>
      <diagonal/>
    </border>
    <border>
      <left style="double">
        <color indexed="64"/>
      </left>
      <right style="medium">
        <color indexed="64"/>
      </right>
      <top/>
      <bottom/>
      <diagonal/>
    </border>
    <border>
      <left style="medium">
        <color indexed="64"/>
      </left>
      <right style="thick">
        <color rgb="FF002060"/>
      </right>
      <top/>
      <bottom/>
      <diagonal/>
    </border>
    <border>
      <left style="medium">
        <color rgb="FF002060"/>
      </left>
      <right style="medium">
        <color rgb="FF002060"/>
      </right>
      <top/>
      <bottom style="double">
        <color indexed="64"/>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thick">
        <color rgb="FF002060"/>
      </left>
      <right/>
      <top style="double">
        <color rgb="FF002060"/>
      </top>
      <bottom/>
      <diagonal/>
    </border>
    <border>
      <left style="medium">
        <color rgb="FF002060"/>
      </left>
      <right/>
      <top style="double">
        <color rgb="FF002060"/>
      </top>
      <bottom/>
      <diagonal/>
    </border>
    <border>
      <left/>
      <right style="thick">
        <color rgb="FF002060"/>
      </right>
      <top style="double">
        <color rgb="FF002060"/>
      </top>
      <bottom/>
      <diagonal/>
    </border>
    <border>
      <left style="medium">
        <color rgb="FF002060"/>
      </left>
      <right style="medium">
        <color rgb="FF002060"/>
      </right>
      <top/>
      <bottom style="double">
        <color rgb="FF002060"/>
      </bottom>
      <diagonal/>
    </border>
    <border>
      <left style="medium">
        <color rgb="FF002060"/>
      </left>
      <right style="thick">
        <color rgb="FF002060"/>
      </right>
      <top/>
      <bottom style="double">
        <color rgb="FF002060"/>
      </bottom>
      <diagonal/>
    </border>
    <border>
      <left style="thick">
        <color rgb="FF002060"/>
      </left>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style="medium">
        <color rgb="FF002060"/>
      </left>
      <right style="medium">
        <color rgb="FF002060"/>
      </right>
      <top style="thick">
        <color rgb="FF002060"/>
      </top>
      <bottom style="medium">
        <color indexed="64"/>
      </bottom>
      <diagonal/>
    </border>
    <border>
      <left style="medium">
        <color rgb="FF002060"/>
      </left>
      <right style="medium">
        <color rgb="FF002060"/>
      </right>
      <top style="medium">
        <color indexed="64"/>
      </top>
      <bottom/>
      <diagonal/>
    </border>
    <border>
      <left style="thick">
        <color rgb="FF002060"/>
      </left>
      <right style="medium">
        <color rgb="FF002060"/>
      </right>
      <top style="double">
        <color rgb="FF002060"/>
      </top>
      <bottom/>
      <diagonal/>
    </border>
    <border>
      <left style="thin">
        <color indexed="64"/>
      </left>
      <right style="medium">
        <color indexed="64"/>
      </right>
      <top style="thick">
        <color rgb="FF002060"/>
      </top>
      <bottom style="medium">
        <color rgb="FF002060"/>
      </bottom>
      <diagonal/>
    </border>
    <border>
      <left/>
      <right style="medium">
        <color indexed="64"/>
      </right>
      <top/>
      <bottom style="medium">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top/>
      <bottom style="double">
        <color indexed="64"/>
      </bottom>
      <diagonal/>
    </border>
    <border>
      <left/>
      <right style="medium">
        <color indexed="64"/>
      </right>
      <top style="medium">
        <color indexed="64"/>
      </top>
      <bottom/>
      <diagonal/>
    </border>
    <border>
      <left style="thick">
        <color rgb="FF002060"/>
      </left>
      <right style="medium">
        <color rgb="FF002060"/>
      </right>
      <top style="thick">
        <color rgb="FF002060"/>
      </top>
      <bottom style="thin">
        <color indexed="64"/>
      </bottom>
      <diagonal/>
    </border>
    <border>
      <left style="medium">
        <color rgb="FF002060"/>
      </left>
      <right style="medium">
        <color rgb="FF002060"/>
      </right>
      <top style="thick">
        <color rgb="FF002060"/>
      </top>
      <bottom style="thin">
        <color indexed="64"/>
      </bottom>
      <diagonal/>
    </border>
    <border>
      <left style="medium">
        <color rgb="FF002060"/>
      </left>
      <right style="thick">
        <color rgb="FF002060"/>
      </right>
      <top style="thick">
        <color rgb="FF002060"/>
      </top>
      <bottom style="thin">
        <color indexed="64"/>
      </bottom>
      <diagonal/>
    </border>
    <border>
      <left style="thick">
        <color rgb="FF002060"/>
      </left>
      <right style="double">
        <color rgb="FF002060"/>
      </right>
      <top style="thick">
        <color rgb="FF002060"/>
      </top>
      <bottom style="double">
        <color rgb="FF002060"/>
      </bottom>
      <diagonal/>
    </border>
    <border>
      <left/>
      <right style="thick">
        <color rgb="FF002060"/>
      </right>
      <top style="thick">
        <color rgb="FF002060"/>
      </top>
      <bottom style="double">
        <color rgb="FF002060"/>
      </bottom>
      <diagonal/>
    </border>
    <border>
      <left style="thick">
        <color rgb="FF002060"/>
      </left>
      <right style="thick">
        <color rgb="FF002060"/>
      </right>
      <top style="thick">
        <color rgb="FF002060"/>
      </top>
      <bottom style="double">
        <color rgb="FF002060"/>
      </bottom>
      <diagonal/>
    </border>
    <border>
      <left/>
      <right style="medium">
        <color rgb="FF002060"/>
      </right>
      <top/>
      <bottom style="double">
        <color rgb="FF002060"/>
      </bottom>
      <diagonal/>
    </border>
    <border>
      <left style="thick">
        <color rgb="FF002060"/>
      </left>
      <right style="double">
        <color rgb="FF002060"/>
      </right>
      <top style="medium">
        <color rgb="FF002060"/>
      </top>
      <bottom style="thick">
        <color rgb="FF002060"/>
      </bottom>
      <diagonal/>
    </border>
    <border>
      <left style="thick">
        <color rgb="FF002060"/>
      </left>
      <right style="thick">
        <color rgb="FF002060"/>
      </right>
      <top style="thick">
        <color rgb="FF002060"/>
      </top>
      <bottom style="thick">
        <color rgb="FF002060"/>
      </bottom>
      <diagonal/>
    </border>
    <border>
      <left style="double">
        <color rgb="FF002060"/>
      </left>
      <right style="medium">
        <color rgb="FF002060"/>
      </right>
      <top/>
      <bottom style="medium">
        <color rgb="FF002060"/>
      </bottom>
      <diagonal/>
    </border>
    <border>
      <left style="thick">
        <color rgb="FF002060"/>
      </left>
      <right style="double">
        <color rgb="FF002060"/>
      </right>
      <top/>
      <bottom style="thin">
        <color rgb="FF002060"/>
      </bottom>
      <diagonal/>
    </border>
    <border>
      <left style="double">
        <color rgb="FF002060"/>
      </left>
      <right/>
      <top style="medium">
        <color rgb="FF002060"/>
      </top>
      <bottom/>
      <diagonal/>
    </border>
    <border>
      <left/>
      <right style="thick">
        <color rgb="FF002060"/>
      </right>
      <top style="medium">
        <color rgb="FF002060"/>
      </top>
      <bottom style="thin">
        <color indexed="64"/>
      </bottom>
      <diagonal/>
    </border>
    <border>
      <left style="double">
        <color rgb="FF002060"/>
      </left>
      <right style="medium">
        <color rgb="FF002060"/>
      </right>
      <top style="thin">
        <color rgb="FF002060"/>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thick">
        <color rgb="FF002060"/>
      </right>
      <top/>
      <bottom style="thin">
        <color rgb="FF002060"/>
      </bottom>
      <diagonal/>
    </border>
    <border>
      <left style="double">
        <color rgb="FF002060"/>
      </left>
      <right/>
      <top style="medium">
        <color rgb="FF002060"/>
      </top>
      <bottom style="thick">
        <color rgb="FF002060"/>
      </bottom>
      <diagonal/>
    </border>
    <border>
      <left style="thick">
        <color rgb="FF002060"/>
      </left>
      <right style="double">
        <color rgb="FF002060"/>
      </right>
      <top/>
      <bottom style="double">
        <color rgb="FF002060"/>
      </bottom>
      <diagonal/>
    </border>
    <border>
      <left style="double">
        <color rgb="FF002060"/>
      </left>
      <right/>
      <top style="thick">
        <color rgb="FF002060"/>
      </top>
      <bottom/>
      <diagonal/>
    </border>
    <border>
      <left style="double">
        <color rgb="FF002060"/>
      </left>
      <right/>
      <top/>
      <bottom style="medium">
        <color rgb="FF002060"/>
      </bottom>
      <diagonal/>
    </border>
    <border>
      <left/>
      <right style="thin">
        <color rgb="FF002060"/>
      </right>
      <top style="medium">
        <color rgb="FF002060"/>
      </top>
      <bottom style="medium">
        <color rgb="FF002060"/>
      </bottom>
      <diagonal/>
    </border>
    <border>
      <left/>
      <right/>
      <top style="medium">
        <color rgb="FF002060"/>
      </top>
      <bottom style="thick">
        <color rgb="FF002060"/>
      </bottom>
      <diagonal/>
    </border>
    <border>
      <left style="double">
        <color rgb="FF002060"/>
      </left>
      <right style="medium">
        <color rgb="FF002060"/>
      </right>
      <top/>
      <bottom style="double">
        <color rgb="FF002060"/>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indexed="64"/>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medium">
        <color rgb="FF002060"/>
      </left>
      <right style="thick">
        <color rgb="FF002060"/>
      </right>
      <top style="thin">
        <color indexed="64"/>
      </top>
      <bottom/>
      <diagonal/>
    </border>
    <border>
      <left style="thick">
        <color rgb="FF002060"/>
      </left>
      <right style="medium">
        <color rgb="FF002060"/>
      </right>
      <top/>
      <bottom style="double">
        <color rgb="FF002060"/>
      </bottom>
      <diagonal/>
    </border>
    <border>
      <left style="thick">
        <color rgb="FF002060"/>
      </left>
      <right style="medium">
        <color rgb="FF002060"/>
      </right>
      <top style="double">
        <color indexed="64"/>
      </top>
      <bottom/>
      <diagonal/>
    </border>
    <border>
      <left style="medium">
        <color theme="8" tint="-0.499984740745262"/>
      </left>
      <right/>
      <top style="thick">
        <color rgb="FF002060"/>
      </top>
      <bottom style="medium">
        <color theme="8" tint="-0.499984740745262"/>
      </bottom>
      <diagonal/>
    </border>
    <border>
      <left/>
      <right/>
      <top style="thick">
        <color rgb="FF002060"/>
      </top>
      <bottom style="medium">
        <color theme="8" tint="-0.499984740745262"/>
      </bottom>
      <diagonal/>
    </border>
    <border>
      <left style="double">
        <color theme="8" tint="-0.499984740745262"/>
      </left>
      <right/>
      <top style="thick">
        <color rgb="FF002060"/>
      </top>
      <bottom style="medium">
        <color theme="8" tint="-0.499984740745262"/>
      </bottom>
      <diagonal/>
    </border>
    <border>
      <left/>
      <right style="thick">
        <color rgb="FF002060"/>
      </right>
      <top style="thick">
        <color rgb="FF002060"/>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rgb="FF002060"/>
      </right>
      <top/>
      <bottom/>
      <diagonal/>
    </border>
    <border>
      <left style="medium">
        <color theme="8" tint="-0.499984740745262"/>
      </left>
      <right style="medium">
        <color theme="8" tint="-0.499984740745262"/>
      </right>
      <top/>
      <bottom/>
      <diagonal/>
    </border>
    <border>
      <left style="medium">
        <color theme="8" tint="-0.499984740745262"/>
      </left>
      <right style="medium">
        <color theme="8" tint="-0.499984740745262"/>
      </right>
      <top/>
      <bottom style="medium">
        <color rgb="FF002060"/>
      </bottom>
      <diagonal/>
    </border>
    <border>
      <left style="double">
        <color theme="8" tint="-0.499984740745262"/>
      </left>
      <right style="medium">
        <color rgb="FF002060"/>
      </right>
      <top/>
      <bottom style="medium">
        <color rgb="FF002060"/>
      </bottom>
      <diagonal/>
    </border>
    <border>
      <left style="double">
        <color theme="8" tint="-0.499984740745262"/>
      </left>
      <right style="medium">
        <color theme="8" tint="-0.499984740745262"/>
      </right>
      <top/>
      <bottom/>
      <diagonal/>
    </border>
    <border>
      <left style="medium">
        <color theme="8" tint="-0.499984740745262"/>
      </left>
      <right style="thick">
        <color rgb="FF002060"/>
      </right>
      <top/>
      <bottom/>
      <diagonal/>
    </border>
    <border>
      <left style="medium">
        <color theme="8" tint="-0.499984740745262"/>
      </left>
      <right style="thick">
        <color theme="8" tint="-0.499984740745262"/>
      </right>
      <top/>
      <bottom/>
      <diagonal/>
    </border>
    <border>
      <left style="medium">
        <color theme="8" tint="-0.499984740745262"/>
      </left>
      <right style="medium">
        <color theme="8" tint="-0.499984740745262"/>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rgb="FF002060"/>
      </right>
      <top/>
      <bottom style="thick">
        <color rgb="FF002060"/>
      </bottom>
      <diagonal/>
    </border>
    <border>
      <left/>
      <right/>
      <top style="thin">
        <color indexed="64"/>
      </top>
      <bottom style="double">
        <color indexed="64"/>
      </bottom>
      <diagonal/>
    </border>
    <border>
      <left style="thick">
        <color rgb="FF002060"/>
      </left>
      <right style="medium">
        <color rgb="FF002060"/>
      </right>
      <top/>
      <bottom style="thin">
        <color rgb="FF002060"/>
      </bottom>
      <diagonal/>
    </border>
    <border>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thick">
        <color rgb="FF002060"/>
      </right>
      <top/>
      <bottom style="thin">
        <color rgb="FF002060"/>
      </bottom>
      <diagonal/>
    </border>
    <border>
      <left style="medium">
        <color rgb="FF002060"/>
      </left>
      <right style="medium">
        <color rgb="FF002060"/>
      </right>
      <top style="thin">
        <color rgb="FF002060"/>
      </top>
      <bottom/>
      <diagonal/>
    </border>
    <border>
      <left style="medium">
        <color rgb="FF002060"/>
      </left>
      <right/>
      <top style="thin">
        <color rgb="FF002060"/>
      </top>
      <bottom/>
      <diagonal/>
    </border>
    <border>
      <left/>
      <right/>
      <top style="thin">
        <color rgb="FF002060"/>
      </top>
      <bottom/>
      <diagonal/>
    </border>
    <border>
      <left/>
      <right style="medium">
        <color rgb="FF002060"/>
      </right>
      <top style="thin">
        <color rgb="FF002060"/>
      </top>
      <bottom/>
      <diagonal/>
    </border>
    <border>
      <left style="thick">
        <color rgb="FF002060"/>
      </left>
      <right style="medium">
        <color rgb="FF002060"/>
      </right>
      <top style="thin">
        <color rgb="FF002060"/>
      </top>
      <bottom/>
      <diagonal/>
    </border>
    <border>
      <left/>
      <right style="thick">
        <color rgb="FF002060"/>
      </right>
      <top style="thin">
        <color rgb="FF002060"/>
      </top>
      <bottom/>
      <diagonal/>
    </border>
    <border>
      <left style="medium">
        <color rgb="FF002060"/>
      </left>
      <right style="thick">
        <color rgb="FF002060"/>
      </right>
      <top style="thick">
        <color rgb="FF002060"/>
      </top>
      <bottom style="thick">
        <color rgb="FF002060"/>
      </bottom>
      <diagonal/>
    </border>
    <border>
      <left style="thick">
        <color rgb="FF002060"/>
      </left>
      <right style="double">
        <color rgb="FF002060"/>
      </right>
      <top style="thick">
        <color rgb="FF002060"/>
      </top>
      <bottom style="thick">
        <color rgb="FF002060"/>
      </bottom>
      <diagonal/>
    </border>
    <border>
      <left style="double">
        <color rgb="FF002060"/>
      </left>
      <right/>
      <top style="thick">
        <color rgb="FF002060"/>
      </top>
      <bottom style="thick">
        <color rgb="FF002060"/>
      </bottom>
      <diagonal/>
    </border>
    <border>
      <left style="double">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ck">
        <color rgb="FF002060"/>
      </left>
      <right style="double">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double">
        <color rgb="FF002060"/>
      </right>
      <top style="medium">
        <color rgb="FF002060"/>
      </top>
      <bottom/>
      <diagonal/>
    </border>
    <border>
      <left style="thick">
        <color rgb="FF002060"/>
      </left>
      <right style="double">
        <color rgb="FF002060"/>
      </right>
      <top/>
      <bottom style="medium">
        <color rgb="FF002060"/>
      </bottom>
      <diagonal/>
    </border>
    <border>
      <left style="double">
        <color rgb="FF002060"/>
      </left>
      <right/>
      <top style="medium">
        <color rgb="FF002060"/>
      </top>
      <bottom style="medium">
        <color rgb="FF002060"/>
      </bottom>
      <diagonal/>
    </border>
    <border>
      <left style="medium">
        <color rgb="FF002060"/>
      </left>
      <right style="double">
        <color rgb="FF002060"/>
      </right>
      <top/>
      <bottom style="double">
        <color rgb="FF002060"/>
      </bottom>
      <diagonal/>
    </border>
    <border>
      <left style="double">
        <color rgb="FF002060"/>
      </left>
      <right/>
      <top/>
      <bottom style="double">
        <color rgb="FF002060"/>
      </bottom>
      <diagonal/>
    </border>
    <border>
      <left/>
      <right/>
      <top/>
      <bottom style="double">
        <color rgb="FF002060"/>
      </bottom>
      <diagonal/>
    </border>
    <border>
      <left style="double">
        <color rgb="FF002060"/>
      </left>
      <right style="thin">
        <color indexed="64"/>
      </right>
      <top/>
      <bottom/>
      <diagonal/>
    </border>
    <border>
      <left style="medium">
        <color indexed="64"/>
      </left>
      <right style="thin">
        <color indexed="64"/>
      </right>
      <top/>
      <bottom/>
      <diagonal/>
    </border>
    <border>
      <left/>
      <right style="medium">
        <color rgb="FF002060"/>
      </right>
      <top style="medium">
        <color indexed="64"/>
      </top>
      <bottom/>
      <diagonal/>
    </border>
    <border>
      <left style="medium">
        <color rgb="FF002060"/>
      </left>
      <right style="double">
        <color rgb="FF002060"/>
      </right>
      <top/>
      <bottom style="double">
        <color indexed="64"/>
      </bottom>
      <diagonal/>
    </border>
    <border>
      <left style="double">
        <color rgb="FF002060"/>
      </left>
      <right style="medium">
        <color rgb="FF002060"/>
      </right>
      <top/>
      <bottom style="double">
        <color indexed="64"/>
      </bottom>
      <diagonal/>
    </border>
    <border>
      <left style="medium">
        <color rgb="FF002060"/>
      </left>
      <right style="double">
        <color rgb="FF002060"/>
      </right>
      <top/>
      <bottom style="medium">
        <color indexed="64"/>
      </bottom>
      <diagonal/>
    </border>
    <border>
      <left style="double">
        <color rgb="FF002060"/>
      </left>
      <right style="thick">
        <color rgb="FF002060"/>
      </right>
      <top/>
      <bottom/>
      <diagonal/>
    </border>
  </borders>
  <cellStyleXfs count="72">
    <xf numFmtId="0" fontId="0" fillId="0" borderId="0"/>
    <xf numFmtId="43" fontId="1" fillId="0" borderId="0" applyFont="0" applyFill="0" applyBorder="0" applyAlignment="0" applyProtection="0"/>
    <xf numFmtId="0" fontId="2" fillId="0" borderId="0"/>
    <xf numFmtId="0" fontId="1" fillId="0" borderId="0"/>
    <xf numFmtId="0" fontId="1" fillId="0" borderId="0"/>
    <xf numFmtId="0" fontId="15" fillId="0" borderId="0"/>
    <xf numFmtId="0" fontId="1" fillId="0" borderId="0"/>
    <xf numFmtId="0" fontId="2" fillId="0" borderId="0"/>
    <xf numFmtId="0" fontId="2" fillId="0" borderId="0"/>
    <xf numFmtId="0" fontId="2" fillId="0" borderId="0"/>
    <xf numFmtId="9" fontId="1" fillId="0" borderId="0" applyFont="0" applyFill="0" applyBorder="0" applyAlignment="0" applyProtection="0"/>
    <xf numFmtId="0" fontId="2" fillId="0" borderId="0"/>
    <xf numFmtId="0" fontId="2" fillId="0" borderId="0"/>
    <xf numFmtId="0" fontId="3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180" fontId="2" fillId="0" borderId="0" applyFont="0" applyFill="0" applyBorder="0" applyAlignment="0" applyProtection="0"/>
    <xf numFmtId="0" fontId="1" fillId="0" borderId="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1" fillId="0" borderId="0"/>
    <xf numFmtId="0" fontId="1" fillId="0" borderId="0"/>
    <xf numFmtId="43" fontId="51" fillId="0" borderId="0" applyFont="0" applyFill="0" applyBorder="0" applyAlignment="0" applyProtection="0"/>
    <xf numFmtId="0" fontId="51" fillId="0" borderId="0"/>
    <xf numFmtId="0" fontId="1" fillId="0" borderId="0"/>
    <xf numFmtId="180" fontId="2"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2" fillId="0" borderId="0"/>
    <xf numFmtId="0" fontId="51" fillId="0" borderId="0"/>
    <xf numFmtId="0" fontId="70" fillId="0" borderId="0" applyNumberForma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85" fillId="0" borderId="0"/>
    <xf numFmtId="0" fontId="85" fillId="0" borderId="0"/>
    <xf numFmtId="0" fontId="85" fillId="0" borderId="0"/>
    <xf numFmtId="180" fontId="1" fillId="0" borderId="0" applyFont="0" applyFill="0" applyBorder="0" applyAlignment="0" applyProtection="0"/>
    <xf numFmtId="0" fontId="2" fillId="0" borderId="0"/>
    <xf numFmtId="43" fontId="1" fillId="0" borderId="0" applyFont="0" applyFill="0" applyBorder="0" applyAlignment="0" applyProtection="0"/>
    <xf numFmtId="43" fontId="108" fillId="0" borderId="0" applyFont="0" applyFill="0" applyBorder="0" applyAlignment="0" applyProtection="0"/>
    <xf numFmtId="0" fontId="2" fillId="0" borderId="0"/>
    <xf numFmtId="43" fontId="2" fillId="0" borderId="0" applyFont="0" applyFill="0" applyBorder="0" applyAlignment="0" applyProtection="0"/>
    <xf numFmtId="0" fontId="108" fillId="0" borderId="0"/>
    <xf numFmtId="0" fontId="108" fillId="0" borderId="0"/>
    <xf numFmtId="0" fontId="2" fillId="0" borderId="0"/>
    <xf numFmtId="43" fontId="2" fillId="0" borderId="0" applyFont="0" applyFill="0" applyBorder="0" applyAlignment="0" applyProtection="0"/>
    <xf numFmtId="43" fontId="1" fillId="0" borderId="0" applyFont="0" applyFill="0" applyBorder="0" applyAlignment="0" applyProtection="0"/>
    <xf numFmtId="40" fontId="85" fillId="0" borderId="0" applyFont="0" applyFill="0" applyBorder="0" applyAlignment="0" applyProtection="0"/>
    <xf numFmtId="0" fontId="70" fillId="0" borderId="0" applyNumberFormat="0" applyFill="0" applyBorder="0" applyAlignment="0" applyProtection="0"/>
    <xf numFmtId="180" fontId="2"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0" fontId="85" fillId="0" borderId="0"/>
    <xf numFmtId="0" fontId="2" fillId="0" borderId="0"/>
    <xf numFmtId="0" fontId="131" fillId="0" borderId="0"/>
    <xf numFmtId="0" fontId="131" fillId="0" borderId="0"/>
    <xf numFmtId="0" fontId="2" fillId="0" borderId="0"/>
    <xf numFmtId="0" fontId="2" fillId="0" borderId="0"/>
    <xf numFmtId="0" fontId="82" fillId="0" borderId="0"/>
    <xf numFmtId="0" fontId="2" fillId="0" borderId="0"/>
    <xf numFmtId="0" fontId="85" fillId="0" borderId="0"/>
    <xf numFmtId="43" fontId="15" fillId="0" borderId="0" applyFont="0" applyFill="0" applyBorder="0" applyAlignment="0" applyProtection="0"/>
    <xf numFmtId="0" fontId="85" fillId="0" borderId="0"/>
  </cellStyleXfs>
  <cellXfs count="3579">
    <xf numFmtId="0" fontId="0" fillId="0" borderId="0" xfId="0"/>
    <xf numFmtId="0" fontId="3" fillId="2" borderId="0" xfId="2" applyFont="1" applyFill="1" applyAlignment="1">
      <alignment vertical="center"/>
    </xf>
    <xf numFmtId="0" fontId="3" fillId="2" borderId="0" xfId="2" applyFont="1" applyFill="1" applyAlignment="1">
      <alignment horizontal="center" vertical="center"/>
    </xf>
    <xf numFmtId="0" fontId="3" fillId="0" borderId="0" xfId="2" applyFont="1" applyAlignment="1">
      <alignment vertical="center"/>
    </xf>
    <xf numFmtId="164" fontId="3" fillId="2" borderId="0" xfId="2" applyNumberFormat="1" applyFont="1" applyFill="1" applyAlignment="1">
      <alignment vertical="center"/>
    </xf>
    <xf numFmtId="0" fontId="4" fillId="0" borderId="0" xfId="3" applyFont="1" applyAlignment="1">
      <alignment vertical="center"/>
    </xf>
    <xf numFmtId="0" fontId="4" fillId="2" borderId="0" xfId="2" applyFont="1" applyFill="1" applyAlignment="1">
      <alignment vertical="center"/>
    </xf>
    <xf numFmtId="0" fontId="5" fillId="0" borderId="0" xfId="3" applyFont="1" applyAlignment="1">
      <alignment vertical="center"/>
    </xf>
    <xf numFmtId="0" fontId="4" fillId="0" borderId="0" xfId="3" applyFont="1" applyAlignment="1">
      <alignment horizontal="left" vertical="center"/>
    </xf>
    <xf numFmtId="0" fontId="6" fillId="0" borderId="0" xfId="3" applyFont="1" applyAlignment="1">
      <alignment horizontal="left" vertical="center"/>
    </xf>
    <xf numFmtId="164" fontId="7" fillId="0" borderId="1" xfId="3" applyNumberFormat="1" applyFont="1" applyBorder="1" applyAlignment="1">
      <alignment horizontal="center" vertical="center"/>
    </xf>
    <xf numFmtId="164" fontId="7" fillId="0" borderId="2" xfId="3" applyNumberFormat="1" applyFont="1" applyBorder="1" applyAlignment="1">
      <alignment horizontal="center" vertical="center"/>
    </xf>
    <xf numFmtId="17" fontId="8" fillId="3" borderId="3" xfId="3" applyNumberFormat="1" applyFont="1" applyFill="1" applyBorder="1" applyAlignment="1">
      <alignment horizontal="left" vertical="center"/>
    </xf>
    <xf numFmtId="164" fontId="7" fillId="0" borderId="4" xfId="3" applyNumberFormat="1" applyFont="1" applyBorder="1" applyAlignment="1">
      <alignment horizontal="center" vertical="center"/>
    </xf>
    <xf numFmtId="164" fontId="7" fillId="0" borderId="5" xfId="3" applyNumberFormat="1" applyFont="1" applyBorder="1" applyAlignment="1">
      <alignment horizontal="center" vertical="center"/>
    </xf>
    <xf numFmtId="17" fontId="8" fillId="3" borderId="6" xfId="3" applyNumberFormat="1" applyFont="1" applyFill="1" applyBorder="1" applyAlignment="1">
      <alignment horizontal="left" vertical="center"/>
    </xf>
    <xf numFmtId="164" fontId="5" fillId="0" borderId="0" xfId="3" applyNumberFormat="1" applyFont="1" applyAlignment="1">
      <alignment vertical="center"/>
    </xf>
    <xf numFmtId="0" fontId="9" fillId="0" borderId="0" xfId="3" applyFont="1" applyAlignment="1">
      <alignment vertical="center"/>
    </xf>
    <xf numFmtId="164" fontId="9" fillId="0" borderId="0" xfId="3" applyNumberFormat="1" applyFont="1" applyAlignment="1">
      <alignment horizontal="center" vertical="center"/>
    </xf>
    <xf numFmtId="17" fontId="8" fillId="4" borderId="6" xfId="3" applyNumberFormat="1" applyFont="1" applyFill="1" applyBorder="1" applyAlignment="1">
      <alignment horizontal="left" vertical="center"/>
    </xf>
    <xf numFmtId="17" fontId="8" fillId="5" borderId="6" xfId="3" applyNumberFormat="1" applyFont="1" applyFill="1" applyBorder="1" applyAlignment="1">
      <alignment horizontal="left" vertical="center"/>
    </xf>
    <xf numFmtId="165" fontId="9" fillId="0" borderId="0" xfId="3" applyNumberFormat="1" applyFont="1" applyAlignment="1">
      <alignment horizontal="center" vertical="center"/>
    </xf>
    <xf numFmtId="165" fontId="7" fillId="0" borderId="4" xfId="3" applyNumberFormat="1" applyFont="1" applyBorder="1" applyAlignment="1">
      <alignment horizontal="center" vertical="center"/>
    </xf>
    <xf numFmtId="165" fontId="7" fillId="0" borderId="5" xfId="3" applyNumberFormat="1" applyFont="1" applyBorder="1" applyAlignment="1">
      <alignment horizontal="center" vertical="center"/>
    </xf>
    <xf numFmtId="0" fontId="9" fillId="3" borderId="9" xfId="3" applyFont="1" applyFill="1" applyBorder="1" applyAlignment="1">
      <alignment vertical="center"/>
    </xf>
    <xf numFmtId="0" fontId="8" fillId="3" borderId="6" xfId="3" applyFont="1" applyFill="1" applyBorder="1" applyAlignment="1">
      <alignment vertical="center"/>
    </xf>
    <xf numFmtId="0" fontId="9" fillId="3" borderId="14" xfId="3" applyFont="1" applyFill="1" applyBorder="1" applyAlignment="1">
      <alignment vertical="center"/>
    </xf>
    <xf numFmtId="0" fontId="10" fillId="0" borderId="0" xfId="3" applyFont="1" applyAlignment="1">
      <alignment vertical="center"/>
    </xf>
    <xf numFmtId="0" fontId="11" fillId="0" borderId="0" xfId="3" applyFont="1" applyAlignment="1">
      <alignment horizontal="center" vertical="center"/>
    </xf>
    <xf numFmtId="0" fontId="12" fillId="0" borderId="0" xfId="3" applyFont="1" applyAlignment="1">
      <alignment horizontal="center" vertical="center"/>
    </xf>
    <xf numFmtId="0" fontId="12" fillId="0" borderId="0" xfId="3" applyFont="1" applyAlignment="1">
      <alignment horizontal="left" vertical="center"/>
    </xf>
    <xf numFmtId="0" fontId="9" fillId="2" borderId="0" xfId="4" applyFont="1" applyFill="1"/>
    <xf numFmtId="0" fontId="9" fillId="2" borderId="15" xfId="4" applyFont="1" applyFill="1" applyBorder="1"/>
    <xf numFmtId="14" fontId="9" fillId="2" borderId="0" xfId="4" applyNumberFormat="1" applyFont="1" applyFill="1"/>
    <xf numFmtId="0" fontId="5" fillId="2" borderId="0" xfId="4" applyFont="1" applyFill="1" applyAlignment="1">
      <alignment vertical="center"/>
    </xf>
    <xf numFmtId="0" fontId="4" fillId="2" borderId="0" xfId="4" applyFont="1" applyFill="1" applyAlignment="1">
      <alignment vertical="center"/>
    </xf>
    <xf numFmtId="0" fontId="5" fillId="2" borderId="0" xfId="4" applyFont="1" applyFill="1"/>
    <xf numFmtId="0" fontId="4" fillId="2" borderId="0" xfId="4" applyFont="1" applyFill="1"/>
    <xf numFmtId="0" fontId="4" fillId="2" borderId="0" xfId="4" applyFont="1" applyFill="1" applyAlignment="1">
      <alignment horizontal="left"/>
    </xf>
    <xf numFmtId="0" fontId="9" fillId="2" borderId="2" xfId="4" applyFont="1" applyFill="1" applyBorder="1"/>
    <xf numFmtId="0" fontId="7" fillId="2" borderId="2" xfId="4" applyFont="1" applyFill="1" applyBorder="1"/>
    <xf numFmtId="0" fontId="7" fillId="2" borderId="16" xfId="4" applyFont="1" applyFill="1" applyBorder="1"/>
    <xf numFmtId="164" fontId="7" fillId="2" borderId="2" xfId="4" applyNumberFormat="1" applyFont="1" applyFill="1" applyBorder="1"/>
    <xf numFmtId="0" fontId="14" fillId="2" borderId="2" xfId="4" applyFont="1" applyFill="1" applyBorder="1"/>
    <xf numFmtId="0" fontId="9" fillId="3" borderId="3" xfId="4" applyFont="1" applyFill="1" applyBorder="1" applyAlignment="1">
      <alignment horizontal="left"/>
    </xf>
    <xf numFmtId="164" fontId="9" fillId="2" borderId="5" xfId="4" applyNumberFormat="1" applyFont="1" applyFill="1" applyBorder="1"/>
    <xf numFmtId="164" fontId="7" fillId="2" borderId="5" xfId="4" applyNumberFormat="1" applyFont="1" applyFill="1" applyBorder="1"/>
    <xf numFmtId="164" fontId="7" fillId="2" borderId="0" xfId="4" applyNumberFormat="1" applyFont="1" applyFill="1" applyBorder="1"/>
    <xf numFmtId="0" fontId="8" fillId="3" borderId="6" xfId="4" applyFont="1" applyFill="1" applyBorder="1" applyAlignment="1">
      <alignment horizontal="left"/>
    </xf>
    <xf numFmtId="0" fontId="7" fillId="2" borderId="5" xfId="4" applyFont="1" applyFill="1" applyBorder="1"/>
    <xf numFmtId="164" fontId="7" fillId="2" borderId="5" xfId="4" applyNumberFormat="1" applyFont="1" applyFill="1" applyBorder="1" applyAlignment="1">
      <alignment horizontal="right"/>
    </xf>
    <xf numFmtId="0" fontId="8" fillId="3" borderId="11" xfId="4" applyFont="1" applyFill="1" applyBorder="1" applyAlignment="1">
      <alignment horizontal="center"/>
    </xf>
    <xf numFmtId="0" fontId="8" fillId="3" borderId="9" xfId="4" applyFont="1" applyFill="1" applyBorder="1" applyAlignment="1">
      <alignment horizontal="center"/>
    </xf>
    <xf numFmtId="17" fontId="8" fillId="3" borderId="13" xfId="4" applyNumberFormat="1" applyFont="1" applyFill="1" applyBorder="1" applyAlignment="1">
      <alignment horizontal="center"/>
    </xf>
    <xf numFmtId="165" fontId="8" fillId="3" borderId="13" xfId="4" applyNumberFormat="1" applyFont="1" applyFill="1" applyBorder="1" applyAlignment="1">
      <alignment horizontal="center"/>
    </xf>
    <xf numFmtId="0" fontId="8" fillId="3" borderId="14" xfId="4" applyFont="1" applyFill="1" applyBorder="1" applyAlignment="1">
      <alignment horizontal="center"/>
    </xf>
    <xf numFmtId="0" fontId="10" fillId="2" borderId="0" xfId="4" applyFont="1" applyFill="1"/>
    <xf numFmtId="0" fontId="12" fillId="2" borderId="0" xfId="4" applyFont="1" applyFill="1" applyAlignment="1">
      <alignment horizontal="left"/>
    </xf>
    <xf numFmtId="166" fontId="4" fillId="2" borderId="0" xfId="4" applyNumberFormat="1" applyFont="1" applyFill="1"/>
    <xf numFmtId="0" fontId="4" fillId="2" borderId="0" xfId="4" applyFont="1" applyFill="1" applyAlignment="1">
      <alignment horizontal="right"/>
    </xf>
    <xf numFmtId="0" fontId="3" fillId="2" borderId="0" xfId="2" applyFont="1" applyFill="1"/>
    <xf numFmtId="14" fontId="3" fillId="2" borderId="0" xfId="2" applyNumberFormat="1" applyFont="1" applyFill="1"/>
    <xf numFmtId="0" fontId="3" fillId="2" borderId="0" xfId="2" applyFont="1" applyFill="1" applyAlignment="1">
      <alignment horizontal="center"/>
    </xf>
    <xf numFmtId="0" fontId="4" fillId="2" borderId="0" xfId="2" applyFont="1" applyFill="1"/>
    <xf numFmtId="166" fontId="4" fillId="2" borderId="0" xfId="2" applyNumberFormat="1" applyFont="1" applyFill="1"/>
    <xf numFmtId="167" fontId="4" fillId="2" borderId="0" xfId="2" applyNumberFormat="1" applyFont="1" applyFill="1" applyAlignment="1">
      <alignment horizontal="right"/>
    </xf>
    <xf numFmtId="166" fontId="4" fillId="2" borderId="0" xfId="2" applyNumberFormat="1" applyFont="1" applyFill="1" applyBorder="1"/>
    <xf numFmtId="165" fontId="4" fillId="2" borderId="0" xfId="2" applyNumberFormat="1" applyFont="1" applyFill="1"/>
    <xf numFmtId="165" fontId="4" fillId="2" borderId="0" xfId="2" applyNumberFormat="1" applyFont="1" applyFill="1" applyAlignment="1">
      <alignment horizontal="right"/>
    </xf>
    <xf numFmtId="166" fontId="4" fillId="2" borderId="18" xfId="2" applyNumberFormat="1" applyFont="1" applyFill="1" applyBorder="1"/>
    <xf numFmtId="168" fontId="17" fillId="2" borderId="0" xfId="2" applyNumberFormat="1" applyFont="1" applyFill="1" applyAlignment="1">
      <alignment horizontal="center"/>
    </xf>
    <xf numFmtId="169" fontId="3" fillId="2" borderId="0" xfId="2" applyNumberFormat="1" applyFont="1" applyFill="1"/>
    <xf numFmtId="167" fontId="7" fillId="2" borderId="1" xfId="2" applyNumberFormat="1" applyFont="1" applyFill="1" applyBorder="1" applyAlignment="1">
      <alignment horizontal="right"/>
    </xf>
    <xf numFmtId="166" fontId="7" fillId="2" borderId="2" xfId="2" applyNumberFormat="1" applyFont="1" applyFill="1" applyBorder="1"/>
    <xf numFmtId="0" fontId="7" fillId="2" borderId="2" xfId="2" applyFont="1" applyFill="1" applyBorder="1" applyAlignment="1">
      <alignment horizontal="left"/>
    </xf>
    <xf numFmtId="0" fontId="9" fillId="3" borderId="3" xfId="2" applyFont="1" applyFill="1" applyBorder="1" applyAlignment="1">
      <alignment horizontal="left"/>
    </xf>
    <xf numFmtId="4" fontId="17" fillId="2" borderId="0" xfId="2" applyNumberFormat="1" applyFont="1" applyFill="1" applyAlignment="1">
      <alignment horizontal="center"/>
    </xf>
    <xf numFmtId="168" fontId="3" fillId="2" borderId="0" xfId="2" applyNumberFormat="1" applyFont="1" applyFill="1"/>
    <xf numFmtId="167" fontId="7" fillId="2" borderId="4" xfId="6" applyNumberFormat="1" applyFont="1" applyFill="1" applyBorder="1" applyAlignment="1">
      <alignment horizontal="center"/>
    </xf>
    <xf numFmtId="168" fontId="7" fillId="2" borderId="5" xfId="2" applyNumberFormat="1" applyFont="1" applyFill="1" applyBorder="1" applyAlignment="1">
      <alignment horizontal="center"/>
    </xf>
    <xf numFmtId="0" fontId="8" fillId="3" borderId="6" xfId="2" applyFont="1" applyFill="1" applyBorder="1" applyAlignment="1">
      <alignment horizontal="left"/>
    </xf>
    <xf numFmtId="169" fontId="3" fillId="0" borderId="0" xfId="2" applyNumberFormat="1" applyFont="1"/>
    <xf numFmtId="168" fontId="3" fillId="0" borderId="0" xfId="2" applyNumberFormat="1" applyFont="1"/>
    <xf numFmtId="0" fontId="8" fillId="3" borderId="10" xfId="2" applyFont="1" applyFill="1" applyBorder="1" applyAlignment="1">
      <alignment horizontal="center"/>
    </xf>
    <xf numFmtId="166" fontId="8" fillId="3" borderId="11" xfId="2" applyNumberFormat="1" applyFont="1" applyFill="1" applyBorder="1" applyAlignment="1">
      <alignment horizontal="center"/>
    </xf>
    <xf numFmtId="0" fontId="8" fillId="3" borderId="4" xfId="2" applyFont="1" applyFill="1" applyBorder="1" applyAlignment="1">
      <alignment horizontal="center"/>
    </xf>
    <xf numFmtId="166" fontId="8" fillId="3" borderId="5" xfId="2" applyNumberFormat="1" applyFont="1" applyFill="1" applyBorder="1" applyAlignment="1">
      <alignment horizontal="center"/>
    </xf>
    <xf numFmtId="0" fontId="17" fillId="2" borderId="0" xfId="2" applyFont="1" applyFill="1"/>
    <xf numFmtId="0" fontId="8" fillId="3" borderId="5" xfId="2" applyFont="1" applyFill="1" applyBorder="1" applyAlignment="1">
      <alignment horizontal="center"/>
    </xf>
    <xf numFmtId="0" fontId="8" fillId="3" borderId="12" xfId="2" applyFont="1" applyFill="1" applyBorder="1" applyAlignment="1">
      <alignment horizontal="center"/>
    </xf>
    <xf numFmtId="0" fontId="8" fillId="3" borderId="13" xfId="2" applyFont="1" applyFill="1" applyBorder="1" applyAlignment="1">
      <alignment horizontal="center"/>
    </xf>
    <xf numFmtId="166" fontId="3" fillId="2" borderId="0" xfId="2" applyNumberFormat="1" applyFont="1" applyFill="1"/>
    <xf numFmtId="0" fontId="10" fillId="2" borderId="0" xfId="2" applyFont="1" applyFill="1"/>
    <xf numFmtId="0" fontId="11" fillId="2" borderId="0" xfId="2" applyFont="1" applyFill="1" applyAlignment="1">
      <alignment vertical="center"/>
    </xf>
    <xf numFmtId="166" fontId="11" fillId="2" borderId="0" xfId="2" applyNumberFormat="1" applyFont="1" applyFill="1"/>
    <xf numFmtId="166" fontId="11" fillId="2" borderId="19" xfId="2" applyNumberFormat="1" applyFont="1" applyFill="1" applyBorder="1"/>
    <xf numFmtId="0" fontId="12" fillId="2" borderId="0" xfId="2" applyFont="1" applyFill="1" applyAlignment="1">
      <alignment horizontal="left"/>
    </xf>
    <xf numFmtId="0" fontId="3" fillId="2" borderId="0" xfId="6" applyFont="1" applyFill="1"/>
    <xf numFmtId="14" fontId="3" fillId="2" borderId="0" xfId="6" applyNumberFormat="1" applyFont="1" applyFill="1"/>
    <xf numFmtId="0" fontId="18" fillId="2" borderId="0" xfId="6" applyFont="1" applyFill="1"/>
    <xf numFmtId="169" fontId="18" fillId="2" borderId="0" xfId="6" applyNumberFormat="1" applyFont="1" applyFill="1"/>
    <xf numFmtId="0" fontId="4" fillId="2" borderId="0" xfId="6" applyFont="1" applyFill="1"/>
    <xf numFmtId="0" fontId="4" fillId="2" borderId="0" xfId="6" applyFont="1" applyFill="1" applyAlignment="1">
      <alignment vertical="center"/>
    </xf>
    <xf numFmtId="0" fontId="4" fillId="2" borderId="0" xfId="6" applyFont="1" applyFill="1" applyAlignment="1">
      <alignment horizontal="left"/>
    </xf>
    <xf numFmtId="0" fontId="4" fillId="2" borderId="0" xfId="6" applyFont="1" applyFill="1" applyAlignment="1">
      <alignment horizontal="left" wrapText="1" readingOrder="1"/>
    </xf>
    <xf numFmtId="0" fontId="4" fillId="2" borderId="0" xfId="6" applyFont="1" applyFill="1" applyAlignment="1">
      <alignment horizontal="left" readingOrder="1"/>
    </xf>
    <xf numFmtId="170" fontId="4" fillId="2" borderId="0" xfId="6" applyNumberFormat="1" applyFont="1" applyFill="1" applyAlignment="1">
      <alignment horizontal="left"/>
    </xf>
    <xf numFmtId="0" fontId="10" fillId="2" borderId="0" xfId="6" applyFont="1" applyFill="1"/>
    <xf numFmtId="171" fontId="3" fillId="2" borderId="0" xfId="6" applyNumberFormat="1" applyFont="1" applyFill="1"/>
    <xf numFmtId="172" fontId="7" fillId="2" borderId="20" xfId="6" applyNumberFormat="1" applyFont="1" applyFill="1" applyBorder="1"/>
    <xf numFmtId="172" fontId="7" fillId="2" borderId="21" xfId="6" applyNumberFormat="1" applyFont="1" applyFill="1" applyBorder="1"/>
    <xf numFmtId="172" fontId="7" fillId="2" borderId="22" xfId="6" applyNumberFormat="1" applyFont="1" applyFill="1" applyBorder="1"/>
    <xf numFmtId="170" fontId="8" fillId="3" borderId="11" xfId="6" applyNumberFormat="1" applyFont="1" applyFill="1" applyBorder="1" applyAlignment="1">
      <alignment horizontal="left"/>
    </xf>
    <xf numFmtId="172" fontId="7" fillId="2" borderId="23" xfId="6" applyNumberFormat="1" applyFont="1" applyFill="1" applyBorder="1"/>
    <xf numFmtId="172" fontId="7" fillId="2" borderId="24" xfId="6" applyNumberFormat="1" applyFont="1" applyFill="1" applyBorder="1"/>
    <xf numFmtId="172" fontId="7" fillId="2" borderId="25" xfId="6" applyNumberFormat="1" applyFont="1" applyFill="1" applyBorder="1"/>
    <xf numFmtId="170" fontId="8" fillId="3" borderId="5" xfId="6" applyNumberFormat="1" applyFont="1" applyFill="1" applyBorder="1" applyAlignment="1">
      <alignment horizontal="left"/>
    </xf>
    <xf numFmtId="172" fontId="7" fillId="2" borderId="26" xfId="6" applyNumberFormat="1" applyFont="1" applyFill="1" applyBorder="1"/>
    <xf numFmtId="172" fontId="7" fillId="2" borderId="27" xfId="6" applyNumberFormat="1" applyFont="1" applyFill="1" applyBorder="1"/>
    <xf numFmtId="172" fontId="7" fillId="2" borderId="28" xfId="6" applyNumberFormat="1" applyFont="1" applyFill="1" applyBorder="1"/>
    <xf numFmtId="172" fontId="7" fillId="2" borderId="29" xfId="6" applyNumberFormat="1" applyFont="1" applyFill="1" applyBorder="1"/>
    <xf numFmtId="172" fontId="7" fillId="2" borderId="30" xfId="6" applyNumberFormat="1" applyFont="1" applyFill="1" applyBorder="1"/>
    <xf numFmtId="172" fontId="7" fillId="2" borderId="31" xfId="6" applyNumberFormat="1" applyFont="1" applyFill="1" applyBorder="1"/>
    <xf numFmtId="0" fontId="17" fillId="2" borderId="0" xfId="6" applyFont="1" applyFill="1" applyAlignment="1">
      <alignment horizontal="center"/>
    </xf>
    <xf numFmtId="0" fontId="8" fillId="3" borderId="32" xfId="6" applyFont="1" applyFill="1" applyBorder="1" applyAlignment="1">
      <alignment horizontal="center"/>
    </xf>
    <xf numFmtId="0" fontId="8" fillId="3" borderId="33" xfId="6" applyFont="1" applyFill="1" applyBorder="1" applyAlignment="1">
      <alignment horizontal="center"/>
    </xf>
    <xf numFmtId="0" fontId="8" fillId="3" borderId="34" xfId="6" applyFont="1" applyFill="1" applyBorder="1" applyAlignment="1">
      <alignment horizontal="center"/>
    </xf>
    <xf numFmtId="0" fontId="8" fillId="3" borderId="35" xfId="6" applyFont="1" applyFill="1" applyBorder="1" applyAlignment="1">
      <alignment horizontal="center"/>
    </xf>
    <xf numFmtId="0" fontId="8" fillId="3" borderId="36" xfId="6" applyFont="1" applyFill="1" applyBorder="1" applyAlignment="1">
      <alignment horizontal="center"/>
    </xf>
    <xf numFmtId="0" fontId="8" fillId="3" borderId="37" xfId="6" applyFont="1" applyFill="1" applyBorder="1" applyAlignment="1">
      <alignment horizontal="center"/>
    </xf>
    <xf numFmtId="0" fontId="19" fillId="2" borderId="0" xfId="6" applyFont="1" applyFill="1"/>
    <xf numFmtId="0" fontId="19" fillId="2" borderId="0" xfId="6" applyFont="1" applyFill="1" applyBorder="1"/>
    <xf numFmtId="0" fontId="12" fillId="2" borderId="0" xfId="6" applyFont="1" applyFill="1"/>
    <xf numFmtId="0" fontId="7" fillId="2" borderId="20" xfId="6" applyFont="1" applyFill="1" applyBorder="1"/>
    <xf numFmtId="0" fontId="7" fillId="2" borderId="21" xfId="6" applyFont="1" applyFill="1" applyBorder="1"/>
    <xf numFmtId="0" fontId="7" fillId="2" borderId="22" xfId="6" applyFont="1" applyFill="1" applyBorder="1"/>
    <xf numFmtId="0" fontId="7" fillId="2" borderId="20" xfId="6" applyFont="1" applyFill="1" applyBorder="1" applyAlignment="1">
      <alignment horizontal="center"/>
    </xf>
    <xf numFmtId="0" fontId="7" fillId="2" borderId="21" xfId="6" applyFont="1" applyFill="1" applyBorder="1" applyAlignment="1">
      <alignment horizontal="center"/>
    </xf>
    <xf numFmtId="0" fontId="7" fillId="2" borderId="22" xfId="6" applyFont="1" applyFill="1" applyBorder="1" applyAlignment="1">
      <alignment horizontal="center"/>
    </xf>
    <xf numFmtId="0" fontId="8" fillId="3" borderId="10" xfId="6" applyFont="1" applyFill="1" applyBorder="1"/>
    <xf numFmtId="0" fontId="7" fillId="2" borderId="23" xfId="6" applyFont="1" applyFill="1" applyBorder="1"/>
    <xf numFmtId="0" fontId="7" fillId="2" borderId="24" xfId="6" applyFont="1" applyFill="1" applyBorder="1"/>
    <xf numFmtId="0" fontId="7" fillId="2" borderId="25" xfId="6" applyFont="1" applyFill="1" applyBorder="1"/>
    <xf numFmtId="0" fontId="7" fillId="2" borderId="23" xfId="6" applyFont="1" applyFill="1" applyBorder="1" applyAlignment="1">
      <alignment horizontal="center"/>
    </xf>
    <xf numFmtId="0" fontId="7" fillId="2" borderId="24" xfId="6" applyFont="1" applyFill="1" applyBorder="1" applyAlignment="1">
      <alignment horizontal="center"/>
    </xf>
    <xf numFmtId="0" fontId="7" fillId="2" borderId="25" xfId="6" applyFont="1" applyFill="1" applyBorder="1" applyAlignment="1">
      <alignment horizontal="center"/>
    </xf>
    <xf numFmtId="0" fontId="8" fillId="3" borderId="4" xfId="6" applyFont="1" applyFill="1" applyBorder="1"/>
    <xf numFmtId="164" fontId="3" fillId="2" borderId="0" xfId="6" applyNumberFormat="1" applyFont="1" applyFill="1"/>
    <xf numFmtId="166" fontId="3" fillId="2" borderId="0" xfId="6" applyNumberFormat="1" applyFont="1" applyFill="1"/>
    <xf numFmtId="2" fontId="3" fillId="2" borderId="0" xfId="6" applyNumberFormat="1" applyFont="1" applyFill="1"/>
    <xf numFmtId="0" fontId="7" fillId="2" borderId="29" xfId="6" applyFont="1" applyFill="1" applyBorder="1"/>
    <xf numFmtId="0" fontId="7" fillId="2" borderId="30" xfId="6" applyFont="1" applyFill="1" applyBorder="1"/>
    <xf numFmtId="0" fontId="7" fillId="2" borderId="31" xfId="6" applyFont="1" applyFill="1" applyBorder="1"/>
    <xf numFmtId="0" fontId="7" fillId="2" borderId="29" xfId="6" applyFont="1" applyFill="1" applyBorder="1" applyAlignment="1">
      <alignment horizontal="center"/>
    </xf>
    <xf numFmtId="0" fontId="7" fillId="2" borderId="30" xfId="6" applyFont="1" applyFill="1" applyBorder="1" applyAlignment="1">
      <alignment horizontal="center"/>
    </xf>
    <xf numFmtId="0" fontId="7" fillId="2" borderId="31" xfId="6" applyFont="1" applyFill="1" applyBorder="1" applyAlignment="1">
      <alignment horizontal="center"/>
    </xf>
    <xf numFmtId="0" fontId="8" fillId="3" borderId="12" xfId="6" applyFont="1" applyFill="1" applyBorder="1"/>
    <xf numFmtId="0" fontId="8" fillId="3" borderId="43" xfId="6" applyFont="1" applyFill="1" applyBorder="1" applyAlignment="1">
      <alignment horizontal="center"/>
    </xf>
    <xf numFmtId="0" fontId="12" fillId="0" borderId="0" xfId="6" applyFont="1"/>
    <xf numFmtId="0" fontId="8" fillId="3" borderId="38" xfId="6" applyFont="1" applyFill="1" applyBorder="1" applyAlignment="1"/>
    <xf numFmtId="0" fontId="8" fillId="3" borderId="39" xfId="6" applyFont="1" applyFill="1" applyBorder="1" applyAlignment="1"/>
    <xf numFmtId="0" fontId="3" fillId="0" borderId="0" xfId="0" applyFont="1"/>
    <xf numFmtId="0" fontId="3" fillId="0" borderId="0" xfId="0" applyFont="1" applyAlignment="1">
      <alignment wrapText="1"/>
    </xf>
    <xf numFmtId="165" fontId="3" fillId="0" borderId="0" xfId="0" applyNumberFormat="1" applyFont="1" applyAlignment="1">
      <alignment wrapText="1"/>
    </xf>
    <xf numFmtId="0" fontId="22" fillId="2" borderId="0" xfId="7" applyFont="1" applyFill="1" applyAlignment="1">
      <alignment vertical="center"/>
    </xf>
    <xf numFmtId="0" fontId="23" fillId="2" borderId="0" xfId="7" applyFont="1" applyFill="1" applyAlignment="1">
      <alignment vertical="center"/>
    </xf>
    <xf numFmtId="0" fontId="16" fillId="2" borderId="0" xfId="0" applyFont="1" applyFill="1"/>
    <xf numFmtId="0" fontId="24" fillId="2" borderId="0" xfId="7" applyFont="1" applyFill="1" applyAlignment="1">
      <alignment vertical="center"/>
    </xf>
    <xf numFmtId="0" fontId="4" fillId="0" borderId="0" xfId="0" applyFont="1" applyAlignment="1">
      <alignment horizontal="left" vertical="center"/>
    </xf>
    <xf numFmtId="0" fontId="4" fillId="0" borderId="0" xfId="0" applyFont="1" applyAlignment="1">
      <alignment horizontal="left" vertical="center" wrapText="1"/>
    </xf>
    <xf numFmtId="0" fontId="7" fillId="0" borderId="0" xfId="0" applyFont="1"/>
    <xf numFmtId="165" fontId="7" fillId="0" borderId="0" xfId="0" applyNumberFormat="1" applyFont="1" applyAlignment="1">
      <alignment horizontal="center"/>
    </xf>
    <xf numFmtId="165" fontId="14" fillId="0" borderId="45" xfId="0" applyNumberFormat="1" applyFont="1" applyBorder="1" applyAlignment="1">
      <alignment horizontal="center" vertical="center" wrapText="1"/>
    </xf>
    <xf numFmtId="165" fontId="14" fillId="0" borderId="46" xfId="0" applyNumberFormat="1" applyFont="1" applyBorder="1" applyAlignment="1">
      <alignment horizontal="center" vertical="center" wrapText="1"/>
    </xf>
    <xf numFmtId="165" fontId="7" fillId="0" borderId="2" xfId="0" applyNumberFormat="1" applyFont="1" applyBorder="1" applyAlignment="1">
      <alignment horizontal="center" vertical="center" wrapText="1"/>
    </xf>
    <xf numFmtId="165" fontId="7" fillId="0" borderId="47" xfId="0" applyNumberFormat="1" applyFont="1" applyBorder="1" applyAlignment="1">
      <alignment horizontal="center" vertical="center" wrapText="1"/>
    </xf>
    <xf numFmtId="165" fontId="7" fillId="0" borderId="48" xfId="0" applyNumberFormat="1" applyFont="1" applyBorder="1" applyAlignment="1">
      <alignment horizontal="center" vertical="center" wrapText="1"/>
    </xf>
    <xf numFmtId="17" fontId="8" fillId="3" borderId="49" xfId="0" applyNumberFormat="1" applyFont="1" applyFill="1" applyBorder="1" applyAlignment="1">
      <alignment horizontal="left" wrapText="1"/>
    </xf>
    <xf numFmtId="165" fontId="14" fillId="0" borderId="50" xfId="0" applyNumberFormat="1" applyFont="1" applyBorder="1" applyAlignment="1">
      <alignment horizontal="center" vertical="center" wrapText="1"/>
    </xf>
    <xf numFmtId="165" fontId="14" fillId="0" borderId="51" xfId="0" applyNumberFormat="1" applyFont="1" applyBorder="1" applyAlignment="1">
      <alignment horizontal="center" vertical="center" wrapText="1"/>
    </xf>
    <xf numFmtId="165" fontId="7" fillId="0" borderId="5" xfId="0" applyNumberFormat="1" applyFont="1" applyBorder="1" applyAlignment="1">
      <alignment horizontal="center" vertical="center" wrapText="1"/>
    </xf>
    <xf numFmtId="165" fontId="7" fillId="0" borderId="52" xfId="0" applyNumberFormat="1" applyFont="1" applyBorder="1" applyAlignment="1">
      <alignment horizontal="center" vertical="center" wrapText="1"/>
    </xf>
    <xf numFmtId="165" fontId="7" fillId="0" borderId="53" xfId="0" applyNumberFormat="1" applyFont="1" applyBorder="1" applyAlignment="1">
      <alignment horizontal="center" vertical="center" wrapText="1"/>
    </xf>
    <xf numFmtId="17" fontId="8" fillId="3" borderId="6" xfId="0" applyNumberFormat="1" applyFont="1" applyFill="1" applyBorder="1" applyAlignment="1">
      <alignment horizontal="left" vertical="center"/>
    </xf>
    <xf numFmtId="165" fontId="14" fillId="0" borderId="54" xfId="0" applyNumberFormat="1" applyFont="1" applyBorder="1" applyAlignment="1">
      <alignment horizontal="center" vertical="center" wrapText="1"/>
    </xf>
    <xf numFmtId="165" fontId="14" fillId="0" borderId="55" xfId="0" applyNumberFormat="1" applyFont="1" applyBorder="1" applyAlignment="1">
      <alignment horizontal="center" vertical="center" wrapText="1"/>
    </xf>
    <xf numFmtId="165" fontId="7" fillId="0" borderId="44" xfId="0" applyNumberFormat="1" applyFont="1" applyBorder="1" applyAlignment="1">
      <alignment horizontal="center" vertical="center" wrapText="1"/>
    </xf>
    <xf numFmtId="165" fontId="7" fillId="0" borderId="56" xfId="0" applyNumberFormat="1" applyFont="1" applyBorder="1" applyAlignment="1">
      <alignment horizontal="center" vertical="center" wrapText="1"/>
    </xf>
    <xf numFmtId="165" fontId="7" fillId="0" borderId="57" xfId="0" applyNumberFormat="1" applyFont="1" applyBorder="1" applyAlignment="1">
      <alignment horizontal="center" vertical="center" wrapText="1"/>
    </xf>
    <xf numFmtId="17" fontId="8" fillId="3" borderId="58" xfId="0" applyNumberFormat="1" applyFont="1" applyFill="1" applyBorder="1" applyAlignment="1">
      <alignment horizontal="left" vertical="center"/>
    </xf>
    <xf numFmtId="0" fontId="14" fillId="0" borderId="0" xfId="0" applyFont="1" applyAlignment="1">
      <alignment horizontal="center"/>
    </xf>
    <xf numFmtId="0" fontId="8" fillId="3" borderId="6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40" xfId="0" applyFont="1" applyFill="1" applyBorder="1" applyAlignment="1">
      <alignment horizontal="center" vertical="center" wrapText="1"/>
    </xf>
    <xf numFmtId="0" fontId="8" fillId="3" borderId="61"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4" fillId="0" borderId="0" xfId="0" applyFont="1" applyAlignment="1">
      <alignment horizontal="right"/>
    </xf>
    <xf numFmtId="0" fontId="9" fillId="0" borderId="0" xfId="0" applyFont="1"/>
    <xf numFmtId="0" fontId="9" fillId="0" borderId="0" xfId="0" applyFont="1" applyAlignment="1">
      <alignment wrapText="1"/>
    </xf>
    <xf numFmtId="0" fontId="12" fillId="0" borderId="0" xfId="0" applyFont="1"/>
    <xf numFmtId="0" fontId="3" fillId="0" borderId="0" xfId="0" applyFont="1" applyFill="1"/>
    <xf numFmtId="0" fontId="3" fillId="0" borderId="0" xfId="0" applyFont="1" applyFill="1" applyAlignment="1">
      <alignment wrapText="1"/>
    </xf>
    <xf numFmtId="0" fontId="3" fillId="0" borderId="0" xfId="0" applyFont="1" applyFill="1" applyAlignment="1">
      <alignment horizontal="center"/>
    </xf>
    <xf numFmtId="0" fontId="22" fillId="0" borderId="0" xfId="7" applyFont="1" applyFill="1" applyAlignment="1">
      <alignment vertical="center"/>
    </xf>
    <xf numFmtId="0" fontId="23" fillId="0" borderId="0" xfId="7" applyFont="1" applyFill="1" applyAlignment="1">
      <alignment vertical="center"/>
    </xf>
    <xf numFmtId="0" fontId="16" fillId="0" borderId="0" xfId="0" applyFont="1" applyFill="1"/>
    <xf numFmtId="0" fontId="24" fillId="0" borderId="0" xfId="7" applyFont="1" applyFill="1" applyAlignment="1">
      <alignment vertical="center"/>
    </xf>
    <xf numFmtId="0" fontId="4" fillId="0" borderId="0" xfId="0" applyFont="1" applyFill="1" applyAlignment="1">
      <alignment horizontal="left" vertical="center"/>
    </xf>
    <xf numFmtId="0" fontId="3" fillId="0" borderId="0" xfId="0" applyFont="1" applyFill="1" applyAlignment="1">
      <alignment vertical="center"/>
    </xf>
    <xf numFmtId="167" fontId="4" fillId="0" borderId="0" xfId="0" applyNumberFormat="1" applyFont="1" applyFill="1" applyAlignment="1">
      <alignment horizontal="left" vertical="center"/>
    </xf>
    <xf numFmtId="0" fontId="4" fillId="0" borderId="0" xfId="0" applyFont="1" applyFill="1" applyAlignment="1">
      <alignment horizontal="left" vertical="center" wrapText="1"/>
    </xf>
    <xf numFmtId="0" fontId="4" fillId="0" borderId="0" xfId="0" applyFont="1" applyFill="1" applyAlignment="1">
      <alignment horizontal="left"/>
    </xf>
    <xf numFmtId="167" fontId="4" fillId="0" borderId="0" xfId="0" applyNumberFormat="1" applyFont="1" applyFill="1" applyAlignment="1">
      <alignment horizontal="left"/>
    </xf>
    <xf numFmtId="0" fontId="4" fillId="0" borderId="0" xfId="0" applyFont="1" applyFill="1" applyAlignment="1">
      <alignment horizontal="left" wrapText="1"/>
    </xf>
    <xf numFmtId="0" fontId="4" fillId="0" borderId="0" xfId="8" applyFont="1" applyFill="1" applyAlignment="1">
      <alignment horizontal="left"/>
    </xf>
    <xf numFmtId="0" fontId="26" fillId="0" borderId="0" xfId="9" applyFont="1" applyFill="1" applyAlignment="1">
      <alignment horizontal="left"/>
    </xf>
    <xf numFmtId="0" fontId="26" fillId="0" borderId="0" xfId="9" applyFont="1" applyFill="1" applyAlignment="1"/>
    <xf numFmtId="0" fontId="4" fillId="0" borderId="0" xfId="8" applyFont="1" applyFill="1" applyAlignment="1"/>
    <xf numFmtId="0" fontId="4" fillId="0" borderId="0" xfId="9" applyFont="1" applyFill="1" applyAlignment="1">
      <alignment horizontal="left"/>
    </xf>
    <xf numFmtId="0" fontId="4" fillId="0" borderId="0" xfId="9" applyFont="1" applyFill="1" applyAlignment="1">
      <alignment horizontal="left" wrapText="1"/>
    </xf>
    <xf numFmtId="0" fontId="4" fillId="0" borderId="0" xfId="8" applyFont="1" applyFill="1" applyAlignment="1">
      <alignment horizontal="left" wrapText="1"/>
    </xf>
    <xf numFmtId="0" fontId="4" fillId="0" borderId="0" xfId="0" applyFont="1" applyFill="1"/>
    <xf numFmtId="0" fontId="4" fillId="0" borderId="0" xfId="0" applyFont="1" applyFill="1" applyAlignment="1">
      <alignment wrapText="1"/>
    </xf>
    <xf numFmtId="167" fontId="14" fillId="0" borderId="67" xfId="0" applyNumberFormat="1" applyFont="1" applyBorder="1" applyAlignment="1">
      <alignment horizontal="center" vertical="center" wrapText="1"/>
    </xf>
    <xf numFmtId="167" fontId="12" fillId="0" borderId="67" xfId="0" applyNumberFormat="1" applyFont="1" applyBorder="1" applyAlignment="1">
      <alignment horizontal="center" vertical="center" wrapText="1"/>
    </xf>
    <xf numFmtId="167" fontId="12" fillId="0" borderId="68" xfId="0" applyNumberFormat="1" applyFont="1" applyBorder="1" applyAlignment="1">
      <alignment horizontal="center" vertical="center" wrapText="1"/>
    </xf>
    <xf numFmtId="167" fontId="12" fillId="0" borderId="69" xfId="0" applyNumberFormat="1" applyFont="1" applyBorder="1" applyAlignment="1">
      <alignment horizontal="center" vertical="center" wrapText="1"/>
    </xf>
    <xf numFmtId="167" fontId="12" fillId="0" borderId="70" xfId="0" applyNumberFormat="1" applyFont="1" applyBorder="1" applyAlignment="1">
      <alignment horizontal="center" vertical="center" wrapText="1"/>
    </xf>
    <xf numFmtId="167" fontId="14" fillId="0" borderId="70" xfId="0" applyNumberFormat="1" applyFont="1" applyBorder="1" applyAlignment="1">
      <alignment horizontal="center" vertical="center" wrapText="1"/>
    </xf>
    <xf numFmtId="167" fontId="14" fillId="0" borderId="71" xfId="0" applyNumberFormat="1" applyFont="1" applyBorder="1" applyAlignment="1">
      <alignment horizontal="center" vertical="center" wrapText="1"/>
    </xf>
    <xf numFmtId="167" fontId="14" fillId="0" borderId="72" xfId="0" applyNumberFormat="1" applyFont="1" applyBorder="1" applyAlignment="1">
      <alignment horizontal="center" vertical="center" wrapText="1"/>
    </xf>
    <xf numFmtId="167" fontId="14" fillId="0" borderId="73" xfId="0" applyNumberFormat="1" applyFont="1" applyBorder="1" applyAlignment="1">
      <alignment horizontal="center" vertical="center" wrapText="1"/>
    </xf>
    <xf numFmtId="0" fontId="8" fillId="3" borderId="67" xfId="0" applyFont="1" applyFill="1" applyBorder="1" applyAlignment="1">
      <alignment wrapText="1"/>
    </xf>
    <xf numFmtId="0" fontId="8" fillId="3" borderId="49" xfId="0" applyFont="1" applyFill="1" applyBorder="1" applyAlignment="1">
      <alignment horizontal="center" wrapText="1"/>
    </xf>
    <xf numFmtId="167" fontId="7" fillId="0" borderId="74" xfId="0" applyNumberFormat="1" applyFont="1" applyBorder="1" applyAlignment="1">
      <alignment horizontal="center" vertical="center" wrapText="1"/>
    </xf>
    <xf numFmtId="167" fontId="19" fillId="0" borderId="74" xfId="0" applyNumberFormat="1" applyFont="1" applyBorder="1" applyAlignment="1">
      <alignment horizontal="center" vertical="center" wrapText="1"/>
    </xf>
    <xf numFmtId="167" fontId="19" fillId="0" borderId="10" xfId="0" applyNumberFormat="1" applyFont="1" applyBorder="1" applyAlignment="1">
      <alignment horizontal="center" vertical="center" wrapText="1"/>
    </xf>
    <xf numFmtId="167" fontId="19" fillId="0" borderId="11" xfId="0" applyNumberFormat="1" applyFont="1" applyBorder="1" applyAlignment="1">
      <alignment horizontal="center" vertical="center" wrapText="1"/>
    </xf>
    <xf numFmtId="167" fontId="7" fillId="0" borderId="11" xfId="0" applyNumberFormat="1" applyFont="1" applyBorder="1" applyAlignment="1">
      <alignment horizontal="center" vertical="center" wrapText="1"/>
    </xf>
    <xf numFmtId="167" fontId="7" fillId="0" borderId="75" xfId="0" applyNumberFormat="1" applyFont="1" applyBorder="1" applyAlignment="1">
      <alignment horizontal="center" vertical="center" wrapText="1"/>
    </xf>
    <xf numFmtId="167" fontId="7" fillId="0" borderId="76" xfId="0" applyNumberFormat="1" applyFont="1" applyBorder="1" applyAlignment="1">
      <alignment horizontal="center" vertical="center" wrapText="1"/>
    </xf>
    <xf numFmtId="167" fontId="7" fillId="0" borderId="77" xfId="0" applyNumberFormat="1" applyFont="1" applyBorder="1" applyAlignment="1">
      <alignment horizontal="center" vertical="center" wrapText="1"/>
    </xf>
    <xf numFmtId="0" fontId="8" fillId="3" borderId="74" xfId="0" applyFont="1" applyFill="1" applyBorder="1" applyAlignment="1">
      <alignment horizontal="left" wrapText="1"/>
    </xf>
    <xf numFmtId="0" fontId="8" fillId="3" borderId="78" xfId="0" applyFont="1" applyFill="1" applyBorder="1" applyAlignment="1">
      <alignment horizontal="center" wrapText="1"/>
    </xf>
    <xf numFmtId="167" fontId="7" fillId="0" borderId="79" xfId="0" applyNumberFormat="1" applyFont="1" applyBorder="1" applyAlignment="1">
      <alignment horizontal="center" vertical="center" wrapText="1"/>
    </xf>
    <xf numFmtId="167" fontId="19" fillId="0" borderId="79" xfId="0" applyNumberFormat="1" applyFont="1" applyBorder="1" applyAlignment="1">
      <alignment horizontal="center" vertical="center" wrapText="1"/>
    </xf>
    <xf numFmtId="167" fontId="19" fillId="0" borderId="4" xfId="0" applyNumberFormat="1" applyFont="1" applyBorder="1" applyAlignment="1">
      <alignment horizontal="center" vertical="center" wrapText="1"/>
    </xf>
    <xf numFmtId="167" fontId="19" fillId="0" borderId="5" xfId="0" applyNumberFormat="1" applyFont="1" applyBorder="1" applyAlignment="1">
      <alignment horizontal="center" vertical="center" wrapText="1"/>
    </xf>
    <xf numFmtId="167" fontId="7" fillId="0" borderId="5" xfId="0" applyNumberFormat="1" applyFont="1" applyBorder="1" applyAlignment="1">
      <alignment horizontal="center" vertical="center" wrapText="1"/>
    </xf>
    <xf numFmtId="167" fontId="7" fillId="0" borderId="80" xfId="0" applyNumberFormat="1" applyFont="1" applyBorder="1" applyAlignment="1">
      <alignment horizontal="center" vertical="center" wrapText="1"/>
    </xf>
    <xf numFmtId="167" fontId="7" fillId="0" borderId="15" xfId="0" applyNumberFormat="1" applyFont="1" applyBorder="1" applyAlignment="1">
      <alignment horizontal="center" vertical="center" wrapText="1"/>
    </xf>
    <xf numFmtId="167" fontId="7" fillId="0" borderId="19" xfId="0" applyNumberFormat="1" applyFont="1" applyBorder="1" applyAlignment="1">
      <alignment horizontal="center" vertical="center" wrapText="1"/>
    </xf>
    <xf numFmtId="0" fontId="8" fillId="3" borderId="79" xfId="0" applyFont="1" applyFill="1" applyBorder="1" applyAlignment="1">
      <alignment horizontal="left" wrapText="1"/>
    </xf>
    <xf numFmtId="0" fontId="8" fillId="3" borderId="81" xfId="0" applyFont="1" applyFill="1" applyBorder="1" applyAlignment="1">
      <alignment horizontal="center" wrapText="1"/>
    </xf>
    <xf numFmtId="0" fontId="8" fillId="3" borderId="81" xfId="0" applyFont="1" applyFill="1" applyBorder="1" applyAlignment="1">
      <alignment horizontal="center" vertical="top" wrapText="1"/>
    </xf>
    <xf numFmtId="165" fontId="7" fillId="0" borderId="15" xfId="0" applyNumberFormat="1" applyFont="1" applyBorder="1" applyAlignment="1">
      <alignment horizontal="center" vertical="center" wrapText="1"/>
    </xf>
    <xf numFmtId="167" fontId="19" fillId="0" borderId="82" xfId="0" applyNumberFormat="1" applyFont="1" applyBorder="1" applyAlignment="1">
      <alignment horizontal="center" vertical="center" wrapText="1"/>
    </xf>
    <xf numFmtId="167" fontId="19" fillId="0" borderId="42" xfId="0" applyNumberFormat="1" applyFont="1" applyBorder="1" applyAlignment="1">
      <alignment horizontal="center" vertical="center" wrapText="1"/>
    </xf>
    <xf numFmtId="167" fontId="19" fillId="0" borderId="44" xfId="0" applyNumberFormat="1" applyFont="1" applyBorder="1" applyAlignment="1">
      <alignment horizontal="center" vertical="center" wrapText="1"/>
    </xf>
    <xf numFmtId="167" fontId="7" fillId="0" borderId="44" xfId="0" applyNumberFormat="1" applyFont="1" applyBorder="1" applyAlignment="1">
      <alignment horizontal="center" vertical="center" wrapText="1"/>
    </xf>
    <xf numFmtId="167" fontId="7" fillId="0" borderId="83" xfId="0" applyNumberFormat="1" applyFont="1" applyBorder="1" applyAlignment="1">
      <alignment horizontal="center" vertical="center" wrapText="1"/>
    </xf>
    <xf numFmtId="167" fontId="7" fillId="0" borderId="84" xfId="0" applyNumberFormat="1" applyFont="1" applyBorder="1" applyAlignment="1">
      <alignment horizontal="center" vertical="center" wrapText="1"/>
    </xf>
    <xf numFmtId="167" fontId="7" fillId="0" borderId="85" xfId="0" applyNumberFormat="1" applyFont="1" applyBorder="1" applyAlignment="1">
      <alignment horizontal="center" vertical="center" wrapText="1"/>
    </xf>
    <xf numFmtId="0" fontId="8" fillId="3" borderId="82" xfId="0" applyFont="1" applyFill="1" applyBorder="1" applyAlignment="1">
      <alignment horizontal="left" wrapText="1"/>
    </xf>
    <xf numFmtId="0" fontId="8" fillId="3" borderId="86" xfId="0" applyFont="1" applyFill="1" applyBorder="1" applyAlignment="1">
      <alignment horizontal="center" wrapText="1"/>
    </xf>
    <xf numFmtId="175" fontId="8" fillId="3" borderId="87" xfId="0" applyNumberFormat="1" applyFont="1" applyFill="1" applyBorder="1" applyAlignment="1">
      <alignment horizontal="center" vertical="center"/>
    </xf>
    <xf numFmtId="175" fontId="12" fillId="3" borderId="87" xfId="0" applyNumberFormat="1" applyFont="1" applyFill="1" applyBorder="1" applyAlignment="1">
      <alignment horizontal="center" vertical="center"/>
    </xf>
    <xf numFmtId="175" fontId="12" fillId="3" borderId="88" xfId="0" applyNumberFormat="1" applyFont="1" applyFill="1" applyBorder="1" applyAlignment="1">
      <alignment horizontal="center" vertical="center"/>
    </xf>
    <xf numFmtId="175" fontId="12" fillId="3" borderId="12" xfId="0" applyNumberFormat="1" applyFont="1" applyFill="1" applyBorder="1" applyAlignment="1">
      <alignment horizontal="center" vertical="center"/>
    </xf>
    <xf numFmtId="175" fontId="12" fillId="3" borderId="13" xfId="0" applyNumberFormat="1" applyFont="1" applyFill="1" applyBorder="1" applyAlignment="1">
      <alignment horizontal="center" vertical="center"/>
    </xf>
    <xf numFmtId="175" fontId="14" fillId="3" borderId="13" xfId="0" applyNumberFormat="1" applyFont="1" applyFill="1" applyBorder="1" applyAlignment="1">
      <alignment horizontal="center" vertical="center"/>
    </xf>
    <xf numFmtId="175" fontId="14" fillId="3" borderId="89" xfId="0" applyNumberFormat="1" applyFont="1" applyFill="1" applyBorder="1" applyAlignment="1">
      <alignment horizontal="center" vertical="center"/>
    </xf>
    <xf numFmtId="175" fontId="14" fillId="3" borderId="90" xfId="0" applyNumberFormat="1" applyFont="1" applyFill="1" applyBorder="1" applyAlignment="1">
      <alignment horizontal="center" vertical="center"/>
    </xf>
    <xf numFmtId="175" fontId="14" fillId="3" borderId="91" xfId="0" applyNumberFormat="1" applyFont="1" applyFill="1" applyBorder="1" applyAlignment="1">
      <alignment horizontal="center" vertical="center"/>
    </xf>
    <xf numFmtId="0" fontId="8" fillId="3" borderId="88" xfId="0" applyFont="1" applyFill="1" applyBorder="1" applyAlignment="1">
      <alignment horizontal="center" vertical="center" wrapText="1"/>
    </xf>
    <xf numFmtId="0" fontId="8" fillId="3" borderId="92" xfId="0" applyFont="1" applyFill="1" applyBorder="1" applyAlignment="1">
      <alignment horizontal="center" vertical="center" wrapText="1"/>
    </xf>
    <xf numFmtId="0" fontId="17" fillId="0" borderId="0" xfId="0" applyFont="1" applyFill="1"/>
    <xf numFmtId="0" fontId="4" fillId="0" borderId="0" xfId="0" applyFont="1" applyFill="1" applyBorder="1" applyAlignment="1">
      <alignment horizontal="right" vertical="center"/>
    </xf>
    <xf numFmtId="0" fontId="4" fillId="0" borderId="16" xfId="0" applyFont="1" applyFill="1" applyBorder="1" applyAlignment="1">
      <alignment vertical="center"/>
    </xf>
    <xf numFmtId="0" fontId="27" fillId="0" borderId="16" xfId="0" applyFont="1" applyFill="1" applyBorder="1" applyAlignment="1">
      <alignment vertical="center"/>
    </xf>
    <xf numFmtId="0" fontId="5" fillId="0" borderId="16" xfId="0" applyFont="1" applyFill="1" applyBorder="1"/>
    <xf numFmtId="0" fontId="17" fillId="0" borderId="0" xfId="0" applyFont="1" applyFill="1" applyAlignment="1">
      <alignment horizontal="center"/>
    </xf>
    <xf numFmtId="0" fontId="8" fillId="0" borderId="0" xfId="0" applyFont="1" applyFill="1"/>
    <xf numFmtId="0" fontId="12" fillId="0" borderId="0" xfId="0" applyFont="1" applyFill="1"/>
    <xf numFmtId="0" fontId="3" fillId="0" borderId="0" xfId="0" applyFont="1" applyAlignment="1">
      <alignment horizontal="center"/>
    </xf>
    <xf numFmtId="167" fontId="4" fillId="0" borderId="0" xfId="0" applyNumberFormat="1" applyFont="1" applyAlignment="1">
      <alignment horizontal="left" vertical="center"/>
    </xf>
    <xf numFmtId="174" fontId="4" fillId="0" borderId="0" xfId="1" applyNumberFormat="1" applyFont="1" applyAlignment="1">
      <alignment horizontal="left" vertical="center"/>
    </xf>
    <xf numFmtId="0" fontId="4" fillId="2" borderId="0" xfId="8" applyFont="1" applyFill="1" applyAlignment="1">
      <alignment horizontal="left" vertical="center"/>
    </xf>
    <xf numFmtId="0" fontId="26" fillId="2" borderId="0" xfId="9" applyFont="1" applyFill="1" applyAlignment="1">
      <alignment horizontal="left" vertical="center"/>
    </xf>
    <xf numFmtId="0" fontId="26" fillId="2" borderId="0" xfId="9" applyFont="1" applyFill="1" applyAlignment="1">
      <alignment vertical="center"/>
    </xf>
    <xf numFmtId="0" fontId="4" fillId="2" borderId="0" xfId="8" applyFont="1" applyFill="1" applyAlignment="1">
      <alignment vertical="center"/>
    </xf>
    <xf numFmtId="0" fontId="4" fillId="2" borderId="0" xfId="9" applyFont="1" applyFill="1" applyAlignment="1">
      <alignment horizontal="left" vertical="center"/>
    </xf>
    <xf numFmtId="0" fontId="4" fillId="0" borderId="0" xfId="9" applyFont="1" applyAlignment="1">
      <alignment horizontal="left" vertical="center" wrapText="1"/>
    </xf>
    <xf numFmtId="0" fontId="4" fillId="2" borderId="0" xfId="8" applyFont="1" applyFill="1" applyAlignment="1">
      <alignment horizontal="left" vertical="center" wrapText="1"/>
    </xf>
    <xf numFmtId="0" fontId="4" fillId="0" borderId="0" xfId="0" applyFont="1" applyAlignment="1">
      <alignment vertical="center"/>
    </xf>
    <xf numFmtId="0" fontId="4" fillId="0" borderId="0" xfId="0" applyFont="1" applyAlignment="1">
      <alignment vertical="center" wrapText="1"/>
    </xf>
    <xf numFmtId="0" fontId="3" fillId="0" borderId="0" xfId="0" applyFont="1" applyAlignment="1">
      <alignment vertical="center"/>
    </xf>
    <xf numFmtId="0" fontId="17" fillId="0" borderId="0" xfId="0" applyFont="1"/>
    <xf numFmtId="0" fontId="4" fillId="0" borderId="16" xfId="0" applyFont="1" applyBorder="1" applyAlignment="1">
      <alignment vertical="center"/>
    </xf>
    <xf numFmtId="0" fontId="27" fillId="0" borderId="16" xfId="0" applyFont="1" applyBorder="1" applyAlignment="1">
      <alignment vertical="center"/>
    </xf>
    <xf numFmtId="0" fontId="5" fillId="0" borderId="16" xfId="0" applyFont="1" applyBorder="1"/>
    <xf numFmtId="0" fontId="4" fillId="0" borderId="0" xfId="0" applyFont="1"/>
    <xf numFmtId="0" fontId="17" fillId="0" borderId="0" xfId="0" applyFont="1" applyAlignment="1">
      <alignment horizontal="center"/>
    </xf>
    <xf numFmtId="0" fontId="8" fillId="0" borderId="0" xfId="0" applyFont="1"/>
    <xf numFmtId="0" fontId="28" fillId="2" borderId="0" xfId="0" applyFont="1" applyFill="1" applyAlignment="1">
      <alignment vertical="center"/>
    </xf>
    <xf numFmtId="0" fontId="28" fillId="2" borderId="0" xfId="0" applyFont="1" applyFill="1" applyAlignment="1">
      <alignment horizontal="left" vertical="center"/>
    </xf>
    <xf numFmtId="0" fontId="4" fillId="2" borderId="0" xfId="0" applyFont="1" applyFill="1" applyAlignment="1">
      <alignment horizontal="left" vertical="center"/>
    </xf>
    <xf numFmtId="0" fontId="4" fillId="2" borderId="0" xfId="0" applyFont="1" applyFill="1" applyAlignment="1">
      <alignment vertical="center"/>
    </xf>
    <xf numFmtId="0" fontId="4" fillId="2" borderId="0" xfId="8" applyFont="1" applyFill="1" applyAlignment="1">
      <alignment horizontal="left"/>
    </xf>
    <xf numFmtId="0" fontId="4" fillId="2" borderId="0" xfId="8" applyFont="1" applyFill="1" applyBorder="1" applyAlignment="1"/>
    <xf numFmtId="167" fontId="16" fillId="2" borderId="0" xfId="0" applyNumberFormat="1" applyFont="1" applyFill="1"/>
    <xf numFmtId="167" fontId="14" fillId="2" borderId="67" xfId="0" applyNumberFormat="1" applyFont="1" applyFill="1" applyBorder="1" applyAlignment="1">
      <alignment horizontal="center" wrapText="1"/>
    </xf>
    <xf numFmtId="167" fontId="7" fillId="2" borderId="67" xfId="0" applyNumberFormat="1" applyFont="1" applyFill="1" applyBorder="1" applyAlignment="1">
      <alignment horizontal="center" wrapText="1"/>
    </xf>
    <xf numFmtId="17" fontId="8" fillId="3" borderId="67" xfId="0" applyNumberFormat="1" applyFont="1" applyFill="1" applyBorder="1" applyAlignment="1">
      <alignment vertical="center"/>
    </xf>
    <xf numFmtId="167" fontId="14" fillId="2" borderId="79" xfId="0" applyNumberFormat="1" applyFont="1" applyFill="1" applyBorder="1" applyAlignment="1">
      <alignment horizontal="center" wrapText="1"/>
    </xf>
    <xf numFmtId="167" fontId="7" fillId="2" borderId="79" xfId="0" applyNumberFormat="1" applyFont="1" applyFill="1" applyBorder="1" applyAlignment="1">
      <alignment horizontal="center" wrapText="1"/>
    </xf>
    <xf numFmtId="17" fontId="8" fillId="3" borderId="79" xfId="0" applyNumberFormat="1" applyFont="1" applyFill="1" applyBorder="1" applyAlignment="1">
      <alignment vertical="center"/>
    </xf>
    <xf numFmtId="167" fontId="14" fillId="2" borderId="82" xfId="0" applyNumberFormat="1" applyFont="1" applyFill="1" applyBorder="1" applyAlignment="1">
      <alignment horizontal="center" wrapText="1"/>
    </xf>
    <xf numFmtId="167" fontId="7" fillId="2" borderId="82" xfId="0" applyNumberFormat="1" applyFont="1" applyFill="1" applyBorder="1" applyAlignment="1">
      <alignment horizontal="center" wrapText="1"/>
    </xf>
    <xf numFmtId="17" fontId="8" fillId="3" borderId="82" xfId="0" applyNumberFormat="1" applyFont="1" applyFill="1" applyBorder="1" applyAlignment="1">
      <alignment vertical="center"/>
    </xf>
    <xf numFmtId="0" fontId="8" fillId="3" borderId="87" xfId="0" applyFont="1" applyFill="1" applyBorder="1" applyAlignment="1">
      <alignment horizontal="center" vertical="center"/>
    </xf>
    <xf numFmtId="0" fontId="8" fillId="3" borderId="87" xfId="0" applyFont="1" applyFill="1" applyBorder="1" applyAlignment="1">
      <alignment vertical="center"/>
    </xf>
    <xf numFmtId="0" fontId="4" fillId="2" borderId="0" xfId="0" applyFont="1" applyFill="1" applyAlignment="1">
      <alignment horizontal="right"/>
    </xf>
    <xf numFmtId="0" fontId="12" fillId="2" borderId="0" xfId="0" applyFont="1" applyFill="1"/>
    <xf numFmtId="176" fontId="16" fillId="2" borderId="0" xfId="0" applyNumberFormat="1" applyFont="1" applyFill="1"/>
    <xf numFmtId="174" fontId="16" fillId="2" borderId="0" xfId="1" applyNumberFormat="1" applyFont="1" applyFill="1"/>
    <xf numFmtId="43" fontId="16" fillId="2" borderId="0" xfId="1" applyFont="1" applyFill="1"/>
    <xf numFmtId="165" fontId="16" fillId="2" borderId="0" xfId="0" applyNumberFormat="1" applyFont="1" applyFill="1"/>
    <xf numFmtId="165" fontId="14" fillId="2" borderId="79" xfId="0" applyNumberFormat="1" applyFont="1" applyFill="1" applyBorder="1" applyAlignment="1">
      <alignment horizontal="center" wrapText="1"/>
    </xf>
    <xf numFmtId="165" fontId="7" fillId="2" borderId="79" xfId="0" applyNumberFormat="1" applyFont="1" applyFill="1" applyBorder="1" applyAlignment="1">
      <alignment horizontal="center" wrapText="1"/>
    </xf>
    <xf numFmtId="0" fontId="3" fillId="2" borderId="0" xfId="0" applyFont="1" applyFill="1"/>
    <xf numFmtId="165" fontId="3" fillId="2" borderId="0" xfId="0" applyNumberFormat="1" applyFont="1" applyFill="1" applyAlignment="1">
      <alignment horizontal="center"/>
    </xf>
    <xf numFmtId="0" fontId="3" fillId="2" borderId="0" xfId="0" applyFont="1" applyFill="1" applyAlignment="1">
      <alignment horizontal="center"/>
    </xf>
    <xf numFmtId="165" fontId="3" fillId="2" borderId="0" xfId="0" applyNumberFormat="1" applyFont="1" applyFill="1" applyBorder="1" applyAlignment="1">
      <alignment horizontal="center"/>
    </xf>
    <xf numFmtId="177" fontId="22" fillId="2" borderId="0" xfId="10" applyNumberFormat="1" applyFont="1" applyFill="1" applyAlignment="1">
      <alignment vertical="center"/>
    </xf>
    <xf numFmtId="0" fontId="16" fillId="2" borderId="0" xfId="0" applyFont="1" applyFill="1" applyBorder="1"/>
    <xf numFmtId="0" fontId="24" fillId="2" borderId="0" xfId="11" applyFont="1" applyFill="1" applyAlignment="1">
      <alignment vertical="center"/>
    </xf>
    <xf numFmtId="0" fontId="3" fillId="2" borderId="0" xfId="0" applyFont="1" applyFill="1" applyAlignment="1">
      <alignment vertical="center"/>
    </xf>
    <xf numFmtId="0" fontId="29" fillId="2" borderId="0" xfId="0" applyFont="1" applyFill="1" applyBorder="1" applyAlignment="1">
      <alignment vertical="center"/>
    </xf>
    <xf numFmtId="0" fontId="29" fillId="2" borderId="0" xfId="0" applyFont="1" applyFill="1" applyAlignment="1">
      <alignment vertical="center"/>
    </xf>
    <xf numFmtId="165" fontId="30" fillId="2" borderId="0" xfId="0" applyNumberFormat="1" applyFont="1" applyFill="1" applyAlignment="1">
      <alignment horizontal="center" vertical="center"/>
    </xf>
    <xf numFmtId="0" fontId="19" fillId="2" borderId="0" xfId="0" applyFont="1" applyFill="1" applyAlignment="1">
      <alignment vertical="center"/>
    </xf>
    <xf numFmtId="0" fontId="30" fillId="2" borderId="0" xfId="0" applyFont="1" applyFill="1" applyAlignment="1">
      <alignment vertical="center"/>
    </xf>
    <xf numFmtId="0" fontId="29" fillId="2" borderId="0" xfId="0" applyFont="1" applyFill="1" applyBorder="1"/>
    <xf numFmtId="0" fontId="29" fillId="2" borderId="0" xfId="0" applyFont="1" applyFill="1"/>
    <xf numFmtId="165" fontId="30" fillId="2" borderId="0" xfId="0" applyNumberFormat="1" applyFont="1" applyFill="1" applyAlignment="1">
      <alignment horizontal="center"/>
    </xf>
    <xf numFmtId="0" fontId="19" fillId="2" borderId="0" xfId="0" applyFont="1" applyFill="1"/>
    <xf numFmtId="0" fontId="30" fillId="2" borderId="0" xfId="0" applyFont="1" applyFill="1"/>
    <xf numFmtId="0" fontId="32" fillId="2" borderId="0" xfId="8" applyFont="1" applyFill="1" applyAlignment="1">
      <alignment horizontal="left" vertical="top"/>
    </xf>
    <xf numFmtId="0" fontId="31" fillId="2" borderId="0" xfId="9" applyFont="1" applyFill="1" applyAlignment="1">
      <alignment vertical="center"/>
    </xf>
    <xf numFmtId="165" fontId="31" fillId="2" borderId="0" xfId="9" applyNumberFormat="1" applyFont="1" applyFill="1" applyAlignment="1">
      <alignment vertical="center"/>
    </xf>
    <xf numFmtId="0" fontId="30" fillId="2" borderId="0" xfId="8" applyFont="1" applyFill="1" applyAlignment="1">
      <alignment vertical="center"/>
    </xf>
    <xf numFmtId="0" fontId="32" fillId="2" borderId="0" xfId="9" applyFont="1" applyFill="1" applyAlignment="1">
      <alignment vertical="center"/>
    </xf>
    <xf numFmtId="165" fontId="12" fillId="0" borderId="74" xfId="0" applyNumberFormat="1" applyFont="1" applyFill="1" applyBorder="1" applyAlignment="1">
      <alignment horizontal="center" vertical="center" wrapText="1"/>
    </xf>
    <xf numFmtId="165" fontId="12" fillId="2" borderId="74" xfId="0" applyNumberFormat="1" applyFont="1" applyFill="1" applyBorder="1" applyAlignment="1">
      <alignment horizontal="center" vertical="center" wrapText="1"/>
    </xf>
    <xf numFmtId="165" fontId="12" fillId="2" borderId="68" xfId="0" applyNumberFormat="1" applyFont="1" applyFill="1" applyBorder="1" applyAlignment="1">
      <alignment horizontal="center" vertical="center" wrapText="1"/>
    </xf>
    <xf numFmtId="165" fontId="12" fillId="2" borderId="67" xfId="0" applyNumberFormat="1" applyFont="1" applyFill="1" applyBorder="1" applyAlignment="1">
      <alignment horizontal="center" vertical="center" wrapText="1"/>
    </xf>
    <xf numFmtId="165" fontId="12" fillId="2" borderId="93" xfId="0" applyNumberFormat="1" applyFont="1" applyFill="1" applyBorder="1" applyAlignment="1">
      <alignment horizontal="center" vertical="center" wrapText="1"/>
    </xf>
    <xf numFmtId="0" fontId="12" fillId="3" borderId="68" xfId="0" applyFont="1" applyFill="1" applyBorder="1" applyAlignment="1">
      <alignment vertical="center" wrapText="1"/>
    </xf>
    <xf numFmtId="0" fontId="12" fillId="3" borderId="49" xfId="0" applyFont="1" applyFill="1" applyBorder="1" applyAlignment="1">
      <alignment horizontal="center" wrapText="1"/>
    </xf>
    <xf numFmtId="165" fontId="3" fillId="2" borderId="0" xfId="0" applyNumberFormat="1" applyFont="1" applyFill="1"/>
    <xf numFmtId="165" fontId="19" fillId="2" borderId="74" xfId="0" applyNumberFormat="1" applyFont="1" applyFill="1" applyBorder="1" applyAlignment="1">
      <alignment horizontal="center"/>
    </xf>
    <xf numFmtId="165" fontId="19" fillId="2" borderId="79" xfId="0" applyNumberFormat="1" applyFont="1" applyFill="1" applyBorder="1" applyAlignment="1">
      <alignment horizontal="center"/>
    </xf>
    <xf numFmtId="0" fontId="19" fillId="3" borderId="74" xfId="0" applyFont="1" applyFill="1" applyBorder="1"/>
    <xf numFmtId="0" fontId="19" fillId="3" borderId="78" xfId="0" applyFont="1" applyFill="1" applyBorder="1" applyAlignment="1">
      <alignment horizontal="center"/>
    </xf>
    <xf numFmtId="0" fontId="19" fillId="3" borderId="79" xfId="0" applyFont="1" applyFill="1" applyBorder="1"/>
    <xf numFmtId="0" fontId="19" fillId="3" borderId="81" xfId="0" applyFont="1" applyFill="1" applyBorder="1" applyAlignment="1">
      <alignment horizontal="center"/>
    </xf>
    <xf numFmtId="0" fontId="7" fillId="2" borderId="0" xfId="0" applyFont="1" applyFill="1"/>
    <xf numFmtId="165" fontId="19" fillId="2" borderId="4" xfId="0" applyNumberFormat="1" applyFont="1" applyFill="1" applyBorder="1" applyAlignment="1">
      <alignment horizontal="center"/>
    </xf>
    <xf numFmtId="165" fontId="19" fillId="2" borderId="5" xfId="0" applyNumberFormat="1" applyFont="1" applyFill="1" applyBorder="1" applyAlignment="1">
      <alignment horizontal="center"/>
    </xf>
    <xf numFmtId="165" fontId="19" fillId="2" borderId="0" xfId="0" applyNumberFormat="1" applyFont="1" applyFill="1" applyAlignment="1">
      <alignment horizontal="center"/>
    </xf>
    <xf numFmtId="165" fontId="19" fillId="2" borderId="19" xfId="0" applyNumberFormat="1" applyFont="1" applyFill="1" applyBorder="1" applyAlignment="1">
      <alignment horizontal="center"/>
    </xf>
    <xf numFmtId="165" fontId="19" fillId="2" borderId="15" xfId="0" applyNumberFormat="1" applyFont="1" applyFill="1" applyBorder="1" applyAlignment="1">
      <alignment horizontal="center"/>
    </xf>
    <xf numFmtId="165" fontId="19" fillId="2" borderId="82" xfId="0" applyNumberFormat="1" applyFont="1" applyFill="1" applyBorder="1" applyAlignment="1">
      <alignment horizontal="center"/>
    </xf>
    <xf numFmtId="0" fontId="19" fillId="3" borderId="82" xfId="0" applyFont="1" applyFill="1" applyBorder="1"/>
    <xf numFmtId="0" fontId="19" fillId="3" borderId="86" xfId="0" applyFont="1" applyFill="1" applyBorder="1" applyAlignment="1">
      <alignment horizontal="center"/>
    </xf>
    <xf numFmtId="178" fontId="12" fillId="3" borderId="94" xfId="0" applyNumberFormat="1" applyFont="1" applyFill="1" applyBorder="1" applyAlignment="1">
      <alignment horizontal="center"/>
    </xf>
    <xf numFmtId="178" fontId="12" fillId="3" borderId="0" xfId="0" applyNumberFormat="1" applyFont="1" applyFill="1" applyBorder="1" applyAlignment="1">
      <alignment horizontal="center"/>
    </xf>
    <xf numFmtId="178" fontId="12" fillId="3" borderId="59" xfId="0" applyNumberFormat="1" applyFont="1" applyFill="1" applyBorder="1" applyAlignment="1">
      <alignment horizontal="center"/>
    </xf>
    <xf numFmtId="178" fontId="12" fillId="3" borderId="17" xfId="0" applyNumberFormat="1" applyFont="1" applyFill="1" applyBorder="1" applyAlignment="1">
      <alignment horizontal="center"/>
    </xf>
    <xf numFmtId="165" fontId="12" fillId="2" borderId="95" xfId="0" applyNumberFormat="1" applyFont="1" applyFill="1" applyBorder="1" applyAlignment="1">
      <alignment horizontal="center" vertical="center" wrapText="1"/>
    </xf>
    <xf numFmtId="0" fontId="12" fillId="3" borderId="74" xfId="0" applyFont="1" applyFill="1" applyBorder="1" applyAlignment="1">
      <alignment vertical="center" wrapText="1"/>
    </xf>
    <xf numFmtId="0" fontId="12" fillId="3" borderId="96" xfId="0" applyFont="1" applyFill="1" applyBorder="1" applyAlignment="1">
      <alignment horizontal="center" wrapText="1"/>
    </xf>
    <xf numFmtId="165" fontId="12" fillId="2" borderId="97" xfId="0" applyNumberFormat="1" applyFont="1" applyFill="1" applyBorder="1" applyAlignment="1">
      <alignment horizontal="center" vertical="center" wrapText="1"/>
    </xf>
    <xf numFmtId="165" fontId="12" fillId="2" borderId="11" xfId="0" applyNumberFormat="1" applyFont="1" applyFill="1" applyBorder="1" applyAlignment="1">
      <alignment horizontal="center" vertical="center" wrapText="1"/>
    </xf>
    <xf numFmtId="165" fontId="12" fillId="2" borderId="98" xfId="0" applyNumberFormat="1" applyFont="1" applyFill="1" applyBorder="1" applyAlignment="1">
      <alignment horizontal="center" vertical="center" wrapText="1"/>
    </xf>
    <xf numFmtId="165" fontId="12" fillId="2" borderId="99" xfId="0" applyNumberFormat="1" applyFont="1" applyFill="1" applyBorder="1" applyAlignment="1">
      <alignment horizontal="center" vertical="center" wrapText="1"/>
    </xf>
    <xf numFmtId="165" fontId="12" fillId="2" borderId="100" xfId="0" applyNumberFormat="1" applyFont="1" applyFill="1" applyBorder="1" applyAlignment="1">
      <alignment horizontal="center" vertical="center" wrapText="1"/>
    </xf>
    <xf numFmtId="0" fontId="12" fillId="3" borderId="41" xfId="0" applyFont="1" applyFill="1" applyBorder="1" applyAlignment="1">
      <alignment horizontal="center" wrapText="1"/>
    </xf>
    <xf numFmtId="165" fontId="19" fillId="2" borderId="97" xfId="0" applyNumberFormat="1" applyFont="1" applyFill="1" applyBorder="1" applyAlignment="1">
      <alignment horizontal="center"/>
    </xf>
    <xf numFmtId="165" fontId="19" fillId="2" borderId="11" xfId="0" applyNumberFormat="1" applyFont="1" applyFill="1" applyBorder="1" applyAlignment="1">
      <alignment horizontal="center"/>
    </xf>
    <xf numFmtId="165" fontId="19" fillId="2" borderId="52" xfId="0" applyNumberFormat="1" applyFont="1" applyFill="1" applyBorder="1" applyAlignment="1">
      <alignment horizontal="center"/>
    </xf>
    <xf numFmtId="165" fontId="19" fillId="2" borderId="56" xfId="0" applyNumberFormat="1" applyFont="1" applyFill="1" applyBorder="1" applyAlignment="1">
      <alignment horizontal="center"/>
    </xf>
    <xf numFmtId="165" fontId="19" fillId="2" borderId="44" xfId="0" applyNumberFormat="1" applyFont="1" applyFill="1" applyBorder="1" applyAlignment="1">
      <alignment horizontal="center"/>
    </xf>
    <xf numFmtId="165" fontId="12" fillId="0" borderId="101" xfId="0" applyNumberFormat="1" applyFont="1" applyFill="1" applyBorder="1" applyAlignment="1">
      <alignment horizontal="center" vertical="center" wrapText="1"/>
    </xf>
    <xf numFmtId="165" fontId="12" fillId="2" borderId="101" xfId="0" applyNumberFormat="1" applyFont="1" applyFill="1" applyBorder="1" applyAlignment="1">
      <alignment horizontal="center" vertical="center" wrapText="1"/>
    </xf>
    <xf numFmtId="165" fontId="12" fillId="2" borderId="40" xfId="0" applyNumberFormat="1" applyFont="1" applyFill="1" applyBorder="1" applyAlignment="1">
      <alignment horizontal="center" vertical="center" wrapText="1"/>
    </xf>
    <xf numFmtId="165" fontId="12" fillId="2" borderId="8" xfId="0" applyNumberFormat="1" applyFont="1" applyFill="1" applyBorder="1" applyAlignment="1">
      <alignment horizontal="center" vertical="center" wrapText="1"/>
    </xf>
    <xf numFmtId="165" fontId="12" fillId="2" borderId="102" xfId="0" applyNumberFormat="1" applyFont="1" applyFill="1" applyBorder="1" applyAlignment="1">
      <alignment horizontal="center" vertical="center" wrapText="1"/>
    </xf>
    <xf numFmtId="165" fontId="12" fillId="2" borderId="103" xfId="0" applyNumberFormat="1" applyFont="1" applyFill="1" applyBorder="1" applyAlignment="1">
      <alignment horizontal="center" vertical="center" wrapText="1"/>
    </xf>
    <xf numFmtId="0" fontId="12" fillId="3" borderId="101" xfId="0" applyFont="1" applyFill="1" applyBorder="1" applyAlignment="1">
      <alignment vertical="center" wrapText="1"/>
    </xf>
    <xf numFmtId="165" fontId="19" fillId="2" borderId="80" xfId="0" applyNumberFormat="1" applyFont="1" applyFill="1" applyBorder="1" applyAlignment="1">
      <alignment horizontal="center"/>
    </xf>
    <xf numFmtId="165" fontId="19" fillId="2" borderId="42" xfId="0" applyNumberFormat="1" applyFont="1" applyFill="1" applyBorder="1" applyAlignment="1">
      <alignment horizontal="center"/>
    </xf>
    <xf numFmtId="178" fontId="8" fillId="3" borderId="0" xfId="0" applyNumberFormat="1" applyFont="1" applyFill="1" applyBorder="1" applyAlignment="1">
      <alignment horizontal="center"/>
    </xf>
    <xf numFmtId="178" fontId="8" fillId="3" borderId="59" xfId="0" applyNumberFormat="1" applyFont="1" applyFill="1" applyBorder="1" applyAlignment="1">
      <alignment horizontal="center"/>
    </xf>
    <xf numFmtId="165" fontId="8" fillId="3" borderId="101" xfId="0" applyNumberFormat="1" applyFont="1" applyFill="1" applyBorder="1" applyAlignment="1">
      <alignment horizontal="center" vertical="center" wrapText="1"/>
    </xf>
    <xf numFmtId="165" fontId="8" fillId="3" borderId="101" xfId="0" applyNumberFormat="1" applyFont="1" applyFill="1" applyBorder="1" applyAlignment="1">
      <alignment horizontal="center" vertical="center"/>
    </xf>
    <xf numFmtId="165" fontId="8" fillId="3" borderId="101" xfId="0" applyNumberFormat="1" applyFont="1" applyFill="1" applyBorder="1" applyAlignment="1">
      <alignment horizontal="center"/>
    </xf>
    <xf numFmtId="165" fontId="8" fillId="3" borderId="7" xfId="0" applyNumberFormat="1" applyFont="1" applyFill="1" applyBorder="1" applyAlignment="1">
      <alignment horizontal="center"/>
    </xf>
    <xf numFmtId="165" fontId="8" fillId="3" borderId="8" xfId="0" applyNumberFormat="1" applyFont="1" applyFill="1" applyBorder="1" applyAlignment="1">
      <alignment horizontal="center"/>
    </xf>
    <xf numFmtId="165" fontId="8" fillId="3" borderId="75" xfId="0" applyNumberFormat="1" applyFont="1" applyFill="1" applyBorder="1" applyAlignment="1">
      <alignment horizontal="center"/>
    </xf>
    <xf numFmtId="165" fontId="8" fillId="3" borderId="76" xfId="0" applyNumberFormat="1" applyFont="1" applyFill="1" applyBorder="1" applyAlignment="1">
      <alignment horizontal="center"/>
    </xf>
    <xf numFmtId="165" fontId="8" fillId="3" borderId="104" xfId="0" applyNumberFormat="1" applyFont="1" applyFill="1" applyBorder="1" applyAlignment="1">
      <alignment horizontal="center"/>
    </xf>
    <xf numFmtId="165" fontId="8" fillId="3" borderId="105" xfId="0" applyNumberFormat="1" applyFont="1" applyFill="1" applyBorder="1" applyAlignment="1">
      <alignment horizontal="center"/>
    </xf>
    <xf numFmtId="165" fontId="4" fillId="2" borderId="16" xfId="0" applyNumberFormat="1" applyFont="1" applyFill="1" applyBorder="1" applyAlignment="1"/>
    <xf numFmtId="165" fontId="4" fillId="2" borderId="0" xfId="0" applyNumberFormat="1" applyFont="1" applyFill="1" applyAlignment="1">
      <alignment horizontal="center"/>
    </xf>
    <xf numFmtId="0" fontId="9" fillId="2" borderId="0" xfId="0" applyFont="1" applyFill="1"/>
    <xf numFmtId="165" fontId="9" fillId="2" borderId="0" xfId="0" applyNumberFormat="1" applyFont="1" applyFill="1" applyAlignment="1">
      <alignment horizontal="center"/>
    </xf>
    <xf numFmtId="165" fontId="8" fillId="2" borderId="0" xfId="0" applyNumberFormat="1" applyFont="1" applyFill="1" applyAlignment="1">
      <alignment horizontal="center"/>
    </xf>
    <xf numFmtId="0" fontId="12" fillId="2" borderId="0" xfId="0" applyFont="1" applyFill="1" applyAlignment="1">
      <alignment horizontal="left"/>
    </xf>
    <xf numFmtId="0" fontId="12" fillId="2" borderId="0" xfId="12" applyFont="1" applyFill="1" applyAlignment="1"/>
    <xf numFmtId="0" fontId="34" fillId="0" borderId="0" xfId="13" applyFont="1"/>
    <xf numFmtId="0" fontId="35" fillId="0" borderId="16" xfId="13" applyFont="1" applyBorder="1" applyAlignment="1"/>
    <xf numFmtId="0" fontId="34" fillId="0" borderId="0" xfId="13" applyFont="1" applyAlignment="1"/>
    <xf numFmtId="0" fontId="8" fillId="3" borderId="113" xfId="14" applyFont="1" applyFill="1" applyBorder="1"/>
    <xf numFmtId="17" fontId="5" fillId="3" borderId="81" xfId="14" applyNumberFormat="1" applyFont="1" applyFill="1" applyBorder="1" applyAlignment="1">
      <alignment vertical="top"/>
    </xf>
    <xf numFmtId="17" fontId="4" fillId="3" borderId="117" xfId="14" applyNumberFormat="1" applyFont="1" applyFill="1" applyBorder="1" applyAlignment="1">
      <alignment horizontal="center" vertical="top"/>
    </xf>
    <xf numFmtId="17" fontId="4" fillId="3" borderId="118" xfId="14" applyNumberFormat="1" applyFont="1" applyFill="1" applyBorder="1" applyAlignment="1">
      <alignment horizontal="center" vertical="top"/>
    </xf>
    <xf numFmtId="17" fontId="27" fillId="3" borderId="117" xfId="14" applyNumberFormat="1" applyFont="1" applyFill="1" applyBorder="1" applyAlignment="1">
      <alignment horizontal="center" vertical="top"/>
    </xf>
    <xf numFmtId="17" fontId="27" fillId="3" borderId="119" xfId="14" applyNumberFormat="1" applyFont="1" applyFill="1" applyBorder="1" applyAlignment="1">
      <alignment horizontal="center" vertical="top"/>
    </xf>
    <xf numFmtId="17" fontId="27" fillId="3" borderId="120" xfId="14" applyNumberFormat="1" applyFont="1" applyFill="1" applyBorder="1" applyAlignment="1">
      <alignment horizontal="center" vertical="top"/>
    </xf>
    <xf numFmtId="0" fontId="8" fillId="3" borderId="41" xfId="14" applyFont="1" applyFill="1" applyBorder="1"/>
    <xf numFmtId="3" fontId="17" fillId="3" borderId="121" xfId="15" applyNumberFormat="1" applyFont="1" applyFill="1" applyBorder="1" applyAlignment="1">
      <alignment horizontal="center"/>
    </xf>
    <xf numFmtId="3" fontId="17" fillId="3" borderId="38" xfId="15" applyNumberFormat="1" applyFont="1" applyFill="1" applyBorder="1" applyAlignment="1">
      <alignment horizontal="center"/>
    </xf>
    <xf numFmtId="3" fontId="14" fillId="3" borderId="121" xfId="15" applyNumberFormat="1" applyFont="1" applyFill="1" applyBorder="1" applyAlignment="1">
      <alignment horizontal="center"/>
    </xf>
    <xf numFmtId="3" fontId="14" fillId="3" borderId="38" xfId="15" applyNumberFormat="1" applyFont="1" applyFill="1" applyBorder="1" applyAlignment="1">
      <alignment horizontal="center"/>
    </xf>
    <xf numFmtId="3" fontId="14" fillId="3" borderId="94" xfId="15" applyNumberFormat="1" applyFont="1" applyFill="1" applyBorder="1" applyAlignment="1">
      <alignment horizontal="center"/>
    </xf>
    <xf numFmtId="0" fontId="24" fillId="0" borderId="0" xfId="13" applyFont="1"/>
    <xf numFmtId="0" fontId="8" fillId="0" borderId="122" xfId="14" applyFont="1" applyBorder="1" applyAlignment="1">
      <alignment horizontal="left" vertical="top"/>
    </xf>
    <xf numFmtId="3" fontId="3" fillId="0" borderId="123" xfId="14" applyNumberFormat="1" applyFont="1" applyBorder="1" applyAlignment="1">
      <alignment horizontal="center"/>
    </xf>
    <xf numFmtId="3" fontId="3" fillId="0" borderId="124" xfId="14" applyNumberFormat="1" applyFont="1" applyBorder="1" applyAlignment="1">
      <alignment horizontal="center"/>
    </xf>
    <xf numFmtId="3" fontId="7" fillId="0" borderId="123" xfId="14" applyNumberFormat="1" applyFont="1" applyBorder="1" applyAlignment="1">
      <alignment horizontal="center"/>
    </xf>
    <xf numFmtId="3" fontId="7" fillId="0" borderId="125" xfId="14" applyNumberFormat="1" applyFont="1" applyBorder="1" applyAlignment="1">
      <alignment horizontal="center"/>
    </xf>
    <xf numFmtId="3" fontId="7" fillId="0" borderId="126" xfId="14" applyNumberFormat="1" applyFont="1" applyBorder="1" applyAlignment="1">
      <alignment horizontal="center"/>
    </xf>
    <xf numFmtId="0" fontId="8" fillId="0" borderId="127" xfId="14" applyFont="1" applyBorder="1" applyAlignment="1">
      <alignment horizontal="left" vertical="top" wrapText="1"/>
    </xf>
    <xf numFmtId="3" fontId="3" fillId="0" borderId="128" xfId="14" applyNumberFormat="1" applyFont="1" applyBorder="1" applyAlignment="1">
      <alignment horizontal="center"/>
    </xf>
    <xf numFmtId="3" fontId="3" fillId="0" borderId="129" xfId="14" applyNumberFormat="1" applyFont="1" applyBorder="1" applyAlignment="1">
      <alignment horizontal="center"/>
    </xf>
    <xf numFmtId="3" fontId="7" fillId="0" borderId="128" xfId="14" applyNumberFormat="1" applyFont="1" applyBorder="1" applyAlignment="1">
      <alignment horizontal="center"/>
    </xf>
    <xf numFmtId="3" fontId="7" fillId="0" borderId="130" xfId="14" applyNumberFormat="1" applyFont="1" applyBorder="1" applyAlignment="1">
      <alignment horizontal="center"/>
    </xf>
    <xf numFmtId="3" fontId="7" fillId="0" borderId="131" xfId="14" applyNumberFormat="1" applyFont="1" applyBorder="1" applyAlignment="1">
      <alignment horizontal="center"/>
    </xf>
    <xf numFmtId="0" fontId="8" fillId="0" borderId="132" xfId="14" applyFont="1" applyBorder="1" applyAlignment="1">
      <alignment horizontal="left" vertical="top"/>
    </xf>
    <xf numFmtId="3" fontId="3" fillId="0" borderId="133" xfId="14" applyNumberFormat="1" applyFont="1" applyBorder="1" applyAlignment="1">
      <alignment horizontal="center"/>
    </xf>
    <xf numFmtId="3" fontId="3" fillId="0" borderId="134" xfId="14" applyNumberFormat="1" applyFont="1" applyBorder="1" applyAlignment="1">
      <alignment horizontal="center"/>
    </xf>
    <xf numFmtId="3" fontId="7" fillId="0" borderId="133" xfId="14" applyNumberFormat="1" applyFont="1" applyBorder="1" applyAlignment="1">
      <alignment horizontal="center"/>
    </xf>
    <xf numFmtId="3" fontId="7" fillId="0" borderId="135" xfId="14" applyNumberFormat="1" applyFont="1" applyBorder="1" applyAlignment="1">
      <alignment horizontal="center"/>
    </xf>
    <xf numFmtId="3" fontId="7" fillId="0" borderId="136" xfId="14" applyNumberFormat="1" applyFont="1" applyBorder="1" applyAlignment="1">
      <alignment horizontal="center"/>
    </xf>
    <xf numFmtId="3" fontId="3" fillId="0" borderId="123" xfId="15" applyNumberFormat="1" applyFont="1" applyFill="1" applyBorder="1" applyAlignment="1">
      <alignment horizontal="center"/>
    </xf>
    <xf numFmtId="3" fontId="3" fillId="0" borderId="124" xfId="15" applyNumberFormat="1" applyFont="1" applyFill="1" applyBorder="1" applyAlignment="1">
      <alignment horizontal="center"/>
    </xf>
    <xf numFmtId="3" fontId="7" fillId="0" borderId="123" xfId="15" applyNumberFormat="1" applyFont="1" applyFill="1" applyBorder="1" applyAlignment="1">
      <alignment horizontal="center"/>
    </xf>
    <xf numFmtId="3" fontId="7" fillId="0" borderId="125" xfId="15" applyNumberFormat="1" applyFont="1" applyFill="1" applyBorder="1" applyAlignment="1">
      <alignment horizontal="center"/>
    </xf>
    <xf numFmtId="3" fontId="7" fillId="0" borderId="126" xfId="15" applyNumberFormat="1" applyFont="1" applyFill="1" applyBorder="1" applyAlignment="1">
      <alignment horizontal="center"/>
    </xf>
    <xf numFmtId="3" fontId="3" fillId="0" borderId="128" xfId="15" applyNumberFormat="1" applyFont="1" applyFill="1" applyBorder="1" applyAlignment="1">
      <alignment horizontal="center"/>
    </xf>
    <xf numFmtId="3" fontId="3" fillId="0" borderId="129" xfId="15" applyNumberFormat="1" applyFont="1" applyFill="1" applyBorder="1" applyAlignment="1">
      <alignment horizontal="center"/>
    </xf>
    <xf numFmtId="3" fontId="7" fillId="0" borderId="128" xfId="15" applyNumberFormat="1" applyFont="1" applyFill="1" applyBorder="1" applyAlignment="1">
      <alignment horizontal="center"/>
    </xf>
    <xf numFmtId="3" fontId="7" fillId="0" borderId="130" xfId="15" applyNumberFormat="1" applyFont="1" applyFill="1" applyBorder="1" applyAlignment="1">
      <alignment horizontal="center"/>
    </xf>
    <xf numFmtId="3" fontId="7" fillId="0" borderId="131" xfId="15" applyNumberFormat="1" applyFont="1" applyFill="1" applyBorder="1" applyAlignment="1">
      <alignment horizontal="center"/>
    </xf>
    <xf numFmtId="3" fontId="3" fillId="0" borderId="133" xfId="15" applyNumberFormat="1" applyFont="1" applyFill="1" applyBorder="1" applyAlignment="1">
      <alignment horizontal="center"/>
    </xf>
    <xf numFmtId="3" fontId="3" fillId="0" borderId="134" xfId="15" applyNumberFormat="1" applyFont="1" applyFill="1" applyBorder="1" applyAlignment="1">
      <alignment horizontal="center"/>
    </xf>
    <xf numFmtId="3" fontId="7" fillId="0" borderId="133" xfId="15" applyNumberFormat="1" applyFont="1" applyFill="1" applyBorder="1" applyAlignment="1">
      <alignment horizontal="center"/>
    </xf>
    <xf numFmtId="3" fontId="7" fillId="0" borderId="135" xfId="15" applyNumberFormat="1" applyFont="1" applyFill="1" applyBorder="1" applyAlignment="1">
      <alignment horizontal="center"/>
    </xf>
    <xf numFmtId="3" fontId="7" fillId="0" borderId="136" xfId="15" applyNumberFormat="1" applyFont="1" applyFill="1" applyBorder="1" applyAlignment="1">
      <alignment horizontal="center"/>
    </xf>
    <xf numFmtId="0" fontId="4" fillId="2" borderId="0" xfId="14" applyFont="1" applyFill="1" applyAlignment="1">
      <alignment vertical="center"/>
    </xf>
    <xf numFmtId="0" fontId="36" fillId="2" borderId="0" xfId="14" applyFont="1" applyFill="1" applyAlignment="1">
      <alignment vertical="center"/>
    </xf>
    <xf numFmtId="0" fontId="36" fillId="2" borderId="0" xfId="14" applyFont="1" applyFill="1" applyAlignment="1">
      <alignment horizontal="left" vertical="center"/>
    </xf>
    <xf numFmtId="0" fontId="3" fillId="0" borderId="0" xfId="13" applyFont="1" applyAlignment="1">
      <alignment vertical="center"/>
    </xf>
    <xf numFmtId="0" fontId="4" fillId="0" borderId="0" xfId="13" applyFont="1" applyAlignment="1">
      <alignment vertical="center"/>
    </xf>
    <xf numFmtId="0" fontId="0" fillId="0" borderId="0" xfId="0" applyAlignment="1">
      <alignment vertical="center"/>
    </xf>
    <xf numFmtId="0" fontId="37" fillId="0" borderId="0" xfId="13" applyFont="1"/>
    <xf numFmtId="0" fontId="12" fillId="0" borderId="0" xfId="17" applyFont="1" applyFill="1" applyAlignment="1">
      <alignment vertical="center"/>
    </xf>
    <xf numFmtId="0" fontId="19" fillId="2" borderId="0" xfId="17" applyFont="1" applyFill="1" applyAlignment="1">
      <alignment vertical="center"/>
    </xf>
    <xf numFmtId="0" fontId="19" fillId="2" borderId="0" xfId="17" applyFont="1" applyFill="1" applyAlignment="1">
      <alignment horizontal="center" vertical="center"/>
    </xf>
    <xf numFmtId="0" fontId="3" fillId="2" borderId="0" xfId="17" applyFont="1" applyFill="1" applyAlignment="1">
      <alignment vertical="center"/>
    </xf>
    <xf numFmtId="0" fontId="3" fillId="2" borderId="0" xfId="17" applyFont="1" applyFill="1" applyAlignment="1">
      <alignment horizontal="center" vertical="center"/>
    </xf>
    <xf numFmtId="0" fontId="17" fillId="2" borderId="0" xfId="17" applyFont="1" applyFill="1" applyAlignment="1">
      <alignment vertical="center"/>
    </xf>
    <xf numFmtId="0" fontId="9" fillId="2" borderId="0" xfId="17" applyFont="1" applyFill="1" applyAlignment="1">
      <alignment vertical="center"/>
    </xf>
    <xf numFmtId="0" fontId="8" fillId="3" borderId="44" xfId="17" applyFont="1" applyFill="1" applyBorder="1" applyAlignment="1">
      <alignment horizontal="center" vertical="center"/>
    </xf>
    <xf numFmtId="0" fontId="8" fillId="3" borderId="5" xfId="17" applyFont="1" applyFill="1" applyBorder="1" applyAlignment="1">
      <alignment horizontal="center" vertical="center"/>
    </xf>
    <xf numFmtId="2" fontId="8" fillId="3" borderId="44" xfId="17" applyNumberFormat="1" applyFont="1" applyFill="1" applyBorder="1" applyAlignment="1">
      <alignment horizontal="center" vertical="center"/>
    </xf>
    <xf numFmtId="0" fontId="8" fillId="3" borderId="4" xfId="17" applyFont="1" applyFill="1" applyBorder="1" applyAlignment="1">
      <alignment horizontal="center" vertical="center"/>
    </xf>
    <xf numFmtId="0" fontId="27" fillId="3" borderId="5" xfId="17" applyFont="1" applyFill="1" applyBorder="1" applyAlignment="1">
      <alignment horizontal="center" vertical="center"/>
    </xf>
    <xf numFmtId="2" fontId="8" fillId="3" borderId="5" xfId="17" applyNumberFormat="1" applyFont="1" applyFill="1" applyBorder="1" applyAlignment="1">
      <alignment horizontal="center" vertical="center"/>
    </xf>
    <xf numFmtId="0" fontId="8" fillId="3" borderId="11" xfId="17" applyFont="1" applyFill="1" applyBorder="1" applyAlignment="1">
      <alignment horizontal="center" vertical="center"/>
    </xf>
    <xf numFmtId="2" fontId="8" fillId="3" borderId="11" xfId="17" applyNumberFormat="1" applyFont="1" applyFill="1" applyBorder="1" applyAlignment="1">
      <alignment horizontal="center" vertical="center"/>
    </xf>
    <xf numFmtId="0" fontId="27" fillId="3" borderId="11" xfId="17" applyFont="1" applyFill="1" applyBorder="1" applyAlignment="1">
      <alignment horizontal="center" vertical="center"/>
    </xf>
    <xf numFmtId="0" fontId="27" fillId="3" borderId="10" xfId="17" applyFont="1" applyFill="1" applyBorder="1" applyAlignment="1">
      <alignment horizontal="center" vertical="center"/>
    </xf>
    <xf numFmtId="17" fontId="17" fillId="6" borderId="6" xfId="17" applyNumberFormat="1" applyFont="1" applyFill="1" applyBorder="1" applyAlignment="1">
      <alignment horizontal="left" vertical="center"/>
    </xf>
    <xf numFmtId="1" fontId="3" fillId="2" borderId="5" xfId="17" applyNumberFormat="1" applyFont="1" applyFill="1" applyBorder="1" applyAlignment="1">
      <alignment vertical="center"/>
    </xf>
    <xf numFmtId="2" fontId="3" fillId="2" borderId="5" xfId="17" applyNumberFormat="1" applyFont="1" applyFill="1" applyBorder="1" applyAlignment="1">
      <alignment horizontal="center" vertical="center"/>
    </xf>
    <xf numFmtId="2" fontId="3" fillId="2" borderId="5" xfId="17" applyNumberFormat="1" applyFont="1" applyFill="1" applyBorder="1" applyAlignment="1">
      <alignment vertical="center"/>
    </xf>
    <xf numFmtId="43" fontId="3" fillId="2" borderId="5" xfId="18" applyFont="1" applyFill="1" applyBorder="1" applyAlignment="1">
      <alignment horizontal="right" vertical="center"/>
    </xf>
    <xf numFmtId="179" fontId="3" fillId="2" borderId="5" xfId="18" applyNumberFormat="1" applyFont="1" applyFill="1" applyBorder="1" applyAlignment="1">
      <alignment vertical="center"/>
    </xf>
    <xf numFmtId="179" fontId="3" fillId="2" borderId="4" xfId="18" applyNumberFormat="1" applyFont="1" applyFill="1" applyBorder="1" applyAlignment="1">
      <alignment vertical="center"/>
    </xf>
    <xf numFmtId="43" fontId="3" fillId="2" borderId="5" xfId="18" applyFont="1" applyFill="1" applyBorder="1" applyAlignment="1">
      <alignment horizontal="center" vertical="center"/>
    </xf>
    <xf numFmtId="43" fontId="3" fillId="2" borderId="5" xfId="18" applyFont="1" applyFill="1" applyBorder="1" applyAlignment="1">
      <alignment vertical="center"/>
    </xf>
    <xf numFmtId="0" fontId="3" fillId="2" borderId="5" xfId="17" applyFont="1" applyFill="1" applyBorder="1" applyAlignment="1">
      <alignment vertical="center"/>
    </xf>
    <xf numFmtId="1" fontId="3" fillId="2" borderId="5" xfId="17" applyNumberFormat="1" applyFont="1" applyFill="1" applyBorder="1" applyAlignment="1">
      <alignment horizontal="center" vertical="center"/>
    </xf>
    <xf numFmtId="179" fontId="3" fillId="2" borderId="5" xfId="18" applyNumberFormat="1" applyFont="1" applyFill="1" applyBorder="1" applyAlignment="1">
      <alignment horizontal="center" vertical="center"/>
    </xf>
    <xf numFmtId="179" fontId="3" fillId="2" borderId="4" xfId="18" applyNumberFormat="1" applyFont="1" applyFill="1" applyBorder="1" applyAlignment="1">
      <alignment horizontal="center" vertical="center"/>
    </xf>
    <xf numFmtId="17" fontId="17" fillId="7" borderId="6" xfId="17" applyNumberFormat="1" applyFont="1" applyFill="1" applyBorder="1" applyAlignment="1">
      <alignment horizontal="left" vertical="center"/>
    </xf>
    <xf numFmtId="17" fontId="17" fillId="5" borderId="6" xfId="17" applyNumberFormat="1" applyFont="1" applyFill="1" applyBorder="1" applyAlignment="1">
      <alignment horizontal="left" vertical="center"/>
    </xf>
    <xf numFmtId="17" fontId="17" fillId="5" borderId="6" xfId="19" applyNumberFormat="1" applyFont="1" applyFill="1" applyBorder="1" applyAlignment="1">
      <alignment horizontal="left" vertical="center"/>
    </xf>
    <xf numFmtId="1" fontId="3" fillId="2" borderId="5" xfId="19" applyNumberFormat="1" applyFont="1" applyFill="1" applyBorder="1" applyAlignment="1">
      <alignment horizontal="center" vertical="center"/>
    </xf>
    <xf numFmtId="43" fontId="3" fillId="2" borderId="5" xfId="20" applyFont="1" applyFill="1" applyBorder="1" applyAlignment="1">
      <alignment horizontal="center" vertical="center"/>
    </xf>
    <xf numFmtId="43" fontId="3" fillId="2" borderId="5" xfId="20" applyFont="1" applyFill="1" applyBorder="1" applyAlignment="1">
      <alignment vertical="center"/>
    </xf>
    <xf numFmtId="43" fontId="3" fillId="2" borderId="5" xfId="20" applyFont="1" applyFill="1" applyBorder="1" applyAlignment="1">
      <alignment horizontal="right" vertical="center"/>
    </xf>
    <xf numFmtId="179" fontId="3" fillId="2" borderId="5" xfId="20" applyNumberFormat="1" applyFont="1" applyFill="1" applyBorder="1" applyAlignment="1">
      <alignment vertical="center"/>
    </xf>
    <xf numFmtId="179" fontId="3" fillId="2" borderId="4" xfId="20" applyNumberFormat="1" applyFont="1" applyFill="1" applyBorder="1" applyAlignment="1">
      <alignment vertical="center"/>
    </xf>
    <xf numFmtId="17" fontId="12" fillId="4" borderId="6" xfId="17" applyNumberFormat="1" applyFont="1" applyFill="1" applyBorder="1" applyAlignment="1">
      <alignment horizontal="left" vertical="center"/>
    </xf>
    <xf numFmtId="1" fontId="9" fillId="2" borderId="5" xfId="17" applyNumberFormat="1" applyFont="1" applyFill="1" applyBorder="1" applyAlignment="1">
      <alignment horizontal="center" vertical="center"/>
    </xf>
    <xf numFmtId="43" fontId="9" fillId="2" borderId="5" xfId="18" applyFont="1" applyFill="1" applyBorder="1" applyAlignment="1">
      <alignment horizontal="center" vertical="center"/>
    </xf>
    <xf numFmtId="43" fontId="9" fillId="2" borderId="5" xfId="18" applyFont="1" applyFill="1" applyBorder="1" applyAlignment="1">
      <alignment vertical="center"/>
    </xf>
    <xf numFmtId="43" fontId="9" fillId="2" borderId="5" xfId="18" applyFont="1" applyFill="1" applyBorder="1" applyAlignment="1">
      <alignment horizontal="right" vertical="center"/>
    </xf>
    <xf numFmtId="179" fontId="9" fillId="2" borderId="5" xfId="20" applyNumberFormat="1" applyFont="1" applyFill="1" applyBorder="1" applyAlignment="1">
      <alignment vertical="center"/>
    </xf>
    <xf numFmtId="179" fontId="9" fillId="2" borderId="4" xfId="20" applyNumberFormat="1" applyFont="1" applyFill="1" applyBorder="1" applyAlignment="1">
      <alignment vertical="center"/>
    </xf>
    <xf numFmtId="17" fontId="8" fillId="3" borderId="6" xfId="17" applyNumberFormat="1" applyFont="1" applyFill="1" applyBorder="1" applyAlignment="1">
      <alignment horizontal="left" vertical="center"/>
    </xf>
    <xf numFmtId="1" fontId="7" fillId="2" borderId="5" xfId="17" applyNumberFormat="1" applyFont="1" applyFill="1" applyBorder="1" applyAlignment="1">
      <alignment horizontal="center" vertical="center"/>
    </xf>
    <xf numFmtId="43" fontId="7" fillId="2" borderId="5" xfId="18" applyFont="1" applyFill="1" applyBorder="1" applyAlignment="1">
      <alignment horizontal="center" vertical="center"/>
    </xf>
    <xf numFmtId="43" fontId="7" fillId="2" borderId="5" xfId="18" applyFont="1" applyFill="1" applyBorder="1" applyAlignment="1">
      <alignment vertical="center"/>
    </xf>
    <xf numFmtId="43" fontId="7" fillId="2" borderId="5" xfId="18" applyFont="1" applyFill="1" applyBorder="1" applyAlignment="1">
      <alignment horizontal="right" vertical="center"/>
    </xf>
    <xf numFmtId="179" fontId="7" fillId="2" borderId="5" xfId="20" applyNumberFormat="1" applyFont="1" applyFill="1" applyBorder="1" applyAlignment="1">
      <alignment vertical="center"/>
    </xf>
    <xf numFmtId="179" fontId="7" fillId="2" borderId="4" xfId="20" applyNumberFormat="1" applyFont="1" applyFill="1" applyBorder="1" applyAlignment="1">
      <alignment vertical="center"/>
    </xf>
    <xf numFmtId="17" fontId="8" fillId="3" borderId="6" xfId="17" quotePrefix="1" applyNumberFormat="1" applyFont="1" applyFill="1" applyBorder="1" applyAlignment="1">
      <alignment horizontal="left" vertical="center"/>
    </xf>
    <xf numFmtId="179" fontId="7" fillId="2" borderId="5" xfId="20" applyNumberFormat="1" applyFont="1" applyFill="1" applyBorder="1" applyAlignment="1">
      <alignment horizontal="center" vertical="center"/>
    </xf>
    <xf numFmtId="179" fontId="7" fillId="2" borderId="4" xfId="20" applyNumberFormat="1" applyFont="1" applyFill="1" applyBorder="1" applyAlignment="1">
      <alignment horizontal="center" vertical="center"/>
    </xf>
    <xf numFmtId="0" fontId="4" fillId="2" borderId="0" xfId="17" applyFont="1" applyFill="1" applyAlignment="1">
      <alignment vertical="center"/>
    </xf>
    <xf numFmtId="17" fontId="8" fillId="3" borderId="3" xfId="17" quotePrefix="1" applyNumberFormat="1" applyFont="1" applyFill="1" applyBorder="1" applyAlignment="1">
      <alignment horizontal="left" vertical="center"/>
    </xf>
    <xf numFmtId="1" fontId="7" fillId="2" borderId="2" xfId="17" applyNumberFormat="1" applyFont="1" applyFill="1" applyBorder="1" applyAlignment="1">
      <alignment horizontal="center" vertical="center"/>
    </xf>
    <xf numFmtId="43" fontId="7" fillId="2" borderId="2" xfId="18" applyFont="1" applyFill="1" applyBorder="1" applyAlignment="1">
      <alignment horizontal="center" vertical="center"/>
    </xf>
    <xf numFmtId="179" fontId="7" fillId="2" borderId="2" xfId="20" applyNumberFormat="1" applyFont="1" applyFill="1" applyBorder="1" applyAlignment="1">
      <alignment horizontal="center" vertical="center"/>
    </xf>
    <xf numFmtId="179" fontId="7" fillId="2" borderId="1" xfId="20" applyNumberFormat="1" applyFont="1" applyFill="1" applyBorder="1" applyAlignment="1">
      <alignment horizontal="center" vertical="center"/>
    </xf>
    <xf numFmtId="0" fontId="4" fillId="2" borderId="0" xfId="17" applyFont="1" applyFill="1"/>
    <xf numFmtId="0" fontId="4" fillId="2" borderId="0" xfId="17" applyFont="1" applyFill="1" applyAlignment="1">
      <alignment horizontal="right" vertical="center"/>
    </xf>
    <xf numFmtId="3" fontId="8" fillId="3" borderId="137" xfId="17" applyNumberFormat="1" applyFont="1" applyFill="1" applyBorder="1" applyAlignment="1">
      <alignment horizontal="center" vertical="center"/>
    </xf>
    <xf numFmtId="3" fontId="8" fillId="3" borderId="109" xfId="17" applyNumberFormat="1" applyFont="1" applyFill="1" applyBorder="1" applyAlignment="1">
      <alignment horizontal="center" vertical="center"/>
    </xf>
    <xf numFmtId="3" fontId="8" fillId="3" borderId="108" xfId="17" applyNumberFormat="1" applyFont="1" applyFill="1" applyBorder="1" applyAlignment="1">
      <alignment horizontal="center" vertical="center" wrapText="1"/>
    </xf>
    <xf numFmtId="181" fontId="40" fillId="2" borderId="0" xfId="21" applyNumberFormat="1" applyFont="1" applyFill="1"/>
    <xf numFmtId="17" fontId="8" fillId="8" borderId="6" xfId="17" applyNumberFormat="1" applyFont="1" applyFill="1" applyBorder="1" applyAlignment="1">
      <alignment horizontal="left" vertical="center"/>
    </xf>
    <xf numFmtId="165" fontId="7" fillId="2" borderId="5" xfId="17" applyNumberFormat="1" applyFont="1" applyFill="1" applyBorder="1" applyAlignment="1">
      <alignment horizontal="right" vertical="center"/>
    </xf>
    <xf numFmtId="165" fontId="7" fillId="2" borderId="5" xfId="17" applyNumberFormat="1" applyFont="1" applyFill="1" applyBorder="1" applyAlignment="1">
      <alignment horizontal="center" vertical="center"/>
    </xf>
    <xf numFmtId="3" fontId="7" fillId="2" borderId="4" xfId="17" quotePrefix="1" applyNumberFormat="1" applyFont="1" applyFill="1" applyBorder="1" applyAlignment="1">
      <alignment horizontal="center" vertical="center"/>
    </xf>
    <xf numFmtId="3" fontId="3" fillId="2" borderId="0" xfId="17" quotePrefix="1" applyNumberFormat="1" applyFont="1" applyFill="1" applyAlignment="1">
      <alignment horizontal="center" vertical="center"/>
    </xf>
    <xf numFmtId="3" fontId="3" fillId="2" borderId="0" xfId="17" applyNumberFormat="1" applyFont="1" applyFill="1" applyAlignment="1">
      <alignment vertical="center"/>
    </xf>
    <xf numFmtId="4" fontId="3" fillId="2" borderId="0" xfId="17" applyNumberFormat="1" applyFont="1" applyFill="1" applyAlignment="1">
      <alignment vertical="center"/>
    </xf>
    <xf numFmtId="165" fontId="3" fillId="2" borderId="0" xfId="17" applyNumberFormat="1" applyFont="1" applyFill="1" applyAlignment="1">
      <alignment vertical="center"/>
    </xf>
    <xf numFmtId="2" fontId="3" fillId="2" borderId="0" xfId="17" applyNumberFormat="1" applyFont="1" applyFill="1" applyAlignment="1">
      <alignment vertical="center"/>
    </xf>
    <xf numFmtId="165" fontId="7" fillId="2" borderId="4" xfId="17" quotePrefix="1" applyNumberFormat="1" applyFont="1" applyFill="1" applyBorder="1" applyAlignment="1">
      <alignment horizontal="center" vertical="center"/>
    </xf>
    <xf numFmtId="165" fontId="7" fillId="0" borderId="5" xfId="17" applyNumberFormat="1" applyFont="1" applyBorder="1" applyAlignment="1">
      <alignment horizontal="center" vertical="center"/>
    </xf>
    <xf numFmtId="173" fontId="3" fillId="2" borderId="0" xfId="17" applyNumberFormat="1" applyFont="1" applyFill="1" applyAlignment="1">
      <alignment vertical="center"/>
    </xf>
    <xf numFmtId="165" fontId="7" fillId="0" borderId="4" xfId="17" quotePrefix="1" applyNumberFormat="1" applyFont="1" applyBorder="1" applyAlignment="1">
      <alignment horizontal="center" vertical="center"/>
    </xf>
    <xf numFmtId="165" fontId="41" fillId="2" borderId="0" xfId="17" applyNumberFormat="1" applyFont="1" applyFill="1" applyAlignment="1">
      <alignment vertical="center"/>
    </xf>
    <xf numFmtId="43" fontId="40" fillId="2" borderId="0" xfId="15" applyFont="1" applyFill="1"/>
    <xf numFmtId="43" fontId="3" fillId="2" borderId="0" xfId="17" applyNumberFormat="1" applyFont="1" applyFill="1" applyAlignment="1">
      <alignment vertical="center"/>
    </xf>
    <xf numFmtId="174" fontId="40" fillId="2" borderId="0" xfId="15" applyNumberFormat="1" applyFont="1" applyFill="1"/>
    <xf numFmtId="165" fontId="3" fillId="0" borderId="0" xfId="17" applyNumberFormat="1" applyFont="1" applyFill="1" applyAlignment="1">
      <alignment vertical="center"/>
    </xf>
    <xf numFmtId="4" fontId="4" fillId="2" borderId="0" xfId="17" applyNumberFormat="1" applyFont="1" applyFill="1" applyAlignment="1">
      <alignment vertical="center"/>
    </xf>
    <xf numFmtId="3" fontId="8" fillId="3" borderId="138" xfId="17" applyNumberFormat="1" applyFont="1" applyFill="1" applyBorder="1" applyAlignment="1">
      <alignment horizontal="left" vertical="center"/>
    </xf>
    <xf numFmtId="165" fontId="14" fillId="3" borderId="70" xfId="17" quotePrefix="1" applyNumberFormat="1" applyFont="1" applyFill="1" applyBorder="1" applyAlignment="1">
      <alignment horizontal="center" vertical="center"/>
    </xf>
    <xf numFmtId="165" fontId="14" fillId="3" borderId="69" xfId="17" quotePrefix="1" applyNumberFormat="1" applyFont="1" applyFill="1" applyBorder="1" applyAlignment="1">
      <alignment horizontal="center" vertical="center"/>
    </xf>
    <xf numFmtId="165" fontId="4" fillId="2" borderId="0" xfId="17" applyNumberFormat="1" applyFont="1" applyFill="1" applyAlignment="1">
      <alignment vertical="center"/>
    </xf>
    <xf numFmtId="3" fontId="4" fillId="2" borderId="0" xfId="17" applyNumberFormat="1" applyFont="1" applyFill="1" applyAlignment="1">
      <alignment vertical="center"/>
    </xf>
    <xf numFmtId="17" fontId="3" fillId="2" borderId="0" xfId="17" applyNumberFormat="1" applyFont="1" applyFill="1" applyAlignment="1">
      <alignment vertical="center"/>
    </xf>
    <xf numFmtId="3" fontId="3" fillId="2" borderId="0" xfId="17" applyNumberFormat="1" applyFont="1" applyFill="1" applyAlignment="1">
      <alignment horizontal="center" vertical="center"/>
    </xf>
    <xf numFmtId="3" fontId="42" fillId="2" borderId="0" xfId="17" applyNumberFormat="1" applyFont="1" applyFill="1" applyAlignment="1">
      <alignment vertical="center"/>
    </xf>
    <xf numFmtId="0" fontId="4" fillId="2" borderId="0" xfId="17" applyFont="1" applyFill="1" applyAlignment="1">
      <alignment horizontal="center" vertical="center"/>
    </xf>
    <xf numFmtId="3" fontId="4" fillId="2" borderId="0" xfId="17" applyNumberFormat="1" applyFont="1" applyFill="1" applyAlignment="1">
      <alignment horizontal="center" vertical="center"/>
    </xf>
    <xf numFmtId="43" fontId="3" fillId="2" borderId="0" xfId="15" applyFont="1" applyFill="1" applyAlignment="1">
      <alignment vertical="center"/>
    </xf>
    <xf numFmtId="4" fontId="4" fillId="2" borderId="0" xfId="17" applyNumberFormat="1" applyFont="1" applyFill="1" applyAlignment="1">
      <alignment horizontal="center" vertical="center"/>
    </xf>
    <xf numFmtId="179" fontId="3" fillId="2" borderId="0" xfId="18" applyNumberFormat="1" applyFont="1" applyFill="1" applyAlignment="1">
      <alignment vertical="center"/>
    </xf>
    <xf numFmtId="0" fontId="12" fillId="2" borderId="0" xfId="17" applyFont="1" applyFill="1" applyAlignment="1">
      <alignment vertical="center"/>
    </xf>
    <xf numFmtId="0" fontId="43" fillId="9" borderId="0" xfId="17" applyFont="1" applyFill="1" applyAlignment="1">
      <alignment horizontal="center" vertical="center"/>
    </xf>
    <xf numFmtId="0" fontId="43" fillId="9" borderId="0" xfId="17" applyFont="1" applyFill="1" applyAlignment="1">
      <alignment vertical="center"/>
    </xf>
    <xf numFmtId="0" fontId="43" fillId="0" borderId="0" xfId="17" applyFont="1" applyFill="1" applyAlignment="1">
      <alignment vertical="center"/>
    </xf>
    <xf numFmtId="0" fontId="43" fillId="2" borderId="0" xfId="17" applyFont="1" applyFill="1" applyAlignment="1">
      <alignment vertical="center"/>
    </xf>
    <xf numFmtId="0" fontId="3" fillId="2" borderId="0" xfId="11" applyFont="1" applyFill="1"/>
    <xf numFmtId="0" fontId="3" fillId="2" borderId="0" xfId="8" applyFont="1" applyFill="1" applyAlignment="1">
      <alignment vertical="center"/>
    </xf>
    <xf numFmtId="0" fontId="8" fillId="3" borderId="139" xfId="11" applyFont="1" applyFill="1" applyBorder="1" applyAlignment="1">
      <alignment horizontal="center"/>
    </xf>
    <xf numFmtId="0" fontId="9" fillId="2" borderId="0" xfId="8" applyFont="1" applyFill="1" applyAlignment="1">
      <alignment vertical="center"/>
    </xf>
    <xf numFmtId="0" fontId="8" fillId="3" borderId="143" xfId="11" applyFont="1" applyFill="1" applyBorder="1" applyAlignment="1">
      <alignment horizontal="center"/>
    </xf>
    <xf numFmtId="0" fontId="27" fillId="3" borderId="145" xfId="11" applyFont="1" applyFill="1" applyBorder="1" applyAlignment="1">
      <alignment horizontal="center"/>
    </xf>
    <xf numFmtId="0" fontId="27" fillId="3" borderId="46" xfId="11" applyFont="1" applyFill="1" applyBorder="1" applyAlignment="1">
      <alignment horizontal="center" vertical="top"/>
    </xf>
    <xf numFmtId="0" fontId="27" fillId="3" borderId="1" xfId="11" applyFont="1" applyFill="1" applyBorder="1" applyAlignment="1">
      <alignment horizontal="center" vertical="top"/>
    </xf>
    <xf numFmtId="0" fontId="27" fillId="2" borderId="0" xfId="8" applyFont="1" applyFill="1" applyAlignment="1">
      <alignment vertical="center"/>
    </xf>
    <xf numFmtId="0" fontId="8" fillId="3" borderId="6" xfId="11" applyFont="1" applyFill="1" applyBorder="1" applyAlignment="1">
      <alignment vertical="center"/>
    </xf>
    <xf numFmtId="3" fontId="7" fillId="2" borderId="53" xfId="11" applyNumberFormat="1" applyFont="1" applyFill="1" applyBorder="1" applyAlignment="1">
      <alignment horizontal="center" vertical="center"/>
    </xf>
    <xf numFmtId="3" fontId="7" fillId="2" borderId="51" xfId="11" applyNumberFormat="1" applyFont="1" applyFill="1" applyBorder="1" applyAlignment="1">
      <alignment horizontal="center" vertical="center"/>
    </xf>
    <xf numFmtId="3" fontId="7" fillId="2" borderId="118" xfId="11" applyNumberFormat="1" applyFont="1" applyFill="1" applyBorder="1" applyAlignment="1">
      <alignment horizontal="center" vertical="center"/>
    </xf>
    <xf numFmtId="3" fontId="7" fillId="2" borderId="53" xfId="11" quotePrefix="1" applyNumberFormat="1" applyFont="1" applyFill="1" applyBorder="1" applyAlignment="1">
      <alignment horizontal="center" vertical="center"/>
    </xf>
    <xf numFmtId="3" fontId="7" fillId="2" borderId="4" xfId="11" applyNumberFormat="1" applyFont="1" applyFill="1" applyBorder="1" applyAlignment="1">
      <alignment horizontal="center" vertical="center"/>
    </xf>
    <xf numFmtId="3" fontId="3" fillId="2" borderId="0" xfId="8" applyNumberFormat="1" applyFont="1" applyFill="1" applyAlignment="1">
      <alignment vertical="center"/>
    </xf>
    <xf numFmtId="3" fontId="7" fillId="0" borderId="51" xfId="11" applyNumberFormat="1" applyFont="1" applyBorder="1" applyAlignment="1">
      <alignment horizontal="center" vertical="center"/>
    </xf>
    <xf numFmtId="3" fontId="7" fillId="0" borderId="53" xfId="11" applyNumberFormat="1" applyFont="1" applyBorder="1" applyAlignment="1">
      <alignment horizontal="center" vertical="center"/>
    </xf>
    <xf numFmtId="3" fontId="7" fillId="0" borderId="53" xfId="11" quotePrefix="1" applyNumberFormat="1" applyFont="1" applyFill="1" applyBorder="1" applyAlignment="1">
      <alignment horizontal="center" vertical="center"/>
    </xf>
    <xf numFmtId="3" fontId="7" fillId="0" borderId="118" xfId="11" applyNumberFormat="1" applyFont="1" applyBorder="1" applyAlignment="1">
      <alignment horizontal="center" vertical="center"/>
    </xf>
    <xf numFmtId="3" fontId="7" fillId="0" borderId="147" xfId="11" applyNumberFormat="1" applyFont="1" applyBorder="1" applyAlignment="1">
      <alignment horizontal="center" vertical="center"/>
    </xf>
    <xf numFmtId="3" fontId="7" fillId="2" borderId="147" xfId="11" applyNumberFormat="1" applyFont="1" applyFill="1" applyBorder="1" applyAlignment="1">
      <alignment horizontal="center" vertical="center"/>
    </xf>
    <xf numFmtId="3" fontId="27" fillId="2" borderId="4" xfId="11" applyNumberFormat="1" applyFont="1" applyFill="1" applyBorder="1" applyAlignment="1">
      <alignment horizontal="center" vertical="center"/>
    </xf>
    <xf numFmtId="3" fontId="7" fillId="2" borderId="51" xfId="11" quotePrefix="1" applyNumberFormat="1" applyFont="1" applyFill="1" applyBorder="1" applyAlignment="1">
      <alignment horizontal="center" vertical="center"/>
    </xf>
    <xf numFmtId="3" fontId="7" fillId="0" borderId="4" xfId="11" applyNumberFormat="1" applyFont="1" applyFill="1" applyBorder="1" applyAlignment="1">
      <alignment horizontal="center" vertical="center"/>
    </xf>
    <xf numFmtId="3" fontId="7" fillId="0" borderId="147" xfId="11" applyNumberFormat="1" applyFont="1" applyFill="1" applyBorder="1" applyAlignment="1">
      <alignment horizontal="center" vertical="center"/>
    </xf>
    <xf numFmtId="0" fontId="8" fillId="3" borderId="138" xfId="11" applyFont="1" applyFill="1" applyBorder="1" applyAlignment="1">
      <alignment horizontal="left" vertical="center"/>
    </xf>
    <xf numFmtId="3" fontId="14" fillId="3" borderId="148" xfId="11" applyNumberFormat="1" applyFont="1" applyFill="1" applyBorder="1" applyAlignment="1">
      <alignment horizontal="center" vertical="center"/>
    </xf>
    <xf numFmtId="3" fontId="14" fillId="3" borderId="149" xfId="11" applyNumberFormat="1" applyFont="1" applyFill="1" applyBorder="1" applyAlignment="1">
      <alignment horizontal="center" vertical="center"/>
    </xf>
    <xf numFmtId="3" fontId="14" fillId="3" borderId="150" xfId="11" applyNumberFormat="1" applyFont="1" applyFill="1" applyBorder="1" applyAlignment="1">
      <alignment horizontal="center" vertical="center"/>
    </xf>
    <xf numFmtId="3" fontId="14" fillId="3" borderId="69" xfId="11" applyNumberFormat="1" applyFont="1" applyFill="1" applyBorder="1" applyAlignment="1">
      <alignment horizontal="center" vertical="center"/>
    </xf>
    <xf numFmtId="3" fontId="14" fillId="3" borderId="151" xfId="11" applyNumberFormat="1" applyFont="1" applyFill="1" applyBorder="1" applyAlignment="1">
      <alignment horizontal="center" vertical="center"/>
    </xf>
    <xf numFmtId="0" fontId="4" fillId="2" borderId="0" xfId="7" applyFont="1" applyFill="1"/>
    <xf numFmtId="0" fontId="4" fillId="2" borderId="0" xfId="7" applyFont="1" applyFill="1" applyBorder="1" applyAlignment="1">
      <alignment horizontal="left" vertical="center" wrapText="1"/>
    </xf>
    <xf numFmtId="0" fontId="4" fillId="2" borderId="0" xfId="7" applyFont="1" applyFill="1" applyAlignment="1">
      <alignment vertical="center"/>
    </xf>
    <xf numFmtId="3" fontId="4" fillId="2" borderId="0" xfId="11" applyNumberFormat="1" applyFont="1" applyFill="1" applyAlignment="1">
      <alignment vertical="center"/>
    </xf>
    <xf numFmtId="165" fontId="4" fillId="2" borderId="0" xfId="8" applyNumberFormat="1" applyFont="1" applyFill="1" applyAlignment="1">
      <alignment vertical="center"/>
    </xf>
    <xf numFmtId="3" fontId="4" fillId="2" borderId="0" xfId="8" applyNumberFormat="1" applyFont="1" applyFill="1" applyAlignment="1">
      <alignment vertical="center"/>
    </xf>
    <xf numFmtId="43" fontId="3" fillId="2" borderId="0" xfId="8" applyNumberFormat="1" applyFont="1" applyFill="1" applyAlignment="1">
      <alignment vertical="center"/>
    </xf>
    <xf numFmtId="1" fontId="4" fillId="2" borderId="0" xfId="8" applyNumberFormat="1" applyFont="1" applyFill="1" applyAlignment="1">
      <alignment vertical="center"/>
    </xf>
    <xf numFmtId="0" fontId="12" fillId="2" borderId="0" xfId="19" applyFont="1" applyFill="1" applyAlignment="1">
      <alignment vertical="center"/>
    </xf>
    <xf numFmtId="0" fontId="19" fillId="2" borderId="0" xfId="19" applyFont="1" applyFill="1"/>
    <xf numFmtId="0" fontId="10" fillId="2" borderId="0" xfId="19" applyFont="1" applyFill="1"/>
    <xf numFmtId="0" fontId="3" fillId="0" borderId="0" xfId="19" applyFont="1" applyFill="1"/>
    <xf numFmtId="0" fontId="3" fillId="2" borderId="0" xfId="19" applyFont="1" applyFill="1"/>
    <xf numFmtId="165" fontId="3" fillId="2" borderId="0" xfId="19" applyNumberFormat="1" applyFont="1" applyFill="1"/>
    <xf numFmtId="173" fontId="3" fillId="2" borderId="0" xfId="19" applyNumberFormat="1" applyFont="1" applyFill="1"/>
    <xf numFmtId="0" fontId="19" fillId="3" borderId="14" xfId="19" applyFont="1" applyFill="1" applyBorder="1" applyAlignment="1">
      <alignment vertical="center"/>
    </xf>
    <xf numFmtId="0" fontId="3" fillId="2" borderId="0" xfId="19" applyFont="1" applyFill="1" applyAlignment="1">
      <alignment vertical="center"/>
    </xf>
    <xf numFmtId="165" fontId="3" fillId="2" borderId="0" xfId="19" applyNumberFormat="1" applyFont="1" applyFill="1" applyAlignment="1">
      <alignment vertical="center"/>
    </xf>
    <xf numFmtId="173" fontId="3" fillId="2" borderId="0" xfId="19" applyNumberFormat="1" applyFont="1" applyFill="1" applyAlignment="1">
      <alignment vertical="center"/>
    </xf>
    <xf numFmtId="0" fontId="3" fillId="0" borderId="0" xfId="19" applyFont="1" applyAlignment="1">
      <alignment vertical="center"/>
    </xf>
    <xf numFmtId="0" fontId="19" fillId="3" borderId="6" xfId="19" applyFont="1" applyFill="1" applyBorder="1" applyAlignment="1">
      <alignment vertical="center"/>
    </xf>
    <xf numFmtId="0" fontId="8" fillId="3" borderId="43" xfId="19" applyFont="1" applyFill="1" applyBorder="1" applyAlignment="1">
      <alignment horizontal="center" vertical="center"/>
    </xf>
    <xf numFmtId="0" fontId="8" fillId="3" borderId="36" xfId="19" applyFont="1" applyFill="1" applyBorder="1" applyAlignment="1">
      <alignment horizontal="center" vertical="center"/>
    </xf>
    <xf numFmtId="0" fontId="8" fillId="3" borderId="35" xfId="19" applyFont="1" applyFill="1" applyBorder="1" applyAlignment="1">
      <alignment horizontal="center" vertical="center"/>
    </xf>
    <xf numFmtId="0" fontId="19" fillId="3" borderId="9" xfId="19" applyFont="1" applyFill="1" applyBorder="1" applyAlignment="1">
      <alignment horizontal="center" vertical="center"/>
    </xf>
    <xf numFmtId="0" fontId="4" fillId="3" borderId="8" xfId="19" applyFont="1" applyFill="1" applyBorder="1" applyAlignment="1">
      <alignment horizontal="center" vertical="center"/>
    </xf>
    <xf numFmtId="0" fontId="4" fillId="3" borderId="7" xfId="19" applyFont="1" applyFill="1" applyBorder="1" applyAlignment="1">
      <alignment horizontal="center" vertical="center"/>
    </xf>
    <xf numFmtId="0" fontId="3" fillId="2" borderId="0" xfId="19" applyFont="1" applyFill="1" applyAlignment="1">
      <alignment horizontal="center" vertical="center"/>
    </xf>
    <xf numFmtId="165" fontId="3" fillId="2" borderId="0" xfId="19" applyNumberFormat="1" applyFont="1" applyFill="1" applyAlignment="1">
      <alignment horizontal="center" vertical="center"/>
    </xf>
    <xf numFmtId="173" fontId="3" fillId="2" borderId="0" xfId="19" applyNumberFormat="1" applyFont="1" applyFill="1" applyAlignment="1">
      <alignment horizontal="center" vertical="center"/>
    </xf>
    <xf numFmtId="0" fontId="3" fillId="0" borderId="0" xfId="19" applyFont="1" applyAlignment="1">
      <alignment horizontal="center" vertical="center"/>
    </xf>
    <xf numFmtId="17" fontId="8" fillId="3" borderId="6" xfId="19" quotePrefix="1" applyNumberFormat="1" applyFont="1" applyFill="1" applyBorder="1" applyAlignment="1">
      <alignment horizontal="left" vertical="center"/>
    </xf>
    <xf numFmtId="3" fontId="7" fillId="2" borderId="5" xfId="22" applyNumberFormat="1" applyFont="1" applyFill="1" applyBorder="1" applyAlignment="1">
      <alignment vertical="center"/>
    </xf>
    <xf numFmtId="3" fontId="7" fillId="2" borderId="5" xfId="22" applyNumberFormat="1" applyFont="1" applyFill="1" applyBorder="1" applyAlignment="1">
      <alignment horizontal="right" vertical="center"/>
    </xf>
    <xf numFmtId="173" fontId="7" fillId="2" borderId="5" xfId="22" applyNumberFormat="1" applyFont="1" applyFill="1" applyBorder="1" applyAlignment="1">
      <alignment horizontal="right" vertical="center"/>
    </xf>
    <xf numFmtId="165" fontId="14" fillId="2" borderId="5" xfId="19" applyNumberFormat="1" applyFont="1" applyFill="1" applyBorder="1" applyAlignment="1">
      <alignment vertical="center"/>
    </xf>
    <xf numFmtId="165" fontId="14" fillId="2" borderId="5" xfId="22" applyNumberFormat="1" applyFont="1" applyFill="1" applyBorder="1" applyAlignment="1">
      <alignment vertical="center"/>
    </xf>
    <xf numFmtId="165" fontId="14" fillId="2" borderId="4" xfId="22" applyNumberFormat="1" applyFont="1" applyFill="1" applyBorder="1" applyAlignment="1">
      <alignment vertical="center"/>
    </xf>
    <xf numFmtId="165" fontId="17" fillId="2" borderId="0" xfId="22" applyNumberFormat="1" applyFont="1" applyFill="1" applyAlignment="1">
      <alignment vertical="center"/>
    </xf>
    <xf numFmtId="172" fontId="3" fillId="2" borderId="0" xfId="19" applyNumberFormat="1" applyFont="1" applyFill="1" applyAlignment="1">
      <alignment vertical="center"/>
    </xf>
    <xf numFmtId="3" fontId="3" fillId="2" borderId="0" xfId="19" applyNumberFormat="1" applyFont="1" applyFill="1" applyAlignment="1">
      <alignment vertical="center"/>
    </xf>
    <xf numFmtId="2" fontId="7" fillId="2" borderId="5" xfId="22" applyNumberFormat="1" applyFont="1" applyFill="1" applyBorder="1" applyAlignment="1">
      <alignment horizontal="right" vertical="center"/>
    </xf>
    <xf numFmtId="4" fontId="3" fillId="2" borderId="0" xfId="19" applyNumberFormat="1" applyFont="1" applyFill="1" applyAlignment="1">
      <alignment vertical="center"/>
    </xf>
    <xf numFmtId="174" fontId="7" fillId="2" borderId="5" xfId="15" applyNumberFormat="1" applyFont="1" applyFill="1" applyBorder="1" applyAlignment="1">
      <alignment horizontal="right" vertical="center"/>
    </xf>
    <xf numFmtId="17" fontId="8" fillId="3" borderId="9" xfId="19" quotePrefix="1" applyNumberFormat="1" applyFont="1" applyFill="1" applyBorder="1" applyAlignment="1">
      <alignment horizontal="left" vertical="center"/>
    </xf>
    <xf numFmtId="3" fontId="7" fillId="2" borderId="11" xfId="22" applyNumberFormat="1" applyFont="1" applyFill="1" applyBorder="1" applyAlignment="1">
      <alignment vertical="center"/>
    </xf>
    <xf numFmtId="3" fontId="7" fillId="2" borderId="11" xfId="22" applyNumberFormat="1" applyFont="1" applyFill="1" applyBorder="1" applyAlignment="1">
      <alignment horizontal="right" vertical="center"/>
    </xf>
    <xf numFmtId="173" fontId="7" fillId="2" borderId="11" xfId="22" applyNumberFormat="1" applyFont="1" applyFill="1" applyBorder="1" applyAlignment="1">
      <alignment horizontal="right" vertical="center"/>
    </xf>
    <xf numFmtId="165" fontId="14" fillId="2" borderId="11" xfId="19" applyNumberFormat="1" applyFont="1" applyFill="1" applyBorder="1" applyAlignment="1">
      <alignment vertical="center"/>
    </xf>
    <xf numFmtId="165" fontId="14" fillId="2" borderId="11" xfId="22" applyNumberFormat="1" applyFont="1" applyFill="1" applyBorder="1" applyAlignment="1">
      <alignment vertical="center"/>
    </xf>
    <xf numFmtId="165" fontId="14" fillId="2" borderId="10" xfId="22" applyNumberFormat="1" applyFont="1" applyFill="1" applyBorder="1" applyAlignment="1">
      <alignment vertical="center"/>
    </xf>
    <xf numFmtId="0" fontId="3" fillId="2" borderId="0" xfId="19" applyFont="1" applyFill="1" applyBorder="1" applyAlignment="1">
      <alignment vertical="center"/>
    </xf>
    <xf numFmtId="0" fontId="3" fillId="0" borderId="0" xfId="19" applyFont="1" applyBorder="1" applyAlignment="1">
      <alignment vertical="center"/>
    </xf>
    <xf numFmtId="17" fontId="8" fillId="3" borderId="58" xfId="19" quotePrefix="1" applyNumberFormat="1" applyFont="1" applyFill="1" applyBorder="1" applyAlignment="1">
      <alignment horizontal="left" vertical="center"/>
    </xf>
    <xf numFmtId="3" fontId="7" fillId="2" borderId="44" xfId="22" applyNumberFormat="1" applyFont="1" applyFill="1" applyBorder="1" applyAlignment="1">
      <alignment vertical="center"/>
    </xf>
    <xf numFmtId="3" fontId="7" fillId="2" borderId="44" xfId="22" applyNumberFormat="1" applyFont="1" applyFill="1" applyBorder="1" applyAlignment="1">
      <alignment horizontal="right" vertical="center"/>
    </xf>
    <xf numFmtId="173" fontId="7" fillId="2" borderId="44" xfId="22" applyNumberFormat="1" applyFont="1" applyFill="1" applyBorder="1" applyAlignment="1">
      <alignment horizontal="right" vertical="center"/>
    </xf>
    <xf numFmtId="165" fontId="14" fillId="2" borderId="44" xfId="19" applyNumberFormat="1" applyFont="1" applyFill="1" applyBorder="1" applyAlignment="1">
      <alignment vertical="center"/>
    </xf>
    <xf numFmtId="165" fontId="14" fillId="2" borderId="44" xfId="22" applyNumberFormat="1" applyFont="1" applyFill="1" applyBorder="1" applyAlignment="1">
      <alignment vertical="center"/>
    </xf>
    <xf numFmtId="165" fontId="14" fillId="2" borderId="42" xfId="22" applyNumberFormat="1" applyFont="1" applyFill="1" applyBorder="1" applyAlignment="1">
      <alignment vertical="center"/>
    </xf>
    <xf numFmtId="17" fontId="8" fillId="3" borderId="3" xfId="19" quotePrefix="1" applyNumberFormat="1" applyFont="1" applyFill="1" applyBorder="1" applyAlignment="1">
      <alignment horizontal="left" vertical="center"/>
    </xf>
    <xf numFmtId="3" fontId="7" fillId="2" borderId="2" xfId="22" applyNumberFormat="1" applyFont="1" applyFill="1" applyBorder="1" applyAlignment="1">
      <alignment vertical="center"/>
    </xf>
    <xf numFmtId="173" fontId="7" fillId="2" borderId="2" xfId="22" applyNumberFormat="1" applyFont="1" applyFill="1" applyBorder="1" applyAlignment="1">
      <alignment horizontal="right" vertical="center"/>
    </xf>
    <xf numFmtId="165" fontId="14" fillId="2" borderId="2" xfId="19" applyNumberFormat="1" applyFont="1" applyFill="1" applyBorder="1" applyAlignment="1">
      <alignment vertical="center"/>
    </xf>
    <xf numFmtId="165" fontId="14" fillId="2" borderId="2" xfId="22" applyNumberFormat="1" applyFont="1" applyFill="1" applyBorder="1" applyAlignment="1">
      <alignment vertical="center"/>
    </xf>
    <xf numFmtId="165" fontId="14" fillId="2" borderId="1" xfId="22" applyNumberFormat="1" applyFont="1" applyFill="1" applyBorder="1" applyAlignment="1">
      <alignment vertical="center"/>
    </xf>
    <xf numFmtId="0" fontId="44" fillId="2" borderId="0" xfId="19" applyFont="1" applyFill="1" applyAlignment="1">
      <alignment vertical="center"/>
    </xf>
    <xf numFmtId="165" fontId="44" fillId="2" borderId="0" xfId="19" applyNumberFormat="1" applyFont="1" applyFill="1" applyAlignment="1">
      <alignment vertical="center"/>
    </xf>
    <xf numFmtId="0" fontId="44" fillId="2" borderId="0" xfId="22" applyFont="1" applyFill="1" applyAlignment="1">
      <alignment horizontal="right" vertical="center"/>
    </xf>
    <xf numFmtId="0" fontId="46" fillId="2" borderId="0" xfId="22" applyFont="1" applyFill="1" applyAlignment="1">
      <alignment vertical="center"/>
    </xf>
    <xf numFmtId="165" fontId="46" fillId="2" borderId="0" xfId="19" applyNumberFormat="1" applyFont="1" applyFill="1" applyAlignment="1">
      <alignment vertical="center"/>
    </xf>
    <xf numFmtId="165" fontId="46" fillId="2" borderId="0" xfId="22" applyNumberFormat="1" applyFont="1" applyFill="1" applyAlignment="1">
      <alignment vertical="center"/>
    </xf>
    <xf numFmtId="4" fontId="46" fillId="2" borderId="0" xfId="22" applyNumberFormat="1" applyFont="1" applyFill="1" applyAlignment="1">
      <alignment vertical="center"/>
    </xf>
    <xf numFmtId="3" fontId="46" fillId="2" borderId="0" xfId="19" applyNumberFormat="1" applyFont="1" applyFill="1" applyAlignment="1">
      <alignment vertical="center"/>
    </xf>
    <xf numFmtId="0" fontId="44" fillId="2" borderId="0" xfId="22" applyFont="1" applyFill="1" applyAlignment="1">
      <alignment vertical="center"/>
    </xf>
    <xf numFmtId="0" fontId="44" fillId="0" borderId="0" xfId="19" applyFont="1" applyAlignment="1">
      <alignment vertical="center"/>
    </xf>
    <xf numFmtId="179" fontId="3" fillId="2" borderId="0" xfId="15" applyNumberFormat="1" applyFont="1" applyFill="1"/>
    <xf numFmtId="0" fontId="47" fillId="2" borderId="0" xfId="8" applyFont="1" applyFill="1" applyAlignment="1">
      <alignment vertical="center"/>
    </xf>
    <xf numFmtId="0" fontId="5" fillId="2" borderId="0" xfId="8" applyFont="1" applyFill="1" applyBorder="1" applyAlignment="1">
      <alignment horizontal="right" vertical="center"/>
    </xf>
    <xf numFmtId="0" fontId="5" fillId="2" borderId="0" xfId="8" applyFont="1" applyFill="1" applyBorder="1" applyAlignment="1">
      <alignment horizontal="right" vertical="top"/>
    </xf>
    <xf numFmtId="0" fontId="5" fillId="2" borderId="0" xfId="8" applyFont="1" applyFill="1" applyBorder="1" applyAlignment="1">
      <alignment horizontal="right"/>
    </xf>
    <xf numFmtId="49" fontId="8" fillId="3" borderId="92" xfId="8" applyNumberFormat="1" applyFont="1" applyFill="1" applyBorder="1" applyAlignment="1">
      <alignment horizontal="center" vertical="center" wrapText="1"/>
    </xf>
    <xf numFmtId="0" fontId="8" fillId="3" borderId="13" xfId="8" applyFont="1" applyFill="1" applyBorder="1" applyAlignment="1">
      <alignment horizontal="center" vertical="center" wrapText="1"/>
    </xf>
    <xf numFmtId="49" fontId="8" fillId="3" borderId="142" xfId="8" applyNumberFormat="1" applyFont="1" applyFill="1" applyBorder="1" applyAlignment="1">
      <alignment horizontal="center" vertical="center" wrapText="1"/>
    </xf>
    <xf numFmtId="49" fontId="8" fillId="3" borderId="13" xfId="8" applyNumberFormat="1" applyFont="1" applyFill="1" applyBorder="1" applyAlignment="1">
      <alignment horizontal="center" vertical="center" wrapText="1"/>
    </xf>
    <xf numFmtId="49" fontId="8" fillId="3" borderId="152" xfId="8" applyNumberFormat="1" applyFont="1" applyFill="1" applyBorder="1" applyAlignment="1">
      <alignment horizontal="center" vertical="center" wrapText="1"/>
    </xf>
    <xf numFmtId="49" fontId="8" fillId="3" borderId="153" xfId="8" applyNumberFormat="1" applyFont="1" applyFill="1" applyBorder="1" applyAlignment="1">
      <alignment horizontal="center" vertical="center" wrapText="1"/>
    </xf>
    <xf numFmtId="49" fontId="8" fillId="3" borderId="106" xfId="8" applyNumberFormat="1" applyFont="1" applyFill="1" applyBorder="1" applyAlignment="1">
      <alignment horizontal="center" vertical="center" wrapText="1"/>
    </xf>
    <xf numFmtId="0" fontId="8" fillId="2" borderId="0" xfId="9" applyFont="1" applyFill="1" applyAlignment="1">
      <alignment vertical="center" wrapText="1"/>
    </xf>
    <xf numFmtId="0" fontId="8" fillId="3" borderId="58" xfId="8" applyFont="1" applyFill="1" applyBorder="1" applyAlignment="1">
      <alignment horizontal="center" vertical="center"/>
    </xf>
    <xf numFmtId="0" fontId="9" fillId="3" borderId="154" xfId="8" applyFont="1" applyFill="1" applyBorder="1" applyAlignment="1">
      <alignment vertical="center" wrapText="1"/>
    </xf>
    <xf numFmtId="3" fontId="9" fillId="2" borderId="44" xfId="9" applyNumberFormat="1" applyFont="1" applyFill="1" applyBorder="1" applyAlignment="1">
      <alignment horizontal="center" vertical="center"/>
    </xf>
    <xf numFmtId="37" fontId="9" fillId="2" borderId="44" xfId="9" applyNumberFormat="1" applyFont="1" applyFill="1" applyBorder="1" applyAlignment="1">
      <alignment horizontal="center" vertical="center" wrapText="1"/>
    </xf>
    <xf numFmtId="182" fontId="9" fillId="2" borderId="44" xfId="23" applyNumberFormat="1" applyFont="1" applyFill="1" applyBorder="1" applyAlignment="1">
      <alignment horizontal="center" vertical="center"/>
    </xf>
    <xf numFmtId="182" fontId="9" fillId="2" borderId="56" xfId="23" applyNumberFormat="1" applyFont="1" applyFill="1" applyBorder="1" applyAlignment="1">
      <alignment horizontal="center" vertical="center"/>
    </xf>
    <xf numFmtId="182" fontId="9" fillId="2" borderId="55" xfId="23" applyNumberFormat="1" applyFont="1" applyFill="1" applyBorder="1" applyAlignment="1">
      <alignment horizontal="center" vertical="center"/>
    </xf>
    <xf numFmtId="182" fontId="9" fillId="2" borderId="54" xfId="23" applyNumberFormat="1" applyFont="1" applyFill="1" applyBorder="1" applyAlignment="1">
      <alignment horizontal="center" vertical="center"/>
    </xf>
    <xf numFmtId="182" fontId="9" fillId="2" borderId="0" xfId="8" applyNumberFormat="1" applyFont="1" applyFill="1" applyAlignment="1">
      <alignment vertical="center"/>
    </xf>
    <xf numFmtId="0" fontId="9" fillId="0" borderId="0" xfId="8" applyFont="1" applyAlignment="1">
      <alignment vertical="center"/>
    </xf>
    <xf numFmtId="0" fontId="8" fillId="3" borderId="6" xfId="8" applyFont="1" applyFill="1" applyBorder="1" applyAlignment="1">
      <alignment horizontal="center" vertical="center"/>
    </xf>
    <xf numFmtId="0" fontId="9" fillId="3" borderId="155" xfId="8" applyFont="1" applyFill="1" applyBorder="1" applyAlignment="1">
      <alignment vertical="center" wrapText="1"/>
    </xf>
    <xf numFmtId="3" fontId="9" fillId="2" borderId="5" xfId="9" applyNumberFormat="1" applyFont="1" applyFill="1" applyBorder="1" applyAlignment="1">
      <alignment horizontal="center" vertical="center"/>
    </xf>
    <xf numFmtId="182" fontId="9" fillId="2" borderId="5" xfId="23" applyNumberFormat="1" applyFont="1" applyFill="1" applyBorder="1" applyAlignment="1">
      <alignment horizontal="center" vertical="center"/>
    </xf>
    <xf numFmtId="3" fontId="9" fillId="2" borderId="5" xfId="23" applyNumberFormat="1" applyFont="1" applyFill="1" applyBorder="1" applyAlignment="1">
      <alignment horizontal="center" vertical="center"/>
    </xf>
    <xf numFmtId="182" fontId="9" fillId="2" borderId="52" xfId="23" applyNumberFormat="1" applyFont="1" applyFill="1" applyBorder="1" applyAlignment="1">
      <alignment horizontal="center" vertical="center"/>
    </xf>
    <xf numFmtId="182" fontId="9" fillId="2" borderId="51" xfId="23" applyNumberFormat="1" applyFont="1" applyFill="1" applyBorder="1" applyAlignment="1">
      <alignment horizontal="center" vertical="center"/>
    </xf>
    <xf numFmtId="182" fontId="9" fillId="2" borderId="50" xfId="23" applyNumberFormat="1" applyFont="1" applyFill="1" applyBorder="1" applyAlignment="1">
      <alignment horizontal="center" vertical="center"/>
    </xf>
    <xf numFmtId="37" fontId="9" fillId="2" borderId="5" xfId="9" applyNumberFormat="1" applyFont="1" applyFill="1" applyBorder="1" applyAlignment="1">
      <alignment horizontal="center" vertical="center" wrapText="1"/>
    </xf>
    <xf numFmtId="3" fontId="9" fillId="2" borderId="52" xfId="23" applyNumberFormat="1" applyFont="1" applyFill="1" applyBorder="1" applyAlignment="1">
      <alignment horizontal="center" vertical="center"/>
    </xf>
    <xf numFmtId="3" fontId="9" fillId="2" borderId="51" xfId="23" applyNumberFormat="1" applyFont="1" applyFill="1" applyBorder="1" applyAlignment="1">
      <alignment horizontal="center" vertical="center"/>
    </xf>
    <xf numFmtId="3" fontId="9" fillId="2" borderId="50" xfId="23" applyNumberFormat="1" applyFont="1" applyFill="1" applyBorder="1" applyAlignment="1">
      <alignment horizontal="center" vertical="center"/>
    </xf>
    <xf numFmtId="0" fontId="48" fillId="3" borderId="6" xfId="8" applyFont="1" applyFill="1" applyBorder="1" applyAlignment="1">
      <alignment horizontal="center" vertical="center"/>
    </xf>
    <xf numFmtId="0" fontId="5" fillId="3" borderId="155" xfId="8" applyFont="1" applyFill="1" applyBorder="1" applyAlignment="1">
      <alignment vertical="center" wrapText="1"/>
    </xf>
    <xf numFmtId="37" fontId="5" fillId="2" borderId="5" xfId="9" applyNumberFormat="1" applyFont="1" applyFill="1" applyBorder="1" applyAlignment="1">
      <alignment horizontal="center" vertical="center" wrapText="1"/>
    </xf>
    <xf numFmtId="3" fontId="5" fillId="2" borderId="5" xfId="9" applyNumberFormat="1" applyFont="1" applyFill="1" applyBorder="1" applyAlignment="1">
      <alignment horizontal="center" vertical="center"/>
    </xf>
    <xf numFmtId="3" fontId="5" fillId="2" borderId="5" xfId="23" applyNumberFormat="1" applyFont="1" applyFill="1" applyBorder="1" applyAlignment="1">
      <alignment horizontal="center" vertical="center"/>
    </xf>
    <xf numFmtId="3" fontId="5" fillId="2" borderId="52" xfId="23" applyNumberFormat="1" applyFont="1" applyFill="1" applyBorder="1" applyAlignment="1">
      <alignment horizontal="center" vertical="center"/>
    </xf>
    <xf numFmtId="3" fontId="5" fillId="2" borderId="51" xfId="23" applyNumberFormat="1" applyFont="1" applyFill="1" applyBorder="1" applyAlignment="1">
      <alignment horizontal="center" vertical="center"/>
    </xf>
    <xf numFmtId="3" fontId="5" fillId="2" borderId="50" xfId="23" applyNumberFormat="1" applyFont="1" applyFill="1" applyBorder="1" applyAlignment="1">
      <alignment horizontal="center" vertical="center"/>
    </xf>
    <xf numFmtId="0" fontId="48" fillId="2" borderId="0" xfId="8" applyFont="1" applyFill="1" applyAlignment="1">
      <alignment horizontal="center" vertical="center"/>
    </xf>
    <xf numFmtId="0" fontId="48" fillId="0" borderId="0" xfId="8" applyFont="1" applyAlignment="1">
      <alignment horizontal="center" vertical="center"/>
    </xf>
    <xf numFmtId="0" fontId="8" fillId="2" borderId="0" xfId="8" applyFont="1" applyFill="1" applyAlignment="1">
      <alignment horizontal="center" vertical="center"/>
    </xf>
    <xf numFmtId="0" fontId="8" fillId="0" borderId="0" xfId="8" applyFont="1" applyAlignment="1">
      <alignment horizontal="center" vertical="center"/>
    </xf>
    <xf numFmtId="0" fontId="8" fillId="3" borderId="9" xfId="8" applyFont="1" applyFill="1" applyBorder="1" applyAlignment="1">
      <alignment horizontal="center" vertical="center"/>
    </xf>
    <xf numFmtId="0" fontId="9" fillId="3" borderId="22" xfId="8" applyFont="1" applyFill="1" applyBorder="1" applyAlignment="1">
      <alignment vertical="center" wrapText="1"/>
    </xf>
    <xf numFmtId="37" fontId="9" fillId="0" borderId="11" xfId="9" applyNumberFormat="1" applyFont="1" applyFill="1" applyBorder="1" applyAlignment="1">
      <alignment horizontal="center" vertical="center" wrapText="1"/>
    </xf>
    <xf numFmtId="3" fontId="9" fillId="0" borderId="11" xfId="9" applyNumberFormat="1" applyFont="1" applyFill="1" applyBorder="1" applyAlignment="1">
      <alignment horizontal="center" vertical="center"/>
    </xf>
    <xf numFmtId="182" fontId="9" fillId="2" borderId="11" xfId="23" applyNumberFormat="1" applyFont="1" applyFill="1" applyBorder="1" applyAlignment="1">
      <alignment horizontal="center" vertical="center"/>
    </xf>
    <xf numFmtId="182" fontId="9" fillId="2" borderId="97" xfId="23" applyNumberFormat="1" applyFont="1" applyFill="1" applyBorder="1" applyAlignment="1">
      <alignment horizontal="center" vertical="center"/>
    </xf>
    <xf numFmtId="3" fontId="8" fillId="2" borderId="2" xfId="9" applyNumberFormat="1" applyFont="1" applyFill="1" applyBorder="1" applyAlignment="1">
      <alignment horizontal="center" vertical="center"/>
    </xf>
    <xf numFmtId="3" fontId="8" fillId="2" borderId="70" xfId="9" applyNumberFormat="1" applyFont="1" applyFill="1" applyBorder="1" applyAlignment="1">
      <alignment horizontal="center" vertical="center"/>
    </xf>
    <xf numFmtId="3" fontId="8" fillId="2" borderId="47" xfId="9" applyNumberFormat="1" applyFont="1" applyFill="1" applyBorder="1" applyAlignment="1">
      <alignment horizontal="center" vertical="center"/>
    </xf>
    <xf numFmtId="3" fontId="8" fillId="2" borderId="149" xfId="9" applyNumberFormat="1" applyFont="1" applyFill="1" applyBorder="1" applyAlignment="1">
      <alignment horizontal="center" vertical="center"/>
    </xf>
    <xf numFmtId="3" fontId="8" fillId="2" borderId="151" xfId="9" applyNumberFormat="1" applyFont="1" applyFill="1" applyBorder="1" applyAlignment="1">
      <alignment horizontal="center" vertical="center"/>
    </xf>
    <xf numFmtId="0" fontId="4" fillId="2" borderId="0" xfId="9" applyFont="1" applyFill="1" applyBorder="1" applyAlignment="1">
      <alignment vertical="center" wrapText="1"/>
    </xf>
    <xf numFmtId="0" fontId="4" fillId="0" borderId="0" xfId="8" applyFont="1" applyFill="1" applyAlignment="1">
      <alignment vertical="center"/>
    </xf>
    <xf numFmtId="0" fontId="4" fillId="2" borderId="0" xfId="8" applyFont="1" applyFill="1" applyAlignment="1">
      <alignment horizontal="left" vertical="top"/>
    </xf>
    <xf numFmtId="0" fontId="4" fillId="0" borderId="0" xfId="8" applyFont="1" applyFill="1" applyAlignment="1">
      <alignment horizontal="left" vertical="top"/>
    </xf>
    <xf numFmtId="0" fontId="47" fillId="2" borderId="0" xfId="8" applyFont="1" applyFill="1" applyAlignment="1"/>
    <xf numFmtId="3" fontId="9" fillId="2" borderId="0" xfId="8" applyNumberFormat="1" applyFont="1" applyFill="1" applyAlignment="1">
      <alignment vertical="center"/>
    </xf>
    <xf numFmtId="0" fontId="9" fillId="2" borderId="0" xfId="8" applyFont="1" applyFill="1" applyAlignment="1">
      <alignment horizontal="center" vertical="center"/>
    </xf>
    <xf numFmtId="49" fontId="8" fillId="3" borderId="109" xfId="8" applyNumberFormat="1" applyFont="1" applyFill="1" applyBorder="1" applyAlignment="1">
      <alignment horizontal="center" vertical="center" wrapText="1"/>
    </xf>
    <xf numFmtId="49" fontId="8" fillId="3" borderId="66" xfId="8" applyNumberFormat="1" applyFont="1" applyFill="1" applyBorder="1" applyAlignment="1">
      <alignment horizontal="center" vertical="center" wrapText="1"/>
    </xf>
    <xf numFmtId="0" fontId="8" fillId="2" borderId="0" xfId="9" applyFont="1" applyFill="1" applyAlignment="1">
      <alignment vertical="top" wrapText="1"/>
    </xf>
    <xf numFmtId="49" fontId="8" fillId="2" borderId="0" xfId="9" applyNumberFormat="1" applyFont="1" applyFill="1" applyAlignment="1">
      <alignment vertical="top" wrapText="1"/>
    </xf>
    <xf numFmtId="0" fontId="8" fillId="3" borderId="81" xfId="9" applyFont="1" applyFill="1" applyBorder="1" applyAlignment="1">
      <alignment horizontal="left" vertical="center"/>
    </xf>
    <xf numFmtId="0" fontId="8" fillId="3" borderId="118" xfId="9" applyFont="1" applyFill="1" applyBorder="1" applyAlignment="1">
      <alignment horizontal="left" vertical="center"/>
    </xf>
    <xf numFmtId="3" fontId="8" fillId="2" borderId="5" xfId="24" applyNumberFormat="1" applyFont="1" applyFill="1" applyBorder="1" applyAlignment="1">
      <alignment horizontal="center" vertical="center"/>
    </xf>
    <xf numFmtId="3" fontId="8" fillId="2" borderId="52" xfId="24" applyNumberFormat="1" applyFont="1" applyFill="1" applyBorder="1" applyAlignment="1">
      <alignment horizontal="center" vertical="center"/>
    </xf>
    <xf numFmtId="3" fontId="8" fillId="0" borderId="5" xfId="24" applyNumberFormat="1" applyFont="1" applyBorder="1" applyAlignment="1">
      <alignment horizontal="center" vertical="center"/>
    </xf>
    <xf numFmtId="3" fontId="8" fillId="0" borderId="51" xfId="24" applyNumberFormat="1" applyFont="1" applyBorder="1" applyAlignment="1">
      <alignment horizontal="center" vertical="center"/>
    </xf>
    <xf numFmtId="3" fontId="8" fillId="0" borderId="50" xfId="24" applyNumberFormat="1" applyFont="1" applyBorder="1" applyAlignment="1">
      <alignment horizontal="center" vertical="center"/>
    </xf>
    <xf numFmtId="0" fontId="9" fillId="0" borderId="0" xfId="8" applyFont="1" applyFill="1" applyAlignment="1">
      <alignment vertical="center"/>
    </xf>
    <xf numFmtId="0" fontId="8" fillId="3" borderId="6" xfId="9" applyFont="1" applyFill="1" applyBorder="1" applyAlignment="1">
      <alignment horizontal="left" vertical="center"/>
    </xf>
    <xf numFmtId="3" fontId="8" fillId="2" borderId="51" xfId="24" applyNumberFormat="1" applyFont="1" applyFill="1" applyBorder="1" applyAlignment="1">
      <alignment horizontal="center" vertical="center"/>
    </xf>
    <xf numFmtId="3" fontId="8" fillId="2" borderId="50" xfId="24" applyNumberFormat="1" applyFont="1" applyFill="1" applyBorder="1" applyAlignment="1">
      <alignment horizontal="center" vertical="center"/>
    </xf>
    <xf numFmtId="3" fontId="9" fillId="2" borderId="5" xfId="24" applyNumberFormat="1" applyFont="1" applyFill="1" applyBorder="1" applyAlignment="1">
      <alignment horizontal="center" vertical="center"/>
    </xf>
    <xf numFmtId="3" fontId="9" fillId="2" borderId="52" xfId="24" applyNumberFormat="1" applyFont="1" applyFill="1" applyBorder="1" applyAlignment="1">
      <alignment horizontal="center" vertical="center"/>
    </xf>
    <xf numFmtId="3" fontId="9" fillId="2" borderId="51" xfId="24" applyNumberFormat="1" applyFont="1" applyFill="1" applyBorder="1" applyAlignment="1">
      <alignment horizontal="center" vertical="center"/>
    </xf>
    <xf numFmtId="3" fontId="9" fillId="2" borderId="50" xfId="24" applyNumberFormat="1" applyFont="1" applyFill="1" applyBorder="1" applyAlignment="1">
      <alignment horizontal="center" vertical="center"/>
    </xf>
    <xf numFmtId="3" fontId="9" fillId="2" borderId="52" xfId="9" applyNumberFormat="1" applyFont="1" applyFill="1" applyBorder="1" applyAlignment="1">
      <alignment horizontal="center" vertical="center"/>
    </xf>
    <xf numFmtId="3" fontId="9" fillId="2" borderId="51" xfId="9" applyNumberFormat="1" applyFont="1" applyFill="1" applyBorder="1" applyAlignment="1">
      <alignment horizontal="center" vertical="center"/>
    </xf>
    <xf numFmtId="3" fontId="9" fillId="2" borderId="50" xfId="9" applyNumberFormat="1" applyFont="1" applyFill="1" applyBorder="1" applyAlignment="1">
      <alignment horizontal="center" vertical="center"/>
    </xf>
    <xf numFmtId="0" fontId="5" fillId="2" borderId="0" xfId="8" applyFont="1" applyFill="1" applyAlignment="1">
      <alignment vertical="center"/>
    </xf>
    <xf numFmtId="0" fontId="5" fillId="0" borderId="0" xfId="8" applyFont="1" applyFill="1" applyAlignment="1">
      <alignment vertical="center"/>
    </xf>
    <xf numFmtId="0" fontId="9" fillId="3" borderId="81" xfId="9" applyFont="1" applyFill="1" applyBorder="1" applyAlignment="1">
      <alignment horizontal="left" vertical="center"/>
    </xf>
    <xf numFmtId="0" fontId="9" fillId="3" borderId="118" xfId="9" applyFont="1" applyFill="1" applyBorder="1" applyAlignment="1">
      <alignment horizontal="left" vertical="center" indent="1"/>
    </xf>
    <xf numFmtId="0" fontId="9" fillId="3" borderId="81" xfId="9" applyFont="1" applyFill="1" applyBorder="1" applyAlignment="1">
      <alignment horizontal="right" vertical="center"/>
    </xf>
    <xf numFmtId="3" fontId="9" fillId="2" borderId="52" xfId="25" applyNumberFormat="1" applyFont="1" applyFill="1" applyBorder="1" applyAlignment="1">
      <alignment horizontal="center" vertical="center"/>
    </xf>
    <xf numFmtId="3" fontId="9" fillId="2" borderId="5" xfId="25" applyNumberFormat="1" applyFont="1" applyFill="1" applyBorder="1" applyAlignment="1">
      <alignment horizontal="center" vertical="center"/>
    </xf>
    <xf numFmtId="3" fontId="8" fillId="2" borderId="2" xfId="24" applyNumberFormat="1" applyFont="1" applyFill="1" applyBorder="1" applyAlignment="1">
      <alignment horizontal="center" vertical="center"/>
    </xf>
    <xf numFmtId="180" fontId="8" fillId="2" borderId="2" xfId="23" applyNumberFormat="1" applyFont="1" applyFill="1" applyBorder="1" applyAlignment="1">
      <alignment horizontal="center" vertical="center"/>
    </xf>
    <xf numFmtId="182" fontId="9" fillId="2" borderId="2" xfId="23" applyNumberFormat="1" applyFont="1" applyFill="1" applyBorder="1" applyAlignment="1">
      <alignment horizontal="center" vertical="center"/>
    </xf>
    <xf numFmtId="182" fontId="9" fillId="2" borderId="47" xfId="23" applyNumberFormat="1" applyFont="1" applyFill="1" applyBorder="1" applyAlignment="1">
      <alignment horizontal="center" vertical="center"/>
    </xf>
    <xf numFmtId="3" fontId="8" fillId="2" borderId="2" xfId="23" applyNumberFormat="1" applyFont="1" applyFill="1" applyBorder="1" applyAlignment="1">
      <alignment horizontal="center" vertical="center"/>
    </xf>
    <xf numFmtId="3" fontId="8" fillId="2" borderId="46" xfId="23" applyNumberFormat="1" applyFont="1" applyFill="1" applyBorder="1" applyAlignment="1">
      <alignment horizontal="center" vertical="center"/>
    </xf>
    <xf numFmtId="3" fontId="8" fillId="2" borderId="45" xfId="23" applyNumberFormat="1" applyFont="1" applyFill="1" applyBorder="1" applyAlignment="1">
      <alignment horizontal="center" vertical="center"/>
    </xf>
    <xf numFmtId="0" fontId="5" fillId="2" borderId="0" xfId="8" applyFont="1" applyFill="1" applyAlignment="1">
      <alignment horizontal="left" vertical="top"/>
    </xf>
    <xf numFmtId="0" fontId="4" fillId="2" borderId="0" xfId="9" applyFont="1" applyFill="1" applyAlignment="1">
      <alignment horizontal="left" vertical="top"/>
    </xf>
    <xf numFmtId="0" fontId="3" fillId="2" borderId="0" xfId="8" applyFont="1" applyFill="1" applyAlignment="1">
      <alignment vertical="top"/>
    </xf>
    <xf numFmtId="183" fontId="3" fillId="2" borderId="0" xfId="8" applyNumberFormat="1" applyFont="1" applyFill="1" applyBorder="1" applyAlignment="1">
      <alignment horizontal="center" vertical="center"/>
    </xf>
    <xf numFmtId="183" fontId="9" fillId="2" borderId="0" xfId="8" applyNumberFormat="1" applyFont="1" applyFill="1" applyBorder="1" applyAlignment="1">
      <alignment horizontal="center" vertical="center"/>
    </xf>
    <xf numFmtId="0" fontId="47" fillId="2" borderId="0" xfId="9" applyFont="1" applyFill="1" applyAlignment="1">
      <alignment vertical="center"/>
    </xf>
    <xf numFmtId="0" fontId="9" fillId="2" borderId="0" xfId="9" applyFont="1" applyFill="1" applyAlignment="1">
      <alignment vertical="center"/>
    </xf>
    <xf numFmtId="0" fontId="9" fillId="2" borderId="0" xfId="9" applyFont="1" applyFill="1" applyAlignment="1">
      <alignment horizontal="center" vertical="center"/>
    </xf>
    <xf numFmtId="0" fontId="5" fillId="2" borderId="0" xfId="9" applyFont="1" applyFill="1" applyBorder="1" applyAlignment="1">
      <alignment horizontal="right" vertical="center"/>
    </xf>
    <xf numFmtId="0" fontId="8" fillId="3" borderId="109" xfId="8" applyFont="1" applyFill="1" applyBorder="1" applyAlignment="1">
      <alignment horizontal="center" vertical="center" wrapText="1"/>
    </xf>
    <xf numFmtId="49" fontId="8" fillId="3" borderId="109" xfId="8" applyNumberFormat="1" applyFont="1" applyFill="1" applyBorder="1" applyAlignment="1">
      <alignment horizontal="center" vertical="center"/>
    </xf>
    <xf numFmtId="0" fontId="8" fillId="3" borderId="81" xfId="8" applyFont="1" applyFill="1" applyBorder="1" applyAlignment="1">
      <alignment horizontal="center" vertical="center"/>
    </xf>
    <xf numFmtId="0" fontId="9" fillId="3" borderId="5" xfId="8" applyFont="1" applyFill="1" applyBorder="1" applyAlignment="1">
      <alignment vertical="center" wrapText="1"/>
    </xf>
    <xf numFmtId="182" fontId="9" fillId="2" borderId="5" xfId="26" applyNumberFormat="1" applyFont="1" applyFill="1" applyBorder="1" applyAlignment="1">
      <alignment horizontal="center" vertical="center"/>
    </xf>
    <xf numFmtId="3" fontId="9" fillId="2" borderId="5" xfId="26" applyNumberFormat="1" applyFont="1" applyFill="1" applyBorder="1" applyAlignment="1">
      <alignment horizontal="center" vertical="center"/>
    </xf>
    <xf numFmtId="182" fontId="9" fillId="2" borderId="52" xfId="26" applyNumberFormat="1" applyFont="1" applyFill="1" applyBorder="1" applyAlignment="1">
      <alignment horizontal="center" vertical="center"/>
    </xf>
    <xf numFmtId="182" fontId="9" fillId="2" borderId="51" xfId="26" applyNumberFormat="1" applyFont="1" applyFill="1" applyBorder="1" applyAlignment="1">
      <alignment horizontal="center" vertical="center"/>
    </xf>
    <xf numFmtId="182" fontId="9" fillId="2" borderId="50" xfId="26" applyNumberFormat="1" applyFont="1" applyFill="1" applyBorder="1" applyAlignment="1">
      <alignment horizontal="center" vertical="center"/>
    </xf>
    <xf numFmtId="0" fontId="9" fillId="2" borderId="0" xfId="9" applyFont="1" applyFill="1" applyAlignment="1">
      <alignment vertical="center" wrapText="1"/>
    </xf>
    <xf numFmtId="3" fontId="9" fillId="2" borderId="52" xfId="26" applyNumberFormat="1" applyFont="1" applyFill="1" applyBorder="1" applyAlignment="1">
      <alignment horizontal="center" vertical="center"/>
    </xf>
    <xf numFmtId="0" fontId="9" fillId="2" borderId="0" xfId="9" applyFont="1" applyFill="1" applyAlignment="1">
      <alignment horizontal="center" vertical="center" wrapText="1"/>
    </xf>
    <xf numFmtId="0" fontId="8" fillId="3" borderId="81" xfId="8" applyFont="1" applyFill="1" applyBorder="1" applyAlignment="1">
      <alignment horizontal="center" vertical="top"/>
    </xf>
    <xf numFmtId="0" fontId="9" fillId="3" borderId="5" xfId="8" applyFont="1" applyFill="1" applyBorder="1" applyAlignment="1">
      <alignment vertical="top" wrapText="1"/>
    </xf>
    <xf numFmtId="3" fontId="9" fillId="2" borderId="5" xfId="23" applyNumberFormat="1" applyFont="1" applyFill="1" applyBorder="1" applyAlignment="1">
      <alignment horizontal="center" vertical="top"/>
    </xf>
    <xf numFmtId="181" fontId="48" fillId="2" borderId="0" xfId="24" applyNumberFormat="1" applyFont="1" applyFill="1" applyAlignment="1">
      <alignment vertical="center" wrapText="1"/>
    </xf>
    <xf numFmtId="181" fontId="8" fillId="2" borderId="0" xfId="24" applyNumberFormat="1" applyFont="1" applyFill="1" applyAlignment="1">
      <alignment vertical="center" wrapText="1"/>
    </xf>
    <xf numFmtId="182" fontId="5" fillId="2" borderId="5" xfId="26" applyNumberFormat="1" applyFont="1" applyFill="1" applyBorder="1" applyAlignment="1">
      <alignment horizontal="center" vertical="center"/>
    </xf>
    <xf numFmtId="0" fontId="8" fillId="3" borderId="78" xfId="8" applyFont="1" applyFill="1" applyBorder="1" applyAlignment="1">
      <alignment horizontal="center" vertical="center"/>
    </xf>
    <xf numFmtId="0" fontId="9" fillId="3" borderId="157" xfId="8" applyFont="1" applyFill="1" applyBorder="1" applyAlignment="1">
      <alignment vertical="center" wrapText="1"/>
    </xf>
    <xf numFmtId="3" fontId="9" fillId="2" borderId="51" xfId="26" applyNumberFormat="1" applyFont="1" applyFill="1" applyBorder="1" applyAlignment="1">
      <alignment horizontal="center" vertical="center"/>
    </xf>
    <xf numFmtId="3" fontId="9" fillId="2" borderId="50" xfId="26" applyNumberFormat="1" applyFont="1" applyFill="1" applyBorder="1" applyAlignment="1">
      <alignment horizontal="center" vertical="center"/>
    </xf>
    <xf numFmtId="3" fontId="8" fillId="2" borderId="70" xfId="8" applyNumberFormat="1" applyFont="1" applyFill="1" applyBorder="1" applyAlignment="1">
      <alignment horizontal="center" vertical="center"/>
    </xf>
    <xf numFmtId="3" fontId="8" fillId="2" borderId="159" xfId="8" applyNumberFormat="1" applyFont="1" applyFill="1" applyBorder="1" applyAlignment="1">
      <alignment horizontal="center" vertical="center"/>
    </xf>
    <xf numFmtId="3" fontId="8" fillId="2" borderId="149" xfId="8" applyNumberFormat="1" applyFont="1" applyFill="1" applyBorder="1" applyAlignment="1">
      <alignment horizontal="center" vertical="center"/>
    </xf>
    <xf numFmtId="3" fontId="8" fillId="2" borderId="151" xfId="8" applyNumberFormat="1" applyFont="1" applyFill="1" applyBorder="1" applyAlignment="1">
      <alignment horizontal="center" vertical="center"/>
    </xf>
    <xf numFmtId="0" fontId="5" fillId="2" borderId="0" xfId="9" applyFont="1" applyFill="1" applyAlignment="1">
      <alignment vertical="center"/>
    </xf>
    <xf numFmtId="0" fontId="4" fillId="0" borderId="0" xfId="8" applyFont="1" applyAlignment="1">
      <alignment vertical="center"/>
    </xf>
    <xf numFmtId="0" fontId="5" fillId="2" borderId="0" xfId="9" applyFont="1" applyFill="1"/>
    <xf numFmtId="181" fontId="5" fillId="2" borderId="0" xfId="9" applyNumberFormat="1" applyFont="1" applyFill="1" applyAlignment="1">
      <alignment horizontal="center" vertical="center"/>
    </xf>
    <xf numFmtId="0" fontId="9" fillId="2" borderId="0" xfId="9" applyNumberFormat="1" applyFont="1" applyFill="1" applyAlignment="1">
      <alignment vertical="center"/>
    </xf>
    <xf numFmtId="3" fontId="9" fillId="2" borderId="0" xfId="9" applyNumberFormat="1" applyFont="1" applyFill="1" applyAlignment="1">
      <alignment vertical="center"/>
    </xf>
    <xf numFmtId="49" fontId="8" fillId="3" borderId="64" xfId="8" applyNumberFormat="1" applyFont="1" applyFill="1" applyBorder="1" applyAlignment="1">
      <alignment horizontal="center" vertical="center" wrapText="1"/>
    </xf>
    <xf numFmtId="49" fontId="8" fillId="3" borderId="160" xfId="8" applyNumberFormat="1" applyFont="1" applyFill="1" applyBorder="1" applyAlignment="1">
      <alignment horizontal="center" vertical="center" wrapText="1"/>
    </xf>
    <xf numFmtId="3" fontId="8" fillId="2" borderId="5" xfId="9" applyNumberFormat="1" applyFont="1" applyFill="1" applyBorder="1" applyAlignment="1">
      <alignment horizontal="center" vertical="center"/>
    </xf>
    <xf numFmtId="3" fontId="8" fillId="2" borderId="0" xfId="24" applyNumberFormat="1" applyFont="1" applyFill="1" applyBorder="1" applyAlignment="1">
      <alignment horizontal="center" vertical="center"/>
    </xf>
    <xf numFmtId="3" fontId="8" fillId="0" borderId="51" xfId="24" applyNumberFormat="1" applyFont="1" applyFill="1" applyBorder="1" applyAlignment="1">
      <alignment horizontal="center" vertical="center"/>
    </xf>
    <xf numFmtId="3" fontId="8" fillId="0" borderId="50" xfId="24" applyNumberFormat="1" applyFont="1" applyFill="1" applyBorder="1" applyAlignment="1">
      <alignment horizontal="center" vertical="center"/>
    </xf>
    <xf numFmtId="0" fontId="8" fillId="2" borderId="0" xfId="9" applyFont="1" applyFill="1" applyAlignment="1">
      <alignment vertical="center"/>
    </xf>
    <xf numFmtId="3" fontId="8" fillId="2" borderId="5" xfId="23" applyNumberFormat="1" applyFont="1" applyFill="1" applyBorder="1" applyAlignment="1">
      <alignment horizontal="center" vertical="center"/>
    </xf>
    <xf numFmtId="3" fontId="8" fillId="2" borderId="0" xfId="23" applyNumberFormat="1" applyFont="1" applyFill="1" applyBorder="1" applyAlignment="1">
      <alignment horizontal="center" vertical="center"/>
    </xf>
    <xf numFmtId="3" fontId="8" fillId="2" borderId="51" xfId="23" applyNumberFormat="1" applyFont="1" applyFill="1" applyBorder="1" applyAlignment="1">
      <alignment horizontal="center" vertical="center"/>
    </xf>
    <xf numFmtId="3" fontId="8" fillId="2" borderId="50" xfId="23" applyNumberFormat="1" applyFont="1" applyFill="1" applyBorder="1" applyAlignment="1">
      <alignment horizontal="center" vertical="center"/>
    </xf>
    <xf numFmtId="3" fontId="9" fillId="2" borderId="0" xfId="23" applyNumberFormat="1" applyFont="1" applyFill="1" applyBorder="1" applyAlignment="1">
      <alignment horizontal="center" vertical="center"/>
    </xf>
    <xf numFmtId="182" fontId="9" fillId="2" borderId="0" xfId="23" applyNumberFormat="1" applyFont="1" applyFill="1" applyBorder="1" applyAlignment="1">
      <alignment horizontal="center" vertical="center"/>
    </xf>
    <xf numFmtId="0" fontId="9" fillId="3" borderId="155" xfId="8" applyFont="1" applyFill="1" applyBorder="1" applyAlignment="1">
      <alignment vertical="center"/>
    </xf>
    <xf numFmtId="184" fontId="9" fillId="2" borderId="51" xfId="23" applyNumberFormat="1" applyFont="1" applyFill="1" applyBorder="1" applyAlignment="1">
      <alignment horizontal="center" vertical="center"/>
    </xf>
    <xf numFmtId="184" fontId="9" fillId="2" borderId="50" xfId="23" applyNumberFormat="1" applyFont="1" applyFill="1" applyBorder="1" applyAlignment="1">
      <alignment horizontal="center" vertical="center"/>
    </xf>
    <xf numFmtId="0" fontId="9" fillId="3" borderId="118" xfId="9" applyFont="1" applyFill="1" applyBorder="1" applyAlignment="1">
      <alignment horizontal="left" vertical="center"/>
    </xf>
    <xf numFmtId="0" fontId="9" fillId="3" borderId="81" xfId="8" applyFont="1" applyFill="1" applyBorder="1" applyAlignment="1">
      <alignment horizontal="left" vertical="center"/>
    </xf>
    <xf numFmtId="0" fontId="8" fillId="3" borderId="49" xfId="8" applyFont="1" applyFill="1" applyBorder="1" applyAlignment="1">
      <alignment horizontal="left" vertical="center"/>
    </xf>
    <xf numFmtId="0" fontId="9" fillId="3" borderId="161" xfId="8" applyFont="1" applyFill="1" applyBorder="1" applyAlignment="1">
      <alignment vertical="center"/>
    </xf>
    <xf numFmtId="182" fontId="8" fillId="2" borderId="2" xfId="23" applyNumberFormat="1" applyFont="1" applyFill="1" applyBorder="1" applyAlignment="1">
      <alignment horizontal="center" vertical="center"/>
    </xf>
    <xf numFmtId="3" fontId="8" fillId="2" borderId="47" xfId="26" applyNumberFormat="1" applyFont="1" applyFill="1" applyBorder="1" applyAlignment="1">
      <alignment horizontal="center" vertical="center"/>
    </xf>
    <xf numFmtId="0" fontId="3" fillId="2" borderId="0" xfId="8" applyFont="1" applyFill="1" applyAlignment="1">
      <alignment horizontal="left"/>
    </xf>
    <xf numFmtId="1" fontId="9" fillId="2" borderId="0" xfId="9" applyNumberFormat="1" applyFont="1" applyFill="1" applyAlignment="1">
      <alignment horizontal="center" vertical="center"/>
    </xf>
    <xf numFmtId="3" fontId="9" fillId="2" borderId="0" xfId="9" applyNumberFormat="1" applyFont="1" applyFill="1" applyAlignment="1">
      <alignment horizontal="center" vertical="center"/>
    </xf>
    <xf numFmtId="0" fontId="12" fillId="0" borderId="0" xfId="27" applyFont="1" applyFill="1" applyAlignment="1">
      <alignment vertical="center"/>
    </xf>
    <xf numFmtId="0" fontId="52" fillId="2" borderId="0" xfId="27" applyFont="1" applyFill="1" applyAlignment="1">
      <alignment vertical="center"/>
    </xf>
    <xf numFmtId="0" fontId="52" fillId="2" borderId="0" xfId="3" applyFont="1" applyFill="1" applyBorder="1" applyAlignment="1">
      <alignment horizontal="left" vertical="center"/>
    </xf>
    <xf numFmtId="0" fontId="4" fillId="2" borderId="16" xfId="3" applyFont="1" applyFill="1" applyBorder="1" applyAlignment="1">
      <alignment horizontal="right"/>
    </xf>
    <xf numFmtId="0" fontId="1" fillId="2" borderId="0" xfId="3" applyFont="1" applyFill="1" applyAlignment="1">
      <alignment vertical="center"/>
    </xf>
    <xf numFmtId="0" fontId="1" fillId="2" borderId="0" xfId="3" applyFont="1" applyFill="1" applyAlignment="1">
      <alignment vertical="center" wrapText="1"/>
    </xf>
    <xf numFmtId="0" fontId="1" fillId="2" borderId="0" xfId="28" applyFont="1" applyFill="1" applyAlignment="1">
      <alignment vertical="center"/>
    </xf>
    <xf numFmtId="0" fontId="14" fillId="3" borderId="107" xfId="3" applyFont="1" applyFill="1" applyBorder="1" applyAlignment="1">
      <alignment horizontal="center" vertical="center" wrapText="1"/>
    </xf>
    <xf numFmtId="0" fontId="14" fillId="3" borderId="162" xfId="3" applyFont="1" applyFill="1" applyBorder="1" applyAlignment="1">
      <alignment horizontal="center" vertical="center" wrapText="1"/>
    </xf>
    <xf numFmtId="0" fontId="14" fillId="3" borderId="64" xfId="3" applyFont="1" applyFill="1" applyBorder="1" applyAlignment="1">
      <alignment horizontal="center" vertical="center" wrapText="1"/>
    </xf>
    <xf numFmtId="0" fontId="14" fillId="3" borderId="163" xfId="3" applyFont="1" applyFill="1" applyBorder="1" applyAlignment="1">
      <alignment horizontal="center" vertical="center" wrapText="1"/>
    </xf>
    <xf numFmtId="0" fontId="14" fillId="3" borderId="164" xfId="3" applyFont="1" applyFill="1" applyBorder="1" applyAlignment="1">
      <alignment horizontal="center" vertical="center" wrapText="1"/>
    </xf>
    <xf numFmtId="0" fontId="1" fillId="2" borderId="0" xfId="28" applyFont="1" applyFill="1" applyAlignment="1">
      <alignment horizontal="center" vertical="center"/>
    </xf>
    <xf numFmtId="0" fontId="14" fillId="2" borderId="86" xfId="3" applyFont="1" applyFill="1" applyBorder="1" applyAlignment="1">
      <alignment horizontal="left" vertical="center" wrapText="1"/>
    </xf>
    <xf numFmtId="1" fontId="14" fillId="2" borderId="30" xfId="29" applyNumberFormat="1" applyFont="1" applyFill="1" applyBorder="1" applyAlignment="1">
      <alignment horizontal="center" vertical="center" wrapText="1"/>
    </xf>
    <xf numFmtId="1" fontId="14" fillId="2" borderId="165" xfId="29" applyNumberFormat="1" applyFont="1" applyFill="1" applyBorder="1" applyAlignment="1">
      <alignment horizontal="center" vertical="center" wrapText="1"/>
    </xf>
    <xf numFmtId="1" fontId="14" fillId="2" borderId="166" xfId="29" applyNumberFormat="1" applyFont="1" applyFill="1" applyBorder="1" applyAlignment="1">
      <alignment horizontal="center" vertical="center" wrapText="1"/>
    </xf>
    <xf numFmtId="1" fontId="14" fillId="2" borderId="167" xfId="29" applyNumberFormat="1" applyFont="1" applyFill="1" applyBorder="1" applyAlignment="1">
      <alignment horizontal="center" vertical="center" wrapText="1"/>
    </xf>
    <xf numFmtId="0" fontId="27" fillId="2" borderId="168" xfId="3" applyFont="1" applyFill="1" applyBorder="1" applyAlignment="1">
      <alignment horizontal="left" vertical="center" wrapText="1" indent="1"/>
    </xf>
    <xf numFmtId="3" fontId="7" fillId="2" borderId="169" xfId="3" applyNumberFormat="1" applyFont="1" applyFill="1" applyBorder="1" applyAlignment="1">
      <alignment horizontal="center" vertical="center" wrapText="1"/>
    </xf>
    <xf numFmtId="3" fontId="7" fillId="2" borderId="170" xfId="3" applyNumberFormat="1" applyFont="1" applyFill="1" applyBorder="1" applyAlignment="1">
      <alignment horizontal="center" vertical="center" wrapText="1"/>
    </xf>
    <xf numFmtId="3" fontId="7" fillId="2" borderId="171" xfId="3" applyNumberFormat="1" applyFont="1" applyFill="1" applyBorder="1" applyAlignment="1">
      <alignment horizontal="center" vertical="center" wrapText="1"/>
    </xf>
    <xf numFmtId="3" fontId="7" fillId="2" borderId="172" xfId="3" applyNumberFormat="1" applyFont="1" applyFill="1" applyBorder="1" applyAlignment="1">
      <alignment horizontal="center" vertical="center" wrapText="1"/>
    </xf>
    <xf numFmtId="0" fontId="7" fillId="2" borderId="173" xfId="3" applyFont="1" applyFill="1" applyBorder="1" applyAlignment="1">
      <alignment horizontal="left" vertical="center" wrapText="1" indent="2"/>
    </xf>
    <xf numFmtId="1" fontId="7" fillId="2" borderId="174" xfId="29" applyNumberFormat="1" applyFont="1" applyFill="1" applyBorder="1" applyAlignment="1">
      <alignment horizontal="center" vertical="center" wrapText="1"/>
    </xf>
    <xf numFmtId="1" fontId="7" fillId="2" borderId="175" xfId="29" applyNumberFormat="1" applyFont="1" applyFill="1" applyBorder="1" applyAlignment="1">
      <alignment horizontal="center" vertical="center" wrapText="1"/>
    </xf>
    <xf numFmtId="1" fontId="7" fillId="2" borderId="176" xfId="29" applyNumberFormat="1" applyFont="1" applyFill="1" applyBorder="1" applyAlignment="1">
      <alignment horizontal="center" vertical="center" wrapText="1"/>
    </xf>
    <xf numFmtId="1" fontId="7" fillId="2" borderId="177" xfId="29" applyNumberFormat="1" applyFont="1" applyFill="1" applyBorder="1" applyAlignment="1">
      <alignment horizontal="center" vertical="center" wrapText="1"/>
    </xf>
    <xf numFmtId="0" fontId="7" fillId="2" borderId="178" xfId="3" applyFont="1" applyFill="1" applyBorder="1" applyAlignment="1">
      <alignment horizontal="left" vertical="center" wrapText="1" indent="2"/>
    </xf>
    <xf numFmtId="1" fontId="7" fillId="2" borderId="179" xfId="29" applyNumberFormat="1" applyFont="1" applyFill="1" applyBorder="1" applyAlignment="1">
      <alignment horizontal="center" vertical="center" wrapText="1"/>
    </xf>
    <xf numFmtId="1" fontId="7" fillId="2" borderId="16" xfId="29" applyNumberFormat="1" applyFont="1" applyFill="1" applyBorder="1" applyAlignment="1">
      <alignment horizontal="center" vertical="center" wrapText="1"/>
    </xf>
    <xf numFmtId="1" fontId="7" fillId="2" borderId="180" xfId="29" applyNumberFormat="1" applyFont="1" applyFill="1" applyBorder="1" applyAlignment="1">
      <alignment horizontal="center" vertical="center" wrapText="1"/>
    </xf>
    <xf numFmtId="1" fontId="7" fillId="2" borderId="181" xfId="29" applyNumberFormat="1" applyFont="1" applyFill="1" applyBorder="1" applyAlignment="1">
      <alignment horizontal="center" vertical="center" wrapText="1"/>
    </xf>
    <xf numFmtId="1" fontId="1" fillId="2" borderId="0" xfId="3" applyNumberFormat="1" applyFont="1" applyFill="1" applyAlignment="1">
      <alignment vertical="center"/>
    </xf>
    <xf numFmtId="0" fontId="54" fillId="2" borderId="0" xfId="3" applyFont="1" applyFill="1" applyAlignment="1">
      <alignment vertical="center" wrapText="1"/>
    </xf>
    <xf numFmtId="0" fontId="55" fillId="2" borderId="0" xfId="27" applyFont="1" applyFill="1" applyAlignment="1">
      <alignment vertical="center"/>
    </xf>
    <xf numFmtId="0" fontId="32" fillId="2" borderId="0" xfId="27" applyFont="1" applyFill="1" applyBorder="1" applyAlignment="1">
      <alignment vertical="center" wrapText="1"/>
    </xf>
    <xf numFmtId="0" fontId="1" fillId="2" borderId="0" xfId="3" applyFill="1"/>
    <xf numFmtId="0" fontId="1" fillId="2" borderId="0" xfId="3" applyFill="1" applyAlignment="1">
      <alignment wrapText="1"/>
    </xf>
    <xf numFmtId="0" fontId="56" fillId="0" borderId="0" xfId="27" applyFont="1" applyFill="1" applyAlignment="1">
      <alignment vertical="center"/>
    </xf>
    <xf numFmtId="0" fontId="56" fillId="2" borderId="0" xfId="27" applyFont="1" applyFill="1" applyAlignment="1">
      <alignment vertical="center"/>
    </xf>
    <xf numFmtId="0" fontId="32" fillId="2" borderId="0" xfId="27" applyFont="1" applyFill="1" applyAlignment="1">
      <alignment horizontal="left" vertical="center" wrapText="1"/>
    </xf>
    <xf numFmtId="0" fontId="51" fillId="2" borderId="0" xfId="27" applyFill="1" applyAlignment="1">
      <alignment vertical="center"/>
    </xf>
    <xf numFmtId="0" fontId="12" fillId="2" borderId="0" xfId="27" applyFont="1" applyFill="1" applyAlignment="1">
      <alignment vertical="center"/>
    </xf>
    <xf numFmtId="0" fontId="1" fillId="2" borderId="0" xfId="28" applyFill="1"/>
    <xf numFmtId="0" fontId="14" fillId="3" borderId="182" xfId="3" applyFont="1" applyFill="1" applyBorder="1" applyAlignment="1">
      <alignment horizontal="center" vertical="center" wrapText="1"/>
    </xf>
    <xf numFmtId="0" fontId="14" fillId="2" borderId="86" xfId="3" applyFont="1" applyFill="1" applyBorder="1" applyAlignment="1">
      <alignment horizontal="left" vertical="center"/>
    </xf>
    <xf numFmtId="3" fontId="14" fillId="2" borderId="183" xfId="29" applyNumberFormat="1" applyFont="1" applyFill="1" applyBorder="1" applyAlignment="1">
      <alignment horizontal="center" vertical="center" wrapText="1"/>
    </xf>
    <xf numFmtId="3" fontId="14" fillId="2" borderId="30" xfId="29" applyNumberFormat="1" applyFont="1" applyFill="1" applyBorder="1" applyAlignment="1">
      <alignment horizontal="center" vertical="center" wrapText="1"/>
    </xf>
    <xf numFmtId="3" fontId="14" fillId="2" borderId="166" xfId="29" applyNumberFormat="1" applyFont="1" applyFill="1" applyBorder="1" applyAlignment="1">
      <alignment horizontal="center" vertical="center" wrapText="1"/>
    </xf>
    <xf numFmtId="3" fontId="14" fillId="2" borderId="184" xfId="29" applyNumberFormat="1" applyFont="1" applyFill="1" applyBorder="1" applyAlignment="1">
      <alignment horizontal="center" vertical="center" wrapText="1"/>
    </xf>
    <xf numFmtId="0" fontId="27" fillId="2" borderId="168" xfId="3" applyFont="1" applyFill="1" applyBorder="1" applyAlignment="1">
      <alignment horizontal="left" vertical="center" indent="1"/>
    </xf>
    <xf numFmtId="3" fontId="7" fillId="2" borderId="185" xfId="3" applyNumberFormat="1" applyFont="1" applyFill="1" applyBorder="1" applyAlignment="1">
      <alignment horizontal="center" vertical="center" wrapText="1"/>
    </xf>
    <xf numFmtId="0" fontId="7" fillId="2" borderId="173" xfId="3" applyFont="1" applyFill="1" applyBorder="1" applyAlignment="1">
      <alignment horizontal="left" vertical="center" indent="2"/>
    </xf>
    <xf numFmtId="3" fontId="7" fillId="2" borderId="174" xfId="29" applyNumberFormat="1" applyFont="1" applyFill="1" applyBorder="1" applyAlignment="1">
      <alignment horizontal="center" vertical="center" wrapText="1"/>
    </xf>
    <xf numFmtId="3" fontId="7" fillId="2" borderId="186" xfId="29" applyNumberFormat="1" applyFont="1" applyFill="1" applyBorder="1" applyAlignment="1">
      <alignment horizontal="center" vertical="center" wrapText="1"/>
    </xf>
    <xf numFmtId="0" fontId="7" fillId="2" borderId="187" xfId="3" applyFont="1" applyFill="1" applyBorder="1" applyAlignment="1">
      <alignment horizontal="left" vertical="center" indent="2"/>
    </xf>
    <xf numFmtId="3" fontId="7" fillId="2" borderId="188" xfId="29" applyNumberFormat="1" applyFont="1" applyFill="1" applyBorder="1" applyAlignment="1">
      <alignment horizontal="center" vertical="center" wrapText="1"/>
    </xf>
    <xf numFmtId="3" fontId="7" fillId="2" borderId="189" xfId="29" applyNumberFormat="1" applyFont="1" applyFill="1" applyBorder="1" applyAlignment="1">
      <alignment horizontal="center" vertical="center" wrapText="1"/>
    </xf>
    <xf numFmtId="0" fontId="57" fillId="2" borderId="0" xfId="27" applyFont="1" applyFill="1" applyAlignment="1">
      <alignment vertical="center"/>
    </xf>
    <xf numFmtId="0" fontId="32" fillId="2" borderId="0" xfId="27" applyFont="1" applyFill="1" applyAlignment="1">
      <alignment horizontal="left" wrapText="1"/>
    </xf>
    <xf numFmtId="0" fontId="51" fillId="2" borderId="0" xfId="27" applyFill="1" applyAlignment="1"/>
    <xf numFmtId="0" fontId="14" fillId="2" borderId="190" xfId="3" applyFont="1" applyFill="1" applyBorder="1" applyAlignment="1">
      <alignment vertical="center"/>
    </xf>
    <xf numFmtId="173" fontId="7" fillId="0" borderId="191" xfId="29" applyNumberFormat="1" applyFont="1" applyFill="1" applyBorder="1" applyAlignment="1">
      <alignment horizontal="center" vertical="center" wrapText="1"/>
    </xf>
    <xf numFmtId="173" fontId="7" fillId="0" borderId="192" xfId="29" applyNumberFormat="1" applyFont="1" applyFill="1" applyBorder="1" applyAlignment="1">
      <alignment horizontal="center" vertical="center" wrapText="1"/>
    </xf>
    <xf numFmtId="173" fontId="7" fillId="0" borderId="193" xfId="29" applyNumberFormat="1" applyFont="1" applyFill="1" applyBorder="1" applyAlignment="1">
      <alignment horizontal="center" vertical="center" wrapText="1"/>
    </xf>
    <xf numFmtId="173" fontId="7" fillId="0" borderId="194" xfId="29" applyNumberFormat="1" applyFont="1" applyFill="1" applyBorder="1" applyAlignment="1">
      <alignment horizontal="center" vertical="center" wrapText="1"/>
    </xf>
    <xf numFmtId="185" fontId="27" fillId="2" borderId="195" xfId="3" applyNumberFormat="1" applyFont="1" applyFill="1" applyBorder="1" applyAlignment="1">
      <alignment vertical="center"/>
    </xf>
    <xf numFmtId="10" fontId="27" fillId="0" borderId="196" xfId="3" applyNumberFormat="1" applyFont="1" applyFill="1" applyBorder="1" applyAlignment="1">
      <alignment horizontal="center" vertical="center" wrapText="1"/>
    </xf>
    <xf numFmtId="10" fontId="27" fillId="0" borderId="197" xfId="3" applyNumberFormat="1" applyFont="1" applyFill="1" applyBorder="1" applyAlignment="1">
      <alignment horizontal="center" vertical="center" wrapText="1"/>
    </xf>
    <xf numFmtId="10" fontId="27" fillId="0" borderId="198" xfId="3" applyNumberFormat="1" applyFont="1" applyFill="1" applyBorder="1" applyAlignment="1">
      <alignment horizontal="center" vertical="center" wrapText="1"/>
    </xf>
    <xf numFmtId="10" fontId="27" fillId="0" borderId="199" xfId="3" applyNumberFormat="1" applyFont="1" applyFill="1" applyBorder="1" applyAlignment="1">
      <alignment horizontal="center" vertical="center" wrapText="1"/>
    </xf>
    <xf numFmtId="0" fontId="14" fillId="2" borderId="168" xfId="3" applyFont="1" applyFill="1" applyBorder="1" applyAlignment="1">
      <alignment vertical="center"/>
    </xf>
    <xf numFmtId="173" fontId="7" fillId="0" borderId="170" xfId="29" applyNumberFormat="1" applyFont="1" applyFill="1" applyBorder="1" applyAlignment="1">
      <alignment horizontal="center" vertical="center" wrapText="1"/>
    </xf>
    <xf numFmtId="173" fontId="7" fillId="0" borderId="169" xfId="29" applyNumberFormat="1" applyFont="1" applyFill="1" applyBorder="1" applyAlignment="1">
      <alignment horizontal="center" vertical="center" wrapText="1"/>
    </xf>
    <xf numFmtId="173" fontId="7" fillId="0" borderId="171" xfId="29" applyNumberFormat="1" applyFont="1" applyFill="1" applyBorder="1" applyAlignment="1">
      <alignment horizontal="center" vertical="center" wrapText="1"/>
    </xf>
    <xf numFmtId="173" fontId="7" fillId="0" borderId="172" xfId="29" applyNumberFormat="1" applyFont="1" applyFill="1" applyBorder="1" applyAlignment="1">
      <alignment horizontal="center" vertical="center" wrapText="1"/>
    </xf>
    <xf numFmtId="185" fontId="27" fillId="2" borderId="178" xfId="3" applyNumberFormat="1" applyFont="1" applyFill="1" applyBorder="1" applyAlignment="1">
      <alignment horizontal="left" vertical="center" wrapText="1"/>
    </xf>
    <xf numFmtId="177" fontId="27" fillId="0" borderId="200" xfId="3" applyNumberFormat="1" applyFont="1" applyFill="1" applyBorder="1" applyAlignment="1">
      <alignment horizontal="left" vertical="center" wrapText="1" indent="2"/>
    </xf>
    <xf numFmtId="177" fontId="27" fillId="0" borderId="188" xfId="3" applyNumberFormat="1" applyFont="1" applyFill="1" applyBorder="1" applyAlignment="1">
      <alignment horizontal="left" vertical="center" wrapText="1" indent="2"/>
    </xf>
    <xf numFmtId="177" fontId="27" fillId="0" borderId="201" xfId="3" applyNumberFormat="1" applyFont="1" applyFill="1" applyBorder="1" applyAlignment="1">
      <alignment horizontal="left" vertical="center" wrapText="1" indent="2"/>
    </xf>
    <xf numFmtId="177" fontId="27" fillId="0" borderId="202" xfId="16" applyNumberFormat="1" applyFont="1" applyFill="1" applyBorder="1" applyAlignment="1">
      <alignment horizontal="center" vertical="center" wrapText="1"/>
    </xf>
    <xf numFmtId="0" fontId="32" fillId="2" borderId="0" xfId="3" applyFont="1" applyFill="1" applyBorder="1" applyAlignment="1">
      <alignment horizontal="left" vertical="center" wrapText="1"/>
    </xf>
    <xf numFmtId="179" fontId="0" fillId="2" borderId="0" xfId="29" applyNumberFormat="1" applyFont="1" applyFill="1"/>
    <xf numFmtId="185" fontId="55" fillId="2" borderId="0" xfId="27" applyNumberFormat="1" applyFont="1" applyFill="1" applyAlignment="1">
      <alignment horizontal="left" vertical="center"/>
    </xf>
    <xf numFmtId="0" fontId="58" fillId="2" borderId="0" xfId="28" applyFont="1" applyFill="1" applyAlignment="1">
      <alignment vertical="center"/>
    </xf>
    <xf numFmtId="0" fontId="57" fillId="2" borderId="0" xfId="3" applyFont="1" applyFill="1" applyAlignment="1">
      <alignment vertical="center"/>
    </xf>
    <xf numFmtId="2" fontId="1" fillId="2" borderId="0" xfId="3" applyNumberFormat="1" applyFill="1"/>
    <xf numFmtId="2" fontId="0" fillId="2" borderId="0" xfId="29" applyNumberFormat="1" applyFont="1" applyFill="1"/>
    <xf numFmtId="164" fontId="1" fillId="2" borderId="0" xfId="3" applyNumberFormat="1" applyFill="1"/>
    <xf numFmtId="174" fontId="0" fillId="2" borderId="0" xfId="29" applyNumberFormat="1" applyFont="1" applyFill="1"/>
    <xf numFmtId="43" fontId="1" fillId="2" borderId="0" xfId="3" applyNumberFormat="1" applyFill="1"/>
    <xf numFmtId="173" fontId="51" fillId="2" borderId="0" xfId="27" applyNumberFormat="1" applyFill="1" applyAlignment="1">
      <alignment vertical="center"/>
    </xf>
    <xf numFmtId="2" fontId="51" fillId="2" borderId="0" xfId="27" applyNumberFormat="1" applyFill="1" applyAlignment="1">
      <alignment vertical="center"/>
    </xf>
    <xf numFmtId="10" fontId="51" fillId="2" borderId="0" xfId="27" applyNumberFormat="1" applyFill="1" applyAlignment="1">
      <alignment vertical="center"/>
    </xf>
    <xf numFmtId="1" fontId="51" fillId="2" borderId="0" xfId="27" applyNumberFormat="1" applyFill="1" applyAlignment="1">
      <alignment vertical="center"/>
    </xf>
    <xf numFmtId="0" fontId="12" fillId="0" borderId="0" xfId="30" applyFont="1" applyFill="1" applyBorder="1" applyAlignment="1">
      <alignment vertical="center"/>
    </xf>
    <xf numFmtId="0" fontId="12" fillId="2" borderId="0" xfId="30" applyFont="1" applyFill="1" applyBorder="1" applyAlignment="1">
      <alignment vertical="center"/>
    </xf>
    <xf numFmtId="0" fontId="59" fillId="2" borderId="0" xfId="30" applyFont="1" applyFill="1"/>
    <xf numFmtId="0" fontId="27" fillId="2" borderId="16" xfId="3" applyFont="1" applyFill="1" applyBorder="1" applyAlignment="1">
      <alignment horizontal="left" vertical="center"/>
    </xf>
    <xf numFmtId="0" fontId="1" fillId="2" borderId="0" xfId="3" applyFont="1" applyFill="1"/>
    <xf numFmtId="0" fontId="4" fillId="2" borderId="16" xfId="3" applyFont="1" applyFill="1" applyBorder="1" applyAlignment="1">
      <alignment horizontal="right" vertical="center"/>
    </xf>
    <xf numFmtId="0" fontId="1" fillId="2" borderId="0" xfId="28" applyFont="1" applyFill="1"/>
    <xf numFmtId="0" fontId="14" fillId="3" borderId="203" xfId="3" applyFont="1" applyFill="1" applyBorder="1" applyAlignment="1">
      <alignment horizontal="center" vertical="center" wrapText="1"/>
    </xf>
    <xf numFmtId="0" fontId="14" fillId="3" borderId="204" xfId="3" applyFont="1" applyFill="1" applyBorder="1" applyAlignment="1">
      <alignment horizontal="center" vertical="center" wrapText="1"/>
    </xf>
    <xf numFmtId="0" fontId="14" fillId="3" borderId="205" xfId="3" applyFont="1" applyFill="1" applyBorder="1" applyAlignment="1">
      <alignment horizontal="center" vertical="center" wrapText="1"/>
    </xf>
    <xf numFmtId="0" fontId="14" fillId="3" borderId="206" xfId="3" applyFont="1" applyFill="1" applyBorder="1" applyAlignment="1">
      <alignment horizontal="center" vertical="center" wrapText="1"/>
    </xf>
    <xf numFmtId="0" fontId="14" fillId="3" borderId="207" xfId="3" applyFont="1" applyFill="1" applyBorder="1" applyAlignment="1">
      <alignment horizontal="center" vertical="center" wrapText="1"/>
    </xf>
    <xf numFmtId="0" fontId="14" fillId="3" borderId="14" xfId="3" applyFont="1" applyFill="1" applyBorder="1" applyAlignment="1">
      <alignment horizontal="center" vertical="center"/>
    </xf>
    <xf numFmtId="0" fontId="7" fillId="2" borderId="18" xfId="3" applyFont="1" applyFill="1" applyBorder="1" applyAlignment="1">
      <alignment vertical="center"/>
    </xf>
    <xf numFmtId="179" fontId="7" fillId="2" borderId="152" xfId="29" applyNumberFormat="1" applyFont="1" applyFill="1" applyBorder="1" applyAlignment="1">
      <alignment vertical="center"/>
    </xf>
    <xf numFmtId="179" fontId="7" fillId="2" borderId="13" xfId="29" applyNumberFormat="1" applyFont="1" applyFill="1" applyBorder="1" applyAlignment="1">
      <alignment vertical="center"/>
    </xf>
    <xf numFmtId="179" fontId="7" fillId="2" borderId="62" xfId="29" applyNumberFormat="1" applyFont="1" applyFill="1" applyBorder="1" applyAlignment="1">
      <alignment vertical="center"/>
    </xf>
    <xf numFmtId="0" fontId="14" fillId="3" borderId="6" xfId="3" applyFont="1" applyFill="1" applyBorder="1" applyAlignment="1">
      <alignment horizontal="center" vertical="center"/>
    </xf>
    <xf numFmtId="0" fontId="7" fillId="2" borderId="0" xfId="3" applyFont="1" applyFill="1" applyBorder="1" applyAlignment="1">
      <alignment vertical="center"/>
    </xf>
    <xf numFmtId="179" fontId="7" fillId="2" borderId="52" xfId="29" applyNumberFormat="1" applyFont="1" applyFill="1" applyBorder="1" applyAlignment="1">
      <alignment horizontal="center" vertical="center"/>
    </xf>
    <xf numFmtId="179" fontId="7" fillId="2" borderId="5" xfId="29" applyNumberFormat="1" applyFont="1" applyFill="1" applyBorder="1" applyAlignment="1">
      <alignment horizontal="center" vertical="center"/>
    </xf>
    <xf numFmtId="179" fontId="7" fillId="2" borderId="50" xfId="29" applyNumberFormat="1" applyFont="1" applyFill="1" applyBorder="1" applyAlignment="1">
      <alignment horizontal="center" vertical="center"/>
    </xf>
    <xf numFmtId="174" fontId="7" fillId="2" borderId="52" xfId="29" applyNumberFormat="1" applyFont="1" applyFill="1" applyBorder="1" applyAlignment="1">
      <alignment horizontal="center" vertical="center"/>
    </xf>
    <xf numFmtId="174" fontId="7" fillId="2" borderId="5" xfId="29" applyNumberFormat="1" applyFont="1" applyFill="1" applyBorder="1" applyAlignment="1">
      <alignment horizontal="center" vertical="center"/>
    </xf>
    <xf numFmtId="174" fontId="7" fillId="2" borderId="50" xfId="29" applyNumberFormat="1" applyFont="1" applyFill="1" applyBorder="1" applyAlignment="1">
      <alignment horizontal="center" vertical="center"/>
    </xf>
    <xf numFmtId="43" fontId="7" fillId="2" borderId="5" xfId="29" applyNumberFormat="1" applyFont="1" applyFill="1" applyBorder="1" applyAlignment="1">
      <alignment horizontal="center" vertical="center"/>
    </xf>
    <xf numFmtId="43" fontId="7" fillId="2" borderId="50" xfId="29" applyNumberFormat="1" applyFont="1" applyFill="1" applyBorder="1" applyAlignment="1">
      <alignment horizontal="center" vertical="center"/>
    </xf>
    <xf numFmtId="179" fontId="7" fillId="0" borderId="50" xfId="29" applyNumberFormat="1" applyFont="1" applyFill="1" applyBorder="1" applyAlignment="1">
      <alignment horizontal="left" vertical="center" indent="1"/>
    </xf>
    <xf numFmtId="0" fontId="14" fillId="3" borderId="3" xfId="3" applyFont="1" applyFill="1" applyBorder="1" applyAlignment="1">
      <alignment horizontal="center" vertical="center"/>
    </xf>
    <xf numFmtId="0" fontId="7" fillId="2" borderId="16" xfId="3" applyFont="1" applyFill="1" applyBorder="1" applyAlignment="1">
      <alignment vertical="center"/>
    </xf>
    <xf numFmtId="179" fontId="7" fillId="2" borderId="47" xfId="29" applyNumberFormat="1" applyFont="1" applyFill="1" applyBorder="1" applyAlignment="1">
      <alignment horizontal="center" vertical="center"/>
    </xf>
    <xf numFmtId="179" fontId="7" fillId="2" borderId="2" xfId="29" applyNumberFormat="1" applyFont="1" applyFill="1" applyBorder="1" applyAlignment="1">
      <alignment horizontal="center" vertical="center"/>
    </xf>
    <xf numFmtId="179" fontId="7" fillId="2" borderId="45" xfId="29" applyNumberFormat="1" applyFont="1" applyFill="1" applyBorder="1" applyAlignment="1">
      <alignment horizontal="center" vertical="center"/>
    </xf>
    <xf numFmtId="179" fontId="14" fillId="3" borderId="205" xfId="29" applyNumberFormat="1" applyFont="1" applyFill="1" applyBorder="1" applyAlignment="1"/>
    <xf numFmtId="179" fontId="14" fillId="3" borderId="206" xfId="29" applyNumberFormat="1" applyFont="1" applyFill="1" applyBorder="1" applyAlignment="1"/>
    <xf numFmtId="0" fontId="1" fillId="2" borderId="0" xfId="3" applyFont="1" applyFill="1" applyBorder="1"/>
    <xf numFmtId="0" fontId="57" fillId="2" borderId="0" xfId="30" applyFont="1" applyFill="1" applyBorder="1" applyAlignment="1"/>
    <xf numFmtId="0" fontId="32" fillId="2" borderId="0" xfId="27" applyFont="1" applyFill="1" applyBorder="1" applyAlignment="1">
      <alignment vertical="center"/>
    </xf>
    <xf numFmtId="0" fontId="32" fillId="2" borderId="0" xfId="9" applyFont="1" applyFill="1" applyBorder="1" applyAlignment="1">
      <alignment horizontal="left" wrapText="1"/>
    </xf>
    <xf numFmtId="0" fontId="57" fillId="2" borderId="0" xfId="30" applyFont="1" applyFill="1" applyBorder="1"/>
    <xf numFmtId="0" fontId="27" fillId="2" borderId="0" xfId="3" applyFont="1" applyFill="1"/>
    <xf numFmtId="0" fontId="57" fillId="2" borderId="0" xfId="30" applyFont="1" applyFill="1"/>
    <xf numFmtId="0" fontId="51" fillId="2" borderId="0" xfId="30" applyFont="1" applyFill="1" applyAlignment="1"/>
    <xf numFmtId="0" fontId="51" fillId="2" borderId="0" xfId="30" applyFont="1" applyFill="1"/>
    <xf numFmtId="0" fontId="29" fillId="2" borderId="0" xfId="28" applyFont="1" applyFill="1" applyAlignment="1">
      <alignment vertical="center"/>
    </xf>
    <xf numFmtId="0" fontId="60" fillId="2" borderId="0" xfId="28" applyFont="1" applyFill="1" applyBorder="1" applyAlignment="1">
      <alignment horizontal="left" vertical="center"/>
    </xf>
    <xf numFmtId="0" fontId="4" fillId="2" borderId="0" xfId="28" applyFont="1" applyFill="1" applyBorder="1" applyAlignment="1">
      <alignment horizontal="right" vertical="center"/>
    </xf>
    <xf numFmtId="0" fontId="1" fillId="2" borderId="0" xfId="28" applyFill="1" applyAlignment="1">
      <alignment vertical="center"/>
    </xf>
    <xf numFmtId="0" fontId="8" fillId="3" borderId="96" xfId="28" applyFont="1" applyFill="1" applyBorder="1" applyAlignment="1">
      <alignment horizontal="center" vertical="center" wrapText="1"/>
    </xf>
    <xf numFmtId="0" fontId="8" fillId="3" borderId="8" xfId="28" applyFont="1" applyFill="1" applyBorder="1" applyAlignment="1">
      <alignment horizontal="center" vertical="center" wrapText="1"/>
    </xf>
    <xf numFmtId="0" fontId="8" fillId="3" borderId="94" xfId="28" applyFont="1" applyFill="1" applyBorder="1" applyAlignment="1">
      <alignment horizontal="center" vertical="center" wrapText="1"/>
    </xf>
    <xf numFmtId="0" fontId="8" fillId="3" borderId="144" xfId="28" applyFont="1" applyFill="1" applyBorder="1" applyAlignment="1">
      <alignment horizontal="center" vertical="center" wrapText="1"/>
    </xf>
    <xf numFmtId="3" fontId="8" fillId="3" borderId="8" xfId="28" applyNumberFormat="1" applyFont="1" applyFill="1" applyBorder="1" applyAlignment="1">
      <alignment horizontal="center" vertical="center" wrapText="1"/>
    </xf>
    <xf numFmtId="3" fontId="8" fillId="3" borderId="94" xfId="28" applyNumberFormat="1" applyFont="1" applyFill="1" applyBorder="1" applyAlignment="1">
      <alignment horizontal="center" vertical="center" wrapText="1"/>
    </xf>
    <xf numFmtId="0" fontId="1" fillId="0" borderId="0" xfId="28" applyFont="1" applyFill="1" applyAlignment="1">
      <alignment vertical="center"/>
    </xf>
    <xf numFmtId="0" fontId="27" fillId="2" borderId="58" xfId="28" applyFont="1" applyFill="1" applyBorder="1" applyAlignment="1">
      <alignment horizontal="left" vertical="center" wrapText="1" indent="1"/>
    </xf>
    <xf numFmtId="3" fontId="7" fillId="2" borderId="44" xfId="28" applyNumberFormat="1" applyFont="1" applyFill="1" applyBorder="1" applyAlignment="1">
      <alignment horizontal="center" vertical="center" wrapText="1"/>
    </xf>
    <xf numFmtId="3" fontId="7" fillId="2" borderId="54" xfId="28" applyNumberFormat="1" applyFont="1" applyFill="1" applyBorder="1" applyAlignment="1">
      <alignment horizontal="center" vertical="center" wrapText="1"/>
    </xf>
    <xf numFmtId="0" fontId="27" fillId="2" borderId="144" xfId="28" applyFont="1" applyFill="1" applyBorder="1" applyAlignment="1">
      <alignment horizontal="left" vertical="center" wrapText="1" indent="1"/>
    </xf>
    <xf numFmtId="0" fontId="7" fillId="2" borderId="6" xfId="28" applyFont="1" applyFill="1" applyBorder="1" applyAlignment="1">
      <alignment horizontal="left" vertical="center" wrapText="1" indent="2"/>
    </xf>
    <xf numFmtId="3" fontId="7" fillId="2" borderId="5" xfId="28" applyNumberFormat="1" applyFont="1" applyFill="1" applyBorder="1" applyAlignment="1">
      <alignment horizontal="center" vertical="center" wrapText="1"/>
    </xf>
    <xf numFmtId="3" fontId="7" fillId="2" borderId="50" xfId="28" applyNumberFormat="1" applyFont="1" applyFill="1" applyBorder="1" applyAlignment="1">
      <alignment horizontal="center" vertical="center" wrapText="1"/>
    </xf>
    <xf numFmtId="0" fontId="7" fillId="2" borderId="118" xfId="28" applyFont="1" applyFill="1" applyBorder="1" applyAlignment="1">
      <alignment horizontal="left" vertical="center" wrapText="1" indent="2"/>
    </xf>
    <xf numFmtId="0" fontId="7" fillId="2" borderId="3" xfId="28" applyFont="1" applyFill="1" applyBorder="1" applyAlignment="1">
      <alignment horizontal="left" vertical="center" wrapText="1" indent="2"/>
    </xf>
    <xf numFmtId="3" fontId="7" fillId="2" borderId="2" xfId="28" applyNumberFormat="1" applyFont="1" applyFill="1" applyBorder="1" applyAlignment="1">
      <alignment horizontal="center" vertical="center" wrapText="1"/>
    </xf>
    <xf numFmtId="3" fontId="7" fillId="2" borderId="45" xfId="28" applyNumberFormat="1" applyFont="1" applyFill="1" applyBorder="1" applyAlignment="1">
      <alignment horizontal="center" vertical="center" wrapText="1"/>
    </xf>
    <xf numFmtId="0" fontId="7" fillId="2" borderId="146" xfId="28" applyFont="1" applyFill="1" applyBorder="1" applyAlignment="1">
      <alignment horizontal="left" vertical="center" wrapText="1" indent="2"/>
    </xf>
    <xf numFmtId="0" fontId="4" fillId="2" borderId="0" xfId="28" applyFont="1" applyFill="1" applyBorder="1" applyAlignment="1">
      <alignment horizontal="left" vertical="center" wrapText="1"/>
    </xf>
    <xf numFmtId="0" fontId="61" fillId="2" borderId="0" xfId="28" applyFont="1" applyFill="1" applyAlignment="1">
      <alignment vertical="center"/>
    </xf>
    <xf numFmtId="0" fontId="4" fillId="0" borderId="0" xfId="7" applyFont="1" applyFill="1"/>
    <xf numFmtId="165" fontId="1" fillId="2" borderId="0" xfId="28" applyNumberFormat="1" applyFill="1" applyAlignment="1">
      <alignment vertical="center"/>
    </xf>
    <xf numFmtId="0" fontId="1" fillId="2" borderId="0" xfId="28" applyFill="1" applyAlignment="1"/>
    <xf numFmtId="0" fontId="1" fillId="0" borderId="0" xfId="28" applyAlignment="1">
      <alignment vertical="center"/>
    </xf>
    <xf numFmtId="0" fontId="0" fillId="2" borderId="0" xfId="0" applyFill="1"/>
    <xf numFmtId="0" fontId="16" fillId="2" borderId="0" xfId="19" applyFont="1" applyFill="1" applyAlignment="1">
      <alignment vertical="top" wrapText="1"/>
    </xf>
    <xf numFmtId="0" fontId="16" fillId="2" borderId="0" xfId="19" applyFont="1" applyFill="1" applyAlignment="1">
      <alignment horizontal="center"/>
    </xf>
    <xf numFmtId="3" fontId="62" fillId="2" borderId="0" xfId="19" applyNumberFormat="1" applyFont="1" applyFill="1"/>
    <xf numFmtId="0" fontId="8" fillId="3" borderId="92" xfId="19" applyFont="1" applyFill="1" applyBorder="1" applyAlignment="1">
      <alignment horizontal="center" vertical="top" wrapText="1"/>
    </xf>
    <xf numFmtId="0" fontId="8" fillId="3" borderId="49" xfId="19" applyFont="1" applyFill="1" applyBorder="1" applyAlignment="1">
      <alignment horizontal="center" vertical="top" wrapText="1"/>
    </xf>
    <xf numFmtId="0" fontId="8" fillId="3" borderId="216" xfId="19" applyFont="1" applyFill="1" applyBorder="1" applyAlignment="1">
      <alignment horizontal="center" vertical="top" wrapText="1"/>
    </xf>
    <xf numFmtId="0" fontId="8" fillId="3" borderId="217" xfId="19" applyFont="1" applyFill="1" applyBorder="1" applyAlignment="1">
      <alignment horizontal="center" vertical="top" wrapText="1"/>
    </xf>
    <xf numFmtId="0" fontId="8" fillId="3" borderId="218" xfId="19" applyFont="1" applyFill="1" applyBorder="1" applyAlignment="1">
      <alignment horizontal="center" vertical="top" wrapText="1"/>
    </xf>
    <xf numFmtId="0" fontId="63" fillId="0" borderId="219" xfId="19" applyFont="1" applyFill="1" applyBorder="1" applyAlignment="1">
      <alignment vertical="top" wrapText="1"/>
    </xf>
    <xf numFmtId="3" fontId="63" fillId="0" borderId="220" xfId="32" applyNumberFormat="1" applyFont="1" applyFill="1" applyBorder="1" applyAlignment="1">
      <alignment horizontal="right" vertical="center"/>
    </xf>
    <xf numFmtId="3" fontId="63" fillId="0" borderId="221" xfId="32" applyNumberFormat="1" applyFont="1" applyFill="1" applyBorder="1" applyAlignment="1">
      <alignment horizontal="right" vertical="center"/>
    </xf>
    <xf numFmtId="3" fontId="63" fillId="0" borderId="222" xfId="32" applyNumberFormat="1" applyFont="1" applyFill="1" applyBorder="1" applyAlignment="1">
      <alignment horizontal="right" vertical="center"/>
    </xf>
    <xf numFmtId="0" fontId="8" fillId="0" borderId="223" xfId="19" applyFont="1" applyFill="1" applyBorder="1" applyAlignment="1">
      <alignment vertical="top" wrapText="1"/>
    </xf>
    <xf numFmtId="3" fontId="8" fillId="0" borderId="224" xfId="32" applyNumberFormat="1" applyFont="1" applyFill="1" applyBorder="1" applyAlignment="1">
      <alignment horizontal="right" vertical="center"/>
    </xf>
    <xf numFmtId="3" fontId="8" fillId="0" borderId="225" xfId="32" applyNumberFormat="1" applyFont="1" applyFill="1" applyBorder="1" applyAlignment="1">
      <alignment horizontal="right" vertical="center"/>
    </xf>
    <xf numFmtId="3" fontId="8" fillId="0" borderId="177" xfId="32" applyNumberFormat="1" applyFont="1" applyFill="1" applyBorder="1" applyAlignment="1">
      <alignment horizontal="right" vertical="center"/>
    </xf>
    <xf numFmtId="0" fontId="9" fillId="0" borderId="223" xfId="19" applyFont="1" applyFill="1" applyBorder="1" applyAlignment="1">
      <alignment vertical="top" wrapText="1"/>
    </xf>
    <xf numFmtId="3" fontId="9" fillId="0" borderId="224" xfId="32" applyNumberFormat="1" applyFont="1" applyFill="1" applyBorder="1" applyAlignment="1">
      <alignment horizontal="right" vertical="center"/>
    </xf>
    <xf numFmtId="3" fontId="9" fillId="0" borderId="225" xfId="32" applyNumberFormat="1" applyFont="1" applyFill="1" applyBorder="1" applyAlignment="1">
      <alignment horizontal="right" vertical="center"/>
    </xf>
    <xf numFmtId="3" fontId="9" fillId="0" borderId="177" xfId="32" applyNumberFormat="1" applyFont="1" applyFill="1" applyBorder="1" applyAlignment="1">
      <alignment horizontal="right" vertical="center"/>
    </xf>
    <xf numFmtId="0" fontId="5" fillId="0" borderId="223" xfId="19" applyFont="1" applyFill="1" applyBorder="1" applyAlignment="1">
      <alignment horizontal="left" vertical="top" wrapText="1" indent="1"/>
    </xf>
    <xf numFmtId="3" fontId="5" fillId="0" borderId="224" xfId="32" applyNumberFormat="1" applyFont="1" applyFill="1" applyBorder="1" applyAlignment="1">
      <alignment horizontal="right" vertical="center"/>
    </xf>
    <xf numFmtId="3" fontId="5" fillId="0" borderId="225" xfId="32" applyNumberFormat="1" applyFont="1" applyFill="1" applyBorder="1" applyAlignment="1">
      <alignment horizontal="right" vertical="center"/>
    </xf>
    <xf numFmtId="3" fontId="5" fillId="0" borderId="177" xfId="32" applyNumberFormat="1" applyFont="1" applyFill="1" applyBorder="1" applyAlignment="1">
      <alignment horizontal="right" vertical="center"/>
    </xf>
    <xf numFmtId="0" fontId="9" fillId="0" borderId="223" xfId="19" applyFont="1" applyFill="1" applyBorder="1" applyAlignment="1">
      <alignment horizontal="left" vertical="top" wrapText="1" indent="1"/>
    </xf>
    <xf numFmtId="0" fontId="8" fillId="0" borderId="223" xfId="19" applyFont="1" applyFill="1" applyBorder="1" applyAlignment="1">
      <alignment wrapText="1"/>
    </xf>
    <xf numFmtId="3" fontId="8" fillId="0" borderId="224" xfId="32" applyNumberFormat="1" applyFont="1" applyFill="1" applyBorder="1" applyAlignment="1">
      <alignment horizontal="right"/>
    </xf>
    <xf numFmtId="3" fontId="8" fillId="0" borderId="225" xfId="32" applyNumberFormat="1" applyFont="1" applyFill="1" applyBorder="1" applyAlignment="1">
      <alignment horizontal="right"/>
    </xf>
    <xf numFmtId="3" fontId="8" fillId="0" borderId="177" xfId="32" applyNumberFormat="1" applyFont="1" applyFill="1" applyBorder="1" applyAlignment="1">
      <alignment horizontal="right"/>
    </xf>
    <xf numFmtId="0" fontId="5" fillId="0" borderId="223" xfId="19" applyFont="1" applyFill="1" applyBorder="1" applyAlignment="1">
      <alignment horizontal="left" vertical="top" wrapText="1" indent="2"/>
    </xf>
    <xf numFmtId="0" fontId="61" fillId="2" borderId="0" xfId="0" applyFont="1" applyFill="1"/>
    <xf numFmtId="165" fontId="9" fillId="0" borderId="225" xfId="32" applyNumberFormat="1" applyFont="1" applyFill="1" applyBorder="1" applyAlignment="1">
      <alignment horizontal="right" vertical="center"/>
    </xf>
    <xf numFmtId="0" fontId="5" fillId="0" borderId="226" xfId="19" applyFont="1" applyFill="1" applyBorder="1" applyAlignment="1">
      <alignment horizontal="left" vertical="top" wrapText="1" indent="2"/>
    </xf>
    <xf numFmtId="3" fontId="5" fillId="0" borderId="227" xfId="32" applyNumberFormat="1" applyFont="1" applyFill="1" applyBorder="1" applyAlignment="1">
      <alignment horizontal="right" vertical="center"/>
    </xf>
    <xf numFmtId="3" fontId="5" fillId="0" borderId="202" xfId="32" applyNumberFormat="1" applyFont="1" applyFill="1" applyBorder="1" applyAlignment="1">
      <alignment horizontal="right" vertical="center"/>
    </xf>
    <xf numFmtId="0" fontId="8" fillId="3" borderId="228" xfId="19" applyFont="1" applyFill="1" applyBorder="1" applyAlignment="1">
      <alignment horizontal="center" vertical="top" wrapText="1"/>
    </xf>
    <xf numFmtId="0" fontId="8" fillId="3" borderId="230" xfId="19" applyFont="1" applyFill="1" applyBorder="1" applyAlignment="1">
      <alignment horizontal="center" vertical="top" wrapText="1"/>
    </xf>
    <xf numFmtId="3" fontId="8" fillId="3" borderId="231" xfId="19" applyNumberFormat="1" applyFont="1" applyFill="1" applyBorder="1" applyAlignment="1">
      <alignment horizontal="center" vertical="top" wrapText="1"/>
    </xf>
    <xf numFmtId="3" fontId="8" fillId="3" borderId="232" xfId="19" applyNumberFormat="1" applyFont="1" applyFill="1" applyBorder="1" applyAlignment="1">
      <alignment horizontal="center" vertical="top" wrapText="1"/>
    </xf>
    <xf numFmtId="3" fontId="8" fillId="3" borderId="233" xfId="19" applyNumberFormat="1" applyFont="1" applyFill="1" applyBorder="1" applyAlignment="1">
      <alignment horizontal="center" vertical="top" wrapText="1"/>
    </xf>
    <xf numFmtId="3" fontId="8" fillId="3" borderId="234" xfId="19" applyNumberFormat="1" applyFont="1" applyFill="1" applyBorder="1" applyAlignment="1">
      <alignment horizontal="center" vertical="top" wrapText="1"/>
    </xf>
    <xf numFmtId="37" fontId="63" fillId="0" borderId="235" xfId="33" applyNumberFormat="1" applyFont="1" applyFill="1" applyBorder="1" applyAlignment="1">
      <alignment vertical="top"/>
    </xf>
    <xf numFmtId="3" fontId="8" fillId="0" borderId="236" xfId="33" applyNumberFormat="1" applyFont="1" applyFill="1" applyBorder="1" applyAlignment="1">
      <alignment horizontal="right" vertical="center"/>
    </xf>
    <xf numFmtId="3" fontId="8" fillId="0" borderId="169" xfId="33" applyNumberFormat="1" applyFont="1" applyFill="1" applyBorder="1" applyAlignment="1">
      <alignment horizontal="right" vertical="center"/>
    </xf>
    <xf numFmtId="3" fontId="8" fillId="0" borderId="172" xfId="33" applyNumberFormat="1" applyFont="1" applyFill="1" applyBorder="1" applyAlignment="1">
      <alignment horizontal="right" vertical="center"/>
    </xf>
    <xf numFmtId="37" fontId="9" fillId="0" borderId="81" xfId="33" applyNumberFormat="1" applyFont="1" applyFill="1" applyBorder="1" applyAlignment="1">
      <alignment vertical="top"/>
    </xf>
    <xf numFmtId="1" fontId="9" fillId="0" borderId="237" xfId="1" applyNumberFormat="1" applyFont="1" applyFill="1" applyBorder="1" applyAlignment="1">
      <alignment horizontal="right" vertical="center"/>
    </xf>
    <xf numFmtId="1" fontId="9" fillId="0" borderId="24" xfId="1" applyNumberFormat="1" applyFont="1" applyFill="1" applyBorder="1" applyAlignment="1">
      <alignment horizontal="right" vertical="center"/>
    </xf>
    <xf numFmtId="1" fontId="9" fillId="0" borderId="238" xfId="1" applyNumberFormat="1" applyFont="1" applyFill="1" applyBorder="1" applyAlignment="1">
      <alignment horizontal="right" vertical="center"/>
    </xf>
    <xf numFmtId="3" fontId="8" fillId="3" borderId="231" xfId="19" applyNumberFormat="1" applyFont="1" applyFill="1" applyBorder="1" applyAlignment="1">
      <alignment horizontal="center" vertical="center" wrapText="1"/>
    </xf>
    <xf numFmtId="3" fontId="8" fillId="3" borderId="232" xfId="19" applyNumberFormat="1" applyFont="1" applyFill="1" applyBorder="1" applyAlignment="1">
      <alignment horizontal="center" vertical="center" wrapText="1"/>
    </xf>
    <xf numFmtId="3" fontId="8" fillId="3" borderId="233" xfId="19" applyNumberFormat="1" applyFont="1" applyFill="1" applyBorder="1" applyAlignment="1">
      <alignment horizontal="center" vertical="center" wrapText="1"/>
    </xf>
    <xf numFmtId="3" fontId="8" fillId="3" borderId="234" xfId="19" applyNumberFormat="1" applyFont="1" applyFill="1" applyBorder="1" applyAlignment="1">
      <alignment horizontal="center" vertical="center" wrapText="1"/>
    </xf>
    <xf numFmtId="1" fontId="8" fillId="0" borderId="239" xfId="33" applyNumberFormat="1" applyFont="1" applyFill="1" applyBorder="1" applyAlignment="1">
      <alignment vertical="top" wrapText="1"/>
    </xf>
    <xf numFmtId="4" fontId="8" fillId="0" borderId="236" xfId="33" applyNumberFormat="1" applyFont="1" applyFill="1" applyBorder="1" applyAlignment="1">
      <alignment horizontal="right" vertical="center"/>
    </xf>
    <xf numFmtId="1" fontId="8" fillId="0" borderId="223" xfId="33" applyNumberFormat="1" applyFont="1" applyFill="1" applyBorder="1"/>
    <xf numFmtId="3" fontId="8" fillId="0" borderId="224" xfId="33" applyNumberFormat="1" applyFont="1" applyFill="1" applyBorder="1" applyAlignment="1">
      <alignment horizontal="right" vertical="center"/>
    </xf>
    <xf numFmtId="3" fontId="8" fillId="0" borderId="174" xfId="33" applyNumberFormat="1" applyFont="1" applyFill="1" applyBorder="1" applyAlignment="1">
      <alignment horizontal="right" vertical="center"/>
    </xf>
    <xf numFmtId="3" fontId="8" fillId="0" borderId="177" xfId="33" applyNumberFormat="1" applyFont="1" applyFill="1" applyBorder="1" applyAlignment="1">
      <alignment horizontal="right" vertical="center"/>
    </xf>
    <xf numFmtId="1" fontId="9" fillId="0" borderId="223" xfId="33" applyNumberFormat="1" applyFont="1" applyFill="1" applyBorder="1"/>
    <xf numFmtId="3" fontId="9" fillId="0" borderId="240" xfId="33" applyNumberFormat="1" applyFont="1" applyFill="1" applyBorder="1" applyAlignment="1">
      <alignment horizontal="right" vertical="center"/>
    </xf>
    <xf numFmtId="3" fontId="9" fillId="0" borderId="174" xfId="33" applyNumberFormat="1" applyFont="1" applyFill="1" applyBorder="1" applyAlignment="1">
      <alignment horizontal="right" vertical="center"/>
    </xf>
    <xf numFmtId="3" fontId="9" fillId="0" borderId="177" xfId="33" applyNumberFormat="1" applyFont="1" applyFill="1" applyBorder="1" applyAlignment="1">
      <alignment horizontal="right" vertical="center"/>
    </xf>
    <xf numFmtId="1" fontId="5" fillId="0" borderId="223" xfId="34" applyNumberFormat="1" applyFont="1" applyFill="1" applyBorder="1" applyAlignment="1">
      <alignment horizontal="left" indent="1"/>
    </xf>
    <xf numFmtId="3" fontId="5" fillId="0" borderId="240" xfId="33" applyNumberFormat="1" applyFont="1" applyFill="1" applyBorder="1" applyAlignment="1">
      <alignment horizontal="right" vertical="center"/>
    </xf>
    <xf numFmtId="3" fontId="5" fillId="0" borderId="174" xfId="33" applyNumberFormat="1" applyFont="1" applyFill="1" applyBorder="1" applyAlignment="1">
      <alignment horizontal="right" vertical="center"/>
    </xf>
    <xf numFmtId="3" fontId="5" fillId="0" borderId="177" xfId="33" applyNumberFormat="1" applyFont="1" applyFill="1" applyBorder="1" applyAlignment="1">
      <alignment horizontal="right" vertical="center"/>
    </xf>
    <xf numFmtId="3" fontId="8" fillId="0" borderId="225" xfId="33" applyNumberFormat="1" applyFont="1" applyFill="1" applyBorder="1" applyAlignment="1">
      <alignment horizontal="right" vertical="center"/>
    </xf>
    <xf numFmtId="3" fontId="9" fillId="0" borderId="224" xfId="33" applyNumberFormat="1" applyFont="1" applyFill="1" applyBorder="1" applyAlignment="1">
      <alignment horizontal="right" vertical="center"/>
    </xf>
    <xf numFmtId="3" fontId="9" fillId="0" borderId="225" xfId="33" applyNumberFormat="1" applyFont="1" applyFill="1" applyBorder="1" applyAlignment="1">
      <alignment horizontal="right" vertical="center"/>
    </xf>
    <xf numFmtId="1" fontId="9" fillId="0" borderId="223" xfId="33" applyNumberFormat="1" applyFont="1" applyFill="1" applyBorder="1" applyAlignment="1">
      <alignment horizontal="left" indent="1"/>
    </xf>
    <xf numFmtId="1" fontId="5" fillId="0" borderId="223" xfId="34" applyNumberFormat="1" applyFont="1" applyFill="1" applyBorder="1" applyAlignment="1">
      <alignment horizontal="left" indent="2"/>
    </xf>
    <xf numFmtId="3" fontId="5" fillId="0" borderId="224" xfId="33" applyNumberFormat="1" applyFont="1" applyFill="1" applyBorder="1" applyAlignment="1">
      <alignment horizontal="right" vertical="center"/>
    </xf>
    <xf numFmtId="3" fontId="5" fillId="0" borderId="225" xfId="33" applyNumberFormat="1" applyFont="1" applyFill="1" applyBorder="1" applyAlignment="1">
      <alignment horizontal="right" vertical="center"/>
    </xf>
    <xf numFmtId="1" fontId="9" fillId="0" borderId="223" xfId="33" applyNumberFormat="1" applyFont="1" applyFill="1" applyBorder="1" applyAlignment="1">
      <alignment horizontal="left" indent="2"/>
    </xf>
    <xf numFmtId="1" fontId="9" fillId="0" borderId="223" xfId="33" applyNumberFormat="1" applyFont="1" applyFill="1" applyBorder="1" applyAlignment="1">
      <alignment horizontal="left" indent="3"/>
    </xf>
    <xf numFmtId="1" fontId="5" fillId="0" borderId="223" xfId="34" applyNumberFormat="1" applyFont="1" applyFill="1" applyBorder="1" applyAlignment="1">
      <alignment horizontal="left" indent="4"/>
    </xf>
    <xf numFmtId="1" fontId="9" fillId="0" borderId="239" xfId="33" applyNumberFormat="1" applyFont="1" applyFill="1" applyBorder="1" applyAlignment="1">
      <alignment horizontal="left" indent="3"/>
    </xf>
    <xf numFmtId="1" fontId="5" fillId="0" borderId="223" xfId="34" applyNumberFormat="1" applyFont="1" applyFill="1" applyBorder="1" applyAlignment="1">
      <alignment horizontal="left" indent="5"/>
    </xf>
    <xf numFmtId="0" fontId="0" fillId="2" borderId="0" xfId="0" applyFont="1" applyFill="1"/>
    <xf numFmtId="1" fontId="9" fillId="0" borderId="241" xfId="33" applyNumberFormat="1" applyFont="1" applyFill="1" applyBorder="1"/>
    <xf numFmtId="3" fontId="9" fillId="0" borderId="242" xfId="33" applyNumberFormat="1" applyFont="1" applyFill="1" applyBorder="1" applyAlignment="1">
      <alignment horizontal="right" vertical="center"/>
    </xf>
    <xf numFmtId="3" fontId="9" fillId="0" borderId="243" xfId="33" applyNumberFormat="1" applyFont="1" applyFill="1" applyBorder="1" applyAlignment="1">
      <alignment horizontal="right" vertical="center"/>
    </xf>
    <xf numFmtId="3" fontId="9" fillId="0" borderId="244" xfId="33" applyNumberFormat="1" applyFont="1" applyFill="1" applyBorder="1" applyAlignment="1">
      <alignment horizontal="right" vertical="center"/>
    </xf>
    <xf numFmtId="1" fontId="8" fillId="0" borderId="226" xfId="33" applyNumberFormat="1" applyFont="1" applyFill="1" applyBorder="1"/>
    <xf numFmtId="3" fontId="9" fillId="0" borderId="245" xfId="33" applyNumberFormat="1" applyFont="1" applyFill="1" applyBorder="1" applyAlignment="1">
      <alignment horizontal="right" vertical="center"/>
    </xf>
    <xf numFmtId="3" fontId="9" fillId="0" borderId="246" xfId="33" applyNumberFormat="1" applyFont="1" applyFill="1" applyBorder="1" applyAlignment="1">
      <alignment horizontal="right" vertical="center"/>
    </xf>
    <xf numFmtId="3" fontId="8" fillId="0" borderId="202" xfId="33" applyNumberFormat="1" applyFont="1" applyFill="1" applyBorder="1" applyAlignment="1">
      <alignment horizontal="right" vertical="center"/>
    </xf>
    <xf numFmtId="0" fontId="44" fillId="0" borderId="0" xfId="35" applyFont="1" applyFill="1"/>
    <xf numFmtId="3" fontId="65" fillId="2" borderId="0" xfId="19" applyNumberFormat="1" applyFont="1" applyFill="1"/>
    <xf numFmtId="0" fontId="65" fillId="2" borderId="0" xfId="19" applyFont="1" applyFill="1"/>
    <xf numFmtId="0" fontId="44" fillId="2" borderId="0" xfId="19" applyFont="1" applyFill="1" applyAlignment="1">
      <alignment horizontal="left" wrapText="1"/>
    </xf>
    <xf numFmtId="3" fontId="44" fillId="2" borderId="0" xfId="19" applyNumberFormat="1" applyFont="1" applyFill="1" applyAlignment="1">
      <alignment vertical="center" wrapText="1"/>
    </xf>
    <xf numFmtId="0" fontId="66" fillId="2" borderId="0" xfId="0" applyFont="1" applyFill="1"/>
    <xf numFmtId="0" fontId="44" fillId="2" borderId="0" xfId="19" applyFont="1" applyFill="1" applyAlignment="1">
      <alignment horizontal="left"/>
    </xf>
    <xf numFmtId="3" fontId="67" fillId="2" borderId="0" xfId="19" applyNumberFormat="1" applyFont="1" applyFill="1" applyAlignment="1">
      <alignment horizontal="center"/>
    </xf>
    <xf numFmtId="3" fontId="16" fillId="2" borderId="0" xfId="19" applyNumberFormat="1" applyFont="1" applyFill="1" applyAlignment="1">
      <alignment horizontal="center"/>
    </xf>
    <xf numFmtId="0" fontId="62" fillId="2" borderId="0" xfId="19" applyFont="1" applyFill="1"/>
    <xf numFmtId="0" fontId="8" fillId="2" borderId="0" xfId="12" applyFont="1" applyFill="1" applyAlignment="1">
      <alignment vertical="center"/>
    </xf>
    <xf numFmtId="0" fontId="51" fillId="2" borderId="0" xfId="0" applyFont="1" applyFill="1" applyAlignment="1" applyProtection="1"/>
    <xf numFmtId="3" fontId="27" fillId="2" borderId="0" xfId="13" applyNumberFormat="1" applyFont="1" applyFill="1" applyAlignment="1">
      <alignment horizontal="right"/>
    </xf>
    <xf numFmtId="3" fontId="4" fillId="2" borderId="0" xfId="13" applyNumberFormat="1" applyFont="1" applyFill="1" applyAlignment="1">
      <alignment horizontal="right"/>
    </xf>
    <xf numFmtId="0" fontId="51" fillId="2" borderId="0" xfId="31" applyFont="1" applyFill="1" applyAlignment="1" applyProtection="1"/>
    <xf numFmtId="0" fontId="8" fillId="3" borderId="8" xfId="36" applyFont="1" applyFill="1" applyBorder="1" applyAlignment="1">
      <alignment horizontal="center" vertical="top" wrapText="1"/>
    </xf>
    <xf numFmtId="179" fontId="14" fillId="2" borderId="247" xfId="1" applyNumberFormat="1" applyFont="1" applyFill="1" applyBorder="1" applyAlignment="1" applyProtection="1">
      <alignment horizontal="left"/>
    </xf>
    <xf numFmtId="3" fontId="14" fillId="2" borderId="248" xfId="1" applyNumberFormat="1" applyFont="1" applyFill="1" applyBorder="1" applyAlignment="1" applyProtection="1">
      <alignment horizontal="right"/>
    </xf>
    <xf numFmtId="179" fontId="14" fillId="2" borderId="249" xfId="1" applyNumberFormat="1" applyFont="1" applyFill="1" applyBorder="1" applyAlignment="1" applyProtection="1">
      <alignment horizontal="left" vertical="top" wrapText="1" indent="1"/>
    </xf>
    <xf numFmtId="3" fontId="14" fillId="2" borderId="250" xfId="1" applyNumberFormat="1" applyFont="1" applyFill="1" applyBorder="1" applyAlignment="1" applyProtection="1">
      <alignment horizontal="right" vertical="top" wrapText="1"/>
    </xf>
    <xf numFmtId="179" fontId="14" fillId="2" borderId="251" xfId="1" applyNumberFormat="1" applyFont="1" applyFill="1" applyBorder="1" applyAlignment="1" applyProtection="1">
      <alignment horizontal="left" vertical="top" wrapText="1" indent="2"/>
    </xf>
    <xf numFmtId="3" fontId="14" fillId="2" borderId="252" xfId="1" applyNumberFormat="1" applyFont="1" applyFill="1" applyBorder="1" applyAlignment="1" applyProtection="1">
      <alignment horizontal="right" vertical="top" wrapText="1"/>
    </xf>
    <xf numFmtId="179" fontId="14" fillId="2" borderId="251" xfId="1" applyNumberFormat="1" applyFont="1" applyFill="1" applyBorder="1" applyAlignment="1" applyProtection="1">
      <alignment horizontal="left" vertical="top" wrapText="1" indent="3"/>
    </xf>
    <xf numFmtId="179" fontId="7" fillId="2" borderId="251" xfId="1" applyNumberFormat="1" applyFont="1" applyFill="1" applyBorder="1" applyAlignment="1" applyProtection="1">
      <alignment horizontal="left" vertical="top" wrapText="1" indent="4"/>
    </xf>
    <xf numFmtId="3" fontId="7" fillId="2" borderId="252" xfId="1" applyNumberFormat="1" applyFont="1" applyFill="1" applyBorder="1" applyAlignment="1" applyProtection="1">
      <alignment horizontal="right" vertical="top" wrapText="1"/>
    </xf>
    <xf numFmtId="179" fontId="27" fillId="2" borderId="251" xfId="1" applyNumberFormat="1" applyFont="1" applyFill="1" applyBorder="1" applyAlignment="1" applyProtection="1">
      <alignment horizontal="left" vertical="top" wrapText="1" indent="7"/>
    </xf>
    <xf numFmtId="3" fontId="27" fillId="2" borderId="252" xfId="1" applyNumberFormat="1" applyFont="1" applyFill="1" applyBorder="1" applyAlignment="1" applyProtection="1">
      <alignment horizontal="right" vertical="top" wrapText="1"/>
    </xf>
    <xf numFmtId="179" fontId="7" fillId="2" borderId="251" xfId="1" applyNumberFormat="1" applyFont="1" applyFill="1" applyBorder="1" applyAlignment="1" applyProtection="1">
      <alignment horizontal="left" vertical="top" wrapText="1" indent="6"/>
    </xf>
    <xf numFmtId="179" fontId="14" fillId="2" borderId="251" xfId="1" applyNumberFormat="1" applyFont="1" applyFill="1" applyBorder="1" applyAlignment="1" applyProtection="1">
      <alignment horizontal="left" vertical="top" indent="2"/>
    </xf>
    <xf numFmtId="3" fontId="14" fillId="2" borderId="252" xfId="1" applyNumberFormat="1" applyFont="1" applyFill="1" applyBorder="1" applyAlignment="1" applyProtection="1">
      <alignment horizontal="right" vertical="center" wrapText="1"/>
    </xf>
    <xf numFmtId="179" fontId="7" fillId="2" borderId="251" xfId="1" applyNumberFormat="1" applyFont="1" applyFill="1" applyBorder="1" applyAlignment="1" applyProtection="1">
      <alignment horizontal="left" vertical="top" wrapText="1" indent="5"/>
    </xf>
    <xf numFmtId="3" fontId="7" fillId="0" borderId="252" xfId="1" applyNumberFormat="1" applyFont="1" applyFill="1" applyBorder="1" applyAlignment="1" applyProtection="1">
      <alignment horizontal="right" vertical="top" wrapText="1"/>
    </xf>
    <xf numFmtId="179" fontId="7" fillId="0" borderId="251" xfId="1" applyNumberFormat="1" applyFont="1" applyFill="1" applyBorder="1" applyAlignment="1" applyProtection="1">
      <alignment horizontal="left" vertical="top" wrapText="1" indent="5"/>
    </xf>
    <xf numFmtId="179" fontId="7" fillId="0" borderId="251" xfId="1" applyNumberFormat="1" applyFont="1" applyFill="1" applyBorder="1" applyAlignment="1" applyProtection="1">
      <alignment horizontal="left" vertical="top" wrapText="1" indent="6"/>
    </xf>
    <xf numFmtId="179" fontId="7" fillId="2" borderId="251" xfId="1" applyNumberFormat="1" applyFont="1" applyFill="1" applyBorder="1" applyAlignment="1" applyProtection="1">
      <alignment horizontal="left" vertical="top" wrapText="1" indent="3"/>
    </xf>
    <xf numFmtId="179" fontId="14" fillId="2" borderId="251" xfId="1" applyNumberFormat="1" applyFont="1" applyFill="1" applyBorder="1" applyAlignment="1" applyProtection="1">
      <alignment horizontal="left" vertical="top" wrapText="1" indent="1"/>
    </xf>
    <xf numFmtId="3" fontId="14" fillId="0" borderId="252" xfId="1" applyNumberFormat="1" applyFont="1" applyFill="1" applyBorder="1" applyAlignment="1" applyProtection="1">
      <alignment horizontal="right" vertical="top" wrapText="1"/>
    </xf>
    <xf numFmtId="3" fontId="27" fillId="0" borderId="252" xfId="1" applyNumberFormat="1" applyFont="1" applyFill="1" applyBorder="1" applyAlignment="1" applyProtection="1">
      <alignment horizontal="right" vertical="top" wrapText="1"/>
    </xf>
    <xf numFmtId="0" fontId="68" fillId="2" borderId="0" xfId="31" applyFont="1" applyFill="1" applyAlignment="1" applyProtection="1"/>
    <xf numFmtId="179" fontId="14" fillId="2" borderId="251" xfId="1" applyNumberFormat="1" applyFont="1" applyFill="1" applyBorder="1" applyAlignment="1" applyProtection="1">
      <alignment horizontal="left" vertical="top" wrapText="1"/>
    </xf>
    <xf numFmtId="3" fontId="14" fillId="0" borderId="252" xfId="1" applyNumberFormat="1" applyFont="1" applyFill="1" applyBorder="1" applyAlignment="1" applyProtection="1">
      <alignment horizontal="right" vertical="center" wrapText="1"/>
    </xf>
    <xf numFmtId="0" fontId="34" fillId="2" borderId="0" xfId="13" applyFont="1" applyFill="1"/>
    <xf numFmtId="0" fontId="34" fillId="2" borderId="0" xfId="13" applyFont="1" applyFill="1" applyAlignment="1">
      <alignment vertical="center"/>
    </xf>
    <xf numFmtId="179" fontId="27" fillId="0" borderId="251" xfId="1" applyNumberFormat="1" applyFont="1" applyFill="1" applyBorder="1" applyAlignment="1" applyProtection="1">
      <alignment horizontal="left" vertical="top" wrapText="1" indent="6"/>
    </xf>
    <xf numFmtId="179" fontId="14" fillId="2" borderId="253" xfId="1" applyNumberFormat="1" applyFont="1" applyFill="1" applyBorder="1" applyAlignment="1" applyProtection="1">
      <alignment horizontal="left" vertical="top" wrapText="1" indent="3"/>
    </xf>
    <xf numFmtId="3" fontId="14" fillId="2" borderId="254" xfId="1" applyNumberFormat="1" applyFont="1" applyFill="1" applyBorder="1" applyAlignment="1" applyProtection="1">
      <alignment horizontal="right" vertical="top" wrapText="1"/>
    </xf>
    <xf numFmtId="0" fontId="4" fillId="2" borderId="0" xfId="12" applyFont="1" applyFill="1" applyAlignment="1">
      <alignment vertical="center"/>
    </xf>
    <xf numFmtId="0" fontId="51" fillId="2" borderId="0" xfId="0" applyFont="1" applyFill="1" applyAlignment="1" applyProtection="1">
      <alignment vertical="center"/>
    </xf>
    <xf numFmtId="3" fontId="69" fillId="2" borderId="0" xfId="0" applyNumberFormat="1" applyFont="1" applyFill="1" applyAlignment="1" applyProtection="1">
      <alignment vertical="center"/>
    </xf>
    <xf numFmtId="0" fontId="8" fillId="3" borderId="13" xfId="19" applyFont="1" applyFill="1" applyBorder="1" applyAlignment="1">
      <alignment horizontal="center" vertical="center"/>
    </xf>
    <xf numFmtId="0" fontId="8" fillId="3" borderId="5" xfId="19" applyFont="1" applyFill="1" applyBorder="1" applyAlignment="1">
      <alignment horizontal="center" vertical="center"/>
    </xf>
    <xf numFmtId="0" fontId="68" fillId="2" borderId="0" xfId="37" applyFont="1" applyFill="1" applyAlignment="1">
      <alignment horizontal="right" vertical="center"/>
    </xf>
    <xf numFmtId="0" fontId="51" fillId="2" borderId="0" xfId="37" applyFill="1"/>
    <xf numFmtId="0" fontId="71" fillId="3" borderId="0" xfId="37" applyFont="1" applyFill="1" applyAlignment="1">
      <alignment horizontal="center"/>
    </xf>
    <xf numFmtId="0" fontId="72" fillId="2" borderId="0" xfId="37" applyFont="1" applyFill="1" applyAlignment="1">
      <alignment horizontal="left"/>
    </xf>
    <xf numFmtId="0" fontId="7" fillId="2" borderId="0" xfId="37" applyFont="1" applyFill="1"/>
    <xf numFmtId="0" fontId="73" fillId="2" borderId="0" xfId="38" applyFont="1" applyFill="1" applyAlignment="1">
      <alignment horizontal="justify"/>
    </xf>
    <xf numFmtId="0" fontId="74" fillId="2" borderId="0" xfId="37" applyFont="1" applyFill="1"/>
    <xf numFmtId="0" fontId="51" fillId="2" borderId="0" xfId="37" applyFill="1" applyAlignment="1"/>
    <xf numFmtId="0" fontId="12" fillId="2" borderId="0" xfId="12" applyFont="1" applyFill="1" applyAlignment="1">
      <alignment vertical="center"/>
    </xf>
    <xf numFmtId="0" fontId="19" fillId="2" borderId="0" xfId="12" applyFont="1" applyFill="1" applyAlignment="1">
      <alignment vertical="center"/>
    </xf>
    <xf numFmtId="0" fontId="3" fillId="2" borderId="0" xfId="12" applyFont="1" applyFill="1" applyAlignment="1">
      <alignment vertical="center"/>
    </xf>
    <xf numFmtId="0" fontId="4" fillId="2" borderId="0" xfId="12" applyFont="1" applyFill="1" applyAlignment="1">
      <alignment horizontal="right" vertical="center"/>
    </xf>
    <xf numFmtId="0" fontId="8" fillId="10" borderId="64" xfId="12" applyFont="1" applyFill="1" applyBorder="1" applyAlignment="1">
      <alignment horizontal="centerContinuous" vertical="center" wrapText="1"/>
    </xf>
    <xf numFmtId="0" fontId="9" fillId="10" borderId="64" xfId="12" applyFont="1" applyFill="1" applyBorder="1" applyAlignment="1">
      <alignment horizontal="centerContinuous" vertical="center" wrapText="1"/>
    </xf>
    <xf numFmtId="0" fontId="9" fillId="10" borderId="106" xfId="12" applyFont="1" applyFill="1" applyBorder="1" applyAlignment="1">
      <alignment horizontal="centerContinuous" vertical="center" wrapText="1"/>
    </xf>
    <xf numFmtId="0" fontId="9" fillId="2" borderId="0" xfId="12" applyFont="1" applyFill="1" applyAlignment="1">
      <alignment vertical="center"/>
    </xf>
    <xf numFmtId="0" fontId="8" fillId="10" borderId="144" xfId="12" applyFont="1" applyFill="1" applyBorder="1" applyAlignment="1">
      <alignment horizontal="center" vertical="center"/>
    </xf>
    <xf numFmtId="0" fontId="8" fillId="10" borderId="44" xfId="12" applyFont="1" applyFill="1" applyBorder="1" applyAlignment="1">
      <alignment horizontal="center" vertical="center"/>
    </xf>
    <xf numFmtId="0" fontId="8" fillId="10" borderId="146" xfId="12" applyFont="1" applyFill="1" applyBorder="1" applyAlignment="1">
      <alignment horizontal="center" vertical="center"/>
    </xf>
    <xf numFmtId="0" fontId="8" fillId="10" borderId="2" xfId="12" applyFont="1" applyFill="1" applyBorder="1" applyAlignment="1">
      <alignment horizontal="center" vertical="center"/>
    </xf>
    <xf numFmtId="0" fontId="9" fillId="10" borderId="79" xfId="12" applyFont="1" applyFill="1" applyBorder="1" applyAlignment="1">
      <alignment vertical="center"/>
    </xf>
    <xf numFmtId="0" fontId="7" fillId="2" borderId="14" xfId="12" applyFont="1" applyFill="1" applyBorder="1" applyAlignment="1">
      <alignment vertical="center"/>
    </xf>
    <xf numFmtId="0" fontId="7" fillId="2" borderId="5" xfId="12" applyFont="1" applyFill="1" applyBorder="1" applyAlignment="1">
      <alignment vertical="center"/>
    </xf>
    <xf numFmtId="0" fontId="7" fillId="2" borderId="4" xfId="12" applyFont="1" applyFill="1" applyBorder="1" applyAlignment="1">
      <alignment vertical="center"/>
    </xf>
    <xf numFmtId="0" fontId="8" fillId="10" borderId="79" xfId="12" applyFont="1" applyFill="1" applyBorder="1" applyAlignment="1">
      <alignment vertical="center"/>
    </xf>
    <xf numFmtId="3" fontId="14" fillId="2" borderId="6" xfId="12" applyNumberFormat="1" applyFont="1" applyFill="1" applyBorder="1" applyAlignment="1">
      <alignment vertical="center"/>
    </xf>
    <xf numFmtId="3" fontId="14" fillId="2" borderId="5" xfId="12" applyNumberFormat="1" applyFont="1" applyFill="1" applyBorder="1" applyAlignment="1">
      <alignment vertical="center"/>
    </xf>
    <xf numFmtId="3" fontId="14" fillId="2" borderId="4" xfId="12" applyNumberFormat="1" applyFont="1" applyFill="1" applyBorder="1" applyAlignment="1">
      <alignment vertical="center"/>
    </xf>
    <xf numFmtId="3" fontId="3" fillId="2" borderId="0" xfId="12" applyNumberFormat="1" applyFont="1" applyFill="1" applyAlignment="1">
      <alignment vertical="center"/>
    </xf>
    <xf numFmtId="3" fontId="7" fillId="2" borderId="6" xfId="12" applyNumberFormat="1" applyFont="1" applyFill="1" applyBorder="1" applyAlignment="1">
      <alignment vertical="center"/>
    </xf>
    <xf numFmtId="3" fontId="7" fillId="2" borderId="5" xfId="12" applyNumberFormat="1" applyFont="1" applyFill="1" applyBorder="1" applyAlignment="1">
      <alignment vertical="center"/>
    </xf>
    <xf numFmtId="3" fontId="7" fillId="2" borderId="4" xfId="12" applyNumberFormat="1" applyFont="1" applyFill="1" applyBorder="1" applyAlignment="1">
      <alignment vertical="center"/>
    </xf>
    <xf numFmtId="177" fontId="27" fillId="2" borderId="6" xfId="39" applyNumberFormat="1" applyFont="1" applyFill="1" applyBorder="1" applyAlignment="1">
      <alignment vertical="center"/>
    </xf>
    <xf numFmtId="177" fontId="27" fillId="2" borderId="5" xfId="39" applyNumberFormat="1" applyFont="1" applyFill="1" applyBorder="1" applyAlignment="1">
      <alignment vertical="center"/>
    </xf>
    <xf numFmtId="179" fontId="3" fillId="2" borderId="0" xfId="1" applyNumberFormat="1" applyFont="1" applyFill="1" applyAlignment="1">
      <alignment vertical="center"/>
    </xf>
    <xf numFmtId="0" fontId="8" fillId="10" borderId="67" xfId="12" applyFont="1" applyFill="1" applyBorder="1" applyAlignment="1">
      <alignment vertical="center"/>
    </xf>
    <xf numFmtId="0" fontId="7" fillId="2" borderId="3" xfId="12" applyFont="1" applyFill="1" applyBorder="1" applyAlignment="1">
      <alignment vertical="center"/>
    </xf>
    <xf numFmtId="0" fontId="7" fillId="2" borderId="2" xfId="12" applyFont="1" applyFill="1" applyBorder="1" applyAlignment="1">
      <alignment vertical="center"/>
    </xf>
    <xf numFmtId="0" fontId="7" fillId="2" borderId="1" xfId="12" applyFont="1" applyFill="1" applyBorder="1" applyAlignment="1">
      <alignment vertical="center"/>
    </xf>
    <xf numFmtId="0" fontId="4" fillId="2" borderId="0" xfId="12" applyFont="1" applyFill="1" applyAlignment="1"/>
    <xf numFmtId="3" fontId="4" fillId="2" borderId="0" xfId="12" applyNumberFormat="1" applyFont="1" applyFill="1" applyAlignment="1"/>
    <xf numFmtId="0" fontId="6" fillId="2" borderId="0" xfId="12" applyFont="1" applyFill="1" applyAlignment="1"/>
    <xf numFmtId="0" fontId="2" fillId="2" borderId="0" xfId="40" applyFont="1" applyFill="1" applyAlignment="1">
      <alignment vertical="center"/>
    </xf>
    <xf numFmtId="0" fontId="8" fillId="0" borderId="0" xfId="40" applyFont="1" applyFill="1" applyBorder="1" applyAlignment="1">
      <alignment horizontal="left" vertical="center" wrapText="1"/>
    </xf>
    <xf numFmtId="0" fontId="62" fillId="2" borderId="0" xfId="40" applyFont="1" applyFill="1" applyAlignment="1">
      <alignment vertical="center"/>
    </xf>
    <xf numFmtId="0" fontId="5" fillId="2" borderId="0" xfId="40" applyFont="1" applyFill="1" applyAlignment="1">
      <alignment horizontal="right" vertical="center"/>
    </xf>
    <xf numFmtId="175" fontId="14" fillId="3" borderId="256" xfId="40" applyNumberFormat="1" applyFont="1" applyFill="1" applyBorder="1" applyAlignment="1">
      <alignment horizontal="center"/>
    </xf>
    <xf numFmtId="0" fontId="77" fillId="2" borderId="0" xfId="40" applyFont="1" applyFill="1"/>
    <xf numFmtId="10" fontId="7" fillId="3" borderId="260" xfId="40" applyNumberFormat="1" applyFont="1" applyFill="1" applyBorder="1"/>
    <xf numFmtId="0" fontId="2" fillId="2" borderId="0" xfId="40" applyFont="1" applyFill="1"/>
    <xf numFmtId="0" fontId="12" fillId="3" borderId="31" xfId="40" applyFont="1" applyFill="1" applyBorder="1"/>
    <xf numFmtId="10" fontId="7" fillId="0" borderId="30" xfId="40" applyNumberFormat="1" applyFont="1" applyFill="1" applyBorder="1"/>
    <xf numFmtId="10" fontId="7" fillId="4" borderId="166" xfId="40" applyNumberFormat="1" applyFont="1" applyFill="1" applyBorder="1"/>
    <xf numFmtId="10" fontId="9" fillId="2" borderId="44" xfId="40" applyNumberFormat="1" applyFont="1" applyFill="1" applyBorder="1"/>
    <xf numFmtId="177" fontId="5" fillId="2" borderId="44" xfId="40" applyNumberFormat="1" applyFont="1" applyFill="1" applyBorder="1" applyAlignment="1">
      <alignment horizontal="center"/>
    </xf>
    <xf numFmtId="0" fontId="78" fillId="2" borderId="0" xfId="40" applyFont="1" applyFill="1"/>
    <xf numFmtId="0" fontId="19" fillId="3" borderId="25" xfId="40" applyFont="1" applyFill="1" applyBorder="1"/>
    <xf numFmtId="177" fontId="7" fillId="0" borderId="24" xfId="41" applyNumberFormat="1" applyFont="1" applyFill="1" applyBorder="1"/>
    <xf numFmtId="177" fontId="7" fillId="4" borderId="263" xfId="41" applyNumberFormat="1" applyFont="1" applyFill="1" applyBorder="1"/>
    <xf numFmtId="174" fontId="9" fillId="2" borderId="5" xfId="15" applyNumberFormat="1" applyFont="1" applyFill="1" applyBorder="1"/>
    <xf numFmtId="174" fontId="9" fillId="2" borderId="5" xfId="15" applyNumberFormat="1" applyFont="1" applyFill="1" applyBorder="1" applyAlignment="1">
      <alignment horizontal="right"/>
    </xf>
    <xf numFmtId="174" fontId="9" fillId="2" borderId="5" xfId="41" applyNumberFormat="1" applyFont="1" applyFill="1" applyBorder="1"/>
    <xf numFmtId="174" fontId="9" fillId="2" borderId="5" xfId="40" applyNumberFormat="1" applyFont="1" applyFill="1" applyBorder="1"/>
    <xf numFmtId="174" fontId="9" fillId="2" borderId="5" xfId="40" applyNumberFormat="1" applyFont="1" applyFill="1" applyBorder="1" applyAlignment="1">
      <alignment horizontal="right"/>
    </xf>
    <xf numFmtId="0" fontId="12" fillId="3" borderId="25" xfId="40" applyFont="1" applyFill="1" applyBorder="1"/>
    <xf numFmtId="0" fontId="19" fillId="3" borderId="25" xfId="40" quotePrefix="1" applyFont="1" applyFill="1" applyBorder="1" applyAlignment="1">
      <alignment horizontal="left"/>
    </xf>
    <xf numFmtId="0" fontId="2" fillId="0" borderId="0" xfId="40" applyFont="1" applyFill="1"/>
    <xf numFmtId="0" fontId="30" fillId="3" borderId="25" xfId="40" applyFont="1" applyFill="1" applyBorder="1" applyAlignment="1">
      <alignment horizontal="left" indent="1"/>
    </xf>
    <xf numFmtId="165" fontId="7" fillId="0" borderId="24" xfId="41" applyNumberFormat="1" applyFont="1" applyFill="1" applyBorder="1"/>
    <xf numFmtId="0" fontId="9" fillId="2" borderId="5" xfId="15" quotePrefix="1" applyNumberFormat="1" applyFont="1" applyFill="1" applyBorder="1" applyAlignment="1">
      <alignment horizontal="right"/>
    </xf>
    <xf numFmtId="0" fontId="19" fillId="3" borderId="22" xfId="40" applyFont="1" applyFill="1" applyBorder="1"/>
    <xf numFmtId="177" fontId="7" fillId="0" borderId="21" xfId="41" applyNumberFormat="1" applyFont="1" applyFill="1" applyBorder="1"/>
    <xf numFmtId="177" fontId="7" fillId="4" borderId="264" xfId="41" applyNumberFormat="1" applyFont="1" applyFill="1" applyBorder="1"/>
    <xf numFmtId="177" fontId="9" fillId="2" borderId="11" xfId="41" applyNumberFormat="1" applyFont="1" applyFill="1" applyBorder="1"/>
    <xf numFmtId="177" fontId="9" fillId="2" borderId="11" xfId="40" applyNumberFormat="1" applyFont="1" applyFill="1" applyBorder="1"/>
    <xf numFmtId="0" fontId="12" fillId="3" borderId="43" xfId="40" applyFont="1" applyFill="1" applyBorder="1"/>
    <xf numFmtId="177" fontId="7" fillId="0" borderId="36" xfId="41" applyNumberFormat="1" applyFont="1" applyFill="1" applyBorder="1"/>
    <xf numFmtId="175" fontId="14" fillId="4" borderId="265" xfId="40" applyNumberFormat="1" applyFont="1" applyFill="1" applyBorder="1" applyAlignment="1">
      <alignment horizontal="center"/>
    </xf>
    <xf numFmtId="175" fontId="8" fillId="3" borderId="8" xfId="40" applyNumberFormat="1" applyFont="1" applyFill="1" applyBorder="1" applyAlignment="1">
      <alignment horizontal="center"/>
    </xf>
    <xf numFmtId="175" fontId="8" fillId="3" borderId="8" xfId="40" applyNumberFormat="1" applyFont="1" applyFill="1" applyBorder="1" applyAlignment="1">
      <alignment horizontal="center" vertical="center"/>
    </xf>
    <xf numFmtId="175" fontId="8" fillId="3" borderId="8" xfId="40" quotePrefix="1" applyNumberFormat="1" applyFont="1" applyFill="1" applyBorder="1" applyAlignment="1">
      <alignment horizontal="center" vertical="center"/>
    </xf>
    <xf numFmtId="0" fontId="19" fillId="3" borderId="31" xfId="40" applyFont="1" applyFill="1" applyBorder="1"/>
    <xf numFmtId="177" fontId="7" fillId="0" borderId="30" xfId="41" applyNumberFormat="1" applyFont="1" applyFill="1" applyBorder="1"/>
    <xf numFmtId="177" fontId="7" fillId="4" borderId="166" xfId="41" applyNumberFormat="1" applyFont="1" applyFill="1" applyBorder="1"/>
    <xf numFmtId="174" fontId="9" fillId="2" borderId="44" xfId="15" applyNumberFormat="1" applyFont="1" applyFill="1" applyBorder="1"/>
    <xf numFmtId="0" fontId="19" fillId="3" borderId="11" xfId="40" applyFont="1" applyFill="1" applyBorder="1"/>
    <xf numFmtId="10" fontId="14" fillId="0" borderId="11" xfId="40" applyNumberFormat="1" applyFont="1" applyFill="1" applyBorder="1"/>
    <xf numFmtId="10" fontId="14" fillId="4" borderId="11" xfId="40" applyNumberFormat="1" applyFont="1" applyFill="1" applyBorder="1"/>
    <xf numFmtId="10" fontId="8" fillId="2" borderId="11" xfId="40" applyNumberFormat="1" applyFont="1" applyFill="1" applyBorder="1"/>
    <xf numFmtId="0" fontId="2" fillId="2" borderId="0" xfId="40" applyFont="1" applyFill="1" applyAlignment="1"/>
    <xf numFmtId="0" fontId="34" fillId="2" borderId="0" xfId="40" applyFont="1" applyFill="1" applyBorder="1"/>
    <xf numFmtId="10" fontId="24" fillId="2" borderId="0" xfId="40" applyNumberFormat="1" applyFont="1" applyFill="1" applyBorder="1"/>
    <xf numFmtId="0" fontId="34" fillId="2" borderId="0" xfId="34" applyFont="1" applyFill="1" applyBorder="1"/>
    <xf numFmtId="0" fontId="23" fillId="2" borderId="0" xfId="34" applyFont="1" applyFill="1" applyBorder="1"/>
    <xf numFmtId="0" fontId="23" fillId="2" borderId="0" xfId="40" applyFont="1" applyFill="1" applyBorder="1"/>
    <xf numFmtId="3" fontId="24" fillId="2" borderId="0" xfId="40" applyNumberFormat="1" applyFont="1" applyFill="1" applyBorder="1"/>
    <xf numFmtId="0" fontId="82" fillId="2" borderId="266" xfId="40" applyFont="1" applyFill="1" applyBorder="1"/>
    <xf numFmtId="10" fontId="83" fillId="2" borderId="0" xfId="40" applyNumberFormat="1" applyFont="1" applyFill="1"/>
    <xf numFmtId="0" fontId="2" fillId="2" borderId="0" xfId="34" applyFont="1" applyFill="1"/>
    <xf numFmtId="0" fontId="62" fillId="2" borderId="0" xfId="34" applyFont="1" applyFill="1"/>
    <xf numFmtId="0" fontId="62" fillId="2" borderId="0" xfId="40" applyFont="1" applyFill="1"/>
    <xf numFmtId="10" fontId="82" fillId="2" borderId="0" xfId="40" applyNumberFormat="1" applyFont="1" applyFill="1"/>
    <xf numFmtId="0" fontId="11" fillId="2" borderId="0" xfId="19" applyFont="1" applyFill="1" applyAlignment="1">
      <alignment horizontal="center" vertical="center"/>
    </xf>
    <xf numFmtId="0" fontId="10" fillId="2" borderId="0" xfId="19" applyFont="1" applyFill="1" applyAlignment="1">
      <alignment horizontal="center" vertical="center"/>
    </xf>
    <xf numFmtId="0" fontId="84" fillId="2" borderId="0" xfId="19" applyFont="1" applyFill="1" applyAlignment="1">
      <alignment horizontal="center" vertical="center"/>
    </xf>
    <xf numFmtId="0" fontId="10" fillId="2" borderId="0" xfId="42" applyFont="1" applyFill="1" applyAlignment="1">
      <alignment horizontal="center" vertical="center"/>
    </xf>
    <xf numFmtId="0" fontId="10" fillId="0" borderId="0" xfId="19" applyFont="1" applyFill="1" applyBorder="1" applyAlignment="1">
      <alignment vertical="center"/>
    </xf>
    <xf numFmtId="0" fontId="10" fillId="0" borderId="0" xfId="42" applyFont="1" applyFill="1" applyBorder="1" applyAlignment="1">
      <alignment vertical="center"/>
    </xf>
    <xf numFmtId="0" fontId="9" fillId="0" borderId="0" xfId="42" applyFont="1" applyFill="1" applyBorder="1" applyAlignment="1">
      <alignment vertical="center"/>
    </xf>
    <xf numFmtId="4" fontId="10" fillId="2" borderId="0" xfId="19" applyNumberFormat="1" applyFont="1" applyFill="1" applyAlignment="1">
      <alignment horizontal="center" vertical="center"/>
    </xf>
    <xf numFmtId="0" fontId="84" fillId="2" borderId="0" xfId="19" applyFont="1" applyFill="1" applyAlignment="1">
      <alignment horizontal="center"/>
    </xf>
    <xf numFmtId="0" fontId="8" fillId="10" borderId="62" xfId="19" applyFont="1" applyFill="1" applyBorder="1" applyAlignment="1">
      <alignment horizontal="center" vertical="center"/>
    </xf>
    <xf numFmtId="0" fontId="8" fillId="10" borderId="88" xfId="19" applyFont="1" applyFill="1" applyBorder="1" applyAlignment="1">
      <alignment horizontal="center" vertical="center"/>
    </xf>
    <xf numFmtId="0" fontId="9" fillId="0" borderId="0" xfId="19" applyFont="1" applyFill="1" applyBorder="1" applyAlignment="1">
      <alignment vertical="center"/>
    </xf>
    <xf numFmtId="0" fontId="8" fillId="10" borderId="144" xfId="19" applyFont="1" applyFill="1" applyBorder="1" applyAlignment="1">
      <alignment horizontal="center" vertical="center"/>
    </xf>
    <xf numFmtId="0" fontId="8" fillId="10" borderId="44" xfId="19" applyFont="1" applyFill="1" applyBorder="1" applyAlignment="1">
      <alignment horizontal="center" vertical="center"/>
    </xf>
    <xf numFmtId="4" fontId="8" fillId="10" borderId="44" xfId="19" applyNumberFormat="1" applyFont="1" applyFill="1" applyBorder="1" applyAlignment="1">
      <alignment horizontal="center" vertical="center"/>
    </xf>
    <xf numFmtId="0" fontId="8" fillId="10" borderId="42" xfId="19" applyFont="1" applyFill="1" applyBorder="1" applyAlignment="1">
      <alignment horizontal="center" vertical="center"/>
    </xf>
    <xf numFmtId="0" fontId="8" fillId="10" borderId="79" xfId="19" applyFont="1" applyFill="1" applyBorder="1" applyAlignment="1">
      <alignment horizontal="center" vertical="center"/>
    </xf>
    <xf numFmtId="0" fontId="8" fillId="10" borderId="118" xfId="19" applyFont="1" applyFill="1" applyBorder="1" applyAlignment="1">
      <alignment horizontal="center" vertical="center"/>
    </xf>
    <xf numFmtId="0" fontId="8" fillId="10" borderId="5" xfId="19" applyFont="1" applyFill="1" applyBorder="1" applyAlignment="1">
      <alignment horizontal="center" vertical="center"/>
    </xf>
    <xf numFmtId="4" fontId="8" fillId="10" borderId="5" xfId="19" applyNumberFormat="1" applyFont="1" applyFill="1" applyBorder="1" applyAlignment="1">
      <alignment horizontal="center" vertical="center"/>
    </xf>
    <xf numFmtId="0" fontId="8" fillId="10" borderId="4" xfId="19" applyFont="1" applyFill="1" applyBorder="1" applyAlignment="1">
      <alignment horizontal="center" vertical="center"/>
    </xf>
    <xf numFmtId="0" fontId="9" fillId="10" borderId="9" xfId="19" applyFont="1" applyFill="1" applyBorder="1" applyAlignment="1">
      <alignment horizontal="center" vertical="center"/>
    </xf>
    <xf numFmtId="0" fontId="8" fillId="10" borderId="267" xfId="19" applyFont="1" applyFill="1" applyBorder="1" applyAlignment="1">
      <alignment horizontal="center" vertical="center"/>
    </xf>
    <xf numFmtId="0" fontId="8" fillId="10" borderId="11" xfId="19" applyFont="1" applyFill="1" applyBorder="1" applyAlignment="1">
      <alignment horizontal="center" vertical="center"/>
    </xf>
    <xf numFmtId="4" fontId="8" fillId="10" borderId="11" xfId="19" applyNumberFormat="1" applyFont="1" applyFill="1" applyBorder="1" applyAlignment="1">
      <alignment horizontal="center" vertical="center"/>
    </xf>
    <xf numFmtId="0" fontId="8" fillId="10" borderId="10" xfId="19" applyFont="1" applyFill="1" applyBorder="1" applyAlignment="1">
      <alignment horizontal="center" vertical="center"/>
    </xf>
    <xf numFmtId="0" fontId="8" fillId="10" borderId="9" xfId="19" applyFont="1" applyFill="1" applyBorder="1" applyAlignment="1">
      <alignment horizontal="center" vertical="center"/>
    </xf>
    <xf numFmtId="0" fontId="8" fillId="10" borderId="74" xfId="19" applyFont="1" applyFill="1" applyBorder="1" applyAlignment="1">
      <alignment horizontal="center" vertical="center"/>
    </xf>
    <xf numFmtId="0" fontId="8" fillId="11" borderId="79" xfId="19" applyFont="1" applyFill="1" applyBorder="1" applyAlignment="1" applyProtection="1">
      <alignment horizontal="center" vertical="center"/>
      <protection hidden="1"/>
    </xf>
    <xf numFmtId="167" fontId="9" fillId="2" borderId="6" xfId="19" applyNumberFormat="1" applyFont="1" applyFill="1" applyBorder="1" applyAlignment="1" applyProtection="1">
      <alignment horizontal="center" vertical="center"/>
      <protection hidden="1"/>
    </xf>
    <xf numFmtId="0" fontId="9" fillId="2" borderId="5" xfId="19" applyFont="1" applyFill="1" applyBorder="1" applyAlignment="1" applyProtection="1">
      <alignment horizontal="center" vertical="center"/>
      <protection hidden="1"/>
    </xf>
    <xf numFmtId="4" fontId="9" fillId="2" borderId="5" xfId="19" applyNumberFormat="1" applyFont="1" applyFill="1" applyBorder="1" applyAlignment="1" applyProtection="1">
      <alignment horizontal="center" vertical="center"/>
      <protection hidden="1"/>
    </xf>
    <xf numFmtId="0" fontId="8" fillId="2" borderId="4" xfId="19" applyFont="1" applyFill="1" applyBorder="1" applyAlignment="1" applyProtection="1">
      <alignment horizontal="center" vertical="center"/>
      <protection hidden="1"/>
    </xf>
    <xf numFmtId="167" fontId="9" fillId="2" borderId="5" xfId="19" applyNumberFormat="1" applyFont="1" applyFill="1" applyBorder="1" applyAlignment="1" applyProtection="1">
      <alignment horizontal="center" vertical="center"/>
      <protection hidden="1"/>
    </xf>
    <xf numFmtId="0" fontId="8" fillId="2" borderId="79" xfId="19" applyFont="1" applyFill="1" applyBorder="1" applyAlignment="1" applyProtection="1">
      <alignment horizontal="center" vertical="center"/>
      <protection hidden="1"/>
    </xf>
    <xf numFmtId="17" fontId="8" fillId="11" borderId="79" xfId="19" applyNumberFormat="1" applyFont="1" applyFill="1" applyBorder="1" applyAlignment="1">
      <alignment horizontal="center" vertical="center"/>
    </xf>
    <xf numFmtId="167" fontId="9" fillId="2" borderId="6" xfId="19" applyNumberFormat="1" applyFont="1" applyFill="1" applyBorder="1" applyAlignment="1">
      <alignment horizontal="center" vertical="center"/>
    </xf>
    <xf numFmtId="167" fontId="9" fillId="2" borderId="5" xfId="19" applyNumberFormat="1" applyFont="1" applyFill="1" applyBorder="1" applyAlignment="1">
      <alignment horizontal="center" vertical="center"/>
    </xf>
    <xf numFmtId="167" fontId="8" fillId="2" borderId="4" xfId="19" applyNumberFormat="1" applyFont="1" applyFill="1" applyBorder="1" applyAlignment="1">
      <alignment horizontal="center" vertical="center"/>
    </xf>
    <xf numFmtId="167" fontId="8" fillId="2" borderId="79" xfId="19" applyNumberFormat="1" applyFont="1" applyFill="1" applyBorder="1" applyAlignment="1">
      <alignment horizontal="center" vertical="center"/>
    </xf>
    <xf numFmtId="167" fontId="9" fillId="0" borderId="0" xfId="19" applyNumberFormat="1" applyFont="1" applyFill="1" applyBorder="1" applyAlignment="1">
      <alignment vertical="center"/>
    </xf>
    <xf numFmtId="179" fontId="9" fillId="2" borderId="5" xfId="1" applyNumberFormat="1" applyFont="1" applyFill="1" applyBorder="1" applyAlignment="1">
      <alignment horizontal="center" vertical="center"/>
    </xf>
    <xf numFmtId="167" fontId="9" fillId="0" borderId="0" xfId="42" applyNumberFormat="1" applyFont="1" applyFill="1" applyBorder="1" applyAlignment="1">
      <alignment vertical="center"/>
    </xf>
    <xf numFmtId="173" fontId="9" fillId="2" borderId="5" xfId="42" applyNumberFormat="1" applyFont="1" applyFill="1" applyBorder="1" applyAlignment="1">
      <alignment horizontal="center" vertical="center"/>
    </xf>
    <xf numFmtId="167" fontId="9" fillId="2" borderId="5" xfId="42" applyNumberFormat="1" applyFont="1" applyFill="1" applyBorder="1" applyAlignment="1">
      <alignment horizontal="center" vertical="center"/>
    </xf>
    <xf numFmtId="39" fontId="9" fillId="0" borderId="0" xfId="42" applyNumberFormat="1" applyFont="1" applyFill="1" applyBorder="1" applyAlignment="1">
      <alignment vertical="center"/>
    </xf>
    <xf numFmtId="1" fontId="8" fillId="0" borderId="0" xfId="42" applyNumberFormat="1" applyFont="1" applyFill="1" applyBorder="1" applyAlignment="1">
      <alignment vertical="center"/>
    </xf>
    <xf numFmtId="173" fontId="9" fillId="0" borderId="0" xfId="42" applyNumberFormat="1" applyFont="1" applyFill="1" applyBorder="1" applyAlignment="1">
      <alignment horizontal="center" vertical="center"/>
    </xf>
    <xf numFmtId="17" fontId="8" fillId="12" borderId="79" xfId="19" applyNumberFormat="1" applyFont="1" applyFill="1" applyBorder="1" applyAlignment="1">
      <alignment horizontal="center" vertical="center"/>
    </xf>
    <xf numFmtId="17" fontId="8" fillId="13" borderId="79" xfId="19" applyNumberFormat="1" applyFont="1" applyFill="1" applyBorder="1" applyAlignment="1">
      <alignment horizontal="center" vertical="center"/>
    </xf>
    <xf numFmtId="17" fontId="8" fillId="14" borderId="79" xfId="19" applyNumberFormat="1" applyFont="1" applyFill="1" applyBorder="1" applyAlignment="1">
      <alignment horizontal="center" vertical="center"/>
    </xf>
    <xf numFmtId="17" fontId="8" fillId="14" borderId="58" xfId="19" applyNumberFormat="1" applyFont="1" applyFill="1" applyBorder="1" applyAlignment="1">
      <alignment horizontal="center" vertical="center"/>
    </xf>
    <xf numFmtId="167" fontId="9" fillId="0" borderId="44" xfId="19" applyNumberFormat="1" applyFont="1" applyBorder="1" applyAlignment="1">
      <alignment horizontal="center" vertical="center"/>
    </xf>
    <xf numFmtId="167" fontId="9" fillId="0" borderId="118" xfId="19" applyNumberFormat="1" applyFont="1" applyBorder="1" applyAlignment="1">
      <alignment horizontal="center" vertical="center"/>
    </xf>
    <xf numFmtId="167" fontId="9" fillId="0" borderId="5" xfId="19" applyNumberFormat="1" applyFont="1" applyBorder="1" applyAlignment="1">
      <alignment horizontal="center" vertical="center"/>
    </xf>
    <xf numFmtId="167" fontId="9" fillId="0" borderId="6" xfId="19" applyNumberFormat="1" applyFont="1" applyBorder="1" applyAlignment="1">
      <alignment horizontal="center" vertical="center"/>
    </xf>
    <xf numFmtId="17" fontId="8" fillId="14" borderId="6" xfId="19" applyNumberFormat="1" applyFont="1" applyFill="1" applyBorder="1" applyAlignment="1">
      <alignment horizontal="center" vertical="center"/>
    </xf>
    <xf numFmtId="167" fontId="9" fillId="2" borderId="52" xfId="19" applyNumberFormat="1" applyFont="1" applyFill="1" applyBorder="1" applyAlignment="1">
      <alignment horizontal="center" vertical="center"/>
    </xf>
    <xf numFmtId="167" fontId="8" fillId="2" borderId="0" xfId="19" applyNumberFormat="1" applyFont="1" applyFill="1" applyBorder="1" applyAlignment="1">
      <alignment horizontal="center" vertical="center"/>
    </xf>
    <xf numFmtId="167" fontId="8" fillId="2" borderId="5" xfId="19" applyNumberFormat="1" applyFont="1" applyFill="1" applyBorder="1" applyAlignment="1">
      <alignment horizontal="center" vertical="center"/>
    </xf>
    <xf numFmtId="17" fontId="8" fillId="14" borderId="3" xfId="19" applyNumberFormat="1" applyFont="1" applyFill="1" applyBorder="1" applyAlignment="1">
      <alignment horizontal="center" vertical="center"/>
    </xf>
    <xf numFmtId="167" fontId="9" fillId="0" borderId="2" xfId="19" applyNumberFormat="1" applyFont="1" applyBorder="1" applyAlignment="1">
      <alignment horizontal="center" vertical="center"/>
    </xf>
    <xf numFmtId="167" fontId="9" fillId="0" borderId="146" xfId="19" applyNumberFormat="1" applyFont="1" applyBorder="1" applyAlignment="1">
      <alignment horizontal="center" vertical="center"/>
    </xf>
    <xf numFmtId="167" fontId="9" fillId="2" borderId="2" xfId="19" applyNumberFormat="1" applyFont="1" applyFill="1" applyBorder="1" applyAlignment="1">
      <alignment horizontal="center" vertical="center"/>
    </xf>
    <xf numFmtId="167" fontId="8" fillId="2" borderId="1" xfId="19" applyNumberFormat="1" applyFont="1" applyFill="1" applyBorder="1" applyAlignment="1">
      <alignment horizontal="center" vertical="center"/>
    </xf>
    <xf numFmtId="167" fontId="9" fillId="2" borderId="47" xfId="19" applyNumberFormat="1" applyFont="1" applyFill="1" applyBorder="1" applyAlignment="1">
      <alignment horizontal="center" vertical="center"/>
    </xf>
    <xf numFmtId="167" fontId="8" fillId="2" borderId="2" xfId="19" applyNumberFormat="1" applyFont="1" applyFill="1" applyBorder="1" applyAlignment="1">
      <alignment horizontal="center" vertical="center"/>
    </xf>
    <xf numFmtId="167" fontId="3" fillId="2" borderId="0" xfId="19" applyNumberFormat="1" applyFont="1" applyFill="1" applyAlignment="1">
      <alignment horizontal="center"/>
    </xf>
    <xf numFmtId="167" fontId="17" fillId="2" borderId="0" xfId="19" applyNumberFormat="1" applyFont="1" applyFill="1" applyAlignment="1">
      <alignment horizontal="center"/>
    </xf>
    <xf numFmtId="0" fontId="3" fillId="0" borderId="0" xfId="42" applyFont="1" applyFill="1" applyBorder="1" applyAlignment="1"/>
    <xf numFmtId="167" fontId="3" fillId="0" borderId="0" xfId="42" applyNumberFormat="1" applyFont="1" applyFill="1" applyBorder="1" applyAlignment="1"/>
    <xf numFmtId="2" fontId="3" fillId="2" borderId="0" xfId="42" applyNumberFormat="1" applyFont="1" applyFill="1" applyAlignment="1">
      <alignment horizontal="center"/>
    </xf>
    <xf numFmtId="0" fontId="3" fillId="2" borderId="0" xfId="42" applyFont="1" applyFill="1" applyAlignment="1">
      <alignment horizontal="center"/>
    </xf>
    <xf numFmtId="4" fontId="3" fillId="2" borderId="0" xfId="42" applyNumberFormat="1" applyFont="1" applyFill="1" applyAlignment="1">
      <alignment horizontal="center"/>
    </xf>
    <xf numFmtId="164" fontId="3" fillId="2" borderId="0" xfId="42" applyNumberFormat="1" applyFont="1" applyFill="1" applyAlignment="1">
      <alignment horizontal="center"/>
    </xf>
    <xf numFmtId="39" fontId="3" fillId="2" borderId="0" xfId="42" applyNumberFormat="1" applyFont="1" applyFill="1" applyAlignment="1">
      <alignment horizontal="center"/>
    </xf>
    <xf numFmtId="4" fontId="17" fillId="2" borderId="0" xfId="42" applyNumberFormat="1" applyFont="1" applyFill="1" applyAlignment="1">
      <alignment horizontal="center"/>
    </xf>
    <xf numFmtId="167" fontId="3" fillId="2" borderId="0" xfId="42" applyNumberFormat="1" applyFont="1" applyFill="1" applyAlignment="1">
      <alignment horizontal="center"/>
    </xf>
    <xf numFmtId="0" fontId="3" fillId="0" borderId="0" xfId="42" applyFont="1" applyFill="1" applyBorder="1" applyAlignment="1">
      <alignment vertical="center"/>
    </xf>
    <xf numFmtId="167" fontId="3" fillId="0" borderId="0" xfId="42" applyNumberFormat="1" applyFont="1" applyFill="1" applyBorder="1" applyAlignment="1">
      <alignment vertical="center"/>
    </xf>
    <xf numFmtId="39" fontId="10" fillId="2" borderId="0" xfId="42" applyNumberFormat="1" applyFont="1" applyFill="1" applyAlignment="1">
      <alignment horizontal="center" vertical="center"/>
    </xf>
    <xf numFmtId="173" fontId="10" fillId="2" borderId="0" xfId="42" applyNumberFormat="1" applyFont="1" applyFill="1" applyAlignment="1">
      <alignment horizontal="center" vertical="center"/>
    </xf>
    <xf numFmtId="165" fontId="10" fillId="2" borderId="0" xfId="42" applyNumberFormat="1" applyFont="1" applyFill="1" applyAlignment="1">
      <alignment horizontal="center" vertical="center"/>
    </xf>
    <xf numFmtId="167" fontId="10" fillId="2" borderId="0" xfId="42" applyNumberFormat="1" applyFont="1" applyFill="1" applyAlignment="1">
      <alignment horizontal="center" vertical="center"/>
    </xf>
    <xf numFmtId="4" fontId="10" fillId="2" borderId="0" xfId="42" applyNumberFormat="1" applyFont="1" applyFill="1" applyAlignment="1">
      <alignment horizontal="center" vertical="center"/>
    </xf>
    <xf numFmtId="2" fontId="10" fillId="2" borderId="0" xfId="42" applyNumberFormat="1" applyFont="1" applyFill="1" applyAlignment="1">
      <alignment horizontal="center" vertical="center"/>
    </xf>
    <xf numFmtId="167" fontId="10" fillId="0" borderId="0" xfId="42" applyNumberFormat="1" applyFont="1" applyFill="1" applyBorder="1" applyAlignment="1">
      <alignment vertical="center"/>
    </xf>
    <xf numFmtId="1" fontId="11" fillId="2" borderId="0" xfId="42" applyNumberFormat="1" applyFont="1" applyFill="1" applyAlignment="1">
      <alignment horizontal="center" vertical="center"/>
    </xf>
    <xf numFmtId="173" fontId="11" fillId="2" borderId="0" xfId="42" applyNumberFormat="1" applyFont="1" applyFill="1" applyAlignment="1">
      <alignment horizontal="center" vertical="center"/>
    </xf>
    <xf numFmtId="0" fontId="9" fillId="2" borderId="0" xfId="42" applyFont="1" applyFill="1" applyAlignment="1">
      <alignment horizontal="center" vertical="center"/>
    </xf>
    <xf numFmtId="0" fontId="8" fillId="2" borderId="0" xfId="42" applyFont="1" applyFill="1" applyAlignment="1">
      <alignment horizontal="center" vertical="center"/>
    </xf>
    <xf numFmtId="0" fontId="12" fillId="2" borderId="0" xfId="43" applyFont="1" applyFill="1" applyAlignment="1">
      <alignment horizontal="left" vertical="center"/>
    </xf>
    <xf numFmtId="0" fontId="19" fillId="2" borderId="0" xfId="43" applyFont="1" applyFill="1" applyAlignment="1">
      <alignment vertical="center"/>
    </xf>
    <xf numFmtId="4" fontId="19" fillId="2" borderId="0" xfId="43" applyNumberFormat="1" applyFont="1" applyFill="1" applyAlignment="1">
      <alignment vertical="center"/>
    </xf>
    <xf numFmtId="0" fontId="19" fillId="2" borderId="0" xfId="22" applyFont="1" applyFill="1"/>
    <xf numFmtId="0" fontId="3" fillId="2" borderId="0" xfId="43" applyFont="1" applyFill="1" applyAlignment="1">
      <alignment vertical="center"/>
    </xf>
    <xf numFmtId="4" fontId="3" fillId="2" borderId="0" xfId="43" applyNumberFormat="1" applyFont="1" applyFill="1" applyAlignment="1">
      <alignment vertical="center"/>
    </xf>
    <xf numFmtId="0" fontId="9" fillId="2" borderId="0" xfId="22" applyFont="1" applyFill="1"/>
    <xf numFmtId="0" fontId="9" fillId="10" borderId="139" xfId="43" applyFont="1" applyFill="1" applyBorder="1" applyAlignment="1">
      <alignment vertical="center"/>
    </xf>
    <xf numFmtId="0" fontId="8" fillId="10" borderId="140" xfId="43" applyFont="1" applyFill="1" applyBorder="1" applyAlignment="1">
      <alignment horizontal="center" vertical="center"/>
    </xf>
    <xf numFmtId="0" fontId="8" fillId="10" borderId="13" xfId="43" applyFont="1" applyFill="1" applyBorder="1" applyAlignment="1">
      <alignment horizontal="center" vertical="center"/>
    </xf>
    <xf numFmtId="4" fontId="8" fillId="10" borderId="269" xfId="43" applyNumberFormat="1" applyFont="1" applyFill="1" applyBorder="1" applyAlignment="1">
      <alignment horizontal="centerContinuous" vertical="center"/>
    </xf>
    <xf numFmtId="4" fontId="8" fillId="10" borderId="270" xfId="43" applyNumberFormat="1" applyFont="1" applyFill="1" applyBorder="1" applyAlignment="1">
      <alignment horizontal="centerContinuous" vertical="center"/>
    </xf>
    <xf numFmtId="0" fontId="8" fillId="10" borderId="143" xfId="43" applyFont="1" applyFill="1" applyBorder="1" applyAlignment="1">
      <alignment horizontal="centerContinuous" vertical="center"/>
    </xf>
    <xf numFmtId="0" fontId="8" fillId="10" borderId="53" xfId="43" applyFont="1" applyFill="1" applyBorder="1" applyAlignment="1">
      <alignment horizontal="center" vertical="center"/>
    </xf>
    <xf numFmtId="0" fontId="27" fillId="10" borderId="5" xfId="43" applyFont="1" applyFill="1" applyBorder="1" applyAlignment="1">
      <alignment horizontal="center" vertical="center"/>
    </xf>
    <xf numFmtId="0" fontId="8" fillId="10" borderId="5" xfId="43" applyFont="1" applyFill="1" applyBorder="1" applyAlignment="1">
      <alignment horizontal="center" vertical="center"/>
    </xf>
    <xf numFmtId="0" fontId="8" fillId="10" borderId="44" xfId="43" applyFont="1" applyFill="1" applyBorder="1" applyAlignment="1">
      <alignment horizontal="center" vertical="center"/>
    </xf>
    <xf numFmtId="0" fontId="8" fillId="10" borderId="42" xfId="43" applyFont="1" applyFill="1" applyBorder="1" applyAlignment="1">
      <alignment horizontal="center" vertical="center"/>
    </xf>
    <xf numFmtId="0" fontId="9" fillId="10" borderId="145" xfId="43" applyFont="1" applyFill="1" applyBorder="1" applyAlignment="1">
      <alignment vertical="center"/>
    </xf>
    <xf numFmtId="0" fontId="8" fillId="10" borderId="48" xfId="43" applyFont="1" applyFill="1" applyBorder="1" applyAlignment="1">
      <alignment horizontal="center" vertical="center"/>
    </xf>
    <xf numFmtId="0" fontId="8" fillId="10" borderId="2" xfId="43" applyFont="1" applyFill="1" applyBorder="1" applyAlignment="1">
      <alignment horizontal="center" vertical="center"/>
    </xf>
    <xf numFmtId="0" fontId="27" fillId="10" borderId="1" xfId="43" applyFont="1" applyFill="1" applyBorder="1" applyAlignment="1">
      <alignment horizontal="center" vertical="center"/>
    </xf>
    <xf numFmtId="17" fontId="8" fillId="8" borderId="143" xfId="43" applyNumberFormat="1" applyFont="1" applyFill="1" applyBorder="1" applyAlignment="1">
      <alignment horizontal="left" vertical="center"/>
    </xf>
    <xf numFmtId="37" fontId="7" fillId="2" borderId="53" xfId="43" applyNumberFormat="1" applyFont="1" applyFill="1" applyBorder="1" applyAlignment="1">
      <alignment horizontal="center"/>
    </xf>
    <xf numFmtId="37" fontId="7" fillId="2" borderId="5" xfId="43" applyNumberFormat="1" applyFont="1" applyFill="1" applyBorder="1" applyAlignment="1">
      <alignment horizontal="center"/>
    </xf>
    <xf numFmtId="37" fontId="14" fillId="2" borderId="5" xfId="43" applyNumberFormat="1" applyFont="1" applyFill="1" applyBorder="1" applyAlignment="1">
      <alignment horizontal="center"/>
    </xf>
    <xf numFmtId="37" fontId="14" fillId="2" borderId="4" xfId="43" applyNumberFormat="1" applyFont="1" applyFill="1" applyBorder="1" applyAlignment="1">
      <alignment horizontal="center"/>
    </xf>
    <xf numFmtId="0" fontId="7" fillId="2" borderId="0" xfId="22" applyFont="1" applyFill="1"/>
    <xf numFmtId="37" fontId="7" fillId="2" borderId="53" xfId="43" applyNumberFormat="1" applyFont="1" applyFill="1" applyBorder="1" applyAlignment="1">
      <alignment horizontal="center" vertical="center"/>
    </xf>
    <xf numFmtId="37" fontId="7" fillId="2" borderId="5" xfId="43" applyNumberFormat="1" applyFont="1" applyFill="1" applyBorder="1" applyAlignment="1">
      <alignment horizontal="center" vertical="center"/>
    </xf>
    <xf numFmtId="37" fontId="14" fillId="2" borderId="5" xfId="43" applyNumberFormat="1" applyFont="1" applyFill="1" applyBorder="1" applyAlignment="1">
      <alignment horizontal="center" vertical="center"/>
    </xf>
    <xf numFmtId="37" fontId="14" fillId="2" borderId="4" xfId="43" applyNumberFormat="1" applyFont="1" applyFill="1" applyBorder="1" applyAlignment="1">
      <alignment horizontal="center" vertical="center"/>
    </xf>
    <xf numFmtId="17" fontId="8" fillId="10" borderId="143" xfId="43" applyNumberFormat="1" applyFont="1" applyFill="1" applyBorder="1" applyAlignment="1">
      <alignment horizontal="left" vertical="center"/>
    </xf>
    <xf numFmtId="17" fontId="8" fillId="10" borderId="81" xfId="43" applyNumberFormat="1" applyFont="1" applyFill="1" applyBorder="1" applyAlignment="1">
      <alignment horizontal="left" vertical="center"/>
    </xf>
    <xf numFmtId="37" fontId="14" fillId="2" borderId="52" xfId="43" applyNumberFormat="1" applyFont="1" applyFill="1" applyBorder="1" applyAlignment="1">
      <alignment horizontal="center" vertical="center"/>
    </xf>
    <xf numFmtId="2" fontId="7" fillId="2" borderId="0" xfId="22" applyNumberFormat="1" applyFont="1" applyFill="1"/>
    <xf numFmtId="43" fontId="7" fillId="2" borderId="0" xfId="15" applyFont="1" applyFill="1"/>
    <xf numFmtId="37" fontId="7" fillId="2" borderId="52" xfId="43" applyNumberFormat="1" applyFont="1" applyFill="1" applyBorder="1" applyAlignment="1">
      <alignment horizontal="center" vertical="center"/>
    </xf>
    <xf numFmtId="0" fontId="7" fillId="2" borderId="0" xfId="22" applyFont="1" applyFill="1" applyBorder="1"/>
    <xf numFmtId="17" fontId="8" fillId="10" borderId="271" xfId="43" applyNumberFormat="1" applyFont="1" applyFill="1" applyBorder="1" applyAlignment="1">
      <alignment horizontal="left" vertical="center"/>
    </xf>
    <xf numFmtId="37" fontId="7" fillId="2" borderId="48" xfId="43" applyNumberFormat="1" applyFont="1" applyFill="1" applyBorder="1" applyAlignment="1">
      <alignment horizontal="center" vertical="center"/>
    </xf>
    <xf numFmtId="37" fontId="7" fillId="2" borderId="2" xfId="43" applyNumberFormat="1" applyFont="1" applyFill="1" applyBorder="1" applyAlignment="1">
      <alignment horizontal="center" vertical="center"/>
    </xf>
    <xf numFmtId="37" fontId="14" fillId="2" borderId="47" xfId="43" applyNumberFormat="1" applyFont="1" applyFill="1" applyBorder="1" applyAlignment="1">
      <alignment horizontal="center" vertical="center"/>
    </xf>
    <xf numFmtId="37" fontId="14" fillId="2" borderId="1" xfId="43" applyNumberFormat="1" applyFont="1" applyFill="1" applyBorder="1" applyAlignment="1">
      <alignment horizontal="center" vertical="center"/>
    </xf>
    <xf numFmtId="0" fontId="4" fillId="2" borderId="0" xfId="44" applyFont="1" applyFill="1" applyAlignment="1">
      <alignment vertical="center"/>
    </xf>
    <xf numFmtId="0" fontId="8" fillId="2" borderId="0" xfId="22" applyFont="1" applyFill="1"/>
    <xf numFmtId="37" fontId="19" fillId="2" borderId="0" xfId="43" applyNumberFormat="1" applyFont="1" applyFill="1" applyAlignment="1">
      <alignment horizontal="center" vertical="center"/>
    </xf>
    <xf numFmtId="37" fontId="12" fillId="2" borderId="0" xfId="43" applyNumberFormat="1" applyFont="1" applyFill="1" applyAlignment="1">
      <alignment horizontal="center" vertical="center"/>
    </xf>
    <xf numFmtId="0" fontId="9" fillId="2" borderId="0" xfId="22" applyFont="1" applyFill="1" applyBorder="1"/>
    <xf numFmtId="0" fontId="88" fillId="2" borderId="0" xfId="19" applyFont="1" applyFill="1" applyAlignment="1">
      <alignment vertical="center"/>
    </xf>
    <xf numFmtId="0" fontId="89" fillId="2" borderId="0" xfId="22" applyFont="1" applyFill="1"/>
    <xf numFmtId="0" fontId="88" fillId="2" borderId="0" xfId="19" applyFont="1" applyFill="1" applyAlignment="1">
      <alignment vertical="center" textRotation="135"/>
    </xf>
    <xf numFmtId="0" fontId="90" fillId="3" borderId="139" xfId="19" applyFont="1" applyFill="1" applyBorder="1" applyAlignment="1">
      <alignment vertical="center"/>
    </xf>
    <xf numFmtId="0" fontId="8" fillId="3" borderId="142" xfId="19" applyFont="1" applyFill="1" applyBorder="1" applyAlignment="1">
      <alignment vertical="center"/>
    </xf>
    <xf numFmtId="0" fontId="8" fillId="3" borderId="13" xfId="19" applyFont="1" applyFill="1" applyBorder="1" applyAlignment="1">
      <alignment vertical="center"/>
    </xf>
    <xf numFmtId="0" fontId="91" fillId="2" borderId="0" xfId="22" applyFont="1" applyFill="1"/>
    <xf numFmtId="0" fontId="90" fillId="3" borderId="145" xfId="19" applyFont="1" applyFill="1" applyBorder="1" applyAlignment="1">
      <alignment horizontal="center" vertical="center" wrapText="1"/>
    </xf>
    <xf numFmtId="0" fontId="8" fillId="3" borderId="146" xfId="19" applyFont="1" applyFill="1" applyBorder="1" applyAlignment="1">
      <alignment horizontal="center" vertical="center" wrapText="1"/>
    </xf>
    <xf numFmtId="0" fontId="8" fillId="3" borderId="2" xfId="19" applyFont="1" applyFill="1" applyBorder="1" applyAlignment="1">
      <alignment horizontal="center" vertical="center" wrapText="1"/>
    </xf>
    <xf numFmtId="0" fontId="8" fillId="3" borderId="1" xfId="19" applyFont="1" applyFill="1" applyBorder="1" applyAlignment="1">
      <alignment horizontal="center" vertical="center" wrapText="1"/>
    </xf>
    <xf numFmtId="0" fontId="93" fillId="2" borderId="0" xfId="22" applyFont="1" applyFill="1"/>
    <xf numFmtId="37" fontId="7" fillId="2" borderId="4" xfId="43" applyNumberFormat="1" applyFont="1" applyFill="1" applyBorder="1" applyAlignment="1">
      <alignment horizontal="center" vertical="center"/>
    </xf>
    <xf numFmtId="1" fontId="93" fillId="2" borderId="0" xfId="22" applyNumberFormat="1" applyFont="1" applyFill="1"/>
    <xf numFmtId="43" fontId="93" fillId="2" borderId="0" xfId="15" applyFont="1" applyFill="1"/>
    <xf numFmtId="37" fontId="7" fillId="2" borderId="47" xfId="43" applyNumberFormat="1" applyFont="1" applyFill="1" applyBorder="1" applyAlignment="1">
      <alignment horizontal="center" vertical="center"/>
    </xf>
    <xf numFmtId="37" fontId="7" fillId="2" borderId="1" xfId="43" applyNumberFormat="1" applyFont="1" applyFill="1" applyBorder="1" applyAlignment="1">
      <alignment horizontal="center" vertical="center"/>
    </xf>
    <xf numFmtId="0" fontId="94" fillId="2" borderId="0" xfId="22" applyFont="1" applyFill="1" applyAlignment="1"/>
    <xf numFmtId="0" fontId="4" fillId="2" borderId="0" xfId="19" applyFont="1" applyFill="1" applyAlignment="1">
      <alignment vertical="center"/>
    </xf>
    <xf numFmtId="0" fontId="4" fillId="2" borderId="0" xfId="19" applyFont="1" applyFill="1"/>
    <xf numFmtId="0" fontId="94" fillId="2" borderId="0" xfId="22" applyFont="1" applyFill="1"/>
    <xf numFmtId="0" fontId="94" fillId="2" borderId="0" xfId="22" applyFont="1" applyFill="1" applyBorder="1"/>
    <xf numFmtId="0" fontId="89" fillId="2" borderId="0" xfId="3" applyFont="1" applyFill="1" applyAlignment="1">
      <alignment vertical="center"/>
    </xf>
    <xf numFmtId="0" fontId="89" fillId="2" borderId="0" xfId="3" applyFont="1" applyFill="1" applyAlignment="1">
      <alignment horizontal="left" vertical="top"/>
    </xf>
    <xf numFmtId="0" fontId="88" fillId="2" borderId="0" xfId="3" applyFont="1" applyFill="1" applyAlignment="1">
      <alignment vertical="center"/>
    </xf>
    <xf numFmtId="0" fontId="95" fillId="2" borderId="0" xfId="3" applyFont="1" applyFill="1" applyAlignment="1">
      <alignment vertical="center"/>
    </xf>
    <xf numFmtId="0" fontId="96" fillId="2" borderId="0" xfId="3" applyFont="1" applyFill="1" applyAlignment="1">
      <alignment vertical="center"/>
    </xf>
    <xf numFmtId="0" fontId="91" fillId="2" borderId="0" xfId="3" applyFont="1" applyFill="1" applyAlignment="1">
      <alignment vertical="center"/>
    </xf>
    <xf numFmtId="0" fontId="90" fillId="3" borderId="272" xfId="3" applyFont="1" applyFill="1" applyBorder="1" applyAlignment="1">
      <alignment horizontal="center" vertical="center" wrapText="1"/>
    </xf>
    <xf numFmtId="0" fontId="8" fillId="3" borderId="156" xfId="3" applyFont="1" applyFill="1" applyBorder="1" applyAlignment="1">
      <alignment horizontal="center" vertical="center" wrapText="1"/>
    </xf>
    <xf numFmtId="0" fontId="8" fillId="3" borderId="109" xfId="3" applyFont="1" applyFill="1" applyBorder="1" applyAlignment="1">
      <alignment horizontal="center" vertical="center" wrapText="1"/>
    </xf>
    <xf numFmtId="0" fontId="8" fillId="3" borderId="66" xfId="3" applyFont="1" applyFill="1" applyBorder="1" applyAlignment="1">
      <alignment horizontal="center" vertical="center" wrapText="1"/>
    </xf>
    <xf numFmtId="0" fontId="8" fillId="3" borderId="108" xfId="3" applyFont="1" applyFill="1" applyBorder="1" applyAlignment="1">
      <alignment horizontal="center" vertical="center" wrapText="1"/>
    </xf>
    <xf numFmtId="0" fontId="90" fillId="2" borderId="0" xfId="3" applyFont="1" applyFill="1" applyAlignment="1">
      <alignment horizontal="center" vertical="center"/>
    </xf>
    <xf numFmtId="0" fontId="97" fillId="2" borderId="0" xfId="3" applyFont="1" applyFill="1" applyAlignment="1">
      <alignment horizontal="center" vertical="center"/>
    </xf>
    <xf numFmtId="0" fontId="93" fillId="2" borderId="0" xfId="3" applyFont="1" applyFill="1" applyAlignment="1">
      <alignment vertical="center"/>
    </xf>
    <xf numFmtId="37" fontId="7" fillId="2" borderId="273" xfId="43" applyNumberFormat="1" applyFont="1" applyFill="1" applyBorder="1" applyAlignment="1">
      <alignment horizontal="center" vertical="center"/>
    </xf>
    <xf numFmtId="37" fontId="7" fillId="2" borderId="15" xfId="43" applyNumberFormat="1" applyFont="1" applyFill="1" applyBorder="1" applyAlignment="1">
      <alignment horizontal="center" vertical="center"/>
    </xf>
    <xf numFmtId="37" fontId="7" fillId="2" borderId="274" xfId="43" applyNumberFormat="1" applyFont="1" applyFill="1" applyBorder="1" applyAlignment="1">
      <alignment horizontal="center" vertical="center"/>
    </xf>
    <xf numFmtId="0" fontId="4" fillId="2" borderId="0" xfId="3" applyFont="1" applyFill="1" applyAlignment="1">
      <alignment vertical="center"/>
    </xf>
    <xf numFmtId="0" fontId="98" fillId="2" borderId="0" xfId="3" applyFont="1" applyFill="1" applyAlignment="1">
      <alignment vertical="center"/>
    </xf>
    <xf numFmtId="0" fontId="94" fillId="2" borderId="0" xfId="3" applyFont="1" applyFill="1" applyAlignment="1">
      <alignment vertical="center"/>
    </xf>
    <xf numFmtId="0" fontId="12" fillId="2" borderId="0" xfId="3" applyFont="1" applyFill="1" applyBorder="1" applyAlignment="1">
      <alignment vertical="center"/>
    </xf>
    <xf numFmtId="0" fontId="19" fillId="2" borderId="0" xfId="3" applyFont="1" applyFill="1" applyBorder="1"/>
    <xf numFmtId="0" fontId="99" fillId="2" borderId="0" xfId="3" applyFont="1" applyFill="1" applyBorder="1"/>
    <xf numFmtId="0" fontId="99" fillId="2" borderId="0" xfId="3" applyFont="1" applyFill="1"/>
    <xf numFmtId="179" fontId="99" fillId="2" borderId="0" xfId="3" applyNumberFormat="1" applyFont="1" applyFill="1"/>
    <xf numFmtId="0" fontId="19" fillId="2" borderId="0" xfId="3" applyFont="1" applyFill="1"/>
    <xf numFmtId="0" fontId="3" fillId="2" borderId="0" xfId="3" applyFont="1" applyFill="1" applyBorder="1" applyAlignment="1">
      <alignment horizontal="left" vertical="center" indent="1"/>
    </xf>
    <xf numFmtId="0" fontId="3" fillId="2" borderId="0" xfId="3" applyFont="1" applyFill="1" applyBorder="1" applyAlignment="1">
      <alignment vertical="center"/>
    </xf>
    <xf numFmtId="0" fontId="17" fillId="2" borderId="0" xfId="3" applyFont="1" applyFill="1" applyBorder="1" applyAlignment="1">
      <alignment horizontal="center" vertical="center"/>
    </xf>
    <xf numFmtId="0" fontId="17" fillId="2" borderId="0" xfId="3" applyFont="1" applyFill="1" applyBorder="1" applyAlignment="1">
      <alignment vertical="center"/>
    </xf>
    <xf numFmtId="0" fontId="100" fillId="2" borderId="0" xfId="3" applyFont="1" applyFill="1" applyBorder="1" applyAlignment="1">
      <alignment vertical="center"/>
    </xf>
    <xf numFmtId="0" fontId="10" fillId="3" borderId="137" xfId="3" applyFont="1" applyFill="1" applyBorder="1" applyAlignment="1">
      <alignment horizontal="center" vertical="center"/>
    </xf>
    <xf numFmtId="175" fontId="8" fillId="3" borderId="109" xfId="3" applyNumberFormat="1" applyFont="1" applyFill="1" applyBorder="1" applyAlignment="1">
      <alignment horizontal="center" vertical="center"/>
    </xf>
    <xf numFmtId="175" fontId="8" fillId="3" borderId="108" xfId="3" applyNumberFormat="1" applyFont="1" applyFill="1" applyBorder="1" applyAlignment="1">
      <alignment horizontal="center" vertical="center"/>
    </xf>
    <xf numFmtId="175" fontId="8" fillId="3" borderId="87" xfId="3" applyNumberFormat="1" applyFont="1" applyFill="1" applyBorder="1" applyAlignment="1">
      <alignment horizontal="center" vertical="center"/>
    </xf>
    <xf numFmtId="175" fontId="8" fillId="3" borderId="106" xfId="3" applyNumberFormat="1" applyFont="1" applyFill="1" applyBorder="1" applyAlignment="1">
      <alignment horizontal="center" vertical="center"/>
    </xf>
    <xf numFmtId="175" fontId="8" fillId="3" borderId="66" xfId="3" applyNumberFormat="1" applyFont="1" applyFill="1" applyBorder="1" applyAlignment="1">
      <alignment horizontal="center" vertical="center"/>
    </xf>
    <xf numFmtId="0" fontId="8" fillId="2" borderId="0" xfId="3" applyFont="1" applyFill="1" applyBorder="1" applyAlignment="1">
      <alignment horizontal="center" vertical="center"/>
    </xf>
    <xf numFmtId="0" fontId="9" fillId="3" borderId="6" xfId="3" applyFont="1" applyFill="1" applyBorder="1" applyAlignment="1">
      <alignment vertical="center"/>
    </xf>
    <xf numFmtId="181" fontId="7" fillId="2" borderId="5" xfId="45" applyNumberFormat="1" applyFont="1" applyFill="1" applyBorder="1" applyAlignment="1">
      <alignment vertical="center"/>
    </xf>
    <xf numFmtId="3" fontId="7" fillId="2" borderId="5" xfId="3" applyNumberFormat="1" applyFont="1" applyFill="1" applyBorder="1" applyAlignment="1">
      <alignment vertical="center"/>
    </xf>
    <xf numFmtId="3" fontId="7" fillId="0" borderId="5" xfId="3" applyNumberFormat="1" applyFont="1" applyFill="1" applyBorder="1" applyAlignment="1">
      <alignment vertical="center"/>
    </xf>
    <xf numFmtId="3" fontId="14" fillId="0" borderId="5" xfId="3" applyNumberFormat="1" applyFont="1" applyFill="1" applyBorder="1" applyAlignment="1">
      <alignment vertical="center"/>
    </xf>
    <xf numFmtId="3" fontId="7" fillId="2" borderId="5" xfId="3" applyNumberFormat="1" applyFont="1" applyFill="1" applyBorder="1" applyAlignment="1">
      <alignment horizontal="center" vertical="center"/>
    </xf>
    <xf numFmtId="3" fontId="99" fillId="2" borderId="5" xfId="3" applyNumberFormat="1" applyFont="1" applyFill="1" applyBorder="1" applyAlignment="1">
      <alignment horizontal="center" vertical="center"/>
    </xf>
    <xf numFmtId="3" fontId="99" fillId="2" borderId="4" xfId="3" applyNumberFormat="1" applyFont="1" applyFill="1" applyBorder="1" applyAlignment="1">
      <alignment horizontal="center" vertical="center"/>
    </xf>
    <xf numFmtId="3" fontId="99" fillId="2" borderId="81" xfId="3" applyNumberFormat="1" applyFont="1" applyFill="1" applyBorder="1" applyAlignment="1">
      <alignment horizontal="center" vertical="center"/>
    </xf>
    <xf numFmtId="3" fontId="7" fillId="2" borderId="44" xfId="3" applyNumberFormat="1" applyFont="1" applyFill="1" applyBorder="1" applyAlignment="1">
      <alignment horizontal="center" vertical="center"/>
    </xf>
    <xf numFmtId="3" fontId="7" fillId="2" borderId="56" xfId="3" applyNumberFormat="1" applyFont="1" applyFill="1" applyBorder="1" applyAlignment="1">
      <alignment horizontal="center" vertical="center"/>
    </xf>
    <xf numFmtId="179" fontId="7" fillId="2" borderId="44" xfId="3" applyNumberFormat="1" applyFont="1" applyFill="1" applyBorder="1" applyAlignment="1">
      <alignment horizontal="center" vertical="center"/>
    </xf>
    <xf numFmtId="179" fontId="7" fillId="2" borderId="54" xfId="3" applyNumberFormat="1" applyFont="1" applyFill="1" applyBorder="1" applyAlignment="1">
      <alignment horizontal="center" vertical="center"/>
    </xf>
    <xf numFmtId="181" fontId="7" fillId="2" borderId="0" xfId="45" applyNumberFormat="1" applyFont="1" applyFill="1" applyBorder="1" applyAlignment="1">
      <alignment vertical="center"/>
    </xf>
    <xf numFmtId="0" fontId="9" fillId="3" borderId="6" xfId="3" applyFont="1" applyFill="1" applyBorder="1" applyAlignment="1">
      <alignment horizontal="left" vertical="center" indent="1"/>
    </xf>
    <xf numFmtId="0" fontId="7" fillId="2" borderId="5" xfId="3" applyFont="1" applyFill="1" applyBorder="1" applyAlignment="1">
      <alignment vertical="center"/>
    </xf>
    <xf numFmtId="165" fontId="7" fillId="2" borderId="5" xfId="3" applyNumberFormat="1" applyFont="1" applyFill="1" applyBorder="1" applyAlignment="1">
      <alignment vertical="center"/>
    </xf>
    <xf numFmtId="165" fontId="7" fillId="0" borderId="5" xfId="3" applyNumberFormat="1" applyFont="1" applyFill="1" applyBorder="1" applyAlignment="1">
      <alignment vertical="center"/>
    </xf>
    <xf numFmtId="165" fontId="7" fillId="2" borderId="275" xfId="3" applyNumberFormat="1" applyFont="1" applyFill="1" applyBorder="1" applyAlignment="1">
      <alignment vertical="center"/>
    </xf>
    <xf numFmtId="165" fontId="7" fillId="2" borderId="5" xfId="3" applyNumberFormat="1" applyFont="1" applyFill="1" applyBorder="1" applyAlignment="1">
      <alignment horizontal="center" vertical="center"/>
    </xf>
    <xf numFmtId="165" fontId="99" fillId="2" borderId="5" xfId="3" applyNumberFormat="1" applyFont="1" applyFill="1" applyBorder="1" applyAlignment="1">
      <alignment horizontal="center" vertical="center"/>
    </xf>
    <xf numFmtId="165" fontId="99" fillId="0" borderId="5" xfId="3" applyNumberFormat="1" applyFont="1" applyFill="1" applyBorder="1" applyAlignment="1">
      <alignment horizontal="center" vertical="center"/>
    </xf>
    <xf numFmtId="165" fontId="99" fillId="2" borderId="4" xfId="3" applyNumberFormat="1" applyFont="1" applyFill="1" applyBorder="1" applyAlignment="1">
      <alignment horizontal="center" vertical="center"/>
    </xf>
    <xf numFmtId="165" fontId="99" fillId="2" borderId="81" xfId="3" applyNumberFormat="1" applyFont="1" applyFill="1" applyBorder="1" applyAlignment="1">
      <alignment horizontal="center" vertical="center"/>
    </xf>
    <xf numFmtId="165" fontId="7" fillId="2" borderId="52" xfId="3" applyNumberFormat="1" applyFont="1" applyFill="1" applyBorder="1" applyAlignment="1">
      <alignment horizontal="center" vertical="center"/>
    </xf>
    <xf numFmtId="165" fontId="7" fillId="2" borderId="50" xfId="3" applyNumberFormat="1" applyFont="1" applyFill="1" applyBorder="1" applyAlignment="1">
      <alignment horizontal="center" vertical="center"/>
    </xf>
    <xf numFmtId="3" fontId="7" fillId="2" borderId="276" xfId="3" applyNumberFormat="1" applyFont="1" applyFill="1" applyBorder="1" applyAlignment="1">
      <alignment vertical="center"/>
    </xf>
    <xf numFmtId="3" fontId="7" fillId="2" borderId="276" xfId="3" applyNumberFormat="1" applyFont="1" applyFill="1" applyBorder="1" applyAlignment="1">
      <alignment horizontal="center" vertical="center"/>
    </xf>
    <xf numFmtId="3" fontId="99" fillId="2" borderId="276" xfId="3" applyNumberFormat="1" applyFont="1" applyFill="1" applyBorder="1" applyAlignment="1">
      <alignment horizontal="center" vertical="center"/>
    </xf>
    <xf numFmtId="3" fontId="99" fillId="0" borderId="276" xfId="3" applyNumberFormat="1" applyFont="1" applyFill="1" applyBorder="1" applyAlignment="1">
      <alignment horizontal="center" vertical="center"/>
    </xf>
    <xf numFmtId="179" fontId="99" fillId="2" borderId="276" xfId="3" applyNumberFormat="1" applyFont="1" applyFill="1" applyBorder="1" applyAlignment="1">
      <alignment horizontal="center" vertical="center"/>
    </xf>
    <xf numFmtId="179" fontId="99" fillId="2" borderId="277" xfId="3" applyNumberFormat="1" applyFont="1" applyFill="1" applyBorder="1" applyAlignment="1">
      <alignment horizontal="center" vertical="center"/>
    </xf>
    <xf numFmtId="179" fontId="99" fillId="2" borderId="278" xfId="3" applyNumberFormat="1" applyFont="1" applyFill="1" applyBorder="1" applyAlignment="1">
      <alignment horizontal="center" vertical="center"/>
    </xf>
    <xf numFmtId="179" fontId="7" fillId="2" borderId="276" xfId="3" applyNumberFormat="1" applyFont="1" applyFill="1" applyBorder="1" applyAlignment="1">
      <alignment horizontal="center" vertical="center"/>
    </xf>
    <xf numFmtId="179" fontId="7" fillId="2" borderId="279" xfId="3" applyNumberFormat="1" applyFont="1" applyFill="1" applyBorder="1" applyAlignment="1">
      <alignment horizontal="center" vertical="center"/>
    </xf>
    <xf numFmtId="179" fontId="7" fillId="2" borderId="280" xfId="3" applyNumberFormat="1" applyFont="1" applyFill="1" applyBorder="1" applyAlignment="1">
      <alignment horizontal="center" vertical="center"/>
    </xf>
    <xf numFmtId="179" fontId="7" fillId="2" borderId="5" xfId="45" applyNumberFormat="1" applyFont="1" applyFill="1" applyBorder="1" applyAlignment="1">
      <alignment horizontal="center" vertical="center"/>
    </xf>
    <xf numFmtId="3" fontId="99" fillId="0" borderId="5" xfId="3" applyNumberFormat="1" applyFont="1" applyFill="1" applyBorder="1" applyAlignment="1">
      <alignment horizontal="center" vertical="center"/>
    </xf>
    <xf numFmtId="179" fontId="99" fillId="2" borderId="5" xfId="3" applyNumberFormat="1" applyFont="1" applyFill="1" applyBorder="1" applyAlignment="1">
      <alignment horizontal="center" vertical="center"/>
    </xf>
    <xf numFmtId="179" fontId="99" fillId="2" borderId="4" xfId="3" applyNumberFormat="1" applyFont="1" applyFill="1" applyBorder="1" applyAlignment="1">
      <alignment horizontal="center" vertical="center"/>
    </xf>
    <xf numFmtId="179" fontId="99" fillId="2" borderId="81" xfId="3" applyNumberFormat="1" applyFont="1" applyFill="1" applyBorder="1" applyAlignment="1">
      <alignment horizontal="center" vertical="center"/>
    </xf>
    <xf numFmtId="179" fontId="7" fillId="2" borderId="5" xfId="3" applyNumberFormat="1" applyFont="1" applyFill="1" applyBorder="1" applyAlignment="1">
      <alignment horizontal="center" vertical="center"/>
    </xf>
    <xf numFmtId="179" fontId="7" fillId="2" borderId="52" xfId="3" applyNumberFormat="1" applyFont="1" applyFill="1" applyBorder="1" applyAlignment="1">
      <alignment horizontal="center" vertical="center"/>
    </xf>
    <xf numFmtId="179" fontId="7" fillId="2" borderId="50" xfId="3" applyNumberFormat="1" applyFont="1" applyFill="1" applyBorder="1" applyAlignment="1">
      <alignment horizontal="center" vertical="center"/>
    </xf>
    <xf numFmtId="0" fontId="7" fillId="2" borderId="0" xfId="3" applyFont="1" applyFill="1" applyBorder="1" applyAlignment="1">
      <alignment horizontal="center" vertical="center"/>
    </xf>
    <xf numFmtId="3" fontId="7" fillId="2" borderId="275" xfId="3" applyNumberFormat="1" applyFont="1" applyFill="1" applyBorder="1" applyAlignment="1">
      <alignment vertical="center"/>
    </xf>
    <xf numFmtId="3" fontId="7" fillId="2" borderId="281" xfId="3" applyNumberFormat="1" applyFont="1" applyFill="1" applyBorder="1" applyAlignment="1">
      <alignment vertical="center"/>
    </xf>
    <xf numFmtId="3" fontId="7" fillId="2" borderId="281" xfId="3" applyNumberFormat="1" applyFont="1" applyFill="1" applyBorder="1" applyAlignment="1">
      <alignment horizontal="center" vertical="center"/>
    </xf>
    <xf numFmtId="3" fontId="99" fillId="2" borderId="281" xfId="3" applyNumberFormat="1" applyFont="1" applyFill="1" applyBorder="1" applyAlignment="1">
      <alignment horizontal="center" vertical="center"/>
    </xf>
    <xf numFmtId="3" fontId="99" fillId="0" borderId="281" xfId="3" applyNumberFormat="1" applyFont="1" applyFill="1" applyBorder="1" applyAlignment="1">
      <alignment horizontal="center" vertical="center"/>
    </xf>
    <xf numFmtId="3" fontId="99" fillId="2" borderId="282" xfId="3" applyNumberFormat="1" applyFont="1" applyFill="1" applyBorder="1" applyAlignment="1">
      <alignment horizontal="center" vertical="center"/>
    </xf>
    <xf numFmtId="3" fontId="99" fillId="2" borderId="283" xfId="3" applyNumberFormat="1" applyFont="1" applyFill="1" applyBorder="1" applyAlignment="1">
      <alignment horizontal="center" vertical="center"/>
    </xf>
    <xf numFmtId="3" fontId="7" fillId="2" borderId="284" xfId="3" applyNumberFormat="1" applyFont="1" applyFill="1" applyBorder="1" applyAlignment="1">
      <alignment horizontal="center" vertical="center"/>
    </xf>
    <xf numFmtId="3" fontId="7" fillId="2" borderId="285" xfId="3" applyNumberFormat="1" applyFont="1" applyFill="1" applyBorder="1" applyAlignment="1">
      <alignment horizontal="center" vertical="center"/>
    </xf>
    <xf numFmtId="3" fontId="7" fillId="2" borderId="52" xfId="3" applyNumberFormat="1" applyFont="1" applyFill="1" applyBorder="1" applyAlignment="1">
      <alignment horizontal="center" vertical="center"/>
    </xf>
    <xf numFmtId="3" fontId="7" fillId="2" borderId="50" xfId="3" applyNumberFormat="1" applyFont="1" applyFill="1" applyBorder="1" applyAlignment="1">
      <alignment horizontal="center" vertical="center"/>
    </xf>
    <xf numFmtId="179" fontId="7" fillId="2" borderId="5" xfId="3" applyNumberFormat="1" applyFont="1" applyFill="1" applyBorder="1" applyAlignment="1">
      <alignment vertical="center"/>
    </xf>
    <xf numFmtId="3" fontId="7" fillId="0" borderId="5" xfId="3" applyNumberFormat="1" applyFont="1" applyFill="1" applyBorder="1" applyAlignment="1">
      <alignment horizontal="center" vertical="center"/>
    </xf>
    <xf numFmtId="179" fontId="7" fillId="0" borderId="50" xfId="3" applyNumberFormat="1" applyFont="1" applyFill="1" applyBorder="1" applyAlignment="1">
      <alignment horizontal="center" vertical="center"/>
    </xf>
    <xf numFmtId="0" fontId="99" fillId="2" borderId="5" xfId="3" applyFont="1" applyFill="1" applyBorder="1" applyAlignment="1">
      <alignment horizontal="center" vertical="center"/>
    </xf>
    <xf numFmtId="3" fontId="99" fillId="0" borderId="4" xfId="3" applyNumberFormat="1" applyFont="1" applyFill="1" applyBorder="1" applyAlignment="1">
      <alignment horizontal="center" vertical="center"/>
    </xf>
    <xf numFmtId="179" fontId="99" fillId="0" borderId="81" xfId="3" applyNumberFormat="1" applyFont="1" applyFill="1" applyBorder="1" applyAlignment="1">
      <alignment horizontal="center" vertical="center"/>
    </xf>
    <xf numFmtId="179" fontId="7" fillId="0" borderId="52" xfId="3" applyNumberFormat="1" applyFont="1" applyFill="1" applyBorder="1" applyAlignment="1">
      <alignment horizontal="center" vertical="center"/>
    </xf>
    <xf numFmtId="0" fontId="9" fillId="3" borderId="3" xfId="3" applyFont="1" applyFill="1" applyBorder="1" applyAlignment="1">
      <alignment horizontal="left" vertical="center" indent="1"/>
    </xf>
    <xf numFmtId="0" fontId="7" fillId="2" borderId="2" xfId="3" applyFont="1" applyFill="1" applyBorder="1" applyAlignment="1">
      <alignment vertical="center"/>
    </xf>
    <xf numFmtId="0" fontId="7" fillId="2" borderId="2" xfId="3" applyFont="1" applyFill="1" applyBorder="1" applyAlignment="1">
      <alignment horizontal="center" vertical="center"/>
    </xf>
    <xf numFmtId="0" fontId="99" fillId="2" borderId="2" xfId="3" applyFont="1" applyFill="1" applyBorder="1" applyAlignment="1">
      <alignment horizontal="center" vertical="center"/>
    </xf>
    <xf numFmtId="0" fontId="99" fillId="2" borderId="1" xfId="3" applyFont="1" applyFill="1" applyBorder="1" applyAlignment="1">
      <alignment horizontal="center" vertical="center"/>
    </xf>
    <xf numFmtId="0" fontId="99" fillId="2" borderId="49" xfId="3" applyFont="1" applyFill="1" applyBorder="1" applyAlignment="1">
      <alignment horizontal="center" vertical="center"/>
    </xf>
    <xf numFmtId="0" fontId="7" fillId="2" borderId="47" xfId="3" applyFont="1" applyFill="1" applyBorder="1" applyAlignment="1">
      <alignment horizontal="center" vertical="center"/>
    </xf>
    <xf numFmtId="0" fontId="7" fillId="2" borderId="45" xfId="3" applyFont="1" applyFill="1" applyBorder="1" applyAlignment="1">
      <alignment horizontal="center" vertical="center"/>
    </xf>
    <xf numFmtId="0" fontId="4" fillId="2" borderId="0" xfId="3" applyFont="1" applyFill="1" applyBorder="1" applyAlignment="1"/>
    <xf numFmtId="0" fontId="5" fillId="2" borderId="0" xfId="3" applyFont="1" applyFill="1" applyBorder="1" applyAlignment="1"/>
    <xf numFmtId="0" fontId="27" fillId="2" borderId="0" xfId="3" applyFont="1" applyFill="1" applyBorder="1" applyAlignment="1">
      <alignment vertical="center"/>
    </xf>
    <xf numFmtId="0" fontId="4" fillId="2" borderId="0" xfId="3" applyFont="1" applyFill="1" applyBorder="1" applyAlignment="1">
      <alignment vertical="center"/>
    </xf>
    <xf numFmtId="0" fontId="5" fillId="2" borderId="0" xfId="3" applyFont="1" applyFill="1" applyBorder="1" applyAlignment="1">
      <alignment vertical="center"/>
    </xf>
    <xf numFmtId="0" fontId="102" fillId="2" borderId="0" xfId="3" applyFont="1" applyFill="1" applyBorder="1" applyAlignment="1">
      <alignment vertical="center"/>
    </xf>
    <xf numFmtId="179" fontId="102" fillId="2" borderId="0" xfId="3" applyNumberFormat="1" applyFont="1" applyFill="1" applyBorder="1" applyAlignment="1">
      <alignment vertical="center"/>
    </xf>
    <xf numFmtId="0" fontId="99" fillId="2" borderId="0" xfId="3" applyFont="1" applyFill="1" applyBorder="1" applyAlignment="1">
      <alignment vertical="center"/>
    </xf>
    <xf numFmtId="0" fontId="9" fillId="2" borderId="0" xfId="3" applyFont="1" applyFill="1"/>
    <xf numFmtId="0" fontId="9" fillId="2" borderId="0" xfId="3" applyFont="1" applyFill="1" applyBorder="1"/>
    <xf numFmtId="175" fontId="8" fillId="3" borderId="286" xfId="3" applyNumberFormat="1" applyFont="1" applyFill="1" applyBorder="1" applyAlignment="1">
      <alignment horizontal="center" vertical="center"/>
    </xf>
    <xf numFmtId="0" fontId="9" fillId="2" borderId="0" xfId="3" applyFont="1" applyFill="1" applyAlignment="1">
      <alignment horizontal="center" vertical="center"/>
    </xf>
    <xf numFmtId="0" fontId="9" fillId="3" borderId="6" xfId="3" applyFont="1" applyFill="1" applyBorder="1" applyAlignment="1">
      <alignment horizontal="center" vertical="center"/>
    </xf>
    <xf numFmtId="17" fontId="14" fillId="15" borderId="5" xfId="3" applyNumberFormat="1" applyFont="1" applyFill="1" applyBorder="1" applyAlignment="1">
      <alignment vertical="center"/>
    </xf>
    <xf numFmtId="17" fontId="14" fillId="0" borderId="5" xfId="3" applyNumberFormat="1" applyFont="1" applyFill="1" applyBorder="1" applyAlignment="1">
      <alignment vertical="center"/>
    </xf>
    <xf numFmtId="17" fontId="14" fillId="2" borderId="5" xfId="3" applyNumberFormat="1" applyFont="1" applyFill="1" applyBorder="1" applyAlignment="1">
      <alignment vertical="center"/>
    </xf>
    <xf numFmtId="17" fontId="100" fillId="2" borderId="5" xfId="3" applyNumberFormat="1" applyFont="1" applyFill="1" applyBorder="1" applyAlignment="1">
      <alignment vertical="center"/>
    </xf>
    <xf numFmtId="17" fontId="100" fillId="2" borderId="4" xfId="3" applyNumberFormat="1" applyFont="1" applyFill="1" applyBorder="1" applyAlignment="1">
      <alignment vertical="center"/>
    </xf>
    <xf numFmtId="17" fontId="100" fillId="2" borderId="58" xfId="3" applyNumberFormat="1" applyFont="1" applyFill="1" applyBorder="1" applyAlignment="1">
      <alignment vertical="center"/>
    </xf>
    <xf numFmtId="17" fontId="100" fillId="2" borderId="44" xfId="3" applyNumberFormat="1" applyFont="1" applyFill="1" applyBorder="1" applyAlignment="1">
      <alignment vertical="center"/>
    </xf>
    <xf numFmtId="17" fontId="100" fillId="2" borderId="42" xfId="3" applyNumberFormat="1" applyFont="1" applyFill="1" applyBorder="1" applyAlignment="1">
      <alignment vertical="center"/>
    </xf>
    <xf numFmtId="0" fontId="7" fillId="2" borderId="0" xfId="3" applyFont="1" applyFill="1" applyAlignment="1">
      <alignment horizontal="center" vertical="center"/>
    </xf>
    <xf numFmtId="179" fontId="7" fillId="2" borderId="6" xfId="3" applyNumberFormat="1" applyFont="1" applyFill="1" applyBorder="1" applyAlignment="1">
      <alignment horizontal="center" vertical="center"/>
    </xf>
    <xf numFmtId="179" fontId="7" fillId="0" borderId="5" xfId="3" applyNumberFormat="1" applyFont="1" applyFill="1" applyBorder="1" applyAlignment="1">
      <alignment horizontal="center" vertical="center"/>
    </xf>
    <xf numFmtId="179" fontId="7" fillId="0" borderId="4" xfId="3" applyNumberFormat="1" applyFont="1" applyFill="1" applyBorder="1" applyAlignment="1">
      <alignment horizontal="center" vertical="center"/>
    </xf>
    <xf numFmtId="0" fontId="9" fillId="3" borderId="6" xfId="3" applyFont="1" applyFill="1" applyBorder="1" applyAlignment="1">
      <alignment horizontal="left" vertical="center"/>
    </xf>
    <xf numFmtId="179" fontId="7" fillId="2" borderId="268" xfId="45" applyNumberFormat="1" applyFont="1" applyFill="1" applyBorder="1" applyAlignment="1">
      <alignment horizontal="center" vertical="center"/>
    </xf>
    <xf numFmtId="179" fontId="7" fillId="2" borderId="275" xfId="45" applyNumberFormat="1" applyFont="1" applyFill="1" applyBorder="1" applyAlignment="1">
      <alignment horizontal="center" vertical="center"/>
    </xf>
    <xf numFmtId="179" fontId="99" fillId="2" borderId="5" xfId="45" applyNumberFormat="1" applyFont="1" applyFill="1" applyBorder="1" applyAlignment="1">
      <alignment horizontal="center" vertical="center"/>
    </xf>
    <xf numFmtId="179" fontId="99" fillId="2" borderId="4" xfId="45" applyNumberFormat="1" applyFont="1" applyFill="1" applyBorder="1" applyAlignment="1">
      <alignment horizontal="center" vertical="center"/>
    </xf>
    <xf numFmtId="179" fontId="7" fillId="2" borderId="6" xfId="45" applyNumberFormat="1" applyFont="1" applyFill="1" applyBorder="1" applyAlignment="1">
      <alignment horizontal="center" vertical="center"/>
    </xf>
    <xf numFmtId="179" fontId="7" fillId="2" borderId="4" xfId="45" applyNumberFormat="1" applyFont="1" applyFill="1" applyBorder="1" applyAlignment="1">
      <alignment horizontal="center" vertical="center"/>
    </xf>
    <xf numFmtId="179" fontId="7" fillId="2" borderId="287" xfId="45" applyNumberFormat="1" applyFont="1" applyFill="1" applyBorder="1" applyAlignment="1">
      <alignment horizontal="center" vertical="center"/>
    </xf>
    <xf numFmtId="179" fontId="7" fillId="2" borderId="276" xfId="45" applyNumberFormat="1" applyFont="1" applyFill="1" applyBorder="1" applyAlignment="1">
      <alignment horizontal="center" vertical="center"/>
    </xf>
    <xf numFmtId="179" fontId="99" fillId="2" borderId="276" xfId="45" applyNumberFormat="1" applyFont="1" applyFill="1" applyBorder="1" applyAlignment="1">
      <alignment horizontal="center" vertical="center"/>
    </xf>
    <xf numFmtId="179" fontId="99" fillId="2" borderId="277" xfId="45" applyNumberFormat="1" applyFont="1" applyFill="1" applyBorder="1" applyAlignment="1">
      <alignment horizontal="center" vertical="center"/>
    </xf>
    <xf numFmtId="179" fontId="7" fillId="2" borderId="288" xfId="45" applyNumberFormat="1" applyFont="1" applyFill="1" applyBorder="1" applyAlignment="1">
      <alignment horizontal="center" vertical="center"/>
    </xf>
    <xf numFmtId="179" fontId="7" fillId="0" borderId="276" xfId="45" applyNumberFormat="1" applyFont="1" applyFill="1" applyBorder="1" applyAlignment="1">
      <alignment horizontal="center" vertical="center"/>
    </xf>
    <xf numFmtId="179" fontId="7" fillId="0" borderId="277" xfId="45" applyNumberFormat="1" applyFont="1" applyFill="1" applyBorder="1" applyAlignment="1">
      <alignment horizontal="center" vertical="center"/>
    </xf>
    <xf numFmtId="0" fontId="9" fillId="3" borderId="3" xfId="3" applyFont="1" applyFill="1" applyBorder="1" applyAlignment="1">
      <alignment horizontal="left" vertical="center"/>
    </xf>
    <xf numFmtId="41" fontId="7" fillId="2" borderId="2" xfId="3" applyNumberFormat="1" applyFont="1" applyFill="1" applyBorder="1" applyAlignment="1">
      <alignment horizontal="center" vertical="center"/>
    </xf>
    <xf numFmtId="41" fontId="7" fillId="0" borderId="2" xfId="3" applyNumberFormat="1" applyFont="1" applyFill="1" applyBorder="1" applyAlignment="1">
      <alignment horizontal="center" vertical="center"/>
    </xf>
    <xf numFmtId="41" fontId="99" fillId="0" borderId="2" xfId="3" applyNumberFormat="1" applyFont="1" applyFill="1" applyBorder="1" applyAlignment="1">
      <alignment horizontal="center" vertical="center"/>
    </xf>
    <xf numFmtId="179" fontId="99" fillId="0" borderId="2" xfId="3" applyNumberFormat="1" applyFont="1" applyFill="1" applyBorder="1" applyAlignment="1">
      <alignment horizontal="center" vertical="center"/>
    </xf>
    <xf numFmtId="41" fontId="99" fillId="0" borderId="1" xfId="3" applyNumberFormat="1" applyFont="1" applyFill="1" applyBorder="1" applyAlignment="1">
      <alignment horizontal="center" vertical="center"/>
    </xf>
    <xf numFmtId="41" fontId="7" fillId="0" borderId="3" xfId="3" applyNumberFormat="1" applyFont="1" applyFill="1" applyBorder="1" applyAlignment="1">
      <alignment horizontal="center" vertical="center"/>
    </xf>
    <xf numFmtId="179" fontId="7" fillId="0" borderId="2" xfId="3" applyNumberFormat="1" applyFont="1" applyFill="1" applyBorder="1" applyAlignment="1">
      <alignment horizontal="center" vertical="center"/>
    </xf>
    <xf numFmtId="179" fontId="7" fillId="0" borderId="1" xfId="3" applyNumberFormat="1" applyFont="1" applyFill="1" applyBorder="1" applyAlignment="1">
      <alignment horizontal="center" vertical="center"/>
    </xf>
    <xf numFmtId="43" fontId="3" fillId="2" borderId="0" xfId="3" applyNumberFormat="1" applyFont="1" applyFill="1" applyBorder="1" applyAlignment="1">
      <alignment vertical="center"/>
    </xf>
    <xf numFmtId="0" fontId="12" fillId="0" borderId="0" xfId="3" applyFont="1" applyFill="1" applyBorder="1" applyAlignment="1">
      <alignment vertical="center"/>
    </xf>
    <xf numFmtId="175" fontId="99" fillId="2" borderId="0" xfId="3" applyNumberFormat="1" applyFont="1" applyFill="1"/>
    <xf numFmtId="175" fontId="99" fillId="0" borderId="0" xfId="3" applyNumberFormat="1" applyFont="1" applyFill="1"/>
    <xf numFmtId="175" fontId="8" fillId="3" borderId="212" xfId="3" applyNumberFormat="1" applyFont="1" applyFill="1" applyBorder="1" applyAlignment="1">
      <alignment horizontal="center" vertical="center"/>
    </xf>
    <xf numFmtId="175" fontId="8" fillId="3" borderId="289" xfId="3" applyNumberFormat="1" applyFont="1" applyFill="1" applyBorder="1" applyAlignment="1">
      <alignment horizontal="center" vertical="center"/>
    </xf>
    <xf numFmtId="0" fontId="10" fillId="3" borderId="6" xfId="3" applyFont="1" applyFill="1" applyBorder="1" applyAlignment="1">
      <alignment horizontal="center" vertical="center"/>
    </xf>
    <xf numFmtId="17" fontId="14" fillId="15" borderId="19" xfId="3" applyNumberFormat="1" applyFont="1" applyFill="1" applyBorder="1" applyAlignment="1">
      <alignment vertical="center"/>
    </xf>
    <xf numFmtId="17" fontId="14" fillId="0" borderId="19" xfId="3" applyNumberFormat="1" applyFont="1" applyFill="1" applyBorder="1" applyAlignment="1">
      <alignment vertical="center"/>
    </xf>
    <xf numFmtId="17" fontId="14" fillId="0" borderId="0" xfId="3" applyNumberFormat="1" applyFont="1" applyFill="1" applyBorder="1" applyAlignment="1">
      <alignment vertical="center"/>
    </xf>
    <xf numFmtId="17" fontId="14" fillId="0" borderId="5" xfId="3" applyNumberFormat="1" applyFont="1" applyFill="1" applyBorder="1" applyAlignment="1">
      <alignment horizontal="center" vertical="center"/>
    </xf>
    <xf numFmtId="17" fontId="100" fillId="0" borderId="5" xfId="3" applyNumberFormat="1" applyFont="1" applyFill="1" applyBorder="1" applyAlignment="1">
      <alignment horizontal="center" vertical="center"/>
    </xf>
    <xf numFmtId="17" fontId="100" fillId="0" borderId="4" xfId="3" applyNumberFormat="1" applyFont="1" applyFill="1" applyBorder="1" applyAlignment="1">
      <alignment horizontal="center" vertical="center"/>
    </xf>
    <xf numFmtId="17" fontId="100" fillId="0" borderId="58" xfId="3" applyNumberFormat="1" applyFont="1" applyFill="1" applyBorder="1" applyAlignment="1">
      <alignment horizontal="center" vertical="center"/>
    </xf>
    <xf numFmtId="17" fontId="100" fillId="0" borderId="44" xfId="3" applyNumberFormat="1" applyFont="1" applyFill="1" applyBorder="1" applyAlignment="1">
      <alignment horizontal="center" vertical="center"/>
    </xf>
    <xf numFmtId="17" fontId="100" fillId="0" borderId="56" xfId="3" applyNumberFormat="1" applyFont="1" applyFill="1" applyBorder="1" applyAlignment="1">
      <alignment horizontal="center" vertical="center"/>
    </xf>
    <xf numFmtId="17" fontId="100" fillId="0" borderId="54" xfId="3" applyNumberFormat="1" applyFont="1" applyFill="1" applyBorder="1" applyAlignment="1">
      <alignment horizontal="center" vertical="center"/>
    </xf>
    <xf numFmtId="179" fontId="7" fillId="2" borderId="19" xfId="45" applyNumberFormat="1" applyFont="1" applyFill="1" applyBorder="1" applyAlignment="1">
      <alignment horizontal="center" vertical="center"/>
    </xf>
    <xf numFmtId="179" fontId="7" fillId="2" borderId="0" xfId="45" applyNumberFormat="1" applyFont="1" applyFill="1" applyBorder="1" applyAlignment="1">
      <alignment horizontal="center" vertical="center"/>
    </xf>
    <xf numFmtId="179" fontId="7" fillId="2" borderId="52" xfId="45" applyNumberFormat="1" applyFont="1" applyFill="1" applyBorder="1" applyAlignment="1">
      <alignment horizontal="center" vertical="center"/>
    </xf>
    <xf numFmtId="179" fontId="7" fillId="2" borderId="50" xfId="45" applyNumberFormat="1" applyFont="1" applyFill="1" applyBorder="1" applyAlignment="1">
      <alignment horizontal="center" vertical="center"/>
    </xf>
    <xf numFmtId="179" fontId="7" fillId="2" borderId="290" xfId="45" applyNumberFormat="1" applyFont="1" applyFill="1" applyBorder="1" applyAlignment="1">
      <alignment horizontal="center" vertical="center"/>
    </xf>
    <xf numFmtId="179" fontId="7" fillId="2" borderId="291" xfId="45" applyNumberFormat="1" applyFont="1" applyFill="1" applyBorder="1" applyAlignment="1">
      <alignment horizontal="center" vertical="center"/>
    </xf>
    <xf numFmtId="179" fontId="7" fillId="2" borderId="292" xfId="45" applyNumberFormat="1" applyFont="1" applyFill="1" applyBorder="1" applyAlignment="1">
      <alignment horizontal="center" vertical="center"/>
    </xf>
    <xf numFmtId="179" fontId="7" fillId="2" borderId="293" xfId="45" applyNumberFormat="1" applyFont="1" applyFill="1" applyBorder="1" applyAlignment="1">
      <alignment horizontal="center" vertical="center"/>
    </xf>
    <xf numFmtId="179" fontId="7" fillId="2" borderId="294" xfId="45" applyNumberFormat="1" applyFont="1" applyFill="1" applyBorder="1" applyAlignment="1">
      <alignment horizontal="center" vertical="center"/>
    </xf>
    <xf numFmtId="179" fontId="7" fillId="2" borderId="15" xfId="45" applyNumberFormat="1" applyFont="1" applyFill="1" applyBorder="1" applyAlignment="1">
      <alignment horizontal="center" vertical="center"/>
    </xf>
    <xf numFmtId="179" fontId="7" fillId="2" borderId="80" xfId="45" applyNumberFormat="1" applyFont="1" applyFill="1" applyBorder="1" applyAlignment="1">
      <alignment horizontal="center" vertical="center"/>
    </xf>
    <xf numFmtId="179" fontId="7" fillId="2" borderId="279" xfId="45" applyNumberFormat="1" applyFont="1" applyFill="1" applyBorder="1" applyAlignment="1">
      <alignment horizontal="center" vertical="center"/>
    </xf>
    <xf numFmtId="179" fontId="7" fillId="2" borderId="280" xfId="45" applyNumberFormat="1" applyFont="1" applyFill="1" applyBorder="1" applyAlignment="1">
      <alignment horizontal="center" vertical="center"/>
    </xf>
    <xf numFmtId="41" fontId="7" fillId="2" borderId="73" xfId="3" applyNumberFormat="1" applyFont="1" applyFill="1" applyBorder="1" applyAlignment="1">
      <alignment horizontal="center" vertical="center"/>
    </xf>
    <xf numFmtId="41" fontId="7" fillId="2" borderId="71" xfId="3" applyNumberFormat="1" applyFont="1" applyFill="1" applyBorder="1" applyAlignment="1">
      <alignment horizontal="center" vertical="center"/>
    </xf>
    <xf numFmtId="41" fontId="7" fillId="2" borderId="72" xfId="3" applyNumberFormat="1" applyFont="1" applyFill="1" applyBorder="1" applyAlignment="1">
      <alignment horizontal="center" vertical="center"/>
    </xf>
    <xf numFmtId="41" fontId="99" fillId="2" borderId="2" xfId="3" applyNumberFormat="1" applyFont="1" applyFill="1" applyBorder="1" applyAlignment="1">
      <alignment horizontal="center" vertical="center"/>
    </xf>
    <xf numFmtId="41" fontId="99" fillId="2" borderId="1" xfId="3" applyNumberFormat="1" applyFont="1" applyFill="1" applyBorder="1" applyAlignment="1">
      <alignment horizontal="center" vertical="center"/>
    </xf>
    <xf numFmtId="41" fontId="7" fillId="2" borderId="3" xfId="3" applyNumberFormat="1" applyFont="1" applyFill="1" applyBorder="1" applyAlignment="1">
      <alignment horizontal="center" vertical="center"/>
    </xf>
    <xf numFmtId="41" fontId="7" fillId="2" borderId="47" xfId="3" applyNumberFormat="1" applyFont="1" applyFill="1" applyBorder="1" applyAlignment="1">
      <alignment horizontal="center" vertical="center"/>
    </xf>
    <xf numFmtId="179" fontId="7" fillId="0" borderId="45" xfId="3" applyNumberFormat="1" applyFont="1" applyFill="1" applyBorder="1" applyAlignment="1">
      <alignment horizontal="center" vertical="center"/>
    </xf>
    <xf numFmtId="0" fontId="4" fillId="2" borderId="0" xfId="19" applyFont="1" applyFill="1" applyAlignment="1">
      <alignment horizontal="left" vertical="center" wrapText="1"/>
    </xf>
    <xf numFmtId="179" fontId="103" fillId="2" borderId="0" xfId="19" applyNumberFormat="1" applyFont="1" applyFill="1" applyAlignment="1">
      <alignment vertical="center"/>
    </xf>
    <xf numFmtId="0" fontId="17" fillId="0" borderId="0" xfId="19" applyFont="1" applyAlignment="1">
      <alignment horizontal="center" vertical="center"/>
    </xf>
    <xf numFmtId="179" fontId="4" fillId="2" borderId="0" xfId="15" applyNumberFormat="1" applyFont="1" applyFill="1" applyAlignment="1">
      <alignment vertical="center"/>
    </xf>
    <xf numFmtId="43" fontId="99" fillId="2" borderId="0" xfId="3" applyNumberFormat="1" applyFont="1" applyFill="1" applyBorder="1" applyAlignment="1">
      <alignment vertical="center"/>
    </xf>
    <xf numFmtId="0" fontId="12" fillId="2" borderId="0" xfId="46" applyFont="1" applyFill="1" applyBorder="1"/>
    <xf numFmtId="0" fontId="104" fillId="2" borderId="0" xfId="46" applyFont="1" applyFill="1"/>
    <xf numFmtId="0" fontId="105" fillId="2" borderId="0" xfId="12" applyFont="1" applyFill="1"/>
    <xf numFmtId="0" fontId="104" fillId="2" borderId="0" xfId="12" applyFont="1" applyFill="1"/>
    <xf numFmtId="0" fontId="106" fillId="2" borderId="0" xfId="46" applyFont="1" applyFill="1" applyBorder="1"/>
    <xf numFmtId="0" fontId="105" fillId="2" borderId="0" xfId="46" applyFont="1" applyFill="1" applyAlignment="1">
      <alignment horizontal="right"/>
    </xf>
    <xf numFmtId="174" fontId="105" fillId="2" borderId="0" xfId="47" applyNumberFormat="1" applyFont="1" applyFill="1" applyBorder="1" applyAlignment="1">
      <alignment horizontal="right"/>
    </xf>
    <xf numFmtId="174" fontId="4" fillId="2" borderId="0" xfId="47" applyNumberFormat="1" applyFont="1" applyFill="1" applyBorder="1" applyAlignment="1">
      <alignment horizontal="right"/>
    </xf>
    <xf numFmtId="0" fontId="14" fillId="3" borderId="295" xfId="46" applyFont="1" applyFill="1" applyBorder="1" applyAlignment="1">
      <alignment horizontal="center"/>
    </xf>
    <xf numFmtId="17" fontId="14" fillId="3" borderId="296" xfId="46" applyNumberFormat="1" applyFont="1" applyFill="1" applyBorder="1" applyAlignment="1">
      <alignment horizontal="center"/>
    </xf>
    <xf numFmtId="17" fontId="14" fillId="3" borderId="297" xfId="46" applyNumberFormat="1" applyFont="1" applyFill="1" applyBorder="1" applyAlignment="1">
      <alignment horizontal="center"/>
    </xf>
    <xf numFmtId="0" fontId="7" fillId="3" borderId="6" xfId="46" applyFont="1" applyFill="1" applyBorder="1"/>
    <xf numFmtId="174" fontId="7" fillId="0" borderId="5" xfId="47" applyNumberFormat="1" applyFont="1" applyBorder="1" applyAlignment="1">
      <alignment horizontal="center"/>
    </xf>
    <xf numFmtId="174" fontId="7" fillId="0" borderId="5" xfId="47" applyNumberFormat="1" applyFont="1" applyBorder="1" applyAlignment="1">
      <alignment horizontal="right" indent="1"/>
    </xf>
    <xf numFmtId="174" fontId="7" fillId="2" borderId="5" xfId="47" applyNumberFormat="1" applyFont="1" applyFill="1" applyBorder="1" applyAlignment="1">
      <alignment horizontal="right" indent="1"/>
    </xf>
    <xf numFmtId="165" fontId="7" fillId="2" borderId="5" xfId="47" applyNumberFormat="1" applyFont="1" applyFill="1" applyBorder="1" applyAlignment="1">
      <alignment horizontal="right" indent="1"/>
    </xf>
    <xf numFmtId="165" fontId="7" fillId="2" borderId="4" xfId="47" applyNumberFormat="1" applyFont="1" applyFill="1" applyBorder="1" applyAlignment="1">
      <alignment horizontal="right" indent="1"/>
    </xf>
    <xf numFmtId="174" fontId="7" fillId="0" borderId="5" xfId="47" applyNumberFormat="1" applyFont="1" applyFill="1" applyBorder="1" applyAlignment="1">
      <alignment horizontal="center"/>
    </xf>
    <xf numFmtId="174" fontId="7" fillId="0" borderId="5" xfId="47" applyNumberFormat="1" applyFont="1" applyFill="1" applyBorder="1" applyAlignment="1">
      <alignment horizontal="right" indent="1"/>
    </xf>
    <xf numFmtId="165" fontId="7" fillId="0" borderId="5" xfId="47" applyNumberFormat="1" applyFont="1" applyBorder="1" applyAlignment="1">
      <alignment horizontal="right" indent="1"/>
    </xf>
    <xf numFmtId="165" fontId="7" fillId="0" borderId="4" xfId="47" applyNumberFormat="1" applyFont="1" applyBorder="1" applyAlignment="1">
      <alignment horizontal="right" indent="1"/>
    </xf>
    <xf numFmtId="0" fontId="14" fillId="3" borderId="138" xfId="46" applyFont="1" applyFill="1" applyBorder="1" applyAlignment="1">
      <alignment horizontal="left"/>
    </xf>
    <xf numFmtId="174" fontId="14" fillId="0" borderId="70" xfId="47" applyNumberFormat="1" applyFont="1" applyBorder="1" applyAlignment="1">
      <alignment horizontal="center"/>
    </xf>
    <xf numFmtId="174" fontId="14" fillId="0" borderId="70" xfId="47" applyNumberFormat="1" applyFont="1" applyFill="1" applyBorder="1" applyAlignment="1">
      <alignment horizontal="center"/>
    </xf>
    <xf numFmtId="174" fontId="14" fillId="0" borderId="70" xfId="47" applyNumberFormat="1" applyFont="1" applyFill="1" applyBorder="1" applyAlignment="1">
      <alignment horizontal="right" indent="1"/>
    </xf>
    <xf numFmtId="165" fontId="14" fillId="0" borderId="70" xfId="47" applyNumberFormat="1" applyFont="1" applyFill="1" applyBorder="1" applyAlignment="1">
      <alignment horizontal="right" indent="1"/>
    </xf>
    <xf numFmtId="165" fontId="14" fillId="0" borderId="69" xfId="47" applyNumberFormat="1" applyFont="1" applyFill="1" applyBorder="1" applyAlignment="1">
      <alignment horizontal="right" indent="1"/>
    </xf>
    <xf numFmtId="0" fontId="14" fillId="2" borderId="0" xfId="46" applyFont="1" applyFill="1" applyBorder="1" applyAlignment="1">
      <alignment horizontal="left"/>
    </xf>
    <xf numFmtId="174" fontId="14" fillId="2" borderId="0" xfId="47" applyNumberFormat="1" applyFont="1" applyFill="1" applyBorder="1" applyAlignment="1">
      <alignment horizontal="center"/>
    </xf>
    <xf numFmtId="0" fontId="7" fillId="2" borderId="0" xfId="46" applyFont="1" applyFill="1"/>
    <xf numFmtId="0" fontId="7" fillId="2" borderId="0" xfId="46" applyFont="1" applyFill="1" applyBorder="1" applyAlignment="1">
      <alignment horizontal="center"/>
    </xf>
    <xf numFmtId="174" fontId="27" fillId="2" borderId="0" xfId="47" applyNumberFormat="1" applyFont="1" applyFill="1" applyBorder="1" applyAlignment="1">
      <alignment horizontal="right"/>
    </xf>
    <xf numFmtId="174" fontId="7" fillId="0" borderId="5" xfId="47" applyNumberFormat="1" applyFont="1" applyBorder="1"/>
    <xf numFmtId="174" fontId="7" fillId="2" borderId="5" xfId="47" quotePrefix="1" applyNumberFormat="1" applyFont="1" applyFill="1" applyBorder="1" applyAlignment="1"/>
    <xf numFmtId="0" fontId="27" fillId="3" borderId="6" xfId="46" applyFont="1" applyFill="1" applyBorder="1"/>
    <xf numFmtId="174" fontId="27" fillId="0" borderId="5" xfId="47" applyNumberFormat="1" applyFont="1" applyBorder="1"/>
    <xf numFmtId="174" fontId="27" fillId="0" borderId="5" xfId="47" applyNumberFormat="1" applyFont="1" applyBorder="1" applyAlignment="1">
      <alignment horizontal="right" indent="1"/>
    </xf>
    <xf numFmtId="174" fontId="27" fillId="2" borderId="5" xfId="47" applyNumberFormat="1" applyFont="1" applyFill="1" applyBorder="1" applyAlignment="1">
      <alignment horizontal="right" indent="1"/>
    </xf>
    <xf numFmtId="165" fontId="27" fillId="2" borderId="5" xfId="47" applyNumberFormat="1" applyFont="1" applyFill="1" applyBorder="1" applyAlignment="1">
      <alignment horizontal="right" indent="1"/>
    </xf>
    <xf numFmtId="165" fontId="27" fillId="2" borderId="4" xfId="47" applyNumberFormat="1" applyFont="1" applyFill="1" applyBorder="1" applyAlignment="1">
      <alignment horizontal="right" indent="1"/>
    </xf>
    <xf numFmtId="0" fontId="14" fillId="3" borderId="138" xfId="46" applyFont="1" applyFill="1" applyBorder="1"/>
    <xf numFmtId="174" fontId="14" fillId="0" borderId="70" xfId="47" applyNumberFormat="1" applyFont="1" applyBorder="1"/>
    <xf numFmtId="174" fontId="14" fillId="0" borderId="70" xfId="47" applyNumberFormat="1" applyFont="1" applyFill="1" applyBorder="1"/>
    <xf numFmtId="174" fontId="14" fillId="2" borderId="70" xfId="47" applyNumberFormat="1" applyFont="1" applyFill="1" applyBorder="1" applyAlignment="1">
      <alignment horizontal="right" indent="1"/>
    </xf>
    <xf numFmtId="165" fontId="14" fillId="2" borderId="70" xfId="47" applyNumberFormat="1" applyFont="1" applyFill="1" applyBorder="1" applyAlignment="1">
      <alignment horizontal="right" indent="1"/>
    </xf>
    <xf numFmtId="165" fontId="14" fillId="2" borderId="69" xfId="47" applyNumberFormat="1" applyFont="1" applyFill="1" applyBorder="1" applyAlignment="1">
      <alignment horizontal="right" indent="1"/>
    </xf>
    <xf numFmtId="10" fontId="3" fillId="2" borderId="0" xfId="45" applyNumberFormat="1" applyFont="1" applyFill="1" applyBorder="1" applyAlignment="1"/>
    <xf numFmtId="0" fontId="42" fillId="2" borderId="0" xfId="19" applyFont="1" applyFill="1" applyBorder="1" applyAlignment="1">
      <alignment horizontal="left" vertical="top"/>
    </xf>
    <xf numFmtId="0" fontId="104" fillId="2" borderId="0" xfId="46" applyFont="1" applyFill="1" applyBorder="1"/>
    <xf numFmtId="0" fontId="104" fillId="2" borderId="0" xfId="12" applyFont="1" applyFill="1" applyBorder="1"/>
    <xf numFmtId="179" fontId="104" fillId="2" borderId="0" xfId="46" applyNumberFormat="1" applyFont="1" applyFill="1" applyBorder="1"/>
    <xf numFmtId="177" fontId="104" fillId="2" borderId="0" xfId="39" applyNumberFormat="1" applyFont="1" applyFill="1" applyBorder="1"/>
    <xf numFmtId="165" fontId="7" fillId="2" borderId="0" xfId="47" applyNumberFormat="1" applyFont="1" applyFill="1" applyBorder="1" applyAlignment="1">
      <alignment horizontal="right" indent="1"/>
    </xf>
    <xf numFmtId="165" fontId="27" fillId="2" borderId="0" xfId="47" applyNumberFormat="1" applyFont="1" applyFill="1" applyBorder="1" applyAlignment="1">
      <alignment horizontal="right" indent="1"/>
    </xf>
    <xf numFmtId="165" fontId="14" fillId="2" borderId="0" xfId="47" applyNumberFormat="1" applyFont="1" applyFill="1" applyBorder="1" applyAlignment="1">
      <alignment horizontal="right" indent="1"/>
    </xf>
    <xf numFmtId="43" fontId="104" fillId="2" borderId="0" xfId="48" applyFont="1" applyFill="1" applyBorder="1"/>
    <xf numFmtId="165" fontId="104" fillId="2" borderId="0" xfId="12" applyNumberFormat="1" applyFont="1" applyFill="1" applyBorder="1"/>
    <xf numFmtId="165" fontId="104" fillId="2" borderId="0" xfId="12" applyNumberFormat="1" applyFont="1" applyFill="1"/>
    <xf numFmtId="0" fontId="12" fillId="2" borderId="0" xfId="19" applyFont="1" applyFill="1" applyBorder="1" applyAlignment="1">
      <alignment vertical="center"/>
    </xf>
    <xf numFmtId="0" fontId="9" fillId="0" borderId="0" xfId="19" applyFont="1" applyFill="1" applyBorder="1"/>
    <xf numFmtId="0" fontId="9" fillId="2" borderId="0" xfId="19" applyFont="1" applyFill="1" applyBorder="1"/>
    <xf numFmtId="0" fontId="9" fillId="2" borderId="0" xfId="19" applyFont="1" applyFill="1"/>
    <xf numFmtId="0" fontId="5" fillId="2" borderId="0" xfId="19" applyFont="1" applyFill="1" applyBorder="1" applyAlignment="1">
      <alignment horizontal="right"/>
    </xf>
    <xf numFmtId="0" fontId="4" fillId="2" borderId="0" xfId="19" applyFont="1" applyFill="1" applyAlignment="1">
      <alignment horizontal="right"/>
    </xf>
    <xf numFmtId="0" fontId="9" fillId="3" borderId="298" xfId="19" applyFont="1" applyFill="1" applyBorder="1"/>
    <xf numFmtId="17" fontId="14" fillId="3" borderId="299" xfId="19" applyNumberFormat="1" applyFont="1" applyFill="1" applyBorder="1" applyAlignment="1">
      <alignment horizontal="center"/>
    </xf>
    <xf numFmtId="17" fontId="14" fillId="3" borderId="300" xfId="19" applyNumberFormat="1" applyFont="1" applyFill="1" applyBorder="1" applyAlignment="1">
      <alignment horizontal="center"/>
    </xf>
    <xf numFmtId="17" fontId="14" fillId="3" borderId="300" xfId="19" quotePrefix="1" applyNumberFormat="1" applyFont="1" applyFill="1" applyBorder="1" applyAlignment="1">
      <alignment horizontal="center"/>
    </xf>
    <xf numFmtId="0" fontId="7" fillId="2" borderId="0" xfId="19" applyFont="1" applyFill="1"/>
    <xf numFmtId="0" fontId="9" fillId="3" borderId="143" xfId="19" applyFont="1" applyFill="1" applyBorder="1"/>
    <xf numFmtId="179" fontId="7" fillId="2" borderId="50" xfId="19" applyNumberFormat="1" applyFont="1" applyFill="1" applyBorder="1"/>
    <xf numFmtId="179" fontId="7" fillId="2" borderId="79" xfId="19" applyNumberFormat="1" applyFont="1" applyFill="1" applyBorder="1"/>
    <xf numFmtId="0" fontId="8" fillId="3" borderId="143" xfId="19" applyFont="1" applyFill="1" applyBorder="1"/>
    <xf numFmtId="179" fontId="14" fillId="2" borderId="50" xfId="19" applyNumberFormat="1" applyFont="1" applyFill="1" applyBorder="1"/>
    <xf numFmtId="179" fontId="14" fillId="2" borderId="79" xfId="19" applyNumberFormat="1" applyFont="1" applyFill="1" applyBorder="1"/>
    <xf numFmtId="174" fontId="7" fillId="2" borderId="79" xfId="19" applyNumberFormat="1" applyFont="1" applyFill="1" applyBorder="1"/>
    <xf numFmtId="0" fontId="8" fillId="3" borderId="145" xfId="19" applyFont="1" applyFill="1" applyBorder="1"/>
    <xf numFmtId="179" fontId="14" fillId="2" borderId="45" xfId="19" applyNumberFormat="1" applyFont="1" applyFill="1" applyBorder="1"/>
    <xf numFmtId="179" fontId="14" fillId="2" borderId="67" xfId="19" applyNumberFormat="1" applyFont="1" applyFill="1" applyBorder="1"/>
    <xf numFmtId="10" fontId="3" fillId="2" borderId="0" xfId="45" applyNumberFormat="1" applyFont="1" applyFill="1" applyBorder="1" applyAlignment="1">
      <alignment vertical="center"/>
    </xf>
    <xf numFmtId="0" fontId="5" fillId="2" borderId="0" xfId="19" applyFont="1" applyFill="1"/>
    <xf numFmtId="0" fontId="12" fillId="2" borderId="0" xfId="0" applyFont="1" applyFill="1" applyBorder="1" applyAlignment="1" applyProtection="1">
      <alignment horizontal="left"/>
      <protection locked="0"/>
    </xf>
    <xf numFmtId="0" fontId="11" fillId="2" borderId="0" xfId="0" applyFont="1" applyFill="1" applyBorder="1" applyAlignment="1" applyProtection="1">
      <alignment horizontal="left"/>
      <protection locked="0"/>
    </xf>
    <xf numFmtId="0" fontId="3" fillId="2" borderId="0" xfId="0" applyFont="1" applyFill="1" applyBorder="1"/>
    <xf numFmtId="0" fontId="17" fillId="2" borderId="0" xfId="0" applyFont="1" applyFill="1" applyBorder="1" applyAlignment="1">
      <alignment horizontal="center"/>
    </xf>
    <xf numFmtId="0" fontId="4" fillId="2" borderId="0" xfId="0" applyFont="1" applyFill="1" applyBorder="1" applyAlignment="1">
      <alignment horizontal="right"/>
    </xf>
    <xf numFmtId="0" fontId="0" fillId="2" borderId="0" xfId="0" applyFont="1" applyFill="1" applyAlignment="1">
      <alignment vertical="center"/>
    </xf>
    <xf numFmtId="3" fontId="8" fillId="3" borderId="6" xfId="0" applyNumberFormat="1" applyFont="1" applyFill="1" applyBorder="1" applyAlignment="1">
      <alignment vertical="center"/>
    </xf>
    <xf numFmtId="174" fontId="9" fillId="2" borderId="5" xfId="1" applyNumberFormat="1" applyFont="1" applyFill="1" applyBorder="1" applyAlignment="1">
      <alignment vertical="center"/>
    </xf>
    <xf numFmtId="165" fontId="8" fillId="2" borderId="4" xfId="1" applyNumberFormat="1" applyFont="1" applyFill="1" applyBorder="1" applyAlignment="1">
      <alignment vertical="center"/>
    </xf>
    <xf numFmtId="3" fontId="8" fillId="3" borderId="6" xfId="0" applyNumberFormat="1" applyFont="1" applyFill="1" applyBorder="1" applyAlignment="1">
      <alignment vertical="center" wrapText="1"/>
    </xf>
    <xf numFmtId="3" fontId="8" fillId="3" borderId="138" xfId="0" applyNumberFormat="1" applyFont="1" applyFill="1" applyBorder="1" applyAlignment="1">
      <alignment horizontal="left" vertical="center"/>
    </xf>
    <xf numFmtId="165" fontId="8" fillId="2" borderId="70" xfId="1" applyNumberFormat="1" applyFont="1" applyFill="1" applyBorder="1" applyAlignment="1">
      <alignment vertical="center"/>
    </xf>
    <xf numFmtId="165" fontId="8" fillId="2" borderId="69" xfId="1" applyNumberFormat="1" applyFont="1" applyFill="1" applyBorder="1" applyAlignment="1">
      <alignment vertical="center"/>
    </xf>
    <xf numFmtId="0" fontId="12" fillId="2" borderId="0" xfId="49" applyFont="1" applyFill="1" applyAlignment="1">
      <alignment horizontal="left" vertical="center"/>
    </xf>
    <xf numFmtId="0" fontId="12" fillId="2" borderId="0" xfId="49" applyFont="1" applyFill="1" applyAlignment="1">
      <alignment horizontal="center" vertical="center"/>
    </xf>
    <xf numFmtId="0" fontId="19" fillId="2" borderId="0" xfId="49" applyFont="1" applyFill="1" applyAlignment="1">
      <alignment horizontal="center" vertical="center"/>
    </xf>
    <xf numFmtId="0" fontId="19" fillId="2" borderId="0" xfId="3" applyFont="1" applyFill="1" applyAlignment="1">
      <alignment horizontal="center" vertical="center"/>
    </xf>
    <xf numFmtId="0" fontId="12" fillId="2" borderId="0" xfId="49" applyFont="1" applyFill="1" applyBorder="1" applyAlignment="1">
      <alignment horizontal="center" vertical="center"/>
    </xf>
    <xf numFmtId="0" fontId="30" fillId="2" borderId="0" xfId="49" applyFont="1" applyFill="1" applyBorder="1" applyAlignment="1">
      <alignment horizontal="center" vertical="center"/>
    </xf>
    <xf numFmtId="0" fontId="19" fillId="2" borderId="0" xfId="3" applyFont="1" applyFill="1" applyBorder="1" applyAlignment="1">
      <alignment horizontal="center" vertical="center"/>
    </xf>
    <xf numFmtId="0" fontId="19" fillId="2" borderId="17" xfId="3" applyFont="1" applyFill="1" applyBorder="1" applyAlignment="1">
      <alignment horizontal="center" vertical="center"/>
    </xf>
    <xf numFmtId="0" fontId="4" fillId="2" borderId="17" xfId="49" applyFont="1" applyFill="1" applyBorder="1" applyAlignment="1">
      <alignment horizontal="right"/>
    </xf>
    <xf numFmtId="0" fontId="8" fillId="10" borderId="11" xfId="49" applyFont="1" applyFill="1" applyBorder="1" applyAlignment="1">
      <alignment horizontal="center" vertical="center"/>
    </xf>
    <xf numFmtId="0" fontId="9" fillId="10" borderId="78" xfId="49" applyFont="1" applyFill="1" applyBorder="1" applyAlignment="1">
      <alignment horizontal="center" vertical="center"/>
    </xf>
    <xf numFmtId="0" fontId="8" fillId="10" borderId="267" xfId="49" applyFont="1" applyFill="1" applyBorder="1" applyAlignment="1">
      <alignment horizontal="center" vertical="center"/>
    </xf>
    <xf numFmtId="15" fontId="8" fillId="10" borderId="8" xfId="49" applyNumberFormat="1" applyFont="1" applyFill="1" applyBorder="1" applyAlignment="1">
      <alignment horizontal="center" vertical="center"/>
    </xf>
    <xf numFmtId="17" fontId="8" fillId="10" borderId="8" xfId="49" applyNumberFormat="1" applyFont="1" applyFill="1" applyBorder="1" applyAlignment="1">
      <alignment horizontal="center" vertical="center"/>
    </xf>
    <xf numFmtId="0" fontId="9" fillId="10" borderId="86" xfId="49" applyFont="1" applyFill="1" applyBorder="1" applyAlignment="1">
      <alignment horizontal="center" vertical="center"/>
    </xf>
    <xf numFmtId="0" fontId="8" fillId="10" borderId="0" xfId="49" applyFont="1" applyFill="1" applyBorder="1" applyAlignment="1">
      <alignment horizontal="center" vertical="center"/>
    </xf>
    <xf numFmtId="15" fontId="12" fillId="2" borderId="44" xfId="49" applyNumberFormat="1" applyFont="1" applyFill="1" applyBorder="1" applyAlignment="1">
      <alignment horizontal="center" vertical="center"/>
    </xf>
    <xf numFmtId="3" fontId="19" fillId="2" borderId="56" xfId="49" applyNumberFormat="1" applyFont="1" applyFill="1" applyBorder="1" applyAlignment="1">
      <alignment horizontal="center" vertical="center"/>
    </xf>
    <xf numFmtId="0" fontId="19" fillId="2" borderId="52" xfId="3" applyFont="1" applyFill="1" applyBorder="1" applyAlignment="1">
      <alignment horizontal="center" vertical="center"/>
    </xf>
    <xf numFmtId="186" fontId="8" fillId="10" borderId="81" xfId="49" applyNumberFormat="1" applyFont="1" applyFill="1" applyBorder="1" applyAlignment="1">
      <alignment horizontal="center" vertical="center"/>
    </xf>
    <xf numFmtId="1" fontId="8" fillId="10" borderId="0" xfId="49" applyNumberFormat="1" applyFont="1" applyFill="1" applyBorder="1" applyAlignment="1">
      <alignment horizontal="left" vertical="center"/>
    </xf>
    <xf numFmtId="174" fontId="7" fillId="2" borderId="5" xfId="49" applyNumberFormat="1" applyFont="1" applyFill="1" applyBorder="1" applyAlignment="1">
      <alignment horizontal="center" vertical="center"/>
    </xf>
    <xf numFmtId="174" fontId="7" fillId="2" borderId="52" xfId="49" applyNumberFormat="1" applyFont="1" applyFill="1" applyBorder="1" applyAlignment="1">
      <alignment horizontal="center" vertical="center"/>
    </xf>
    <xf numFmtId="187" fontId="8" fillId="10" borderId="0" xfId="49" applyNumberFormat="1" applyFont="1" applyFill="1" applyBorder="1" applyAlignment="1">
      <alignment horizontal="left" vertical="center"/>
    </xf>
    <xf numFmtId="1" fontId="9" fillId="10" borderId="0" xfId="49" applyNumberFormat="1" applyFont="1" applyFill="1" applyBorder="1" applyAlignment="1">
      <alignment horizontal="center" vertical="center"/>
    </xf>
    <xf numFmtId="3" fontId="19" fillId="2" borderId="5" xfId="49" applyNumberFormat="1" applyFont="1" applyFill="1" applyBorder="1" applyAlignment="1">
      <alignment horizontal="center" vertical="center"/>
    </xf>
    <xf numFmtId="3" fontId="19" fillId="2" borderId="11" xfId="49" applyNumberFormat="1" applyFont="1" applyFill="1" applyBorder="1" applyAlignment="1">
      <alignment horizontal="center" vertical="center"/>
    </xf>
    <xf numFmtId="0" fontId="4" fillId="2" borderId="165" xfId="3" applyFont="1" applyFill="1" applyBorder="1" applyAlignment="1"/>
    <xf numFmtId="0" fontId="30" fillId="2" borderId="0" xfId="49" applyFont="1" applyFill="1" applyAlignment="1">
      <alignment horizontal="center" vertical="center"/>
    </xf>
    <xf numFmtId="0" fontId="19" fillId="2" borderId="0" xfId="49" applyFont="1" applyFill="1" applyBorder="1" applyAlignment="1">
      <alignment horizontal="center" vertical="center"/>
    </xf>
    <xf numFmtId="0" fontId="4" fillId="2" borderId="0" xfId="49" applyFont="1" applyFill="1" applyBorder="1" applyAlignment="1">
      <alignment horizontal="right"/>
    </xf>
    <xf numFmtId="17" fontId="8" fillId="10" borderId="109" xfId="49" applyNumberFormat="1" applyFont="1" applyFill="1" applyBorder="1" applyAlignment="1">
      <alignment horizontal="center" vertical="center"/>
    </xf>
    <xf numFmtId="17" fontId="8" fillId="10" borderId="66" xfId="49" applyNumberFormat="1" applyFont="1" applyFill="1" applyBorder="1" applyAlignment="1">
      <alignment horizontal="center" vertical="center"/>
    </xf>
    <xf numFmtId="17" fontId="8" fillId="10" borderId="106" xfId="49" applyNumberFormat="1" applyFont="1" applyFill="1" applyBorder="1" applyAlignment="1">
      <alignment horizontal="center" vertical="center"/>
    </xf>
    <xf numFmtId="0" fontId="9" fillId="10" borderId="86" xfId="49" applyFont="1" applyFill="1" applyBorder="1" applyAlignment="1">
      <alignment horizontal="center" vertical="center" wrapText="1"/>
    </xf>
    <xf numFmtId="0" fontId="9" fillId="10" borderId="144" xfId="49" applyFont="1" applyFill="1" applyBorder="1" applyAlignment="1">
      <alignment horizontal="center" vertical="center" wrapText="1"/>
    </xf>
    <xf numFmtId="0" fontId="19" fillId="2" borderId="44" xfId="49" applyFont="1" applyFill="1" applyBorder="1" applyAlignment="1">
      <alignment horizontal="center" vertical="center"/>
    </xf>
    <xf numFmtId="0" fontId="19" fillId="2" borderId="56" xfId="49" applyFont="1" applyFill="1" applyBorder="1" applyAlignment="1">
      <alignment horizontal="center" vertical="center"/>
    </xf>
    <xf numFmtId="0" fontId="19" fillId="2" borderId="54" xfId="49" applyFont="1" applyFill="1" applyBorder="1" applyAlignment="1">
      <alignment horizontal="center" vertical="center"/>
    </xf>
    <xf numFmtId="0" fontId="8" fillId="10" borderId="118" xfId="49" applyFont="1" applyFill="1" applyBorder="1" applyAlignment="1">
      <alignment horizontal="left" vertical="center"/>
    </xf>
    <xf numFmtId="174" fontId="14" fillId="2" borderId="5" xfId="15" applyNumberFormat="1" applyFont="1" applyFill="1" applyBorder="1" applyAlignment="1">
      <alignment horizontal="center" vertical="center"/>
    </xf>
    <xf numFmtId="174" fontId="14" fillId="2" borderId="52" xfId="15" applyNumberFormat="1" applyFont="1" applyFill="1" applyBorder="1" applyAlignment="1">
      <alignment horizontal="center" vertical="center"/>
    </xf>
    <xf numFmtId="174" fontId="14" fillId="2" borderId="50" xfId="15" applyNumberFormat="1" applyFont="1" applyFill="1" applyBorder="1" applyAlignment="1">
      <alignment horizontal="center" vertical="center"/>
    </xf>
    <xf numFmtId="0" fontId="9" fillId="10" borderId="81" xfId="49" applyFont="1" applyFill="1" applyBorder="1" applyAlignment="1">
      <alignment horizontal="center" vertical="center"/>
    </xf>
    <xf numFmtId="174" fontId="7" fillId="2" borderId="5" xfId="15" applyNumberFormat="1" applyFont="1" applyFill="1" applyBorder="1" applyAlignment="1">
      <alignment horizontal="center" vertical="center"/>
    </xf>
    <xf numFmtId="174" fontId="7" fillId="2" borderId="52" xfId="15" applyNumberFormat="1" applyFont="1" applyFill="1" applyBorder="1" applyAlignment="1">
      <alignment horizontal="center" vertical="center"/>
    </xf>
    <xf numFmtId="174" fontId="7" fillId="2" borderId="50" xfId="15" applyNumberFormat="1" applyFont="1" applyFill="1" applyBorder="1" applyAlignment="1">
      <alignment horizontal="center" vertical="center"/>
    </xf>
    <xf numFmtId="0" fontId="8" fillId="10" borderId="118" xfId="49" quotePrefix="1" applyFont="1" applyFill="1" applyBorder="1" applyAlignment="1">
      <alignment horizontal="left" vertical="center"/>
    </xf>
    <xf numFmtId="174" fontId="7" fillId="2" borderId="5" xfId="15" applyNumberFormat="1" applyFont="1" applyFill="1" applyBorder="1" applyAlignment="1">
      <alignment vertical="center"/>
    </xf>
    <xf numFmtId="174" fontId="7" fillId="2" borderId="52" xfId="15" applyNumberFormat="1" applyFont="1" applyFill="1" applyBorder="1" applyAlignment="1">
      <alignment vertical="center"/>
    </xf>
    <xf numFmtId="174" fontId="7" fillId="2" borderId="50" xfId="15" applyNumberFormat="1" applyFont="1" applyFill="1" applyBorder="1" applyAlignment="1">
      <alignment vertical="center"/>
    </xf>
    <xf numFmtId="174" fontId="7" fillId="2" borderId="118" xfId="15" applyNumberFormat="1" applyFont="1" applyFill="1" applyBorder="1" applyAlignment="1">
      <alignment horizontal="center" vertical="center"/>
    </xf>
    <xf numFmtId="174" fontId="7" fillId="2" borderId="0" xfId="15" applyNumberFormat="1" applyFont="1" applyFill="1" applyBorder="1" applyAlignment="1">
      <alignment horizontal="center" vertical="center"/>
    </xf>
    <xf numFmtId="174" fontId="14" fillId="2" borderId="118" xfId="15" applyNumberFormat="1" applyFont="1" applyFill="1" applyBorder="1" applyAlignment="1">
      <alignment horizontal="center" vertical="center"/>
    </xf>
    <xf numFmtId="174" fontId="14" fillId="2" borderId="0" xfId="15" applyNumberFormat="1" applyFont="1" applyFill="1" applyBorder="1" applyAlignment="1">
      <alignment horizontal="center" vertical="center"/>
    </xf>
    <xf numFmtId="0" fontId="9" fillId="10" borderId="49" xfId="49" applyFont="1" applyFill="1" applyBorder="1" applyAlignment="1">
      <alignment horizontal="center" vertical="center"/>
    </xf>
    <xf numFmtId="0" fontId="8" fillId="10" borderId="146" xfId="49" applyFont="1" applyFill="1" applyBorder="1" applyAlignment="1">
      <alignment horizontal="center" vertical="center"/>
    </xf>
    <xf numFmtId="0" fontId="19" fillId="2" borderId="146" xfId="49" applyFont="1" applyFill="1" applyBorder="1" applyAlignment="1">
      <alignment horizontal="center" vertical="center"/>
    </xf>
    <xf numFmtId="0" fontId="19" fillId="2" borderId="16" xfId="49" applyFont="1" applyFill="1" applyBorder="1" applyAlignment="1">
      <alignment horizontal="center" vertical="center"/>
    </xf>
    <xf numFmtId="0" fontId="19" fillId="2" borderId="2" xfId="49" applyFont="1" applyFill="1" applyBorder="1" applyAlignment="1">
      <alignment horizontal="center" vertical="center"/>
    </xf>
    <xf numFmtId="0" fontId="19" fillId="2" borderId="45" xfId="49" applyFont="1" applyFill="1" applyBorder="1" applyAlignment="1">
      <alignment horizontal="center" vertical="center"/>
    </xf>
    <xf numFmtId="0" fontId="59" fillId="2" borderId="0" xfId="3" applyFont="1" applyFill="1" applyAlignment="1">
      <alignment horizontal="center" vertical="center"/>
    </xf>
    <xf numFmtId="0" fontId="59" fillId="2" borderId="0" xfId="3" applyFont="1" applyFill="1" applyBorder="1" applyAlignment="1">
      <alignment horizontal="center" vertical="center"/>
    </xf>
    <xf numFmtId="0" fontId="8" fillId="10" borderId="109" xfId="49" applyFont="1" applyFill="1" applyBorder="1" applyAlignment="1">
      <alignment horizontal="center" vertical="center"/>
    </xf>
    <xf numFmtId="0" fontId="8" fillId="10" borderId="108" xfId="49" applyFont="1" applyFill="1" applyBorder="1" applyAlignment="1">
      <alignment horizontal="center" vertical="center"/>
    </xf>
    <xf numFmtId="0" fontId="19" fillId="10" borderId="81" xfId="49" applyFont="1" applyFill="1" applyBorder="1" applyAlignment="1">
      <alignment horizontal="center" vertical="center"/>
    </xf>
    <xf numFmtId="0" fontId="12" fillId="10" borderId="0" xfId="49" applyFont="1" applyFill="1" applyBorder="1" applyAlignment="1">
      <alignment horizontal="center" vertical="center"/>
    </xf>
    <xf numFmtId="175" fontId="8" fillId="10" borderId="8" xfId="49" applyNumberFormat="1" applyFont="1" applyFill="1" applyBorder="1" applyAlignment="1">
      <alignment horizontal="center" vertical="center"/>
    </xf>
    <xf numFmtId="175" fontId="8" fillId="10" borderId="7" xfId="49" applyNumberFormat="1" applyFont="1" applyFill="1" applyBorder="1" applyAlignment="1">
      <alignment horizontal="center" vertical="center"/>
    </xf>
    <xf numFmtId="175" fontId="12" fillId="16" borderId="0" xfId="49" applyNumberFormat="1" applyFont="1" applyFill="1" applyBorder="1" applyAlignment="1">
      <alignment horizontal="center" vertical="center"/>
    </xf>
    <xf numFmtId="0" fontId="19" fillId="10" borderId="86" xfId="49" applyFont="1" applyFill="1" applyBorder="1" applyAlignment="1">
      <alignment horizontal="center" vertical="center"/>
    </xf>
    <xf numFmtId="0" fontId="12" fillId="10" borderId="144" xfId="49" applyFont="1" applyFill="1" applyBorder="1" applyAlignment="1">
      <alignment horizontal="center" vertical="center"/>
    </xf>
    <xf numFmtId="3" fontId="7" fillId="2" borderId="118" xfId="49" applyNumberFormat="1" applyFont="1" applyFill="1" applyBorder="1" applyAlignment="1">
      <alignment horizontal="center" vertical="center"/>
    </xf>
    <xf numFmtId="3" fontId="7" fillId="2" borderId="50" xfId="49" applyNumberFormat="1" applyFont="1" applyFill="1" applyBorder="1" applyAlignment="1">
      <alignment horizontal="center" vertical="center"/>
    </xf>
    <xf numFmtId="3" fontId="19" fillId="2" borderId="0" xfId="49" applyNumberFormat="1" applyFont="1" applyFill="1" applyBorder="1" applyAlignment="1">
      <alignment horizontal="center" vertical="center"/>
    </xf>
    <xf numFmtId="1" fontId="8" fillId="10" borderId="118" xfId="49" applyNumberFormat="1" applyFont="1" applyFill="1" applyBorder="1" applyAlignment="1">
      <alignment horizontal="left" vertical="center"/>
    </xf>
    <xf numFmtId="174" fontId="7" fillId="2" borderId="118" xfId="49" applyNumberFormat="1" applyFont="1" applyFill="1" applyBorder="1" applyAlignment="1">
      <alignment horizontal="center" vertical="center"/>
    </xf>
    <xf numFmtId="174" fontId="7" fillId="2" borderId="50" xfId="49" applyNumberFormat="1" applyFont="1" applyFill="1" applyBorder="1" applyAlignment="1">
      <alignment horizontal="center" vertical="center"/>
    </xf>
    <xf numFmtId="174" fontId="19" fillId="2" borderId="0" xfId="49" applyNumberFormat="1" applyFont="1" applyFill="1" applyBorder="1" applyAlignment="1">
      <alignment horizontal="center" vertical="center"/>
    </xf>
    <xf numFmtId="187" fontId="8" fillId="10" borderId="118" xfId="49" applyNumberFormat="1" applyFont="1" applyFill="1" applyBorder="1" applyAlignment="1">
      <alignment horizontal="left" vertical="center"/>
    </xf>
    <xf numFmtId="174" fontId="59" fillId="2" borderId="0" xfId="3" applyNumberFormat="1" applyFont="1" applyFill="1" applyAlignment="1">
      <alignment horizontal="center" vertical="center"/>
    </xf>
    <xf numFmtId="186" fontId="12" fillId="10" borderId="49" xfId="49" applyNumberFormat="1" applyFont="1" applyFill="1" applyBorder="1" applyAlignment="1">
      <alignment horizontal="center" vertical="center"/>
    </xf>
    <xf numFmtId="1" fontId="19" fillId="10" borderId="146" xfId="49" applyNumberFormat="1" applyFont="1" applyFill="1" applyBorder="1" applyAlignment="1">
      <alignment horizontal="center" vertical="center"/>
    </xf>
    <xf numFmtId="3" fontId="19" fillId="2" borderId="146" xfId="49" applyNumberFormat="1" applyFont="1" applyFill="1" applyBorder="1" applyAlignment="1">
      <alignment horizontal="center" vertical="center"/>
    </xf>
    <xf numFmtId="3" fontId="19" fillId="2" borderId="45" xfId="49" applyNumberFormat="1" applyFont="1" applyFill="1" applyBorder="1" applyAlignment="1">
      <alignment horizontal="center" vertical="center"/>
    </xf>
    <xf numFmtId="0" fontId="9" fillId="10" borderId="52" xfId="49" applyFont="1" applyFill="1" applyBorder="1" applyAlignment="1">
      <alignment horizontal="center" vertical="center"/>
    </xf>
    <xf numFmtId="0" fontId="9" fillId="10" borderId="118" xfId="49" applyFont="1" applyFill="1" applyBorder="1" applyAlignment="1">
      <alignment horizontal="center" vertical="center"/>
    </xf>
    <xf numFmtId="165" fontId="7" fillId="2" borderId="118" xfId="49" applyNumberFormat="1" applyFont="1" applyFill="1" applyBorder="1" applyAlignment="1">
      <alignment horizontal="center" vertical="center"/>
    </xf>
    <xf numFmtId="165" fontId="7" fillId="2" borderId="52" xfId="49" applyNumberFormat="1" applyFont="1" applyFill="1" applyBorder="1" applyAlignment="1">
      <alignment horizontal="center" vertical="center"/>
    </xf>
    <xf numFmtId="165" fontId="7" fillId="2" borderId="5" xfId="49" applyNumberFormat="1" applyFont="1" applyFill="1" applyBorder="1" applyAlignment="1">
      <alignment horizontal="center" vertical="center"/>
    </xf>
    <xf numFmtId="165" fontId="7" fillId="2" borderId="44" xfId="49" applyNumberFormat="1" applyFont="1" applyFill="1" applyBorder="1" applyAlignment="1">
      <alignment horizontal="center" vertical="center"/>
    </xf>
    <xf numFmtId="165" fontId="7" fillId="2" borderId="54" xfId="49" applyNumberFormat="1" applyFont="1" applyFill="1" applyBorder="1" applyAlignment="1">
      <alignment horizontal="center" vertical="center"/>
    </xf>
    <xf numFmtId="186" fontId="8" fillId="10" borderId="52" xfId="49" applyNumberFormat="1" applyFont="1" applyFill="1" applyBorder="1" applyAlignment="1">
      <alignment horizontal="center" vertical="center"/>
    </xf>
    <xf numFmtId="165" fontId="14" fillId="2" borderId="118" xfId="49" applyNumberFormat="1" applyFont="1" applyFill="1" applyBorder="1" applyAlignment="1">
      <alignment horizontal="center" vertical="center"/>
    </xf>
    <xf numFmtId="165" fontId="14" fillId="2" borderId="52" xfId="49" applyNumberFormat="1" applyFont="1" applyFill="1" applyBorder="1" applyAlignment="1">
      <alignment horizontal="center" vertical="center"/>
    </xf>
    <xf numFmtId="165" fontId="14" fillId="2" borderId="5" xfId="49" applyNumberFormat="1" applyFont="1" applyFill="1" applyBorder="1" applyAlignment="1">
      <alignment horizontal="center" vertical="center"/>
    </xf>
    <xf numFmtId="165" fontId="14" fillId="2" borderId="50" xfId="49" applyNumberFormat="1" applyFont="1" applyFill="1" applyBorder="1" applyAlignment="1">
      <alignment horizontal="center" vertical="center"/>
    </xf>
    <xf numFmtId="165" fontId="7" fillId="2" borderId="50" xfId="49" applyNumberFormat="1" applyFont="1" applyFill="1" applyBorder="1" applyAlignment="1">
      <alignment horizontal="center" vertical="center"/>
    </xf>
    <xf numFmtId="0" fontId="9" fillId="10" borderId="97" xfId="49" applyFont="1" applyFill="1" applyBorder="1" applyAlignment="1">
      <alignment horizontal="center" vertical="center"/>
    </xf>
    <xf numFmtId="0" fontId="19" fillId="2" borderId="47" xfId="49" applyFont="1" applyFill="1" applyBorder="1" applyAlignment="1">
      <alignment horizontal="center" vertical="center"/>
    </xf>
    <xf numFmtId="0" fontId="4" fillId="2" borderId="0" xfId="49" applyFont="1" applyFill="1" applyAlignment="1">
      <alignment horizontal="left"/>
    </xf>
    <xf numFmtId="0" fontId="30" fillId="2" borderId="0" xfId="49" applyFont="1" applyFill="1" applyAlignment="1">
      <alignment horizontal="center"/>
    </xf>
    <xf numFmtId="0" fontId="109" fillId="2" borderId="0" xfId="3" applyFont="1" applyFill="1" applyAlignment="1">
      <alignment horizontal="center"/>
    </xf>
    <xf numFmtId="0" fontId="12" fillId="2" borderId="0" xfId="2" applyFont="1" applyFill="1" applyAlignment="1">
      <alignment horizontal="left" vertical="center"/>
    </xf>
    <xf numFmtId="0" fontId="12" fillId="2" borderId="0" xfId="2" applyFont="1" applyFill="1" applyAlignment="1">
      <alignment horizontal="center" vertical="center"/>
    </xf>
    <xf numFmtId="0" fontId="19" fillId="2" borderId="0" xfId="2" applyFont="1" applyFill="1" applyAlignment="1">
      <alignment horizontal="center" vertical="center"/>
    </xf>
    <xf numFmtId="0" fontId="19" fillId="2" borderId="0" xfId="2" applyFont="1" applyFill="1" applyBorder="1" applyAlignment="1">
      <alignment horizontal="center" vertical="center"/>
    </xf>
    <xf numFmtId="0" fontId="12" fillId="2" borderId="0" xfId="2" applyFont="1" applyFill="1" applyBorder="1" applyAlignment="1">
      <alignment horizontal="center" vertical="center"/>
    </xf>
    <xf numFmtId="0" fontId="30" fillId="2" borderId="0" xfId="2" applyFont="1" applyFill="1" applyBorder="1" applyAlignment="1">
      <alignment horizontal="center" vertical="center"/>
    </xf>
    <xf numFmtId="0" fontId="30" fillId="2" borderId="0" xfId="2" applyFont="1" applyFill="1" applyAlignment="1">
      <alignment horizontal="center" vertical="center"/>
    </xf>
    <xf numFmtId="0" fontId="4" fillId="2" borderId="0" xfId="2" applyFont="1" applyFill="1" applyAlignment="1">
      <alignment horizontal="right"/>
    </xf>
    <xf numFmtId="0" fontId="8" fillId="10" borderId="56" xfId="2" applyFont="1" applyFill="1" applyBorder="1" applyAlignment="1">
      <alignment horizontal="center" vertical="center"/>
    </xf>
    <xf numFmtId="0" fontId="8" fillId="10" borderId="165" xfId="2" applyFont="1" applyFill="1" applyBorder="1" applyAlignment="1">
      <alignment horizontal="center" vertical="center"/>
    </xf>
    <xf numFmtId="0" fontId="19" fillId="2" borderId="52" xfId="2" applyFont="1" applyFill="1" applyBorder="1" applyAlignment="1">
      <alignment horizontal="center" vertical="center"/>
    </xf>
    <xf numFmtId="0" fontId="8" fillId="10" borderId="97" xfId="2" applyFont="1" applyFill="1" applyBorder="1" applyAlignment="1">
      <alignment horizontal="center" vertical="center"/>
    </xf>
    <xf numFmtId="0" fontId="8" fillId="10" borderId="267" xfId="2" applyFont="1" applyFill="1" applyBorder="1" applyAlignment="1">
      <alignment horizontal="center" vertical="center"/>
    </xf>
    <xf numFmtId="15" fontId="8" fillId="10" borderId="11" xfId="49" applyNumberFormat="1" applyFont="1" applyFill="1" applyBorder="1" applyAlignment="1">
      <alignment horizontal="center" vertical="center"/>
    </xf>
    <xf numFmtId="15" fontId="8" fillId="10" borderId="267" xfId="49" applyNumberFormat="1" applyFont="1" applyFill="1" applyBorder="1" applyAlignment="1">
      <alignment horizontal="center" vertical="center"/>
    </xf>
    <xf numFmtId="186" fontId="8" fillId="10" borderId="56" xfId="2" applyNumberFormat="1" applyFont="1" applyFill="1" applyBorder="1" applyAlignment="1">
      <alignment horizontal="center" vertical="center"/>
    </xf>
    <xf numFmtId="0" fontId="8" fillId="10" borderId="165" xfId="2" applyFont="1" applyFill="1" applyBorder="1" applyAlignment="1">
      <alignment horizontal="left" vertical="center"/>
    </xf>
    <xf numFmtId="15" fontId="14" fillId="2" borderId="44" xfId="2" applyNumberFormat="1" applyFont="1" applyFill="1" applyBorder="1" applyAlignment="1">
      <alignment horizontal="center" vertical="center"/>
    </xf>
    <xf numFmtId="15" fontId="14" fillId="2" borderId="144" xfId="2" applyNumberFormat="1" applyFont="1" applyFill="1" applyBorder="1" applyAlignment="1">
      <alignment horizontal="center" vertical="center"/>
    </xf>
    <xf numFmtId="186" fontId="8" fillId="17" borderId="52" xfId="2" applyNumberFormat="1" applyFont="1" applyFill="1" applyBorder="1" applyAlignment="1">
      <alignment horizontal="center" vertical="center"/>
    </xf>
    <xf numFmtId="0" fontId="8" fillId="10" borderId="0" xfId="2" applyFont="1" applyFill="1" applyBorder="1" applyAlignment="1">
      <alignment horizontal="left" vertical="center"/>
    </xf>
    <xf numFmtId="2" fontId="7" fillId="2" borderId="5" xfId="2" applyNumberFormat="1" applyFont="1" applyFill="1" applyBorder="1" applyAlignment="1">
      <alignment horizontal="center" vertical="center"/>
    </xf>
    <xf numFmtId="0" fontId="8" fillId="10" borderId="118" xfId="2" applyFont="1" applyFill="1" applyBorder="1" applyAlignment="1">
      <alignment horizontal="left" vertical="center"/>
    </xf>
    <xf numFmtId="0" fontId="8" fillId="10" borderId="17" xfId="2" applyFont="1" applyFill="1" applyBorder="1" applyAlignment="1">
      <alignment horizontal="center" vertical="center"/>
    </xf>
    <xf numFmtId="3" fontId="19" fillId="2" borderId="11" xfId="2" applyNumberFormat="1" applyFont="1" applyFill="1" applyBorder="1" applyAlignment="1">
      <alignment horizontal="center" vertical="center"/>
    </xf>
    <xf numFmtId="3" fontId="19" fillId="2" borderId="267" xfId="2" applyNumberFormat="1" applyFont="1" applyFill="1" applyBorder="1" applyAlignment="1">
      <alignment horizontal="center" vertical="center"/>
    </xf>
    <xf numFmtId="0" fontId="4" fillId="2" borderId="0" xfId="2" applyFont="1" applyFill="1" applyAlignment="1">
      <alignment horizontal="left"/>
    </xf>
    <xf numFmtId="0" fontId="4" fillId="2" borderId="0" xfId="2" applyFont="1" applyFill="1" applyAlignment="1">
      <alignment horizontal="center"/>
    </xf>
    <xf numFmtId="0" fontId="9" fillId="10" borderId="107" xfId="49" applyFont="1" applyFill="1" applyBorder="1" applyAlignment="1">
      <alignment horizontal="center" vertical="center"/>
    </xf>
    <xf numFmtId="0" fontId="9" fillId="10" borderId="156" xfId="49" applyFont="1" applyFill="1" applyBorder="1" applyAlignment="1">
      <alignment horizontal="center" vertical="center"/>
    </xf>
    <xf numFmtId="0" fontId="19" fillId="2" borderId="5" xfId="49" applyFont="1" applyFill="1" applyBorder="1" applyAlignment="1">
      <alignment horizontal="center" vertical="center"/>
    </xf>
    <xf numFmtId="0" fontId="19" fillId="2" borderId="52" xfId="49" applyFont="1" applyFill="1" applyBorder="1" applyAlignment="1">
      <alignment horizontal="center" vertical="center"/>
    </xf>
    <xf numFmtId="0" fontId="19" fillId="2" borderId="50" xfId="49" applyFont="1" applyFill="1" applyBorder="1" applyAlignment="1">
      <alignment horizontal="center" vertical="center"/>
    </xf>
    <xf numFmtId="2" fontId="7" fillId="2" borderId="5" xfId="49" applyNumberFormat="1" applyFont="1" applyFill="1" applyBorder="1" applyAlignment="1">
      <alignment horizontal="center" vertical="center"/>
    </xf>
    <xf numFmtId="2" fontId="7" fillId="2" borderId="52" xfId="49" applyNumberFormat="1" applyFont="1" applyFill="1" applyBorder="1" applyAlignment="1">
      <alignment horizontal="center" vertical="center"/>
    </xf>
    <xf numFmtId="2" fontId="7" fillId="2" borderId="50" xfId="49" applyNumberFormat="1" applyFont="1" applyFill="1" applyBorder="1" applyAlignment="1">
      <alignment horizontal="center" vertical="center"/>
    </xf>
    <xf numFmtId="3" fontId="19" fillId="2" borderId="0" xfId="3" applyNumberFormat="1" applyFont="1" applyFill="1" applyAlignment="1">
      <alignment horizontal="center" vertical="center"/>
    </xf>
    <xf numFmtId="0" fontId="9" fillId="10" borderId="146" xfId="49" applyFont="1" applyFill="1" applyBorder="1" applyAlignment="1">
      <alignment horizontal="center" vertical="center"/>
    </xf>
    <xf numFmtId="0" fontId="12" fillId="2" borderId="0" xfId="2" applyFont="1" applyFill="1" applyBorder="1" applyAlignment="1">
      <alignment horizontal="left" vertical="center"/>
    </xf>
    <xf numFmtId="0" fontId="12" fillId="2" borderId="0" xfId="2" applyFont="1" applyFill="1" applyBorder="1" applyAlignment="1">
      <alignment horizontal="center" vertical="center" wrapText="1"/>
    </xf>
    <xf numFmtId="0" fontId="12" fillId="2" borderId="0" xfId="2" applyFont="1" applyFill="1" applyAlignment="1">
      <alignment horizontal="center" vertical="center" wrapText="1"/>
    </xf>
    <xf numFmtId="188" fontId="12" fillId="2" borderId="0" xfId="2" applyNumberFormat="1" applyFont="1" applyFill="1" applyAlignment="1">
      <alignment horizontal="center" vertical="center" wrapText="1"/>
    </xf>
    <xf numFmtId="0" fontId="8" fillId="3" borderId="92" xfId="2" applyFont="1" applyFill="1" applyBorder="1" applyAlignment="1">
      <alignment horizontal="center" vertical="center"/>
    </xf>
    <xf numFmtId="0" fontId="8" fillId="3" borderId="142" xfId="2" applyFont="1" applyFill="1" applyBorder="1" applyAlignment="1">
      <alignment horizontal="center" vertical="center"/>
    </xf>
    <xf numFmtId="0" fontId="59" fillId="2" borderId="0" xfId="3" applyFont="1" applyFill="1" applyAlignment="1">
      <alignment horizontal="center" vertical="center" wrapText="1"/>
    </xf>
    <xf numFmtId="0" fontId="8" fillId="10" borderId="78" xfId="2" applyFont="1" applyFill="1" applyBorder="1" applyAlignment="1">
      <alignment horizontal="center" vertical="center"/>
    </xf>
    <xf numFmtId="15" fontId="8" fillId="10" borderId="11" xfId="2" quotePrefix="1" applyNumberFormat="1" applyFont="1" applyFill="1" applyBorder="1" applyAlignment="1">
      <alignment horizontal="center" vertical="center" wrapText="1"/>
    </xf>
    <xf numFmtId="15" fontId="8" fillId="10" borderId="11" xfId="2" applyNumberFormat="1" applyFont="1" applyFill="1" applyBorder="1" applyAlignment="1">
      <alignment horizontal="center" vertical="center" wrapText="1"/>
    </xf>
    <xf numFmtId="189" fontId="8" fillId="10" borderId="11" xfId="2" quotePrefix="1" applyNumberFormat="1" applyFont="1" applyFill="1" applyBorder="1" applyAlignment="1">
      <alignment horizontal="center" vertical="center" wrapText="1"/>
    </xf>
    <xf numFmtId="15" fontId="8" fillId="10" borderId="59" xfId="2" applyNumberFormat="1" applyFont="1" applyFill="1" applyBorder="1" applyAlignment="1">
      <alignment horizontal="center" vertical="center" wrapText="1"/>
    </xf>
    <xf numFmtId="186" fontId="8" fillId="17" borderId="81" xfId="2" applyNumberFormat="1" applyFont="1" applyFill="1" applyBorder="1" applyAlignment="1">
      <alignment horizontal="center" vertical="center"/>
    </xf>
    <xf numFmtId="0" fontId="8" fillId="10" borderId="144" xfId="2" applyFont="1" applyFill="1" applyBorder="1" applyAlignment="1">
      <alignment horizontal="left" vertical="center"/>
    </xf>
    <xf numFmtId="165" fontId="7" fillId="2" borderId="5" xfId="20" applyNumberFormat="1" applyFont="1" applyFill="1" applyBorder="1" applyAlignment="1">
      <alignment horizontal="center" vertical="center" wrapText="1"/>
    </xf>
    <xf numFmtId="165" fontId="7" fillId="2" borderId="50" xfId="20" applyNumberFormat="1" applyFont="1" applyFill="1" applyBorder="1" applyAlignment="1">
      <alignment horizontal="center" vertical="center" wrapText="1"/>
    </xf>
    <xf numFmtId="2" fontId="7" fillId="2" borderId="5" xfId="20" applyNumberFormat="1" applyFont="1" applyFill="1" applyBorder="1" applyAlignment="1">
      <alignment horizontal="center" vertical="center" wrapText="1"/>
    </xf>
    <xf numFmtId="2" fontId="7" fillId="2" borderId="50" xfId="20" applyNumberFormat="1" applyFont="1" applyFill="1" applyBorder="1" applyAlignment="1">
      <alignment horizontal="center" vertical="center" wrapText="1"/>
    </xf>
    <xf numFmtId="164" fontId="7" fillId="2" borderId="5" xfId="20" applyNumberFormat="1" applyFont="1" applyFill="1" applyBorder="1" applyAlignment="1">
      <alignment horizontal="center" vertical="center" wrapText="1"/>
    </xf>
    <xf numFmtId="164" fontId="7" fillId="2" borderId="50" xfId="20" applyNumberFormat="1" applyFont="1" applyFill="1" applyBorder="1" applyAlignment="1">
      <alignment horizontal="center" vertical="center" wrapText="1"/>
    </xf>
    <xf numFmtId="0" fontId="9" fillId="10" borderId="49" xfId="2" applyFont="1" applyFill="1" applyBorder="1" applyAlignment="1">
      <alignment horizontal="center" vertical="center"/>
    </xf>
    <xf numFmtId="0" fontId="8" fillId="10" borderId="146" xfId="2" applyFont="1" applyFill="1" applyBorder="1" applyAlignment="1">
      <alignment horizontal="center" vertical="center"/>
    </xf>
    <xf numFmtId="38" fontId="19" fillId="2" borderId="2" xfId="2" applyNumberFormat="1" applyFont="1" applyFill="1" applyBorder="1" applyAlignment="1">
      <alignment horizontal="center" vertical="center" wrapText="1"/>
    </xf>
    <xf numFmtId="38" fontId="19" fillId="2" borderId="45" xfId="2" applyNumberFormat="1" applyFont="1" applyFill="1" applyBorder="1" applyAlignment="1">
      <alignment horizontal="center" vertical="center" wrapText="1"/>
    </xf>
    <xf numFmtId="0" fontId="4" fillId="2" borderId="0" xfId="22" applyFont="1" applyFill="1" applyAlignment="1">
      <alignment horizontal="left"/>
    </xf>
    <xf numFmtId="40" fontId="19" fillId="2" borderId="0" xfId="50" applyNumberFormat="1" applyFont="1" applyFill="1" applyBorder="1" applyAlignment="1">
      <alignment horizontal="center" vertical="center" wrapText="1"/>
    </xf>
    <xf numFmtId="38" fontId="19" fillId="2" borderId="0" xfId="2" applyNumberFormat="1" applyFont="1" applyFill="1" applyBorder="1" applyAlignment="1">
      <alignment horizontal="center" wrapText="1"/>
    </xf>
    <xf numFmtId="0" fontId="59" fillId="2" borderId="0" xfId="3" applyFont="1" applyFill="1" applyAlignment="1">
      <alignment horizontal="center"/>
    </xf>
    <xf numFmtId="0" fontId="12" fillId="2" borderId="0" xfId="22" applyFont="1" applyFill="1" applyAlignment="1">
      <alignment horizontal="left" vertical="center"/>
    </xf>
    <xf numFmtId="0" fontId="12" fillId="2" borderId="0" xfId="22" applyFont="1" applyFill="1" applyAlignment="1">
      <alignment horizontal="center" vertical="center"/>
    </xf>
    <xf numFmtId="0" fontId="19" fillId="2" borderId="0" xfId="22" applyFont="1" applyFill="1" applyAlignment="1">
      <alignment horizontal="center" vertical="center"/>
    </xf>
    <xf numFmtId="0" fontId="8" fillId="10" borderId="14" xfId="2" applyFont="1" applyFill="1" applyBorder="1" applyAlignment="1">
      <alignment horizontal="center" vertical="center"/>
    </xf>
    <xf numFmtId="0" fontId="8" fillId="10" borderId="13" xfId="2" applyFont="1" applyFill="1" applyBorder="1" applyAlignment="1">
      <alignment horizontal="center" vertical="center"/>
    </xf>
    <xf numFmtId="165" fontId="8" fillId="10" borderId="109" xfId="2" applyNumberFormat="1" applyFont="1" applyFill="1" applyBorder="1" applyAlignment="1">
      <alignment horizontal="center" vertical="center" wrapText="1"/>
    </xf>
    <xf numFmtId="165" fontId="8" fillId="10" borderId="108" xfId="2" applyNumberFormat="1" applyFont="1" applyFill="1" applyBorder="1" applyAlignment="1">
      <alignment horizontal="center" vertical="center" wrapText="1"/>
    </xf>
    <xf numFmtId="0" fontId="8" fillId="10" borderId="9" xfId="2" applyFont="1" applyFill="1" applyBorder="1" applyAlignment="1">
      <alignment horizontal="center" vertical="center"/>
    </xf>
    <xf numFmtId="0" fontId="8" fillId="10" borderId="11" xfId="2" applyFont="1" applyFill="1" applyBorder="1" applyAlignment="1">
      <alignment horizontal="center" vertical="center"/>
    </xf>
    <xf numFmtId="165" fontId="8" fillId="10" borderId="8" xfId="2" applyNumberFormat="1" applyFont="1" applyFill="1" applyBorder="1" applyAlignment="1">
      <alignment horizontal="center" vertical="center"/>
    </xf>
    <xf numFmtId="165" fontId="8" fillId="10" borderId="7" xfId="2" applyNumberFormat="1" applyFont="1" applyFill="1" applyBorder="1" applyAlignment="1">
      <alignment horizontal="center" vertical="center"/>
    </xf>
    <xf numFmtId="186" fontId="8" fillId="10" borderId="6" xfId="2" applyNumberFormat="1" applyFont="1" applyFill="1" applyBorder="1" applyAlignment="1">
      <alignment horizontal="center" vertical="center"/>
    </xf>
    <xf numFmtId="0" fontId="8" fillId="10" borderId="5" xfId="2" applyFont="1" applyFill="1" applyBorder="1" applyAlignment="1">
      <alignment horizontal="left" vertical="center"/>
    </xf>
    <xf numFmtId="173" fontId="7" fillId="2" borderId="5" xfId="3" applyNumberFormat="1" applyFont="1" applyFill="1" applyBorder="1" applyAlignment="1">
      <alignment horizontal="center" vertical="center"/>
    </xf>
    <xf numFmtId="173" fontId="7" fillId="2" borderId="4" xfId="3" applyNumberFormat="1" applyFont="1" applyFill="1" applyBorder="1" applyAlignment="1">
      <alignment horizontal="center" vertical="center"/>
    </xf>
    <xf numFmtId="164" fontId="7" fillId="2" borderId="4" xfId="20" applyNumberFormat="1" applyFont="1" applyFill="1" applyBorder="1" applyAlignment="1">
      <alignment horizontal="center" vertical="center" wrapText="1"/>
    </xf>
    <xf numFmtId="0" fontId="9" fillId="10" borderId="3" xfId="2" applyFont="1" applyFill="1" applyBorder="1" applyAlignment="1">
      <alignment horizontal="center" vertical="center"/>
    </xf>
    <xf numFmtId="0" fontId="8" fillId="10" borderId="2" xfId="2" applyFont="1" applyFill="1" applyBorder="1" applyAlignment="1">
      <alignment horizontal="center" vertical="center"/>
    </xf>
    <xf numFmtId="0" fontId="19" fillId="2" borderId="2" xfId="3" applyFont="1" applyFill="1" applyBorder="1" applyAlignment="1">
      <alignment horizontal="center" vertical="center"/>
    </xf>
    <xf numFmtId="0" fontId="19" fillId="2" borderId="1" xfId="3" applyFont="1" applyFill="1" applyBorder="1" applyAlignment="1">
      <alignment horizontal="center" vertical="center"/>
    </xf>
    <xf numFmtId="0" fontId="30" fillId="2" borderId="16" xfId="49" applyFont="1" applyFill="1" applyBorder="1" applyAlignment="1">
      <alignment vertical="center"/>
    </xf>
    <xf numFmtId="0" fontId="4" fillId="2" borderId="16" xfId="49" applyFont="1" applyFill="1" applyBorder="1" applyAlignment="1">
      <alignment horizontal="right"/>
    </xf>
    <xf numFmtId="0" fontId="12" fillId="10" borderId="50" xfId="49" applyFont="1" applyFill="1" applyBorder="1" applyAlignment="1">
      <alignment horizontal="center" vertical="center"/>
    </xf>
    <xf numFmtId="15" fontId="8" fillId="10" borderId="96" xfId="49" applyNumberFormat="1" applyFont="1" applyFill="1" applyBorder="1" applyAlignment="1">
      <alignment horizontal="center" vertical="center"/>
    </xf>
    <xf numFmtId="175" fontId="8" fillId="10" borderId="42" xfId="49" applyNumberFormat="1" applyFont="1" applyFill="1" applyBorder="1" applyAlignment="1">
      <alignment horizontal="center" vertical="center"/>
    </xf>
    <xf numFmtId="186" fontId="8" fillId="10" borderId="86" xfId="49" applyNumberFormat="1" applyFont="1" applyFill="1" applyBorder="1" applyAlignment="1">
      <alignment horizontal="center" vertical="center"/>
    </xf>
    <xf numFmtId="1" fontId="8" fillId="10" borderId="54" xfId="49" applyNumberFormat="1" applyFont="1" applyFill="1" applyBorder="1" applyAlignment="1">
      <alignment horizontal="left" vertical="center"/>
    </xf>
    <xf numFmtId="167" fontId="7" fillId="2" borderId="144" xfId="49" applyNumberFormat="1" applyFont="1" applyFill="1" applyBorder="1" applyAlignment="1">
      <alignment vertical="center"/>
    </xf>
    <xf numFmtId="167" fontId="7" fillId="2" borderId="54" xfId="49" applyNumberFormat="1" applyFont="1" applyFill="1" applyBorder="1" applyAlignment="1">
      <alignment vertical="center"/>
    </xf>
    <xf numFmtId="187" fontId="8" fillId="10" borderId="50" xfId="49" applyNumberFormat="1" applyFont="1" applyFill="1" applyBorder="1" applyAlignment="1">
      <alignment horizontal="left" vertical="center"/>
    </xf>
    <xf numFmtId="167" fontId="7" fillId="2" borderId="118" xfId="49" applyNumberFormat="1" applyFont="1" applyFill="1" applyBorder="1" applyAlignment="1">
      <alignment vertical="center"/>
    </xf>
    <xf numFmtId="167" fontId="7" fillId="2" borderId="5" xfId="49" applyNumberFormat="1" applyFont="1" applyFill="1" applyBorder="1" applyAlignment="1">
      <alignment vertical="center"/>
    </xf>
    <xf numFmtId="167" fontId="7" fillId="2" borderId="50" xfId="49" applyNumberFormat="1" applyFont="1" applyFill="1" applyBorder="1" applyAlignment="1">
      <alignment vertical="center"/>
    </xf>
    <xf numFmtId="167" fontId="7" fillId="2" borderId="6" xfId="49" applyNumberFormat="1" applyFont="1" applyFill="1" applyBorder="1" applyAlignment="1">
      <alignment vertical="center"/>
    </xf>
    <xf numFmtId="1" fontId="8" fillId="10" borderId="50" xfId="49" applyNumberFormat="1" applyFont="1" applyFill="1" applyBorder="1" applyAlignment="1">
      <alignment horizontal="left" vertical="center"/>
    </xf>
    <xf numFmtId="39" fontId="7" fillId="2" borderId="118" xfId="49" applyNumberFormat="1" applyFont="1" applyFill="1" applyBorder="1" applyAlignment="1">
      <alignment vertical="center"/>
    </xf>
    <xf numFmtId="176" fontId="7" fillId="2" borderId="118" xfId="49" applyNumberFormat="1" applyFont="1" applyFill="1" applyBorder="1" applyAlignment="1">
      <alignment vertical="center"/>
    </xf>
    <xf numFmtId="176" fontId="7" fillId="2" borderId="5" xfId="49" applyNumberFormat="1" applyFont="1" applyFill="1" applyBorder="1" applyAlignment="1">
      <alignment vertical="center"/>
    </xf>
    <xf numFmtId="1" fontId="19" fillId="10" borderId="45" xfId="49" applyNumberFormat="1" applyFont="1" applyFill="1" applyBorder="1" applyAlignment="1">
      <alignment horizontal="center" vertical="center"/>
    </xf>
    <xf numFmtId="0" fontId="12" fillId="2" borderId="0" xfId="22" applyFont="1" applyFill="1" applyBorder="1" applyAlignment="1">
      <alignment horizontal="center" vertical="center"/>
    </xf>
    <xf numFmtId="0" fontId="19" fillId="2" borderId="0" xfId="22" applyFont="1" applyFill="1" applyBorder="1" applyAlignment="1">
      <alignment horizontal="center" vertical="center"/>
    </xf>
    <xf numFmtId="15" fontId="8" fillId="10" borderId="94" xfId="49" applyNumberFormat="1" applyFont="1" applyFill="1" applyBorder="1" applyAlignment="1">
      <alignment horizontal="center" vertical="center"/>
    </xf>
    <xf numFmtId="186" fontId="8" fillId="17" borderId="86" xfId="2" applyNumberFormat="1" applyFont="1" applyFill="1" applyBorder="1" applyAlignment="1">
      <alignment horizontal="center" vertical="center"/>
    </xf>
    <xf numFmtId="1" fontId="8" fillId="10" borderId="165" xfId="49" applyNumberFormat="1" applyFont="1" applyFill="1" applyBorder="1" applyAlignment="1">
      <alignment horizontal="left" vertical="center"/>
    </xf>
    <xf numFmtId="165" fontId="7" fillId="2" borderId="44" xfId="20" applyNumberFormat="1" applyFont="1" applyFill="1" applyBorder="1" applyAlignment="1">
      <alignment horizontal="center" vertical="center" wrapText="1"/>
    </xf>
    <xf numFmtId="2" fontId="7" fillId="2" borderId="118" xfId="20" applyNumberFormat="1" applyFont="1" applyFill="1" applyBorder="1" applyAlignment="1">
      <alignment horizontal="center" vertical="center" wrapText="1"/>
    </xf>
    <xf numFmtId="186" fontId="8" fillId="17" borderId="49" xfId="2" applyNumberFormat="1" applyFont="1" applyFill="1" applyBorder="1" applyAlignment="1">
      <alignment horizontal="center" vertical="center"/>
    </xf>
    <xf numFmtId="0" fontId="8" fillId="10" borderId="16" xfId="2" applyFont="1" applyFill="1" applyBorder="1" applyAlignment="1">
      <alignment horizontal="center" vertical="center"/>
    </xf>
    <xf numFmtId="0" fontId="30" fillId="2" borderId="0" xfId="49" applyFont="1" applyFill="1" applyBorder="1" applyAlignment="1">
      <alignment horizontal="right" vertical="center"/>
    </xf>
    <xf numFmtId="15" fontId="8" fillId="10" borderId="8" xfId="49" applyNumberFormat="1" applyFont="1" applyFill="1" applyBorder="1" applyAlignment="1">
      <alignment horizontal="center" vertical="center" wrapText="1"/>
    </xf>
    <xf numFmtId="15" fontId="8" fillId="10" borderId="38" xfId="49" applyNumberFormat="1" applyFont="1" applyFill="1" applyBorder="1" applyAlignment="1">
      <alignment horizontal="center" vertical="center" wrapText="1"/>
    </xf>
    <xf numFmtId="15" fontId="8" fillId="10" borderId="94" xfId="49" applyNumberFormat="1" applyFont="1" applyFill="1" applyBorder="1" applyAlignment="1">
      <alignment horizontal="center" vertical="center" wrapText="1"/>
    </xf>
    <xf numFmtId="49" fontId="8" fillId="10" borderId="6" xfId="49" applyNumberFormat="1" applyFont="1" applyFill="1" applyBorder="1" applyAlignment="1">
      <alignment horizontal="center" vertical="center"/>
    </xf>
    <xf numFmtId="15" fontId="8" fillId="0" borderId="5" xfId="49" applyNumberFormat="1" applyFont="1" applyFill="1" applyBorder="1" applyAlignment="1">
      <alignment horizontal="center" vertical="center"/>
    </xf>
    <xf numFmtId="15" fontId="8" fillId="0" borderId="50" xfId="49" applyNumberFormat="1" applyFont="1" applyFill="1" applyBorder="1" applyAlignment="1">
      <alignment horizontal="center" vertical="center"/>
    </xf>
    <xf numFmtId="15" fontId="8" fillId="0" borderId="118" xfId="49" applyNumberFormat="1" applyFont="1" applyFill="1" applyBorder="1" applyAlignment="1">
      <alignment horizontal="center" vertical="center"/>
    </xf>
    <xf numFmtId="186" fontId="8" fillId="10" borderId="81" xfId="49" quotePrefix="1" applyNumberFormat="1" applyFont="1" applyFill="1" applyBorder="1" applyAlignment="1">
      <alignment horizontal="center" vertical="center"/>
    </xf>
    <xf numFmtId="2" fontId="7" fillId="2" borderId="118" xfId="49" applyNumberFormat="1" applyFont="1" applyFill="1" applyBorder="1" applyAlignment="1">
      <alignment horizontal="center" vertical="center"/>
    </xf>
    <xf numFmtId="186" fontId="8" fillId="10" borderId="283" xfId="49" applyNumberFormat="1" applyFont="1" applyFill="1" applyBorder="1" applyAlignment="1">
      <alignment horizontal="center" vertical="center"/>
    </xf>
    <xf numFmtId="165" fontId="7" fillId="2" borderId="281" xfId="49" applyNumberFormat="1" applyFont="1" applyFill="1" applyBorder="1" applyAlignment="1">
      <alignment horizontal="center" vertical="center"/>
    </xf>
    <xf numFmtId="2" fontId="7" fillId="2" borderId="285" xfId="49" applyNumberFormat="1" applyFont="1" applyFill="1" applyBorder="1" applyAlignment="1">
      <alignment horizontal="center" vertical="center"/>
    </xf>
    <xf numFmtId="2" fontId="7" fillId="2" borderId="301" xfId="49" applyNumberFormat="1" applyFont="1" applyFill="1" applyBorder="1" applyAlignment="1">
      <alignment horizontal="center" vertical="center"/>
    </xf>
    <xf numFmtId="17" fontId="8" fillId="10" borderId="6" xfId="49" applyNumberFormat="1" applyFont="1" applyFill="1" applyBorder="1" applyAlignment="1">
      <alignment horizontal="center" vertical="center"/>
    </xf>
    <xf numFmtId="2" fontId="14" fillId="2" borderId="4" xfId="49" applyNumberFormat="1" applyFont="1" applyFill="1" applyBorder="1" applyAlignment="1">
      <alignment horizontal="center" vertical="center"/>
    </xf>
    <xf numFmtId="2" fontId="19" fillId="2" borderId="118" xfId="49" applyNumberFormat="1" applyFont="1" applyFill="1" applyBorder="1" applyAlignment="1">
      <alignment horizontal="center" vertical="center"/>
    </xf>
    <xf numFmtId="2" fontId="19" fillId="2" borderId="50" xfId="49" applyNumberFormat="1" applyFont="1" applyFill="1" applyBorder="1" applyAlignment="1">
      <alignment horizontal="center" vertical="center"/>
    </xf>
    <xf numFmtId="165" fontId="59" fillId="2" borderId="0" xfId="3" applyNumberFormat="1" applyFont="1" applyFill="1" applyAlignment="1">
      <alignment horizontal="center" vertical="center"/>
    </xf>
    <xf numFmtId="2" fontId="14" fillId="2" borderId="50" xfId="49" applyNumberFormat="1" applyFont="1" applyFill="1" applyBorder="1" applyAlignment="1">
      <alignment horizontal="center" vertical="center"/>
    </xf>
    <xf numFmtId="2" fontId="19" fillId="2" borderId="146" xfId="49" applyNumberFormat="1" applyFont="1" applyFill="1" applyBorder="1" applyAlignment="1">
      <alignment horizontal="center" vertical="center"/>
    </xf>
    <xf numFmtId="2" fontId="19" fillId="2" borderId="1" xfId="49" applyNumberFormat="1" applyFont="1" applyFill="1" applyBorder="1" applyAlignment="1">
      <alignment horizontal="center" vertical="center"/>
    </xf>
    <xf numFmtId="17" fontId="8" fillId="10" borderId="49" xfId="49" applyNumberFormat="1" applyFont="1" applyFill="1" applyBorder="1" applyAlignment="1">
      <alignment horizontal="center" vertical="center"/>
    </xf>
    <xf numFmtId="165" fontId="14" fillId="2" borderId="2" xfId="49" applyNumberFormat="1" applyFont="1" applyFill="1" applyBorder="1" applyAlignment="1">
      <alignment horizontal="center" vertical="center"/>
    </xf>
    <xf numFmtId="2" fontId="14" fillId="2" borderId="1" xfId="49" applyNumberFormat="1" applyFont="1" applyFill="1" applyBorder="1" applyAlignment="1">
      <alignment horizontal="center" vertical="center"/>
    </xf>
    <xf numFmtId="0" fontId="99" fillId="2" borderId="0" xfId="19" applyFont="1" applyFill="1" applyAlignment="1">
      <alignment vertical="center"/>
    </xf>
    <xf numFmtId="0" fontId="17" fillId="2" borderId="0" xfId="19" applyFont="1" applyFill="1" applyAlignment="1">
      <alignment vertical="center"/>
    </xf>
    <xf numFmtId="0" fontId="4" fillId="2" borderId="0" xfId="19" applyFont="1" applyFill="1" applyAlignment="1">
      <alignment horizontal="right" vertical="center"/>
    </xf>
    <xf numFmtId="0" fontId="8" fillId="3" borderId="272" xfId="19" applyFont="1" applyFill="1" applyBorder="1" applyAlignment="1">
      <alignment horizontal="center" vertical="center" wrapText="1"/>
    </xf>
    <xf numFmtId="0" fontId="8" fillId="3" borderId="156" xfId="19" applyFont="1" applyFill="1" applyBorder="1" applyAlignment="1">
      <alignment horizontal="center" vertical="center" wrapText="1"/>
    </xf>
    <xf numFmtId="0" fontId="8" fillId="3" borderId="109" xfId="19" applyFont="1" applyFill="1" applyBorder="1" applyAlignment="1">
      <alignment horizontal="center" vertical="center" wrapText="1"/>
    </xf>
    <xf numFmtId="0" fontId="8" fillId="3" borderId="66" xfId="19" applyFont="1" applyFill="1" applyBorder="1" applyAlignment="1">
      <alignment horizontal="center" vertical="center" wrapText="1"/>
    </xf>
    <xf numFmtId="0" fontId="8" fillId="3" borderId="108" xfId="19" applyFont="1" applyFill="1" applyBorder="1" applyAlignment="1">
      <alignment horizontal="center" vertical="center" wrapText="1"/>
    </xf>
    <xf numFmtId="0" fontId="3" fillId="2" borderId="0" xfId="19" applyFont="1" applyFill="1" applyAlignment="1">
      <alignment horizontal="center" vertical="center" wrapText="1"/>
    </xf>
    <xf numFmtId="175" fontId="8" fillId="3" borderId="143" xfId="19" applyNumberFormat="1" applyFont="1" applyFill="1" applyBorder="1" applyAlignment="1">
      <alignment horizontal="center" vertical="center"/>
    </xf>
    <xf numFmtId="3" fontId="7" fillId="2" borderId="118" xfId="19" applyNumberFormat="1" applyFont="1" applyFill="1" applyBorder="1" applyAlignment="1">
      <alignment horizontal="center" vertical="center"/>
    </xf>
    <xf numFmtId="3" fontId="7" fillId="2" borderId="5" xfId="19" applyNumberFormat="1" applyFont="1" applyFill="1" applyBorder="1" applyAlignment="1">
      <alignment horizontal="center" vertical="center"/>
    </xf>
    <xf numFmtId="190" fontId="14" fillId="2" borderId="4" xfId="19" applyNumberFormat="1" applyFont="1" applyFill="1" applyBorder="1" applyAlignment="1">
      <alignment horizontal="center" vertical="center"/>
    </xf>
    <xf numFmtId="190" fontId="3" fillId="2" borderId="0" xfId="19" applyNumberFormat="1" applyFont="1" applyFill="1" applyAlignment="1">
      <alignment vertical="center"/>
    </xf>
    <xf numFmtId="175" fontId="8" fillId="3" borderId="145" xfId="19" applyNumberFormat="1" applyFont="1" applyFill="1" applyBorder="1" applyAlignment="1">
      <alignment horizontal="center" vertical="center"/>
    </xf>
    <xf numFmtId="3" fontId="7" fillId="2" borderId="146" xfId="19" applyNumberFormat="1" applyFont="1" applyFill="1" applyBorder="1" applyAlignment="1">
      <alignment horizontal="center" vertical="center"/>
    </xf>
    <xf numFmtId="3" fontId="7" fillId="2" borderId="2" xfId="19" applyNumberFormat="1" applyFont="1" applyFill="1" applyBorder="1" applyAlignment="1">
      <alignment horizontal="center" vertical="center"/>
    </xf>
    <xf numFmtId="190" fontId="14" fillId="2" borderId="1" xfId="19" applyNumberFormat="1" applyFont="1" applyFill="1" applyBorder="1" applyAlignment="1">
      <alignment horizontal="center" vertical="center"/>
    </xf>
    <xf numFmtId="0" fontId="110" fillId="2" borderId="0" xfId="19" applyFont="1" applyFill="1" applyAlignment="1">
      <alignment vertical="center"/>
    </xf>
    <xf numFmtId="43" fontId="3" fillId="2" borderId="0" xfId="1" applyFont="1" applyFill="1" applyAlignment="1">
      <alignment vertical="center"/>
    </xf>
    <xf numFmtId="0" fontId="19" fillId="2" borderId="0" xfId="19" applyFont="1" applyFill="1" applyAlignment="1">
      <alignment vertical="center"/>
    </xf>
    <xf numFmtId="0" fontId="19" fillId="2" borderId="0" xfId="19" applyNumberFormat="1" applyFont="1" applyFill="1" applyAlignment="1">
      <alignment vertical="center"/>
    </xf>
    <xf numFmtId="43" fontId="19" fillId="2" borderId="0" xfId="1" applyFont="1" applyFill="1" applyAlignment="1">
      <alignment vertical="center"/>
    </xf>
    <xf numFmtId="0" fontId="3" fillId="0" borderId="0" xfId="19" applyFont="1" applyFill="1" applyAlignment="1">
      <alignment vertical="center"/>
    </xf>
    <xf numFmtId="14" fontId="3" fillId="2" borderId="0" xfId="19" applyNumberFormat="1" applyFont="1" applyFill="1" applyAlignment="1">
      <alignment vertical="center"/>
    </xf>
    <xf numFmtId="0" fontId="8" fillId="3" borderId="272" xfId="19" applyFont="1" applyFill="1" applyBorder="1" applyAlignment="1">
      <alignment vertical="center"/>
    </xf>
    <xf numFmtId="0" fontId="8" fillId="3" borderId="143" xfId="19" applyFont="1" applyFill="1" applyBorder="1" applyAlignment="1">
      <alignment horizontal="center" vertical="center"/>
    </xf>
    <xf numFmtId="3" fontId="7" fillId="2" borderId="4" xfId="19" applyNumberFormat="1" applyFont="1" applyFill="1" applyBorder="1" applyAlignment="1">
      <alignment horizontal="center" vertical="center"/>
    </xf>
    <xf numFmtId="43" fontId="3" fillId="2" borderId="0" xfId="19" applyNumberFormat="1" applyFont="1" applyFill="1" applyAlignment="1">
      <alignment vertical="center"/>
    </xf>
    <xf numFmtId="3" fontId="7" fillId="2" borderId="0" xfId="19" applyNumberFormat="1" applyFont="1" applyFill="1" applyBorder="1" applyAlignment="1">
      <alignment horizontal="center" vertical="center"/>
    </xf>
    <xf numFmtId="3" fontId="7" fillId="2" borderId="52" xfId="19" applyNumberFormat="1" applyFont="1" applyFill="1" applyBorder="1" applyAlignment="1">
      <alignment horizontal="center" vertical="center"/>
    </xf>
    <xf numFmtId="0" fontId="8" fillId="3" borderId="302" xfId="19" applyFont="1" applyFill="1" applyBorder="1" applyAlignment="1">
      <alignment horizontal="center" vertical="center"/>
    </xf>
    <xf numFmtId="3" fontId="14" fillId="3" borderId="70" xfId="19" applyNumberFormat="1" applyFont="1" applyFill="1" applyBorder="1" applyAlignment="1">
      <alignment horizontal="center" vertical="center"/>
    </xf>
    <xf numFmtId="3" fontId="14" fillId="3" borderId="150" xfId="19" applyNumberFormat="1" applyFont="1" applyFill="1" applyBorder="1" applyAlignment="1">
      <alignment horizontal="center" vertical="center"/>
    </xf>
    <xf numFmtId="3" fontId="14" fillId="3" borderId="159" xfId="19" applyNumberFormat="1" applyFont="1" applyFill="1" applyBorder="1" applyAlignment="1">
      <alignment horizontal="center" vertical="center"/>
    </xf>
    <xf numFmtId="3" fontId="14" fillId="3" borderId="69" xfId="19" applyNumberFormat="1" applyFont="1" applyFill="1" applyBorder="1" applyAlignment="1">
      <alignment horizontal="center" vertical="center"/>
    </xf>
    <xf numFmtId="3" fontId="4" fillId="2" borderId="0" xfId="19" applyNumberFormat="1" applyFont="1" applyFill="1" applyAlignment="1">
      <alignment vertical="center"/>
    </xf>
    <xf numFmtId="191" fontId="4" fillId="2" borderId="0" xfId="19" applyNumberFormat="1" applyFont="1" applyFill="1" applyAlignment="1">
      <alignment vertical="center"/>
    </xf>
    <xf numFmtId="192" fontId="3" fillId="2" borderId="0" xfId="19" applyNumberFormat="1" applyFont="1" applyFill="1" applyAlignment="1">
      <alignment vertical="center"/>
    </xf>
    <xf numFmtId="0" fontId="12" fillId="2" borderId="0" xfId="49" applyFont="1" applyFill="1" applyBorder="1" applyAlignment="1">
      <alignment horizontal="left" vertical="center"/>
    </xf>
    <xf numFmtId="0" fontId="59" fillId="2" borderId="0" xfId="51" applyFont="1" applyFill="1" applyBorder="1" applyAlignment="1">
      <alignment horizontal="center" vertical="center"/>
    </xf>
    <xf numFmtId="0" fontId="8" fillId="3" borderId="88" xfId="49" applyFont="1" applyFill="1" applyBorder="1" applyAlignment="1">
      <alignment horizontal="center" vertical="center"/>
    </xf>
    <xf numFmtId="0" fontId="8" fillId="3" borderId="62" xfId="49" applyFont="1" applyFill="1" applyBorder="1" applyAlignment="1">
      <alignment horizontal="center" vertical="center"/>
    </xf>
    <xf numFmtId="0" fontId="59" fillId="2" borderId="0" xfId="51" applyFont="1" applyFill="1" applyAlignment="1">
      <alignment horizontal="center" vertical="center"/>
    </xf>
    <xf numFmtId="0" fontId="8" fillId="3" borderId="67" xfId="49" applyFont="1" applyFill="1" applyBorder="1" applyAlignment="1">
      <alignment horizontal="center" vertical="center"/>
    </xf>
    <xf numFmtId="0" fontId="5" fillId="3" borderId="45" xfId="49" applyFont="1" applyFill="1" applyBorder="1" applyAlignment="1">
      <alignment horizontal="center" vertical="center"/>
    </xf>
    <xf numFmtId="0" fontId="8" fillId="10" borderId="88" xfId="2" applyFont="1" applyFill="1" applyBorder="1" applyAlignment="1">
      <alignment horizontal="left" vertical="center"/>
    </xf>
    <xf numFmtId="3" fontId="14" fillId="2" borderId="88" xfId="49" applyNumberFormat="1" applyFont="1" applyFill="1" applyBorder="1" applyAlignment="1">
      <alignment horizontal="center"/>
    </xf>
    <xf numFmtId="4" fontId="14" fillId="2" borderId="50" xfId="49" applyNumberFormat="1" applyFont="1" applyFill="1" applyBorder="1" applyAlignment="1">
      <alignment horizontal="center"/>
    </xf>
    <xf numFmtId="0" fontId="5" fillId="10" borderId="79" xfId="2" applyFont="1" applyFill="1" applyBorder="1" applyAlignment="1">
      <alignment horizontal="left" vertical="center"/>
    </xf>
    <xf numFmtId="0" fontId="27" fillId="2" borderId="79" xfId="49" applyFont="1" applyFill="1" applyBorder="1" applyAlignment="1">
      <alignment horizontal="center"/>
    </xf>
    <xf numFmtId="4" fontId="27" fillId="2" borderId="50" xfId="49" applyNumberFormat="1" applyFont="1" applyFill="1" applyBorder="1" applyAlignment="1">
      <alignment horizontal="center"/>
    </xf>
    <xf numFmtId="0" fontId="109" fillId="2" borderId="0" xfId="51" applyFont="1" applyFill="1" applyAlignment="1">
      <alignment horizontal="center" vertical="center"/>
    </xf>
    <xf numFmtId="0" fontId="9" fillId="10" borderId="79" xfId="2" applyFont="1" applyFill="1" applyBorder="1" applyAlignment="1">
      <alignment horizontal="left" vertical="center"/>
    </xf>
    <xf numFmtId="3" fontId="7" fillId="2" borderId="79" xfId="49" applyNumberFormat="1" applyFont="1" applyFill="1" applyBorder="1" applyAlignment="1">
      <alignment horizontal="center"/>
    </xf>
    <xf numFmtId="4" fontId="7" fillId="2" borderId="50" xfId="49" applyNumberFormat="1" applyFont="1" applyFill="1" applyBorder="1" applyAlignment="1">
      <alignment horizontal="center"/>
    </xf>
    <xf numFmtId="0" fontId="8" fillId="10" borderId="79" xfId="2" applyFont="1" applyFill="1" applyBorder="1" applyAlignment="1">
      <alignment horizontal="left" vertical="center"/>
    </xf>
    <xf numFmtId="3" fontId="14" fillId="2" borderId="50" xfId="49" applyNumberFormat="1" applyFont="1" applyFill="1" applyBorder="1" applyAlignment="1">
      <alignment horizontal="center"/>
    </xf>
    <xf numFmtId="0" fontId="27" fillId="2" borderId="50" xfId="49" applyFont="1" applyFill="1" applyBorder="1" applyAlignment="1">
      <alignment horizontal="center"/>
    </xf>
    <xf numFmtId="3" fontId="7" fillId="2" borderId="50" xfId="49" applyNumberFormat="1" applyFont="1" applyFill="1" applyBorder="1" applyAlignment="1">
      <alignment horizontal="center"/>
    </xf>
    <xf numFmtId="4" fontId="59" fillId="2" borderId="0" xfId="51" applyNumberFormat="1" applyFont="1" applyFill="1" applyAlignment="1">
      <alignment horizontal="center" vertical="center"/>
    </xf>
    <xf numFmtId="3" fontId="14" fillId="2" borderId="67" xfId="49" applyNumberFormat="1" applyFont="1" applyFill="1" applyBorder="1" applyAlignment="1">
      <alignment horizontal="center"/>
    </xf>
    <xf numFmtId="0" fontId="8" fillId="3" borderId="303" xfId="52" applyFont="1" applyFill="1" applyBorder="1" applyAlignment="1">
      <alignment horizontal="center" vertical="center"/>
    </xf>
    <xf numFmtId="3" fontId="14" fillId="2" borderId="45" xfId="49" applyNumberFormat="1" applyFont="1" applyFill="1" applyBorder="1" applyAlignment="1">
      <alignment horizontal="center"/>
    </xf>
    <xf numFmtId="4" fontId="14" fillId="2" borderId="303" xfId="49" applyNumberFormat="1" applyFont="1" applyFill="1" applyBorder="1" applyAlignment="1">
      <alignment horizontal="center"/>
    </xf>
    <xf numFmtId="0" fontId="19" fillId="2" borderId="0" xfId="51" applyFont="1" applyFill="1" applyBorder="1" applyAlignment="1">
      <alignment horizontal="center" vertical="center"/>
    </xf>
    <xf numFmtId="0" fontId="8" fillId="10" borderId="88" xfId="49" applyFont="1" applyFill="1" applyBorder="1" applyAlignment="1">
      <alignment horizontal="center" vertical="center"/>
    </xf>
    <xf numFmtId="0" fontId="8" fillId="10" borderId="67" xfId="49" applyFont="1" applyFill="1" applyBorder="1" applyAlignment="1">
      <alignment horizontal="center" vertical="center"/>
    </xf>
    <xf numFmtId="193" fontId="8" fillId="10" borderId="88" xfId="49" quotePrefix="1" applyNumberFormat="1" applyFont="1" applyFill="1" applyBorder="1" applyAlignment="1">
      <alignment horizontal="left" vertical="center"/>
    </xf>
    <xf numFmtId="3" fontId="7" fillId="2" borderId="79" xfId="49" applyNumberFormat="1" applyFont="1" applyFill="1" applyBorder="1" applyAlignment="1">
      <alignment horizontal="center" vertical="center"/>
    </xf>
    <xf numFmtId="194" fontId="9" fillId="10" borderId="79" xfId="49" quotePrefix="1" applyNumberFormat="1" applyFont="1" applyFill="1" applyBorder="1" applyAlignment="1">
      <alignment horizontal="left" vertical="center"/>
    </xf>
    <xf numFmtId="4" fontId="7" fillId="2" borderId="50" xfId="49" applyNumberFormat="1" applyFont="1" applyFill="1" applyBorder="1" applyAlignment="1">
      <alignment horizontal="center" vertical="center"/>
    </xf>
    <xf numFmtId="165" fontId="59" fillId="2" borderId="0" xfId="51" applyNumberFormat="1" applyFont="1" applyFill="1" applyAlignment="1">
      <alignment horizontal="center" vertical="center"/>
    </xf>
    <xf numFmtId="3" fontId="14" fillId="2" borderId="303" xfId="49" applyNumberFormat="1" applyFont="1" applyFill="1" applyBorder="1" applyAlignment="1">
      <alignment horizontal="center" vertical="center"/>
    </xf>
    <xf numFmtId="4" fontId="14" fillId="2" borderId="207" xfId="49" applyNumberFormat="1" applyFont="1" applyFill="1" applyBorder="1" applyAlignment="1">
      <alignment horizontal="center" vertical="center"/>
    </xf>
    <xf numFmtId="0" fontId="111" fillId="2" borderId="0" xfId="51" applyFont="1" applyFill="1" applyAlignment="1">
      <alignment horizontal="center" vertical="center"/>
    </xf>
    <xf numFmtId="0" fontId="4" fillId="2" borderId="0" xfId="49" applyFont="1" applyFill="1" applyAlignment="1">
      <alignment horizontal="left" vertical="center"/>
    </xf>
    <xf numFmtId="0" fontId="59" fillId="0" borderId="0" xfId="3" applyFont="1" applyAlignment="1">
      <alignment horizontal="center" vertical="center"/>
    </xf>
    <xf numFmtId="17" fontId="8" fillId="10" borderId="8" xfId="49" applyNumberFormat="1" applyFont="1" applyFill="1" applyBorder="1" applyAlignment="1">
      <alignment horizontal="center" vertical="center" wrapText="1"/>
    </xf>
    <xf numFmtId="17" fontId="5" fillId="10" borderId="8" xfId="49" applyNumberFormat="1" applyFont="1" applyFill="1" applyBorder="1" applyAlignment="1">
      <alignment horizontal="center" vertical="center" wrapText="1"/>
    </xf>
    <xf numFmtId="0" fontId="8" fillId="10" borderId="44" xfId="49" applyFont="1" applyFill="1" applyBorder="1" applyAlignment="1">
      <alignment horizontal="left" vertical="center"/>
    </xf>
    <xf numFmtId="43" fontId="14" fillId="2" borderId="44" xfId="15" applyFont="1" applyFill="1" applyBorder="1" applyAlignment="1">
      <alignment horizontal="center" vertical="center"/>
    </xf>
    <xf numFmtId="0" fontId="14" fillId="2" borderId="44" xfId="3" applyFont="1" applyFill="1" applyBorder="1" applyAlignment="1">
      <alignment horizontal="center" vertical="center"/>
    </xf>
    <xf numFmtId="0" fontId="8" fillId="10" borderId="5" xfId="49" applyFont="1" applyFill="1" applyBorder="1" applyAlignment="1">
      <alignment horizontal="left" vertical="center"/>
    </xf>
    <xf numFmtId="43" fontId="14" fillId="2" borderId="5" xfId="15" applyFont="1" applyFill="1" applyBorder="1" applyAlignment="1">
      <alignment horizontal="center" vertical="center"/>
    </xf>
    <xf numFmtId="0" fontId="14" fillId="2" borderId="5" xfId="3" applyFont="1" applyFill="1" applyBorder="1" applyAlignment="1">
      <alignment horizontal="center" vertical="center"/>
    </xf>
    <xf numFmtId="43" fontId="12" fillId="2" borderId="0" xfId="49" applyNumberFormat="1" applyFont="1" applyFill="1" applyAlignment="1">
      <alignment horizontal="center" vertical="center"/>
    </xf>
    <xf numFmtId="0" fontId="8" fillId="10" borderId="8" xfId="49" applyFont="1" applyFill="1" applyBorder="1" applyAlignment="1">
      <alignment horizontal="left" vertical="center"/>
    </xf>
    <xf numFmtId="43" fontId="14" fillId="2" borderId="8" xfId="15" applyNumberFormat="1" applyFont="1" applyFill="1" applyBorder="1" applyAlignment="1">
      <alignment horizontal="center" vertical="center"/>
    </xf>
    <xf numFmtId="43" fontId="14" fillId="2" borderId="0" xfId="15" applyNumberFormat="1" applyFont="1" applyFill="1" applyBorder="1" applyAlignment="1">
      <alignment horizontal="center" vertical="center"/>
    </xf>
    <xf numFmtId="0" fontId="15" fillId="0" borderId="0" xfId="3" applyFont="1" applyAlignment="1">
      <alignment horizontal="left" vertical="center"/>
    </xf>
    <xf numFmtId="43" fontId="15" fillId="0" borderId="0" xfId="3" applyNumberFormat="1" applyFont="1" applyAlignment="1">
      <alignment horizontal="left" vertical="center"/>
    </xf>
    <xf numFmtId="0" fontId="15" fillId="2" borderId="0" xfId="3" applyFont="1" applyFill="1" applyAlignment="1">
      <alignment horizontal="left" vertical="center"/>
    </xf>
    <xf numFmtId="1" fontId="59" fillId="2" borderId="0" xfId="3" applyNumberFormat="1" applyFont="1" applyFill="1" applyAlignment="1">
      <alignment horizontal="center" vertical="center"/>
    </xf>
    <xf numFmtId="0" fontId="100" fillId="2" borderId="0" xfId="53" applyFont="1" applyFill="1" applyBorder="1" applyAlignment="1">
      <alignment vertical="center"/>
    </xf>
    <xf numFmtId="0" fontId="12" fillId="2" borderId="0" xfId="53" applyFont="1" applyFill="1" applyBorder="1" applyAlignment="1">
      <alignment vertical="center"/>
    </xf>
    <xf numFmtId="0" fontId="19" fillId="18" borderId="0" xfId="53" applyFont="1" applyFill="1" applyBorder="1" applyAlignment="1">
      <alignment horizontal="right" vertical="center"/>
    </xf>
    <xf numFmtId="0" fontId="112" fillId="18" borderId="0" xfId="53" applyFont="1" applyFill="1" applyBorder="1" applyAlignment="1">
      <alignment horizontal="centerContinuous" vertical="center"/>
    </xf>
    <xf numFmtId="0" fontId="112" fillId="2" borderId="0" xfId="53" applyFont="1" applyFill="1" applyBorder="1" applyAlignment="1">
      <alignment vertical="center"/>
    </xf>
    <xf numFmtId="165" fontId="112" fillId="2" borderId="0" xfId="53" applyNumberFormat="1" applyFont="1" applyFill="1" applyBorder="1" applyAlignment="1">
      <alignment horizontal="center" vertical="center"/>
    </xf>
    <xf numFmtId="0" fontId="8" fillId="19" borderId="139" xfId="53" applyFont="1" applyFill="1" applyBorder="1" applyAlignment="1">
      <alignment horizontal="center" vertical="center"/>
    </xf>
    <xf numFmtId="0" fontId="112" fillId="2" borderId="0" xfId="53" applyFont="1" applyFill="1" applyAlignment="1">
      <alignment vertical="center"/>
    </xf>
    <xf numFmtId="0" fontId="8" fillId="19" borderId="143" xfId="53" applyFont="1" applyFill="1" applyBorder="1" applyAlignment="1">
      <alignment horizontal="center" vertical="center"/>
    </xf>
    <xf numFmtId="0" fontId="112" fillId="2" borderId="0" xfId="53" applyFont="1" applyFill="1" applyBorder="1" applyAlignment="1">
      <alignment horizontal="right" vertical="center"/>
    </xf>
    <xf numFmtId="0" fontId="12" fillId="19" borderId="305" xfId="53" applyFont="1" applyFill="1" applyBorder="1" applyAlignment="1">
      <alignment horizontal="center" vertical="center"/>
    </xf>
    <xf numFmtId="0" fontId="30" fillId="19" borderId="306" xfId="53" applyFont="1" applyFill="1" applyBorder="1" applyAlignment="1">
      <alignment horizontal="center" vertical="center"/>
    </xf>
    <xf numFmtId="0" fontId="30" fillId="19" borderId="307" xfId="53" applyFont="1" applyFill="1" applyBorder="1" applyAlignment="1">
      <alignment horizontal="right" vertical="center"/>
    </xf>
    <xf numFmtId="0" fontId="27" fillId="20" borderId="0" xfId="53" applyFont="1" applyFill="1" applyBorder="1" applyAlignment="1">
      <alignment horizontal="center" vertical="center"/>
    </xf>
    <xf numFmtId="17" fontId="8" fillId="10" borderId="143" xfId="53" quotePrefix="1" applyNumberFormat="1" applyFont="1" applyFill="1" applyBorder="1" applyAlignment="1">
      <alignment horizontal="right" vertical="center"/>
    </xf>
    <xf numFmtId="0" fontId="113" fillId="2" borderId="308" xfId="53" applyFont="1" applyFill="1" applyBorder="1" applyAlignment="1">
      <alignment horizontal="center" vertical="center"/>
    </xf>
    <xf numFmtId="3" fontId="7" fillId="2" borderId="4" xfId="53" applyNumberFormat="1" applyFont="1" applyFill="1" applyBorder="1" applyAlignment="1">
      <alignment horizontal="center" vertical="center"/>
    </xf>
    <xf numFmtId="4" fontId="112" fillId="2" borderId="0" xfId="53" applyNumberFormat="1" applyFont="1" applyFill="1" applyBorder="1" applyAlignment="1">
      <alignment vertical="center"/>
    </xf>
    <xf numFmtId="195" fontId="9" fillId="10" borderId="143" xfId="53" quotePrefix="1" applyNumberFormat="1" applyFont="1" applyFill="1" applyBorder="1" applyAlignment="1">
      <alignment horizontal="right"/>
    </xf>
    <xf numFmtId="3" fontId="7" fillId="2" borderId="53" xfId="53" applyNumberFormat="1" applyFont="1" applyFill="1" applyBorder="1" applyAlignment="1">
      <alignment horizontal="center" vertical="center"/>
    </xf>
    <xf numFmtId="4" fontId="112" fillId="2" borderId="0" xfId="53" applyNumberFormat="1" applyFont="1" applyFill="1" applyBorder="1" applyAlignment="1">
      <alignment horizontal="center" vertical="center"/>
    </xf>
    <xf numFmtId="2" fontId="112" fillId="2" borderId="0" xfId="53" applyNumberFormat="1" applyFont="1" applyFill="1" applyBorder="1" applyAlignment="1">
      <alignment vertical="center"/>
    </xf>
    <xf numFmtId="196" fontId="9" fillId="10" borderId="143" xfId="53" quotePrefix="1" applyNumberFormat="1" applyFont="1" applyFill="1" applyBorder="1" applyAlignment="1">
      <alignment horizontal="right"/>
    </xf>
    <xf numFmtId="196" fontId="9" fillId="10" borderId="143" xfId="53" applyNumberFormat="1" applyFont="1" applyFill="1" applyBorder="1" applyAlignment="1">
      <alignment horizontal="right"/>
    </xf>
    <xf numFmtId="4" fontId="114" fillId="2" borderId="0" xfId="53" applyNumberFormat="1" applyFont="1" applyFill="1" applyBorder="1" applyAlignment="1">
      <alignment horizontal="left" vertical="center"/>
    </xf>
    <xf numFmtId="43" fontId="114" fillId="2" borderId="0" xfId="1" applyFont="1" applyFill="1" applyBorder="1" applyAlignment="1">
      <alignment horizontal="left" vertical="center"/>
    </xf>
    <xf numFmtId="196" fontId="9" fillId="10" borderId="309" xfId="53" applyNumberFormat="1" applyFont="1" applyFill="1" applyBorder="1" applyAlignment="1">
      <alignment horizontal="right"/>
    </xf>
    <xf numFmtId="3" fontId="7" fillId="2" borderId="310" xfId="53" applyNumberFormat="1" applyFont="1" applyFill="1" applyBorder="1" applyAlignment="1">
      <alignment horizontal="center" vertical="center"/>
    </xf>
    <xf numFmtId="3" fontId="7" fillId="2" borderId="311" xfId="53" applyNumberFormat="1" applyFont="1" applyFill="1" applyBorder="1" applyAlignment="1">
      <alignment horizontal="center" vertical="center"/>
    </xf>
    <xf numFmtId="17" fontId="8" fillId="10" borderId="143" xfId="53" applyNumberFormat="1" applyFont="1" applyFill="1" applyBorder="1" applyAlignment="1">
      <alignment horizontal="right" vertical="center"/>
    </xf>
    <xf numFmtId="3" fontId="9" fillId="2" borderId="5" xfId="53" applyNumberFormat="1" applyFont="1" applyFill="1" applyBorder="1" applyAlignment="1">
      <alignment horizontal="center" vertical="center"/>
    </xf>
    <xf numFmtId="0" fontId="114" fillId="2" borderId="0" xfId="53" applyFont="1" applyFill="1" applyAlignment="1">
      <alignment vertical="center"/>
    </xf>
    <xf numFmtId="0" fontId="114" fillId="2" borderId="0" xfId="53" applyFont="1" applyFill="1" applyBorder="1" applyAlignment="1">
      <alignment vertical="center"/>
    </xf>
    <xf numFmtId="17" fontId="8" fillId="10" borderId="145" xfId="53" applyNumberFormat="1" applyFont="1" applyFill="1" applyBorder="1" applyAlignment="1">
      <alignment horizontal="right" vertical="center"/>
    </xf>
    <xf numFmtId="3" fontId="7" fillId="2" borderId="2" xfId="53" applyNumberFormat="1" applyFont="1" applyFill="1" applyBorder="1" applyAlignment="1">
      <alignment horizontal="center" vertical="center"/>
    </xf>
    <xf numFmtId="3" fontId="7" fillId="2" borderId="1" xfId="53" applyNumberFormat="1" applyFont="1" applyFill="1" applyBorder="1" applyAlignment="1">
      <alignment horizontal="center" vertical="center"/>
    </xf>
    <xf numFmtId="4" fontId="114" fillId="2" borderId="0" xfId="53" applyNumberFormat="1" applyFont="1" applyFill="1" applyBorder="1" applyAlignment="1">
      <alignment vertical="center"/>
    </xf>
    <xf numFmtId="0" fontId="6" fillId="2" borderId="0" xfId="53" applyFont="1" applyFill="1" applyAlignment="1">
      <alignment horizontal="left" vertical="center"/>
    </xf>
    <xf numFmtId="3" fontId="3" fillId="2" borderId="0" xfId="53" applyNumberFormat="1" applyFont="1" applyFill="1" applyBorder="1" applyAlignment="1">
      <alignment horizontal="center" vertical="center"/>
    </xf>
    <xf numFmtId="0" fontId="116" fillId="2" borderId="0" xfId="53" applyFont="1" applyFill="1" applyAlignment="1">
      <alignment vertical="center"/>
    </xf>
    <xf numFmtId="4" fontId="116" fillId="2" borderId="0" xfId="53" applyNumberFormat="1" applyFont="1" applyFill="1" applyBorder="1" applyAlignment="1">
      <alignment vertical="center"/>
    </xf>
    <xf numFmtId="0" fontId="116" fillId="2" borderId="0" xfId="53" applyFont="1" applyFill="1" applyBorder="1" applyAlignment="1">
      <alignment vertical="center"/>
    </xf>
    <xf numFmtId="3" fontId="116" fillId="2" borderId="0" xfId="53" applyNumberFormat="1" applyFont="1" applyFill="1" applyBorder="1" applyAlignment="1">
      <alignment vertical="center"/>
    </xf>
    <xf numFmtId="0" fontId="4" fillId="2" borderId="0" xfId="53" applyFont="1" applyFill="1" applyAlignment="1">
      <alignment vertical="center"/>
    </xf>
    <xf numFmtId="3" fontId="114" fillId="2" borderId="0" xfId="53" applyNumberFormat="1" applyFont="1" applyFill="1" applyAlignment="1">
      <alignment vertical="center"/>
    </xf>
    <xf numFmtId="0" fontId="12" fillId="2" borderId="0" xfId="19" applyFont="1" applyFill="1" applyAlignment="1">
      <alignment horizontal="left" vertical="center"/>
    </xf>
    <xf numFmtId="0" fontId="12" fillId="2" borderId="0" xfId="19" applyFont="1" applyFill="1" applyAlignment="1">
      <alignment horizontal="center" vertical="center"/>
    </xf>
    <xf numFmtId="0" fontId="19" fillId="2" borderId="0" xfId="19" applyFont="1" applyFill="1" applyAlignment="1">
      <alignment horizontal="center" vertical="center"/>
    </xf>
    <xf numFmtId="197" fontId="14" fillId="10" borderId="143" xfId="19" quotePrefix="1" applyNumberFormat="1" applyFont="1" applyFill="1" applyBorder="1" applyAlignment="1">
      <alignment horizontal="center" vertical="center"/>
    </xf>
    <xf numFmtId="3" fontId="7" fillId="2" borderId="13" xfId="19" applyNumberFormat="1" applyFont="1" applyFill="1" applyBorder="1" applyAlignment="1">
      <alignment horizontal="center" vertical="center"/>
    </xf>
    <xf numFmtId="2" fontId="7" fillId="2" borderId="13" xfId="19" applyNumberFormat="1" applyFont="1" applyFill="1" applyBorder="1" applyAlignment="1">
      <alignment horizontal="center" vertical="center"/>
    </xf>
    <xf numFmtId="2" fontId="7" fillId="2" borderId="12" xfId="19" applyNumberFormat="1" applyFont="1" applyFill="1" applyBorder="1" applyAlignment="1">
      <alignment horizontal="center" vertical="center"/>
    </xf>
    <xf numFmtId="198" fontId="7" fillId="10" borderId="143" xfId="19" quotePrefix="1" applyNumberFormat="1" applyFont="1" applyFill="1" applyBorder="1" applyAlignment="1">
      <alignment horizontal="center" vertical="center"/>
    </xf>
    <xf numFmtId="4" fontId="7" fillId="2" borderId="5" xfId="19" applyNumberFormat="1" applyFont="1" applyFill="1" applyBorder="1" applyAlignment="1">
      <alignment horizontal="center" vertical="center"/>
    </xf>
    <xf numFmtId="2" fontId="19" fillId="2" borderId="0" xfId="19" applyNumberFormat="1" applyFont="1" applyFill="1" applyAlignment="1">
      <alignment horizontal="center" vertical="center"/>
    </xf>
    <xf numFmtId="4" fontId="19" fillId="2" borderId="0" xfId="19" applyNumberFormat="1" applyFont="1" applyFill="1" applyAlignment="1">
      <alignment horizontal="center" vertical="center"/>
    </xf>
    <xf numFmtId="43" fontId="7" fillId="2" borderId="5" xfId="1" applyFont="1" applyFill="1" applyBorder="1" applyAlignment="1">
      <alignment horizontal="center" vertical="center"/>
    </xf>
    <xf numFmtId="43" fontId="7" fillId="2" borderId="4" xfId="1" applyFont="1" applyFill="1" applyBorder="1" applyAlignment="1">
      <alignment horizontal="center" vertical="center"/>
    </xf>
    <xf numFmtId="198" fontId="7" fillId="10" borderId="313" xfId="19" applyNumberFormat="1" applyFont="1" applyFill="1" applyBorder="1" applyAlignment="1">
      <alignment horizontal="center" vertical="center"/>
    </xf>
    <xf numFmtId="3" fontId="7" fillId="2" borderId="281" xfId="19" applyNumberFormat="1" applyFont="1" applyFill="1" applyBorder="1" applyAlignment="1">
      <alignment horizontal="center" vertical="center"/>
    </xf>
    <xf numFmtId="4" fontId="7" fillId="2" borderId="281" xfId="19" applyNumberFormat="1" applyFont="1" applyFill="1" applyBorder="1" applyAlignment="1">
      <alignment horizontal="center" vertical="center"/>
    </xf>
    <xf numFmtId="4" fontId="7" fillId="2" borderId="282" xfId="19" applyNumberFormat="1" applyFont="1" applyFill="1" applyBorder="1" applyAlignment="1">
      <alignment horizontal="center" vertical="center"/>
    </xf>
    <xf numFmtId="17" fontId="8" fillId="10" borderId="143" xfId="19" applyNumberFormat="1" applyFont="1" applyFill="1" applyBorder="1" applyAlignment="1">
      <alignment horizontal="center" vertical="center"/>
    </xf>
    <xf numFmtId="0" fontId="7" fillId="2" borderId="5" xfId="19" applyFont="1" applyFill="1" applyBorder="1" applyAlignment="1">
      <alignment horizontal="center" vertical="center"/>
    </xf>
    <xf numFmtId="2" fontId="7" fillId="2" borderId="4" xfId="19" applyNumberFormat="1" applyFont="1" applyFill="1" applyBorder="1" applyAlignment="1">
      <alignment horizontal="center" vertical="center"/>
    </xf>
    <xf numFmtId="2" fontId="7" fillId="2" borderId="5" xfId="19" applyNumberFormat="1" applyFont="1" applyFill="1" applyBorder="1" applyAlignment="1">
      <alignment horizontal="center" vertical="center"/>
    </xf>
    <xf numFmtId="17" fontId="8" fillId="10" borderId="145" xfId="19" applyNumberFormat="1" applyFont="1" applyFill="1" applyBorder="1" applyAlignment="1">
      <alignment horizontal="center" vertical="center"/>
    </xf>
    <xf numFmtId="3" fontId="19" fillId="2" borderId="2" xfId="19" applyNumberFormat="1" applyFont="1" applyFill="1" applyBorder="1" applyAlignment="1">
      <alignment horizontal="center" vertical="center"/>
    </xf>
    <xf numFmtId="0" fontId="19" fillId="2" borderId="2" xfId="19" applyFont="1" applyFill="1" applyBorder="1" applyAlignment="1">
      <alignment horizontal="center" vertical="center"/>
    </xf>
    <xf numFmtId="2" fontId="19" fillId="2" borderId="1" xfId="19" applyNumberFormat="1" applyFont="1" applyFill="1" applyBorder="1" applyAlignment="1">
      <alignment horizontal="center" vertical="center"/>
    </xf>
    <xf numFmtId="0" fontId="4" fillId="2" borderId="0" xfId="19" applyFont="1" applyFill="1" applyAlignment="1">
      <alignment horizontal="left" vertical="center"/>
    </xf>
    <xf numFmtId="3" fontId="4" fillId="2" borderId="0" xfId="19" applyNumberFormat="1" applyFont="1" applyFill="1" applyAlignment="1">
      <alignment horizontal="left" vertical="center"/>
    </xf>
    <xf numFmtId="2" fontId="4" fillId="2" borderId="0" xfId="19" applyNumberFormat="1" applyFont="1" applyFill="1" applyAlignment="1">
      <alignment horizontal="left" vertical="center"/>
    </xf>
    <xf numFmtId="0" fontId="30" fillId="2" borderId="0" xfId="19" applyFont="1" applyFill="1" applyAlignment="1">
      <alignment horizontal="center" vertical="center"/>
    </xf>
    <xf numFmtId="0" fontId="8" fillId="10" borderId="13" xfId="19" applyFont="1" applyFill="1" applyBorder="1" applyAlignment="1">
      <alignment horizontal="center" vertical="center"/>
    </xf>
    <xf numFmtId="0" fontId="8" fillId="10" borderId="12" xfId="19" applyFont="1" applyFill="1" applyBorder="1" applyAlignment="1">
      <alignment horizontal="center" vertical="center"/>
    </xf>
    <xf numFmtId="0" fontId="8" fillId="10" borderId="316" xfId="19" applyFont="1" applyFill="1" applyBorder="1" applyAlignment="1">
      <alignment horizontal="center" vertical="center"/>
    </xf>
    <xf numFmtId="0" fontId="8" fillId="10" borderId="36" xfId="19" applyFont="1" applyFill="1" applyBorder="1" applyAlignment="1">
      <alignment horizontal="center" vertical="center"/>
    </xf>
    <xf numFmtId="0" fontId="8" fillId="10" borderId="35" xfId="19" applyFont="1" applyFill="1" applyBorder="1" applyAlignment="1">
      <alignment horizontal="center" vertical="center"/>
    </xf>
    <xf numFmtId="3" fontId="7" fillId="2" borderId="140" xfId="19" applyNumberFormat="1" applyFont="1" applyFill="1" applyBorder="1" applyAlignment="1">
      <alignment horizontal="center" vertical="center"/>
    </xf>
    <xf numFmtId="3" fontId="7" fillId="2" borderId="53" xfId="19" applyNumberFormat="1" applyFont="1" applyFill="1" applyBorder="1" applyAlignment="1">
      <alignment horizontal="center" vertical="center"/>
    </xf>
    <xf numFmtId="4" fontId="7" fillId="2" borderId="4" xfId="19" applyNumberFormat="1" applyFont="1" applyFill="1" applyBorder="1" applyAlignment="1">
      <alignment horizontal="center" vertical="center"/>
    </xf>
    <xf numFmtId="2" fontId="12" fillId="2" borderId="0" xfId="19" applyNumberFormat="1" applyFont="1" applyFill="1" applyAlignment="1">
      <alignment horizontal="center" vertical="center"/>
    </xf>
    <xf numFmtId="3" fontId="7" fillId="2" borderId="318" xfId="19" applyNumberFormat="1" applyFont="1" applyFill="1" applyBorder="1" applyAlignment="1">
      <alignment horizontal="center" vertical="center"/>
    </xf>
    <xf numFmtId="3" fontId="19" fillId="2" borderId="53" xfId="19" applyNumberFormat="1" applyFont="1" applyFill="1" applyBorder="1" applyAlignment="1">
      <alignment horizontal="center" vertical="center"/>
    </xf>
    <xf numFmtId="3" fontId="19" fillId="2" borderId="5" xfId="19" applyNumberFormat="1" applyFont="1" applyFill="1" applyBorder="1" applyAlignment="1">
      <alignment horizontal="center" vertical="center"/>
    </xf>
    <xf numFmtId="2" fontId="19" fillId="2" borderId="5" xfId="19" applyNumberFormat="1" applyFont="1" applyFill="1" applyBorder="1" applyAlignment="1">
      <alignment horizontal="center" vertical="center"/>
    </xf>
    <xf numFmtId="2" fontId="19" fillId="2" borderId="4" xfId="19" applyNumberFormat="1" applyFont="1" applyFill="1" applyBorder="1" applyAlignment="1">
      <alignment horizontal="center" vertical="center"/>
    </xf>
    <xf numFmtId="164" fontId="19" fillId="2" borderId="0" xfId="19" applyNumberFormat="1" applyFont="1" applyFill="1" applyAlignment="1">
      <alignment horizontal="center" vertical="center"/>
    </xf>
    <xf numFmtId="17" fontId="8" fillId="10" borderId="143" xfId="19" quotePrefix="1" applyNumberFormat="1" applyFont="1" applyFill="1" applyBorder="1" applyAlignment="1">
      <alignment horizontal="center" vertical="center"/>
    </xf>
    <xf numFmtId="17" fontId="8" fillId="10" borderId="319" xfId="19" quotePrefix="1" applyNumberFormat="1" applyFont="1" applyFill="1" applyBorder="1" applyAlignment="1">
      <alignment horizontal="center" vertical="center"/>
    </xf>
    <xf numFmtId="165" fontId="19" fillId="2" borderId="5" xfId="19" applyNumberFormat="1" applyFont="1" applyFill="1" applyBorder="1" applyAlignment="1">
      <alignment horizontal="center" vertical="center"/>
    </xf>
    <xf numFmtId="165" fontId="19" fillId="2" borderId="4" xfId="19" applyNumberFormat="1" applyFont="1" applyFill="1" applyBorder="1" applyAlignment="1">
      <alignment horizontal="center" vertical="center"/>
    </xf>
    <xf numFmtId="2" fontId="19" fillId="2" borderId="320" xfId="19" applyNumberFormat="1" applyFont="1" applyFill="1" applyBorder="1" applyAlignment="1">
      <alignment horizontal="center" vertical="center"/>
    </xf>
    <xf numFmtId="17" fontId="12" fillId="2" borderId="0" xfId="19" applyNumberFormat="1" applyFont="1" applyFill="1" applyAlignment="1">
      <alignment horizontal="center" vertical="center"/>
    </xf>
    <xf numFmtId="0" fontId="19" fillId="2" borderId="53" xfId="19" applyFont="1" applyFill="1" applyBorder="1" applyAlignment="1">
      <alignment horizontal="center" vertical="center"/>
    </xf>
    <xf numFmtId="0" fontId="19" fillId="2" borderId="5" xfId="19" applyFont="1" applyFill="1" applyBorder="1" applyAlignment="1">
      <alignment horizontal="center" vertical="center"/>
    </xf>
    <xf numFmtId="0" fontId="19" fillId="2" borderId="4" xfId="19" applyFont="1" applyFill="1" applyBorder="1" applyAlignment="1">
      <alignment horizontal="center" vertical="center"/>
    </xf>
    <xf numFmtId="15" fontId="19" fillId="2" borderId="0" xfId="19" applyNumberFormat="1" applyFont="1" applyFill="1" applyAlignment="1">
      <alignment horizontal="center" vertical="center"/>
    </xf>
    <xf numFmtId="17" fontId="8" fillId="10" borderId="309" xfId="19" quotePrefix="1" applyNumberFormat="1" applyFont="1" applyFill="1" applyBorder="1" applyAlignment="1">
      <alignment horizontal="center" vertical="center"/>
    </xf>
    <xf numFmtId="3" fontId="19" fillId="2" borderId="310" xfId="19" applyNumberFormat="1" applyFont="1" applyFill="1" applyBorder="1" applyAlignment="1">
      <alignment horizontal="center" vertical="center"/>
    </xf>
    <xf numFmtId="3" fontId="19" fillId="2" borderId="321" xfId="19" applyNumberFormat="1" applyFont="1" applyFill="1" applyBorder="1" applyAlignment="1">
      <alignment horizontal="center" vertical="center"/>
    </xf>
    <xf numFmtId="2" fontId="19" fillId="2" borderId="321" xfId="19" applyNumberFormat="1" applyFont="1" applyFill="1" applyBorder="1" applyAlignment="1">
      <alignment horizontal="center" vertical="center"/>
    </xf>
    <xf numFmtId="2" fontId="19" fillId="2" borderId="322" xfId="19" applyNumberFormat="1" applyFont="1" applyFill="1" applyBorder="1" applyAlignment="1">
      <alignment horizontal="center" vertical="center"/>
    </xf>
    <xf numFmtId="17" fontId="8" fillId="10" borderId="323" xfId="19" quotePrefix="1" applyNumberFormat="1" applyFont="1" applyFill="1" applyBorder="1" applyAlignment="1">
      <alignment horizontal="center" vertical="center"/>
    </xf>
    <xf numFmtId="3" fontId="19" fillId="2" borderId="324" xfId="19" applyNumberFormat="1" applyFont="1" applyFill="1" applyBorder="1" applyAlignment="1">
      <alignment horizontal="center" vertical="center"/>
    </xf>
    <xf numFmtId="3" fontId="19" fillId="2" borderId="320" xfId="19" applyNumberFormat="1" applyFont="1" applyFill="1" applyBorder="1" applyAlignment="1">
      <alignment horizontal="center" vertical="center"/>
    </xf>
    <xf numFmtId="2" fontId="19" fillId="2" borderId="325" xfId="19" applyNumberFormat="1" applyFont="1" applyFill="1" applyBorder="1" applyAlignment="1">
      <alignment horizontal="center" vertical="center"/>
    </xf>
    <xf numFmtId="173" fontId="19" fillId="2" borderId="5" xfId="19" applyNumberFormat="1" applyFont="1" applyFill="1" applyBorder="1" applyAlignment="1">
      <alignment horizontal="center" vertical="center"/>
    </xf>
    <xf numFmtId="173" fontId="7" fillId="2" borderId="5" xfId="19" applyNumberFormat="1" applyFont="1" applyFill="1" applyBorder="1" applyAlignment="1">
      <alignment horizontal="center" vertical="center"/>
    </xf>
    <xf numFmtId="0" fontId="19" fillId="2" borderId="0" xfId="19" applyFont="1" applyFill="1" applyBorder="1" applyAlignment="1">
      <alignment horizontal="center" vertical="center"/>
    </xf>
    <xf numFmtId="3" fontId="19" fillId="2" borderId="48" xfId="19" applyNumberFormat="1" applyFont="1" applyFill="1" applyBorder="1" applyAlignment="1">
      <alignment horizontal="center" vertical="center"/>
    </xf>
    <xf numFmtId="0" fontId="12" fillId="2" borderId="0" xfId="3" applyFont="1" applyFill="1" applyAlignment="1">
      <alignment horizontal="left" vertical="center"/>
    </xf>
    <xf numFmtId="0" fontId="12" fillId="2" borderId="0" xfId="3" applyFont="1" applyFill="1" applyAlignment="1">
      <alignment horizontal="center" vertical="center"/>
    </xf>
    <xf numFmtId="17" fontId="8" fillId="10" borderId="87" xfId="19" quotePrefix="1" applyNumberFormat="1" applyFont="1" applyFill="1" applyBorder="1" applyAlignment="1">
      <alignment horizontal="center" vertical="center"/>
    </xf>
    <xf numFmtId="0" fontId="8" fillId="10" borderId="106" xfId="19" applyFont="1" applyFill="1" applyBorder="1" applyAlignment="1">
      <alignment horizontal="center" vertical="center"/>
    </xf>
    <xf numFmtId="0" fontId="8" fillId="10" borderId="87" xfId="19" applyFont="1" applyFill="1" applyBorder="1" applyAlignment="1">
      <alignment horizontal="center" vertical="center" wrapText="1"/>
    </xf>
    <xf numFmtId="0" fontId="8" fillId="10" borderId="87" xfId="19" applyFont="1" applyFill="1" applyBorder="1" applyAlignment="1">
      <alignment horizontal="center" vertical="center"/>
    </xf>
    <xf numFmtId="17" fontId="8" fillId="10" borderId="79" xfId="19" quotePrefix="1" applyNumberFormat="1" applyFont="1" applyFill="1" applyBorder="1" applyAlignment="1">
      <alignment horizontal="center" vertical="center"/>
    </xf>
    <xf numFmtId="2" fontId="12" fillId="2" borderId="50" xfId="19" applyNumberFormat="1" applyFont="1" applyFill="1" applyBorder="1" applyAlignment="1">
      <alignment horizontal="center" vertical="center"/>
    </xf>
    <xf numFmtId="165" fontId="19" fillId="2" borderId="79" xfId="19" applyNumberFormat="1" applyFont="1" applyFill="1" applyBorder="1" applyAlignment="1">
      <alignment horizontal="center" vertical="center"/>
    </xf>
    <xf numFmtId="3" fontId="19" fillId="2" borderId="79" xfId="19" applyNumberFormat="1" applyFont="1" applyFill="1" applyBorder="1" applyAlignment="1">
      <alignment horizontal="center" vertical="center"/>
    </xf>
    <xf numFmtId="168" fontId="19" fillId="2" borderId="79" xfId="19" applyNumberFormat="1" applyFont="1" applyFill="1" applyBorder="1" applyAlignment="1">
      <alignment horizontal="center" vertical="center"/>
    </xf>
    <xf numFmtId="0" fontId="30" fillId="2" borderId="0" xfId="19" applyFont="1" applyFill="1" applyAlignment="1">
      <alignment horizontal="left" vertical="center"/>
    </xf>
    <xf numFmtId="14" fontId="59" fillId="2" borderId="0" xfId="3" applyNumberFormat="1" applyFont="1" applyFill="1" applyAlignment="1">
      <alignment horizontal="center" vertical="center"/>
    </xf>
    <xf numFmtId="2" fontId="14" fillId="2" borderId="50" xfId="19" applyNumberFormat="1" applyFont="1" applyFill="1" applyBorder="1" applyAlignment="1">
      <alignment horizontal="center" vertical="center"/>
    </xf>
    <xf numFmtId="165" fontId="7" fillId="2" borderId="79" xfId="19" applyNumberFormat="1" applyFont="1" applyFill="1" applyBorder="1" applyAlignment="1">
      <alignment horizontal="center" vertical="center"/>
    </xf>
    <xf numFmtId="3" fontId="7" fillId="2" borderId="79" xfId="19" applyNumberFormat="1" applyFont="1" applyFill="1" applyBorder="1" applyAlignment="1">
      <alignment horizontal="center" vertical="center"/>
    </xf>
    <xf numFmtId="168" fontId="7" fillId="2" borderId="79" xfId="19" applyNumberFormat="1" applyFont="1" applyFill="1" applyBorder="1" applyAlignment="1">
      <alignment horizontal="center" vertical="center"/>
    </xf>
    <xf numFmtId="17" fontId="8" fillId="10" borderId="67" xfId="19" quotePrefix="1" applyNumberFormat="1" applyFont="1" applyFill="1" applyBorder="1" applyAlignment="1">
      <alignment horizontal="center" vertical="center"/>
    </xf>
    <xf numFmtId="2" fontId="12" fillId="2" borderId="45" xfId="19" applyNumberFormat="1" applyFont="1" applyFill="1" applyBorder="1" applyAlignment="1">
      <alignment horizontal="center" vertical="center"/>
    </xf>
    <xf numFmtId="165" fontId="19" fillId="2" borderId="67" xfId="19" applyNumberFormat="1" applyFont="1" applyFill="1" applyBorder="1" applyAlignment="1">
      <alignment horizontal="center" vertical="center"/>
    </xf>
    <xf numFmtId="3" fontId="19" fillId="2" borderId="67" xfId="19" applyNumberFormat="1" applyFont="1" applyFill="1" applyBorder="1" applyAlignment="1">
      <alignment horizontal="center" vertical="center"/>
    </xf>
    <xf numFmtId="168" fontId="19" fillId="2" borderId="67" xfId="19" applyNumberFormat="1" applyFont="1" applyFill="1" applyBorder="1" applyAlignment="1">
      <alignment horizontal="center" vertical="center"/>
    </xf>
    <xf numFmtId="0" fontId="109" fillId="2" borderId="0" xfId="3" applyFont="1" applyFill="1" applyAlignment="1">
      <alignment horizontal="center" vertical="center"/>
    </xf>
    <xf numFmtId="0" fontId="4" fillId="2" borderId="0" xfId="3" applyFont="1" applyFill="1" applyAlignment="1">
      <alignment horizontal="left" vertical="center"/>
    </xf>
    <xf numFmtId="0" fontId="30" fillId="2" borderId="0" xfId="3" applyFont="1" applyFill="1" applyAlignment="1">
      <alignment horizontal="center" vertical="center"/>
    </xf>
    <xf numFmtId="0" fontId="42" fillId="2" borderId="0" xfId="19" applyFont="1" applyFill="1" applyAlignment="1">
      <alignment vertical="center"/>
    </xf>
    <xf numFmtId="0" fontId="8" fillId="3" borderId="14" xfId="19" applyFont="1" applyFill="1" applyBorder="1" applyAlignment="1">
      <alignment horizontal="center" vertical="center"/>
    </xf>
    <xf numFmtId="0" fontId="8" fillId="3" borderId="142" xfId="19" applyFont="1" applyFill="1" applyBorder="1" applyAlignment="1">
      <alignment horizontal="center" vertical="center"/>
    </xf>
    <xf numFmtId="0" fontId="9" fillId="2" borderId="0" xfId="19" applyFont="1" applyFill="1" applyAlignment="1">
      <alignment vertical="center"/>
    </xf>
    <xf numFmtId="0" fontId="8" fillId="3" borderId="6" xfId="19" applyFont="1" applyFill="1" applyBorder="1" applyAlignment="1">
      <alignment horizontal="center" vertical="center"/>
    </xf>
    <xf numFmtId="0" fontId="8" fillId="3" borderId="118" xfId="19" applyFont="1" applyFill="1" applyBorder="1" applyAlignment="1">
      <alignment horizontal="center" vertical="center"/>
    </xf>
    <xf numFmtId="0" fontId="8" fillId="3" borderId="44" xfId="19" applyFont="1" applyFill="1" applyBorder="1" applyAlignment="1">
      <alignment horizontal="center" vertical="center"/>
    </xf>
    <xf numFmtId="0" fontId="8" fillId="3" borderId="118" xfId="19" applyFont="1" applyFill="1" applyBorder="1" applyAlignment="1">
      <alignment vertical="center"/>
    </xf>
    <xf numFmtId="0" fontId="27" fillId="3" borderId="9" xfId="19" applyFont="1" applyFill="1" applyBorder="1" applyAlignment="1">
      <alignment horizontal="center" vertical="center"/>
    </xf>
    <xf numFmtId="0" fontId="27" fillId="3" borderId="267" xfId="19" applyFont="1" applyFill="1" applyBorder="1" applyAlignment="1">
      <alignment horizontal="center" vertical="center"/>
    </xf>
    <xf numFmtId="0" fontId="27" fillId="3" borderId="11" xfId="19" applyFont="1" applyFill="1" applyBorder="1" applyAlignment="1">
      <alignment horizontal="center" vertical="center"/>
    </xf>
    <xf numFmtId="0" fontId="117" fillId="2" borderId="0" xfId="19" applyFont="1" applyFill="1" applyAlignment="1">
      <alignment horizontal="center" vertical="center"/>
    </xf>
    <xf numFmtId="197" fontId="8" fillId="3" borderId="6" xfId="19" applyNumberFormat="1" applyFont="1" applyFill="1" applyBorder="1" applyAlignment="1">
      <alignment horizontal="center" vertical="center"/>
    </xf>
    <xf numFmtId="0" fontId="14" fillId="2" borderId="118" xfId="19" applyFont="1" applyFill="1" applyBorder="1" applyAlignment="1">
      <alignment horizontal="center" vertical="center"/>
    </xf>
    <xf numFmtId="0" fontId="14" fillId="2" borderId="56" xfId="19" applyFont="1" applyFill="1" applyBorder="1" applyAlignment="1">
      <alignment horizontal="center" vertical="center"/>
    </xf>
    <xf numFmtId="0" fontId="14" fillId="2" borderId="54" xfId="19" applyFont="1" applyFill="1" applyBorder="1" applyAlignment="1">
      <alignment horizontal="center" vertical="center"/>
    </xf>
    <xf numFmtId="198" fontId="9" fillId="3" borderId="6" xfId="19" quotePrefix="1" applyNumberFormat="1" applyFont="1" applyFill="1" applyBorder="1" applyAlignment="1">
      <alignment horizontal="center" vertical="center"/>
    </xf>
    <xf numFmtId="2" fontId="7" fillId="2" borderId="118" xfId="19" applyNumberFormat="1" applyFont="1" applyFill="1" applyBorder="1" applyAlignment="1">
      <alignment horizontal="center" vertical="center"/>
    </xf>
    <xf numFmtId="2" fontId="3" fillId="2" borderId="0" xfId="19" applyNumberFormat="1" applyFont="1" applyFill="1" applyAlignment="1">
      <alignment vertical="center"/>
    </xf>
    <xf numFmtId="199" fontId="3" fillId="2" borderId="0" xfId="19" applyNumberFormat="1" applyFont="1" applyFill="1" applyAlignment="1">
      <alignment vertical="center"/>
    </xf>
    <xf numFmtId="166" fontId="3" fillId="2" borderId="0" xfId="19" applyNumberFormat="1" applyFont="1" applyFill="1" applyAlignment="1">
      <alignment vertical="center"/>
    </xf>
    <xf numFmtId="198" fontId="9" fillId="3" borderId="6" xfId="19" applyNumberFormat="1" applyFont="1" applyFill="1" applyBorder="1" applyAlignment="1">
      <alignment horizontal="center" vertical="center"/>
    </xf>
    <xf numFmtId="198" fontId="9" fillId="3" borderId="326" xfId="19" applyNumberFormat="1" applyFont="1" applyFill="1" applyBorder="1" applyAlignment="1">
      <alignment horizontal="center" vertical="center"/>
    </xf>
    <xf numFmtId="2" fontId="7" fillId="2" borderId="301" xfId="19" applyNumberFormat="1" applyFont="1" applyFill="1" applyBorder="1" applyAlignment="1">
      <alignment horizontal="center" vertical="center"/>
    </xf>
    <xf numFmtId="2" fontId="7" fillId="2" borderId="281" xfId="19" applyNumberFormat="1" applyFont="1" applyFill="1" applyBorder="1" applyAlignment="1">
      <alignment horizontal="center" vertical="center"/>
    </xf>
    <xf numFmtId="17" fontId="8" fillId="3" borderId="6" xfId="19" quotePrefix="1" applyNumberFormat="1" applyFont="1" applyFill="1" applyBorder="1" applyAlignment="1">
      <alignment horizontal="center" vertical="center"/>
    </xf>
    <xf numFmtId="165" fontId="7" fillId="2" borderId="5" xfId="19" applyNumberFormat="1" applyFont="1" applyFill="1" applyBorder="1" applyAlignment="1">
      <alignment horizontal="center" vertical="center"/>
    </xf>
    <xf numFmtId="17" fontId="8" fillId="3" borderId="327" xfId="19" quotePrefix="1" applyNumberFormat="1" applyFont="1" applyFill="1" applyBorder="1" applyAlignment="1">
      <alignment horizontal="center" vertical="center"/>
    </xf>
    <xf numFmtId="2" fontId="7" fillId="2" borderId="52" xfId="19" applyNumberFormat="1" applyFont="1" applyFill="1" applyBorder="1" applyAlignment="1">
      <alignment horizontal="center" vertical="center"/>
    </xf>
    <xf numFmtId="2" fontId="7" fillId="2" borderId="50" xfId="19" applyNumberFormat="1" applyFont="1" applyFill="1" applyBorder="1" applyAlignment="1">
      <alignment horizontal="center" vertical="center"/>
    </xf>
    <xf numFmtId="17" fontId="8" fillId="3" borderId="3" xfId="19" applyNumberFormat="1" applyFont="1" applyFill="1" applyBorder="1" applyAlignment="1">
      <alignment horizontal="center" vertical="center"/>
    </xf>
    <xf numFmtId="2" fontId="7" fillId="2" borderId="146" xfId="19" applyNumberFormat="1" applyFont="1" applyFill="1" applyBorder="1" applyAlignment="1">
      <alignment horizontal="center" vertical="center"/>
    </xf>
    <xf numFmtId="2" fontId="7" fillId="2" borderId="2" xfId="19" applyNumberFormat="1" applyFont="1" applyFill="1" applyBorder="1" applyAlignment="1">
      <alignment horizontal="center" vertical="center"/>
    </xf>
    <xf numFmtId="0" fontId="4" fillId="2" borderId="0" xfId="19" applyFont="1" applyFill="1" applyAlignment="1">
      <alignment horizontal="left"/>
    </xf>
    <xf numFmtId="2" fontId="4" fillId="2" borderId="0" xfId="19" applyNumberFormat="1" applyFont="1" applyFill="1"/>
    <xf numFmtId="15" fontId="4" fillId="2" borderId="0" xfId="19" applyNumberFormat="1" applyFont="1" applyFill="1" applyAlignment="1">
      <alignment horizontal="left" vertical="center"/>
    </xf>
    <xf numFmtId="2" fontId="4" fillId="2" borderId="0" xfId="19" applyNumberFormat="1" applyFont="1" applyFill="1" applyAlignment="1">
      <alignment vertical="center"/>
    </xf>
    <xf numFmtId="0" fontId="3" fillId="2" borderId="0" xfId="19" applyFont="1" applyFill="1" applyAlignment="1">
      <alignment horizontal="right" vertical="center"/>
    </xf>
    <xf numFmtId="15" fontId="3" fillId="2" borderId="0" xfId="19" applyNumberFormat="1" applyFont="1" applyFill="1" applyAlignment="1">
      <alignment horizontal="right" vertical="center"/>
    </xf>
    <xf numFmtId="0" fontId="8" fillId="2" borderId="0" xfId="19" applyFont="1" applyFill="1" applyAlignment="1">
      <alignment horizontal="left" vertical="center"/>
    </xf>
    <xf numFmtId="15" fontId="32" fillId="2" borderId="0" xfId="19" applyNumberFormat="1" applyFont="1" applyFill="1" applyAlignment="1">
      <alignment horizontal="left" vertical="center"/>
    </xf>
    <xf numFmtId="15" fontId="4" fillId="2" borderId="0" xfId="19" applyNumberFormat="1" applyFont="1" applyFill="1" applyAlignment="1">
      <alignment horizontal="right" vertical="center"/>
    </xf>
    <xf numFmtId="0" fontId="3" fillId="2" borderId="0" xfId="19" applyFont="1" applyFill="1" applyAlignment="1">
      <alignment horizontal="left" vertical="center"/>
    </xf>
    <xf numFmtId="179" fontId="3" fillId="2" borderId="0" xfId="54" applyNumberFormat="1" applyFont="1" applyFill="1" applyAlignment="1">
      <alignment vertical="center"/>
    </xf>
    <xf numFmtId="0" fontId="12" fillId="2" borderId="0" xfId="2" applyFont="1" applyFill="1" applyAlignment="1">
      <alignment vertical="center"/>
    </xf>
    <xf numFmtId="0" fontId="19" fillId="2" borderId="0" xfId="2" applyFont="1" applyFill="1" applyAlignment="1">
      <alignment vertical="center"/>
    </xf>
    <xf numFmtId="0" fontId="42" fillId="2" borderId="0" xfId="2" applyFont="1" applyFill="1" applyAlignment="1">
      <alignment vertical="center"/>
    </xf>
    <xf numFmtId="0" fontId="8" fillId="3" borderId="44" xfId="2" applyFont="1" applyFill="1" applyBorder="1" applyAlignment="1">
      <alignment horizontal="center" vertical="center"/>
    </xf>
    <xf numFmtId="0" fontId="8" fillId="2" borderId="0" xfId="2" applyFont="1" applyFill="1" applyAlignment="1">
      <alignment horizontal="center" vertical="center"/>
    </xf>
    <xf numFmtId="0" fontId="9" fillId="2" borderId="0" xfId="2" applyFont="1" applyFill="1" applyAlignment="1">
      <alignment vertical="center"/>
    </xf>
    <xf numFmtId="0" fontId="8" fillId="3" borderId="5" xfId="2" applyFont="1" applyFill="1" applyBorder="1" applyAlignment="1">
      <alignment horizontal="center" vertical="center"/>
    </xf>
    <xf numFmtId="0" fontId="27" fillId="3" borderId="11" xfId="2" applyFont="1" applyFill="1" applyBorder="1" applyAlignment="1">
      <alignment horizontal="center" vertical="center" wrapText="1"/>
    </xf>
    <xf numFmtId="0" fontId="27" fillId="2" borderId="0" xfId="2" applyFont="1" applyFill="1" applyAlignment="1">
      <alignment horizontal="center" vertical="center" wrapText="1"/>
    </xf>
    <xf numFmtId="0" fontId="27" fillId="2" borderId="0" xfId="2" applyFont="1" applyFill="1" applyAlignment="1">
      <alignment vertical="center"/>
    </xf>
    <xf numFmtId="17" fontId="14" fillId="3" borderId="5" xfId="2" applyNumberFormat="1" applyFont="1" applyFill="1" applyBorder="1" applyAlignment="1">
      <alignment horizontal="center" vertical="center"/>
    </xf>
    <xf numFmtId="164" fontId="7" fillId="2" borderId="5" xfId="2" applyNumberFormat="1" applyFont="1" applyFill="1" applyBorder="1" applyAlignment="1">
      <alignment horizontal="center" vertical="center"/>
    </xf>
    <xf numFmtId="200" fontId="7" fillId="2" borderId="5" xfId="55" applyNumberFormat="1" applyFont="1" applyFill="1" applyBorder="1" applyAlignment="1">
      <alignment horizontal="center" vertical="center"/>
    </xf>
    <xf numFmtId="173" fontId="7" fillId="2" borderId="5" xfId="2" applyNumberFormat="1" applyFont="1" applyFill="1" applyBorder="1" applyAlignment="1">
      <alignment horizontal="center" vertical="center"/>
    </xf>
    <xf numFmtId="0" fontId="16" fillId="2" borderId="0" xfId="3" applyFont="1" applyFill="1"/>
    <xf numFmtId="167" fontId="7" fillId="2" borderId="5" xfId="55" applyNumberFormat="1" applyFont="1" applyFill="1" applyBorder="1" applyAlignment="1">
      <alignment horizontal="center" vertical="center"/>
    </xf>
    <xf numFmtId="17" fontId="8" fillId="3" borderId="5" xfId="2" applyNumberFormat="1" applyFont="1" applyFill="1" applyBorder="1" applyAlignment="1">
      <alignment horizontal="center" vertical="center"/>
    </xf>
    <xf numFmtId="165" fontId="7" fillId="2" borderId="5" xfId="55" applyNumberFormat="1" applyFont="1" applyFill="1" applyBorder="1" applyAlignment="1">
      <alignment horizontal="center" vertical="center"/>
    </xf>
    <xf numFmtId="165" fontId="7" fillId="2" borderId="5" xfId="2" applyNumberFormat="1" applyFont="1" applyFill="1" applyBorder="1" applyAlignment="1">
      <alignment horizontal="center" vertical="center"/>
    </xf>
    <xf numFmtId="165" fontId="16" fillId="2" borderId="0" xfId="3" applyNumberFormat="1" applyFont="1" applyFill="1"/>
    <xf numFmtId="176" fontId="7" fillId="2" borderId="5" xfId="55" applyNumberFormat="1" applyFont="1" applyFill="1" applyBorder="1" applyAlignment="1">
      <alignment horizontal="center" vertical="center"/>
    </xf>
    <xf numFmtId="2" fontId="7" fillId="0" borderId="5" xfId="2" applyNumberFormat="1" applyFont="1" applyBorder="1" applyAlignment="1">
      <alignment horizontal="center" vertical="center"/>
    </xf>
    <xf numFmtId="17" fontId="8" fillId="3" borderId="11" xfId="2" applyNumberFormat="1" applyFont="1" applyFill="1" applyBorder="1" applyAlignment="1">
      <alignment horizontal="center" vertical="center"/>
    </xf>
    <xf numFmtId="2" fontId="7" fillId="2" borderId="11" xfId="2" applyNumberFormat="1" applyFont="1" applyFill="1" applyBorder="1" applyAlignment="1">
      <alignment horizontal="center" vertical="center"/>
    </xf>
    <xf numFmtId="166" fontId="7" fillId="2" borderId="11" xfId="2" applyNumberFormat="1" applyFont="1" applyFill="1" applyBorder="1" applyAlignment="1">
      <alignment horizontal="center" vertical="center"/>
    </xf>
    <xf numFmtId="15" fontId="4" fillId="2" borderId="0" xfId="2" applyNumberFormat="1" applyFont="1" applyFill="1" applyAlignment="1">
      <alignment horizontal="left" vertical="center"/>
    </xf>
    <xf numFmtId="0" fontId="4" fillId="2" borderId="0" xfId="2" applyFont="1" applyFill="1" applyAlignment="1">
      <alignment horizontal="right" vertical="center"/>
    </xf>
    <xf numFmtId="15" fontId="4" fillId="2" borderId="0" xfId="2" applyNumberFormat="1" applyFont="1" applyFill="1" applyAlignment="1">
      <alignment horizontal="right" vertical="center"/>
    </xf>
    <xf numFmtId="40" fontId="4" fillId="2" borderId="0" xfId="56" applyFont="1" applyFill="1" applyAlignment="1">
      <alignment vertical="center"/>
    </xf>
    <xf numFmtId="0" fontId="8" fillId="3" borderId="52" xfId="2" applyFont="1" applyFill="1" applyBorder="1" applyAlignment="1">
      <alignment horizontal="center" vertical="center"/>
    </xf>
    <xf numFmtId="0" fontId="8" fillId="3" borderId="332" xfId="2" applyFont="1" applyFill="1" applyBorder="1" applyAlignment="1">
      <alignment horizontal="center" vertical="center"/>
    </xf>
    <xf numFmtId="0" fontId="8" fillId="3" borderId="0" xfId="2" applyFont="1" applyFill="1" applyAlignment="1">
      <alignment horizontal="center" vertical="center"/>
    </xf>
    <xf numFmtId="0" fontId="8" fillId="3" borderId="333" xfId="2" applyFont="1" applyFill="1" applyBorder="1" applyAlignment="1">
      <alignment horizontal="center" vertical="center"/>
    </xf>
    <xf numFmtId="0" fontId="8" fillId="3" borderId="50" xfId="2" applyFont="1" applyFill="1" applyBorder="1" applyAlignment="1">
      <alignment horizontal="center" vertical="center"/>
    </xf>
    <xf numFmtId="0" fontId="27" fillId="3" borderId="0" xfId="2" applyFont="1" applyFill="1" applyAlignment="1">
      <alignment horizontal="center" vertical="center"/>
    </xf>
    <xf numFmtId="0" fontId="27" fillId="3" borderId="50" xfId="2" applyFont="1" applyFill="1" applyBorder="1" applyAlignment="1">
      <alignment horizontal="center" vertical="center"/>
    </xf>
    <xf numFmtId="0" fontId="5" fillId="2" borderId="0" xfId="2" applyFont="1" applyFill="1" applyAlignment="1">
      <alignment vertical="center"/>
    </xf>
    <xf numFmtId="0" fontId="27" fillId="3" borderId="17" xfId="2" applyFont="1" applyFill="1" applyBorder="1" applyAlignment="1">
      <alignment horizontal="center" vertical="center" wrapText="1"/>
    </xf>
    <xf numFmtId="0" fontId="27" fillId="3" borderId="59" xfId="2" applyFont="1" applyFill="1" applyBorder="1" applyAlignment="1">
      <alignment horizontal="center" vertical="center" wrapText="1"/>
    </xf>
    <xf numFmtId="17" fontId="12" fillId="3" borderId="6" xfId="2" applyNumberFormat="1" applyFont="1" applyFill="1" applyBorder="1" applyAlignment="1">
      <alignment horizontal="center" vertical="center"/>
    </xf>
    <xf numFmtId="164" fontId="9" fillId="2" borderId="5" xfId="2" applyNumberFormat="1" applyFont="1" applyFill="1" applyBorder="1" applyAlignment="1">
      <alignment horizontal="center" vertical="center"/>
    </xf>
    <xf numFmtId="2" fontId="9" fillId="2" borderId="5" xfId="2" applyNumberFormat="1" applyFont="1" applyFill="1" applyBorder="1" applyAlignment="1">
      <alignment horizontal="center" vertical="center"/>
    </xf>
    <xf numFmtId="2" fontId="9" fillId="2" borderId="52" xfId="2" applyNumberFormat="1" applyFont="1" applyFill="1" applyBorder="1" applyAlignment="1">
      <alignment horizontal="center" vertical="center"/>
    </xf>
    <xf numFmtId="2" fontId="9" fillId="2" borderId="334" xfId="2" applyNumberFormat="1" applyFont="1" applyFill="1" applyBorder="1" applyAlignment="1">
      <alignment horizontal="center" vertical="center"/>
    </xf>
    <xf numFmtId="2" fontId="9" fillId="2" borderId="0" xfId="2" applyNumberFormat="1" applyFont="1" applyFill="1" applyAlignment="1">
      <alignment horizontal="center" vertical="center"/>
    </xf>
    <xf numFmtId="164" fontId="9" fillId="2" borderId="337" xfId="2" applyNumberFormat="1" applyFont="1" applyFill="1" applyBorder="1" applyAlignment="1">
      <alignment horizontal="center" vertical="center"/>
    </xf>
    <xf numFmtId="164" fontId="9" fillId="2" borderId="334" xfId="2" applyNumberFormat="1" applyFont="1" applyFill="1" applyBorder="1" applyAlignment="1">
      <alignment horizontal="center" vertical="center"/>
    </xf>
    <xf numFmtId="2" fontId="9" fillId="2" borderId="338" xfId="2" applyNumberFormat="1" applyFont="1" applyFill="1" applyBorder="1" applyAlignment="1">
      <alignment horizontal="center" vertical="center"/>
    </xf>
    <xf numFmtId="165" fontId="9" fillId="2" borderId="5" xfId="2" applyNumberFormat="1" applyFont="1" applyFill="1" applyBorder="1" applyAlignment="1">
      <alignment horizontal="center" vertical="center"/>
    </xf>
    <xf numFmtId="17" fontId="8" fillId="3" borderId="6" xfId="2" applyNumberFormat="1" applyFont="1" applyFill="1" applyBorder="1" applyAlignment="1">
      <alignment horizontal="center" vertical="center"/>
    </xf>
    <xf numFmtId="2" fontId="7" fillId="2" borderId="52" xfId="2" applyNumberFormat="1" applyFont="1" applyFill="1" applyBorder="1" applyAlignment="1">
      <alignment horizontal="center" vertical="center"/>
    </xf>
    <xf numFmtId="2" fontId="7" fillId="2" borderId="334" xfId="2" applyNumberFormat="1" applyFont="1" applyFill="1" applyBorder="1" applyAlignment="1">
      <alignment horizontal="center" vertical="center"/>
    </xf>
    <xf numFmtId="2" fontId="7" fillId="2" borderId="0" xfId="2" applyNumberFormat="1" applyFont="1" applyFill="1" applyAlignment="1">
      <alignment horizontal="center" vertical="center"/>
    </xf>
    <xf numFmtId="164" fontId="7" fillId="2" borderId="337" xfId="2" applyNumberFormat="1" applyFont="1" applyFill="1" applyBorder="1" applyAlignment="1">
      <alignment horizontal="center" vertical="center"/>
    </xf>
    <xf numFmtId="164" fontId="7" fillId="2" borderId="334" xfId="2" applyNumberFormat="1" applyFont="1" applyFill="1" applyBorder="1" applyAlignment="1">
      <alignment horizontal="center" vertical="center"/>
    </xf>
    <xf numFmtId="2" fontId="7" fillId="2" borderId="338" xfId="2" applyNumberFormat="1" applyFont="1" applyFill="1" applyBorder="1" applyAlignment="1">
      <alignment horizontal="center" vertical="center"/>
    </xf>
    <xf numFmtId="164" fontId="7" fillId="2" borderId="338" xfId="2" applyNumberFormat="1" applyFont="1" applyFill="1" applyBorder="1" applyAlignment="1">
      <alignment horizontal="center" vertical="center"/>
    </xf>
    <xf numFmtId="164" fontId="7" fillId="2" borderId="0" xfId="2" applyNumberFormat="1" applyFont="1" applyFill="1" applyAlignment="1">
      <alignment horizontal="center" vertical="center"/>
    </xf>
    <xf numFmtId="164" fontId="7" fillId="2" borderId="0" xfId="2" applyNumberFormat="1" applyFont="1" applyFill="1" applyBorder="1" applyAlignment="1">
      <alignment horizontal="center" vertical="center"/>
    </xf>
    <xf numFmtId="164" fontId="7" fillId="2" borderId="339" xfId="2" applyNumberFormat="1" applyFont="1" applyFill="1" applyBorder="1" applyAlignment="1">
      <alignment horizontal="center" vertical="center"/>
    </xf>
    <xf numFmtId="164" fontId="7" fillId="0" borderId="5" xfId="2" applyNumberFormat="1" applyFont="1" applyFill="1" applyBorder="1" applyAlignment="1">
      <alignment horizontal="center" vertical="center"/>
    </xf>
    <xf numFmtId="2" fontId="7" fillId="0" borderId="5" xfId="2" applyNumberFormat="1" applyFont="1" applyFill="1" applyBorder="1" applyAlignment="1">
      <alignment horizontal="center" vertical="center"/>
    </xf>
    <xf numFmtId="2" fontId="7" fillId="0" borderId="52" xfId="2" applyNumberFormat="1" applyFont="1" applyFill="1" applyBorder="1" applyAlignment="1">
      <alignment horizontal="center" vertical="center"/>
    </xf>
    <xf numFmtId="2" fontId="7" fillId="0" borderId="334" xfId="2" applyNumberFormat="1" applyFont="1" applyFill="1" applyBorder="1" applyAlignment="1">
      <alignment horizontal="center" vertical="center"/>
    </xf>
    <xf numFmtId="164" fontId="7" fillId="0" borderId="52" xfId="2" applyNumberFormat="1" applyFont="1" applyFill="1" applyBorder="1" applyAlignment="1">
      <alignment horizontal="center" vertical="center"/>
    </xf>
    <xf numFmtId="17" fontId="8" fillId="3" borderId="3" xfId="2" applyNumberFormat="1" applyFont="1" applyFill="1" applyBorder="1" applyAlignment="1">
      <alignment horizontal="center" vertical="center"/>
    </xf>
    <xf numFmtId="2" fontId="7" fillId="2" borderId="2" xfId="2" applyNumberFormat="1" applyFont="1" applyFill="1" applyBorder="1" applyAlignment="1">
      <alignment horizontal="center" vertical="center"/>
    </xf>
    <xf numFmtId="2" fontId="7" fillId="2" borderId="47" xfId="2" applyNumberFormat="1" applyFont="1" applyFill="1" applyBorder="1" applyAlignment="1">
      <alignment horizontal="center" vertical="center"/>
    </xf>
    <xf numFmtId="2" fontId="7" fillId="2" borderId="340" xfId="2" applyNumberFormat="1" applyFont="1" applyFill="1" applyBorder="1" applyAlignment="1">
      <alignment horizontal="center" vertical="center"/>
    </xf>
    <xf numFmtId="2" fontId="7" fillId="2" borderId="16" xfId="2" applyNumberFormat="1" applyFont="1" applyFill="1" applyBorder="1" applyAlignment="1">
      <alignment horizontal="center" vertical="center"/>
    </xf>
    <xf numFmtId="2" fontId="7" fillId="2" borderId="341" xfId="2" applyNumberFormat="1" applyFont="1" applyFill="1" applyBorder="1" applyAlignment="1">
      <alignment horizontal="center" vertical="center"/>
    </xf>
    <xf numFmtId="166" fontId="7" fillId="2" borderId="340" xfId="2" applyNumberFormat="1" applyFont="1" applyFill="1" applyBorder="1" applyAlignment="1">
      <alignment horizontal="center" vertical="center"/>
    </xf>
    <xf numFmtId="173" fontId="7" fillId="2" borderId="340" xfId="2" applyNumberFormat="1" applyFont="1" applyFill="1" applyBorder="1" applyAlignment="1">
      <alignment horizontal="center" vertical="center"/>
    </xf>
    <xf numFmtId="0" fontId="7" fillId="2" borderId="340" xfId="2" applyFont="1" applyFill="1" applyBorder="1" applyAlignment="1">
      <alignment vertical="center"/>
    </xf>
    <xf numFmtId="2" fontId="7" fillId="2" borderId="342" xfId="2" applyNumberFormat="1" applyFont="1" applyFill="1" applyBorder="1" applyAlignment="1">
      <alignment horizontal="center" vertical="center"/>
    </xf>
    <xf numFmtId="0" fontId="38" fillId="2" borderId="0" xfId="0" applyFont="1" applyFill="1"/>
    <xf numFmtId="4" fontId="0" fillId="2" borderId="0" xfId="0" applyNumberFormat="1" applyFill="1"/>
    <xf numFmtId="4" fontId="38" fillId="2" borderId="0" xfId="0" applyNumberFormat="1" applyFont="1" applyFill="1"/>
    <xf numFmtId="4" fontId="38" fillId="2" borderId="343" xfId="0" applyNumberFormat="1" applyFont="1" applyFill="1" applyBorder="1"/>
    <xf numFmtId="0" fontId="0" fillId="2" borderId="343" xfId="0" applyFill="1" applyBorder="1"/>
    <xf numFmtId="2" fontId="0" fillId="2" borderId="0" xfId="0" applyNumberFormat="1" applyFill="1"/>
    <xf numFmtId="14" fontId="0" fillId="2" borderId="0" xfId="0" applyNumberFormat="1" applyFill="1"/>
    <xf numFmtId="4" fontId="118" fillId="2" borderId="0" xfId="0" applyNumberFormat="1" applyFont="1" applyFill="1"/>
    <xf numFmtId="43" fontId="0" fillId="2" borderId="0" xfId="15" applyFont="1" applyFill="1"/>
    <xf numFmtId="43" fontId="0" fillId="2" borderId="0" xfId="0" applyNumberFormat="1" applyFill="1"/>
    <xf numFmtId="164" fontId="119" fillId="2" borderId="0" xfId="0" applyNumberFormat="1" applyFont="1" applyFill="1"/>
    <xf numFmtId="0" fontId="119" fillId="2" borderId="0" xfId="0" applyFont="1" applyFill="1"/>
    <xf numFmtId="0" fontId="4" fillId="2" borderId="0" xfId="19" applyFont="1" applyFill="1" applyAlignment="1">
      <alignment horizontal="left"/>
    </xf>
    <xf numFmtId="0" fontId="4" fillId="2" borderId="0" xfId="9" applyFont="1" applyFill="1" applyAlignment="1">
      <alignment vertical="center"/>
    </xf>
    <xf numFmtId="0" fontId="9" fillId="0" borderId="0" xfId="7" applyFont="1" applyFill="1" applyAlignment="1">
      <alignment vertical="center"/>
    </xf>
    <xf numFmtId="0" fontId="9" fillId="2" borderId="0" xfId="7" applyFont="1" applyFill="1" applyAlignment="1"/>
    <xf numFmtId="179" fontId="41" fillId="2" borderId="0" xfId="15" applyNumberFormat="1" applyFont="1" applyFill="1" applyAlignment="1">
      <alignment vertical="center"/>
    </xf>
    <xf numFmtId="0" fontId="41" fillId="2" borderId="0" xfId="11" applyFont="1" applyFill="1" applyAlignment="1">
      <alignment vertical="center"/>
    </xf>
    <xf numFmtId="0" fontId="120" fillId="2" borderId="0" xfId="11" applyFont="1" applyFill="1" applyAlignment="1">
      <alignment vertical="center"/>
    </xf>
    <xf numFmtId="0" fontId="120" fillId="2" borderId="0" xfId="7" applyFont="1" applyFill="1" applyAlignment="1">
      <alignment vertical="center"/>
    </xf>
    <xf numFmtId="0" fontId="9" fillId="2" borderId="0" xfId="7" applyFont="1" applyFill="1" applyAlignment="1">
      <alignment vertical="center"/>
    </xf>
    <xf numFmtId="0" fontId="9" fillId="2" borderId="0" xfId="11" applyFont="1" applyFill="1" applyAlignment="1">
      <alignment vertical="center"/>
    </xf>
    <xf numFmtId="0" fontId="8" fillId="3" borderId="107" xfId="7" applyFont="1" applyFill="1" applyBorder="1" applyAlignment="1">
      <alignment horizontal="center" vertical="center"/>
    </xf>
    <xf numFmtId="0" fontId="8" fillId="3" borderId="137" xfId="7" applyFont="1" applyFill="1" applyBorder="1" applyAlignment="1">
      <alignment horizontal="center" vertical="center"/>
    </xf>
    <xf numFmtId="0" fontId="8" fillId="3" borderId="109" xfId="7" applyFont="1" applyFill="1" applyBorder="1" applyAlignment="1">
      <alignment horizontal="center" vertical="center"/>
    </xf>
    <xf numFmtId="0" fontId="8" fillId="3" borderId="108" xfId="7" applyFont="1" applyFill="1" applyBorder="1" applyAlignment="1">
      <alignment horizontal="center" vertical="center"/>
    </xf>
    <xf numFmtId="0" fontId="121" fillId="2" borderId="0" xfId="7" applyFont="1" applyFill="1" applyAlignment="1">
      <alignment horizontal="center" vertical="center"/>
    </xf>
    <xf numFmtId="0" fontId="122" fillId="3" borderId="81" xfId="7" applyFont="1" applyFill="1" applyBorder="1" applyAlignment="1">
      <alignment horizontal="left" vertical="center"/>
    </xf>
    <xf numFmtId="0" fontId="7" fillId="0" borderId="6" xfId="7" applyFont="1" applyFill="1" applyBorder="1" applyAlignment="1">
      <alignment horizontal="center" vertical="center"/>
    </xf>
    <xf numFmtId="0" fontId="7" fillId="0" borderId="5" xfId="7" applyFont="1" applyFill="1" applyBorder="1" applyAlignment="1">
      <alignment horizontal="center"/>
    </xf>
    <xf numFmtId="3" fontId="7" fillId="0" borderId="5" xfId="11" quotePrefix="1" applyNumberFormat="1" applyFont="1" applyFill="1" applyBorder="1" applyAlignment="1">
      <alignment horizontal="center" vertical="center"/>
    </xf>
    <xf numFmtId="3" fontId="7" fillId="0" borderId="52" xfId="11" quotePrefix="1" applyNumberFormat="1" applyFont="1" applyFill="1" applyBorder="1" applyAlignment="1">
      <alignment horizontal="center" vertical="center"/>
    </xf>
    <xf numFmtId="3" fontId="7" fillId="0" borderId="4" xfId="11" quotePrefix="1" applyNumberFormat="1" applyFont="1" applyFill="1" applyBorder="1" applyAlignment="1">
      <alignment horizontal="center" vertical="center"/>
    </xf>
    <xf numFmtId="0" fontId="123" fillId="2" borderId="0" xfId="11" applyFont="1" applyFill="1" applyAlignment="1">
      <alignment vertical="center"/>
    </xf>
    <xf numFmtId="0" fontId="123" fillId="2" borderId="0" xfId="7" applyFont="1" applyFill="1" applyAlignment="1">
      <alignment vertical="center"/>
    </xf>
    <xf numFmtId="0" fontId="47" fillId="0" borderId="6" xfId="7" applyFont="1" applyFill="1" applyBorder="1" applyAlignment="1">
      <alignment horizontal="center" vertical="center"/>
    </xf>
    <xf numFmtId="0" fontId="47" fillId="0" borderId="5" xfId="7" applyFont="1" applyFill="1" applyBorder="1" applyAlignment="1">
      <alignment horizontal="center"/>
    </xf>
    <xf numFmtId="3" fontId="47" fillId="0" borderId="5" xfId="11" quotePrefix="1" applyNumberFormat="1" applyFont="1" applyFill="1" applyBorder="1" applyAlignment="1">
      <alignment horizontal="center" vertical="center"/>
    </xf>
    <xf numFmtId="3" fontId="47" fillId="0" borderId="52" xfId="11" quotePrefix="1" applyNumberFormat="1" applyFont="1" applyFill="1" applyBorder="1" applyAlignment="1">
      <alignment horizontal="center" vertical="center"/>
    </xf>
    <xf numFmtId="3" fontId="47" fillId="0" borderId="4" xfId="11" quotePrefix="1" applyNumberFormat="1" applyFont="1" applyFill="1" applyBorder="1" applyAlignment="1">
      <alignment horizontal="center" vertical="center"/>
    </xf>
    <xf numFmtId="0" fontId="125" fillId="2" borderId="0" xfId="7" applyFont="1" applyFill="1" applyAlignment="1">
      <alignment vertical="center"/>
    </xf>
    <xf numFmtId="0" fontId="47" fillId="0" borderId="5" xfId="7" applyFont="1" applyFill="1" applyBorder="1" applyAlignment="1">
      <alignment horizontal="center" vertical="center"/>
    </xf>
    <xf numFmtId="3" fontId="47" fillId="0" borderId="5" xfId="58" quotePrefix="1" applyNumberFormat="1" applyFont="1" applyFill="1" applyBorder="1" applyAlignment="1">
      <alignment horizontal="center" vertical="center"/>
    </xf>
    <xf numFmtId="0" fontId="7" fillId="0" borderId="5" xfId="7" applyFont="1" applyFill="1" applyBorder="1" applyAlignment="1">
      <alignment horizontal="center" vertical="center"/>
    </xf>
    <xf numFmtId="165" fontId="7" fillId="0" borderId="5" xfId="58" quotePrefix="1" applyNumberFormat="1" applyFont="1" applyFill="1" applyBorder="1" applyAlignment="1">
      <alignment horizontal="center" vertical="center"/>
    </xf>
    <xf numFmtId="3" fontId="7" fillId="0" borderId="5" xfId="58" quotePrefix="1" applyNumberFormat="1" applyFont="1" applyFill="1" applyBorder="1" applyAlignment="1">
      <alignment horizontal="center" vertical="center"/>
    </xf>
    <xf numFmtId="165" fontId="47" fillId="0" borderId="5" xfId="58" quotePrefix="1" applyNumberFormat="1" applyFont="1" applyFill="1" applyBorder="1" applyAlignment="1">
      <alignment horizontal="center" vertical="center"/>
    </xf>
    <xf numFmtId="165" fontId="47" fillId="0" borderId="5" xfId="11" quotePrefix="1" applyNumberFormat="1" applyFont="1" applyFill="1" applyBorder="1" applyAlignment="1">
      <alignment horizontal="center" vertical="center"/>
    </xf>
    <xf numFmtId="165" fontId="47" fillId="0" borderId="4" xfId="11" quotePrefix="1" applyNumberFormat="1" applyFont="1" applyFill="1" applyBorder="1" applyAlignment="1">
      <alignment horizontal="center" vertical="center"/>
    </xf>
    <xf numFmtId="0" fontId="47" fillId="0" borderId="5" xfId="11" quotePrefix="1" applyNumberFormat="1" applyFont="1" applyFill="1" applyBorder="1" applyAlignment="1">
      <alignment horizontal="center" vertical="center"/>
    </xf>
    <xf numFmtId="173" fontId="47" fillId="0" borderId="5" xfId="11" quotePrefix="1" applyNumberFormat="1" applyFont="1" applyFill="1" applyBorder="1" applyAlignment="1">
      <alignment horizontal="center" vertical="center"/>
    </xf>
    <xf numFmtId="165" fontId="7" fillId="0" borderId="5" xfId="11" quotePrefix="1" applyNumberFormat="1" applyFont="1" applyFill="1" applyBorder="1" applyAlignment="1">
      <alignment horizontal="center" vertical="center"/>
    </xf>
    <xf numFmtId="0" fontId="7" fillId="0" borderId="5" xfId="11" quotePrefix="1" applyNumberFormat="1" applyFont="1" applyFill="1" applyBorder="1" applyAlignment="1">
      <alignment horizontal="center" vertical="center"/>
    </xf>
    <xf numFmtId="173" fontId="7" fillId="0" borderId="5" xfId="11" quotePrefix="1" applyNumberFormat="1" applyFont="1" applyFill="1" applyBorder="1" applyAlignment="1">
      <alignment horizontal="center" vertical="center"/>
    </xf>
    <xf numFmtId="3" fontId="27" fillId="0" borderId="4" xfId="11" quotePrefix="1" applyNumberFormat="1" applyFont="1" applyFill="1" applyBorder="1" applyAlignment="1">
      <alignment horizontal="center" vertical="center"/>
    </xf>
    <xf numFmtId="0" fontId="126" fillId="0" borderId="0" xfId="7" applyFont="1" applyFill="1" applyAlignment="1">
      <alignment vertical="center"/>
    </xf>
    <xf numFmtId="3" fontId="47" fillId="0" borderId="5" xfId="59" quotePrefix="1" applyNumberFormat="1" applyFont="1" applyFill="1" applyBorder="1" applyAlignment="1">
      <alignment horizontal="center" vertical="center"/>
    </xf>
    <xf numFmtId="165" fontId="47" fillId="0" borderId="52" xfId="11" quotePrefix="1" applyNumberFormat="1" applyFont="1" applyFill="1" applyBorder="1" applyAlignment="1">
      <alignment horizontal="center" vertical="center"/>
    </xf>
    <xf numFmtId="201" fontId="47" fillId="0" borderId="5" xfId="7" quotePrefix="1" applyNumberFormat="1" applyFont="1" applyFill="1" applyBorder="1" applyAlignment="1">
      <alignment horizontal="center" vertical="center"/>
    </xf>
    <xf numFmtId="3" fontId="47" fillId="0" borderId="5" xfId="7" quotePrefix="1" applyNumberFormat="1" applyFont="1" applyFill="1" applyBorder="1" applyAlignment="1">
      <alignment horizontal="center" vertical="center"/>
    </xf>
    <xf numFmtId="3" fontId="47" fillId="0" borderId="5" xfId="60" quotePrefix="1" applyNumberFormat="1" applyFont="1" applyFill="1" applyBorder="1" applyAlignment="1">
      <alignment horizontal="center" vertical="center"/>
    </xf>
    <xf numFmtId="179" fontId="47" fillId="0" borderId="5" xfId="15" quotePrefix="1" applyNumberFormat="1" applyFont="1" applyFill="1" applyBorder="1" applyAlignment="1">
      <alignment horizontal="center" vertical="center"/>
    </xf>
    <xf numFmtId="165" fontId="7" fillId="0" borderId="4" xfId="11" quotePrefix="1" applyNumberFormat="1" applyFont="1" applyFill="1" applyBorder="1" applyAlignment="1">
      <alignment horizontal="center" vertical="center"/>
    </xf>
    <xf numFmtId="0" fontId="47" fillId="2" borderId="6" xfId="7" applyFont="1" applyFill="1" applyBorder="1" applyAlignment="1">
      <alignment horizontal="center" vertical="center"/>
    </xf>
    <xf numFmtId="3" fontId="47" fillId="0" borderId="52" xfId="58" quotePrefix="1" applyNumberFormat="1" applyFont="1" applyFill="1" applyBorder="1" applyAlignment="1">
      <alignment horizontal="center" vertical="center"/>
    </xf>
    <xf numFmtId="3" fontId="47" fillId="0" borderId="4" xfId="58" quotePrefix="1" applyNumberFormat="1" applyFont="1" applyFill="1" applyBorder="1" applyAlignment="1">
      <alignment horizontal="center" vertical="center"/>
    </xf>
    <xf numFmtId="165" fontId="47" fillId="0" borderId="52" xfId="58" quotePrefix="1" applyNumberFormat="1" applyFont="1" applyFill="1" applyBorder="1" applyAlignment="1">
      <alignment horizontal="center" vertical="center"/>
    </xf>
    <xf numFmtId="165" fontId="47" fillId="0" borderId="4" xfId="58" quotePrefix="1" applyNumberFormat="1" applyFont="1" applyFill="1" applyBorder="1" applyAlignment="1">
      <alignment horizontal="center" vertical="center"/>
    </xf>
    <xf numFmtId="0" fontId="122" fillId="3" borderId="49" xfId="7" applyFont="1" applyFill="1" applyBorder="1" applyAlignment="1">
      <alignment horizontal="left" vertical="center"/>
    </xf>
    <xf numFmtId="0" fontId="47" fillId="0" borderId="3" xfId="7" applyFont="1" applyFill="1" applyBorder="1" applyAlignment="1">
      <alignment horizontal="center" vertical="center"/>
    </xf>
    <xf numFmtId="0" fontId="47" fillId="0" borderId="2" xfId="7" applyFont="1" applyFill="1" applyBorder="1" applyAlignment="1">
      <alignment horizontal="center" vertical="center"/>
    </xf>
    <xf numFmtId="165" fontId="47" fillId="0" borderId="2" xfId="11" quotePrefix="1" applyNumberFormat="1" applyFont="1" applyFill="1" applyBorder="1" applyAlignment="1">
      <alignment horizontal="center" vertical="center"/>
    </xf>
    <xf numFmtId="165" fontId="47" fillId="0" borderId="2" xfId="58" quotePrefix="1" applyNumberFormat="1" applyFont="1" applyFill="1" applyBorder="1" applyAlignment="1">
      <alignment horizontal="center" vertical="center"/>
    </xf>
    <xf numFmtId="165" fontId="47" fillId="0" borderId="47" xfId="58" quotePrefix="1" applyNumberFormat="1" applyFont="1" applyFill="1" applyBorder="1" applyAlignment="1">
      <alignment horizontal="center" vertical="center"/>
    </xf>
    <xf numFmtId="165" fontId="47" fillId="0" borderId="1" xfId="58" quotePrefix="1" applyNumberFormat="1" applyFont="1" applyFill="1" applyBorder="1" applyAlignment="1">
      <alignment horizontal="center" vertical="center"/>
    </xf>
    <xf numFmtId="0" fontId="8" fillId="0" borderId="49" xfId="7" applyFont="1" applyFill="1" applyBorder="1" applyAlignment="1">
      <alignment horizontal="left" vertical="center"/>
    </xf>
    <xf numFmtId="0" fontId="9" fillId="0" borderId="2" xfId="7" applyFont="1" applyFill="1" applyBorder="1" applyAlignment="1">
      <alignment horizontal="left" vertical="center"/>
    </xf>
    <xf numFmtId="0" fontId="9" fillId="0" borderId="2" xfId="7" applyFont="1" applyFill="1" applyBorder="1" applyAlignment="1">
      <alignment horizontal="left"/>
    </xf>
    <xf numFmtId="0" fontId="9" fillId="0" borderId="2" xfId="11" applyFont="1" applyFill="1" applyBorder="1" applyAlignment="1">
      <alignment vertical="center"/>
    </xf>
    <xf numFmtId="0" fontId="9" fillId="0" borderId="47" xfId="11" applyFont="1" applyFill="1" applyBorder="1" applyAlignment="1">
      <alignment vertical="center"/>
    </xf>
    <xf numFmtId="0" fontId="9" fillId="0" borderId="3" xfId="11" applyFont="1" applyFill="1" applyBorder="1" applyAlignment="1">
      <alignment vertical="center"/>
    </xf>
    <xf numFmtId="0" fontId="121" fillId="0" borderId="45" xfId="11" applyFont="1" applyFill="1" applyBorder="1" applyAlignment="1">
      <alignment vertical="center"/>
    </xf>
    <xf numFmtId="0" fontId="121" fillId="0" borderId="0" xfId="7" applyFont="1" applyFill="1" applyAlignment="1">
      <alignment vertical="center"/>
    </xf>
    <xf numFmtId="0" fontId="4" fillId="0" borderId="0" xfId="7" applyFont="1" applyFill="1" applyAlignment="1">
      <alignment vertical="top"/>
    </xf>
    <xf numFmtId="0" fontId="4" fillId="0" borderId="0" xfId="11" applyFont="1" applyFill="1" applyAlignment="1">
      <alignment vertical="center"/>
    </xf>
    <xf numFmtId="0" fontId="4" fillId="0" borderId="0" xfId="7" applyFont="1" applyFill="1" applyAlignment="1">
      <alignment vertical="center"/>
    </xf>
    <xf numFmtId="0" fontId="129" fillId="0" borderId="0" xfId="7" applyFont="1" applyFill="1" applyAlignment="1">
      <alignment vertical="center"/>
    </xf>
    <xf numFmtId="0" fontId="129" fillId="0" borderId="0" xfId="11" applyFont="1" applyFill="1" applyAlignment="1">
      <alignment vertical="center"/>
    </xf>
    <xf numFmtId="0" fontId="129" fillId="2" borderId="0" xfId="11" applyFont="1" applyFill="1" applyAlignment="1">
      <alignment vertical="center"/>
    </xf>
    <xf numFmtId="0" fontId="129" fillId="2" borderId="0" xfId="7" applyFont="1" applyFill="1" applyAlignment="1">
      <alignment vertical="center"/>
    </xf>
    <xf numFmtId="0" fontId="129" fillId="2" borderId="0" xfId="14" applyFont="1" applyFill="1" applyAlignment="1">
      <alignment vertical="center"/>
    </xf>
    <xf numFmtId="0" fontId="4" fillId="0" borderId="0" xfId="36" applyFont="1" applyFill="1" applyAlignment="1">
      <alignment vertical="top"/>
    </xf>
    <xf numFmtId="0" fontId="6" fillId="2" borderId="0" xfId="36" applyFont="1" applyFill="1" applyAlignment="1">
      <alignment vertical="top"/>
    </xf>
    <xf numFmtId="0" fontId="4" fillId="2" borderId="0" xfId="36" applyFont="1" applyFill="1" applyAlignment="1">
      <alignment vertical="top"/>
    </xf>
    <xf numFmtId="0" fontId="4" fillId="2" borderId="0" xfId="11" applyFont="1" applyFill="1" applyAlignment="1">
      <alignment vertical="top"/>
    </xf>
    <xf numFmtId="3" fontId="4" fillId="2" borderId="0" xfId="11" applyNumberFormat="1" applyFont="1" applyFill="1" applyAlignment="1">
      <alignment vertical="top"/>
    </xf>
    <xf numFmtId="3" fontId="4" fillId="2" borderId="0" xfId="11" applyNumberFormat="1" applyFont="1" applyFill="1" applyAlignment="1">
      <alignment horizontal="right" vertical="top"/>
    </xf>
    <xf numFmtId="0" fontId="129" fillId="2" borderId="0" xfId="11" applyFont="1" applyFill="1" applyAlignment="1">
      <alignment vertical="top"/>
    </xf>
    <xf numFmtId="0" fontId="129" fillId="2" borderId="0" xfId="7" applyFont="1" applyFill="1" applyAlignment="1">
      <alignment vertical="top"/>
    </xf>
    <xf numFmtId="0" fontId="6" fillId="0" borderId="0" xfId="7" applyFont="1" applyFill="1" applyAlignment="1">
      <alignment vertical="top"/>
    </xf>
    <xf numFmtId="0" fontId="4" fillId="0" borderId="0" xfId="7" applyFont="1" applyFill="1" applyBorder="1" applyAlignment="1">
      <alignment vertical="top"/>
    </xf>
    <xf numFmtId="3" fontId="47" fillId="0" borderId="0" xfId="11" quotePrefix="1" applyNumberFormat="1" applyFont="1" applyFill="1" applyBorder="1" applyAlignment="1">
      <alignment horizontal="right" vertical="center"/>
    </xf>
    <xf numFmtId="3" fontId="47" fillId="0" borderId="0" xfId="58" quotePrefix="1" applyNumberFormat="1" applyFont="1" applyFill="1" applyBorder="1" applyAlignment="1">
      <alignment horizontal="right" vertical="center"/>
    </xf>
    <xf numFmtId="165" fontId="47" fillId="0" borderId="0" xfId="11" quotePrefix="1" applyNumberFormat="1" applyFont="1" applyFill="1" applyBorder="1" applyAlignment="1">
      <alignment horizontal="right" vertical="center"/>
    </xf>
    <xf numFmtId="165" fontId="47" fillId="0" borderId="0" xfId="58" quotePrefix="1" applyNumberFormat="1" applyFont="1" applyFill="1" applyBorder="1" applyAlignment="1">
      <alignment horizontal="right" vertical="center"/>
    </xf>
    <xf numFmtId="0" fontId="130" fillId="2" borderId="0" xfId="7" applyFont="1" applyFill="1" applyAlignment="1">
      <alignment vertical="center"/>
    </xf>
    <xf numFmtId="0" fontId="120" fillId="2" borderId="0" xfId="7" applyFont="1" applyFill="1" applyBorder="1" applyAlignment="1"/>
    <xf numFmtId="0" fontId="121" fillId="2" borderId="0" xfId="11" applyFont="1" applyFill="1" applyAlignment="1">
      <alignment vertical="center"/>
    </xf>
    <xf numFmtId="0" fontId="121" fillId="2" borderId="0" xfId="7" applyFont="1" applyFill="1" applyAlignment="1">
      <alignment vertical="center"/>
    </xf>
    <xf numFmtId="0" fontId="121" fillId="2" borderId="0" xfId="7" applyFont="1" applyFill="1" applyAlignment="1"/>
    <xf numFmtId="0" fontId="12" fillId="2" borderId="0" xfId="14" applyFont="1" applyFill="1" applyAlignment="1">
      <alignment vertical="center"/>
    </xf>
    <xf numFmtId="0" fontId="14" fillId="2" borderId="0" xfId="14" applyFont="1" applyFill="1"/>
    <xf numFmtId="0" fontId="7" fillId="2" borderId="0" xfId="14" applyFont="1" applyFill="1"/>
    <xf numFmtId="0" fontId="9" fillId="2" borderId="0" xfId="14" applyFont="1" applyFill="1"/>
    <xf numFmtId="0" fontId="8" fillId="3" borderId="38" xfId="14" applyFont="1" applyFill="1" applyBorder="1" applyAlignment="1">
      <alignment horizontal="center" vertical="center"/>
    </xf>
    <xf numFmtId="0" fontId="8" fillId="3" borderId="39" xfId="14" applyFont="1" applyFill="1" applyBorder="1" applyAlignment="1">
      <alignment horizontal="center" vertical="center"/>
    </xf>
    <xf numFmtId="0" fontId="8" fillId="3" borderId="40" xfId="14" applyFont="1" applyFill="1" applyBorder="1" applyAlignment="1">
      <alignment horizontal="center" vertical="center"/>
    </xf>
    <xf numFmtId="0" fontId="8" fillId="3" borderId="94" xfId="14" applyFont="1" applyFill="1" applyBorder="1" applyAlignment="1">
      <alignment horizontal="center" vertical="center"/>
    </xf>
    <xf numFmtId="0" fontId="8" fillId="3" borderId="58" xfId="14" applyFont="1" applyFill="1" applyBorder="1" applyAlignment="1">
      <alignment horizontal="right" vertical="center" wrapText="1"/>
    </xf>
    <xf numFmtId="173" fontId="7" fillId="2" borderId="144" xfId="14" applyNumberFormat="1" applyFont="1" applyFill="1" applyBorder="1" applyAlignment="1">
      <alignment horizontal="center" vertical="center"/>
    </xf>
    <xf numFmtId="173" fontId="7" fillId="2" borderId="56" xfId="14" applyNumberFormat="1" applyFont="1" applyFill="1" applyBorder="1" applyAlignment="1">
      <alignment horizontal="center" vertical="center"/>
    </xf>
    <xf numFmtId="173" fontId="7" fillId="2" borderId="165" xfId="14" applyNumberFormat="1" applyFont="1" applyFill="1" applyBorder="1" applyAlignment="1">
      <alignment horizontal="center" vertical="center"/>
    </xf>
    <xf numFmtId="173" fontId="7" fillId="2" borderId="0" xfId="14" applyNumberFormat="1" applyFont="1" applyFill="1" applyBorder="1" applyAlignment="1">
      <alignment horizontal="center" vertical="center"/>
    </xf>
    <xf numFmtId="173" fontId="7" fillId="2" borderId="50" xfId="14" applyNumberFormat="1" applyFont="1" applyFill="1" applyBorder="1" applyAlignment="1">
      <alignment horizontal="center" vertical="center"/>
    </xf>
    <xf numFmtId="0" fontId="8" fillId="3" borderId="6" xfId="14" applyFont="1" applyFill="1" applyBorder="1" applyAlignment="1">
      <alignment horizontal="right" vertical="center"/>
    </xf>
    <xf numFmtId="173" fontId="14" fillId="2" borderId="118" xfId="14" applyNumberFormat="1" applyFont="1" applyFill="1" applyBorder="1" applyAlignment="1">
      <alignment horizontal="center" vertical="center"/>
    </xf>
    <xf numFmtId="173" fontId="7" fillId="2" borderId="52" xfId="14" applyNumberFormat="1" applyFont="1" applyFill="1" applyBorder="1" applyAlignment="1">
      <alignment horizontal="center" vertical="center"/>
    </xf>
    <xf numFmtId="173" fontId="7" fillId="2" borderId="118" xfId="14" applyNumberFormat="1" applyFont="1" applyFill="1" applyBorder="1" applyAlignment="1">
      <alignment horizontal="center" vertical="center"/>
    </xf>
    <xf numFmtId="0" fontId="8" fillId="3" borderId="344" xfId="14" applyFont="1" applyFill="1" applyBorder="1" applyAlignment="1">
      <alignment horizontal="right" vertical="center"/>
    </xf>
    <xf numFmtId="173" fontId="14" fillId="2" borderId="345" xfId="14" applyNumberFormat="1" applyFont="1" applyFill="1" applyBorder="1" applyAlignment="1">
      <alignment horizontal="center" vertical="center"/>
    </xf>
    <xf numFmtId="173" fontId="7" fillId="2" borderId="346" xfId="14" applyNumberFormat="1" applyFont="1" applyFill="1" applyBorder="1" applyAlignment="1">
      <alignment horizontal="center" vertical="center"/>
    </xf>
    <xf numFmtId="173" fontId="7" fillId="2" borderId="347" xfId="14" applyNumberFormat="1" applyFont="1" applyFill="1" applyBorder="1" applyAlignment="1">
      <alignment horizontal="center" vertical="center"/>
    </xf>
    <xf numFmtId="173" fontId="7" fillId="2" borderId="345" xfId="14" applyNumberFormat="1" applyFont="1" applyFill="1" applyBorder="1" applyAlignment="1">
      <alignment horizontal="center" vertical="center"/>
    </xf>
    <xf numFmtId="173" fontId="7" fillId="2" borderId="348" xfId="14" applyNumberFormat="1" applyFont="1" applyFill="1" applyBorder="1" applyAlignment="1">
      <alignment horizontal="center" vertical="center"/>
    </xf>
    <xf numFmtId="0" fontId="8" fillId="3" borderId="6" xfId="14" applyFont="1" applyFill="1" applyBorder="1" applyAlignment="1">
      <alignment horizontal="right" vertical="center" wrapText="1"/>
    </xf>
    <xf numFmtId="173" fontId="14" fillId="2" borderId="349" xfId="14" applyNumberFormat="1" applyFont="1" applyFill="1" applyBorder="1" applyAlignment="1">
      <alignment horizontal="center" vertical="center"/>
    </xf>
    <xf numFmtId="173" fontId="7" fillId="2" borderId="350" xfId="14" applyNumberFormat="1" applyFont="1" applyFill="1" applyBorder="1" applyAlignment="1">
      <alignment horizontal="center" vertical="center"/>
    </xf>
    <xf numFmtId="173" fontId="7" fillId="2" borderId="351" xfId="14" applyNumberFormat="1" applyFont="1" applyFill="1" applyBorder="1" applyAlignment="1">
      <alignment horizontal="center" vertical="center"/>
    </xf>
    <xf numFmtId="173" fontId="7" fillId="2" borderId="352" xfId="14" applyNumberFormat="1" applyFont="1" applyFill="1" applyBorder="1" applyAlignment="1">
      <alignment horizontal="center" vertical="center"/>
    </xf>
    <xf numFmtId="17" fontId="8" fillId="3" borderId="6" xfId="14" applyNumberFormat="1" applyFont="1" applyFill="1" applyBorder="1" applyAlignment="1">
      <alignment horizontal="left"/>
    </xf>
    <xf numFmtId="179" fontId="7" fillId="2" borderId="0" xfId="1" applyNumberFormat="1" applyFont="1" applyFill="1" applyBorder="1" applyAlignment="1">
      <alignment horizontal="center" vertical="center"/>
    </xf>
    <xf numFmtId="17" fontId="8" fillId="3" borderId="6" xfId="14" applyNumberFormat="1" applyFont="1" applyFill="1" applyBorder="1" applyAlignment="1">
      <alignment horizontal="right"/>
    </xf>
    <xf numFmtId="173" fontId="7" fillId="2" borderId="0" xfId="14" applyNumberFormat="1" applyFont="1" applyFill="1"/>
    <xf numFmtId="0" fontId="7" fillId="2" borderId="155" xfId="14" applyFont="1" applyFill="1" applyBorder="1"/>
    <xf numFmtId="17" fontId="8" fillId="3" borderId="344" xfId="14" applyNumberFormat="1" applyFont="1" applyFill="1" applyBorder="1" applyAlignment="1">
      <alignment horizontal="right"/>
    </xf>
    <xf numFmtId="17" fontId="8" fillId="3" borderId="353" xfId="14" applyNumberFormat="1" applyFont="1" applyFill="1" applyBorder="1" applyAlignment="1">
      <alignment horizontal="left"/>
    </xf>
    <xf numFmtId="173" fontId="14" fillId="2" borderId="352" xfId="14" applyNumberFormat="1" applyFont="1" applyFill="1" applyBorder="1" applyAlignment="1">
      <alignment horizontal="center" vertical="center"/>
    </xf>
    <xf numFmtId="173" fontId="7" fillId="2" borderId="354" xfId="14" applyNumberFormat="1" applyFont="1" applyFill="1" applyBorder="1" applyAlignment="1">
      <alignment horizontal="center" vertical="center"/>
    </xf>
    <xf numFmtId="173" fontId="7" fillId="0" borderId="0" xfId="14" applyNumberFormat="1" applyFont="1" applyFill="1" applyBorder="1" applyAlignment="1">
      <alignment horizontal="center" vertical="center"/>
    </xf>
    <xf numFmtId="173" fontId="7" fillId="0" borderId="50" xfId="14" applyNumberFormat="1" applyFont="1" applyFill="1" applyBorder="1" applyAlignment="1">
      <alignment horizontal="center" vertical="center"/>
    </xf>
    <xf numFmtId="17" fontId="8" fillId="3" borderId="353" xfId="14" applyNumberFormat="1" applyFont="1" applyFill="1" applyBorder="1" applyAlignment="1">
      <alignment horizontal="right"/>
    </xf>
    <xf numFmtId="173" fontId="7" fillId="0" borderId="351" xfId="14" applyNumberFormat="1" applyFont="1" applyFill="1" applyBorder="1" applyAlignment="1">
      <alignment horizontal="center" vertical="center"/>
    </xf>
    <xf numFmtId="173" fontId="7" fillId="0" borderId="354" xfId="14" applyNumberFormat="1" applyFont="1" applyFill="1" applyBorder="1" applyAlignment="1">
      <alignment horizontal="center" vertical="center"/>
    </xf>
    <xf numFmtId="17" fontId="8" fillId="3" borderId="3" xfId="14" applyNumberFormat="1" applyFont="1" applyFill="1" applyBorder="1" applyAlignment="1">
      <alignment horizontal="right"/>
    </xf>
    <xf numFmtId="173" fontId="14" fillId="2" borderId="146" xfId="14" applyNumberFormat="1" applyFont="1" applyFill="1" applyBorder="1" applyAlignment="1">
      <alignment horizontal="center" vertical="center"/>
    </xf>
    <xf numFmtId="173" fontId="7" fillId="2" borderId="16" xfId="14" applyNumberFormat="1" applyFont="1" applyFill="1" applyBorder="1" applyAlignment="1">
      <alignment horizontal="center" vertical="center"/>
    </xf>
    <xf numFmtId="173" fontId="7" fillId="2" borderId="146" xfId="14" applyNumberFormat="1" applyFont="1" applyFill="1" applyBorder="1" applyAlignment="1">
      <alignment horizontal="center" vertical="center"/>
    </xf>
    <xf numFmtId="173" fontId="7" fillId="0" borderId="16" xfId="14" applyNumberFormat="1" applyFont="1" applyFill="1" applyBorder="1" applyAlignment="1">
      <alignment horizontal="center" vertical="center"/>
    </xf>
    <xf numFmtId="173" fontId="7" fillId="0" borderId="45" xfId="14" applyNumberFormat="1" applyFont="1" applyFill="1" applyBorder="1" applyAlignment="1">
      <alignment horizontal="center" vertical="center"/>
    </xf>
    <xf numFmtId="0" fontId="4" fillId="2" borderId="0" xfId="14" applyFont="1" applyFill="1"/>
    <xf numFmtId="173" fontId="7" fillId="2" borderId="0" xfId="14" applyNumberFormat="1" applyFont="1" applyFill="1" applyAlignment="1">
      <alignment horizontal="center" vertical="center"/>
    </xf>
    <xf numFmtId="0" fontId="19" fillId="2" borderId="0" xfId="14" applyFont="1" applyFill="1"/>
    <xf numFmtId="2" fontId="7" fillId="2" borderId="0" xfId="14" applyNumberFormat="1" applyFont="1" applyFill="1"/>
    <xf numFmtId="0" fontId="12" fillId="2" borderId="0" xfId="36" applyFont="1" applyFill="1" applyAlignment="1">
      <alignment vertical="center"/>
    </xf>
    <xf numFmtId="0" fontId="19" fillId="2" borderId="0" xfId="36" applyFont="1" applyFill="1"/>
    <xf numFmtId="0" fontId="4" fillId="2" borderId="0" xfId="36" applyFont="1" applyFill="1" applyBorder="1"/>
    <xf numFmtId="0" fontId="3" fillId="0" borderId="0" xfId="61" applyFont="1" applyAlignment="1">
      <alignment vertical="center"/>
    </xf>
    <xf numFmtId="0" fontId="4" fillId="0" borderId="0" xfId="61" applyFont="1" applyAlignment="1">
      <alignment horizontal="right" vertical="center"/>
    </xf>
    <xf numFmtId="0" fontId="9" fillId="3" borderId="14" xfId="36" applyFont="1" applyFill="1" applyBorder="1"/>
    <xf numFmtId="0" fontId="7" fillId="0" borderId="0" xfId="61" applyFont="1" applyAlignment="1">
      <alignment vertical="top"/>
    </xf>
    <xf numFmtId="0" fontId="9" fillId="3" borderId="3" xfId="36" applyFont="1" applyFill="1" applyBorder="1"/>
    <xf numFmtId="0" fontId="9" fillId="3" borderId="6" xfId="36" applyFont="1" applyFill="1" applyBorder="1"/>
    <xf numFmtId="37" fontId="7" fillId="2" borderId="5" xfId="36" applyNumberFormat="1" applyFont="1" applyFill="1" applyBorder="1"/>
    <xf numFmtId="37" fontId="7" fillId="0" borderId="5" xfId="36" applyNumberFormat="1" applyFont="1" applyFill="1" applyBorder="1"/>
    <xf numFmtId="37" fontId="7" fillId="0" borderId="4" xfId="36" applyNumberFormat="1" applyFont="1" applyFill="1" applyBorder="1"/>
    <xf numFmtId="37" fontId="7" fillId="2" borderId="5" xfId="36" applyNumberFormat="1" applyFont="1" applyFill="1" applyBorder="1" applyAlignment="1">
      <alignment horizontal="center"/>
    </xf>
    <xf numFmtId="37" fontId="7" fillId="0" borderId="5" xfId="36" applyNumberFormat="1" applyFont="1" applyFill="1" applyBorder="1" applyAlignment="1">
      <alignment horizontal="center"/>
    </xf>
    <xf numFmtId="0" fontId="9" fillId="3" borderId="6" xfId="36" applyFont="1" applyFill="1" applyBorder="1" applyAlignment="1">
      <alignment wrapText="1"/>
    </xf>
    <xf numFmtId="0" fontId="5" fillId="3" borderId="6" xfId="36" applyFont="1" applyFill="1" applyBorder="1" applyAlignment="1">
      <alignment horizontal="left"/>
    </xf>
    <xf numFmtId="202" fontId="9" fillId="2" borderId="5" xfId="36" applyNumberFormat="1" applyFont="1" applyFill="1" applyBorder="1"/>
    <xf numFmtId="202" fontId="5" fillId="2" borderId="5" xfId="36" applyNumberFormat="1" applyFont="1" applyFill="1" applyBorder="1"/>
    <xf numFmtId="202" fontId="27" fillId="2" borderId="5" xfId="36" applyNumberFormat="1" applyFont="1" applyFill="1" applyBorder="1"/>
    <xf numFmtId="202" fontId="27" fillId="0" borderId="5" xfId="36" applyNumberFormat="1" applyFont="1" applyFill="1" applyBorder="1"/>
    <xf numFmtId="202" fontId="27" fillId="0" borderId="4" xfId="36" applyNumberFormat="1" applyFont="1" applyFill="1" applyBorder="1"/>
    <xf numFmtId="0" fontId="9" fillId="0" borderId="0" xfId="61" applyFont="1" applyAlignment="1">
      <alignment vertical="top"/>
    </xf>
    <xf numFmtId="179" fontId="7" fillId="2" borderId="5" xfId="1" applyNumberFormat="1" applyFont="1" applyFill="1" applyBorder="1"/>
    <xf numFmtId="202" fontId="7" fillId="2" borderId="5" xfId="36" applyNumberFormat="1" applyFont="1" applyFill="1" applyBorder="1"/>
    <xf numFmtId="202" fontId="4" fillId="2" borderId="5" xfId="36" applyNumberFormat="1" applyFont="1" applyFill="1" applyBorder="1"/>
    <xf numFmtId="203" fontId="7" fillId="2" borderId="5" xfId="36" applyNumberFormat="1" applyFont="1" applyFill="1" applyBorder="1"/>
    <xf numFmtId="203" fontId="7" fillId="0" borderId="5" xfId="36" applyNumberFormat="1" applyFont="1" applyFill="1" applyBorder="1"/>
    <xf numFmtId="203" fontId="7" fillId="0" borderId="4" xfId="36" applyNumberFormat="1" applyFont="1" applyFill="1" applyBorder="1"/>
    <xf numFmtId="203" fontId="7" fillId="2" borderId="5" xfId="36" quotePrefix="1" applyNumberFormat="1" applyFont="1" applyFill="1" applyBorder="1" applyAlignment="1">
      <alignment horizontal="center"/>
    </xf>
    <xf numFmtId="203" fontId="7" fillId="0" borderId="5" xfId="36" quotePrefix="1" applyNumberFormat="1" applyFont="1" applyFill="1" applyBorder="1" applyAlignment="1">
      <alignment horizontal="center"/>
    </xf>
    <xf numFmtId="203" fontId="7" fillId="0" borderId="4" xfId="36" quotePrefix="1" applyNumberFormat="1" applyFont="1" applyFill="1" applyBorder="1" applyAlignment="1">
      <alignment horizontal="center"/>
    </xf>
    <xf numFmtId="179" fontId="7" fillId="2" borderId="5" xfId="15" applyNumberFormat="1" applyFont="1" applyFill="1" applyBorder="1"/>
    <xf numFmtId="179" fontId="7" fillId="0" borderId="5" xfId="15" applyNumberFormat="1" applyFont="1" applyFill="1" applyBorder="1"/>
    <xf numFmtId="179" fontId="7" fillId="0" borderId="4" xfId="15" applyNumberFormat="1" applyFont="1" applyFill="1" applyBorder="1"/>
    <xf numFmtId="0" fontId="5" fillId="3" borderId="3" xfId="36" applyFont="1" applyFill="1" applyBorder="1" applyAlignment="1">
      <alignment horizontal="left"/>
    </xf>
    <xf numFmtId="202" fontId="7" fillId="2" borderId="2" xfId="36" applyNumberFormat="1" applyFont="1" applyFill="1" applyBorder="1"/>
    <xf numFmtId="202" fontId="4" fillId="2" borderId="2" xfId="36" applyNumberFormat="1" applyFont="1" applyFill="1" applyBorder="1"/>
    <xf numFmtId="202" fontId="27" fillId="2" borderId="2" xfId="36" applyNumberFormat="1" applyFont="1" applyFill="1" applyBorder="1"/>
    <xf numFmtId="202" fontId="27" fillId="0" borderId="2" xfId="36" applyNumberFormat="1" applyFont="1" applyFill="1" applyBorder="1"/>
    <xf numFmtId="202" fontId="27" fillId="0" borderId="1" xfId="36" applyNumberFormat="1" applyFont="1" applyFill="1" applyBorder="1"/>
    <xf numFmtId="3" fontId="4" fillId="0" borderId="0" xfId="61" applyNumberFormat="1" applyFont="1"/>
    <xf numFmtId="204" fontId="4" fillId="0" borderId="0" xfId="61" applyNumberFormat="1" applyFont="1" applyAlignment="1">
      <alignment horizontal="right"/>
    </xf>
    <xf numFmtId="0" fontId="4" fillId="0" borderId="0" xfId="61" applyFont="1"/>
    <xf numFmtId="3" fontId="4" fillId="0" borderId="0" xfId="61" applyNumberFormat="1" applyFont="1" applyAlignment="1">
      <alignment horizontal="left"/>
    </xf>
    <xf numFmtId="0" fontId="4" fillId="0" borderId="0" xfId="62" applyFont="1" applyAlignment="1">
      <alignment vertical="center"/>
    </xf>
    <xf numFmtId="0" fontId="4" fillId="0" borderId="0" xfId="62" applyFont="1" applyAlignment="1">
      <alignment vertical="center" wrapText="1"/>
    </xf>
    <xf numFmtId="37" fontId="4" fillId="0" borderId="0" xfId="61" applyNumberFormat="1" applyFont="1"/>
    <xf numFmtId="3" fontId="4" fillId="0" borderId="0" xfId="61" applyNumberFormat="1" applyFont="1" applyAlignment="1">
      <alignment wrapText="1"/>
    </xf>
    <xf numFmtId="3" fontId="32" fillId="0" borderId="0" xfId="61" applyNumberFormat="1" applyFont="1" applyAlignment="1">
      <alignment wrapText="1"/>
    </xf>
    <xf numFmtId="3" fontId="4" fillId="0" borderId="0" xfId="61" applyNumberFormat="1" applyFont="1" applyAlignment="1">
      <alignment horizontal="center"/>
    </xf>
    <xf numFmtId="0" fontId="3" fillId="0" borderId="0" xfId="36" applyFont="1"/>
    <xf numFmtId="0" fontId="3" fillId="0" borderId="0" xfId="61" applyFont="1"/>
    <xf numFmtId="3" fontId="3" fillId="0" borderId="0" xfId="61" applyNumberFormat="1" applyFont="1"/>
    <xf numFmtId="173" fontId="3" fillId="0" borderId="0" xfId="61" applyNumberFormat="1" applyFont="1"/>
    <xf numFmtId="0" fontId="3" fillId="9" borderId="0" xfId="61" applyFont="1" applyFill="1"/>
    <xf numFmtId="0" fontId="12" fillId="0" borderId="0" xfId="63" applyFont="1" applyAlignment="1">
      <alignment horizontal="left" vertical="center"/>
    </xf>
    <xf numFmtId="0" fontId="19" fillId="0" borderId="0" xfId="63" applyFont="1" applyAlignment="1">
      <alignment vertical="center"/>
    </xf>
    <xf numFmtId="0" fontId="3" fillId="0" borderId="0" xfId="63" applyFont="1" applyAlignment="1">
      <alignment vertical="center"/>
    </xf>
    <xf numFmtId="0" fontId="8" fillId="3" borderId="203" xfId="64" applyFont="1" applyFill="1" applyBorder="1" applyAlignment="1">
      <alignment horizontal="center" vertical="center"/>
    </xf>
    <xf numFmtId="0" fontId="8" fillId="3" borderId="206" xfId="64" applyFont="1" applyFill="1" applyBorder="1" applyAlignment="1">
      <alignment horizontal="center" vertical="center"/>
    </xf>
    <xf numFmtId="0" fontId="8" fillId="3" borderId="355" xfId="64" applyFont="1" applyFill="1" applyBorder="1" applyAlignment="1">
      <alignment horizontal="center" vertical="center"/>
    </xf>
    <xf numFmtId="0" fontId="9" fillId="0" borderId="0" xfId="63" applyFont="1" applyAlignment="1">
      <alignment vertical="center"/>
    </xf>
    <xf numFmtId="0" fontId="8" fillId="3" borderId="6" xfId="64" applyFont="1" applyFill="1" applyBorder="1" applyAlignment="1">
      <alignment horizontal="left" vertical="center"/>
    </xf>
    <xf numFmtId="173" fontId="7" fillId="0" borderId="5" xfId="64" applyNumberFormat="1" applyFont="1" applyBorder="1" applyAlignment="1">
      <alignment horizontal="center" vertical="center"/>
    </xf>
    <xf numFmtId="173" fontId="7" fillId="0" borderId="5" xfId="64" applyNumberFormat="1" applyFont="1" applyFill="1" applyBorder="1" applyAlignment="1">
      <alignment horizontal="center" vertical="center"/>
    </xf>
    <xf numFmtId="173" fontId="7" fillId="0" borderId="4" xfId="64" applyNumberFormat="1" applyFont="1" applyFill="1" applyBorder="1" applyAlignment="1">
      <alignment horizontal="center" vertical="center"/>
    </xf>
    <xf numFmtId="0" fontId="8" fillId="3" borderId="6" xfId="64" quotePrefix="1" applyFont="1" applyFill="1" applyBorder="1" applyAlignment="1">
      <alignment horizontal="left" vertical="center"/>
    </xf>
    <xf numFmtId="173" fontId="7" fillId="0" borderId="281" xfId="64" applyNumberFormat="1" applyFont="1" applyBorder="1" applyAlignment="1">
      <alignment horizontal="center" vertical="center"/>
    </xf>
    <xf numFmtId="0" fontId="7" fillId="0" borderId="5" xfId="63" applyFont="1" applyBorder="1" applyAlignment="1">
      <alignment horizontal="center" vertical="center"/>
    </xf>
    <xf numFmtId="0" fontId="7" fillId="0" borderId="5" xfId="63" applyFont="1" applyFill="1" applyBorder="1" applyAlignment="1">
      <alignment horizontal="center" vertical="center"/>
    </xf>
    <xf numFmtId="0" fontId="7" fillId="0" borderId="4" xfId="63" applyFont="1" applyFill="1" applyBorder="1" applyAlignment="1">
      <alignment horizontal="center" vertical="center"/>
    </xf>
    <xf numFmtId="173" fontId="14" fillId="0" borderId="5" xfId="64" applyNumberFormat="1" applyFont="1" applyBorder="1" applyAlignment="1">
      <alignment horizontal="center" vertical="center"/>
    </xf>
    <xf numFmtId="173" fontId="14" fillId="0" borderId="5" xfId="64" applyNumberFormat="1" applyFont="1" applyFill="1" applyBorder="1" applyAlignment="1">
      <alignment horizontal="center" vertical="center"/>
    </xf>
    <xf numFmtId="173" fontId="14" fillId="0" borderId="4" xfId="64" applyNumberFormat="1" applyFont="1" applyFill="1" applyBorder="1" applyAlignment="1">
      <alignment horizontal="center" vertical="center"/>
    </xf>
    <xf numFmtId="177" fontId="19" fillId="0" borderId="0" xfId="16" applyNumberFormat="1" applyFont="1" applyAlignment="1">
      <alignment vertical="center"/>
    </xf>
    <xf numFmtId="0" fontId="48" fillId="3" borderId="6" xfId="64" applyFont="1" applyFill="1" applyBorder="1" applyAlignment="1">
      <alignment horizontal="left" vertical="center"/>
    </xf>
    <xf numFmtId="205" fontId="14" fillId="0" borderId="5" xfId="64" quotePrefix="1" applyNumberFormat="1" applyFont="1" applyBorder="1" applyAlignment="1">
      <alignment horizontal="center" vertical="center"/>
    </xf>
    <xf numFmtId="205" fontId="14" fillId="0" borderId="5" xfId="64" quotePrefix="1" applyNumberFormat="1" applyFont="1" applyFill="1" applyBorder="1" applyAlignment="1">
      <alignment horizontal="center" vertical="center"/>
    </xf>
    <xf numFmtId="205" fontId="14" fillId="0" borderId="4" xfId="64" quotePrefix="1" applyNumberFormat="1" applyFont="1" applyFill="1" applyBorder="1" applyAlignment="1">
      <alignment horizontal="center" vertical="center"/>
    </xf>
    <xf numFmtId="0" fontId="19" fillId="0" borderId="0" xfId="63" applyFont="1" applyFill="1" applyAlignment="1">
      <alignment vertical="center"/>
    </xf>
    <xf numFmtId="0" fontId="8" fillId="3" borderId="3" xfId="64" applyFont="1" applyFill="1" applyBorder="1" applyAlignment="1">
      <alignment horizontal="left" vertical="center"/>
    </xf>
    <xf numFmtId="205" fontId="14" fillId="0" borderId="2" xfId="64" quotePrefix="1" applyNumberFormat="1" applyFont="1" applyBorder="1" applyAlignment="1">
      <alignment horizontal="center" vertical="center"/>
    </xf>
    <xf numFmtId="205" fontId="14" fillId="0" borderId="2" xfId="64" quotePrefix="1" applyNumberFormat="1" applyFont="1" applyFill="1" applyBorder="1" applyAlignment="1">
      <alignment horizontal="center" vertical="center"/>
    </xf>
    <xf numFmtId="205" fontId="14" fillId="0" borderId="1" xfId="64" quotePrefix="1" applyNumberFormat="1" applyFont="1" applyFill="1" applyBorder="1" applyAlignment="1">
      <alignment horizontal="center" vertical="center"/>
    </xf>
    <xf numFmtId="0" fontId="4" fillId="0" borderId="0" xfId="64" applyFont="1" applyAlignment="1">
      <alignment horizontal="left" vertical="center"/>
    </xf>
    <xf numFmtId="0" fontId="4" fillId="0" borderId="0" xfId="63" applyFont="1" applyAlignment="1">
      <alignment vertical="center"/>
    </xf>
    <xf numFmtId="0" fontId="6" fillId="0" borderId="0" xfId="64" applyFont="1" applyAlignment="1">
      <alignment horizontal="left" vertical="center"/>
    </xf>
    <xf numFmtId="0" fontId="4" fillId="0" borderId="0" xfId="63" applyFont="1"/>
    <xf numFmtId="0" fontId="52" fillId="0" borderId="0" xfId="14" applyFont="1" applyAlignment="1">
      <alignment horizontal="left"/>
    </xf>
    <xf numFmtId="0" fontId="12" fillId="0" borderId="0" xfId="14" applyFont="1" applyAlignment="1">
      <alignment horizontal="left" vertical="center"/>
    </xf>
    <xf numFmtId="0" fontId="3" fillId="0" borderId="0" xfId="14" applyFont="1" applyAlignment="1">
      <alignment horizontal="center" vertical="center"/>
    </xf>
    <xf numFmtId="0" fontId="19" fillId="0" borderId="0" xfId="14" applyFont="1" applyAlignment="1">
      <alignment vertical="center"/>
    </xf>
    <xf numFmtId="0" fontId="4" fillId="0" borderId="0" xfId="14" applyFont="1" applyAlignment="1">
      <alignment horizontal="right" vertical="center"/>
    </xf>
    <xf numFmtId="0" fontId="1" fillId="0" borderId="0" xfId="14"/>
    <xf numFmtId="0" fontId="8" fillId="3" borderId="356" xfId="14" applyFont="1" applyFill="1" applyBorder="1" applyAlignment="1">
      <alignment horizontal="center" vertical="center"/>
    </xf>
    <xf numFmtId="0" fontId="8" fillId="3" borderId="298" xfId="14" applyFont="1" applyFill="1" applyBorder="1" applyAlignment="1">
      <alignment horizontal="center" vertical="center"/>
    </xf>
    <xf numFmtId="0" fontId="8" fillId="3" borderId="358" xfId="14" applyFont="1" applyFill="1" applyBorder="1" applyAlignment="1">
      <alignment horizontal="center" vertical="center"/>
    </xf>
    <xf numFmtId="0" fontId="8" fillId="3" borderId="359" xfId="14" applyFont="1" applyFill="1" applyBorder="1" applyAlignment="1">
      <alignment horizontal="center" vertical="center"/>
    </xf>
    <xf numFmtId="0" fontId="8" fillId="3" borderId="360" xfId="14" applyFont="1" applyFill="1" applyBorder="1" applyAlignment="1">
      <alignment horizontal="center" vertical="center"/>
    </xf>
    <xf numFmtId="0" fontId="8" fillId="3" borderId="361" xfId="14" applyFont="1" applyFill="1" applyBorder="1" applyAlignment="1">
      <alignment horizontal="center" vertical="center" wrapText="1"/>
    </xf>
    <xf numFmtId="0" fontId="8" fillId="3" borderId="359" xfId="14" applyFont="1" applyFill="1" applyBorder="1" applyAlignment="1">
      <alignment horizontal="center" vertical="center" wrapText="1"/>
    </xf>
    <xf numFmtId="0" fontId="8" fillId="3" borderId="360" xfId="14" applyFont="1" applyFill="1" applyBorder="1" applyAlignment="1">
      <alignment horizontal="center" vertical="center" wrapText="1"/>
    </xf>
    <xf numFmtId="17" fontId="8" fillId="3" borderId="143" xfId="14" applyNumberFormat="1" applyFont="1" applyFill="1" applyBorder="1" applyAlignment="1">
      <alignment horizontal="left"/>
    </xf>
    <xf numFmtId="173" fontId="7" fillId="0" borderId="53" xfId="14" applyNumberFormat="1" applyFont="1" applyBorder="1" applyAlignment="1">
      <alignment horizontal="center" vertical="center"/>
    </xf>
    <xf numFmtId="173" fontId="7" fillId="0" borderId="5" xfId="14" applyNumberFormat="1" applyFont="1" applyBorder="1" applyAlignment="1">
      <alignment horizontal="center" vertical="center"/>
    </xf>
    <xf numFmtId="173" fontId="7" fillId="0" borderId="4" xfId="14" applyNumberFormat="1" applyFont="1" applyBorder="1" applyAlignment="1">
      <alignment horizontal="center" vertical="center"/>
    </xf>
    <xf numFmtId="173" fontId="7" fillId="0" borderId="118" xfId="14" applyNumberFormat="1" applyFont="1" applyBorder="1" applyAlignment="1">
      <alignment horizontal="center" vertical="center"/>
    </xf>
    <xf numFmtId="179" fontId="1" fillId="0" borderId="0" xfId="1" applyNumberFormat="1"/>
    <xf numFmtId="17" fontId="8" fillId="3" borderId="145" xfId="14" quotePrefix="1" applyNumberFormat="1" applyFont="1" applyFill="1" applyBorder="1" applyAlignment="1">
      <alignment horizontal="left"/>
    </xf>
    <xf numFmtId="173" fontId="7" fillId="0" borderId="48" xfId="14" applyNumberFormat="1" applyFont="1" applyFill="1" applyBorder="1" applyAlignment="1">
      <alignment horizontal="center" vertical="center"/>
    </xf>
    <xf numFmtId="173" fontId="7" fillId="0" borderId="2" xfId="14" applyNumberFormat="1" applyFont="1" applyFill="1" applyBorder="1" applyAlignment="1">
      <alignment horizontal="center" vertical="center"/>
    </xf>
    <xf numFmtId="173" fontId="7" fillId="0" borderId="1" xfId="14" applyNumberFormat="1" applyFont="1" applyFill="1" applyBorder="1" applyAlignment="1">
      <alignment horizontal="center" vertical="center"/>
    </xf>
    <xf numFmtId="173" fontId="7" fillId="0" borderId="146" xfId="14" applyNumberFormat="1" applyFont="1" applyFill="1" applyBorder="1" applyAlignment="1">
      <alignment horizontal="center" vertical="center"/>
    </xf>
    <xf numFmtId="0" fontId="132" fillId="0" borderId="0" xfId="14" applyFont="1"/>
    <xf numFmtId="0" fontId="4" fillId="0" borderId="0" xfId="14" applyFont="1" applyAlignment="1">
      <alignment vertical="top"/>
    </xf>
    <xf numFmtId="0" fontId="133" fillId="0" borderId="0" xfId="14" applyFont="1"/>
    <xf numFmtId="0" fontId="12" fillId="0" borderId="0" xfId="65" applyFont="1" applyBorder="1"/>
    <xf numFmtId="0" fontId="134" fillId="0" borderId="0" xfId="65" applyFont="1" applyBorder="1"/>
    <xf numFmtId="0" fontId="35" fillId="0" borderId="0" xfId="65" applyFont="1" applyBorder="1"/>
    <xf numFmtId="0" fontId="135" fillId="0" borderId="0" xfId="65" applyFont="1" applyBorder="1" applyAlignment="1">
      <alignment horizontal="center"/>
    </xf>
    <xf numFmtId="0" fontId="136" fillId="0" borderId="0" xfId="65" applyFont="1" applyAlignment="1">
      <alignment horizontal="center"/>
    </xf>
    <xf numFmtId="0" fontId="34" fillId="0" borderId="0" xfId="65" applyFont="1"/>
    <xf numFmtId="0" fontId="82" fillId="0" borderId="0" xfId="65" applyFont="1" applyFill="1"/>
    <xf numFmtId="0" fontId="134" fillId="0" borderId="0" xfId="65" applyFont="1" applyBorder="1" applyAlignment="1">
      <alignment horizontal="center"/>
    </xf>
    <xf numFmtId="0" fontId="23" fillId="0" borderId="0" xfId="65" applyFont="1"/>
    <xf numFmtId="0" fontId="12" fillId="3" borderId="362" xfId="19" applyFont="1" applyFill="1" applyBorder="1"/>
    <xf numFmtId="206" fontId="12" fillId="3" borderId="363" xfId="19" applyNumberFormat="1" applyFont="1" applyFill="1" applyBorder="1" applyAlignment="1">
      <alignment horizontal="right"/>
    </xf>
    <xf numFmtId="0" fontId="34" fillId="3" borderId="363" xfId="65" applyFont="1" applyFill="1" applyBorder="1"/>
    <xf numFmtId="0" fontId="19" fillId="3" borderId="294" xfId="19" applyFont="1" applyFill="1" applyBorder="1"/>
    <xf numFmtId="0" fontId="12" fillId="3" borderId="80" xfId="19" applyFont="1" applyFill="1" applyBorder="1"/>
    <xf numFmtId="206" fontId="12" fillId="3" borderId="0" xfId="19" applyNumberFormat="1" applyFont="1" applyFill="1" applyBorder="1" applyAlignment="1">
      <alignment horizontal="right"/>
    </xf>
    <xf numFmtId="0" fontId="19" fillId="3" borderId="0" xfId="19" applyFont="1" applyFill="1" applyBorder="1" applyAlignment="1">
      <alignment horizontal="right"/>
    </xf>
    <xf numFmtId="0" fontId="19" fillId="3" borderId="19" xfId="19" applyFont="1" applyFill="1" applyBorder="1"/>
    <xf numFmtId="4" fontId="12" fillId="3" borderId="0" xfId="19" applyNumberFormat="1" applyFont="1" applyFill="1" applyBorder="1" applyAlignment="1">
      <alignment horizontal="right"/>
    </xf>
    <xf numFmtId="4" fontId="14" fillId="0" borderId="0" xfId="19" applyNumberFormat="1" applyFont="1" applyFill="1" applyBorder="1" applyAlignment="1">
      <alignment horizontal="right"/>
    </xf>
    <xf numFmtId="0" fontId="7" fillId="0" borderId="0" xfId="19" applyFont="1" applyFill="1" applyBorder="1"/>
    <xf numFmtId="0" fontId="19" fillId="0" borderId="19" xfId="19" applyFont="1" applyFill="1" applyBorder="1"/>
    <xf numFmtId="0" fontId="30" fillId="3" borderId="80" xfId="19" applyFont="1" applyFill="1" applyBorder="1"/>
    <xf numFmtId="0" fontId="19" fillId="3" borderId="80" xfId="19" applyFont="1" applyFill="1" applyBorder="1"/>
    <xf numFmtId="38" fontId="7" fillId="0" borderId="364" xfId="56" applyNumberFormat="1" applyFont="1" applyFill="1" applyBorder="1" applyAlignment="1">
      <alignment horizontal="right"/>
    </xf>
    <xf numFmtId="0" fontId="7" fillId="0" borderId="0" xfId="19" applyFont="1" applyFill="1" applyBorder="1" applyAlignment="1">
      <alignment horizontal="right"/>
    </xf>
    <xf numFmtId="38" fontId="7" fillId="0" borderId="365" xfId="56" applyNumberFormat="1" applyFont="1" applyFill="1" applyBorder="1" applyAlignment="1">
      <alignment horizontal="right"/>
    </xf>
    <xf numFmtId="0" fontId="19" fillId="3" borderId="80" xfId="19" applyFont="1" applyFill="1" applyBorder="1" applyAlignment="1">
      <alignment vertical="center" wrapText="1"/>
    </xf>
    <xf numFmtId="0" fontId="19" fillId="3" borderId="80" xfId="19" applyFont="1" applyFill="1" applyBorder="1" applyAlignment="1">
      <alignment wrapText="1"/>
    </xf>
    <xf numFmtId="38" fontId="7" fillId="0" borderId="366" xfId="56" applyNumberFormat="1" applyFont="1" applyFill="1" applyBorder="1" applyAlignment="1">
      <alignment horizontal="right"/>
    </xf>
    <xf numFmtId="0" fontId="137" fillId="3" borderId="80" xfId="19" applyFont="1" applyFill="1" applyBorder="1"/>
    <xf numFmtId="38" fontId="7" fillId="0" borderId="0" xfId="56" applyNumberFormat="1" applyFont="1" applyFill="1" applyBorder="1" applyAlignment="1">
      <alignment horizontal="right"/>
    </xf>
    <xf numFmtId="38" fontId="7" fillId="0" borderId="343" xfId="56" applyNumberFormat="1" applyFont="1" applyFill="1" applyBorder="1" applyAlignment="1">
      <alignment horizontal="right"/>
    </xf>
    <xf numFmtId="0" fontId="138" fillId="3" borderId="80" xfId="19" applyFont="1" applyFill="1" applyBorder="1"/>
    <xf numFmtId="3" fontId="27" fillId="0" borderId="0" xfId="19" applyNumberFormat="1" applyFont="1" applyFill="1" applyBorder="1" applyAlignment="1">
      <alignment horizontal="right"/>
    </xf>
    <xf numFmtId="0" fontId="19" fillId="3" borderId="80" xfId="19" applyFont="1" applyFill="1" applyBorder="1" applyAlignment="1">
      <alignment horizontal="left"/>
    </xf>
    <xf numFmtId="38" fontId="19" fillId="3" borderId="80" xfId="19" applyNumberFormat="1" applyFont="1" applyFill="1" applyBorder="1"/>
    <xf numFmtId="0" fontId="19" fillId="3" borderId="80" xfId="19" applyFont="1" applyFill="1" applyBorder="1" applyAlignment="1">
      <alignment horizontal="left" vertical="top"/>
    </xf>
    <xf numFmtId="38" fontId="7" fillId="0" borderId="367" xfId="56" applyNumberFormat="1" applyFont="1" applyFill="1" applyBorder="1" applyAlignment="1">
      <alignment horizontal="right"/>
    </xf>
    <xf numFmtId="0" fontId="23" fillId="0" borderId="19" xfId="19" applyFont="1" applyFill="1" applyBorder="1"/>
    <xf numFmtId="3" fontId="113" fillId="0" borderId="0" xfId="19" applyNumberFormat="1" applyFont="1" applyFill="1" applyBorder="1" applyAlignment="1">
      <alignment horizontal="right"/>
    </xf>
    <xf numFmtId="0" fontId="113" fillId="0" borderId="0" xfId="19" applyFont="1" applyFill="1" applyBorder="1" applyAlignment="1">
      <alignment horizontal="right"/>
    </xf>
    <xf numFmtId="37" fontId="7" fillId="0" borderId="0" xfId="56" applyNumberFormat="1" applyFont="1" applyFill="1" applyBorder="1" applyAlignment="1">
      <alignment horizontal="right"/>
    </xf>
    <xf numFmtId="0" fontId="140" fillId="0" borderId="0" xfId="19" applyFont="1" applyFill="1" applyBorder="1" applyAlignment="1">
      <alignment horizontal="right"/>
    </xf>
    <xf numFmtId="0" fontId="82" fillId="0" borderId="0" xfId="65" applyFont="1" applyFill="1" applyAlignment="1">
      <alignment horizontal="center"/>
    </xf>
    <xf numFmtId="0" fontId="116" fillId="0" borderId="0" xfId="65" applyFont="1"/>
    <xf numFmtId="0" fontId="19" fillId="3" borderId="368" xfId="19" applyFont="1" applyFill="1" applyBorder="1"/>
    <xf numFmtId="0" fontId="34" fillId="0" borderId="369" xfId="19" applyFont="1" applyBorder="1"/>
    <xf numFmtId="0" fontId="23" fillId="0" borderId="290" xfId="65" applyFont="1" applyBorder="1"/>
    <xf numFmtId="0" fontId="32" fillId="0" borderId="0" xfId="65" applyFont="1" applyBorder="1"/>
    <xf numFmtId="39" fontId="23" fillId="0" borderId="0" xfId="65" applyNumberFormat="1" applyFont="1"/>
    <xf numFmtId="39" fontId="136" fillId="0" borderId="0" xfId="65" applyNumberFormat="1" applyFont="1"/>
    <xf numFmtId="3" fontId="7" fillId="0" borderId="0" xfId="65" applyNumberFormat="1" applyFont="1" applyFill="1" applyBorder="1" applyAlignment="1"/>
    <xf numFmtId="0" fontId="12" fillId="2" borderId="0" xfId="66" applyFont="1" applyFill="1" applyAlignment="1">
      <alignment vertical="center"/>
    </xf>
    <xf numFmtId="0" fontId="9" fillId="21" borderId="0" xfId="19" applyFont="1" applyFill="1"/>
    <xf numFmtId="0" fontId="27" fillId="2" borderId="0" xfId="19" applyFont="1" applyFill="1" applyAlignment="1">
      <alignment horizontal="right"/>
    </xf>
    <xf numFmtId="0" fontId="8" fillId="3" borderId="303" xfId="67" applyFont="1" applyFill="1" applyBorder="1" applyAlignment="1">
      <alignment horizontal="center"/>
    </xf>
    <xf numFmtId="17" fontId="8" fillId="3" borderId="303" xfId="19" quotePrefix="1" applyNumberFormat="1" applyFont="1" applyFill="1" applyBorder="1" applyAlignment="1">
      <alignment horizontal="center"/>
    </xf>
    <xf numFmtId="0" fontId="9" fillId="3" borderId="79" xfId="19" applyFont="1" applyFill="1" applyBorder="1"/>
    <xf numFmtId="0" fontId="7" fillId="2" borderId="79" xfId="19" applyFont="1" applyFill="1" applyBorder="1"/>
    <xf numFmtId="0" fontId="8" fillId="3" borderId="79" xfId="67" applyFont="1" applyFill="1" applyBorder="1"/>
    <xf numFmtId="165" fontId="14" fillId="0" borderId="79" xfId="19" applyNumberFormat="1" applyFont="1" applyBorder="1"/>
    <xf numFmtId="165" fontId="9" fillId="2" borderId="0" xfId="19" applyNumberFormat="1" applyFont="1" applyFill="1"/>
    <xf numFmtId="0" fontId="9" fillId="3" borderId="79" xfId="67" applyFont="1" applyFill="1" applyBorder="1"/>
    <xf numFmtId="0" fontId="7" fillId="0" borderId="79" xfId="19" applyFont="1" applyBorder="1"/>
    <xf numFmtId="165" fontId="7" fillId="0" borderId="79" xfId="19" applyNumberFormat="1" applyFont="1" applyBorder="1"/>
    <xf numFmtId="179" fontId="7" fillId="0" borderId="79" xfId="1" applyNumberFormat="1" applyFont="1" applyBorder="1"/>
    <xf numFmtId="0" fontId="9" fillId="3" borderId="79" xfId="67" applyFont="1" applyFill="1" applyBorder="1" applyAlignment="1">
      <alignment horizontal="left" indent="2"/>
    </xf>
    <xf numFmtId="0" fontId="8" fillId="3" borderId="67" xfId="67" applyFont="1" applyFill="1" applyBorder="1"/>
    <xf numFmtId="165" fontId="14" fillId="0" borderId="67" xfId="19" applyNumberFormat="1" applyFont="1" applyBorder="1"/>
    <xf numFmtId="0" fontId="19" fillId="0" borderId="0" xfId="19" applyFont="1"/>
    <xf numFmtId="0" fontId="27" fillId="0" borderId="0" xfId="19" applyFont="1" applyAlignment="1">
      <alignment horizontal="right"/>
    </xf>
    <xf numFmtId="0" fontId="9" fillId="3" borderId="79" xfId="67" applyFont="1" applyFill="1" applyBorder="1" applyAlignment="1">
      <alignment horizontal="center"/>
    </xf>
    <xf numFmtId="0" fontId="9" fillId="3" borderId="79" xfId="67" applyFont="1" applyFill="1" applyBorder="1" applyAlignment="1">
      <alignment horizontal="left" indent="1"/>
    </xf>
    <xf numFmtId="0" fontId="9" fillId="3" borderId="67" xfId="19" applyFont="1" applyFill="1" applyBorder="1"/>
    <xf numFmtId="0" fontId="19" fillId="0" borderId="67" xfId="19" applyFont="1" applyBorder="1"/>
    <xf numFmtId="0" fontId="6" fillId="2" borderId="0" xfId="19" applyFont="1" applyFill="1"/>
    <xf numFmtId="0" fontId="5" fillId="2" borderId="0" xfId="19" applyFont="1" applyFill="1" applyAlignment="1">
      <alignment vertical="center"/>
    </xf>
    <xf numFmtId="0" fontId="12" fillId="2" borderId="0" xfId="68" applyFont="1" applyFill="1"/>
    <xf numFmtId="0" fontId="3" fillId="21" borderId="0" xfId="19" applyFont="1" applyFill="1"/>
    <xf numFmtId="0" fontId="3" fillId="2" borderId="0" xfId="19" applyFont="1" applyFill="1" applyAlignment="1">
      <alignment horizontal="right"/>
    </xf>
    <xf numFmtId="0" fontId="5" fillId="2" borderId="0" xfId="19" applyFont="1" applyFill="1" applyAlignment="1">
      <alignment horizontal="right"/>
    </xf>
    <xf numFmtId="0" fontId="8" fillId="10" borderId="300" xfId="19" applyFont="1" applyFill="1" applyBorder="1" applyAlignment="1">
      <alignment horizontal="center"/>
    </xf>
    <xf numFmtId="17" fontId="8" fillId="10" borderId="300" xfId="19" applyNumberFormat="1" applyFont="1" applyFill="1" applyBorder="1" applyAlignment="1">
      <alignment horizontal="center"/>
    </xf>
    <xf numFmtId="17" fontId="8" fillId="10" borderId="300" xfId="19" quotePrefix="1" applyNumberFormat="1" applyFont="1" applyFill="1" applyBorder="1" applyAlignment="1">
      <alignment horizontal="center"/>
    </xf>
    <xf numFmtId="0" fontId="9" fillId="10" borderId="79" xfId="19" applyFont="1" applyFill="1" applyBorder="1" applyAlignment="1">
      <alignment horizontal="center"/>
    </xf>
    <xf numFmtId="0" fontId="3" fillId="2" borderId="79" xfId="19" applyFont="1" applyFill="1" applyBorder="1"/>
    <xf numFmtId="0" fontId="9" fillId="2" borderId="79" xfId="19" applyFont="1" applyFill="1" applyBorder="1"/>
    <xf numFmtId="0" fontId="8" fillId="10" borderId="79" xfId="19" applyFont="1" applyFill="1" applyBorder="1"/>
    <xf numFmtId="165" fontId="17" fillId="2" borderId="79" xfId="19" applyNumberFormat="1" applyFont="1" applyFill="1" applyBorder="1"/>
    <xf numFmtId="165" fontId="8" fillId="2" borderId="79" xfId="19" applyNumberFormat="1" applyFont="1" applyFill="1" applyBorder="1"/>
    <xf numFmtId="165" fontId="12" fillId="2" borderId="79" xfId="19" applyNumberFormat="1" applyFont="1" applyFill="1" applyBorder="1"/>
    <xf numFmtId="165" fontId="14" fillId="2" borderId="79" xfId="19" applyNumberFormat="1" applyFont="1" applyFill="1" applyBorder="1"/>
    <xf numFmtId="165" fontId="14" fillId="0" borderId="79" xfId="19" applyNumberFormat="1" applyFont="1" applyFill="1" applyBorder="1"/>
    <xf numFmtId="0" fontId="9" fillId="10" borderId="79" xfId="19" applyFont="1" applyFill="1" applyBorder="1"/>
    <xf numFmtId="165" fontId="3" fillId="2" borderId="79" xfId="19" applyNumberFormat="1" applyFont="1" applyFill="1" applyBorder="1"/>
    <xf numFmtId="165" fontId="9" fillId="2" borderId="79" xfId="19" applyNumberFormat="1" applyFont="1" applyFill="1" applyBorder="1"/>
    <xf numFmtId="165" fontId="19" fillId="2" borderId="79" xfId="19" applyNumberFormat="1" applyFont="1" applyFill="1" applyBorder="1"/>
    <xf numFmtId="165" fontId="7" fillId="2" borderId="79" xfId="19" applyNumberFormat="1" applyFont="1" applyFill="1" applyBorder="1"/>
    <xf numFmtId="165" fontId="7" fillId="0" borderId="79" xfId="19" applyNumberFormat="1" applyFont="1" applyFill="1" applyBorder="1"/>
    <xf numFmtId="179" fontId="3" fillId="2" borderId="79" xfId="1" applyNumberFormat="1" applyFont="1" applyFill="1" applyBorder="1"/>
    <xf numFmtId="0" fontId="17" fillId="2" borderId="79" xfId="19" applyFont="1" applyFill="1" applyBorder="1"/>
    <xf numFmtId="0" fontId="8" fillId="2" borderId="79" xfId="19" applyFont="1" applyFill="1" applyBorder="1"/>
    <xf numFmtId="0" fontId="12" fillId="2" borderId="79" xfId="19" applyFont="1" applyFill="1" applyBorder="1"/>
    <xf numFmtId="0" fontId="14" fillId="2" borderId="79" xfId="19" applyFont="1" applyFill="1" applyBorder="1"/>
    <xf numFmtId="0" fontId="14" fillId="0" borderId="79" xfId="19" applyFont="1" applyBorder="1"/>
    <xf numFmtId="0" fontId="14" fillId="0" borderId="79" xfId="19" applyFont="1" applyFill="1" applyBorder="1"/>
    <xf numFmtId="165" fontId="3" fillId="0" borderId="79" xfId="19" applyNumberFormat="1" applyFont="1" applyFill="1" applyBorder="1"/>
    <xf numFmtId="0" fontId="17" fillId="2" borderId="0" xfId="19" applyFont="1" applyFill="1"/>
    <xf numFmtId="0" fontId="8" fillId="10" borderId="79" xfId="19" applyFont="1" applyFill="1" applyBorder="1" applyAlignment="1">
      <alignment wrapText="1"/>
    </xf>
    <xf numFmtId="165" fontId="17" fillId="2" borderId="79" xfId="19" applyNumberFormat="1" applyFont="1" applyFill="1" applyBorder="1" applyAlignment="1">
      <alignment vertical="center"/>
    </xf>
    <xf numFmtId="165" fontId="8" fillId="2" borderId="79" xfId="19" applyNumberFormat="1" applyFont="1" applyFill="1" applyBorder="1" applyAlignment="1">
      <alignment vertical="center"/>
    </xf>
    <xf numFmtId="165" fontId="12" fillId="2" borderId="79" xfId="19" applyNumberFormat="1" applyFont="1" applyFill="1" applyBorder="1" applyAlignment="1">
      <alignment vertical="center"/>
    </xf>
    <xf numFmtId="165" fontId="14" fillId="2" borderId="79" xfId="19" applyNumberFormat="1" applyFont="1" applyFill="1" applyBorder="1" applyAlignment="1">
      <alignment vertical="center"/>
    </xf>
    <xf numFmtId="165" fontId="14" fillId="0" borderId="79" xfId="19" applyNumberFormat="1" applyFont="1" applyBorder="1" applyAlignment="1">
      <alignment vertical="center"/>
    </xf>
    <xf numFmtId="165" fontId="14" fillId="0" borderId="79" xfId="19" applyNumberFormat="1" applyFont="1" applyFill="1" applyBorder="1" applyAlignment="1">
      <alignment vertical="center"/>
    </xf>
    <xf numFmtId="0" fontId="9" fillId="10" borderId="67" xfId="19" applyFont="1" applyFill="1" applyBorder="1"/>
    <xf numFmtId="0" fontId="3" fillId="2" borderId="67" xfId="19" applyFont="1" applyFill="1" applyBorder="1"/>
    <xf numFmtId="0" fontId="19" fillId="2" borderId="67" xfId="19" applyFont="1" applyFill="1" applyBorder="1"/>
    <xf numFmtId="0" fontId="7" fillId="2" borderId="67" xfId="19" applyFont="1" applyFill="1" applyBorder="1"/>
    <xf numFmtId="0" fontId="7" fillId="0" borderId="67" xfId="19" applyFont="1" applyBorder="1"/>
    <xf numFmtId="0" fontId="7" fillId="0" borderId="67" xfId="19" applyFont="1" applyFill="1" applyBorder="1"/>
    <xf numFmtId="165" fontId="4" fillId="2" borderId="0" xfId="19" applyNumberFormat="1" applyFont="1" applyFill="1"/>
    <xf numFmtId="165" fontId="4" fillId="2" borderId="0" xfId="19" applyNumberFormat="1" applyFont="1" applyFill="1" applyAlignment="1">
      <alignment vertical="center"/>
    </xf>
    <xf numFmtId="179" fontId="3" fillId="2" borderId="0" xfId="1" applyNumberFormat="1" applyFont="1" applyFill="1"/>
    <xf numFmtId="177" fontId="3" fillId="2" borderId="0" xfId="16" applyNumberFormat="1" applyFont="1" applyFill="1"/>
    <xf numFmtId="0" fontId="8" fillId="21" borderId="0" xfId="68" applyFont="1" applyFill="1"/>
    <xf numFmtId="0" fontId="19" fillId="21" borderId="0" xfId="68" applyFont="1" applyFill="1"/>
    <xf numFmtId="17" fontId="8" fillId="3" borderId="303" xfId="19" applyNumberFormat="1" applyFont="1" applyFill="1" applyBorder="1" applyAlignment="1">
      <alignment horizontal="center"/>
    </xf>
    <xf numFmtId="0" fontId="7" fillId="2" borderId="79" xfId="67" applyFont="1" applyFill="1" applyBorder="1"/>
    <xf numFmtId="179" fontId="14" fillId="2" borderId="79" xfId="1" applyNumberFormat="1" applyFont="1" applyFill="1" applyBorder="1"/>
    <xf numFmtId="165" fontId="14" fillId="9" borderId="79" xfId="19" applyNumberFormat="1" applyFont="1" applyFill="1" applyBorder="1"/>
    <xf numFmtId="177" fontId="14" fillId="2" borderId="67" xfId="39" applyNumberFormat="1" applyFont="1" applyFill="1" applyBorder="1"/>
    <xf numFmtId="0" fontId="9" fillId="22" borderId="0" xfId="19" applyFont="1" applyFill="1"/>
    <xf numFmtId="0" fontId="19" fillId="21" borderId="0" xfId="19" applyFont="1" applyFill="1"/>
    <xf numFmtId="0" fontId="5" fillId="21" borderId="0" xfId="19" applyFont="1" applyFill="1" applyAlignment="1">
      <alignment horizontal="center"/>
    </xf>
    <xf numFmtId="0" fontId="30" fillId="21" borderId="0" xfId="19" applyFont="1" applyFill="1" applyAlignment="1">
      <alignment horizontal="center"/>
    </xf>
    <xf numFmtId="165" fontId="7" fillId="2" borderId="79" xfId="67" applyNumberFormat="1" applyFont="1" applyFill="1" applyBorder="1"/>
    <xf numFmtId="0" fontId="4" fillId="2" borderId="0" xfId="19" applyFont="1" applyFill="1" applyAlignment="1"/>
    <xf numFmtId="0" fontId="142" fillId="2" borderId="0" xfId="57" applyFont="1" applyFill="1" applyAlignment="1"/>
    <xf numFmtId="0" fontId="12" fillId="2" borderId="0" xfId="68" applyFont="1" applyFill="1" applyAlignment="1">
      <alignment horizontal="left" vertical="top"/>
    </xf>
    <xf numFmtId="0" fontId="19" fillId="2" borderId="0" xfId="68" applyFont="1" applyFill="1"/>
    <xf numFmtId="0" fontId="7" fillId="9" borderId="79" xfId="67" applyFont="1" applyFill="1" applyBorder="1"/>
    <xf numFmtId="179" fontId="7" fillId="2" borderId="79" xfId="1" applyNumberFormat="1" applyFont="1" applyFill="1" applyBorder="1"/>
    <xf numFmtId="0" fontId="3" fillId="2" borderId="0" xfId="19" applyFont="1" applyFill="1" applyAlignment="1">
      <alignment wrapText="1"/>
    </xf>
    <xf numFmtId="0" fontId="12" fillId="2" borderId="0" xfId="68" applyFont="1" applyFill="1" applyAlignment="1">
      <alignment vertical="center"/>
    </xf>
    <xf numFmtId="0" fontId="143" fillId="2" borderId="0" xfId="19" applyFont="1" applyFill="1" applyAlignment="1">
      <alignment vertical="center"/>
    </xf>
    <xf numFmtId="0" fontId="9" fillId="10" borderId="208" xfId="19" applyFont="1" applyFill="1" applyBorder="1" applyAlignment="1">
      <alignment horizontal="center" vertical="center"/>
    </xf>
    <xf numFmtId="17" fontId="8" fillId="10" borderId="303" xfId="19" applyNumberFormat="1" applyFont="1" applyFill="1" applyBorder="1" applyAlignment="1">
      <alignment horizontal="center" vertical="center"/>
    </xf>
    <xf numFmtId="17" fontId="8" fillId="10" borderId="303" xfId="19" quotePrefix="1" applyNumberFormat="1" applyFont="1" applyFill="1" applyBorder="1" applyAlignment="1">
      <alignment horizontal="center" vertical="center"/>
    </xf>
    <xf numFmtId="0" fontId="144" fillId="2" borderId="0" xfId="19" applyFont="1" applyFill="1" applyAlignment="1">
      <alignment vertical="center"/>
    </xf>
    <xf numFmtId="0" fontId="8" fillId="10" borderId="81" xfId="19" applyFont="1" applyFill="1" applyBorder="1" applyAlignment="1">
      <alignment horizontal="center" vertical="center"/>
    </xf>
    <xf numFmtId="0" fontId="7" fillId="2" borderId="79" xfId="19" applyFont="1" applyFill="1" applyBorder="1" applyAlignment="1">
      <alignment vertical="center"/>
    </xf>
    <xf numFmtId="0" fontId="145" fillId="2" borderId="0" xfId="19" applyFont="1" applyFill="1" applyAlignment="1">
      <alignment vertical="center"/>
    </xf>
    <xf numFmtId="0" fontId="8" fillId="10" borderId="81" xfId="19" applyFont="1" applyFill="1" applyBorder="1" applyAlignment="1">
      <alignment vertical="center"/>
    </xf>
    <xf numFmtId="0" fontId="9" fillId="10" borderId="81" xfId="19" applyFont="1" applyFill="1" applyBorder="1" applyAlignment="1">
      <alignment vertical="center"/>
    </xf>
    <xf numFmtId="165" fontId="7" fillId="2" borderId="79" xfId="19" applyNumberFormat="1" applyFont="1" applyFill="1" applyBorder="1" applyAlignment="1">
      <alignment vertical="center"/>
    </xf>
    <xf numFmtId="165" fontId="9" fillId="10" borderId="81" xfId="19" applyNumberFormat="1" applyFont="1" applyFill="1" applyBorder="1" applyAlignment="1">
      <alignment vertical="center"/>
    </xf>
    <xf numFmtId="165" fontId="14" fillId="9" borderId="79" xfId="19" applyNumberFormat="1" applyFont="1" applyFill="1" applyBorder="1" applyAlignment="1">
      <alignment vertical="center"/>
    </xf>
    <xf numFmtId="0" fontId="9" fillId="10" borderId="81" xfId="19" applyFont="1" applyFill="1" applyBorder="1" applyAlignment="1">
      <alignment horizontal="left" vertical="center"/>
    </xf>
    <xf numFmtId="0" fontId="5" fillId="10" borderId="81" xfId="19" applyFont="1" applyFill="1" applyBorder="1" applyAlignment="1">
      <alignment vertical="center"/>
    </xf>
    <xf numFmtId="0" fontId="9" fillId="10" borderId="49" xfId="19" applyFont="1" applyFill="1" applyBorder="1" applyAlignment="1">
      <alignment vertical="center"/>
    </xf>
    <xf numFmtId="0" fontId="7" fillId="2" borderId="67" xfId="19" applyFont="1" applyFill="1" applyBorder="1" applyAlignment="1">
      <alignment vertical="center"/>
    </xf>
    <xf numFmtId="0" fontId="32" fillId="2" borderId="0" xfId="19" applyFont="1" applyFill="1" applyAlignment="1">
      <alignment vertical="center"/>
    </xf>
    <xf numFmtId="0" fontId="32" fillId="2" borderId="0" xfId="19" applyFont="1" applyFill="1"/>
    <xf numFmtId="0" fontId="17" fillId="21" borderId="0" xfId="19" applyFont="1" applyFill="1" applyAlignment="1">
      <alignment horizontal="center" vertical="center"/>
    </xf>
    <xf numFmtId="0" fontId="8" fillId="10" borderId="208" xfId="19" applyFont="1" applyFill="1" applyBorder="1" applyAlignment="1">
      <alignment horizontal="center" vertical="center"/>
    </xf>
    <xf numFmtId="0" fontId="3" fillId="2" borderId="79" xfId="19" applyFont="1" applyFill="1" applyBorder="1" applyAlignment="1">
      <alignment vertical="center"/>
    </xf>
    <xf numFmtId="179" fontId="7" fillId="2" borderId="79" xfId="1" applyNumberFormat="1" applyFont="1" applyFill="1" applyBorder="1" applyAlignment="1">
      <alignment vertical="center"/>
    </xf>
    <xf numFmtId="165" fontId="7" fillId="9" borderId="79" xfId="19" applyNumberFormat="1" applyFont="1" applyFill="1" applyBorder="1" applyAlignment="1">
      <alignment vertical="center"/>
    </xf>
    <xf numFmtId="0" fontId="12" fillId="2" borderId="0" xfId="68" applyFont="1" applyFill="1" applyBorder="1" applyAlignment="1"/>
    <xf numFmtId="0" fontId="19" fillId="2" borderId="0" xfId="68" applyFont="1" applyFill="1" applyBorder="1" applyAlignment="1"/>
    <xf numFmtId="0" fontId="8" fillId="21" borderId="0" xfId="68" applyFont="1" applyFill="1" applyBorder="1" applyAlignment="1"/>
    <xf numFmtId="0" fontId="19" fillId="21" borderId="0" xfId="68" applyFont="1" applyFill="1" applyBorder="1" applyAlignment="1"/>
    <xf numFmtId="0" fontId="9" fillId="21" borderId="0" xfId="19" applyFont="1" applyFill="1" applyBorder="1"/>
    <xf numFmtId="0" fontId="19" fillId="21" borderId="0" xfId="19" applyFont="1" applyFill="1" applyBorder="1"/>
    <xf numFmtId="0" fontId="4" fillId="2" borderId="0" xfId="19" applyFont="1" applyFill="1" applyBorder="1" applyAlignment="1">
      <alignment horizontal="right"/>
    </xf>
    <xf numFmtId="165" fontId="146" fillId="21" borderId="0" xfId="19" applyNumberFormat="1" applyFont="1" applyFill="1"/>
    <xf numFmtId="0" fontId="5" fillId="21" borderId="0" xfId="19" applyFont="1" applyFill="1" applyBorder="1" applyAlignment="1">
      <alignment horizontal="center"/>
    </xf>
    <xf numFmtId="0" fontId="32" fillId="2" borderId="0" xfId="19" applyFont="1" applyFill="1" applyBorder="1"/>
    <xf numFmtId="0" fontId="42" fillId="2" borderId="0" xfId="19" applyFont="1" applyFill="1" applyBorder="1"/>
    <xf numFmtId="0" fontId="42" fillId="2" borderId="0" xfId="19" applyFont="1" applyFill="1"/>
    <xf numFmtId="0" fontId="42" fillId="0" borderId="0" xfId="19" applyFont="1" applyFill="1"/>
    <xf numFmtId="165" fontId="147" fillId="0" borderId="0" xfId="19" applyNumberFormat="1" applyFont="1" applyFill="1"/>
    <xf numFmtId="0" fontId="9" fillId="10" borderId="81" xfId="19" applyFont="1" applyFill="1" applyBorder="1" applyAlignment="1">
      <alignment horizontal="left" vertical="center" indent="2"/>
    </xf>
    <xf numFmtId="165" fontId="7" fillId="0" borderId="79" xfId="19" applyNumberFormat="1" applyFont="1" applyFill="1" applyBorder="1" applyAlignment="1">
      <alignment vertical="center"/>
    </xf>
    <xf numFmtId="0" fontId="3" fillId="2" borderId="81" xfId="19" applyFont="1" applyFill="1" applyBorder="1" applyAlignment="1">
      <alignment vertical="center"/>
    </xf>
    <xf numFmtId="0" fontId="148" fillId="2" borderId="0" xfId="19" applyFont="1" applyFill="1" applyBorder="1" applyAlignment="1">
      <alignment vertical="center"/>
    </xf>
    <xf numFmtId="0" fontId="4" fillId="2" borderId="0" xfId="19" applyFont="1" applyFill="1" applyBorder="1"/>
    <xf numFmtId="0" fontId="8" fillId="10" borderId="356" xfId="19" applyFont="1" applyFill="1" applyBorder="1" applyAlignment="1">
      <alignment horizontal="center" vertical="center"/>
    </xf>
    <xf numFmtId="17" fontId="8" fillId="3" borderId="207" xfId="19" quotePrefix="1" applyNumberFormat="1" applyFont="1" applyFill="1" applyBorder="1" applyAlignment="1">
      <alignment horizontal="center"/>
    </xf>
    <xf numFmtId="0" fontId="9" fillId="10" borderId="143" xfId="19" applyFont="1" applyFill="1" applyBorder="1" applyAlignment="1">
      <alignment vertical="center"/>
    </xf>
    <xf numFmtId="0" fontId="3" fillId="2" borderId="50" xfId="19" applyFont="1" applyFill="1" applyBorder="1" applyAlignment="1">
      <alignment vertical="center"/>
    </xf>
    <xf numFmtId="0" fontId="8" fillId="10" borderId="143" xfId="19" applyFont="1" applyFill="1" applyBorder="1" applyAlignment="1">
      <alignment vertical="center"/>
    </xf>
    <xf numFmtId="165" fontId="14" fillId="2" borderId="50" xfId="19" applyNumberFormat="1" applyFont="1" applyFill="1" applyBorder="1" applyAlignment="1">
      <alignment vertical="center"/>
    </xf>
    <xf numFmtId="165" fontId="7" fillId="0" borderId="50" xfId="19" applyNumberFormat="1" applyFont="1" applyFill="1" applyBorder="1" applyAlignment="1">
      <alignment vertical="center"/>
    </xf>
    <xf numFmtId="165" fontId="7" fillId="2" borderId="50" xfId="19" applyNumberFormat="1" applyFont="1" applyFill="1" applyBorder="1" applyAlignment="1">
      <alignment vertical="center"/>
    </xf>
    <xf numFmtId="0" fontId="8" fillId="10" borderId="143" xfId="19" applyFont="1" applyFill="1" applyBorder="1" applyAlignment="1">
      <alignment horizontal="left" vertical="center" indent="1"/>
    </xf>
    <xf numFmtId="0" fontId="9" fillId="10" borderId="143" xfId="19" applyFont="1" applyFill="1" applyBorder="1" applyAlignment="1">
      <alignment horizontal="left" vertical="center" indent="4"/>
    </xf>
    <xf numFmtId="0" fontId="9" fillId="10" borderId="145" xfId="19" applyFont="1" applyFill="1" applyBorder="1" applyAlignment="1">
      <alignment vertical="center"/>
    </xf>
    <xf numFmtId="0" fontId="7" fillId="2" borderId="45" xfId="19" applyFont="1" applyFill="1" applyBorder="1" applyAlignment="1">
      <alignment vertical="center"/>
    </xf>
    <xf numFmtId="0" fontId="4" fillId="2" borderId="0" xfId="19" applyFont="1" applyFill="1" applyBorder="1" applyAlignment="1">
      <alignment horizontal="left" vertical="center"/>
    </xf>
    <xf numFmtId="0" fontId="12" fillId="2" borderId="0" xfId="9" applyFont="1" applyFill="1" applyAlignment="1">
      <alignment vertical="center"/>
    </xf>
    <xf numFmtId="0" fontId="19" fillId="2" borderId="0" xfId="9" applyFont="1" applyFill="1" applyAlignment="1">
      <alignment vertical="center"/>
    </xf>
    <xf numFmtId="175" fontId="8" fillId="2" borderId="16" xfId="9" applyNumberFormat="1" applyFont="1" applyFill="1" applyBorder="1" applyAlignment="1">
      <alignment horizontal="center" vertical="center"/>
    </xf>
    <xf numFmtId="175" fontId="8" fillId="2" borderId="0" xfId="9" applyNumberFormat="1" applyFont="1" applyFill="1" applyAlignment="1">
      <alignment horizontal="center" vertical="center"/>
    </xf>
    <xf numFmtId="0" fontId="4" fillId="2" borderId="0" xfId="9" applyFont="1" applyFill="1" applyAlignment="1">
      <alignment horizontal="right" vertical="center"/>
    </xf>
    <xf numFmtId="0" fontId="8" fillId="3" borderId="356" xfId="9" applyFont="1" applyFill="1" applyBorder="1" applyAlignment="1">
      <alignment horizontal="center" vertical="center"/>
    </xf>
    <xf numFmtId="175" fontId="8" fillId="3" borderId="207" xfId="9" applyNumberFormat="1" applyFont="1" applyFill="1" applyBorder="1" applyAlignment="1">
      <alignment horizontal="center" vertical="center"/>
    </xf>
    <xf numFmtId="175" fontId="8" fillId="3" borderId="303" xfId="9" applyNumberFormat="1" applyFont="1" applyFill="1" applyBorder="1" applyAlignment="1">
      <alignment horizontal="center" vertical="center"/>
    </xf>
    <xf numFmtId="175" fontId="8" fillId="3" borderId="303" xfId="9" quotePrefix="1" applyNumberFormat="1" applyFont="1" applyFill="1" applyBorder="1" applyAlignment="1">
      <alignment horizontal="center" vertical="center"/>
    </xf>
    <xf numFmtId="0" fontId="3" fillId="2" borderId="0" xfId="9" applyFont="1" applyFill="1" applyAlignment="1">
      <alignment vertical="center"/>
    </xf>
    <xf numFmtId="0" fontId="9" fillId="3" borderId="143" xfId="9" applyFont="1" applyFill="1" applyBorder="1" applyAlignment="1">
      <alignment vertical="center"/>
    </xf>
    <xf numFmtId="0" fontId="3" fillId="2" borderId="88" xfId="9" applyFont="1" applyFill="1" applyBorder="1" applyAlignment="1">
      <alignment vertical="center"/>
    </xf>
    <xf numFmtId="3" fontId="7" fillId="2" borderId="79" xfId="9" applyNumberFormat="1" applyFont="1" applyFill="1" applyBorder="1" applyAlignment="1">
      <alignment vertical="center"/>
    </xf>
    <xf numFmtId="0" fontId="5" fillId="3" borderId="143" xfId="9" applyFont="1" applyFill="1" applyBorder="1" applyAlignment="1">
      <alignment vertical="center"/>
    </xf>
    <xf numFmtId="3" fontId="27" fillId="2" borderId="79" xfId="9" applyNumberFormat="1" applyFont="1" applyFill="1" applyBorder="1" applyAlignment="1">
      <alignment vertical="center"/>
    </xf>
    <xf numFmtId="0" fontId="8" fillId="3" borderId="143" xfId="9" applyFont="1" applyFill="1" applyBorder="1" applyAlignment="1">
      <alignment vertical="center"/>
    </xf>
    <xf numFmtId="3" fontId="14" fillId="2" borderId="79" xfId="9" applyNumberFormat="1" applyFont="1" applyFill="1" applyBorder="1" applyAlignment="1">
      <alignment vertical="center"/>
    </xf>
    <xf numFmtId="179" fontId="14" fillId="2" borderId="79" xfId="1" applyNumberFormat="1" applyFont="1" applyFill="1" applyBorder="1" applyAlignment="1">
      <alignment vertical="center"/>
    </xf>
    <xf numFmtId="0" fontId="17" fillId="2" borderId="0" xfId="9" applyFont="1" applyFill="1" applyAlignment="1">
      <alignment vertical="center"/>
    </xf>
    <xf numFmtId="0" fontId="8" fillId="3" borderId="370" xfId="9" applyFont="1" applyFill="1" applyBorder="1" applyAlignment="1">
      <alignment horizontal="center" vertical="center"/>
    </xf>
    <xf numFmtId="3" fontId="7" fillId="0" borderId="371" xfId="9" applyNumberFormat="1" applyFont="1" applyBorder="1" applyAlignment="1">
      <alignment vertical="center"/>
    </xf>
    <xf numFmtId="0" fontId="9" fillId="3" borderId="145" xfId="9" applyFont="1" applyFill="1" applyBorder="1" applyAlignment="1">
      <alignment vertical="center"/>
    </xf>
    <xf numFmtId="0" fontId="7" fillId="2" borderId="67" xfId="9" applyFont="1" applyFill="1" applyBorder="1" applyAlignment="1">
      <alignment vertical="center"/>
    </xf>
    <xf numFmtId="3" fontId="3" fillId="2" borderId="0" xfId="9" applyNumberFormat="1" applyFont="1" applyFill="1" applyAlignment="1">
      <alignment vertical="center"/>
    </xf>
    <xf numFmtId="3" fontId="149" fillId="2" borderId="79" xfId="9" applyNumberFormat="1" applyFont="1" applyFill="1" applyBorder="1" applyAlignment="1">
      <alignment vertical="center"/>
    </xf>
    <xf numFmtId="0" fontId="110" fillId="2" borderId="0" xfId="9" applyFont="1" applyFill="1" applyAlignment="1">
      <alignment vertical="center"/>
    </xf>
    <xf numFmtId="0" fontId="7" fillId="2" borderId="79" xfId="9" applyFont="1" applyFill="1" applyBorder="1" applyAlignment="1">
      <alignment vertical="center"/>
    </xf>
    <xf numFmtId="3" fontId="7" fillId="2" borderId="371" xfId="9" applyNumberFormat="1" applyFont="1" applyFill="1" applyBorder="1" applyAlignment="1">
      <alignment vertical="center"/>
    </xf>
    <xf numFmtId="0" fontId="48" fillId="3" borderId="143" xfId="9" applyFont="1" applyFill="1" applyBorder="1" applyAlignment="1">
      <alignment vertical="center"/>
    </xf>
    <xf numFmtId="0" fontId="5" fillId="3" borderId="143" xfId="9" applyFont="1" applyFill="1" applyBorder="1" applyAlignment="1">
      <alignment horizontal="left" vertical="center"/>
    </xf>
    <xf numFmtId="0" fontId="36" fillId="2" borderId="0" xfId="9" applyFont="1" applyFill="1"/>
    <xf numFmtId="3" fontId="17" fillId="3" borderId="303" xfId="19" applyNumberFormat="1" applyFont="1" applyFill="1" applyBorder="1" applyAlignment="1">
      <alignment horizontal="left"/>
    </xf>
    <xf numFmtId="3" fontId="8" fillId="3" borderId="79" xfId="19" applyNumberFormat="1" applyFont="1" applyFill="1" applyBorder="1" applyAlignment="1">
      <alignment horizontal="left"/>
    </xf>
    <xf numFmtId="3" fontId="14" fillId="0" borderId="79" xfId="19" quotePrefix="1" applyNumberFormat="1" applyFont="1" applyBorder="1" applyAlignment="1">
      <alignment horizontal="center"/>
    </xf>
    <xf numFmtId="43" fontId="3" fillId="2" borderId="0" xfId="15" applyFont="1" applyFill="1"/>
    <xf numFmtId="3" fontId="8" fillId="3" borderId="79" xfId="69" applyNumberFormat="1" applyFont="1" applyFill="1" applyBorder="1" applyProtection="1">
      <protection hidden="1"/>
    </xf>
    <xf numFmtId="3" fontId="14" fillId="2" borderId="79" xfId="15" applyNumberFormat="1" applyFont="1" applyFill="1" applyBorder="1" applyAlignment="1">
      <alignment horizontal="center"/>
    </xf>
    <xf numFmtId="3" fontId="9" fillId="3" borderId="79" xfId="69" applyNumberFormat="1" applyFont="1" applyFill="1" applyBorder="1" applyProtection="1">
      <protection hidden="1"/>
    </xf>
    <xf numFmtId="3" fontId="7" fillId="2" borderId="79" xfId="15" applyNumberFormat="1" applyFont="1" applyFill="1" applyBorder="1" applyAlignment="1">
      <alignment horizontal="center"/>
    </xf>
    <xf numFmtId="3" fontId="5" fillId="3" borderId="79" xfId="69" applyNumberFormat="1" applyFont="1" applyFill="1" applyBorder="1" applyProtection="1">
      <protection hidden="1"/>
    </xf>
    <xf numFmtId="3" fontId="27" fillId="2" borderId="79" xfId="15" applyNumberFormat="1" applyFont="1" applyFill="1" applyBorder="1" applyAlignment="1">
      <alignment horizontal="center"/>
    </xf>
    <xf numFmtId="179" fontId="17" fillId="2" borderId="0" xfId="15" applyNumberFormat="1" applyFont="1" applyFill="1"/>
    <xf numFmtId="43" fontId="3" fillId="0" borderId="0" xfId="15" applyFont="1" applyFill="1"/>
    <xf numFmtId="179" fontId="4" fillId="2" borderId="0" xfId="15" applyNumberFormat="1" applyFont="1" applyFill="1"/>
    <xf numFmtId="0" fontId="3" fillId="0" borderId="0" xfId="19" applyFont="1"/>
    <xf numFmtId="179" fontId="3" fillId="0" borderId="0" xfId="15" applyNumberFormat="1" applyFont="1" applyFill="1"/>
    <xf numFmtId="3" fontId="9" fillId="3" borderId="67" xfId="69" applyNumberFormat="1" applyFont="1" applyFill="1" applyBorder="1" applyProtection="1">
      <protection hidden="1"/>
    </xf>
    <xf numFmtId="3" fontId="7" fillId="2" borderId="67" xfId="15" applyNumberFormat="1" applyFont="1" applyFill="1" applyBorder="1" applyAlignment="1">
      <alignment horizontal="center"/>
    </xf>
    <xf numFmtId="3" fontId="4" fillId="0" borderId="0" xfId="69" applyNumberFormat="1" applyFont="1" applyProtection="1">
      <protection hidden="1"/>
    </xf>
    <xf numFmtId="3" fontId="3" fillId="0" borderId="0" xfId="15" applyNumberFormat="1" applyFont="1" applyFill="1" applyBorder="1" applyAlignment="1">
      <alignment horizontal="center"/>
    </xf>
    <xf numFmtId="3" fontId="3" fillId="0" borderId="0" xfId="69" applyNumberFormat="1" applyFont="1" applyProtection="1">
      <protection hidden="1"/>
    </xf>
    <xf numFmtId="3" fontId="8" fillId="3" borderId="303" xfId="19" applyNumberFormat="1" applyFont="1" applyFill="1" applyBorder="1" applyAlignment="1">
      <alignment horizontal="left"/>
    </xf>
    <xf numFmtId="3" fontId="17" fillId="2" borderId="79" xfId="15" applyNumberFormat="1" applyFont="1" applyFill="1" applyBorder="1" applyAlignment="1">
      <alignment horizontal="center"/>
    </xf>
    <xf numFmtId="3" fontId="3" fillId="2" borderId="79" xfId="15" applyNumberFormat="1" applyFont="1" applyFill="1" applyBorder="1" applyAlignment="1">
      <alignment horizontal="center"/>
    </xf>
    <xf numFmtId="3" fontId="8" fillId="3" borderId="82" xfId="19" applyNumberFormat="1" applyFont="1" applyFill="1" applyBorder="1" applyAlignment="1">
      <alignment horizontal="left"/>
    </xf>
    <xf numFmtId="37" fontId="17" fillId="0" borderId="86" xfId="15" quotePrefix="1" applyNumberFormat="1" applyFont="1" applyFill="1" applyBorder="1" applyAlignment="1">
      <alignment horizontal="center"/>
    </xf>
    <xf numFmtId="37" fontId="17" fillId="0" borderId="82" xfId="15" quotePrefix="1" applyNumberFormat="1" applyFont="1" applyFill="1" applyBorder="1" applyAlignment="1">
      <alignment horizontal="center"/>
    </xf>
    <xf numFmtId="179" fontId="133" fillId="0" borderId="0" xfId="15" applyNumberFormat="1" applyFont="1"/>
    <xf numFmtId="37" fontId="4" fillId="0" borderId="81" xfId="15" applyNumberFormat="1" applyFont="1" applyFill="1" applyBorder="1" applyAlignment="1" applyProtection="1">
      <alignment horizontal="center"/>
      <protection hidden="1"/>
    </xf>
    <xf numFmtId="37" fontId="4" fillId="0" borderId="79" xfId="15" applyNumberFormat="1" applyFont="1" applyFill="1" applyBorder="1" applyAlignment="1" applyProtection="1">
      <alignment horizontal="center"/>
      <protection hidden="1"/>
    </xf>
    <xf numFmtId="37" fontId="17" fillId="0" borderId="81" xfId="15" applyNumberFormat="1" applyFont="1" applyFill="1" applyBorder="1" applyAlignment="1" applyProtection="1">
      <alignment horizontal="center"/>
      <protection hidden="1"/>
    </xf>
    <xf numFmtId="37" fontId="17" fillId="0" borderId="79" xfId="15" applyNumberFormat="1" applyFont="1" applyFill="1" applyBorder="1" applyAlignment="1" applyProtection="1">
      <alignment horizontal="center"/>
      <protection hidden="1"/>
    </xf>
    <xf numFmtId="3" fontId="8" fillId="3" borderId="82" xfId="69" applyNumberFormat="1" applyFont="1" applyFill="1" applyBorder="1" applyProtection="1">
      <protection hidden="1"/>
    </xf>
    <xf numFmtId="37" fontId="17" fillId="0" borderId="86" xfId="15" applyNumberFormat="1" applyFont="1" applyFill="1" applyBorder="1" applyAlignment="1" applyProtection="1">
      <alignment horizontal="center"/>
      <protection hidden="1"/>
    </xf>
    <xf numFmtId="37" fontId="17" fillId="0" borderId="82" xfId="15" applyNumberFormat="1" applyFont="1" applyFill="1" applyBorder="1" applyAlignment="1" applyProtection="1">
      <alignment horizontal="center"/>
      <protection hidden="1"/>
    </xf>
    <xf numFmtId="3" fontId="8" fillId="3" borderId="67" xfId="69" applyNumberFormat="1" applyFont="1" applyFill="1" applyBorder="1" applyProtection="1">
      <protection hidden="1"/>
    </xf>
    <xf numFmtId="37" fontId="17" fillId="0" borderId="49" xfId="15" applyNumberFormat="1" applyFont="1" applyFill="1" applyBorder="1" applyAlignment="1" applyProtection="1">
      <alignment horizontal="center"/>
      <protection hidden="1"/>
    </xf>
    <xf numFmtId="37" fontId="17" fillId="0" borderId="67" xfId="15" applyNumberFormat="1" applyFont="1" applyFill="1" applyBorder="1" applyAlignment="1" applyProtection="1">
      <alignment horizontal="center"/>
      <protection hidden="1"/>
    </xf>
    <xf numFmtId="3" fontId="8" fillId="3" borderId="303" xfId="69" applyNumberFormat="1" applyFont="1" applyFill="1" applyBorder="1" applyProtection="1">
      <protection hidden="1"/>
    </xf>
    <xf numFmtId="37" fontId="17" fillId="4" borderId="208" xfId="15" applyNumberFormat="1" applyFont="1" applyFill="1" applyBorder="1" applyAlignment="1" applyProtection="1">
      <alignment horizontal="center"/>
      <protection hidden="1"/>
    </xf>
    <xf numFmtId="37" fontId="17" fillId="4" borderId="303" xfId="15" applyNumberFormat="1" applyFont="1" applyFill="1" applyBorder="1" applyAlignment="1" applyProtection="1">
      <alignment horizontal="center"/>
      <protection hidden="1"/>
    </xf>
    <xf numFmtId="0" fontId="4" fillId="2" borderId="0" xfId="19" applyFont="1" applyFill="1" applyAlignment="1">
      <alignment horizontal="left" wrapText="1"/>
    </xf>
    <xf numFmtId="43" fontId="3" fillId="2" borderId="0" xfId="19" applyNumberFormat="1" applyFont="1" applyFill="1"/>
    <xf numFmtId="0" fontId="100" fillId="2" borderId="0" xfId="19" applyFont="1" applyFill="1" applyAlignment="1">
      <alignment vertical="center"/>
    </xf>
    <xf numFmtId="0" fontId="12" fillId="2" borderId="0" xfId="19" applyFont="1" applyFill="1"/>
    <xf numFmtId="3" fontId="12" fillId="3" borderId="87" xfId="19" applyNumberFormat="1" applyFont="1" applyFill="1" applyBorder="1" applyAlignment="1">
      <alignment horizontal="left"/>
    </xf>
    <xf numFmtId="17" fontId="14" fillId="3" borderId="108" xfId="19" quotePrefix="1" applyNumberFormat="1" applyFont="1" applyFill="1" applyBorder="1" applyAlignment="1">
      <alignment horizontal="center"/>
    </xf>
    <xf numFmtId="3" fontId="14" fillId="0" borderId="4" xfId="19" quotePrefix="1" applyNumberFormat="1" applyFont="1" applyBorder="1" applyAlignment="1">
      <alignment horizontal="center"/>
    </xf>
    <xf numFmtId="3" fontId="14" fillId="2" borderId="4" xfId="70" applyNumberFormat="1" applyFont="1" applyFill="1" applyBorder="1" applyAlignment="1">
      <alignment horizontal="center"/>
    </xf>
    <xf numFmtId="3" fontId="7" fillId="2" borderId="4" xfId="70" applyNumberFormat="1" applyFont="1" applyFill="1" applyBorder="1" applyAlignment="1">
      <alignment horizontal="center"/>
    </xf>
    <xf numFmtId="3" fontId="27" fillId="2" borderId="4" xfId="70" applyNumberFormat="1" applyFont="1" applyFill="1" applyBorder="1" applyAlignment="1">
      <alignment horizontal="center"/>
    </xf>
    <xf numFmtId="0" fontId="30" fillId="2" borderId="0" xfId="19" applyFont="1" applyFill="1"/>
    <xf numFmtId="3" fontId="8" fillId="3" borderId="79" xfId="69" applyNumberFormat="1" applyFont="1" applyFill="1" applyBorder="1" applyAlignment="1" applyProtection="1">
      <alignment wrapText="1"/>
      <protection hidden="1"/>
    </xf>
    <xf numFmtId="3" fontId="7" fillId="2" borderId="1" xfId="70" applyNumberFormat="1" applyFont="1" applyFill="1" applyBorder="1" applyAlignment="1">
      <alignment horizontal="center"/>
    </xf>
    <xf numFmtId="3" fontId="5" fillId="2" borderId="0" xfId="69" applyNumberFormat="1" applyFont="1" applyFill="1" applyProtection="1">
      <protection hidden="1"/>
    </xf>
    <xf numFmtId="3" fontId="151" fillId="2" borderId="0" xfId="70" applyNumberFormat="1" applyFont="1" applyFill="1" applyBorder="1" applyAlignment="1">
      <alignment horizontal="center"/>
    </xf>
    <xf numFmtId="3" fontId="152" fillId="2" borderId="0" xfId="70" applyNumberFormat="1" applyFont="1" applyFill="1" applyBorder="1" applyAlignment="1">
      <alignment horizontal="center"/>
    </xf>
    <xf numFmtId="3" fontId="8" fillId="3" borderId="208" xfId="19" applyNumberFormat="1" applyFont="1" applyFill="1" applyBorder="1" applyAlignment="1">
      <alignment horizontal="left" vertical="center"/>
    </xf>
    <xf numFmtId="17" fontId="14" fillId="3" borderId="355" xfId="19" quotePrefix="1" applyNumberFormat="1" applyFont="1" applyFill="1" applyBorder="1" applyAlignment="1">
      <alignment horizontal="center"/>
    </xf>
    <xf numFmtId="17" fontId="14" fillId="3" borderId="355" xfId="19" quotePrefix="1" applyNumberFormat="1" applyFont="1" applyFill="1" applyBorder="1" applyAlignment="1">
      <alignment horizontal="center" vertical="center"/>
    </xf>
    <xf numFmtId="17" fontId="14" fillId="3" borderId="108" xfId="19" quotePrefix="1" applyNumberFormat="1" applyFont="1" applyFill="1" applyBorder="1" applyAlignment="1">
      <alignment horizontal="center" vertical="center"/>
    </xf>
    <xf numFmtId="3" fontId="9" fillId="3" borderId="79" xfId="69" applyNumberFormat="1" applyFont="1" applyFill="1" applyBorder="1" applyAlignment="1" applyProtection="1">
      <alignment wrapText="1"/>
      <protection hidden="1"/>
    </xf>
    <xf numFmtId="37" fontId="14" fillId="2" borderId="42" xfId="70" quotePrefix="1" applyNumberFormat="1" applyFont="1" applyFill="1" applyBorder="1" applyAlignment="1">
      <alignment horizontal="center"/>
    </xf>
    <xf numFmtId="37" fontId="27" fillId="2" borderId="4" xfId="70" applyNumberFormat="1" applyFont="1" applyFill="1" applyBorder="1" applyAlignment="1" applyProtection="1">
      <alignment horizontal="center"/>
      <protection hidden="1"/>
    </xf>
    <xf numFmtId="37" fontId="14" fillId="2" borderId="4" xfId="70" applyNumberFormat="1" applyFont="1" applyFill="1" applyBorder="1" applyAlignment="1" applyProtection="1">
      <alignment horizontal="center"/>
      <protection hidden="1"/>
    </xf>
    <xf numFmtId="3" fontId="19" fillId="4" borderId="79" xfId="69" applyNumberFormat="1" applyFont="1" applyFill="1" applyBorder="1" applyProtection="1">
      <protection hidden="1"/>
    </xf>
    <xf numFmtId="3" fontId="19" fillId="4" borderId="0" xfId="69" applyNumberFormat="1" applyFont="1" applyFill="1" applyProtection="1">
      <protection hidden="1"/>
    </xf>
    <xf numFmtId="37" fontId="14" fillId="2" borderId="42" xfId="70" applyNumberFormat="1" applyFont="1" applyFill="1" applyBorder="1" applyAlignment="1" applyProtection="1">
      <alignment horizontal="center"/>
      <protection hidden="1"/>
    </xf>
    <xf numFmtId="37" fontId="14" fillId="2" borderId="1" xfId="70" applyNumberFormat="1" applyFont="1" applyFill="1" applyBorder="1" applyAlignment="1" applyProtection="1">
      <alignment horizontal="center"/>
      <protection hidden="1"/>
    </xf>
    <xf numFmtId="37" fontId="14" fillId="4" borderId="355" xfId="70" applyNumberFormat="1" applyFont="1" applyFill="1" applyBorder="1" applyAlignment="1" applyProtection="1">
      <alignment horizontal="center"/>
      <protection hidden="1"/>
    </xf>
    <xf numFmtId="179" fontId="153" fillId="2" borderId="0" xfId="19" applyNumberFormat="1" applyFont="1" applyFill="1"/>
    <xf numFmtId="179" fontId="154" fillId="2" borderId="0" xfId="19" applyNumberFormat="1" applyFont="1" applyFill="1"/>
    <xf numFmtId="0" fontId="32" fillId="2" borderId="0" xfId="19" applyFont="1" applyFill="1" applyAlignment="1">
      <alignment horizontal="left" vertical="center"/>
    </xf>
    <xf numFmtId="0" fontId="32" fillId="2" borderId="0" xfId="19" applyFont="1" applyFill="1" applyAlignment="1"/>
    <xf numFmtId="0" fontId="32" fillId="2" borderId="0" xfId="19" applyFont="1" applyFill="1" applyAlignment="1">
      <alignment horizontal="left" wrapText="1"/>
    </xf>
    <xf numFmtId="0" fontId="12" fillId="0" borderId="0" xfId="9" applyFont="1" applyFill="1"/>
    <xf numFmtId="0" fontId="3" fillId="0" borderId="0" xfId="9" applyFont="1" applyFill="1"/>
    <xf numFmtId="0" fontId="30" fillId="0" borderId="0" xfId="9" applyFont="1" applyFill="1" applyAlignment="1">
      <alignment horizontal="right"/>
    </xf>
    <xf numFmtId="0" fontId="30" fillId="0" borderId="0" xfId="9" applyFont="1" applyFill="1" applyAlignment="1">
      <alignment horizontal="center"/>
    </xf>
    <xf numFmtId="0" fontId="32" fillId="2" borderId="16" xfId="9" applyFont="1" applyFill="1" applyBorder="1" applyAlignment="1">
      <alignment horizontal="center"/>
    </xf>
    <xf numFmtId="0" fontId="5" fillId="2" borderId="0" xfId="71" applyFont="1" applyFill="1" applyAlignment="1">
      <alignment horizontal="right"/>
    </xf>
    <xf numFmtId="0" fontId="5" fillId="2" borderId="0" xfId="71" applyFont="1" applyFill="1" applyAlignment="1">
      <alignment horizontal="center"/>
    </xf>
    <xf numFmtId="0" fontId="4" fillId="2" borderId="0" xfId="71" applyFont="1" applyFill="1" applyAlignment="1">
      <alignment horizontal="right"/>
    </xf>
    <xf numFmtId="0" fontId="4" fillId="0" borderId="0" xfId="71" applyFont="1" applyFill="1" applyAlignment="1">
      <alignment horizontal="right"/>
    </xf>
    <xf numFmtId="0" fontId="3" fillId="2" borderId="0" xfId="9" applyFont="1" applyFill="1"/>
    <xf numFmtId="3" fontId="9" fillId="10" borderId="272" xfId="9" applyNumberFormat="1" applyFont="1" applyFill="1" applyBorder="1"/>
    <xf numFmtId="17" fontId="8" fillId="10" borderId="203" xfId="9" quotePrefix="1" applyNumberFormat="1" applyFont="1" applyFill="1" applyBorder="1" applyAlignment="1">
      <alignment horizontal="center"/>
    </xf>
    <xf numFmtId="17" fontId="8" fillId="10" borderId="303" xfId="9" quotePrefix="1" applyNumberFormat="1" applyFont="1" applyFill="1" applyBorder="1" applyAlignment="1">
      <alignment horizontal="center"/>
    </xf>
    <xf numFmtId="0" fontId="9" fillId="0" borderId="0" xfId="9" applyFont="1" applyFill="1"/>
    <xf numFmtId="0" fontId="9" fillId="2" borderId="0" xfId="9" applyFont="1" applyFill="1"/>
    <xf numFmtId="3" fontId="8" fillId="10" borderId="372" xfId="9" applyNumberFormat="1" applyFont="1" applyFill="1" applyBorder="1"/>
    <xf numFmtId="17" fontId="8" fillId="0" borderId="50" xfId="9" quotePrefix="1" applyNumberFormat="1" applyFont="1" applyFill="1" applyBorder="1" applyAlignment="1">
      <alignment horizontal="center"/>
    </xf>
    <xf numFmtId="3" fontId="9" fillId="10" borderId="143" xfId="9" applyNumberFormat="1" applyFont="1" applyFill="1" applyBorder="1" applyAlignment="1">
      <alignment horizontal="left"/>
    </xf>
    <xf numFmtId="2" fontId="8" fillId="2" borderId="79" xfId="9" applyNumberFormat="1" applyFont="1" applyFill="1" applyBorder="1" applyAlignment="1">
      <alignment horizontal="center"/>
    </xf>
    <xf numFmtId="2" fontId="8" fillId="2" borderId="81" xfId="9" applyNumberFormat="1" applyFont="1" applyFill="1" applyBorder="1" applyAlignment="1">
      <alignment horizontal="center"/>
    </xf>
    <xf numFmtId="2" fontId="8" fillId="2" borderId="50" xfId="9" applyNumberFormat="1" applyFont="1" applyFill="1" applyBorder="1" applyAlignment="1">
      <alignment horizontal="center"/>
    </xf>
    <xf numFmtId="2" fontId="8" fillId="0" borderId="79" xfId="9" applyNumberFormat="1" applyFont="1" applyFill="1" applyBorder="1" applyAlignment="1">
      <alignment horizontal="center"/>
    </xf>
    <xf numFmtId="0" fontId="9" fillId="2" borderId="79" xfId="14" applyFont="1" applyFill="1" applyBorder="1" applyAlignment="1">
      <alignment horizontal="right"/>
    </xf>
    <xf numFmtId="0" fontId="3" fillId="2" borderId="0" xfId="9" applyFont="1" applyFill="1" applyBorder="1"/>
    <xf numFmtId="0" fontId="9" fillId="2" borderId="81" xfId="14" applyFont="1" applyFill="1" applyBorder="1" applyAlignment="1">
      <alignment horizontal="right"/>
    </xf>
    <xf numFmtId="0" fontId="9" fillId="2" borderId="50" xfId="14" applyFont="1" applyFill="1" applyBorder="1" applyAlignment="1">
      <alignment horizontal="right"/>
    </xf>
    <xf numFmtId="0" fontId="9" fillId="0" borderId="79" xfId="14" applyFont="1" applyFill="1" applyBorder="1" applyAlignment="1">
      <alignment horizontal="right"/>
    </xf>
    <xf numFmtId="3" fontId="9" fillId="10" borderId="143" xfId="9" applyNumberFormat="1" applyFont="1" applyFill="1" applyBorder="1"/>
    <xf numFmtId="2" fontId="9" fillId="2" borderId="4" xfId="14" applyNumberFormat="1" applyFont="1" applyFill="1" applyBorder="1" applyAlignment="1">
      <alignment horizontal="center"/>
    </xf>
    <xf numFmtId="2" fontId="9" fillId="0" borderId="4" xfId="14" applyNumberFormat="1" applyFont="1" applyFill="1" applyBorder="1" applyAlignment="1">
      <alignment horizontal="center"/>
    </xf>
    <xf numFmtId="3" fontId="9" fillId="10" borderId="145" xfId="9" applyNumberFormat="1" applyFont="1" applyFill="1" applyBorder="1"/>
    <xf numFmtId="0" fontId="9" fillId="2" borderId="67" xfId="14" applyFont="1" applyFill="1" applyBorder="1" applyAlignment="1">
      <alignment horizontal="right"/>
    </xf>
    <xf numFmtId="0" fontId="9" fillId="2" borderId="1" xfId="14" applyFont="1" applyFill="1" applyBorder="1" applyAlignment="1">
      <alignment horizontal="center"/>
    </xf>
    <xf numFmtId="3" fontId="9" fillId="0" borderId="0" xfId="9" applyNumberFormat="1" applyFont="1" applyFill="1" applyBorder="1"/>
    <xf numFmtId="0" fontId="9" fillId="0" borderId="0" xfId="14" applyFont="1" applyFill="1" applyBorder="1" applyAlignment="1">
      <alignment horizontal="right"/>
    </xf>
    <xf numFmtId="0" fontId="9" fillId="0" borderId="0" xfId="14" applyFont="1" applyFill="1" applyBorder="1" applyAlignment="1">
      <alignment horizontal="center"/>
    </xf>
    <xf numFmtId="0" fontId="4" fillId="0" borderId="0" xfId="9" applyFont="1" applyFill="1" applyBorder="1" applyAlignment="1">
      <alignment horizontal="left" vertical="center"/>
    </xf>
    <xf numFmtId="0" fontId="9" fillId="0" borderId="0" xfId="9" applyFont="1" applyFill="1" applyBorder="1"/>
    <xf numFmtId="0" fontId="3" fillId="2" borderId="0" xfId="9" applyFont="1" applyFill="1" applyAlignment="1">
      <alignment horizontal="center"/>
    </xf>
    <xf numFmtId="0" fontId="100" fillId="0" borderId="0" xfId="19" applyFont="1" applyFill="1" applyAlignment="1">
      <alignment horizontal="left"/>
    </xf>
    <xf numFmtId="0" fontId="136" fillId="0" borderId="0" xfId="9" applyFont="1" applyFill="1" applyAlignment="1">
      <alignment horizontal="center"/>
    </xf>
    <xf numFmtId="0" fontId="136" fillId="0" borderId="0" xfId="9" applyFont="1" applyAlignment="1">
      <alignment horizontal="center"/>
    </xf>
    <xf numFmtId="0" fontId="24" fillId="0" borderId="0" xfId="9" applyFont="1"/>
    <xf numFmtId="0" fontId="12" fillId="2" borderId="16" xfId="19" applyFont="1" applyFill="1" applyBorder="1" applyAlignment="1">
      <alignment horizontal="left"/>
    </xf>
    <xf numFmtId="0" fontId="5" fillId="0" borderId="16" xfId="9" applyFont="1" applyBorder="1" applyAlignment="1">
      <alignment horizontal="right"/>
    </xf>
    <xf numFmtId="0" fontId="5" fillId="0" borderId="16" xfId="9" applyFont="1" applyFill="1" applyBorder="1" applyAlignment="1">
      <alignment horizontal="right"/>
    </xf>
    <xf numFmtId="0" fontId="12" fillId="3" borderId="303" xfId="9" applyFont="1" applyFill="1" applyBorder="1" applyAlignment="1">
      <alignment horizontal="left" wrapText="1"/>
    </xf>
    <xf numFmtId="17" fontId="8" fillId="3" borderId="303" xfId="9" applyNumberFormat="1" applyFont="1" applyFill="1" applyBorder="1" applyAlignment="1">
      <alignment horizontal="center"/>
    </xf>
    <xf numFmtId="0" fontId="34" fillId="0" borderId="0" xfId="9" applyFont="1"/>
    <xf numFmtId="0" fontId="12" fillId="3" borderId="88" xfId="9" applyFont="1" applyFill="1" applyBorder="1" applyAlignment="1">
      <alignment horizontal="left" wrapText="1"/>
    </xf>
    <xf numFmtId="2" fontId="8" fillId="0" borderId="50" xfId="39" applyNumberFormat="1" applyFont="1" applyFill="1" applyBorder="1" applyAlignment="1">
      <alignment horizontal="center"/>
    </xf>
    <xf numFmtId="3" fontId="12" fillId="3" borderId="79" xfId="69" applyNumberFormat="1" applyFont="1" applyFill="1" applyBorder="1" applyAlignment="1" applyProtection="1">
      <alignment horizontal="left"/>
      <protection hidden="1"/>
    </xf>
    <xf numFmtId="3" fontId="19" fillId="3" borderId="79" xfId="69" applyNumberFormat="1" applyFont="1" applyFill="1" applyBorder="1" applyAlignment="1" applyProtection="1">
      <alignment horizontal="left"/>
      <protection hidden="1"/>
    </xf>
    <xf numFmtId="2" fontId="9" fillId="0" borderId="50" xfId="39" applyNumberFormat="1" applyFont="1" applyFill="1" applyBorder="1" applyAlignment="1">
      <alignment horizontal="center"/>
    </xf>
    <xf numFmtId="3" fontId="30" fillId="3" borderId="79" xfId="69" applyNumberFormat="1" applyFont="1" applyFill="1" applyBorder="1" applyAlignment="1" applyProtection="1">
      <alignment horizontal="left" indent="1"/>
      <protection hidden="1"/>
    </xf>
    <xf numFmtId="0" fontId="157" fillId="0" borderId="0" xfId="9" applyFont="1"/>
    <xf numFmtId="3" fontId="30" fillId="3" borderId="79" xfId="69" applyNumberFormat="1" applyFont="1" applyFill="1" applyBorder="1" applyAlignment="1" applyProtection="1">
      <alignment horizontal="left" indent="2"/>
      <protection hidden="1"/>
    </xf>
    <xf numFmtId="0" fontId="158" fillId="0" borderId="0" xfId="9" applyFont="1"/>
    <xf numFmtId="3" fontId="19" fillId="3" borderId="67" xfId="69" applyNumberFormat="1" applyFont="1" applyFill="1" applyBorder="1" applyAlignment="1" applyProtection="1">
      <alignment horizontal="left"/>
      <protection hidden="1"/>
    </xf>
    <xf numFmtId="2" fontId="9" fillId="0" borderId="45" xfId="39" applyNumberFormat="1" applyFont="1" applyFill="1" applyBorder="1" applyAlignment="1">
      <alignment horizontal="center"/>
    </xf>
    <xf numFmtId="3" fontId="30" fillId="0" borderId="0" xfId="69" applyNumberFormat="1" applyFont="1" applyAlignment="1" applyProtection="1">
      <alignment horizontal="left"/>
      <protection hidden="1"/>
    </xf>
    <xf numFmtId="2" fontId="9" fillId="0" borderId="0" xfId="39" applyNumberFormat="1" applyFont="1" applyFill="1" applyBorder="1" applyAlignment="1">
      <alignment horizontal="center"/>
    </xf>
    <xf numFmtId="3" fontId="19" fillId="0" borderId="0" xfId="69" applyNumberFormat="1" applyFont="1" applyAlignment="1" applyProtection="1">
      <alignment horizontal="left" indent="1"/>
      <protection hidden="1"/>
    </xf>
    <xf numFmtId="0" fontId="12" fillId="3" borderId="203" xfId="9" applyFont="1" applyFill="1" applyBorder="1" applyAlignment="1">
      <alignment horizontal="left" wrapText="1"/>
    </xf>
    <xf numFmtId="17" fontId="8" fillId="3" borderId="67" xfId="9" applyNumberFormat="1" applyFont="1" applyFill="1" applyBorder="1" applyAlignment="1">
      <alignment horizontal="center"/>
    </xf>
    <xf numFmtId="0" fontId="24" fillId="0" borderId="0" xfId="9" applyFont="1" applyFill="1"/>
    <xf numFmtId="0" fontId="12" fillId="3" borderId="82" xfId="9" applyFont="1" applyFill="1" applyBorder="1" applyAlignment="1">
      <alignment wrapText="1"/>
    </xf>
    <xf numFmtId="0" fontId="8" fillId="0" borderId="54" xfId="9" applyFont="1" applyBorder="1" applyAlignment="1">
      <alignment horizontal="center"/>
    </xf>
    <xf numFmtId="0" fontId="8" fillId="0" borderId="54" xfId="9" applyFont="1" applyFill="1" applyBorder="1" applyAlignment="1">
      <alignment horizontal="center"/>
    </xf>
    <xf numFmtId="2" fontId="9" fillId="0" borderId="79" xfId="39" applyNumberFormat="1" applyFont="1" applyFill="1" applyBorder="1" applyAlignment="1">
      <alignment horizontal="center"/>
    </xf>
    <xf numFmtId="3" fontId="12" fillId="3" borderId="79" xfId="69" applyNumberFormat="1" applyFont="1" applyFill="1" applyBorder="1" applyProtection="1">
      <protection hidden="1"/>
    </xf>
    <xf numFmtId="10" fontId="8" fillId="0" borderId="50" xfId="39" applyNumberFormat="1" applyFont="1" applyFill="1" applyBorder="1" applyAlignment="1">
      <alignment horizontal="center"/>
    </xf>
    <xf numFmtId="0" fontId="34" fillId="0" borderId="0" xfId="9" applyFont="1" applyFill="1"/>
    <xf numFmtId="3" fontId="12" fillId="3" borderId="67" xfId="69" applyNumberFormat="1" applyFont="1" applyFill="1" applyBorder="1" applyAlignment="1" applyProtection="1">
      <alignment horizontal="left"/>
      <protection hidden="1"/>
    </xf>
    <xf numFmtId="10" fontId="8" fillId="0" borderId="45" xfId="39" applyNumberFormat="1" applyFont="1" applyFill="1" applyBorder="1" applyAlignment="1">
      <alignment horizontal="center"/>
    </xf>
    <xf numFmtId="0" fontId="8" fillId="0" borderId="45" xfId="39" applyNumberFormat="1" applyFont="1" applyFill="1" applyBorder="1" applyAlignment="1">
      <alignment horizontal="center"/>
    </xf>
    <xf numFmtId="2" fontId="8" fillId="0" borderId="45" xfId="39" applyNumberFormat="1" applyFont="1" applyFill="1" applyBorder="1" applyAlignment="1">
      <alignment horizontal="center"/>
    </xf>
    <xf numFmtId="0" fontId="34" fillId="0" borderId="0" xfId="9" applyFont="1" applyAlignment="1">
      <alignment vertical="center"/>
    </xf>
    <xf numFmtId="0" fontId="112" fillId="0" borderId="0" xfId="9" applyFont="1"/>
    <xf numFmtId="0" fontId="23" fillId="0" borderId="0" xfId="9" applyFont="1" applyAlignment="1">
      <alignment horizontal="center"/>
    </xf>
    <xf numFmtId="0" fontId="4" fillId="23" borderId="0" xfId="9" applyFont="1" applyFill="1" applyBorder="1" applyAlignment="1">
      <alignment horizontal="left" wrapText="1"/>
    </xf>
    <xf numFmtId="0" fontId="34" fillId="0" borderId="0" xfId="9" applyFont="1" applyBorder="1"/>
    <xf numFmtId="0" fontId="12" fillId="2" borderId="0" xfId="71" applyFont="1" applyFill="1"/>
    <xf numFmtId="0" fontId="19" fillId="2" borderId="0" xfId="71" applyFont="1" applyFill="1"/>
    <xf numFmtId="0" fontId="3" fillId="2" borderId="0" xfId="71" applyFont="1" applyFill="1"/>
    <xf numFmtId="0" fontId="9" fillId="10" borderId="139" xfId="71" applyFont="1" applyFill="1" applyBorder="1"/>
    <xf numFmtId="0" fontId="8" fillId="10" borderId="140" xfId="71" applyFont="1" applyFill="1" applyBorder="1" applyAlignment="1">
      <alignment horizontal="center" vertical="top"/>
    </xf>
    <xf numFmtId="0" fontId="8" fillId="10" borderId="13" xfId="71" applyFont="1" applyFill="1" applyBorder="1" applyAlignment="1">
      <alignment horizontal="center"/>
    </xf>
    <xf numFmtId="0" fontId="8" fillId="10" borderId="62" xfId="71" applyFont="1" applyFill="1" applyBorder="1" applyAlignment="1">
      <alignment horizontal="center"/>
    </xf>
    <xf numFmtId="0" fontId="9" fillId="2" borderId="0" xfId="71" applyFont="1" applyFill="1"/>
    <xf numFmtId="0" fontId="9" fillId="10" borderId="143" xfId="71" applyFont="1" applyFill="1" applyBorder="1"/>
    <xf numFmtId="0" fontId="8" fillId="10" borderId="53" xfId="71" applyFont="1" applyFill="1" applyBorder="1" applyAlignment="1">
      <alignment horizontal="center" vertical="top"/>
    </xf>
    <xf numFmtId="0" fontId="8" fillId="10" borderId="5" xfId="71" applyFont="1" applyFill="1" applyBorder="1" applyAlignment="1">
      <alignment horizontal="center"/>
    </xf>
    <xf numFmtId="0" fontId="8" fillId="10" borderId="50" xfId="71" applyFont="1" applyFill="1" applyBorder="1" applyAlignment="1">
      <alignment horizontal="center"/>
    </xf>
    <xf numFmtId="0" fontId="9" fillId="10" borderId="373" xfId="71" applyFont="1" applyFill="1" applyBorder="1"/>
    <xf numFmtId="0" fontId="8" fillId="10" borderId="304" xfId="71" applyFont="1" applyFill="1" applyBorder="1" applyAlignment="1">
      <alignment horizontal="center" vertical="top"/>
    </xf>
    <xf numFmtId="0" fontId="8" fillId="10" borderId="11" xfId="71" applyFont="1" applyFill="1" applyBorder="1" applyAlignment="1">
      <alignment horizontal="center"/>
    </xf>
    <xf numFmtId="0" fontId="8" fillId="10" borderId="59" xfId="71" applyFont="1" applyFill="1" applyBorder="1" applyAlignment="1">
      <alignment horizontal="center"/>
    </xf>
    <xf numFmtId="17" fontId="8" fillId="3" borderId="143" xfId="71" quotePrefix="1" applyNumberFormat="1" applyFont="1" applyFill="1" applyBorder="1" applyAlignment="1">
      <alignment horizontal="left"/>
    </xf>
    <xf numFmtId="2" fontId="7" fillId="2" borderId="5" xfId="71" applyNumberFormat="1" applyFont="1" applyFill="1" applyBorder="1" applyAlignment="1">
      <alignment horizontal="right" indent="1"/>
    </xf>
    <xf numFmtId="0" fontId="7" fillId="2" borderId="5" xfId="71" applyFont="1" applyFill="1" applyBorder="1" applyAlignment="1">
      <alignment horizontal="right" indent="1"/>
    </xf>
    <xf numFmtId="4" fontId="7" fillId="2" borderId="5" xfId="71" applyNumberFormat="1" applyFont="1" applyFill="1" applyBorder="1" applyAlignment="1">
      <alignment horizontal="right" indent="1"/>
    </xf>
    <xf numFmtId="2" fontId="7" fillId="2" borderId="50" xfId="71" applyNumberFormat="1" applyFont="1" applyFill="1" applyBorder="1" applyAlignment="1">
      <alignment horizontal="right" indent="1"/>
    </xf>
    <xf numFmtId="17" fontId="8" fillId="3" borderId="145" xfId="71" quotePrefix="1" applyNumberFormat="1" applyFont="1" applyFill="1" applyBorder="1" applyAlignment="1">
      <alignment horizontal="left"/>
    </xf>
    <xf numFmtId="2" fontId="7" fillId="0" borderId="2" xfId="71" applyNumberFormat="1" applyFont="1" applyFill="1" applyBorder="1" applyAlignment="1">
      <alignment horizontal="right" indent="1"/>
    </xf>
    <xf numFmtId="0" fontId="7" fillId="0" borderId="2" xfId="71" applyFont="1" applyFill="1" applyBorder="1" applyAlignment="1">
      <alignment horizontal="right" indent="1"/>
    </xf>
    <xf numFmtId="4" fontId="7" fillId="0" borderId="2" xfId="71" applyNumberFormat="1" applyFont="1" applyFill="1" applyBorder="1" applyAlignment="1">
      <alignment horizontal="right" indent="1"/>
    </xf>
    <xf numFmtId="2" fontId="7" fillId="0" borderId="45" xfId="71" applyNumberFormat="1" applyFont="1" applyFill="1" applyBorder="1" applyAlignment="1">
      <alignment horizontal="right" indent="1"/>
    </xf>
    <xf numFmtId="0" fontId="4" fillId="2" borderId="0" xfId="71" applyFont="1" applyFill="1" applyAlignment="1">
      <alignment vertical="center"/>
    </xf>
    <xf numFmtId="0" fontId="4" fillId="0" borderId="0" xfId="71" applyFont="1" applyFill="1" applyAlignment="1">
      <alignment vertical="center"/>
    </xf>
    <xf numFmtId="0" fontId="4" fillId="2" borderId="0" xfId="71" applyFont="1" applyFill="1" applyAlignment="1">
      <alignment horizontal="left" vertical="center"/>
    </xf>
    <xf numFmtId="2" fontId="4" fillId="2" borderId="0" xfId="71" applyNumberFormat="1" applyFont="1" applyFill="1" applyAlignment="1">
      <alignment vertical="center"/>
    </xf>
    <xf numFmtId="0" fontId="159" fillId="2" borderId="0" xfId="19" applyFont="1" applyFill="1"/>
    <xf numFmtId="0" fontId="27" fillId="2" borderId="0" xfId="19" applyFont="1" applyFill="1" applyAlignment="1">
      <alignment horizontal="right" vertical="center"/>
    </xf>
    <xf numFmtId="3" fontId="8" fillId="3" borderId="79" xfId="19" applyNumberFormat="1" applyFont="1" applyFill="1" applyBorder="1" applyAlignment="1">
      <alignment horizontal="left" vertical="center"/>
    </xf>
    <xf numFmtId="3" fontId="14" fillId="2" borderId="79" xfId="15" applyNumberFormat="1" applyFont="1" applyFill="1" applyBorder="1" applyAlignment="1">
      <alignment horizontal="center" vertical="center"/>
    </xf>
    <xf numFmtId="37" fontId="14" fillId="2" borderId="79" xfId="15" applyNumberFormat="1" applyFont="1" applyFill="1" applyBorder="1" applyAlignment="1">
      <alignment horizontal="center" vertical="center"/>
    </xf>
    <xf numFmtId="3" fontId="3" fillId="2" borderId="0" xfId="19" applyNumberFormat="1" applyFont="1" applyFill="1" applyAlignment="1">
      <alignment horizontal="center" vertical="center"/>
    </xf>
    <xf numFmtId="3" fontId="8" fillId="3" borderId="79" xfId="69" applyNumberFormat="1" applyFont="1" applyFill="1" applyBorder="1" applyAlignment="1" applyProtection="1">
      <alignment vertical="center"/>
      <protection hidden="1"/>
    </xf>
    <xf numFmtId="37" fontId="14" fillId="0" borderId="79" xfId="15" applyNumberFormat="1" applyFont="1" applyFill="1" applyBorder="1" applyAlignment="1">
      <alignment horizontal="center" vertical="center"/>
    </xf>
    <xf numFmtId="37" fontId="14" fillId="2" borderId="0" xfId="19" applyNumberFormat="1" applyFont="1" applyFill="1" applyBorder="1" applyAlignment="1">
      <alignment horizontal="center" vertical="center"/>
    </xf>
    <xf numFmtId="0" fontId="17" fillId="0" borderId="0" xfId="19" applyFont="1" applyAlignment="1">
      <alignment vertical="center"/>
    </xf>
    <xf numFmtId="179" fontId="3" fillId="2" borderId="0" xfId="1" applyNumberFormat="1" applyFont="1" applyFill="1" applyAlignment="1">
      <alignment horizontal="center" vertical="center"/>
    </xf>
    <xf numFmtId="3" fontId="8" fillId="3" borderId="82" xfId="19" applyNumberFormat="1" applyFont="1" applyFill="1" applyBorder="1" applyAlignment="1">
      <alignment horizontal="left" vertical="center"/>
    </xf>
    <xf numFmtId="37" fontId="14" fillId="2" borderId="86" xfId="15" quotePrefix="1" applyNumberFormat="1" applyFont="1" applyFill="1" applyBorder="1" applyAlignment="1">
      <alignment horizontal="center" vertical="center"/>
    </xf>
    <xf numFmtId="37" fontId="14" fillId="2" borderId="82" xfId="15" quotePrefix="1" applyNumberFormat="1" applyFont="1" applyFill="1" applyBorder="1" applyAlignment="1">
      <alignment horizontal="center" vertical="center"/>
    </xf>
    <xf numFmtId="3" fontId="5" fillId="3" borderId="79" xfId="69" applyNumberFormat="1" applyFont="1" applyFill="1" applyBorder="1" applyAlignment="1" applyProtection="1">
      <alignment vertical="center"/>
      <protection hidden="1"/>
    </xf>
    <xf numFmtId="37" fontId="27" fillId="2" borderId="81" xfId="15" applyNumberFormat="1" applyFont="1" applyFill="1" applyBorder="1" applyAlignment="1" applyProtection="1">
      <alignment horizontal="center" vertical="center"/>
      <protection hidden="1"/>
    </xf>
    <xf numFmtId="37" fontId="27" fillId="2" borderId="79" xfId="15" applyNumberFormat="1" applyFont="1" applyFill="1" applyBorder="1" applyAlignment="1" applyProtection="1">
      <alignment horizontal="center" vertical="center"/>
      <protection hidden="1"/>
    </xf>
    <xf numFmtId="37" fontId="14" fillId="0" borderId="81" xfId="15" applyNumberFormat="1" applyFont="1" applyBorder="1" applyAlignment="1" applyProtection="1">
      <alignment horizontal="center" vertical="center"/>
      <protection hidden="1"/>
    </xf>
    <xf numFmtId="37" fontId="14" fillId="0" borderId="79" xfId="15" applyNumberFormat="1" applyFont="1" applyBorder="1" applyAlignment="1" applyProtection="1">
      <alignment horizontal="center" vertical="center"/>
      <protection hidden="1"/>
    </xf>
    <xf numFmtId="3" fontId="3" fillId="4" borderId="79" xfId="69" applyNumberFormat="1" applyFont="1" applyFill="1" applyBorder="1" applyAlignment="1" applyProtection="1">
      <alignment vertical="center"/>
      <protection hidden="1"/>
    </xf>
    <xf numFmtId="37" fontId="14" fillId="2" borderId="81" xfId="15" applyNumberFormat="1" applyFont="1" applyFill="1" applyBorder="1" applyAlignment="1" applyProtection="1">
      <alignment horizontal="center" vertical="center"/>
      <protection hidden="1"/>
    </xf>
    <xf numFmtId="37" fontId="14" fillId="2" borderId="79" xfId="15" applyNumberFormat="1" applyFont="1" applyFill="1" applyBorder="1" applyAlignment="1" applyProtection="1">
      <alignment horizontal="center" vertical="center"/>
      <protection hidden="1"/>
    </xf>
    <xf numFmtId="3" fontId="3" fillId="4" borderId="0" xfId="69" applyNumberFormat="1" applyFont="1" applyFill="1" applyAlignment="1" applyProtection="1">
      <alignment vertical="center"/>
      <protection hidden="1"/>
    </xf>
    <xf numFmtId="3" fontId="8" fillId="3" borderId="82" xfId="69" applyNumberFormat="1" applyFont="1" applyFill="1" applyBorder="1" applyAlignment="1" applyProtection="1">
      <alignment vertical="center"/>
      <protection hidden="1"/>
    </xf>
    <xf numFmtId="37" fontId="14" fillId="2" borderId="86" xfId="15" applyNumberFormat="1" applyFont="1" applyFill="1" applyBorder="1" applyAlignment="1" applyProtection="1">
      <alignment horizontal="center" vertical="center"/>
      <protection hidden="1"/>
    </xf>
    <xf numFmtId="37" fontId="14" fillId="2" borderId="82" xfId="15" applyNumberFormat="1" applyFont="1" applyFill="1" applyBorder="1" applyAlignment="1" applyProtection="1">
      <alignment horizontal="center" vertical="center"/>
      <protection hidden="1"/>
    </xf>
    <xf numFmtId="3" fontId="8" fillId="3" borderId="303" xfId="69" applyNumberFormat="1" applyFont="1" applyFill="1" applyBorder="1" applyAlignment="1" applyProtection="1">
      <alignment vertical="center"/>
      <protection hidden="1"/>
    </xf>
    <xf numFmtId="37" fontId="14" fillId="4" borderId="208" xfId="15" applyNumberFormat="1" applyFont="1" applyFill="1" applyBorder="1" applyAlignment="1" applyProtection="1">
      <alignment horizontal="center" vertical="center"/>
      <protection hidden="1"/>
    </xf>
    <xf numFmtId="37" fontId="14" fillId="4" borderId="303" xfId="15" applyNumberFormat="1" applyFont="1" applyFill="1" applyBorder="1" applyAlignment="1" applyProtection="1">
      <alignment horizontal="center" vertical="center"/>
      <protection hidden="1"/>
    </xf>
    <xf numFmtId="0" fontId="4" fillId="2" borderId="0" xfId="19" applyFont="1" applyFill="1" applyAlignment="1">
      <alignment vertical="center" wrapText="1"/>
    </xf>
    <xf numFmtId="179" fontId="110" fillId="2" borderId="0" xfId="19" applyNumberFormat="1" applyFont="1" applyFill="1"/>
    <xf numFmtId="179" fontId="160" fillId="2" borderId="0" xfId="19" applyNumberFormat="1" applyFont="1" applyFill="1"/>
    <xf numFmtId="37" fontId="4" fillId="2" borderId="0" xfId="0" applyNumberFormat="1" applyFont="1" applyFill="1"/>
    <xf numFmtId="0" fontId="161" fillId="2" borderId="0" xfId="0" applyFont="1" applyFill="1"/>
    <xf numFmtId="0" fontId="4" fillId="2" borderId="0" xfId="0" applyFont="1" applyFill="1"/>
    <xf numFmtId="0" fontId="4" fillId="2" borderId="0" xfId="0" applyFont="1" applyFill="1" applyAlignment="1">
      <alignment horizontal="left" vertical="center" wrapText="1"/>
    </xf>
    <xf numFmtId="0" fontId="4" fillId="2" borderId="0" xfId="0" applyFont="1" applyFill="1" applyAlignment="1">
      <alignment wrapText="1"/>
    </xf>
    <xf numFmtId="0" fontId="161" fillId="2" borderId="0" xfId="0" applyFont="1" applyFill="1" applyAlignment="1">
      <alignment wrapText="1"/>
    </xf>
    <xf numFmtId="0" fontId="4" fillId="2" borderId="0" xfId="0" applyFont="1" applyFill="1" applyAlignment="1">
      <alignment vertical="center" wrapText="1"/>
    </xf>
    <xf numFmtId="0" fontId="4" fillId="2" borderId="0" xfId="0" applyFont="1" applyFill="1" applyAlignment="1">
      <alignment horizontal="left" wrapText="1"/>
    </xf>
    <xf numFmtId="0" fontId="161" fillId="2" borderId="0" xfId="0" applyFont="1" applyFill="1" applyAlignment="1">
      <alignment horizontal="left" wrapText="1"/>
    </xf>
    <xf numFmtId="0" fontId="84" fillId="2" borderId="0" xfId="19" applyFont="1" applyFill="1" applyAlignment="1">
      <alignment horizontal="left"/>
    </xf>
    <xf numFmtId="0" fontId="10" fillId="2" borderId="0" xfId="19" applyFont="1" applyFill="1" applyAlignment="1">
      <alignment wrapText="1"/>
    </xf>
    <xf numFmtId="0" fontId="159" fillId="2" borderId="0" xfId="19" applyFont="1" applyFill="1" applyAlignment="1">
      <alignment wrapText="1"/>
    </xf>
    <xf numFmtId="0" fontId="163" fillId="2" borderId="0" xfId="19" applyFont="1" applyFill="1" applyAlignment="1">
      <alignment wrapText="1"/>
    </xf>
    <xf numFmtId="0" fontId="12" fillId="2" borderId="16" xfId="19" applyFont="1" applyFill="1" applyBorder="1" applyAlignment="1">
      <alignment horizontal="left" wrapText="1"/>
    </xf>
    <xf numFmtId="0" fontId="84" fillId="2" borderId="16" xfId="19" applyFont="1" applyFill="1" applyBorder="1" applyAlignment="1">
      <alignment horizontal="right" vertical="top" wrapText="1"/>
    </xf>
    <xf numFmtId="3" fontId="8" fillId="3" borderId="303" xfId="19" applyNumberFormat="1" applyFont="1" applyFill="1" applyBorder="1" applyAlignment="1">
      <alignment horizontal="left" vertical="center"/>
    </xf>
    <xf numFmtId="175" fontId="14" fillId="3" borderId="303" xfId="19" quotePrefix="1" applyNumberFormat="1" applyFont="1" applyFill="1" applyBorder="1" applyAlignment="1">
      <alignment horizontal="center" vertical="center"/>
    </xf>
    <xf numFmtId="175" fontId="8" fillId="3" borderId="303" xfId="19" quotePrefix="1" applyNumberFormat="1" applyFont="1" applyFill="1" applyBorder="1" applyAlignment="1">
      <alignment horizontal="center" vertical="center"/>
    </xf>
    <xf numFmtId="3" fontId="14" fillId="0" borderId="79" xfId="19" quotePrefix="1" applyNumberFormat="1" applyFont="1" applyBorder="1" applyAlignment="1">
      <alignment horizontal="center" vertical="center"/>
    </xf>
    <xf numFmtId="3" fontId="14" fillId="2" borderId="79" xfId="19" quotePrefix="1" applyNumberFormat="1" applyFont="1" applyFill="1" applyBorder="1" applyAlignment="1">
      <alignment horizontal="center" vertical="center"/>
    </xf>
    <xf numFmtId="179" fontId="14" fillId="2" borderId="79" xfId="1" applyNumberFormat="1" applyFont="1" applyFill="1" applyBorder="1" applyAlignment="1">
      <alignment horizontal="center" vertical="center"/>
    </xf>
    <xf numFmtId="37" fontId="14" fillId="0" borderId="82" xfId="15" quotePrefix="1" applyNumberFormat="1" applyFont="1" applyBorder="1" applyAlignment="1">
      <alignment horizontal="center" vertical="center"/>
    </xf>
    <xf numFmtId="37" fontId="27" fillId="0" borderId="79" xfId="15" applyNumberFormat="1" applyFont="1" applyBorder="1" applyAlignment="1" applyProtection="1">
      <alignment horizontal="center" vertical="center"/>
      <protection hidden="1"/>
    </xf>
    <xf numFmtId="37" fontId="14" fillId="0" borderId="82" xfId="15" applyNumberFormat="1" applyFont="1" applyBorder="1" applyAlignment="1" applyProtection="1">
      <alignment horizontal="center" vertical="center"/>
      <protection hidden="1"/>
    </xf>
    <xf numFmtId="3" fontId="8" fillId="3" borderId="67" xfId="69" applyNumberFormat="1" applyFont="1" applyFill="1" applyBorder="1" applyAlignment="1" applyProtection="1">
      <alignment vertical="center"/>
      <protection hidden="1"/>
    </xf>
    <xf numFmtId="37" fontId="14" fillId="0" borderId="67" xfId="15" applyNumberFormat="1" applyFont="1" applyBorder="1" applyAlignment="1" applyProtection="1">
      <alignment horizontal="center" vertical="center"/>
      <protection hidden="1"/>
    </xf>
    <xf numFmtId="37" fontId="14" fillId="2" borderId="67" xfId="15" applyNumberFormat="1" applyFont="1" applyFill="1" applyBorder="1" applyAlignment="1" applyProtection="1">
      <alignment horizontal="center" vertical="center"/>
      <protection hidden="1"/>
    </xf>
    <xf numFmtId="37" fontId="14" fillId="3" borderId="303" xfId="15" applyNumberFormat="1" applyFont="1" applyFill="1" applyBorder="1" applyAlignment="1" applyProtection="1">
      <alignment horizontal="center" vertical="center"/>
      <protection hidden="1"/>
    </xf>
    <xf numFmtId="179" fontId="103" fillId="2" borderId="0" xfId="19" applyNumberFormat="1" applyFont="1" applyFill="1"/>
    <xf numFmtId="0" fontId="164" fillId="2" borderId="0" xfId="19" applyFont="1" applyFill="1"/>
    <xf numFmtId="0" fontId="161" fillId="2" borderId="0" xfId="0" applyFont="1" applyFill="1" applyAlignment="1">
      <alignment vertical="center" wrapText="1"/>
    </xf>
    <xf numFmtId="43" fontId="10" fillId="2" borderId="0" xfId="19" applyNumberFormat="1" applyFont="1" applyFill="1"/>
    <xf numFmtId="37" fontId="4" fillId="2" borderId="0" xfId="19" applyNumberFormat="1" applyFont="1" applyFill="1"/>
    <xf numFmtId="37" fontId="3" fillId="2" borderId="0" xfId="19" applyNumberFormat="1" applyFont="1" applyFill="1"/>
    <xf numFmtId="0" fontId="5" fillId="0" borderId="0" xfId="9" applyFont="1" applyFill="1" applyAlignment="1">
      <alignment horizontal="right"/>
    </xf>
    <xf numFmtId="2" fontId="3" fillId="0" borderId="0" xfId="9" applyNumberFormat="1" applyFont="1" applyFill="1" applyAlignment="1">
      <alignment horizontal="center"/>
    </xf>
    <xf numFmtId="0" fontId="32" fillId="0" borderId="0" xfId="9" applyFont="1" applyFill="1" applyAlignment="1">
      <alignment horizontal="center"/>
    </xf>
    <xf numFmtId="0" fontId="5" fillId="0" borderId="0" xfId="71" applyFont="1" applyFill="1" applyAlignment="1">
      <alignment horizontal="right"/>
    </xf>
    <xf numFmtId="3" fontId="12" fillId="10" borderId="272" xfId="9" applyNumberFormat="1" applyFont="1" applyFill="1" applyBorder="1" applyAlignment="1">
      <alignment horizontal="center"/>
    </xf>
    <xf numFmtId="17" fontId="8" fillId="10" borderId="210" xfId="9" quotePrefix="1" applyNumberFormat="1" applyFont="1" applyFill="1" applyBorder="1" applyAlignment="1">
      <alignment horizontal="center"/>
    </xf>
    <xf numFmtId="17" fontId="8" fillId="10" borderId="87" xfId="9" quotePrefix="1" applyNumberFormat="1" applyFont="1" applyFill="1" applyBorder="1" applyAlignment="1">
      <alignment horizontal="center"/>
    </xf>
    <xf numFmtId="3" fontId="12" fillId="10" borderId="143" xfId="9" applyNumberFormat="1" applyFont="1" applyFill="1" applyBorder="1"/>
    <xf numFmtId="0" fontId="165" fillId="2" borderId="79" xfId="0" applyFont="1" applyFill="1" applyBorder="1" applyAlignment="1">
      <alignment horizontal="right"/>
    </xf>
    <xf numFmtId="3" fontId="12" fillId="10" borderId="143" xfId="9" applyNumberFormat="1" applyFont="1" applyFill="1" applyBorder="1" applyAlignment="1">
      <alignment horizontal="left" indent="2"/>
    </xf>
    <xf numFmtId="2" fontId="14" fillId="2" borderId="79" xfId="0" applyNumberFormat="1" applyFont="1" applyFill="1" applyBorder="1" applyAlignment="1">
      <alignment horizontal="center"/>
    </xf>
    <xf numFmtId="2" fontId="7" fillId="2" borderId="79" xfId="0" applyNumberFormat="1" applyFont="1" applyFill="1" applyBorder="1" applyAlignment="1">
      <alignment horizontal="center"/>
    </xf>
    <xf numFmtId="2" fontId="7" fillId="2" borderId="67" xfId="0" applyNumberFormat="1" applyFont="1" applyFill="1" applyBorder="1" applyAlignment="1">
      <alignment horizontal="center"/>
    </xf>
    <xf numFmtId="0" fontId="4" fillId="0" borderId="0" xfId="9" applyFont="1" applyFill="1" applyAlignment="1">
      <alignment horizontal="left" vertical="center"/>
    </xf>
    <xf numFmtId="0" fontId="3" fillId="0" borderId="0" xfId="9" applyFont="1" applyFill="1" applyAlignment="1">
      <alignment vertical="center"/>
    </xf>
    <xf numFmtId="2" fontId="3" fillId="0" borderId="0" xfId="9" applyNumberFormat="1" applyFont="1" applyFill="1" applyAlignment="1">
      <alignment horizontal="center" vertical="center"/>
    </xf>
    <xf numFmtId="2" fontId="3" fillId="0" borderId="0" xfId="9" applyNumberFormat="1" applyFont="1" applyAlignment="1">
      <alignment horizontal="center"/>
    </xf>
    <xf numFmtId="0" fontId="11" fillId="0" borderId="0" xfId="19" applyFont="1" applyAlignment="1">
      <alignment horizontal="center" vertical="top" wrapText="1"/>
    </xf>
    <xf numFmtId="0" fontId="24" fillId="0" borderId="0" xfId="9" applyFont="1" applyAlignment="1">
      <alignment horizontal="center" vertical="top"/>
    </xf>
    <xf numFmtId="0" fontId="4" fillId="0" borderId="0" xfId="9" applyFont="1" applyAlignment="1">
      <alignment horizontal="right"/>
    </xf>
    <xf numFmtId="0" fontId="11" fillId="3" borderId="303" xfId="9" applyFont="1" applyFill="1" applyBorder="1" applyAlignment="1">
      <alignment horizontal="left" wrapText="1"/>
    </xf>
    <xf numFmtId="49" fontId="8" fillId="3" borderId="303" xfId="9" applyNumberFormat="1" applyFont="1" applyFill="1" applyBorder="1" applyAlignment="1">
      <alignment horizontal="center"/>
    </xf>
    <xf numFmtId="0" fontId="8" fillId="3" borderId="88" xfId="9" applyFont="1" applyFill="1" applyBorder="1" applyAlignment="1">
      <alignment horizontal="left" vertical="center" wrapText="1"/>
    </xf>
    <xf numFmtId="2" fontId="14" fillId="0" borderId="50" xfId="39" applyNumberFormat="1" applyFont="1" applyBorder="1" applyAlignment="1">
      <alignment horizontal="center" vertical="center"/>
    </xf>
    <xf numFmtId="3" fontId="8" fillId="3" borderId="79" xfId="69" applyNumberFormat="1" applyFont="1" applyFill="1" applyBorder="1" applyAlignment="1" applyProtection="1">
      <alignment horizontal="left" vertical="center"/>
      <protection hidden="1"/>
    </xf>
    <xf numFmtId="0" fontId="24" fillId="0" borderId="0" xfId="9" applyFont="1" applyAlignment="1">
      <alignment vertical="center"/>
    </xf>
    <xf numFmtId="2" fontId="14" fillId="0" borderId="50" xfId="39" applyNumberFormat="1" applyFont="1" applyBorder="1" applyAlignment="1">
      <alignment vertical="center"/>
    </xf>
    <xf numFmtId="0" fontId="8" fillId="3" borderId="82" xfId="9" applyFont="1" applyFill="1" applyBorder="1" applyAlignment="1">
      <alignment vertical="center" wrapText="1"/>
    </xf>
    <xf numFmtId="0" fontId="14" fillId="0" borderId="54" xfId="9" applyFont="1" applyBorder="1" applyAlignment="1">
      <alignment horizontal="center" vertical="center"/>
    </xf>
    <xf numFmtId="2" fontId="14" fillId="0" borderId="82" xfId="9" applyNumberFormat="1" applyFont="1" applyBorder="1" applyAlignment="1">
      <alignment horizontal="center" vertical="center"/>
    </xf>
    <xf numFmtId="43" fontId="14" fillId="0" borderId="82" xfId="9" applyNumberFormat="1" applyFont="1" applyBorder="1" applyAlignment="1">
      <alignment horizontal="center" vertical="center"/>
    </xf>
    <xf numFmtId="3" fontId="5" fillId="3" borderId="79" xfId="69" applyNumberFormat="1" applyFont="1" applyFill="1" applyBorder="1" applyAlignment="1" applyProtection="1">
      <alignment horizontal="left" vertical="center"/>
      <protection hidden="1"/>
    </xf>
    <xf numFmtId="2" fontId="7" fillId="0" borderId="79" xfId="39" applyNumberFormat="1" applyFont="1" applyBorder="1" applyAlignment="1">
      <alignment horizontal="center" vertical="center"/>
    </xf>
    <xf numFmtId="2" fontId="14" fillId="0" borderId="79" xfId="39" applyNumberFormat="1" applyFont="1" applyBorder="1" applyAlignment="1">
      <alignment horizontal="center" vertical="center"/>
    </xf>
    <xf numFmtId="3" fontId="8" fillId="3" borderId="67" xfId="69" applyNumberFormat="1" applyFont="1" applyFill="1" applyBorder="1" applyAlignment="1" applyProtection="1">
      <alignment horizontal="left" vertical="center"/>
      <protection hidden="1"/>
    </xf>
    <xf numFmtId="2" fontId="14" fillId="0" borderId="45" xfId="39" applyNumberFormat="1" applyFont="1" applyBorder="1" applyAlignment="1">
      <alignment horizontal="center" vertical="center"/>
    </xf>
    <xf numFmtId="10" fontId="14" fillId="0" borderId="45" xfId="39" applyNumberFormat="1" applyFont="1" applyBorder="1" applyAlignment="1">
      <alignment horizontal="center" vertical="center"/>
    </xf>
    <xf numFmtId="0" fontId="4" fillId="0" borderId="0" xfId="9" applyFont="1" applyAlignment="1">
      <alignment horizontal="left" wrapText="1"/>
    </xf>
    <xf numFmtId="0" fontId="84" fillId="0" borderId="0" xfId="9" applyFont="1" applyAlignment="1">
      <alignment horizontal="left" wrapText="1"/>
    </xf>
    <xf numFmtId="0" fontId="166" fillId="0" borderId="0" xfId="9" applyFont="1"/>
    <xf numFmtId="0" fontId="112" fillId="0" borderId="0" xfId="9" applyFont="1" applyAlignment="1">
      <alignment horizontal="center"/>
    </xf>
    <xf numFmtId="0" fontId="14" fillId="0" borderId="50" xfId="39" applyNumberFormat="1" applyFont="1" applyBorder="1" applyAlignment="1">
      <alignment horizontal="center" vertical="center"/>
    </xf>
    <xf numFmtId="2" fontId="14" fillId="2" borderId="50" xfId="39" applyNumberFormat="1" applyFont="1" applyFill="1" applyBorder="1" applyAlignment="1">
      <alignment horizontal="center" vertical="center"/>
    </xf>
    <xf numFmtId="0" fontId="10" fillId="0" borderId="0" xfId="19" applyFont="1" applyFill="1"/>
    <xf numFmtId="0" fontId="4" fillId="0" borderId="0" xfId="19" applyFont="1" applyFill="1" applyAlignment="1">
      <alignment horizontal="right"/>
    </xf>
    <xf numFmtId="17" fontId="8" fillId="3" borderId="303" xfId="19" quotePrefix="1" applyNumberFormat="1" applyFont="1" applyFill="1" applyBorder="1" applyAlignment="1">
      <alignment horizontal="center" vertical="center"/>
    </xf>
    <xf numFmtId="3" fontId="8" fillId="0" borderId="79" xfId="19" quotePrefix="1" applyNumberFormat="1" applyFont="1" applyFill="1" applyBorder="1" applyAlignment="1">
      <alignment horizontal="right"/>
    </xf>
    <xf numFmtId="179" fontId="3" fillId="2" borderId="0" xfId="19" applyNumberFormat="1" applyFont="1" applyFill="1"/>
    <xf numFmtId="3" fontId="8" fillId="2" borderId="79" xfId="15" applyNumberFormat="1" applyFont="1" applyFill="1" applyBorder="1" applyAlignment="1">
      <alignment horizontal="right"/>
    </xf>
    <xf numFmtId="37" fontId="8" fillId="0" borderId="86" xfId="15" quotePrefix="1" applyNumberFormat="1" applyFont="1" applyFill="1" applyBorder="1" applyAlignment="1">
      <alignment horizontal="right"/>
    </xf>
    <xf numFmtId="37" fontId="8" fillId="0" borderId="82" xfId="15" quotePrefix="1" applyNumberFormat="1" applyFont="1" applyFill="1" applyBorder="1" applyAlignment="1">
      <alignment horizontal="right"/>
    </xf>
    <xf numFmtId="37" fontId="5" fillId="0" borderId="81" xfId="15" applyNumberFormat="1" applyFont="1" applyFill="1" applyBorder="1" applyAlignment="1" applyProtection="1">
      <alignment horizontal="right"/>
      <protection hidden="1"/>
    </xf>
    <xf numFmtId="37" fontId="5" fillId="0" borderId="79" xfId="15" applyNumberFormat="1" applyFont="1" applyFill="1" applyBorder="1" applyAlignment="1" applyProtection="1">
      <alignment horizontal="right"/>
      <protection hidden="1"/>
    </xf>
    <xf numFmtId="37" fontId="8" fillId="0" borderId="81" xfId="15" applyNumberFormat="1" applyFont="1" applyFill="1" applyBorder="1" applyAlignment="1" applyProtection="1">
      <alignment horizontal="right"/>
      <protection hidden="1"/>
    </xf>
    <xf numFmtId="37" fontId="8" fillId="0" borderId="79" xfId="15" applyNumberFormat="1" applyFont="1" applyFill="1" applyBorder="1" applyAlignment="1" applyProtection="1">
      <alignment horizontal="right"/>
      <protection hidden="1"/>
    </xf>
    <xf numFmtId="3" fontId="3" fillId="4" borderId="79" xfId="69" applyNumberFormat="1" applyFont="1" applyFill="1" applyBorder="1" applyProtection="1">
      <protection hidden="1"/>
    </xf>
    <xf numFmtId="3" fontId="3" fillId="4" borderId="0" xfId="69" applyNumberFormat="1" applyFont="1" applyFill="1" applyProtection="1">
      <protection hidden="1"/>
    </xf>
    <xf numFmtId="0" fontId="133" fillId="0" borderId="0" xfId="14" applyFont="1" applyFill="1"/>
    <xf numFmtId="37" fontId="8" fillId="0" borderId="49" xfId="15" applyNumberFormat="1" applyFont="1" applyFill="1" applyBorder="1" applyAlignment="1" applyProtection="1">
      <alignment horizontal="right"/>
      <protection hidden="1"/>
    </xf>
    <xf numFmtId="37" fontId="8" fillId="0" borderId="67" xfId="15" applyNumberFormat="1" applyFont="1" applyFill="1" applyBorder="1" applyAlignment="1" applyProtection="1">
      <alignment horizontal="right"/>
      <protection hidden="1"/>
    </xf>
    <xf numFmtId="179" fontId="8" fillId="3" borderId="208" xfId="1" applyNumberFormat="1" applyFont="1" applyFill="1" applyBorder="1" applyAlignment="1" applyProtection="1">
      <alignment horizontal="center"/>
      <protection hidden="1"/>
    </xf>
    <xf numFmtId="179" fontId="8" fillId="3" borderId="303" xfId="1" applyNumberFormat="1" applyFont="1" applyFill="1" applyBorder="1" applyAlignment="1" applyProtection="1">
      <alignment horizontal="center"/>
      <protection hidden="1"/>
    </xf>
    <xf numFmtId="0" fontId="15" fillId="0" borderId="0" xfId="14" applyFont="1" applyAlignment="1">
      <alignment horizontal="left" vertical="center" wrapText="1"/>
    </xf>
    <xf numFmtId="3" fontId="3" fillId="0" borderId="0" xfId="19" applyNumberFormat="1" applyFont="1" applyAlignment="1">
      <alignment vertical="center"/>
    </xf>
    <xf numFmtId="179" fontId="3" fillId="2" borderId="0" xfId="15" applyNumberFormat="1" applyFont="1" applyFill="1" applyAlignment="1">
      <alignment vertical="center"/>
    </xf>
    <xf numFmtId="0" fontId="164" fillId="2" borderId="0" xfId="19" applyFont="1" applyFill="1" applyAlignment="1">
      <alignment horizontal="left" vertical="center" wrapText="1"/>
    </xf>
    <xf numFmtId="0" fontId="4" fillId="2" borderId="0" xfId="14" applyFont="1" applyFill="1" applyAlignment="1">
      <alignment horizontal="left" vertical="center" wrapText="1"/>
    </xf>
    <xf numFmtId="0" fontId="164" fillId="2" borderId="0" xfId="19" applyFont="1" applyFill="1" applyAlignment="1">
      <alignment vertical="center"/>
    </xf>
    <xf numFmtId="0" fontId="4" fillId="2" borderId="0" xfId="14" applyFont="1" applyFill="1" applyAlignment="1">
      <alignment vertical="center" wrapText="1"/>
    </xf>
    <xf numFmtId="3" fontId="3" fillId="0" borderId="0" xfId="19" applyNumberFormat="1" applyFont="1"/>
    <xf numFmtId="3" fontId="17" fillId="0" borderId="0" xfId="19" applyNumberFormat="1" applyFont="1"/>
    <xf numFmtId="3" fontId="4" fillId="0" borderId="0" xfId="19" applyNumberFormat="1" applyFont="1"/>
    <xf numFmtId="0" fontId="12" fillId="0" borderId="0" xfId="19" applyNumberFormat="1" applyFont="1" applyFill="1" applyAlignment="1"/>
    <xf numFmtId="0" fontId="11" fillId="2" borderId="16" xfId="19" applyFont="1" applyFill="1" applyBorder="1" applyAlignment="1">
      <alignment horizontal="left" wrapText="1"/>
    </xf>
    <xf numFmtId="0" fontId="4" fillId="0" borderId="16" xfId="19" applyFont="1" applyBorder="1" applyAlignment="1">
      <alignment horizontal="right" vertical="center" wrapText="1"/>
    </xf>
    <xf numFmtId="0" fontId="4" fillId="0" borderId="16" xfId="19" applyFont="1" applyFill="1" applyBorder="1" applyAlignment="1">
      <alignment horizontal="right" vertical="center" wrapText="1"/>
    </xf>
    <xf numFmtId="175" fontId="8" fillId="3" borderId="303" xfId="19" applyNumberFormat="1" applyFont="1" applyFill="1" applyBorder="1" applyAlignment="1">
      <alignment horizontal="left"/>
    </xf>
    <xf numFmtId="175" fontId="8" fillId="3" borderId="303" xfId="19" quotePrefix="1" applyNumberFormat="1" applyFont="1" applyFill="1" applyBorder="1" applyAlignment="1">
      <alignment horizontal="center"/>
    </xf>
    <xf numFmtId="175" fontId="3" fillId="2" borderId="0" xfId="19" applyNumberFormat="1" applyFont="1" applyFill="1"/>
    <xf numFmtId="37" fontId="14" fillId="0" borderId="82" xfId="15" quotePrefix="1" applyNumberFormat="1" applyFont="1" applyBorder="1" applyAlignment="1">
      <alignment horizontal="center"/>
    </xf>
    <xf numFmtId="37" fontId="27" fillId="0" borderId="79" xfId="15" applyNumberFormat="1" applyFont="1" applyBorder="1" applyAlignment="1" applyProtection="1">
      <alignment horizontal="center"/>
      <protection hidden="1"/>
    </xf>
    <xf numFmtId="37" fontId="14" fillId="0" borderId="79" xfId="15" applyNumberFormat="1" applyFont="1" applyBorder="1" applyAlignment="1" applyProtection="1">
      <alignment horizontal="center"/>
      <protection hidden="1"/>
    </xf>
    <xf numFmtId="37" fontId="14" fillId="0" borderId="82" xfId="15" applyNumberFormat="1" applyFont="1" applyBorder="1" applyAlignment="1" applyProtection="1">
      <alignment horizontal="center"/>
      <protection hidden="1"/>
    </xf>
    <xf numFmtId="37" fontId="14" fillId="0" borderId="67" xfId="15" applyNumberFormat="1" applyFont="1" applyBorder="1" applyAlignment="1" applyProtection="1">
      <alignment horizontal="center"/>
      <protection hidden="1"/>
    </xf>
    <xf numFmtId="37" fontId="14" fillId="3" borderId="303" xfId="15" applyNumberFormat="1" applyFont="1" applyFill="1" applyBorder="1" applyAlignment="1" applyProtection="1">
      <alignment horizontal="center"/>
      <protection hidden="1"/>
    </xf>
    <xf numFmtId="179" fontId="167" fillId="2" borderId="0" xfId="19" applyNumberFormat="1" applyFont="1" applyFill="1" applyAlignment="1">
      <alignment vertical="center"/>
    </xf>
    <xf numFmtId="0" fontId="168" fillId="2" borderId="0" xfId="19" applyFont="1" applyFill="1" applyAlignment="1">
      <alignment vertical="center"/>
    </xf>
    <xf numFmtId="179" fontId="10" fillId="2" borderId="0" xfId="15" applyNumberFormat="1" applyFont="1" applyFill="1" applyAlignment="1">
      <alignment vertical="center"/>
    </xf>
    <xf numFmtId="0" fontId="3" fillId="9" borderId="0" xfId="19" applyFont="1" applyFill="1"/>
    <xf numFmtId="37" fontId="14" fillId="0" borderId="82" xfId="15" applyNumberFormat="1" applyFont="1" applyFill="1" applyBorder="1" applyAlignment="1" applyProtection="1">
      <alignment horizontal="center"/>
      <protection hidden="1"/>
    </xf>
    <xf numFmtId="0" fontId="12" fillId="0" borderId="0" xfId="44" applyFont="1" applyFill="1"/>
    <xf numFmtId="0" fontId="19" fillId="0" borderId="0" xfId="44" applyFont="1"/>
    <xf numFmtId="0" fontId="19" fillId="2" borderId="0" xfId="44" applyFont="1" applyFill="1"/>
    <xf numFmtId="0" fontId="116" fillId="0" borderId="0" xfId="44" applyFont="1"/>
    <xf numFmtId="0" fontId="24" fillId="0" borderId="0" xfId="44" applyFont="1"/>
    <xf numFmtId="0" fontId="34" fillId="0" borderId="0" xfId="44" applyFont="1"/>
    <xf numFmtId="0" fontId="34" fillId="0" borderId="17" xfId="44" applyFont="1" applyBorder="1"/>
    <xf numFmtId="0" fontId="8" fillId="10" borderId="61" xfId="44" applyFont="1" applyFill="1" applyBorder="1" applyAlignment="1">
      <alignment horizontal="center" vertical="center"/>
    </xf>
    <xf numFmtId="0" fontId="8" fillId="10" borderId="8" xfId="44" applyFont="1" applyFill="1" applyBorder="1" applyAlignment="1">
      <alignment horizontal="center" vertical="center"/>
    </xf>
    <xf numFmtId="0" fontId="8" fillId="10" borderId="38" xfId="44" applyFont="1" applyFill="1" applyBorder="1" applyAlignment="1">
      <alignment horizontal="center" vertical="center"/>
    </xf>
    <xf numFmtId="15" fontId="8" fillId="10" borderId="51" xfId="44" quotePrefix="1" applyNumberFormat="1" applyFont="1" applyFill="1" applyBorder="1" applyAlignment="1">
      <alignment horizontal="left" vertical="center"/>
    </xf>
    <xf numFmtId="38" fontId="35" fillId="0" borderId="378" xfId="44" applyNumberFormat="1" applyFont="1" applyBorder="1" applyAlignment="1">
      <alignment horizontal="center" vertical="center"/>
    </xf>
    <xf numFmtId="38" fontId="35" fillId="0" borderId="19" xfId="44" applyNumberFormat="1" applyFont="1" applyBorder="1" applyAlignment="1">
      <alignment horizontal="center" vertical="center"/>
    </xf>
    <xf numFmtId="38" fontId="35" fillId="0" borderId="379" xfId="44" applyNumberFormat="1" applyFont="1" applyBorder="1" applyAlignment="1">
      <alignment horizontal="center" vertical="center"/>
    </xf>
    <xf numFmtId="38" fontId="35" fillId="0" borderId="118" xfId="44" applyNumberFormat="1" applyFont="1" applyBorder="1" applyAlignment="1">
      <alignment horizontal="center" vertical="center"/>
    </xf>
    <xf numFmtId="2" fontId="14" fillId="0" borderId="19" xfId="39" applyNumberFormat="1" applyFont="1" applyBorder="1" applyAlignment="1">
      <alignment horizontal="center" vertical="center"/>
    </xf>
    <xf numFmtId="2" fontId="14" fillId="0" borderId="118" xfId="39" applyNumberFormat="1" applyFont="1" applyBorder="1" applyAlignment="1">
      <alignment horizontal="center" vertical="center"/>
    </xf>
    <xf numFmtId="0" fontId="34" fillId="0" borderId="0" xfId="19" applyFont="1"/>
    <xf numFmtId="38" fontId="7" fillId="0" borderId="378" xfId="44" applyNumberFormat="1" applyFont="1" applyBorder="1" applyAlignment="1">
      <alignment horizontal="center" vertical="center"/>
    </xf>
    <xf numFmtId="38" fontId="7" fillId="0" borderId="19" xfId="44" applyNumberFormat="1" applyFont="1" applyBorder="1" applyAlignment="1">
      <alignment horizontal="center" vertical="center"/>
    </xf>
    <xf numFmtId="38" fontId="7" fillId="0" borderId="379" xfId="44" applyNumberFormat="1" applyFont="1" applyBorder="1" applyAlignment="1">
      <alignment horizontal="center" vertical="center"/>
    </xf>
    <xf numFmtId="38" fontId="7" fillId="0" borderId="118" xfId="44" applyNumberFormat="1" applyFont="1" applyBorder="1" applyAlignment="1">
      <alignment horizontal="center" vertical="center"/>
    </xf>
    <xf numFmtId="2" fontId="14" fillId="0" borderId="294" xfId="39" applyNumberFormat="1" applyFont="1" applyBorder="1" applyAlignment="1">
      <alignment horizontal="center" vertical="center"/>
    </xf>
    <xf numFmtId="2" fontId="14" fillId="0" borderId="380" xfId="39" applyNumberFormat="1" applyFont="1" applyBorder="1" applyAlignment="1">
      <alignment horizontal="center" vertical="center"/>
    </xf>
    <xf numFmtId="38" fontId="7" fillId="0" borderId="53" xfId="44" applyNumberFormat="1" applyFont="1" applyBorder="1" applyAlignment="1">
      <alignment horizontal="center" vertical="center"/>
    </xf>
    <xf numFmtId="38" fontId="7" fillId="0" borderId="5" xfId="44" applyNumberFormat="1" applyFont="1" applyBorder="1" applyAlignment="1">
      <alignment horizontal="center" vertical="center"/>
    </xf>
    <xf numFmtId="2" fontId="14" fillId="0" borderId="5" xfId="39" applyNumberFormat="1" applyFont="1" applyBorder="1" applyAlignment="1">
      <alignment horizontal="center" vertical="center"/>
    </xf>
    <xf numFmtId="179" fontId="7" fillId="0" borderId="5" xfId="1" applyNumberFormat="1" applyFont="1" applyBorder="1" applyAlignment="1">
      <alignment horizontal="center" vertical="center"/>
    </xf>
    <xf numFmtId="0" fontId="117" fillId="2" borderId="0" xfId="44" applyFont="1" applyFill="1" applyAlignment="1">
      <alignment vertical="center"/>
    </xf>
    <xf numFmtId="0" fontId="4" fillId="2" borderId="0" xfId="44" applyFont="1" applyFill="1"/>
    <xf numFmtId="38" fontId="7" fillId="0" borderId="53" xfId="44" applyNumberFormat="1" applyFont="1" applyFill="1" applyBorder="1" applyAlignment="1">
      <alignment horizontal="center" vertical="center"/>
    </xf>
    <xf numFmtId="38" fontId="7" fillId="0" borderId="5" xfId="44" applyNumberFormat="1" applyFont="1" applyFill="1" applyBorder="1" applyAlignment="1">
      <alignment horizontal="center" vertical="center"/>
    </xf>
    <xf numFmtId="2" fontId="14" fillId="0" borderId="5" xfId="39" applyNumberFormat="1" applyFont="1" applyFill="1" applyBorder="1" applyAlignment="1">
      <alignment horizontal="center" vertical="center"/>
    </xf>
    <xf numFmtId="15" fontId="8" fillId="10" borderId="381" xfId="44" quotePrefix="1" applyNumberFormat="1" applyFont="1" applyFill="1" applyBorder="1" applyAlignment="1">
      <alignment horizontal="left" vertical="center"/>
    </xf>
    <xf numFmtId="38" fontId="7" fillId="0" borderId="382" xfId="44" applyNumberFormat="1" applyFont="1" applyFill="1" applyBorder="1" applyAlignment="1">
      <alignment horizontal="center" vertical="center"/>
    </xf>
    <xf numFmtId="38" fontId="7" fillId="0" borderId="275" xfId="44" applyNumberFormat="1" applyFont="1" applyFill="1" applyBorder="1" applyAlignment="1">
      <alignment horizontal="center" vertical="center"/>
    </xf>
    <xf numFmtId="2" fontId="14" fillId="0" borderId="275" xfId="39" applyNumberFormat="1" applyFont="1" applyFill="1" applyBorder="1" applyAlignment="1">
      <alignment horizontal="center" vertical="center"/>
    </xf>
    <xf numFmtId="15" fontId="8" fillId="10" borderId="383" xfId="44" quotePrefix="1" applyNumberFormat="1" applyFont="1" applyFill="1" applyBorder="1" applyAlignment="1">
      <alignment horizontal="left" vertical="center"/>
    </xf>
    <xf numFmtId="38" fontId="7" fillId="0" borderId="304" xfId="44" applyNumberFormat="1" applyFont="1" applyFill="1" applyBorder="1" applyAlignment="1">
      <alignment horizontal="center" vertical="center"/>
    </xf>
    <xf numFmtId="38" fontId="7" fillId="0" borderId="11" xfId="44" applyNumberFormat="1" applyFont="1" applyFill="1" applyBorder="1" applyAlignment="1">
      <alignment horizontal="center" vertical="center"/>
    </xf>
    <xf numFmtId="2" fontId="14" fillId="0" borderId="11" xfId="39" applyNumberFormat="1" applyFont="1" applyFill="1" applyBorder="1" applyAlignment="1">
      <alignment horizontal="center" vertical="center"/>
    </xf>
    <xf numFmtId="0" fontId="4" fillId="2" borderId="0" xfId="44" applyFont="1" applyFill="1" applyAlignment="1">
      <alignment horizontal="left" wrapText="1"/>
    </xf>
    <xf numFmtId="0" fontId="117" fillId="2" borderId="0" xfId="44" applyFont="1" applyFill="1" applyAlignment="1"/>
    <xf numFmtId="0" fontId="4" fillId="2" borderId="0" xfId="44" applyFont="1" applyFill="1" applyAlignment="1"/>
    <xf numFmtId="0" fontId="4" fillId="0" borderId="0" xfId="44" applyFont="1" applyAlignment="1">
      <alignment wrapText="1"/>
    </xf>
    <xf numFmtId="0" fontId="34" fillId="0" borderId="0" xfId="19" applyFont="1" applyAlignment="1"/>
    <xf numFmtId="38" fontId="4" fillId="0" borderId="0" xfId="44" applyNumberFormat="1" applyFont="1" applyAlignment="1">
      <alignment wrapText="1"/>
    </xf>
    <xf numFmtId="0" fontId="116" fillId="2" borderId="0" xfId="44" applyFont="1" applyFill="1"/>
    <xf numFmtId="179" fontId="116" fillId="2" borderId="0" xfId="1" applyNumberFormat="1" applyFont="1" applyFill="1"/>
    <xf numFmtId="17" fontId="8" fillId="10" borderId="145" xfId="43" applyNumberFormat="1" applyFont="1" applyFill="1" applyBorder="1" applyAlignment="1">
      <alignment horizontal="left" vertical="center"/>
    </xf>
    <xf numFmtId="0" fontId="9" fillId="3" borderId="6" xfId="9" applyFont="1" applyFill="1" applyBorder="1" applyAlignment="1">
      <alignment horizontal="left" vertical="center"/>
    </xf>
    <xf numFmtId="0" fontId="9" fillId="3" borderId="5" xfId="9" applyFont="1" applyFill="1" applyBorder="1" applyAlignment="1">
      <alignment horizontal="left" vertical="center"/>
    </xf>
    <xf numFmtId="0" fontId="6" fillId="2" borderId="0" xfId="9" applyFont="1" applyFill="1" applyAlignment="1">
      <alignment horizontal="left" vertical="top" wrapText="1"/>
    </xf>
    <xf numFmtId="49" fontId="8" fillId="3" borderId="107" xfId="8" applyNumberFormat="1" applyFont="1" applyFill="1" applyBorder="1" applyAlignment="1">
      <alignment horizontal="center" vertical="center" wrapText="1"/>
    </xf>
    <xf numFmtId="0" fontId="8" fillId="3" borderId="81" xfId="8" applyFont="1" applyFill="1" applyBorder="1" applyAlignment="1">
      <alignment horizontal="left" vertical="center"/>
    </xf>
    <xf numFmtId="0" fontId="12" fillId="0" borderId="0" xfId="7" applyFont="1" applyFill="1" applyAlignment="1">
      <alignment horizontal="left" vertical="center"/>
    </xf>
    <xf numFmtId="0" fontId="6" fillId="0" borderId="18" xfId="7" applyFont="1" applyFill="1" applyBorder="1" applyAlignment="1">
      <alignment horizontal="left" vertical="top" wrapText="1"/>
    </xf>
    <xf numFmtId="0" fontId="4" fillId="0" borderId="0" xfId="36" quotePrefix="1" applyFont="1" applyFill="1" applyAlignment="1">
      <alignment horizontal="left" vertical="center" wrapText="1"/>
    </xf>
    <xf numFmtId="0" fontId="8" fillId="3" borderId="14" xfId="14" applyFont="1" applyFill="1" applyBorder="1" applyAlignment="1">
      <alignment horizontal="center" vertical="center" wrapText="1"/>
    </xf>
    <xf numFmtId="0" fontId="8" fillId="0" borderId="9" xfId="14" applyFont="1" applyBorder="1" applyAlignment="1">
      <alignment horizontal="center" vertical="center" wrapText="1"/>
    </xf>
    <xf numFmtId="0" fontId="8" fillId="3" borderId="18" xfId="14" applyFont="1" applyFill="1" applyBorder="1" applyAlignment="1">
      <alignment horizontal="center" vertical="center"/>
    </xf>
    <xf numFmtId="0" fontId="8" fillId="3" borderId="142" xfId="14" applyFont="1" applyFill="1" applyBorder="1" applyAlignment="1">
      <alignment horizontal="center" vertical="center"/>
    </xf>
    <xf numFmtId="0" fontId="8" fillId="3" borderId="66" xfId="14" applyFont="1" applyFill="1" applyBorder="1" applyAlignment="1">
      <alignment horizontal="center" vertical="center"/>
    </xf>
    <xf numFmtId="0" fontId="8" fillId="3" borderId="106" xfId="14" applyFont="1" applyFill="1" applyBorder="1" applyAlignment="1">
      <alignment horizontal="center" vertical="center"/>
    </xf>
    <xf numFmtId="17" fontId="8" fillId="3" borderId="12" xfId="36" quotePrefix="1" applyNumberFormat="1" applyFont="1" applyFill="1" applyBorder="1" applyAlignment="1">
      <alignment horizontal="center" vertical="center" wrapText="1"/>
    </xf>
    <xf numFmtId="17" fontId="8" fillId="3" borderId="1" xfId="36" applyNumberFormat="1" applyFont="1" applyFill="1" applyBorder="1" applyAlignment="1">
      <alignment horizontal="center" vertical="center" wrapText="1"/>
    </xf>
    <xf numFmtId="17" fontId="8" fillId="3" borderId="13" xfId="36" applyNumberFormat="1" applyFont="1" applyFill="1" applyBorder="1" applyAlignment="1">
      <alignment horizontal="center" vertical="center" wrapText="1"/>
    </xf>
    <xf numFmtId="17" fontId="8" fillId="3" borderId="2" xfId="36" applyNumberFormat="1" applyFont="1" applyFill="1" applyBorder="1" applyAlignment="1">
      <alignment horizontal="center" vertical="center" wrapText="1"/>
    </xf>
    <xf numFmtId="17" fontId="8" fillId="3" borderId="13" xfId="36" quotePrefix="1" applyNumberFormat="1" applyFont="1" applyFill="1" applyBorder="1" applyAlignment="1">
      <alignment horizontal="center" vertical="center" wrapText="1"/>
    </xf>
    <xf numFmtId="17" fontId="8" fillId="3" borderId="13" xfId="36" applyNumberFormat="1" applyFont="1" applyFill="1" applyBorder="1" applyAlignment="1">
      <alignment horizontal="center" vertical="center"/>
    </xf>
    <xf numFmtId="17" fontId="8" fillId="3" borderId="2" xfId="36" applyNumberFormat="1" applyFont="1" applyFill="1" applyBorder="1" applyAlignment="1">
      <alignment horizontal="center" vertical="center"/>
    </xf>
    <xf numFmtId="17" fontId="14" fillId="3" borderId="13" xfId="36" applyNumberFormat="1" applyFont="1" applyFill="1" applyBorder="1" applyAlignment="1">
      <alignment horizontal="center" vertical="center"/>
    </xf>
    <xf numFmtId="17" fontId="14" fillId="3" borderId="2" xfId="36" applyNumberFormat="1" applyFont="1" applyFill="1" applyBorder="1" applyAlignment="1">
      <alignment horizontal="center" vertical="center"/>
    </xf>
    <xf numFmtId="0" fontId="4" fillId="0" borderId="0" xfId="14" applyFont="1" applyAlignment="1">
      <alignment horizontal="left" vertical="top" wrapText="1"/>
    </xf>
    <xf numFmtId="0" fontId="4" fillId="0" borderId="0" xfId="14" applyFont="1" applyAlignment="1">
      <alignment vertical="top"/>
    </xf>
    <xf numFmtId="0" fontId="8" fillId="3" borderId="357" xfId="14" applyFont="1" applyFill="1" applyBorder="1" applyAlignment="1">
      <alignment horizontal="center" vertical="center"/>
    </xf>
    <xf numFmtId="0" fontId="8" fillId="3" borderId="204" xfId="14" applyFont="1" applyFill="1" applyBorder="1" applyAlignment="1">
      <alignment horizontal="center" vertical="center"/>
    </xf>
    <xf numFmtId="0" fontId="8" fillId="3" borderId="207" xfId="14" applyFont="1" applyFill="1" applyBorder="1" applyAlignment="1">
      <alignment horizontal="center" vertical="center"/>
    </xf>
    <xf numFmtId="0" fontId="4" fillId="0" borderId="0" xfId="14" applyFont="1" applyAlignment="1">
      <alignment horizontal="left" vertical="center" wrapText="1"/>
    </xf>
    <xf numFmtId="0" fontId="4" fillId="0" borderId="0" xfId="14" applyFont="1" applyAlignment="1">
      <alignment horizontal="left" vertical="top"/>
    </xf>
    <xf numFmtId="0" fontId="4" fillId="2" borderId="0" xfId="19" applyFont="1" applyFill="1" applyAlignment="1">
      <alignment horizontal="left"/>
    </xf>
    <xf numFmtId="0" fontId="4" fillId="2" borderId="0" xfId="19" applyFont="1" applyFill="1" applyAlignment="1">
      <alignment horizontal="left" wrapText="1"/>
    </xf>
    <xf numFmtId="0" fontId="4" fillId="2" borderId="0" xfId="19" applyFont="1" applyFill="1" applyAlignment="1">
      <alignment horizontal="left" vertical="top" wrapText="1"/>
    </xf>
    <xf numFmtId="0" fontId="6" fillId="2" borderId="0" xfId="19" applyFont="1" applyFill="1" applyAlignment="1">
      <alignment horizontal="left" vertical="center"/>
    </xf>
    <xf numFmtId="0" fontId="4" fillId="2" borderId="0" xfId="19" applyFont="1" applyFill="1" applyAlignment="1">
      <alignment horizontal="left" vertical="center" wrapText="1"/>
    </xf>
    <xf numFmtId="0" fontId="4" fillId="2" borderId="0" xfId="19" applyFont="1" applyFill="1" applyAlignment="1">
      <alignment horizontal="left" vertical="center"/>
    </xf>
    <xf numFmtId="0" fontId="6" fillId="2" borderId="18" xfId="19" applyFont="1" applyFill="1" applyBorder="1" applyAlignment="1">
      <alignment horizontal="left" vertical="center" wrapText="1"/>
    </xf>
    <xf numFmtId="0" fontId="6" fillId="2" borderId="0" xfId="19" applyFont="1" applyFill="1" applyBorder="1" applyAlignment="1">
      <alignment horizontal="left" vertical="center" wrapText="1"/>
    </xf>
    <xf numFmtId="0" fontId="6" fillId="2" borderId="0" xfId="19" applyFont="1" applyFill="1" applyAlignment="1">
      <alignment horizontal="left" vertical="center" wrapText="1"/>
    </xf>
    <xf numFmtId="0" fontId="4" fillId="2" borderId="0" xfId="9" applyFont="1" applyFill="1" applyAlignment="1">
      <alignment horizontal="left" vertical="top" wrapText="1"/>
    </xf>
    <xf numFmtId="0" fontId="12" fillId="2" borderId="0" xfId="19" applyFont="1" applyFill="1" applyAlignment="1">
      <alignment horizontal="left" wrapText="1"/>
    </xf>
    <xf numFmtId="0" fontId="4" fillId="0" borderId="0" xfId="0" applyFont="1" applyAlignment="1">
      <alignment horizontal="left" wrapText="1"/>
    </xf>
    <xf numFmtId="0" fontId="4" fillId="23" borderId="18" xfId="9" applyFont="1" applyFill="1" applyBorder="1" applyAlignment="1">
      <alignment horizontal="left" wrapText="1"/>
    </xf>
    <xf numFmtId="0" fontId="4" fillId="0" borderId="0" xfId="9" applyFont="1" applyAlignment="1">
      <alignment horizontal="left" vertical="center" wrapText="1"/>
    </xf>
    <xf numFmtId="0" fontId="4" fillId="23" borderId="0" xfId="9" applyFont="1" applyFill="1" applyBorder="1" applyAlignment="1">
      <alignment horizontal="left" wrapText="1"/>
    </xf>
    <xf numFmtId="0" fontId="4" fillId="2" borderId="18" xfId="9" applyFont="1" applyFill="1" applyBorder="1" applyAlignment="1">
      <alignment horizontal="left" vertical="center" wrapText="1"/>
    </xf>
    <xf numFmtId="0" fontId="4" fillId="2" borderId="0" xfId="9" applyFont="1" applyFill="1" applyAlignment="1">
      <alignment horizontal="left" vertical="center" wrapText="1"/>
    </xf>
    <xf numFmtId="0" fontId="4" fillId="0" borderId="0" xfId="9" applyFont="1" applyFill="1" applyAlignment="1">
      <alignment horizontal="left" vertical="center" wrapText="1"/>
    </xf>
    <xf numFmtId="0" fontId="4" fillId="2" borderId="0" xfId="0" applyFont="1" applyFill="1" applyAlignment="1">
      <alignment horizontal="left" vertical="center" wrapText="1"/>
    </xf>
    <xf numFmtId="0" fontId="12" fillId="0" borderId="0" xfId="19" applyFont="1" applyFill="1" applyAlignment="1">
      <alignment horizontal="left" vertical="top" wrapText="1"/>
    </xf>
    <xf numFmtId="0" fontId="8" fillId="10" borderId="56" xfId="44" applyFont="1" applyFill="1" applyBorder="1" applyAlignment="1">
      <alignment horizontal="center" vertical="center" wrapText="1"/>
    </xf>
    <xf numFmtId="0" fontId="8" fillId="10" borderId="144" xfId="44" applyFont="1" applyFill="1" applyBorder="1" applyAlignment="1">
      <alignment horizontal="center" vertical="center" wrapText="1"/>
    </xf>
    <xf numFmtId="0" fontId="8" fillId="10" borderId="97" xfId="44" applyFont="1" applyFill="1" applyBorder="1" applyAlignment="1">
      <alignment horizontal="center" vertical="center" wrapText="1"/>
    </xf>
    <xf numFmtId="0" fontId="8" fillId="10" borderId="267" xfId="44" applyFont="1" applyFill="1" applyBorder="1" applyAlignment="1">
      <alignment horizontal="center" vertical="center" wrapText="1"/>
    </xf>
    <xf numFmtId="0" fontId="8" fillId="10" borderId="52" xfId="44" applyFont="1" applyFill="1" applyBorder="1" applyAlignment="1">
      <alignment horizontal="center" vertical="center" wrapText="1"/>
    </xf>
    <xf numFmtId="0" fontId="8" fillId="10" borderId="118" xfId="44" applyFont="1" applyFill="1" applyBorder="1" applyAlignment="1">
      <alignment horizontal="center" vertical="center" wrapText="1"/>
    </xf>
    <xf numFmtId="0" fontId="8" fillId="10" borderId="374" xfId="44" applyFont="1" applyFill="1" applyBorder="1" applyAlignment="1">
      <alignment horizontal="center" vertical="center"/>
    </xf>
    <xf numFmtId="0" fontId="8" fillId="10" borderId="38" xfId="44" applyFont="1" applyFill="1" applyBorder="1" applyAlignment="1">
      <alignment horizontal="center" vertical="center"/>
    </xf>
    <xf numFmtId="207" fontId="8" fillId="10" borderId="39" xfId="44" applyNumberFormat="1" applyFont="1" applyFill="1" applyBorder="1" applyAlignment="1">
      <alignment horizontal="center" vertical="center"/>
    </xf>
    <xf numFmtId="207" fontId="8" fillId="10" borderId="38" xfId="44" applyNumberFormat="1" applyFont="1" applyFill="1" applyBorder="1" applyAlignment="1">
      <alignment horizontal="center" vertical="center"/>
    </xf>
    <xf numFmtId="207" fontId="8" fillId="10" borderId="40" xfId="44" applyNumberFormat="1" applyFont="1" applyFill="1" applyBorder="1" applyAlignment="1">
      <alignment horizontal="center" vertical="center"/>
    </xf>
    <xf numFmtId="0" fontId="4" fillId="2" borderId="0" xfId="44" applyFont="1" applyFill="1" applyAlignment="1">
      <alignment horizontal="left" wrapText="1"/>
    </xf>
    <xf numFmtId="0" fontId="4" fillId="2" borderId="0" xfId="44" applyFont="1" applyFill="1" applyAlignment="1">
      <alignment horizontal="left" vertical="center" wrapText="1"/>
    </xf>
    <xf numFmtId="0" fontId="5" fillId="0" borderId="376" xfId="44" applyFont="1" applyBorder="1" applyAlignment="1">
      <alignment horizontal="center"/>
    </xf>
    <xf numFmtId="0" fontId="5" fillId="0" borderId="377" xfId="44" applyFont="1" applyBorder="1" applyAlignment="1">
      <alignment horizontal="center"/>
    </xf>
    <xf numFmtId="0" fontId="5" fillId="0" borderId="301" xfId="44" applyFont="1" applyBorder="1" applyAlignment="1">
      <alignment horizontal="center"/>
    </xf>
    <xf numFmtId="0" fontId="5" fillId="16" borderId="377" xfId="44" applyFont="1" applyFill="1" applyBorder="1" applyAlignment="1">
      <alignment horizontal="center"/>
    </xf>
    <xf numFmtId="0" fontId="5" fillId="16" borderId="301" xfId="44" applyFont="1" applyFill="1" applyBorder="1" applyAlignment="1">
      <alignment horizontal="center"/>
    </xf>
    <xf numFmtId="0" fontId="8" fillId="10" borderId="55" xfId="44" applyFont="1" applyFill="1" applyBorder="1" applyAlignment="1">
      <alignment horizontal="center" vertical="center"/>
    </xf>
    <xf numFmtId="0" fontId="8" fillId="10" borderId="51" xfId="44" applyFont="1" applyFill="1" applyBorder="1" applyAlignment="1">
      <alignment horizontal="center" vertical="center"/>
    </xf>
    <xf numFmtId="0" fontId="8" fillId="10" borderId="375" xfId="44" applyFont="1" applyFill="1" applyBorder="1" applyAlignment="1">
      <alignment horizontal="center" vertical="center"/>
    </xf>
    <xf numFmtId="0" fontId="8" fillId="10" borderId="306" xfId="44" applyFont="1" applyFill="1" applyBorder="1" applyAlignment="1">
      <alignment horizontal="center" vertical="center" wrapText="1"/>
    </xf>
    <xf numFmtId="0" fontId="8" fillId="10" borderId="315" xfId="44" applyFont="1" applyFill="1" applyBorder="1" applyAlignment="1">
      <alignment horizontal="center" vertical="center" wrapText="1"/>
    </xf>
    <xf numFmtId="0" fontId="8" fillId="10" borderId="88" xfId="12" applyFont="1" applyFill="1" applyBorder="1" applyAlignment="1">
      <alignment horizontal="center" vertical="center"/>
    </xf>
    <xf numFmtId="0" fontId="8" fillId="10" borderId="79" xfId="12" applyFont="1" applyFill="1" applyBorder="1" applyAlignment="1">
      <alignment horizontal="center" vertical="center"/>
    </xf>
    <xf numFmtId="0" fontId="8" fillId="10" borderId="67" xfId="12" applyFont="1" applyFill="1" applyBorder="1" applyAlignment="1">
      <alignment horizontal="center" vertical="center"/>
    </xf>
    <xf numFmtId="0" fontId="8" fillId="10" borderId="44" xfId="12" applyFont="1" applyFill="1" applyBorder="1" applyAlignment="1">
      <alignment horizontal="center" vertical="center"/>
    </xf>
    <xf numFmtId="0" fontId="8" fillId="10" borderId="2" xfId="12" applyFont="1" applyFill="1" applyBorder="1" applyAlignment="1">
      <alignment horizontal="center" vertical="center"/>
    </xf>
    <xf numFmtId="0" fontId="8" fillId="10" borderId="42" xfId="12" applyFont="1" applyFill="1" applyBorder="1" applyAlignment="1">
      <alignment horizontal="center" vertical="center"/>
    </xf>
    <xf numFmtId="0" fontId="8" fillId="10" borderId="1" xfId="12" applyFont="1" applyFill="1" applyBorder="1" applyAlignment="1">
      <alignment horizontal="center" vertical="center"/>
    </xf>
    <xf numFmtId="175" fontId="8" fillId="3" borderId="258" xfId="40" quotePrefix="1" applyNumberFormat="1" applyFont="1" applyFill="1" applyBorder="1" applyAlignment="1">
      <alignment horizontal="center" vertical="center"/>
    </xf>
    <xf numFmtId="175" fontId="8" fillId="3" borderId="262" xfId="40" applyNumberFormat="1" applyFont="1" applyFill="1" applyBorder="1" applyAlignment="1">
      <alignment horizontal="center" vertical="center"/>
    </xf>
    <xf numFmtId="0" fontId="4" fillId="2" borderId="0" xfId="40" applyFont="1" applyFill="1" applyBorder="1" applyAlignment="1">
      <alignment horizontal="left" vertical="center"/>
    </xf>
    <xf numFmtId="0" fontId="2" fillId="2" borderId="0" xfId="40" applyFont="1" applyFill="1" applyAlignment="1">
      <alignment horizontal="center"/>
    </xf>
    <xf numFmtId="0" fontId="3" fillId="2" borderId="0" xfId="12" applyFont="1" applyFill="1" applyAlignment="1">
      <alignment horizontal="center" vertical="center"/>
    </xf>
    <xf numFmtId="0" fontId="4" fillId="2" borderId="0" xfId="40" applyFont="1" applyFill="1" applyBorder="1" applyAlignment="1">
      <alignment horizontal="left"/>
    </xf>
    <xf numFmtId="175" fontId="8" fillId="3" borderId="258" xfId="40" applyNumberFormat="1" applyFont="1" applyFill="1" applyBorder="1" applyAlignment="1">
      <alignment horizontal="center" vertical="center"/>
    </xf>
    <xf numFmtId="0" fontId="12" fillId="0" borderId="0" xfId="40" quotePrefix="1" applyFont="1" applyFill="1" applyBorder="1" applyAlignment="1">
      <alignment horizontal="left" vertical="center" wrapText="1"/>
    </xf>
    <xf numFmtId="0" fontId="12" fillId="3" borderId="255" xfId="40" applyFont="1" applyFill="1" applyBorder="1" applyAlignment="1">
      <alignment horizontal="left" vertical="center"/>
    </xf>
    <xf numFmtId="0" fontId="12" fillId="3" borderId="259" xfId="40" applyFont="1" applyFill="1" applyBorder="1" applyAlignment="1">
      <alignment horizontal="left" vertical="center"/>
    </xf>
    <xf numFmtId="175" fontId="14" fillId="3" borderId="257" xfId="40" applyNumberFormat="1" applyFont="1" applyFill="1" applyBorder="1" applyAlignment="1">
      <alignment horizontal="center" vertical="center"/>
    </xf>
    <xf numFmtId="175" fontId="14" fillId="3" borderId="261" xfId="40" applyNumberFormat="1" applyFont="1" applyFill="1" applyBorder="1" applyAlignment="1">
      <alignment horizontal="center" vertical="center"/>
    </xf>
    <xf numFmtId="0" fontId="8" fillId="10" borderId="14" xfId="19" applyFont="1" applyFill="1" applyBorder="1" applyAlignment="1">
      <alignment horizontal="center" vertical="center" wrapText="1"/>
    </xf>
    <xf numFmtId="0" fontId="8" fillId="10" borderId="6" xfId="19" applyFont="1" applyFill="1" applyBorder="1" applyAlignment="1">
      <alignment horizontal="center" vertical="center" wrapText="1"/>
    </xf>
    <xf numFmtId="4" fontId="8" fillId="10" borderId="18" xfId="19" applyNumberFormat="1" applyFont="1" applyFill="1" applyBorder="1" applyAlignment="1">
      <alignment horizontal="center" vertical="center"/>
    </xf>
    <xf numFmtId="0" fontId="8" fillId="10" borderId="18" xfId="19" applyFont="1" applyFill="1" applyBorder="1" applyAlignment="1">
      <alignment horizontal="center" vertical="center"/>
    </xf>
    <xf numFmtId="0" fontId="8" fillId="10" borderId="58" xfId="19" applyFont="1" applyFill="1" applyBorder="1" applyAlignment="1">
      <alignment horizontal="center" vertical="center" wrapText="1"/>
    </xf>
    <xf numFmtId="0" fontId="8" fillId="3" borderId="66" xfId="19" applyFont="1" applyFill="1" applyBorder="1" applyAlignment="1">
      <alignment horizontal="center" vertical="center"/>
    </xf>
    <xf numFmtId="0" fontId="8" fillId="3" borderId="106" xfId="19" applyFont="1" applyFill="1" applyBorder="1" applyAlignment="1">
      <alignment horizontal="center" vertical="center"/>
    </xf>
    <xf numFmtId="0" fontId="4" fillId="2" borderId="0" xfId="19" applyFont="1" applyFill="1" applyBorder="1" applyAlignment="1">
      <alignment horizontal="left" wrapText="1"/>
    </xf>
    <xf numFmtId="0" fontId="4" fillId="2" borderId="18" xfId="3" applyFont="1" applyFill="1" applyBorder="1" applyAlignment="1">
      <alignment horizontal="left" vertical="center"/>
    </xf>
    <xf numFmtId="3" fontId="8" fillId="3" borderId="14" xfId="0" applyNumberFormat="1" applyFont="1" applyFill="1" applyBorder="1" applyAlignment="1">
      <alignment horizontal="center" vertical="center"/>
    </xf>
    <xf numFmtId="3" fontId="8" fillId="3" borderId="6" xfId="0" applyNumberFormat="1" applyFont="1" applyFill="1" applyBorder="1" applyAlignment="1">
      <alignment horizontal="center" vertical="center"/>
    </xf>
    <xf numFmtId="3" fontId="8" fillId="3" borderId="9" xfId="0" applyNumberFormat="1" applyFont="1" applyFill="1" applyBorder="1" applyAlignment="1">
      <alignment horizontal="center" vertical="center"/>
    </xf>
    <xf numFmtId="3" fontId="8" fillId="3" borderId="13" xfId="0" applyNumberFormat="1" applyFont="1" applyFill="1" applyBorder="1" applyAlignment="1">
      <alignment horizontal="center" vertical="center" wrapText="1"/>
    </xf>
    <xf numFmtId="3" fontId="8" fillId="3" borderId="5" xfId="0" applyNumberFormat="1" applyFont="1" applyFill="1" applyBorder="1" applyAlignment="1">
      <alignment horizontal="center" vertical="center" wrapText="1"/>
    </xf>
    <xf numFmtId="3" fontId="8" fillId="3" borderId="11" xfId="0" applyNumberFormat="1" applyFont="1" applyFill="1" applyBorder="1" applyAlignment="1">
      <alignment horizontal="center" vertical="center" wrapText="1"/>
    </xf>
    <xf numFmtId="3" fontId="8" fillId="3" borderId="66" xfId="0" applyNumberFormat="1" applyFont="1" applyFill="1" applyBorder="1" applyAlignment="1">
      <alignment horizontal="center" vertical="center"/>
    </xf>
    <xf numFmtId="3" fontId="8" fillId="3" borderId="64" xfId="0" applyNumberFormat="1" applyFont="1" applyFill="1" applyBorder="1" applyAlignment="1">
      <alignment horizontal="center" vertical="center"/>
    </xf>
    <xf numFmtId="3" fontId="8" fillId="3" borderId="156" xfId="0" applyNumberFormat="1" applyFont="1" applyFill="1" applyBorder="1" applyAlignment="1">
      <alignment horizontal="center" vertical="center"/>
    </xf>
    <xf numFmtId="3" fontId="8" fillId="3" borderId="12" xfId="0" applyNumberFormat="1" applyFont="1" applyFill="1" applyBorder="1" applyAlignment="1">
      <alignment horizontal="center" vertical="center" wrapText="1"/>
    </xf>
    <xf numFmtId="3" fontId="8" fillId="3" borderId="4" xfId="0" applyNumberFormat="1" applyFont="1" applyFill="1" applyBorder="1" applyAlignment="1">
      <alignment horizontal="center" vertical="center" wrapText="1"/>
    </xf>
    <xf numFmtId="3" fontId="8" fillId="3" borderId="10" xfId="0" applyNumberFormat="1" applyFont="1" applyFill="1" applyBorder="1" applyAlignment="1">
      <alignment horizontal="center" vertical="center" wrapText="1"/>
    </xf>
    <xf numFmtId="3" fontId="8" fillId="3" borderId="44" xfId="0" applyNumberFormat="1" applyFont="1" applyFill="1" applyBorder="1" applyAlignment="1">
      <alignment horizontal="center" vertical="center" wrapText="1"/>
    </xf>
    <xf numFmtId="0" fontId="8" fillId="10" borderId="86" xfId="49" applyFont="1" applyFill="1" applyBorder="1" applyAlignment="1">
      <alignment horizontal="center" vertical="center"/>
    </xf>
    <xf numFmtId="0" fontId="8" fillId="10" borderId="144" xfId="49" applyFont="1" applyFill="1" applyBorder="1" applyAlignment="1">
      <alignment horizontal="center" vertical="center"/>
    </xf>
    <xf numFmtId="0" fontId="8" fillId="10" borderId="40" xfId="49" applyFont="1" applyFill="1" applyBorder="1" applyAlignment="1">
      <alignment horizontal="center" vertical="center"/>
    </xf>
    <xf numFmtId="0" fontId="8" fillId="10" borderId="39" xfId="49" applyFont="1" applyFill="1" applyBorder="1" applyAlignment="1">
      <alignment horizontal="center" vertical="center"/>
    </xf>
    <xf numFmtId="0" fontId="8" fillId="10" borderId="38" xfId="49" applyFont="1" applyFill="1" applyBorder="1" applyAlignment="1">
      <alignment horizontal="center" vertical="center"/>
    </xf>
    <xf numFmtId="0" fontId="9" fillId="10" borderId="92" xfId="49" applyFont="1" applyFill="1" applyBorder="1" applyAlignment="1">
      <alignment horizontal="center" vertical="center" wrapText="1"/>
    </xf>
    <xf numFmtId="0" fontId="9" fillId="10" borderId="142" xfId="49" applyFont="1" applyFill="1" applyBorder="1" applyAlignment="1">
      <alignment horizontal="center" vertical="center" wrapText="1"/>
    </xf>
    <xf numFmtId="0" fontId="12" fillId="10" borderId="92" xfId="49" applyFont="1" applyFill="1" applyBorder="1" applyAlignment="1">
      <alignment horizontal="center" vertical="center"/>
    </xf>
    <xf numFmtId="0" fontId="12" fillId="10" borderId="18" xfId="49" applyFont="1" applyFill="1" applyBorder="1" applyAlignment="1">
      <alignment horizontal="center" vertical="center"/>
    </xf>
    <xf numFmtId="0" fontId="9" fillId="10" borderId="40" xfId="49" applyFont="1" applyFill="1" applyBorder="1" applyAlignment="1">
      <alignment horizontal="center" vertical="center"/>
    </xf>
    <xf numFmtId="0" fontId="9" fillId="10" borderId="38" xfId="49" applyFont="1" applyFill="1" applyBorder="1" applyAlignment="1">
      <alignment horizontal="center" vertical="center"/>
    </xf>
    <xf numFmtId="0" fontId="8" fillId="10" borderId="40" xfId="2" applyFont="1" applyFill="1" applyBorder="1" applyAlignment="1">
      <alignment horizontal="center" vertical="center"/>
    </xf>
    <xf numFmtId="0" fontId="8" fillId="10" borderId="39" xfId="2" applyFont="1" applyFill="1" applyBorder="1" applyAlignment="1">
      <alignment horizontal="center" vertical="center"/>
    </xf>
    <xf numFmtId="0" fontId="8" fillId="10" borderId="81" xfId="49" applyFont="1" applyFill="1" applyBorder="1" applyAlignment="1">
      <alignment horizontal="center" vertical="center"/>
    </xf>
    <xf numFmtId="0" fontId="8" fillId="10" borderId="118" xfId="49" applyFont="1" applyFill="1" applyBorder="1" applyAlignment="1">
      <alignment horizontal="center" vertical="center"/>
    </xf>
    <xf numFmtId="0" fontId="8" fillId="10" borderId="66" xfId="2" applyFont="1" applyFill="1" applyBorder="1" applyAlignment="1">
      <alignment horizontal="center" vertical="center" wrapText="1"/>
    </xf>
    <xf numFmtId="0" fontId="8" fillId="10" borderId="106" xfId="2" applyFont="1" applyFill="1" applyBorder="1" applyAlignment="1">
      <alignment horizontal="center" vertical="center" wrapText="1"/>
    </xf>
    <xf numFmtId="0" fontId="8" fillId="10" borderId="156" xfId="2" applyFont="1" applyFill="1" applyBorder="1" applyAlignment="1">
      <alignment horizontal="center" vertical="center" wrapText="1"/>
    </xf>
    <xf numFmtId="0" fontId="12" fillId="10" borderId="62" xfId="49" applyFont="1" applyFill="1" applyBorder="1" applyAlignment="1">
      <alignment horizontal="center" vertical="center"/>
    </xf>
    <xf numFmtId="0" fontId="8" fillId="10" borderId="107" xfId="49" applyFont="1" applyFill="1" applyBorder="1" applyAlignment="1">
      <alignment horizontal="center" vertical="center"/>
    </xf>
    <xf numFmtId="0" fontId="8" fillId="10" borderId="64" xfId="49" applyFont="1" applyFill="1" applyBorder="1" applyAlignment="1">
      <alignment horizontal="center" vertical="center"/>
    </xf>
    <xf numFmtId="0" fontId="8" fillId="10" borderId="92" xfId="2" applyFont="1" applyFill="1" applyBorder="1" applyAlignment="1">
      <alignment horizontal="center" vertical="center"/>
    </xf>
    <xf numFmtId="0" fontId="8" fillId="10" borderId="142" xfId="2" applyFont="1" applyFill="1" applyBorder="1" applyAlignment="1">
      <alignment horizontal="center" vertical="center"/>
    </xf>
    <xf numFmtId="0" fontId="8" fillId="10" borderId="78" xfId="2" applyFont="1" applyFill="1" applyBorder="1" applyAlignment="1">
      <alignment horizontal="center" vertical="center"/>
    </xf>
    <xf numFmtId="0" fontId="8" fillId="10" borderId="267" xfId="2" applyFont="1" applyFill="1" applyBorder="1" applyAlignment="1">
      <alignment horizontal="center" vertical="center"/>
    </xf>
    <xf numFmtId="15" fontId="8" fillId="10" borderId="40" xfId="2" applyNumberFormat="1" applyFont="1" applyFill="1" applyBorder="1" applyAlignment="1">
      <alignment horizontal="center" vertical="center" wrapText="1"/>
    </xf>
    <xf numFmtId="15" fontId="8" fillId="10" borderId="39" xfId="2" applyNumberFormat="1" applyFont="1" applyFill="1" applyBorder="1" applyAlignment="1">
      <alignment horizontal="center" vertical="center" wrapText="1"/>
    </xf>
    <xf numFmtId="15" fontId="8" fillId="10" borderId="38" xfId="2" applyNumberFormat="1" applyFont="1" applyFill="1" applyBorder="1" applyAlignment="1">
      <alignment horizontal="center" vertical="center" wrapText="1"/>
    </xf>
    <xf numFmtId="0" fontId="8" fillId="10" borderId="14" xfId="49" applyFont="1" applyFill="1" applyBorder="1" applyAlignment="1">
      <alignment horizontal="center" vertical="center"/>
    </xf>
    <xf numFmtId="0" fontId="8" fillId="10" borderId="9" xfId="49" applyFont="1" applyFill="1" applyBorder="1" applyAlignment="1">
      <alignment horizontal="center" vertical="center"/>
    </xf>
    <xf numFmtId="0" fontId="8" fillId="10" borderId="66" xfId="49" applyFont="1" applyFill="1" applyBorder="1" applyAlignment="1">
      <alignment horizontal="center" vertical="center"/>
    </xf>
    <xf numFmtId="0" fontId="8" fillId="10" borderId="106" xfId="49" applyFont="1" applyFill="1" applyBorder="1" applyAlignment="1">
      <alignment horizontal="center" vertical="center"/>
    </xf>
    <xf numFmtId="0" fontId="8" fillId="3" borderId="88" xfId="49" applyFont="1" applyFill="1" applyBorder="1" applyAlignment="1">
      <alignment horizontal="center" vertical="center"/>
    </xf>
    <xf numFmtId="0" fontId="8" fillId="3" borderId="67" xfId="49" applyFont="1" applyFill="1" applyBorder="1" applyAlignment="1">
      <alignment horizontal="center" vertical="center"/>
    </xf>
    <xf numFmtId="0" fontId="8" fillId="19" borderId="140" xfId="53" applyFont="1" applyFill="1" applyBorder="1" applyAlignment="1">
      <alignment horizontal="center" vertical="center" wrapText="1"/>
    </xf>
    <xf numFmtId="0" fontId="8" fillId="19" borderId="53" xfId="53" applyFont="1" applyFill="1" applyBorder="1" applyAlignment="1">
      <alignment horizontal="center" vertical="center" wrapText="1"/>
    </xf>
    <xf numFmtId="0" fontId="8" fillId="19" borderId="304" xfId="53" applyFont="1" applyFill="1" applyBorder="1" applyAlignment="1">
      <alignment horizontal="center" vertical="center" wrapText="1"/>
    </xf>
    <xf numFmtId="0" fontId="8" fillId="19" borderId="12" xfId="53" applyFont="1" applyFill="1" applyBorder="1" applyAlignment="1">
      <alignment horizontal="center" vertical="center" wrapText="1"/>
    </xf>
    <xf numFmtId="0" fontId="8" fillId="19" borderId="4" xfId="53" applyFont="1" applyFill="1" applyBorder="1" applyAlignment="1">
      <alignment horizontal="center" vertical="center" wrapText="1"/>
    </xf>
    <xf numFmtId="0" fontId="8" fillId="19" borderId="10" xfId="53" applyFont="1" applyFill="1" applyBorder="1" applyAlignment="1">
      <alignment horizontal="center" vertical="center" wrapText="1"/>
    </xf>
    <xf numFmtId="0" fontId="8" fillId="10" borderId="139" xfId="19" applyFont="1" applyFill="1" applyBorder="1" applyAlignment="1">
      <alignment horizontal="center" vertical="center"/>
    </xf>
    <xf numFmtId="0" fontId="8" fillId="10" borderId="143" xfId="19" applyFont="1" applyFill="1" applyBorder="1" applyAlignment="1">
      <alignment horizontal="center" vertical="center"/>
    </xf>
    <xf numFmtId="0" fontId="8" fillId="10" borderId="145" xfId="19" applyFont="1" applyFill="1" applyBorder="1" applyAlignment="1">
      <alignment horizontal="center" vertical="center"/>
    </xf>
    <xf numFmtId="0" fontId="8" fillId="10" borderId="314" xfId="19" applyFont="1" applyFill="1" applyBorder="1" applyAlignment="1">
      <alignment horizontal="center" vertical="center"/>
    </xf>
    <xf numFmtId="0" fontId="8" fillId="10" borderId="142" xfId="19" applyFont="1" applyFill="1" applyBorder="1" applyAlignment="1">
      <alignment horizontal="center" vertical="center"/>
    </xf>
    <xf numFmtId="0" fontId="8" fillId="10" borderId="315" xfId="19" applyFont="1" applyFill="1" applyBorder="1" applyAlignment="1">
      <alignment horizontal="center" vertical="center"/>
    </xf>
    <xf numFmtId="0" fontId="8" fillId="10" borderId="17" xfId="19" applyFont="1" applyFill="1" applyBorder="1" applyAlignment="1">
      <alignment horizontal="center" vertical="center"/>
    </xf>
    <xf numFmtId="0" fontId="8" fillId="10" borderId="267" xfId="19" applyFont="1" applyFill="1" applyBorder="1" applyAlignment="1">
      <alignment horizontal="center" vertical="center"/>
    </xf>
    <xf numFmtId="0" fontId="5" fillId="10" borderId="312" xfId="19" applyFont="1" applyFill="1" applyBorder="1" applyAlignment="1">
      <alignment horizontal="center" vertical="center"/>
    </xf>
    <xf numFmtId="0" fontId="5" fillId="10" borderId="317" xfId="19" applyFont="1" applyFill="1" applyBorder="1" applyAlignment="1">
      <alignment horizontal="center" vertical="center"/>
    </xf>
    <xf numFmtId="0" fontId="5" fillId="10" borderId="150" xfId="19" applyFont="1" applyFill="1" applyBorder="1" applyAlignment="1">
      <alignment horizontal="center" vertical="center"/>
    </xf>
    <xf numFmtId="0" fontId="5" fillId="10" borderId="159" xfId="19" applyFont="1" applyFill="1" applyBorder="1" applyAlignment="1">
      <alignment horizontal="center" vertical="center"/>
    </xf>
    <xf numFmtId="0" fontId="5" fillId="10" borderId="151" xfId="19" applyFont="1" applyFill="1" applyBorder="1" applyAlignment="1">
      <alignment horizontal="center" vertical="center"/>
    </xf>
    <xf numFmtId="0" fontId="8" fillId="10" borderId="140" xfId="19" applyFont="1" applyFill="1" applyBorder="1" applyAlignment="1">
      <alignment horizontal="center" vertical="center" wrapText="1"/>
    </xf>
    <xf numFmtId="0" fontId="8" fillId="10" borderId="53" xfId="19" applyFont="1" applyFill="1" applyBorder="1" applyAlignment="1">
      <alignment horizontal="center" vertical="center" wrapText="1"/>
    </xf>
    <xf numFmtId="0" fontId="8" fillId="10" borderId="304" xfId="19" applyFont="1" applyFill="1" applyBorder="1" applyAlignment="1">
      <alignment horizontal="center" vertical="center" wrapText="1"/>
    </xf>
    <xf numFmtId="0" fontId="8" fillId="10" borderId="13" xfId="19" applyFont="1" applyFill="1" applyBorder="1" applyAlignment="1">
      <alignment horizontal="center" vertical="center" wrapText="1"/>
    </xf>
    <xf numFmtId="0" fontId="8" fillId="10" borderId="5" xfId="19" applyFont="1" applyFill="1" applyBorder="1" applyAlignment="1">
      <alignment horizontal="center" vertical="center" wrapText="1"/>
    </xf>
    <xf numFmtId="0" fontId="8" fillId="10" borderId="11" xfId="19" applyFont="1" applyFill="1" applyBorder="1" applyAlignment="1">
      <alignment horizontal="center" vertical="center" wrapText="1"/>
    </xf>
    <xf numFmtId="0" fontId="8" fillId="10" borderId="12" xfId="19" applyFont="1" applyFill="1" applyBorder="1" applyAlignment="1">
      <alignment horizontal="center" vertical="center" wrapText="1"/>
    </xf>
    <xf numFmtId="0" fontId="8" fillId="10" borderId="4" xfId="19" applyFont="1" applyFill="1" applyBorder="1" applyAlignment="1">
      <alignment horizontal="center" vertical="center" wrapText="1"/>
    </xf>
    <xf numFmtId="0" fontId="8" fillId="10" borderId="10" xfId="19" applyFont="1" applyFill="1" applyBorder="1" applyAlignment="1">
      <alignment horizontal="center" vertical="center" wrapText="1"/>
    </xf>
    <xf numFmtId="166" fontId="7" fillId="2" borderId="52" xfId="19" applyNumberFormat="1" applyFont="1" applyFill="1" applyBorder="1" applyAlignment="1">
      <alignment horizontal="center" vertical="center"/>
    </xf>
    <xf numFmtId="166" fontId="7" fillId="2" borderId="50" xfId="19" applyNumberFormat="1" applyFont="1" applyFill="1" applyBorder="1" applyAlignment="1">
      <alignment horizontal="center" vertical="center"/>
    </xf>
    <xf numFmtId="166" fontId="7" fillId="2" borderId="47" xfId="19" applyNumberFormat="1" applyFont="1" applyFill="1" applyBorder="1" applyAlignment="1">
      <alignment horizontal="center" vertical="center"/>
    </xf>
    <xf numFmtId="166" fontId="7" fillId="2" borderId="45" xfId="19" applyNumberFormat="1" applyFont="1" applyFill="1" applyBorder="1" applyAlignment="1">
      <alignment horizontal="center" vertical="center"/>
    </xf>
    <xf numFmtId="2" fontId="7" fillId="2" borderId="52" xfId="19" applyNumberFormat="1" applyFont="1" applyFill="1" applyBorder="1" applyAlignment="1">
      <alignment horizontal="center" vertical="center"/>
    </xf>
    <xf numFmtId="2" fontId="7" fillId="2" borderId="50" xfId="19" applyNumberFormat="1" applyFont="1" applyFill="1" applyBorder="1" applyAlignment="1">
      <alignment horizontal="center" vertical="center"/>
    </xf>
    <xf numFmtId="165" fontId="7" fillId="2" borderId="52" xfId="19" applyNumberFormat="1" applyFont="1" applyFill="1" applyBorder="1" applyAlignment="1">
      <alignment horizontal="center" vertical="center"/>
    </xf>
    <xf numFmtId="165" fontId="7" fillId="2" borderId="50" xfId="19" applyNumberFormat="1" applyFont="1" applyFill="1" applyBorder="1" applyAlignment="1">
      <alignment horizontal="center" vertical="center"/>
    </xf>
    <xf numFmtId="166" fontId="7" fillId="2" borderId="284" xfId="19" applyNumberFormat="1" applyFont="1" applyFill="1" applyBorder="1" applyAlignment="1">
      <alignment horizontal="center" vertical="center"/>
    </xf>
    <xf numFmtId="166" fontId="7" fillId="2" borderId="285" xfId="19" applyNumberFormat="1" applyFont="1" applyFill="1" applyBorder="1" applyAlignment="1">
      <alignment horizontal="center" vertical="center"/>
    </xf>
    <xf numFmtId="2" fontId="7" fillId="2" borderId="279" xfId="19" applyNumberFormat="1" applyFont="1" applyFill="1" applyBorder="1" applyAlignment="1">
      <alignment horizontal="center" vertical="center"/>
    </xf>
    <xf numFmtId="2" fontId="7" fillId="2" borderId="280" xfId="19" applyNumberFormat="1" applyFont="1" applyFill="1" applyBorder="1" applyAlignment="1">
      <alignment horizontal="center" vertical="center"/>
    </xf>
    <xf numFmtId="0" fontId="8" fillId="3" borderId="152" xfId="19" applyFont="1" applyFill="1" applyBorder="1" applyAlignment="1">
      <alignment horizontal="center" vertical="center"/>
    </xf>
    <xf numFmtId="0" fontId="8" fillId="3" borderId="142" xfId="19" applyFont="1" applyFill="1" applyBorder="1" applyAlignment="1">
      <alignment horizontal="center" vertical="center"/>
    </xf>
    <xf numFmtId="0" fontId="8" fillId="3" borderId="62" xfId="19" applyFont="1" applyFill="1" applyBorder="1" applyAlignment="1">
      <alignment horizontal="center" vertical="center"/>
    </xf>
    <xf numFmtId="0" fontId="8" fillId="3" borderId="52" xfId="19" applyFont="1" applyFill="1" applyBorder="1" applyAlignment="1">
      <alignment horizontal="center" vertical="center"/>
    </xf>
    <xf numFmtId="0" fontId="8" fillId="3" borderId="50" xfId="19" applyFont="1" applyFill="1" applyBorder="1" applyAlignment="1">
      <alignment horizontal="center" vertical="center"/>
    </xf>
    <xf numFmtId="0" fontId="27" fillId="3" borderId="97" xfId="19" applyFont="1" applyFill="1" applyBorder="1" applyAlignment="1">
      <alignment horizontal="center" vertical="center"/>
    </xf>
    <xf numFmtId="0" fontId="27" fillId="3" borderId="59" xfId="19" applyFont="1" applyFill="1" applyBorder="1" applyAlignment="1">
      <alignment horizontal="center" vertical="center"/>
    </xf>
    <xf numFmtId="0" fontId="27" fillId="3" borderId="334" xfId="2" applyFont="1" applyFill="1" applyBorder="1" applyAlignment="1">
      <alignment horizontal="center" vertical="center" wrapText="1"/>
    </xf>
    <xf numFmtId="0" fontId="27" fillId="3" borderId="335" xfId="2" applyFont="1" applyFill="1" applyBorder="1" applyAlignment="1">
      <alignment horizontal="center" vertical="center" wrapText="1"/>
    </xf>
    <xf numFmtId="0" fontId="8" fillId="3" borderId="44" xfId="2" applyFont="1" applyFill="1" applyBorder="1" applyAlignment="1">
      <alignment horizontal="center" vertical="center"/>
    </xf>
    <xf numFmtId="0" fontId="8" fillId="3" borderId="5" xfId="2" applyFont="1" applyFill="1" applyBorder="1" applyAlignment="1">
      <alignment horizontal="center" vertical="center"/>
    </xf>
    <xf numFmtId="0" fontId="8" fillId="3" borderId="11" xfId="2" applyFont="1" applyFill="1" applyBorder="1" applyAlignment="1">
      <alignment horizontal="center" vertical="center"/>
    </xf>
    <xf numFmtId="0" fontId="8" fillId="3" borderId="92" xfId="2" applyFont="1" applyFill="1" applyBorder="1" applyAlignment="1">
      <alignment horizontal="center" vertical="center"/>
    </xf>
    <xf numFmtId="0" fontId="8" fillId="3" borderId="81" xfId="2" applyFont="1" applyFill="1" applyBorder="1" applyAlignment="1">
      <alignment horizontal="center" vertical="center"/>
    </xf>
    <xf numFmtId="0" fontId="8" fillId="3" borderId="78" xfId="2" applyFont="1" applyFill="1" applyBorder="1" applyAlignment="1">
      <alignment horizontal="center" vertical="center"/>
    </xf>
    <xf numFmtId="0" fontId="8" fillId="3" borderId="328" xfId="2" applyFont="1" applyFill="1" applyBorder="1" applyAlignment="1">
      <alignment horizontal="center" vertical="center"/>
    </xf>
    <xf numFmtId="0" fontId="8" fillId="3" borderId="329" xfId="2" applyFont="1" applyFill="1" applyBorder="1" applyAlignment="1">
      <alignment horizontal="center" vertical="center"/>
    </xf>
    <xf numFmtId="0" fontId="8" fillId="3" borderId="330" xfId="2" applyFont="1" applyFill="1" applyBorder="1" applyAlignment="1">
      <alignment horizontal="center" vertical="center"/>
    </xf>
    <xf numFmtId="0" fontId="8" fillId="3" borderId="331" xfId="2" applyFont="1" applyFill="1" applyBorder="1" applyAlignment="1">
      <alignment horizontal="center" vertical="center"/>
    </xf>
    <xf numFmtId="0" fontId="27" fillId="3" borderId="5" xfId="2" applyFont="1" applyFill="1" applyBorder="1" applyAlignment="1">
      <alignment horizontal="center" vertical="center" wrapText="1"/>
    </xf>
    <xf numFmtId="0" fontId="27" fillId="3" borderId="11" xfId="2" applyFont="1" applyFill="1" applyBorder="1" applyAlignment="1">
      <alignment horizontal="center" vertical="center" wrapText="1"/>
    </xf>
    <xf numFmtId="0" fontId="27" fillId="3" borderId="52" xfId="2" applyFont="1" applyFill="1" applyBorder="1" applyAlignment="1">
      <alignment horizontal="center" vertical="center" wrapText="1"/>
    </xf>
    <xf numFmtId="0" fontId="27" fillId="3" borderId="97" xfId="2" applyFont="1" applyFill="1" applyBorder="1" applyAlignment="1">
      <alignment horizontal="center" vertical="center" wrapText="1"/>
    </xf>
    <xf numFmtId="0" fontId="27" fillId="3" borderId="333" xfId="2" applyFont="1" applyFill="1" applyBorder="1" applyAlignment="1">
      <alignment horizontal="center" vertical="center" wrapText="1"/>
    </xf>
    <xf numFmtId="0" fontId="27" fillId="3" borderId="336" xfId="2" applyFont="1" applyFill="1" applyBorder="1" applyAlignment="1">
      <alignment horizontal="center" vertical="center" wrapText="1"/>
    </xf>
    <xf numFmtId="0" fontId="8" fillId="3" borderId="8" xfId="3" applyFont="1" applyFill="1" applyBorder="1" applyAlignment="1">
      <alignment horizontal="center" vertical="center"/>
    </xf>
    <xf numFmtId="0" fontId="8" fillId="3" borderId="7" xfId="3" applyFont="1" applyFill="1" applyBorder="1" applyAlignment="1">
      <alignment horizontal="center" vertical="center"/>
    </xf>
    <xf numFmtId="0" fontId="8" fillId="3" borderId="13" xfId="3" applyFont="1" applyFill="1" applyBorder="1" applyAlignment="1">
      <alignment horizontal="center" vertical="center"/>
    </xf>
    <xf numFmtId="0" fontId="8" fillId="3" borderId="11" xfId="3" applyFont="1" applyFill="1" applyBorder="1" applyAlignment="1">
      <alignment horizontal="center" vertical="center"/>
    </xf>
    <xf numFmtId="15" fontId="8" fillId="3" borderId="13" xfId="3" applyNumberFormat="1" applyFont="1" applyFill="1" applyBorder="1" applyAlignment="1">
      <alignment horizontal="center" vertical="center"/>
    </xf>
    <xf numFmtId="0" fontId="8" fillId="3" borderId="12" xfId="3" applyFont="1" applyFill="1" applyBorder="1" applyAlignment="1">
      <alignment horizontal="center" vertical="center"/>
    </xf>
    <xf numFmtId="0" fontId="8" fillId="3" borderId="10" xfId="3" applyFont="1" applyFill="1" applyBorder="1" applyAlignment="1">
      <alignment horizontal="center" vertical="center"/>
    </xf>
    <xf numFmtId="17" fontId="8" fillId="3" borderId="13" xfId="4" applyNumberFormat="1" applyFont="1" applyFill="1" applyBorder="1" applyAlignment="1">
      <alignment horizontal="center" vertical="center" wrapText="1"/>
    </xf>
    <xf numFmtId="0" fontId="16" fillId="0" borderId="11" xfId="5" applyFont="1" applyBorder="1" applyAlignment="1">
      <alignment horizontal="center" vertical="center" wrapText="1"/>
    </xf>
    <xf numFmtId="17" fontId="8" fillId="3" borderId="13" xfId="4" applyNumberFormat="1" applyFont="1" applyFill="1" applyBorder="1" applyAlignment="1">
      <alignment horizontal="center" vertical="center"/>
    </xf>
    <xf numFmtId="0" fontId="16" fillId="0" borderId="11" xfId="5" applyFont="1" applyBorder="1" applyAlignment="1">
      <alignment horizontal="center" vertical="center"/>
    </xf>
    <xf numFmtId="17" fontId="8" fillId="3" borderId="18" xfId="4" applyNumberFormat="1" applyFont="1" applyFill="1" applyBorder="1" applyAlignment="1">
      <alignment horizontal="center" vertical="center" wrapText="1"/>
    </xf>
    <xf numFmtId="0" fontId="16" fillId="0" borderId="17" xfId="5" applyFont="1" applyBorder="1" applyAlignment="1">
      <alignment horizontal="center" vertical="center" wrapText="1"/>
    </xf>
    <xf numFmtId="17" fontId="8" fillId="3" borderId="11" xfId="4" applyNumberFormat="1" applyFont="1" applyFill="1" applyBorder="1" applyAlignment="1">
      <alignment horizontal="center" vertical="center" wrapText="1"/>
    </xf>
    <xf numFmtId="17" fontId="8" fillId="3" borderId="11" xfId="4" applyNumberFormat="1" applyFont="1" applyFill="1" applyBorder="1" applyAlignment="1">
      <alignment horizontal="center" vertical="center"/>
    </xf>
    <xf numFmtId="0" fontId="8" fillId="3" borderId="14" xfId="2" applyFont="1" applyFill="1" applyBorder="1" applyAlignment="1">
      <alignment horizontal="center" vertical="center"/>
    </xf>
    <xf numFmtId="0" fontId="8" fillId="3" borderId="6" xfId="2" applyFont="1" applyFill="1" applyBorder="1" applyAlignment="1">
      <alignment horizontal="center" vertical="center"/>
    </xf>
    <xf numFmtId="0" fontId="8" fillId="3" borderId="9" xfId="2" applyFont="1" applyFill="1" applyBorder="1" applyAlignment="1">
      <alignment horizontal="center" vertical="center"/>
    </xf>
    <xf numFmtId="0" fontId="4" fillId="2" borderId="0" xfId="6" applyFont="1" applyFill="1" applyAlignment="1">
      <alignment horizontal="left" wrapText="1" readingOrder="1"/>
    </xf>
    <xf numFmtId="0" fontId="12" fillId="2" borderId="0" xfId="6" applyFont="1" applyFill="1" applyBorder="1" applyAlignment="1">
      <alignment horizontal="left" wrapText="1"/>
    </xf>
    <xf numFmtId="0" fontId="8" fillId="3" borderId="44" xfId="6" applyFont="1" applyFill="1" applyBorder="1" applyAlignment="1">
      <alignment horizontal="center" vertical="center" wrapText="1"/>
    </xf>
    <xf numFmtId="0" fontId="8" fillId="3" borderId="2" xfId="6" applyFont="1" applyFill="1" applyBorder="1" applyAlignment="1">
      <alignment horizontal="center" vertical="center" wrapText="1"/>
    </xf>
    <xf numFmtId="0" fontId="8" fillId="3" borderId="40" xfId="6" applyFont="1" applyFill="1" applyBorder="1" applyAlignment="1">
      <alignment horizontal="center"/>
    </xf>
    <xf numFmtId="0" fontId="8" fillId="3" borderId="39" xfId="6" applyFont="1" applyFill="1" applyBorder="1" applyAlignment="1">
      <alignment horizontal="center"/>
    </xf>
    <xf numFmtId="0" fontId="8" fillId="3" borderId="38" xfId="6" applyFont="1" applyFill="1" applyBorder="1" applyAlignment="1">
      <alignment horizontal="center"/>
    </xf>
    <xf numFmtId="0" fontId="8" fillId="3" borderId="42" xfId="6" applyFont="1" applyFill="1" applyBorder="1" applyAlignment="1">
      <alignment horizontal="center" vertical="center" wrapText="1"/>
    </xf>
    <xf numFmtId="0" fontId="8" fillId="3" borderId="1" xfId="6" applyFont="1" applyFill="1" applyBorder="1" applyAlignment="1">
      <alignment horizontal="center" vertical="center" wrapText="1"/>
    </xf>
    <xf numFmtId="0" fontId="8" fillId="3" borderId="41" xfId="6" applyFont="1" applyFill="1" applyBorder="1" applyAlignment="1">
      <alignment horizontal="center"/>
    </xf>
    <xf numFmtId="0" fontId="8" fillId="3" borderId="14"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66" xfId="0" applyFont="1" applyFill="1" applyBorder="1" applyAlignment="1">
      <alignment horizontal="center" vertical="center" wrapText="1"/>
    </xf>
    <xf numFmtId="0" fontId="8" fillId="3" borderId="64" xfId="0" applyFont="1" applyFill="1" applyBorder="1" applyAlignment="1">
      <alignment horizontal="center" vertical="center" wrapText="1"/>
    </xf>
    <xf numFmtId="0" fontId="8" fillId="3" borderId="63" xfId="0" applyFont="1" applyFill="1" applyBorder="1" applyAlignment="1">
      <alignment horizontal="center" vertical="center" wrapText="1"/>
    </xf>
    <xf numFmtId="0" fontId="8" fillId="3" borderId="65" xfId="0" applyFont="1" applyFill="1" applyBorder="1" applyAlignment="1">
      <alignment horizontal="center" vertical="center" wrapText="1"/>
    </xf>
    <xf numFmtId="0" fontId="8" fillId="3" borderId="62" xfId="0" applyFont="1" applyFill="1" applyBorder="1" applyAlignment="1">
      <alignment horizontal="center" vertical="center" wrapText="1"/>
    </xf>
    <xf numFmtId="0" fontId="8" fillId="3" borderId="59" xfId="0" applyFont="1" applyFill="1" applyBorder="1" applyAlignment="1">
      <alignment horizontal="center" vertical="center" wrapText="1"/>
    </xf>
    <xf numFmtId="178" fontId="12" fillId="3" borderId="78" xfId="0" applyNumberFormat="1" applyFont="1" applyFill="1" applyBorder="1" applyAlignment="1">
      <alignment horizontal="center"/>
    </xf>
    <xf numFmtId="178" fontId="12" fillId="3" borderId="17" xfId="0" applyNumberFormat="1" applyFont="1" applyFill="1" applyBorder="1" applyAlignment="1">
      <alignment horizontal="center"/>
    </xf>
    <xf numFmtId="165" fontId="12" fillId="3" borderId="17" xfId="0" applyNumberFormat="1" applyFont="1" applyFill="1" applyBorder="1" applyAlignment="1">
      <alignment horizontal="center"/>
    </xf>
    <xf numFmtId="178" fontId="12" fillId="3" borderId="59" xfId="0" applyNumberFormat="1" applyFont="1" applyFill="1" applyBorder="1" applyAlignment="1">
      <alignment horizontal="center"/>
    </xf>
    <xf numFmtId="175" fontId="8" fillId="3" borderId="107" xfId="0" applyNumberFormat="1" applyFont="1" applyFill="1" applyBorder="1" applyAlignment="1">
      <alignment horizontal="center" vertical="center"/>
    </xf>
    <xf numFmtId="175" fontId="8" fillId="3" borderId="106" xfId="0" applyNumberFormat="1" applyFont="1" applyFill="1" applyBorder="1" applyAlignment="1">
      <alignment horizontal="center" vertical="center"/>
    </xf>
    <xf numFmtId="178" fontId="8" fillId="3" borderId="78" xfId="0" applyNumberFormat="1" applyFont="1" applyFill="1" applyBorder="1" applyAlignment="1">
      <alignment horizontal="center"/>
    </xf>
    <xf numFmtId="178" fontId="8" fillId="3" borderId="17" xfId="0" applyNumberFormat="1" applyFont="1" applyFill="1" applyBorder="1" applyAlignment="1">
      <alignment horizontal="center"/>
    </xf>
    <xf numFmtId="178" fontId="8" fillId="3" borderId="59" xfId="0" applyNumberFormat="1" applyFont="1" applyFill="1" applyBorder="1" applyAlignment="1">
      <alignment horizontal="center"/>
    </xf>
    <xf numFmtId="178" fontId="8" fillId="3" borderId="107" xfId="0" applyNumberFormat="1" applyFont="1" applyFill="1" applyBorder="1" applyAlignment="1">
      <alignment horizontal="center" vertical="center"/>
    </xf>
    <xf numFmtId="178" fontId="8" fillId="3" borderId="106" xfId="0" applyNumberFormat="1" applyFont="1" applyFill="1" applyBorder="1" applyAlignment="1">
      <alignment horizontal="center" vertical="center"/>
    </xf>
    <xf numFmtId="178" fontId="8" fillId="3" borderId="87" xfId="0" applyNumberFormat="1" applyFont="1" applyFill="1" applyBorder="1" applyAlignment="1">
      <alignment horizontal="center" vertical="center"/>
    </xf>
    <xf numFmtId="178" fontId="8" fillId="3" borderId="109" xfId="0" applyNumberFormat="1" applyFont="1" applyFill="1" applyBorder="1" applyAlignment="1">
      <alignment horizontal="center"/>
    </xf>
    <xf numFmtId="178" fontId="8" fillId="3" borderId="108" xfId="0" applyNumberFormat="1" applyFont="1" applyFill="1" applyBorder="1" applyAlignment="1">
      <alignment horizontal="center"/>
    </xf>
    <xf numFmtId="178" fontId="8" fillId="3" borderId="111" xfId="0" applyNumberFormat="1" applyFont="1" applyFill="1" applyBorder="1" applyAlignment="1">
      <alignment horizontal="center"/>
    </xf>
    <xf numFmtId="178" fontId="8" fillId="3" borderId="112" xfId="0" applyNumberFormat="1" applyFont="1" applyFill="1" applyBorder="1" applyAlignment="1">
      <alignment horizontal="center"/>
    </xf>
    <xf numFmtId="178" fontId="8" fillId="3" borderId="110" xfId="0" applyNumberFormat="1" applyFont="1" applyFill="1" applyBorder="1" applyAlignment="1">
      <alignment horizontal="center"/>
    </xf>
    <xf numFmtId="0" fontId="8" fillId="3" borderId="92" xfId="0" applyFont="1" applyFill="1" applyBorder="1" applyAlignment="1">
      <alignment horizontal="center" vertical="center" wrapText="1"/>
    </xf>
    <xf numFmtId="0" fontId="8" fillId="3" borderId="78" xfId="0" applyFont="1" applyFill="1" applyBorder="1" applyAlignment="1">
      <alignment horizontal="center" vertical="center" wrapText="1"/>
    </xf>
    <xf numFmtId="165" fontId="4" fillId="2" borderId="16" xfId="0" applyNumberFormat="1" applyFont="1" applyFill="1" applyBorder="1" applyAlignment="1">
      <alignment horizontal="right"/>
    </xf>
    <xf numFmtId="165" fontId="4" fillId="2" borderId="0" xfId="0" applyNumberFormat="1" applyFont="1" applyFill="1" applyAlignment="1">
      <alignment horizontal="center"/>
    </xf>
    <xf numFmtId="0" fontId="8" fillId="3" borderId="14" xfId="17" applyFont="1" applyFill="1" applyBorder="1" applyAlignment="1">
      <alignment horizontal="center" vertical="center"/>
    </xf>
    <xf numFmtId="0" fontId="1" fillId="0" borderId="6" xfId="3" applyBorder="1" applyAlignment="1">
      <alignment horizontal="center" vertical="center"/>
    </xf>
    <xf numFmtId="0" fontId="1" fillId="0" borderId="9" xfId="3" applyBorder="1" applyAlignment="1">
      <alignment horizontal="center" vertical="center"/>
    </xf>
    <xf numFmtId="0" fontId="8" fillId="3" borderId="64" xfId="17" applyFont="1" applyFill="1" applyBorder="1" applyAlignment="1">
      <alignment horizontal="center" vertical="center"/>
    </xf>
    <xf numFmtId="0" fontId="8" fillId="3" borderId="106" xfId="17" applyFont="1" applyFill="1" applyBorder="1" applyAlignment="1">
      <alignment horizontal="center" vertical="center"/>
    </xf>
    <xf numFmtId="0" fontId="8" fillId="3" borderId="40" xfId="17" applyFont="1" applyFill="1" applyBorder="1" applyAlignment="1">
      <alignment horizontal="center" vertical="center"/>
    </xf>
    <xf numFmtId="0" fontId="8" fillId="3" borderId="39" xfId="17" applyFont="1" applyFill="1" applyBorder="1" applyAlignment="1">
      <alignment horizontal="center" vertical="center"/>
    </xf>
    <xf numFmtId="0" fontId="8" fillId="3" borderId="94" xfId="17" applyFont="1" applyFill="1" applyBorder="1" applyAlignment="1">
      <alignment horizontal="center" vertical="center"/>
    </xf>
    <xf numFmtId="0" fontId="6" fillId="2" borderId="0" xfId="17" applyFont="1" applyFill="1" applyAlignment="1">
      <alignment horizontal="left" vertical="top" wrapText="1"/>
    </xf>
    <xf numFmtId="0" fontId="6" fillId="2" borderId="0" xfId="17" applyFont="1" applyFill="1" applyAlignment="1">
      <alignment horizontal="left" wrapText="1"/>
    </xf>
    <xf numFmtId="0" fontId="8" fillId="3" borderId="65" xfId="11" applyFont="1" applyFill="1" applyBorder="1" applyAlignment="1">
      <alignment horizontal="center" vertical="center"/>
    </xf>
    <xf numFmtId="0" fontId="8" fillId="3" borderId="106" xfId="11" applyFont="1" applyFill="1" applyBorder="1" applyAlignment="1">
      <alignment horizontal="center" vertical="center"/>
    </xf>
    <xf numFmtId="0" fontId="8" fillId="3" borderId="57" xfId="11" applyFont="1" applyFill="1" applyBorder="1" applyAlignment="1">
      <alignment horizontal="center" vertical="top" wrapText="1"/>
    </xf>
    <xf numFmtId="0" fontId="8" fillId="3" borderId="53" xfId="11" applyFont="1" applyFill="1" applyBorder="1" applyAlignment="1">
      <alignment horizontal="center" vertical="top" wrapText="1"/>
    </xf>
    <xf numFmtId="0" fontId="8" fillId="3" borderId="48" xfId="11" applyFont="1" applyFill="1" applyBorder="1" applyAlignment="1">
      <alignment horizontal="center" vertical="top" wrapText="1"/>
    </xf>
    <xf numFmtId="0" fontId="8" fillId="3" borderId="55" xfId="11" applyFont="1" applyFill="1" applyBorder="1" applyAlignment="1">
      <alignment horizontal="center" vertical="center" wrapText="1"/>
    </xf>
    <xf numFmtId="0" fontId="8" fillId="3" borderId="51" xfId="11" applyFont="1" applyFill="1" applyBorder="1" applyAlignment="1">
      <alignment horizontal="center" vertical="center" wrapText="1"/>
    </xf>
    <xf numFmtId="0" fontId="8" fillId="3" borderId="144" xfId="11" applyFont="1" applyFill="1" applyBorder="1" applyAlignment="1">
      <alignment horizontal="center" vertical="top" wrapText="1"/>
    </xf>
    <xf numFmtId="0" fontId="8" fillId="3" borderId="118" xfId="11" applyFont="1" applyFill="1" applyBorder="1" applyAlignment="1">
      <alignment horizontal="center" vertical="top" wrapText="1"/>
    </xf>
    <xf numFmtId="0" fontId="8" fillId="3" borderId="146" xfId="11" applyFont="1" applyFill="1" applyBorder="1" applyAlignment="1">
      <alignment horizontal="center" vertical="top" wrapText="1"/>
    </xf>
    <xf numFmtId="0" fontId="8" fillId="3" borderId="140" xfId="11" applyFont="1" applyFill="1" applyBorder="1" applyAlignment="1">
      <alignment horizontal="center" vertical="center"/>
    </xf>
    <xf numFmtId="0" fontId="8" fillId="3" borderId="141" xfId="11" applyFont="1" applyFill="1" applyBorder="1" applyAlignment="1">
      <alignment horizontal="center" vertical="center"/>
    </xf>
    <xf numFmtId="0" fontId="8" fillId="3" borderId="142" xfId="11" applyFont="1" applyFill="1" applyBorder="1" applyAlignment="1">
      <alignment horizontal="center" vertical="center"/>
    </xf>
    <xf numFmtId="0" fontId="8" fillId="3" borderId="63" xfId="11" applyFont="1" applyFill="1" applyBorder="1" applyAlignment="1">
      <alignment horizontal="center" vertical="center"/>
    </xf>
    <xf numFmtId="0" fontId="8" fillId="3" borderId="42" xfId="11" applyFont="1" applyFill="1" applyBorder="1" applyAlignment="1">
      <alignment horizontal="center" vertical="center" wrapText="1"/>
    </xf>
    <xf numFmtId="0" fontId="8" fillId="3" borderId="4" xfId="11" applyFont="1" applyFill="1" applyBorder="1" applyAlignment="1">
      <alignment horizontal="center" vertical="center" wrapText="1"/>
    </xf>
    <xf numFmtId="0" fontId="4" fillId="2" borderId="18" xfId="7" applyFont="1" applyFill="1" applyBorder="1" applyAlignment="1">
      <alignment horizontal="left" vertical="center" wrapText="1"/>
    </xf>
    <xf numFmtId="0" fontId="4" fillId="3" borderId="11" xfId="19" applyFont="1" applyFill="1" applyBorder="1" applyAlignment="1">
      <alignment horizontal="center" vertical="center"/>
    </xf>
    <xf numFmtId="0" fontId="44" fillId="2" borderId="0" xfId="19" applyFont="1" applyFill="1" applyAlignment="1">
      <alignment horizontal="left" vertical="center" wrapText="1"/>
    </xf>
    <xf numFmtId="0" fontId="8" fillId="3" borderId="13" xfId="19" applyFont="1" applyFill="1" applyBorder="1" applyAlignment="1">
      <alignment horizontal="center" vertical="center"/>
    </xf>
    <xf numFmtId="0" fontId="8" fillId="3" borderId="13" xfId="19" applyFont="1" applyFill="1" applyBorder="1" applyAlignment="1">
      <alignment horizontal="center" vertical="center" wrapText="1"/>
    </xf>
    <xf numFmtId="0" fontId="9" fillId="3" borderId="5" xfId="22" applyFont="1" applyFill="1" applyBorder="1" applyAlignment="1">
      <alignment horizontal="center" vertical="center" wrapText="1"/>
    </xf>
    <xf numFmtId="0" fontId="9" fillId="3" borderId="11" xfId="22" applyFont="1" applyFill="1" applyBorder="1" applyAlignment="1">
      <alignment horizontal="center" vertical="center" wrapText="1"/>
    </xf>
    <xf numFmtId="0" fontId="8" fillId="3" borderId="12" xfId="19" applyFont="1" applyFill="1" applyBorder="1" applyAlignment="1">
      <alignment horizontal="center" vertical="center" wrapText="1"/>
    </xf>
    <xf numFmtId="0" fontId="9" fillId="3" borderId="4" xfId="22" applyFont="1" applyFill="1" applyBorder="1" applyAlignment="1">
      <alignment horizontal="center" vertical="center" wrapText="1"/>
    </xf>
    <xf numFmtId="0" fontId="9" fillId="3" borderId="10" xfId="22" applyFont="1" applyFill="1" applyBorder="1" applyAlignment="1">
      <alignment horizontal="center" vertical="center" wrapText="1"/>
    </xf>
    <xf numFmtId="0" fontId="8" fillId="3" borderId="5" xfId="19" applyFont="1" applyFill="1" applyBorder="1" applyAlignment="1">
      <alignment horizontal="center" vertical="center"/>
    </xf>
    <xf numFmtId="0" fontId="6" fillId="2" borderId="0" xfId="9" applyFont="1" applyFill="1" applyAlignment="1">
      <alignment vertical="top" wrapText="1"/>
    </xf>
    <xf numFmtId="0" fontId="12" fillId="2" borderId="0" xfId="8" applyFont="1" applyFill="1" applyAlignment="1">
      <alignment horizontal="left" vertical="center" wrapText="1"/>
    </xf>
    <xf numFmtId="181" fontId="8" fillId="3" borderId="49" xfId="24" applyNumberFormat="1" applyFont="1" applyFill="1" applyBorder="1" applyAlignment="1">
      <alignment horizontal="center" vertical="center" wrapText="1"/>
    </xf>
    <xf numFmtId="181" fontId="8" fillId="3" borderId="146" xfId="24" applyNumberFormat="1" applyFont="1" applyFill="1" applyBorder="1" applyAlignment="1">
      <alignment horizontal="center" vertical="center" wrapText="1"/>
    </xf>
    <xf numFmtId="0" fontId="4" fillId="2" borderId="18" xfId="9" applyFont="1" applyFill="1" applyBorder="1" applyAlignment="1">
      <alignment vertical="center" wrapText="1"/>
    </xf>
    <xf numFmtId="0" fontId="4" fillId="2" borderId="0" xfId="9" applyFont="1" applyFill="1" applyBorder="1" applyAlignment="1">
      <alignment horizontal="left" vertical="center" wrapText="1"/>
    </xf>
    <xf numFmtId="0" fontId="4" fillId="2" borderId="0" xfId="9" applyFont="1" applyFill="1" applyBorder="1" applyAlignment="1">
      <alignment horizontal="left" vertical="top" wrapText="1"/>
    </xf>
    <xf numFmtId="0" fontId="9" fillId="3" borderId="6" xfId="9" applyFont="1" applyFill="1" applyBorder="1" applyAlignment="1">
      <alignment horizontal="left" vertical="center"/>
    </xf>
    <xf numFmtId="0" fontId="9" fillId="3" borderId="5" xfId="9" applyFont="1" applyFill="1" applyBorder="1" applyAlignment="1">
      <alignment horizontal="left" vertical="center"/>
    </xf>
    <xf numFmtId="0" fontId="6" fillId="2" borderId="0" xfId="9" applyFont="1" applyFill="1" applyAlignment="1">
      <alignment horizontal="left" vertical="top" wrapText="1"/>
    </xf>
    <xf numFmtId="0" fontId="6" fillId="0" borderId="0" xfId="9" applyFont="1" applyFill="1" applyAlignment="1">
      <alignment horizontal="left" vertical="top" wrapText="1"/>
    </xf>
    <xf numFmtId="49" fontId="8" fillId="3" borderId="107" xfId="8" applyNumberFormat="1" applyFont="1" applyFill="1" applyBorder="1" applyAlignment="1">
      <alignment horizontal="center" vertical="center" wrapText="1"/>
    </xf>
    <xf numFmtId="49" fontId="8" fillId="3" borderId="156" xfId="8" applyNumberFormat="1" applyFont="1" applyFill="1" applyBorder="1" applyAlignment="1">
      <alignment horizontal="center" vertical="center" wrapText="1"/>
    </xf>
    <xf numFmtId="0" fontId="4" fillId="2" borderId="0" xfId="9" applyFont="1" applyFill="1" applyAlignment="1">
      <alignment vertical="top"/>
    </xf>
    <xf numFmtId="0" fontId="8" fillId="3" borderId="3" xfId="9" applyFont="1" applyFill="1" applyBorder="1" applyAlignment="1">
      <alignment horizontal="left" vertical="center"/>
    </xf>
    <xf numFmtId="0" fontId="8" fillId="3" borderId="2" xfId="9" applyFont="1" applyFill="1" applyBorder="1" applyAlignment="1">
      <alignment horizontal="left" vertical="center"/>
    </xf>
    <xf numFmtId="0" fontId="4" fillId="2" borderId="18" xfId="9" applyFont="1" applyFill="1" applyBorder="1" applyAlignment="1">
      <alignment horizontal="left"/>
    </xf>
    <xf numFmtId="0" fontId="8" fillId="3" borderId="158" xfId="8" applyFont="1" applyFill="1" applyBorder="1" applyAlignment="1">
      <alignment horizontal="center" vertical="center"/>
    </xf>
    <xf numFmtId="0" fontId="8" fillId="3" borderId="150" xfId="8" applyFont="1" applyFill="1" applyBorder="1" applyAlignment="1">
      <alignment horizontal="center" vertical="center"/>
    </xf>
    <xf numFmtId="0" fontId="8" fillId="3" borderId="81" xfId="8" applyFont="1" applyFill="1" applyBorder="1" applyAlignment="1">
      <alignment horizontal="left" vertical="center"/>
    </xf>
    <xf numFmtId="0" fontId="8" fillId="3" borderId="118" xfId="8" applyFont="1" applyFill="1" applyBorder="1" applyAlignment="1">
      <alignment horizontal="left" vertical="center"/>
    </xf>
    <xf numFmtId="0" fontId="8" fillId="3" borderId="155" xfId="8" applyFont="1" applyFill="1" applyBorder="1" applyAlignment="1">
      <alignment horizontal="left" vertical="center"/>
    </xf>
    <xf numFmtId="0" fontId="4" fillId="2" borderId="0" xfId="9" applyFont="1" applyFill="1" applyAlignment="1">
      <alignment vertical="center"/>
    </xf>
    <xf numFmtId="0" fontId="4" fillId="0" borderId="18" xfId="9" applyFont="1" applyFill="1" applyBorder="1" applyAlignment="1">
      <alignment vertical="top" wrapText="1"/>
    </xf>
    <xf numFmtId="0" fontId="32" fillId="2" borderId="0" xfId="3" applyFont="1" applyFill="1" applyBorder="1" applyAlignment="1">
      <alignment horizontal="left" vertical="center"/>
    </xf>
    <xf numFmtId="0" fontId="32" fillId="2" borderId="18" xfId="3" applyFont="1" applyFill="1" applyBorder="1" applyAlignment="1">
      <alignment horizontal="left" wrapText="1"/>
    </xf>
    <xf numFmtId="0" fontId="32" fillId="2" borderId="0" xfId="3" applyFont="1" applyFill="1" applyBorder="1" applyAlignment="1">
      <alignment horizontal="left" vertical="center" wrapText="1"/>
    </xf>
    <xf numFmtId="0" fontId="32" fillId="2" borderId="18" xfId="3" applyFont="1" applyFill="1" applyBorder="1" applyAlignment="1">
      <alignment horizontal="left" vertical="center" wrapText="1"/>
    </xf>
    <xf numFmtId="0" fontId="12" fillId="2" borderId="0" xfId="27" applyFont="1" applyFill="1" applyAlignment="1">
      <alignment horizontal="left" vertical="center" wrapText="1"/>
    </xf>
    <xf numFmtId="43" fontId="14" fillId="3" borderId="208" xfId="29" applyFont="1" applyFill="1" applyBorder="1" applyAlignment="1">
      <alignment horizontal="center"/>
    </xf>
    <xf numFmtId="43" fontId="14" fillId="3" borderId="209" xfId="29" applyFont="1" applyFill="1" applyBorder="1" applyAlignment="1">
      <alignment horizontal="center"/>
    </xf>
    <xf numFmtId="0" fontId="32" fillId="2" borderId="18" xfId="9" applyFont="1" applyFill="1" applyBorder="1" applyAlignment="1">
      <alignment horizontal="left" vertical="center" wrapText="1"/>
    </xf>
    <xf numFmtId="0" fontId="4" fillId="2" borderId="0" xfId="28" applyFont="1" applyFill="1" applyBorder="1" applyAlignment="1">
      <alignment horizontal="left" vertical="center" wrapText="1"/>
    </xf>
    <xf numFmtId="0" fontId="12" fillId="2" borderId="0" xfId="28" applyFont="1" applyFill="1" applyBorder="1" applyAlignment="1">
      <alignment horizontal="left" vertical="center" wrapText="1"/>
    </xf>
    <xf numFmtId="0" fontId="8" fillId="3" borderId="210" xfId="28" applyFont="1" applyFill="1" applyBorder="1" applyAlignment="1">
      <alignment horizontal="center" vertical="center" wrapText="1"/>
    </xf>
    <xf numFmtId="0" fontId="8" fillId="3" borderId="64" xfId="28" applyFont="1" applyFill="1" applyBorder="1" applyAlignment="1">
      <alignment horizontal="center" vertical="center" wrapText="1"/>
    </xf>
    <xf numFmtId="0" fontId="8" fillId="3" borderId="211" xfId="28" applyFont="1" applyFill="1" applyBorder="1" applyAlignment="1">
      <alignment horizontal="center" vertical="center" wrapText="1"/>
    </xf>
    <xf numFmtId="0" fontId="8" fillId="3" borderId="212" xfId="28" applyFont="1" applyFill="1" applyBorder="1" applyAlignment="1">
      <alignment horizontal="center" vertical="center" wrapText="1"/>
    </xf>
    <xf numFmtId="3" fontId="64" fillId="0" borderId="18" xfId="19" applyNumberFormat="1" applyFont="1" applyFill="1" applyBorder="1" applyAlignment="1">
      <alignment horizontal="center"/>
    </xf>
    <xf numFmtId="0" fontId="8" fillId="3" borderId="229" xfId="19" quotePrefix="1" applyFont="1" applyFill="1" applyBorder="1" applyAlignment="1">
      <alignment horizontal="center" vertical="top" wrapText="1"/>
    </xf>
    <xf numFmtId="0" fontId="8" fillId="3" borderId="214" xfId="19" applyFont="1" applyFill="1" applyBorder="1" applyAlignment="1">
      <alignment horizontal="center" vertical="top" wrapText="1"/>
    </xf>
    <xf numFmtId="0" fontId="8" fillId="3" borderId="215" xfId="19" applyFont="1" applyFill="1" applyBorder="1" applyAlignment="1">
      <alignment horizontal="center" vertical="top" wrapText="1"/>
    </xf>
    <xf numFmtId="0" fontId="8" fillId="3" borderId="213" xfId="19" applyFont="1" applyFill="1" applyBorder="1" applyAlignment="1">
      <alignment horizontal="center" vertical="top" wrapText="1"/>
    </xf>
    <xf numFmtId="0" fontId="8" fillId="2" borderId="0" xfId="31" applyFont="1" applyFill="1" applyBorder="1" applyAlignment="1">
      <alignment horizontal="left" vertical="center" wrapText="1"/>
    </xf>
    <xf numFmtId="0" fontId="8" fillId="2" borderId="0" xfId="12" applyFont="1" applyFill="1" applyAlignment="1">
      <alignment horizontal="left" vertical="center"/>
    </xf>
    <xf numFmtId="0" fontId="4" fillId="2" borderId="165" xfId="0" applyFont="1" applyFill="1" applyBorder="1" applyAlignment="1" applyProtection="1">
      <alignment horizontal="left" vertical="center" wrapText="1"/>
    </xf>
    <xf numFmtId="0" fontId="8" fillId="3" borderId="114" xfId="14" applyFont="1" applyFill="1" applyBorder="1" applyAlignment="1">
      <alignment horizontal="center"/>
    </xf>
    <xf numFmtId="0" fontId="8" fillId="3" borderId="116" xfId="14" applyFont="1" applyFill="1" applyBorder="1" applyAlignment="1">
      <alignment horizontal="center"/>
    </xf>
    <xf numFmtId="0" fontId="17" fillId="3" borderId="114" xfId="14" applyFont="1" applyFill="1" applyBorder="1" applyAlignment="1">
      <alignment horizontal="center"/>
    </xf>
    <xf numFmtId="0" fontId="17" fillId="3" borderId="115" xfId="14" applyFont="1" applyFill="1" applyBorder="1" applyAlignment="1">
      <alignment horizontal="center"/>
    </xf>
    <xf numFmtId="0" fontId="8" fillId="3" borderId="115" xfId="14" applyFont="1" applyFill="1" applyBorder="1" applyAlignment="1">
      <alignment horizontal="center"/>
    </xf>
    <xf numFmtId="182" fontId="9" fillId="2" borderId="384" xfId="23" applyNumberFormat="1" applyFont="1" applyFill="1" applyBorder="1" applyAlignment="1">
      <alignment horizontal="center" vertical="center"/>
    </xf>
  </cellXfs>
  <cellStyles count="72">
    <cellStyle name="Comma" xfId="1" builtinId="3"/>
    <cellStyle name="Comma 14 2" xfId="24" xr:uid="{00000000-0005-0000-0000-000001000000}"/>
    <cellStyle name="Comma 2" xfId="48" xr:uid="{00000000-0005-0000-0000-000002000000}"/>
    <cellStyle name="Comma 2 2 2 2 2" xfId="45" xr:uid="{00000000-0005-0000-0000-000003000000}"/>
    <cellStyle name="Comma 2 2 2 2 2 2" xfId="32" xr:uid="{00000000-0005-0000-0000-000004000000}"/>
    <cellStyle name="Comma 2 2 2 3" xfId="15" xr:uid="{00000000-0005-0000-0000-000005000000}"/>
    <cellStyle name="Comma 2 3 2" xfId="25" xr:uid="{00000000-0005-0000-0000-000006000000}"/>
    <cellStyle name="Comma 2 3 3 2" xfId="55" xr:uid="{00000000-0005-0000-0000-000007000000}"/>
    <cellStyle name="Comma 2 3 4" xfId="21" xr:uid="{00000000-0005-0000-0000-000008000000}"/>
    <cellStyle name="Comma 2 5" xfId="26" xr:uid="{00000000-0005-0000-0000-000009000000}"/>
    <cellStyle name="Comma 282 2 2" xfId="60" xr:uid="{00000000-0005-0000-0000-00000A000000}"/>
    <cellStyle name="Comma 282 3" xfId="59" xr:uid="{00000000-0005-0000-0000-00000B000000}"/>
    <cellStyle name="Comma 285 2" xfId="18" xr:uid="{00000000-0005-0000-0000-00000C000000}"/>
    <cellStyle name="Comma 3 3 2 2" xfId="54" xr:uid="{00000000-0005-0000-0000-00000D000000}"/>
    <cellStyle name="Comma 3 3 3" xfId="47" xr:uid="{00000000-0005-0000-0000-00000E000000}"/>
    <cellStyle name="Comma 4 2 2 2" xfId="70" xr:uid="{00000000-0005-0000-0000-00000F000000}"/>
    <cellStyle name="Comma 4 3 2" xfId="50" xr:uid="{00000000-0005-0000-0000-000010000000}"/>
    <cellStyle name="Comma 5" xfId="56" xr:uid="{00000000-0005-0000-0000-000011000000}"/>
    <cellStyle name="Comma 5 2" xfId="33" xr:uid="{00000000-0005-0000-0000-000012000000}"/>
    <cellStyle name="Comma 6" xfId="20" xr:uid="{00000000-0005-0000-0000-000013000000}"/>
    <cellStyle name="Comma 7" xfId="29" xr:uid="{00000000-0005-0000-0000-000014000000}"/>
    <cellStyle name="Comma_Table 1 2" xfId="58" xr:uid="{00000000-0005-0000-0000-000015000000}"/>
    <cellStyle name="Comma_Table 41a-41b" xfId="23" xr:uid="{00000000-0005-0000-0000-000016000000}"/>
    <cellStyle name="Hyperlink" xfId="57" builtinId="8"/>
    <cellStyle name="Hyperlink 2" xfId="38" xr:uid="{00000000-0005-0000-0000-000018000000}"/>
    <cellStyle name="Normal" xfId="0" builtinId="0"/>
    <cellStyle name="Normal 10" xfId="40" xr:uid="{00000000-0005-0000-0000-00001A000000}"/>
    <cellStyle name="Normal 10 10 6 3" xfId="3" xr:uid="{00000000-0005-0000-0000-00001B000000}"/>
    <cellStyle name="Normal 10 10 8 2 2 2 5 2" xfId="6" xr:uid="{00000000-0005-0000-0000-00001C000000}"/>
    <cellStyle name="Normal 10 10 8 3 2 5 2" xfId="4" xr:uid="{00000000-0005-0000-0000-00001D000000}"/>
    <cellStyle name="Normal 139 2" xfId="22" xr:uid="{00000000-0005-0000-0000-00001E000000}"/>
    <cellStyle name="Normal 143 2" xfId="14" xr:uid="{00000000-0005-0000-0000-00001F000000}"/>
    <cellStyle name="Normal 144 2 2" xfId="9" xr:uid="{00000000-0005-0000-0000-000020000000}"/>
    <cellStyle name="Normal 145" xfId="53" xr:uid="{00000000-0005-0000-0000-000021000000}"/>
    <cellStyle name="Normal 146 3" xfId="17" xr:uid="{00000000-0005-0000-0000-000022000000}"/>
    <cellStyle name="Normal 2 10 2" xfId="19" xr:uid="{00000000-0005-0000-0000-000023000000}"/>
    <cellStyle name="Normal 2 2 2" xfId="37" xr:uid="{00000000-0005-0000-0000-000024000000}"/>
    <cellStyle name="Normal 2 2 3 2" xfId="5" xr:uid="{00000000-0005-0000-0000-000025000000}"/>
    <cellStyle name="Normal 2 3 2 2" xfId="36" xr:uid="{00000000-0005-0000-0000-000026000000}"/>
    <cellStyle name="Normal 2 3 3 2" xfId="8" xr:uid="{00000000-0005-0000-0000-000027000000}"/>
    <cellStyle name="Normal 3" xfId="63" xr:uid="{00000000-0005-0000-0000-000028000000}"/>
    <cellStyle name="Normal 3 10" xfId="11" xr:uid="{00000000-0005-0000-0000-000029000000}"/>
    <cellStyle name="Normal 3 2 2 2" xfId="31" xr:uid="{00000000-0005-0000-0000-00002A000000}"/>
    <cellStyle name="Normal 4" xfId="34" xr:uid="{00000000-0005-0000-0000-00002B000000}"/>
    <cellStyle name="Normal 4 2 2" xfId="30" xr:uid="{00000000-0005-0000-0000-00002C000000}"/>
    <cellStyle name="Normal 5" xfId="27" xr:uid="{00000000-0005-0000-0000-00002D000000}"/>
    <cellStyle name="Normal 5 10 2" xfId="12" xr:uid="{00000000-0005-0000-0000-00002E000000}"/>
    <cellStyle name="Normal 5 12" xfId="2" xr:uid="{00000000-0005-0000-0000-00002F000000}"/>
    <cellStyle name="Normal 5 2" xfId="49" xr:uid="{00000000-0005-0000-0000-000030000000}"/>
    <cellStyle name="Normal 5 3" xfId="52" xr:uid="{00000000-0005-0000-0000-000031000000}"/>
    <cellStyle name="Normal 6" xfId="28" xr:uid="{00000000-0005-0000-0000-000032000000}"/>
    <cellStyle name="Normal 6 2" xfId="51" xr:uid="{00000000-0005-0000-0000-000033000000}"/>
    <cellStyle name="Normal 7" xfId="65" xr:uid="{00000000-0005-0000-0000-000034000000}"/>
    <cellStyle name="Normal 90" xfId="46" xr:uid="{00000000-0005-0000-0000-000035000000}"/>
    <cellStyle name="Normal_CGDD-Jan-09" xfId="62" xr:uid="{00000000-0005-0000-0000-000036000000}"/>
    <cellStyle name="Normal_GF98.xlw" xfId="61" xr:uid="{00000000-0005-0000-0000-000037000000}"/>
    <cellStyle name="Normal_ODCS" xfId="67" xr:uid="{00000000-0005-0000-0000-000038000000}"/>
    <cellStyle name="Normal_Quarterly BOP 2001" xfId="35" xr:uid="{00000000-0005-0000-0000-000039000000}"/>
    <cellStyle name="Normal_RHABMCPC010731" xfId="69" xr:uid="{00000000-0005-0000-0000-00003A000000}"/>
    <cellStyle name="Normal_Sheet1" xfId="64" xr:uid="{00000000-0005-0000-0000-00003B000000}"/>
    <cellStyle name="Normal_TAB2.11" xfId="43" xr:uid="{00000000-0005-0000-0000-00003C000000}"/>
    <cellStyle name="Normal_Tab2.3" xfId="42" xr:uid="{00000000-0005-0000-0000-00003D000000}"/>
    <cellStyle name="Normal_Table 1 2" xfId="7" xr:uid="{00000000-0005-0000-0000-00003E000000}"/>
    <cellStyle name="Normal_Table 20-21" xfId="44" xr:uid="{00000000-0005-0000-0000-00003F000000}"/>
    <cellStyle name="Normal_Table 25f 2 2" xfId="68" xr:uid="{00000000-0005-0000-0000-000040000000}"/>
    <cellStyle name="Normal_Table 25f 3" xfId="66" xr:uid="{00000000-0005-0000-0000-000041000000}"/>
    <cellStyle name="Normal_Table 30" xfId="71" xr:uid="{00000000-0005-0000-0000-000042000000}"/>
    <cellStyle name="Normal_Template" xfId="13" xr:uid="{00000000-0005-0000-0000-000043000000}"/>
    <cellStyle name="Percent" xfId="16" builtinId="5"/>
    <cellStyle name="Percent 10" xfId="41" xr:uid="{00000000-0005-0000-0000-000045000000}"/>
    <cellStyle name="Percent 2 2 2" xfId="39" xr:uid="{00000000-0005-0000-0000-000046000000}"/>
    <cellStyle name="Percent 2 3" xfId="10" xr:uid="{00000000-0005-0000-0000-00004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xdr:from>
      <xdr:col>0</xdr:col>
      <xdr:colOff>66674</xdr:colOff>
      <xdr:row>38</xdr:row>
      <xdr:rowOff>66675</xdr:rowOff>
    </xdr:from>
    <xdr:to>
      <xdr:col>0</xdr:col>
      <xdr:colOff>1371600</xdr:colOff>
      <xdr:row>40</xdr:row>
      <xdr:rowOff>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4519D6D-3526-49C2-AD2D-A2929B2C78EE}"/>
            </a:ext>
          </a:extLst>
        </xdr:cNvPr>
        <xdr:cNvSpPr/>
      </xdr:nvSpPr>
      <xdr:spPr>
        <a:xfrm>
          <a:off x="66674" y="12439650"/>
          <a:ext cx="1304926" cy="4381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66674</xdr:colOff>
      <xdr:row>38</xdr:row>
      <xdr:rowOff>66675</xdr:rowOff>
    </xdr:from>
    <xdr:to>
      <xdr:col>0</xdr:col>
      <xdr:colOff>1371600</xdr:colOff>
      <xdr:row>40</xdr:row>
      <xdr:rowOff>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AC844612-1BF8-4150-B7D3-DD4E7F387C10}"/>
            </a:ext>
          </a:extLst>
        </xdr:cNvPr>
        <xdr:cNvSpPr/>
      </xdr:nvSpPr>
      <xdr:spPr>
        <a:xfrm>
          <a:off x="66674" y="12439650"/>
          <a:ext cx="1304926" cy="4381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56</xdr:row>
      <xdr:rowOff>0</xdr:rowOff>
    </xdr:from>
    <xdr:to>
      <xdr:col>1</xdr:col>
      <xdr:colOff>828676</xdr:colOff>
      <xdr:row>57</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142400E-878D-4C95-B05B-24D2D264670A}"/>
            </a:ext>
          </a:extLst>
        </xdr:cNvPr>
        <xdr:cNvSpPr/>
      </xdr:nvSpPr>
      <xdr:spPr>
        <a:xfrm>
          <a:off x="0" y="1280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828676</xdr:colOff>
      <xdr:row>57</xdr:row>
      <xdr:rowOff>180975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16DD425A-AD2F-406A-A8B7-941A91F72919}"/>
            </a:ext>
          </a:extLst>
        </xdr:cNvPr>
        <xdr:cNvSpPr/>
      </xdr:nvSpPr>
      <xdr:spPr>
        <a:xfrm>
          <a:off x="0" y="1280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828676</xdr:colOff>
      <xdr:row>57</xdr:row>
      <xdr:rowOff>180975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2D8C81EF-6BCB-48A0-949A-3FB3624EEC92}"/>
            </a:ext>
          </a:extLst>
        </xdr:cNvPr>
        <xdr:cNvSpPr/>
      </xdr:nvSpPr>
      <xdr:spPr>
        <a:xfrm>
          <a:off x="0" y="1280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828676</xdr:colOff>
      <xdr:row>57</xdr:row>
      <xdr:rowOff>180975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B85555F9-F018-471F-A39F-0F7FC67979CF}"/>
            </a:ext>
          </a:extLst>
        </xdr:cNvPr>
        <xdr:cNvSpPr/>
      </xdr:nvSpPr>
      <xdr:spPr>
        <a:xfrm>
          <a:off x="0" y="1280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828676</xdr:colOff>
      <xdr:row>57</xdr:row>
      <xdr:rowOff>180975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A59892A5-7E0A-48B9-A9DC-4CE7FBF56A5A}"/>
            </a:ext>
          </a:extLst>
        </xdr:cNvPr>
        <xdr:cNvSpPr/>
      </xdr:nvSpPr>
      <xdr:spPr>
        <a:xfrm>
          <a:off x="0" y="1280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828676</xdr:colOff>
      <xdr:row>57</xdr:row>
      <xdr:rowOff>180975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35F389F0-C21E-47BB-9120-404D8F16E555}"/>
            </a:ext>
          </a:extLst>
        </xdr:cNvPr>
        <xdr:cNvSpPr/>
      </xdr:nvSpPr>
      <xdr:spPr>
        <a:xfrm>
          <a:off x="0" y="1280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57</xdr:row>
      <xdr:rowOff>0</xdr:rowOff>
    </xdr:from>
    <xdr:to>
      <xdr:col>1</xdr:col>
      <xdr:colOff>828676</xdr:colOff>
      <xdr:row>58</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9BDCD12-4E73-462A-8C32-1A8C2A2ACD3C}"/>
            </a:ext>
          </a:extLst>
        </xdr:cNvPr>
        <xdr:cNvSpPr/>
      </xdr:nvSpPr>
      <xdr:spPr>
        <a:xfrm>
          <a:off x="0" y="12658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828676</xdr:colOff>
      <xdr:row>58</xdr:row>
      <xdr:rowOff>180975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FB199F6B-3759-463C-8DB4-03849482D07F}"/>
            </a:ext>
          </a:extLst>
        </xdr:cNvPr>
        <xdr:cNvSpPr/>
      </xdr:nvSpPr>
      <xdr:spPr>
        <a:xfrm>
          <a:off x="0" y="12658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828676</xdr:colOff>
      <xdr:row>58</xdr:row>
      <xdr:rowOff>180975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9FE64F6C-2FAF-4C21-82DF-2CD46F641313}"/>
            </a:ext>
          </a:extLst>
        </xdr:cNvPr>
        <xdr:cNvSpPr/>
      </xdr:nvSpPr>
      <xdr:spPr>
        <a:xfrm>
          <a:off x="0" y="12658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828676</xdr:colOff>
      <xdr:row>58</xdr:row>
      <xdr:rowOff>180975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89B1378-B6C7-42A0-9DCA-59F16EED3196}"/>
            </a:ext>
          </a:extLst>
        </xdr:cNvPr>
        <xdr:cNvSpPr/>
      </xdr:nvSpPr>
      <xdr:spPr>
        <a:xfrm>
          <a:off x="0" y="12658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828676</xdr:colOff>
      <xdr:row>58</xdr:row>
      <xdr:rowOff>180975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987EF390-728A-46D5-BD11-D22856346EB7}"/>
            </a:ext>
          </a:extLst>
        </xdr:cNvPr>
        <xdr:cNvSpPr/>
      </xdr:nvSpPr>
      <xdr:spPr>
        <a:xfrm>
          <a:off x="0" y="12658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828676</xdr:colOff>
      <xdr:row>58</xdr:row>
      <xdr:rowOff>180975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CD1E63A4-221C-4615-B962-68D28B14CC6E}"/>
            </a:ext>
          </a:extLst>
        </xdr:cNvPr>
        <xdr:cNvSpPr/>
      </xdr:nvSpPr>
      <xdr:spPr>
        <a:xfrm>
          <a:off x="0" y="12658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828676</xdr:colOff>
      <xdr:row>58</xdr:row>
      <xdr:rowOff>180975</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704BED6F-4087-4E2D-8503-273731A05CFF}"/>
            </a:ext>
          </a:extLst>
        </xdr:cNvPr>
        <xdr:cNvSpPr/>
      </xdr:nvSpPr>
      <xdr:spPr>
        <a:xfrm>
          <a:off x="0" y="12658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828676</xdr:colOff>
      <xdr:row>58</xdr:row>
      <xdr:rowOff>180975</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7FB64F9A-1B2D-46DB-A78F-E5D66EE88264}"/>
            </a:ext>
          </a:extLst>
        </xdr:cNvPr>
        <xdr:cNvSpPr/>
      </xdr:nvSpPr>
      <xdr:spPr>
        <a:xfrm>
          <a:off x="0" y="12658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828676</xdr:colOff>
      <xdr:row>58</xdr:row>
      <xdr:rowOff>180975</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20A405D9-50BD-41A2-B09E-A63415DA31FE}"/>
            </a:ext>
          </a:extLst>
        </xdr:cNvPr>
        <xdr:cNvSpPr/>
      </xdr:nvSpPr>
      <xdr:spPr>
        <a:xfrm>
          <a:off x="0" y="12658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828676</xdr:colOff>
      <xdr:row>58</xdr:row>
      <xdr:rowOff>180975</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F43072C8-4F4A-46C7-82EF-582D3FB20D31}"/>
            </a:ext>
          </a:extLst>
        </xdr:cNvPr>
        <xdr:cNvSpPr/>
      </xdr:nvSpPr>
      <xdr:spPr>
        <a:xfrm>
          <a:off x="0" y="12658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828676</xdr:colOff>
      <xdr:row>58</xdr:row>
      <xdr:rowOff>180975</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DA2A9CE1-BC13-43DE-853A-FE320C2F772C}"/>
            </a:ext>
          </a:extLst>
        </xdr:cNvPr>
        <xdr:cNvSpPr/>
      </xdr:nvSpPr>
      <xdr:spPr>
        <a:xfrm>
          <a:off x="0" y="12658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57</xdr:row>
      <xdr:rowOff>0</xdr:rowOff>
    </xdr:from>
    <xdr:to>
      <xdr:col>1</xdr:col>
      <xdr:colOff>828676</xdr:colOff>
      <xdr:row>58</xdr:row>
      <xdr:rowOff>180975</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20649D19-F053-4638-9C25-B97593AEE1A1}"/>
            </a:ext>
          </a:extLst>
        </xdr:cNvPr>
        <xdr:cNvSpPr/>
      </xdr:nvSpPr>
      <xdr:spPr>
        <a:xfrm>
          <a:off x="0" y="12658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49</xdr:row>
      <xdr:rowOff>42332</xdr:rowOff>
    </xdr:from>
    <xdr:to>
      <xdr:col>0</xdr:col>
      <xdr:colOff>1304926</xdr:colOff>
      <xdr:row>51</xdr:row>
      <xdr:rowOff>61382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CB62C44-12E4-4840-BDC1-4AA54B5FB5C8}"/>
            </a:ext>
          </a:extLst>
        </xdr:cNvPr>
        <xdr:cNvSpPr/>
      </xdr:nvSpPr>
      <xdr:spPr>
        <a:xfrm>
          <a:off x="0" y="11491382"/>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49</xdr:row>
      <xdr:rowOff>42332</xdr:rowOff>
    </xdr:from>
    <xdr:to>
      <xdr:col>0</xdr:col>
      <xdr:colOff>1304926</xdr:colOff>
      <xdr:row>51</xdr:row>
      <xdr:rowOff>61382</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D3734072-C2B6-455D-BA76-70407A751930}"/>
            </a:ext>
          </a:extLst>
        </xdr:cNvPr>
        <xdr:cNvSpPr/>
      </xdr:nvSpPr>
      <xdr:spPr>
        <a:xfrm>
          <a:off x="0" y="11491382"/>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49</xdr:row>
      <xdr:rowOff>42332</xdr:rowOff>
    </xdr:from>
    <xdr:to>
      <xdr:col>0</xdr:col>
      <xdr:colOff>1304926</xdr:colOff>
      <xdr:row>51</xdr:row>
      <xdr:rowOff>61382</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B89587D8-012B-4E63-96C1-CE97292A374C}"/>
            </a:ext>
          </a:extLst>
        </xdr:cNvPr>
        <xdr:cNvSpPr/>
      </xdr:nvSpPr>
      <xdr:spPr>
        <a:xfrm>
          <a:off x="0" y="11491382"/>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49</xdr:row>
      <xdr:rowOff>42332</xdr:rowOff>
    </xdr:from>
    <xdr:to>
      <xdr:col>0</xdr:col>
      <xdr:colOff>1304926</xdr:colOff>
      <xdr:row>51</xdr:row>
      <xdr:rowOff>61382</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5FEFA029-3810-46D1-A2E3-949366CA0D22}"/>
            </a:ext>
          </a:extLst>
        </xdr:cNvPr>
        <xdr:cNvSpPr/>
      </xdr:nvSpPr>
      <xdr:spPr>
        <a:xfrm>
          <a:off x="0" y="11491382"/>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42</xdr:row>
      <xdr:rowOff>0</xdr:rowOff>
    </xdr:from>
    <xdr:to>
      <xdr:col>0</xdr:col>
      <xdr:colOff>1304926</xdr:colOff>
      <xdr:row>44</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F6AE26A-BC25-44DA-B9ED-DC01F1CAAE15}"/>
            </a:ext>
          </a:extLst>
        </xdr:cNvPr>
        <xdr:cNvSpPr/>
      </xdr:nvSpPr>
      <xdr:spPr>
        <a:xfrm>
          <a:off x="0" y="10410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42</xdr:row>
      <xdr:rowOff>0</xdr:rowOff>
    </xdr:from>
    <xdr:to>
      <xdr:col>0</xdr:col>
      <xdr:colOff>1304926</xdr:colOff>
      <xdr:row>44</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CDE2039E-2FF3-4E4F-AA6A-F7490E040DC8}"/>
            </a:ext>
          </a:extLst>
        </xdr:cNvPr>
        <xdr:cNvSpPr/>
      </xdr:nvSpPr>
      <xdr:spPr>
        <a:xfrm>
          <a:off x="0" y="10410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42</xdr:row>
      <xdr:rowOff>0</xdr:rowOff>
    </xdr:from>
    <xdr:to>
      <xdr:col>0</xdr:col>
      <xdr:colOff>1304926</xdr:colOff>
      <xdr:row>44</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52DECD8-AEC5-4259-8302-08C87CB69129}"/>
            </a:ext>
          </a:extLst>
        </xdr:cNvPr>
        <xdr:cNvSpPr/>
      </xdr:nvSpPr>
      <xdr:spPr>
        <a:xfrm>
          <a:off x="0" y="10410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42</xdr:row>
      <xdr:rowOff>0</xdr:rowOff>
    </xdr:from>
    <xdr:to>
      <xdr:col>0</xdr:col>
      <xdr:colOff>1304926</xdr:colOff>
      <xdr:row>44</xdr:row>
      <xdr:rowOff>38100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DCBB68A2-6DF2-4A2C-BA24-C1F1D5D8647E}"/>
            </a:ext>
          </a:extLst>
        </xdr:cNvPr>
        <xdr:cNvSpPr/>
      </xdr:nvSpPr>
      <xdr:spPr>
        <a:xfrm>
          <a:off x="0" y="10410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42</xdr:row>
      <xdr:rowOff>0</xdr:rowOff>
    </xdr:from>
    <xdr:to>
      <xdr:col>0</xdr:col>
      <xdr:colOff>1304926</xdr:colOff>
      <xdr:row>44</xdr:row>
      <xdr:rowOff>38100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4C9F160B-01B1-4E31-A7A9-CFF1EC8F7D04}"/>
            </a:ext>
          </a:extLst>
        </xdr:cNvPr>
        <xdr:cNvSpPr/>
      </xdr:nvSpPr>
      <xdr:spPr>
        <a:xfrm>
          <a:off x="0" y="10410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42</xdr:row>
      <xdr:rowOff>0</xdr:rowOff>
    </xdr:from>
    <xdr:to>
      <xdr:col>0</xdr:col>
      <xdr:colOff>1304926</xdr:colOff>
      <xdr:row>44</xdr:row>
      <xdr:rowOff>38100</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3484020D-E786-4975-92E7-CF77AD44AC10}"/>
            </a:ext>
          </a:extLst>
        </xdr:cNvPr>
        <xdr:cNvSpPr/>
      </xdr:nvSpPr>
      <xdr:spPr>
        <a:xfrm>
          <a:off x="0" y="10410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42</xdr:row>
      <xdr:rowOff>0</xdr:rowOff>
    </xdr:from>
    <xdr:to>
      <xdr:col>0</xdr:col>
      <xdr:colOff>1304926</xdr:colOff>
      <xdr:row>44</xdr:row>
      <xdr:rowOff>38100</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4A866C3A-0481-4520-BFA6-1B69142A1644}"/>
            </a:ext>
          </a:extLst>
        </xdr:cNvPr>
        <xdr:cNvSpPr/>
      </xdr:nvSpPr>
      <xdr:spPr>
        <a:xfrm>
          <a:off x="0" y="10410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42</xdr:row>
      <xdr:rowOff>0</xdr:rowOff>
    </xdr:from>
    <xdr:to>
      <xdr:col>0</xdr:col>
      <xdr:colOff>1304926</xdr:colOff>
      <xdr:row>44</xdr:row>
      <xdr:rowOff>38100</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FC42C6E6-9AFE-4CC4-80DF-B22F90308C24}"/>
            </a:ext>
          </a:extLst>
        </xdr:cNvPr>
        <xdr:cNvSpPr/>
      </xdr:nvSpPr>
      <xdr:spPr>
        <a:xfrm>
          <a:off x="0" y="104108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50</xdr:row>
      <xdr:rowOff>0</xdr:rowOff>
    </xdr:from>
    <xdr:to>
      <xdr:col>1</xdr:col>
      <xdr:colOff>828676</xdr:colOff>
      <xdr:row>51</xdr:row>
      <xdr:rowOff>174438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3ACC4A9-B36C-481F-AD29-C8CD3E787C75}"/>
            </a:ext>
          </a:extLst>
        </xdr:cNvPr>
        <xdr:cNvSpPr/>
      </xdr:nvSpPr>
      <xdr:spPr>
        <a:xfrm>
          <a:off x="0" y="10906125"/>
          <a:ext cx="1304926" cy="39351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49</xdr:row>
      <xdr:rowOff>0</xdr:rowOff>
    </xdr:from>
    <xdr:to>
      <xdr:col>1</xdr:col>
      <xdr:colOff>828676</xdr:colOff>
      <xdr:row>50</xdr:row>
      <xdr:rowOff>177613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65F7E5E-2C1E-4497-AC80-3A435AC84E0E}"/>
            </a:ext>
          </a:extLst>
        </xdr:cNvPr>
        <xdr:cNvSpPr/>
      </xdr:nvSpPr>
      <xdr:spPr>
        <a:xfrm>
          <a:off x="0" y="10715625"/>
          <a:ext cx="1304926" cy="3966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38</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2FBB9A0-B6B4-437B-80B7-8F132D73AC41}"/>
            </a:ext>
          </a:extLst>
        </xdr:cNvPr>
        <xdr:cNvSpPr/>
      </xdr:nvSpPr>
      <xdr:spPr>
        <a:xfrm>
          <a:off x="0" y="899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38</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1D93CF93-3990-410C-9A24-8084BAD7EB2B}"/>
            </a:ext>
          </a:extLst>
        </xdr:cNvPr>
        <xdr:cNvSpPr/>
      </xdr:nvSpPr>
      <xdr:spPr>
        <a:xfrm>
          <a:off x="0" y="899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38</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EEEA7E96-A1E7-4245-8C07-46B2D5A99CB1}"/>
            </a:ext>
          </a:extLst>
        </xdr:cNvPr>
        <xdr:cNvSpPr/>
      </xdr:nvSpPr>
      <xdr:spPr>
        <a:xfrm>
          <a:off x="0" y="899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38</xdr:row>
      <xdr:rowOff>38100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69A21C34-56CE-4AAC-A493-338654157B34}"/>
            </a:ext>
          </a:extLst>
        </xdr:cNvPr>
        <xdr:cNvSpPr/>
      </xdr:nvSpPr>
      <xdr:spPr>
        <a:xfrm>
          <a:off x="0" y="899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38</xdr:row>
      <xdr:rowOff>38100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1A6BE041-B55F-4047-90A9-AE020A07A29A}"/>
            </a:ext>
          </a:extLst>
        </xdr:cNvPr>
        <xdr:cNvSpPr/>
      </xdr:nvSpPr>
      <xdr:spPr>
        <a:xfrm>
          <a:off x="0" y="899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38</xdr:row>
      <xdr:rowOff>38100</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F4E76BEE-5B05-4D93-A8D7-DBB24E67D3C7}"/>
            </a:ext>
          </a:extLst>
        </xdr:cNvPr>
        <xdr:cNvSpPr/>
      </xdr:nvSpPr>
      <xdr:spPr>
        <a:xfrm>
          <a:off x="0" y="899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38</xdr:row>
      <xdr:rowOff>38100</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A628CAFC-2B5B-4BA9-B782-B5F4E7F26B28}"/>
            </a:ext>
          </a:extLst>
        </xdr:cNvPr>
        <xdr:cNvSpPr/>
      </xdr:nvSpPr>
      <xdr:spPr>
        <a:xfrm>
          <a:off x="0" y="899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38</xdr:row>
      <xdr:rowOff>38100</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851E937A-93AC-41E0-B0F2-4CE54A9E7A72}"/>
            </a:ext>
          </a:extLst>
        </xdr:cNvPr>
        <xdr:cNvSpPr/>
      </xdr:nvSpPr>
      <xdr:spPr>
        <a:xfrm>
          <a:off x="0" y="899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38</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029D08A-91F3-4FB2-8548-FB6DB592C0FA}"/>
            </a:ext>
          </a:extLst>
        </xdr:cNvPr>
        <xdr:cNvSpPr/>
      </xdr:nvSpPr>
      <xdr:spPr>
        <a:xfrm>
          <a:off x="0" y="89344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38</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47B5E131-1992-463D-8797-C6B4D8E3378D}"/>
            </a:ext>
          </a:extLst>
        </xdr:cNvPr>
        <xdr:cNvSpPr/>
      </xdr:nvSpPr>
      <xdr:spPr>
        <a:xfrm>
          <a:off x="0" y="89344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38</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BDCC4412-EAF3-4230-810D-458300AE618A}"/>
            </a:ext>
          </a:extLst>
        </xdr:cNvPr>
        <xdr:cNvSpPr/>
      </xdr:nvSpPr>
      <xdr:spPr>
        <a:xfrm>
          <a:off x="0" y="89344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38</xdr:row>
      <xdr:rowOff>38100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1C86C22B-951E-4F9C-9666-63CB95313E10}"/>
            </a:ext>
          </a:extLst>
        </xdr:cNvPr>
        <xdr:cNvSpPr/>
      </xdr:nvSpPr>
      <xdr:spPr>
        <a:xfrm>
          <a:off x="0" y="89344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38</xdr:row>
      <xdr:rowOff>38100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6BA2286F-0B81-4804-AAC9-FB555C51BFE9}"/>
            </a:ext>
          </a:extLst>
        </xdr:cNvPr>
        <xdr:cNvSpPr/>
      </xdr:nvSpPr>
      <xdr:spPr>
        <a:xfrm>
          <a:off x="0" y="89344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38</xdr:row>
      <xdr:rowOff>38100</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1A141BFD-F57B-489B-A3C0-883E029ECA5C}"/>
            </a:ext>
          </a:extLst>
        </xdr:cNvPr>
        <xdr:cNvSpPr/>
      </xdr:nvSpPr>
      <xdr:spPr>
        <a:xfrm>
          <a:off x="0" y="89344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38</xdr:row>
      <xdr:rowOff>38100</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74C1F3CD-06A8-4C66-9C47-82FA5F7021ED}"/>
            </a:ext>
          </a:extLst>
        </xdr:cNvPr>
        <xdr:cNvSpPr/>
      </xdr:nvSpPr>
      <xdr:spPr>
        <a:xfrm>
          <a:off x="0" y="89344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38</xdr:row>
      <xdr:rowOff>38100</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0DC32305-CD96-4505-9CF5-4B40529AC469}"/>
            </a:ext>
          </a:extLst>
        </xdr:cNvPr>
        <xdr:cNvSpPr/>
      </xdr:nvSpPr>
      <xdr:spPr>
        <a:xfrm>
          <a:off x="0" y="89344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64</xdr:row>
      <xdr:rowOff>19050</xdr:rowOff>
    </xdr:from>
    <xdr:to>
      <xdr:col>0</xdr:col>
      <xdr:colOff>1304926</xdr:colOff>
      <xdr:row>66</xdr:row>
      <xdr:rowOff>61912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07AB970-D3C6-473F-8997-116B64CCE29D}"/>
            </a:ext>
          </a:extLst>
        </xdr:cNvPr>
        <xdr:cNvSpPr/>
      </xdr:nvSpPr>
      <xdr:spPr>
        <a:xfrm>
          <a:off x="0" y="137445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FD48238A-7C9D-4262-8573-FA49032454F9}"/>
            </a:ext>
          </a:extLst>
        </xdr:cNvPr>
        <xdr:cNvSpPr/>
      </xdr:nvSpPr>
      <xdr:spPr>
        <a:xfrm>
          <a:off x="0" y="137445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E531764D-38D7-4D0D-9428-49CC586BB2B5}"/>
            </a:ext>
          </a:extLst>
        </xdr:cNvPr>
        <xdr:cNvSpPr/>
      </xdr:nvSpPr>
      <xdr:spPr>
        <a:xfrm>
          <a:off x="0" y="137445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7DE02F4D-87B7-4CFE-8FE0-E3177D04E270}"/>
            </a:ext>
          </a:extLst>
        </xdr:cNvPr>
        <xdr:cNvSpPr/>
      </xdr:nvSpPr>
      <xdr:spPr>
        <a:xfrm>
          <a:off x="0" y="137445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1BA864E4-CEF5-42EB-9B1B-3B0EE60F4458}"/>
            </a:ext>
          </a:extLst>
        </xdr:cNvPr>
        <xdr:cNvSpPr/>
      </xdr:nvSpPr>
      <xdr:spPr>
        <a:xfrm>
          <a:off x="0" y="137445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95634A2B-B9CA-4DAA-B9F2-24B5EEB8FBE2}"/>
            </a:ext>
          </a:extLst>
        </xdr:cNvPr>
        <xdr:cNvSpPr/>
      </xdr:nvSpPr>
      <xdr:spPr>
        <a:xfrm>
          <a:off x="0" y="137445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046CAB9-E670-4CA1-AAD5-51364C48D570}"/>
            </a:ext>
          </a:extLst>
        </xdr:cNvPr>
        <xdr:cNvSpPr/>
      </xdr:nvSpPr>
      <xdr:spPr>
        <a:xfrm>
          <a:off x="0" y="137445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64</xdr:row>
      <xdr:rowOff>19050</xdr:rowOff>
    </xdr:from>
    <xdr:to>
      <xdr:col>0</xdr:col>
      <xdr:colOff>1304926</xdr:colOff>
      <xdr:row>66</xdr:row>
      <xdr:rowOff>61912</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F4524103-74FC-4AF7-A2AF-D475A5C45687}"/>
            </a:ext>
          </a:extLst>
        </xdr:cNvPr>
        <xdr:cNvSpPr/>
      </xdr:nvSpPr>
      <xdr:spPr>
        <a:xfrm>
          <a:off x="0" y="137445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124</xdr:row>
      <xdr:rowOff>0</xdr:rowOff>
    </xdr:from>
    <xdr:to>
      <xdr:col>0</xdr:col>
      <xdr:colOff>1304926</xdr:colOff>
      <xdr:row>126</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9DB03BE-EDB3-409F-B8F4-953606A878B1}"/>
            </a:ext>
          </a:extLst>
        </xdr:cNvPr>
        <xdr:cNvSpPr/>
      </xdr:nvSpPr>
      <xdr:spPr>
        <a:xfrm>
          <a:off x="0" y="261080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124</xdr:row>
      <xdr:rowOff>0</xdr:rowOff>
    </xdr:from>
    <xdr:to>
      <xdr:col>0</xdr:col>
      <xdr:colOff>1304926</xdr:colOff>
      <xdr:row>126</xdr:row>
      <xdr:rowOff>19050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182C66BB-E805-4F87-99C8-8E4277B1C8DF}"/>
            </a:ext>
          </a:extLst>
        </xdr:cNvPr>
        <xdr:cNvSpPr/>
      </xdr:nvSpPr>
      <xdr:spPr>
        <a:xfrm>
          <a:off x="0" y="261080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124</xdr:row>
      <xdr:rowOff>0</xdr:rowOff>
    </xdr:from>
    <xdr:to>
      <xdr:col>0</xdr:col>
      <xdr:colOff>1304926</xdr:colOff>
      <xdr:row>126</xdr:row>
      <xdr:rowOff>19050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CC5ACDFE-2888-47C0-8126-3639D7622FCF}"/>
            </a:ext>
          </a:extLst>
        </xdr:cNvPr>
        <xdr:cNvSpPr/>
      </xdr:nvSpPr>
      <xdr:spPr>
        <a:xfrm>
          <a:off x="0" y="261080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124</xdr:row>
      <xdr:rowOff>0</xdr:rowOff>
    </xdr:from>
    <xdr:to>
      <xdr:col>0</xdr:col>
      <xdr:colOff>1304926</xdr:colOff>
      <xdr:row>126</xdr:row>
      <xdr:rowOff>19050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B16CACAD-199C-4B67-92E6-E3ABCC10F397}"/>
            </a:ext>
          </a:extLst>
        </xdr:cNvPr>
        <xdr:cNvSpPr/>
      </xdr:nvSpPr>
      <xdr:spPr>
        <a:xfrm>
          <a:off x="0" y="261080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117</xdr:row>
      <xdr:rowOff>171450</xdr:rowOff>
    </xdr:from>
    <xdr:to>
      <xdr:col>0</xdr:col>
      <xdr:colOff>1485901</xdr:colOff>
      <xdr:row>119</xdr:row>
      <xdr:rowOff>152400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1CE4915-BE91-49DF-AA83-8053CE5D280B}"/>
            </a:ext>
          </a:extLst>
        </xdr:cNvPr>
        <xdr:cNvSpPr/>
      </xdr:nvSpPr>
      <xdr:spPr>
        <a:xfrm>
          <a:off x="1" y="17392650"/>
          <a:ext cx="1485900"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123</xdr:row>
      <xdr:rowOff>0</xdr:rowOff>
    </xdr:from>
    <xdr:to>
      <xdr:col>0</xdr:col>
      <xdr:colOff>1304926</xdr:colOff>
      <xdr:row>125</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EDF44D5-9539-4110-B273-D2545FA33F6B}"/>
            </a:ext>
          </a:extLst>
        </xdr:cNvPr>
        <xdr:cNvSpPr/>
      </xdr:nvSpPr>
      <xdr:spPr>
        <a:xfrm>
          <a:off x="0" y="242792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123</xdr:row>
      <xdr:rowOff>0</xdr:rowOff>
    </xdr:from>
    <xdr:to>
      <xdr:col>0</xdr:col>
      <xdr:colOff>1304926</xdr:colOff>
      <xdr:row>125</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CEC957A9-2F5C-47F1-8B85-655139C0CCCC}"/>
            </a:ext>
          </a:extLst>
        </xdr:cNvPr>
        <xdr:cNvSpPr/>
      </xdr:nvSpPr>
      <xdr:spPr>
        <a:xfrm>
          <a:off x="0" y="242792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123</xdr:row>
      <xdr:rowOff>0</xdr:rowOff>
    </xdr:from>
    <xdr:to>
      <xdr:col>0</xdr:col>
      <xdr:colOff>1304926</xdr:colOff>
      <xdr:row>125</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C79F6AD3-8D2C-4094-A9D9-80132527C5F9}"/>
            </a:ext>
          </a:extLst>
        </xdr:cNvPr>
        <xdr:cNvSpPr/>
      </xdr:nvSpPr>
      <xdr:spPr>
        <a:xfrm>
          <a:off x="0" y="242792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123</xdr:row>
      <xdr:rowOff>0</xdr:rowOff>
    </xdr:from>
    <xdr:to>
      <xdr:col>0</xdr:col>
      <xdr:colOff>1304926</xdr:colOff>
      <xdr:row>125</xdr:row>
      <xdr:rowOff>38100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47BB163C-36AE-4EB3-8AAE-761155659E4B}"/>
            </a:ext>
          </a:extLst>
        </xdr:cNvPr>
        <xdr:cNvSpPr/>
      </xdr:nvSpPr>
      <xdr:spPr>
        <a:xfrm>
          <a:off x="0" y="242792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123</xdr:row>
      <xdr:rowOff>0</xdr:rowOff>
    </xdr:from>
    <xdr:to>
      <xdr:col>0</xdr:col>
      <xdr:colOff>1304926</xdr:colOff>
      <xdr:row>125</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3F0FF7D-D6ED-40E6-8250-310AF9D3CD9B}"/>
            </a:ext>
          </a:extLst>
        </xdr:cNvPr>
        <xdr:cNvSpPr/>
      </xdr:nvSpPr>
      <xdr:spPr>
        <a:xfrm>
          <a:off x="0" y="24307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123</xdr:row>
      <xdr:rowOff>0</xdr:rowOff>
    </xdr:from>
    <xdr:to>
      <xdr:col>0</xdr:col>
      <xdr:colOff>1304926</xdr:colOff>
      <xdr:row>125</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F140FEA0-8D0C-4A4A-8DF4-2B192BC5AB67}"/>
            </a:ext>
          </a:extLst>
        </xdr:cNvPr>
        <xdr:cNvSpPr/>
      </xdr:nvSpPr>
      <xdr:spPr>
        <a:xfrm>
          <a:off x="0" y="24307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123</xdr:row>
      <xdr:rowOff>0</xdr:rowOff>
    </xdr:from>
    <xdr:to>
      <xdr:col>0</xdr:col>
      <xdr:colOff>1304926</xdr:colOff>
      <xdr:row>125</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8A854CEC-2146-44F1-AB8C-555B106F501C}"/>
            </a:ext>
          </a:extLst>
        </xdr:cNvPr>
        <xdr:cNvSpPr/>
      </xdr:nvSpPr>
      <xdr:spPr>
        <a:xfrm>
          <a:off x="0" y="24307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123</xdr:row>
      <xdr:rowOff>0</xdr:rowOff>
    </xdr:from>
    <xdr:to>
      <xdr:col>0</xdr:col>
      <xdr:colOff>1304926</xdr:colOff>
      <xdr:row>125</xdr:row>
      <xdr:rowOff>38100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9E271A9-7751-499B-B370-0B67A96F4A95}"/>
            </a:ext>
          </a:extLst>
        </xdr:cNvPr>
        <xdr:cNvSpPr/>
      </xdr:nvSpPr>
      <xdr:spPr>
        <a:xfrm>
          <a:off x="0" y="24307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123</xdr:row>
      <xdr:rowOff>0</xdr:rowOff>
    </xdr:from>
    <xdr:to>
      <xdr:col>0</xdr:col>
      <xdr:colOff>1304926</xdr:colOff>
      <xdr:row>125</xdr:row>
      <xdr:rowOff>38100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E364C00E-7216-4915-A664-070AE2057D3D}"/>
            </a:ext>
          </a:extLst>
        </xdr:cNvPr>
        <xdr:cNvSpPr/>
      </xdr:nvSpPr>
      <xdr:spPr>
        <a:xfrm>
          <a:off x="0" y="24307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123</xdr:row>
      <xdr:rowOff>0</xdr:rowOff>
    </xdr:from>
    <xdr:to>
      <xdr:col>0</xdr:col>
      <xdr:colOff>1304926</xdr:colOff>
      <xdr:row>125</xdr:row>
      <xdr:rowOff>38100</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A9CD8123-BEF2-4037-9ADA-3CA8A86FE925}"/>
            </a:ext>
          </a:extLst>
        </xdr:cNvPr>
        <xdr:cNvSpPr/>
      </xdr:nvSpPr>
      <xdr:spPr>
        <a:xfrm>
          <a:off x="0" y="24307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16</xdr:row>
      <xdr:rowOff>0</xdr:rowOff>
    </xdr:from>
    <xdr:to>
      <xdr:col>0</xdr:col>
      <xdr:colOff>1307727</xdr:colOff>
      <xdr:row>18</xdr:row>
      <xdr:rowOff>41462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2082F4A-5F8A-4354-A005-9100FC0C7A67}"/>
            </a:ext>
          </a:extLst>
        </xdr:cNvPr>
        <xdr:cNvSpPr/>
      </xdr:nvSpPr>
      <xdr:spPr>
        <a:xfrm>
          <a:off x="0" y="4267200"/>
          <a:ext cx="1307727" cy="403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16</xdr:row>
      <xdr:rowOff>0</xdr:rowOff>
    </xdr:from>
    <xdr:to>
      <xdr:col>0</xdr:col>
      <xdr:colOff>1307727</xdr:colOff>
      <xdr:row>18</xdr:row>
      <xdr:rowOff>41462</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CEAA8591-ED86-40A7-92AA-93EDEC7BF377}"/>
            </a:ext>
          </a:extLst>
        </xdr:cNvPr>
        <xdr:cNvSpPr/>
      </xdr:nvSpPr>
      <xdr:spPr>
        <a:xfrm>
          <a:off x="0" y="4267200"/>
          <a:ext cx="1307727" cy="403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16</xdr:row>
      <xdr:rowOff>0</xdr:rowOff>
    </xdr:from>
    <xdr:to>
      <xdr:col>0</xdr:col>
      <xdr:colOff>1307727</xdr:colOff>
      <xdr:row>18</xdr:row>
      <xdr:rowOff>41462</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7C4059B0-897B-4C36-9378-2CF1D381D153}"/>
            </a:ext>
          </a:extLst>
        </xdr:cNvPr>
        <xdr:cNvSpPr/>
      </xdr:nvSpPr>
      <xdr:spPr>
        <a:xfrm>
          <a:off x="0" y="4267200"/>
          <a:ext cx="1307727" cy="403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16</xdr:row>
      <xdr:rowOff>0</xdr:rowOff>
    </xdr:from>
    <xdr:to>
      <xdr:col>0</xdr:col>
      <xdr:colOff>1307727</xdr:colOff>
      <xdr:row>18</xdr:row>
      <xdr:rowOff>41462</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6A397983-B568-4D15-A9EA-566B5EA3F729}"/>
            </a:ext>
          </a:extLst>
        </xdr:cNvPr>
        <xdr:cNvSpPr/>
      </xdr:nvSpPr>
      <xdr:spPr>
        <a:xfrm>
          <a:off x="0" y="4267200"/>
          <a:ext cx="1307727" cy="403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16</xdr:row>
      <xdr:rowOff>0</xdr:rowOff>
    </xdr:from>
    <xdr:to>
      <xdr:col>0</xdr:col>
      <xdr:colOff>1307727</xdr:colOff>
      <xdr:row>18</xdr:row>
      <xdr:rowOff>41462</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7B12C2D-D376-40D8-9D5D-FABC60B03492}"/>
            </a:ext>
          </a:extLst>
        </xdr:cNvPr>
        <xdr:cNvSpPr/>
      </xdr:nvSpPr>
      <xdr:spPr>
        <a:xfrm>
          <a:off x="0" y="4267200"/>
          <a:ext cx="1307727" cy="403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16</xdr:row>
      <xdr:rowOff>0</xdr:rowOff>
    </xdr:from>
    <xdr:to>
      <xdr:col>0</xdr:col>
      <xdr:colOff>1307727</xdr:colOff>
      <xdr:row>18</xdr:row>
      <xdr:rowOff>41462</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420AE350-5522-4B4B-A1F8-485B9A523B26}"/>
            </a:ext>
          </a:extLst>
        </xdr:cNvPr>
        <xdr:cNvSpPr/>
      </xdr:nvSpPr>
      <xdr:spPr>
        <a:xfrm>
          <a:off x="0" y="4267200"/>
          <a:ext cx="1307727" cy="4034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119</xdr:row>
      <xdr:rowOff>0</xdr:rowOff>
    </xdr:from>
    <xdr:to>
      <xdr:col>0</xdr:col>
      <xdr:colOff>1304926</xdr:colOff>
      <xdr:row>120</xdr:row>
      <xdr:rowOff>185737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9CD2237-1952-493E-B0EE-E3FE9D855A40}"/>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2F3EFDD3-3E12-44A7-B50D-FE8BA8CA425D}"/>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68F2493E-2996-4692-A5A7-FF39BA2570F4}"/>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32E396B4-6C92-412A-AB24-4912B2FD5D5A}"/>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23D18A98-9A6A-424F-B307-4CF0CD135BE7}"/>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64EC22B8-4010-45CF-B90B-5660ACFA2419}"/>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5DD9596C-20DD-4004-ABDA-304C771D2DD6}"/>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72FDDFD2-9E97-4457-B771-A5BB64492343}"/>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5A509870-620C-4E4D-8203-462883546BD3}"/>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404C2ABE-0B2D-41A9-A85F-B2C845C1B77A}"/>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CEFA1748-D8F6-4B1A-8CFA-E998CFF210A8}"/>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369D1B80-D9C6-4DC2-84F7-D28F3E93B970}"/>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F9353A8D-2EA6-43C2-9093-E9A3367DA88F}"/>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89DCCB1F-9FAF-4DE9-912C-7553FBEE203A}"/>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751E3D69-6AAB-4CF6-A073-F1A88F16DBF6}"/>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59914ABF-2B2A-4F75-A724-B26C9EE95FC8}"/>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8" name="Left Arrow 1">
          <a:hlinkClick xmlns:r="http://schemas.openxmlformats.org/officeDocument/2006/relationships" r:id="rId1"/>
          <a:extLst>
            <a:ext uri="{FF2B5EF4-FFF2-40B4-BE49-F238E27FC236}">
              <a16:creationId xmlns:a16="http://schemas.microsoft.com/office/drawing/2014/main" id="{EEE8B866-7D56-44F3-8590-9A8464BF3632}"/>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9" name="Left Arrow 1">
          <a:hlinkClick xmlns:r="http://schemas.openxmlformats.org/officeDocument/2006/relationships" r:id="rId1"/>
          <a:extLst>
            <a:ext uri="{FF2B5EF4-FFF2-40B4-BE49-F238E27FC236}">
              <a16:creationId xmlns:a16="http://schemas.microsoft.com/office/drawing/2014/main" id="{2191A298-FA3A-4B76-BE29-2EEBC8476960}"/>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0" name="Left Arrow 1">
          <a:hlinkClick xmlns:r="http://schemas.openxmlformats.org/officeDocument/2006/relationships" r:id="rId1"/>
          <a:extLst>
            <a:ext uri="{FF2B5EF4-FFF2-40B4-BE49-F238E27FC236}">
              <a16:creationId xmlns:a16="http://schemas.microsoft.com/office/drawing/2014/main" id="{690D2B2C-ABC8-4DB8-B37F-A04555BD23A1}"/>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1" name="Left Arrow 1">
          <a:hlinkClick xmlns:r="http://schemas.openxmlformats.org/officeDocument/2006/relationships" r:id="rId1"/>
          <a:extLst>
            <a:ext uri="{FF2B5EF4-FFF2-40B4-BE49-F238E27FC236}">
              <a16:creationId xmlns:a16="http://schemas.microsoft.com/office/drawing/2014/main" id="{CB07C158-E631-4250-B6BF-CB9C8762597C}"/>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2" name="Left Arrow 1">
          <a:hlinkClick xmlns:r="http://schemas.openxmlformats.org/officeDocument/2006/relationships" r:id="rId1"/>
          <a:extLst>
            <a:ext uri="{FF2B5EF4-FFF2-40B4-BE49-F238E27FC236}">
              <a16:creationId xmlns:a16="http://schemas.microsoft.com/office/drawing/2014/main" id="{7E9F21B4-72E2-462C-A449-4FE3A9C28ACD}"/>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3" name="Left Arrow 1">
          <a:hlinkClick xmlns:r="http://schemas.openxmlformats.org/officeDocument/2006/relationships" r:id="rId1"/>
          <a:extLst>
            <a:ext uri="{FF2B5EF4-FFF2-40B4-BE49-F238E27FC236}">
              <a16:creationId xmlns:a16="http://schemas.microsoft.com/office/drawing/2014/main" id="{DC6B3788-3725-48AB-9C1B-C4065CC9A51F}"/>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4" name="Left Arrow 1">
          <a:hlinkClick xmlns:r="http://schemas.openxmlformats.org/officeDocument/2006/relationships" r:id="rId1"/>
          <a:extLst>
            <a:ext uri="{FF2B5EF4-FFF2-40B4-BE49-F238E27FC236}">
              <a16:creationId xmlns:a16="http://schemas.microsoft.com/office/drawing/2014/main" id="{4A2BE289-116C-4C87-BFB7-777993204234}"/>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5" name="Left Arrow 1">
          <a:hlinkClick xmlns:r="http://schemas.openxmlformats.org/officeDocument/2006/relationships" r:id="rId1"/>
          <a:extLst>
            <a:ext uri="{FF2B5EF4-FFF2-40B4-BE49-F238E27FC236}">
              <a16:creationId xmlns:a16="http://schemas.microsoft.com/office/drawing/2014/main" id="{B7C9B85C-FF4F-4297-9E4F-FE7CE26731A4}"/>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6" name="Left Arrow 1">
          <a:hlinkClick xmlns:r="http://schemas.openxmlformats.org/officeDocument/2006/relationships" r:id="rId1"/>
          <a:extLst>
            <a:ext uri="{FF2B5EF4-FFF2-40B4-BE49-F238E27FC236}">
              <a16:creationId xmlns:a16="http://schemas.microsoft.com/office/drawing/2014/main" id="{32F03DF9-876E-407C-9230-5F1316614267}"/>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7" name="Left Arrow 1">
          <a:hlinkClick xmlns:r="http://schemas.openxmlformats.org/officeDocument/2006/relationships" r:id="rId1"/>
          <a:extLst>
            <a:ext uri="{FF2B5EF4-FFF2-40B4-BE49-F238E27FC236}">
              <a16:creationId xmlns:a16="http://schemas.microsoft.com/office/drawing/2014/main" id="{B8C0FA9D-FDDB-4920-A57F-78ABA8D21AB1}"/>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8" name="Left Arrow 1">
          <a:hlinkClick xmlns:r="http://schemas.openxmlformats.org/officeDocument/2006/relationships" r:id="rId1"/>
          <a:extLst>
            <a:ext uri="{FF2B5EF4-FFF2-40B4-BE49-F238E27FC236}">
              <a16:creationId xmlns:a16="http://schemas.microsoft.com/office/drawing/2014/main" id="{B85430FC-034C-43AB-889D-D4296A0F21DD}"/>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9" name="Left Arrow 1">
          <a:hlinkClick xmlns:r="http://schemas.openxmlformats.org/officeDocument/2006/relationships" r:id="rId1"/>
          <a:extLst>
            <a:ext uri="{FF2B5EF4-FFF2-40B4-BE49-F238E27FC236}">
              <a16:creationId xmlns:a16="http://schemas.microsoft.com/office/drawing/2014/main" id="{BC13AD99-D5C9-4B14-BD15-6B60FFD35FB0}"/>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0" name="Left Arrow 1">
          <a:hlinkClick xmlns:r="http://schemas.openxmlformats.org/officeDocument/2006/relationships" r:id="rId1"/>
          <a:extLst>
            <a:ext uri="{FF2B5EF4-FFF2-40B4-BE49-F238E27FC236}">
              <a16:creationId xmlns:a16="http://schemas.microsoft.com/office/drawing/2014/main" id="{19C08120-0DE9-4D1D-A152-158D1061F1DC}"/>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1" name="Left Arrow 1">
          <a:hlinkClick xmlns:r="http://schemas.openxmlformats.org/officeDocument/2006/relationships" r:id="rId1"/>
          <a:extLst>
            <a:ext uri="{FF2B5EF4-FFF2-40B4-BE49-F238E27FC236}">
              <a16:creationId xmlns:a16="http://schemas.microsoft.com/office/drawing/2014/main" id="{8CB96F86-F4C6-4900-A318-4BE0C7AB5C75}"/>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2" name="Left Arrow 1">
          <a:hlinkClick xmlns:r="http://schemas.openxmlformats.org/officeDocument/2006/relationships" r:id="rId1"/>
          <a:extLst>
            <a:ext uri="{FF2B5EF4-FFF2-40B4-BE49-F238E27FC236}">
              <a16:creationId xmlns:a16="http://schemas.microsoft.com/office/drawing/2014/main" id="{2FF6371E-5C5D-4072-9471-2A4954A28D48}"/>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3" name="Left Arrow 1">
          <a:hlinkClick xmlns:r="http://schemas.openxmlformats.org/officeDocument/2006/relationships" r:id="rId1"/>
          <a:extLst>
            <a:ext uri="{FF2B5EF4-FFF2-40B4-BE49-F238E27FC236}">
              <a16:creationId xmlns:a16="http://schemas.microsoft.com/office/drawing/2014/main" id="{18560832-0434-4072-B5F5-9E026C495A0C}"/>
            </a:ext>
          </a:extLst>
        </xdr:cNvPr>
        <xdr:cNvSpPr/>
      </xdr:nvSpPr>
      <xdr:spPr>
        <a:xfrm>
          <a:off x="0" y="257365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119</xdr:row>
      <xdr:rowOff>0</xdr:rowOff>
    </xdr:from>
    <xdr:to>
      <xdr:col>0</xdr:col>
      <xdr:colOff>1304926</xdr:colOff>
      <xdr:row>120</xdr:row>
      <xdr:rowOff>185737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2DC2215-4A0B-48DE-9892-F8422811235C}"/>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2448A47D-3A27-41C7-9A41-8566F5EB7B3C}"/>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64636445-279D-46A9-9A32-7A1355F75E3E}"/>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F839D42D-F76C-47C0-BB94-160261F71E56}"/>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D4302737-044E-46C8-B175-0C8B656DF6AF}"/>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D011216D-E2B8-4FB3-A648-6CD04FCB1E50}"/>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A6C9CB2E-35C9-45D3-A513-7826CD423A46}"/>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BC9029AC-F214-4074-8C33-5C17768EE290}"/>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297F5EB4-0767-4BF0-B6A0-B02B1B71A449}"/>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DC2418DE-6ECF-4618-AE71-1705B86CC747}"/>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AC8717BF-381A-4EB7-BC23-DF964415A957}"/>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6CFFAE0D-9550-41CD-9E7B-CC697BA70430}"/>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F0E9F6CF-2E7F-4D4B-AB98-58B29D79B3E9}"/>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77AE0232-26D0-4CA2-ABE6-8614064B3CC1}"/>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EB545F62-5D18-4498-8A55-ECA3972A5C83}"/>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D1B13802-FC77-4D68-8819-723261D8D771}"/>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8" name="Left Arrow 1">
          <a:hlinkClick xmlns:r="http://schemas.openxmlformats.org/officeDocument/2006/relationships" r:id="rId1"/>
          <a:extLst>
            <a:ext uri="{FF2B5EF4-FFF2-40B4-BE49-F238E27FC236}">
              <a16:creationId xmlns:a16="http://schemas.microsoft.com/office/drawing/2014/main" id="{79F3EFC7-8F04-417B-B1D9-6E5F1B7AA5AF}"/>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19" name="Left Arrow 1">
          <a:hlinkClick xmlns:r="http://schemas.openxmlformats.org/officeDocument/2006/relationships" r:id="rId1"/>
          <a:extLst>
            <a:ext uri="{FF2B5EF4-FFF2-40B4-BE49-F238E27FC236}">
              <a16:creationId xmlns:a16="http://schemas.microsoft.com/office/drawing/2014/main" id="{E6963793-48BC-4373-91D5-DE850DCD7178}"/>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0" name="Left Arrow 1">
          <a:hlinkClick xmlns:r="http://schemas.openxmlformats.org/officeDocument/2006/relationships" r:id="rId1"/>
          <a:extLst>
            <a:ext uri="{FF2B5EF4-FFF2-40B4-BE49-F238E27FC236}">
              <a16:creationId xmlns:a16="http://schemas.microsoft.com/office/drawing/2014/main" id="{56E22195-1C07-4DED-94ED-B20EF9B419C3}"/>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1" name="Left Arrow 1">
          <a:hlinkClick xmlns:r="http://schemas.openxmlformats.org/officeDocument/2006/relationships" r:id="rId1"/>
          <a:extLst>
            <a:ext uri="{FF2B5EF4-FFF2-40B4-BE49-F238E27FC236}">
              <a16:creationId xmlns:a16="http://schemas.microsoft.com/office/drawing/2014/main" id="{34FF976C-1B47-404B-8C86-A894643833DA}"/>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2" name="Left Arrow 1">
          <a:hlinkClick xmlns:r="http://schemas.openxmlformats.org/officeDocument/2006/relationships" r:id="rId1"/>
          <a:extLst>
            <a:ext uri="{FF2B5EF4-FFF2-40B4-BE49-F238E27FC236}">
              <a16:creationId xmlns:a16="http://schemas.microsoft.com/office/drawing/2014/main" id="{1AD9CEF2-0D3B-469B-93B3-76C8D410E48B}"/>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3" name="Left Arrow 1">
          <a:hlinkClick xmlns:r="http://schemas.openxmlformats.org/officeDocument/2006/relationships" r:id="rId1"/>
          <a:extLst>
            <a:ext uri="{FF2B5EF4-FFF2-40B4-BE49-F238E27FC236}">
              <a16:creationId xmlns:a16="http://schemas.microsoft.com/office/drawing/2014/main" id="{F75860C6-BF99-47F9-B800-45C8FE8FC8EF}"/>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4" name="Left Arrow 1">
          <a:hlinkClick xmlns:r="http://schemas.openxmlformats.org/officeDocument/2006/relationships" r:id="rId1"/>
          <a:extLst>
            <a:ext uri="{FF2B5EF4-FFF2-40B4-BE49-F238E27FC236}">
              <a16:creationId xmlns:a16="http://schemas.microsoft.com/office/drawing/2014/main" id="{CC90EC36-3F44-4694-AA4C-42B8AEF480EB}"/>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5" name="Left Arrow 1">
          <a:hlinkClick xmlns:r="http://schemas.openxmlformats.org/officeDocument/2006/relationships" r:id="rId1"/>
          <a:extLst>
            <a:ext uri="{FF2B5EF4-FFF2-40B4-BE49-F238E27FC236}">
              <a16:creationId xmlns:a16="http://schemas.microsoft.com/office/drawing/2014/main" id="{C70EB668-8111-4F1D-A87B-24396F0C205D}"/>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6" name="Left Arrow 1">
          <a:hlinkClick xmlns:r="http://schemas.openxmlformats.org/officeDocument/2006/relationships" r:id="rId1"/>
          <a:extLst>
            <a:ext uri="{FF2B5EF4-FFF2-40B4-BE49-F238E27FC236}">
              <a16:creationId xmlns:a16="http://schemas.microsoft.com/office/drawing/2014/main" id="{4C76733A-8B5F-4231-BF47-22EB7A7291B2}"/>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7" name="Left Arrow 1">
          <a:hlinkClick xmlns:r="http://schemas.openxmlformats.org/officeDocument/2006/relationships" r:id="rId1"/>
          <a:extLst>
            <a:ext uri="{FF2B5EF4-FFF2-40B4-BE49-F238E27FC236}">
              <a16:creationId xmlns:a16="http://schemas.microsoft.com/office/drawing/2014/main" id="{2A0CD279-3EE6-42D8-87CD-8B83D4160FE2}"/>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8" name="Left Arrow 1">
          <a:hlinkClick xmlns:r="http://schemas.openxmlformats.org/officeDocument/2006/relationships" r:id="rId1"/>
          <a:extLst>
            <a:ext uri="{FF2B5EF4-FFF2-40B4-BE49-F238E27FC236}">
              <a16:creationId xmlns:a16="http://schemas.microsoft.com/office/drawing/2014/main" id="{B032658D-98EB-4B6A-B8C1-CD41B040A996}"/>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29" name="Left Arrow 1">
          <a:hlinkClick xmlns:r="http://schemas.openxmlformats.org/officeDocument/2006/relationships" r:id="rId1"/>
          <a:extLst>
            <a:ext uri="{FF2B5EF4-FFF2-40B4-BE49-F238E27FC236}">
              <a16:creationId xmlns:a16="http://schemas.microsoft.com/office/drawing/2014/main" id="{B595E1FA-CDCF-47FC-B6B4-753BF82D9EC2}"/>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0" name="Left Arrow 1">
          <a:hlinkClick xmlns:r="http://schemas.openxmlformats.org/officeDocument/2006/relationships" r:id="rId1"/>
          <a:extLst>
            <a:ext uri="{FF2B5EF4-FFF2-40B4-BE49-F238E27FC236}">
              <a16:creationId xmlns:a16="http://schemas.microsoft.com/office/drawing/2014/main" id="{3CB45B4D-5763-4271-A85C-88E685BC0D59}"/>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1" name="Left Arrow 1">
          <a:hlinkClick xmlns:r="http://schemas.openxmlformats.org/officeDocument/2006/relationships" r:id="rId1"/>
          <a:extLst>
            <a:ext uri="{FF2B5EF4-FFF2-40B4-BE49-F238E27FC236}">
              <a16:creationId xmlns:a16="http://schemas.microsoft.com/office/drawing/2014/main" id="{A0461231-433B-4A9B-82D8-E6CBE7173857}"/>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2" name="Left Arrow 1">
          <a:hlinkClick xmlns:r="http://schemas.openxmlformats.org/officeDocument/2006/relationships" r:id="rId1"/>
          <a:extLst>
            <a:ext uri="{FF2B5EF4-FFF2-40B4-BE49-F238E27FC236}">
              <a16:creationId xmlns:a16="http://schemas.microsoft.com/office/drawing/2014/main" id="{DCA1671A-9502-4B89-BA5F-D8F94662E84B}"/>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3" name="Left Arrow 1">
          <a:hlinkClick xmlns:r="http://schemas.openxmlformats.org/officeDocument/2006/relationships" r:id="rId1"/>
          <a:extLst>
            <a:ext uri="{FF2B5EF4-FFF2-40B4-BE49-F238E27FC236}">
              <a16:creationId xmlns:a16="http://schemas.microsoft.com/office/drawing/2014/main" id="{92D1A4D6-05B8-4606-9FF1-86E0D19809C5}"/>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4" name="Left Arrow 1">
          <a:hlinkClick xmlns:r="http://schemas.openxmlformats.org/officeDocument/2006/relationships" r:id="rId1"/>
          <a:extLst>
            <a:ext uri="{FF2B5EF4-FFF2-40B4-BE49-F238E27FC236}">
              <a16:creationId xmlns:a16="http://schemas.microsoft.com/office/drawing/2014/main" id="{C52466D0-0D5B-42AD-B6B8-589286B9F2E9}"/>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5" name="Left Arrow 1">
          <a:hlinkClick xmlns:r="http://schemas.openxmlformats.org/officeDocument/2006/relationships" r:id="rId1"/>
          <a:extLst>
            <a:ext uri="{FF2B5EF4-FFF2-40B4-BE49-F238E27FC236}">
              <a16:creationId xmlns:a16="http://schemas.microsoft.com/office/drawing/2014/main" id="{E8541EDA-05FF-4CC9-BD23-F21795C63EA5}"/>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6" name="Left Arrow 1">
          <a:hlinkClick xmlns:r="http://schemas.openxmlformats.org/officeDocument/2006/relationships" r:id="rId1"/>
          <a:extLst>
            <a:ext uri="{FF2B5EF4-FFF2-40B4-BE49-F238E27FC236}">
              <a16:creationId xmlns:a16="http://schemas.microsoft.com/office/drawing/2014/main" id="{A3ED93CC-E404-4853-8164-EEB2487ECC5F}"/>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7" name="Left Arrow 1">
          <a:hlinkClick xmlns:r="http://schemas.openxmlformats.org/officeDocument/2006/relationships" r:id="rId1"/>
          <a:extLst>
            <a:ext uri="{FF2B5EF4-FFF2-40B4-BE49-F238E27FC236}">
              <a16:creationId xmlns:a16="http://schemas.microsoft.com/office/drawing/2014/main" id="{A41D0526-C2BC-4652-B570-04A2A507E6E1}"/>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8" name="Left Arrow 1">
          <a:hlinkClick xmlns:r="http://schemas.openxmlformats.org/officeDocument/2006/relationships" r:id="rId1"/>
          <a:extLst>
            <a:ext uri="{FF2B5EF4-FFF2-40B4-BE49-F238E27FC236}">
              <a16:creationId xmlns:a16="http://schemas.microsoft.com/office/drawing/2014/main" id="{E7F45435-6BEF-46B0-83BB-FC8DA7FF372B}"/>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9" name="Left Arrow 1">
          <a:hlinkClick xmlns:r="http://schemas.openxmlformats.org/officeDocument/2006/relationships" r:id="rId1"/>
          <a:extLst>
            <a:ext uri="{FF2B5EF4-FFF2-40B4-BE49-F238E27FC236}">
              <a16:creationId xmlns:a16="http://schemas.microsoft.com/office/drawing/2014/main" id="{E2EB0C80-4B42-4FAF-99A9-E27E4B52347E}"/>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0" name="Left Arrow 1">
          <a:hlinkClick xmlns:r="http://schemas.openxmlformats.org/officeDocument/2006/relationships" r:id="rId1"/>
          <a:extLst>
            <a:ext uri="{FF2B5EF4-FFF2-40B4-BE49-F238E27FC236}">
              <a16:creationId xmlns:a16="http://schemas.microsoft.com/office/drawing/2014/main" id="{29CC6F76-0325-49DE-A3EB-8D170B7FF3D9}"/>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1" name="Left Arrow 1">
          <a:hlinkClick xmlns:r="http://schemas.openxmlformats.org/officeDocument/2006/relationships" r:id="rId1"/>
          <a:extLst>
            <a:ext uri="{FF2B5EF4-FFF2-40B4-BE49-F238E27FC236}">
              <a16:creationId xmlns:a16="http://schemas.microsoft.com/office/drawing/2014/main" id="{D9F67F42-426B-46E9-A0DB-001858248E04}"/>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2" name="Left Arrow 1">
          <a:hlinkClick xmlns:r="http://schemas.openxmlformats.org/officeDocument/2006/relationships" r:id="rId1"/>
          <a:extLst>
            <a:ext uri="{FF2B5EF4-FFF2-40B4-BE49-F238E27FC236}">
              <a16:creationId xmlns:a16="http://schemas.microsoft.com/office/drawing/2014/main" id="{73B087F3-CC0B-47EA-A645-4A96683377ED}"/>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3" name="Left Arrow 1">
          <a:hlinkClick xmlns:r="http://schemas.openxmlformats.org/officeDocument/2006/relationships" r:id="rId1"/>
          <a:extLst>
            <a:ext uri="{FF2B5EF4-FFF2-40B4-BE49-F238E27FC236}">
              <a16:creationId xmlns:a16="http://schemas.microsoft.com/office/drawing/2014/main" id="{D21DD00D-3DC9-46A8-98C5-B7B349BCF394}"/>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4" name="Left Arrow 1">
          <a:hlinkClick xmlns:r="http://schemas.openxmlformats.org/officeDocument/2006/relationships" r:id="rId1"/>
          <a:extLst>
            <a:ext uri="{FF2B5EF4-FFF2-40B4-BE49-F238E27FC236}">
              <a16:creationId xmlns:a16="http://schemas.microsoft.com/office/drawing/2014/main" id="{1C10E029-E711-42A3-B267-24D5013711FF}"/>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5" name="Left Arrow 1">
          <a:hlinkClick xmlns:r="http://schemas.openxmlformats.org/officeDocument/2006/relationships" r:id="rId1"/>
          <a:extLst>
            <a:ext uri="{FF2B5EF4-FFF2-40B4-BE49-F238E27FC236}">
              <a16:creationId xmlns:a16="http://schemas.microsoft.com/office/drawing/2014/main" id="{0AE71958-9AF7-4857-8AE4-0E9EEC436DBF}"/>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6" name="Left Arrow 1">
          <a:hlinkClick xmlns:r="http://schemas.openxmlformats.org/officeDocument/2006/relationships" r:id="rId1"/>
          <a:extLst>
            <a:ext uri="{FF2B5EF4-FFF2-40B4-BE49-F238E27FC236}">
              <a16:creationId xmlns:a16="http://schemas.microsoft.com/office/drawing/2014/main" id="{F50C0B29-DA3E-4FA4-98B2-67752253BBD5}"/>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7" name="Left Arrow 1">
          <a:hlinkClick xmlns:r="http://schemas.openxmlformats.org/officeDocument/2006/relationships" r:id="rId1"/>
          <a:extLst>
            <a:ext uri="{FF2B5EF4-FFF2-40B4-BE49-F238E27FC236}">
              <a16:creationId xmlns:a16="http://schemas.microsoft.com/office/drawing/2014/main" id="{C5EA5369-916F-47F4-A552-03F9D0BA8645}"/>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8" name="Left Arrow 1">
          <a:hlinkClick xmlns:r="http://schemas.openxmlformats.org/officeDocument/2006/relationships" r:id="rId1"/>
          <a:extLst>
            <a:ext uri="{FF2B5EF4-FFF2-40B4-BE49-F238E27FC236}">
              <a16:creationId xmlns:a16="http://schemas.microsoft.com/office/drawing/2014/main" id="{6F815E9E-80B6-4BE2-880E-704ACD5484B4}"/>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49" name="Left Arrow 1">
          <a:hlinkClick xmlns:r="http://schemas.openxmlformats.org/officeDocument/2006/relationships" r:id="rId1"/>
          <a:extLst>
            <a:ext uri="{FF2B5EF4-FFF2-40B4-BE49-F238E27FC236}">
              <a16:creationId xmlns:a16="http://schemas.microsoft.com/office/drawing/2014/main" id="{A012F915-B585-4B9B-9F42-CEF1E173A2C8}"/>
            </a:ext>
          </a:extLst>
        </xdr:cNvPr>
        <xdr:cNvSpPr/>
      </xdr:nvSpPr>
      <xdr:spPr>
        <a:xfrm>
          <a:off x="0" y="256317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227</xdr:row>
      <xdr:rowOff>42332</xdr:rowOff>
    </xdr:from>
    <xdr:to>
      <xdr:col>1</xdr:col>
      <xdr:colOff>553509</xdr:colOff>
      <xdr:row>229</xdr:row>
      <xdr:rowOff>82549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2109B42-B1FA-46CC-B888-253E564A72E9}"/>
            </a:ext>
          </a:extLst>
        </xdr:cNvPr>
        <xdr:cNvSpPr/>
      </xdr:nvSpPr>
      <xdr:spPr>
        <a:xfrm>
          <a:off x="0" y="9995957"/>
          <a:ext cx="1305984" cy="4021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36</xdr:row>
      <xdr:rowOff>74083</xdr:rowOff>
    </xdr:from>
    <xdr:to>
      <xdr:col>0</xdr:col>
      <xdr:colOff>1304926</xdr:colOff>
      <xdr:row>37</xdr:row>
      <xdr:rowOff>150283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D15AC5E-D5CC-44BA-9233-B538376DA65E}"/>
            </a:ext>
          </a:extLst>
        </xdr:cNvPr>
        <xdr:cNvSpPr/>
      </xdr:nvSpPr>
      <xdr:spPr>
        <a:xfrm>
          <a:off x="0" y="125327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13F540AE-96EE-4D7E-924C-97964CA4861C}"/>
            </a:ext>
          </a:extLst>
        </xdr:cNvPr>
        <xdr:cNvSpPr/>
      </xdr:nvSpPr>
      <xdr:spPr>
        <a:xfrm>
          <a:off x="0" y="125327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1C78322-DF57-44C5-A8E7-A9AE2EED4946}"/>
            </a:ext>
          </a:extLst>
        </xdr:cNvPr>
        <xdr:cNvSpPr/>
      </xdr:nvSpPr>
      <xdr:spPr>
        <a:xfrm>
          <a:off x="0" y="125327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8A5A109E-D327-4653-9057-6B83A83A5E68}"/>
            </a:ext>
          </a:extLst>
        </xdr:cNvPr>
        <xdr:cNvSpPr/>
      </xdr:nvSpPr>
      <xdr:spPr>
        <a:xfrm>
          <a:off x="0" y="125327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53AA6241-1EAE-47F0-A211-566B10890FCD}"/>
            </a:ext>
          </a:extLst>
        </xdr:cNvPr>
        <xdr:cNvSpPr/>
      </xdr:nvSpPr>
      <xdr:spPr>
        <a:xfrm>
          <a:off x="0" y="125327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2B2F300E-800B-4B6D-946D-87D56C4BF91C}"/>
            </a:ext>
          </a:extLst>
        </xdr:cNvPr>
        <xdr:cNvSpPr/>
      </xdr:nvSpPr>
      <xdr:spPr>
        <a:xfrm>
          <a:off x="0" y="125327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7954A87C-B8C4-4405-9650-6C9BC9A687E2}"/>
            </a:ext>
          </a:extLst>
        </xdr:cNvPr>
        <xdr:cNvSpPr/>
      </xdr:nvSpPr>
      <xdr:spPr>
        <a:xfrm>
          <a:off x="0" y="125327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B3FEC233-9AAC-4B80-B946-54E28790D73A}"/>
            </a:ext>
          </a:extLst>
        </xdr:cNvPr>
        <xdr:cNvSpPr/>
      </xdr:nvSpPr>
      <xdr:spPr>
        <a:xfrm>
          <a:off x="0" y="125327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46B6D24A-4F39-457D-A636-BE4E00EA9A6A}"/>
            </a:ext>
          </a:extLst>
        </xdr:cNvPr>
        <xdr:cNvSpPr/>
      </xdr:nvSpPr>
      <xdr:spPr>
        <a:xfrm>
          <a:off x="0" y="125327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ADFDFB6C-26DF-4F47-890D-ECE34F86F512}"/>
            </a:ext>
          </a:extLst>
        </xdr:cNvPr>
        <xdr:cNvSpPr/>
      </xdr:nvSpPr>
      <xdr:spPr>
        <a:xfrm>
          <a:off x="0" y="125327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EE813F93-DCE3-45C6-901B-45940B197348}"/>
            </a:ext>
          </a:extLst>
        </xdr:cNvPr>
        <xdr:cNvSpPr/>
      </xdr:nvSpPr>
      <xdr:spPr>
        <a:xfrm>
          <a:off x="0" y="125327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7179CDE7-5C48-44FC-9131-1D0FA697A85B}"/>
            </a:ext>
          </a:extLst>
        </xdr:cNvPr>
        <xdr:cNvSpPr/>
      </xdr:nvSpPr>
      <xdr:spPr>
        <a:xfrm>
          <a:off x="0" y="125327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F0E32DAF-6EA7-4CE1-9962-A71ADB1EDDF7}"/>
            </a:ext>
          </a:extLst>
        </xdr:cNvPr>
        <xdr:cNvSpPr/>
      </xdr:nvSpPr>
      <xdr:spPr>
        <a:xfrm>
          <a:off x="0" y="125327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95F9E549-3542-4BA7-B419-295D264FF41C}"/>
            </a:ext>
          </a:extLst>
        </xdr:cNvPr>
        <xdr:cNvSpPr/>
      </xdr:nvSpPr>
      <xdr:spPr>
        <a:xfrm>
          <a:off x="0" y="125327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E67EB929-732F-4CBF-B4D2-C17ABB5FB78B}"/>
            </a:ext>
          </a:extLst>
        </xdr:cNvPr>
        <xdr:cNvSpPr/>
      </xdr:nvSpPr>
      <xdr:spPr>
        <a:xfrm>
          <a:off x="0" y="125327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97DEB33A-4384-43C3-BAD6-BE4564613F3D}"/>
            </a:ext>
          </a:extLst>
        </xdr:cNvPr>
        <xdr:cNvSpPr/>
      </xdr:nvSpPr>
      <xdr:spPr>
        <a:xfrm>
          <a:off x="0" y="125327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37</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6F6F51D-E004-4C42-BB9C-798F66D3C5F6}"/>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16EC01B3-0765-4B1F-85CF-CE217EC17952}"/>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50EAB72A-5030-4D47-B8E0-1AD1F748066A}"/>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F1151AE3-AAED-4EDA-A6EC-4AA2D7215D54}"/>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72E679EE-9B8C-4BD3-BF8F-66425EB7170F}"/>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3AD588C0-F0B4-44E1-BD79-0DDD6D6DA744}"/>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C2A9515B-86A8-4A01-A327-C0B92296557D}"/>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475BB80C-C102-49CA-9ABE-28166D27CFA2}"/>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767EE3FD-0BDE-45DA-96A4-099B1A2D54C0}"/>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9F1A2A02-CAD9-4E75-9CC5-91C0C0AC1E64}"/>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66840E10-2E45-474C-A2E6-DECC870F02B8}"/>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E2D6E12C-518E-40D7-AA18-CAC432E21C4F}"/>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00793A6F-12E1-4848-A24A-424C5A76DB90}"/>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2AB07827-B4B5-4E3A-82D2-5ADB6033D447}"/>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1B936A44-CE04-495B-BB06-4B64EE2062F1}"/>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24AE0A44-625E-4021-9AE3-9A349DD07347}"/>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8" name="Left Arrow 1">
          <a:hlinkClick xmlns:r="http://schemas.openxmlformats.org/officeDocument/2006/relationships" r:id="rId1"/>
          <a:extLst>
            <a:ext uri="{FF2B5EF4-FFF2-40B4-BE49-F238E27FC236}">
              <a16:creationId xmlns:a16="http://schemas.microsoft.com/office/drawing/2014/main" id="{9E511B66-5505-4F9D-B724-A1E4D41CE213}"/>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9" name="Left Arrow 1">
          <a:hlinkClick xmlns:r="http://schemas.openxmlformats.org/officeDocument/2006/relationships" r:id="rId1"/>
          <a:extLst>
            <a:ext uri="{FF2B5EF4-FFF2-40B4-BE49-F238E27FC236}">
              <a16:creationId xmlns:a16="http://schemas.microsoft.com/office/drawing/2014/main" id="{91DC777A-D9AE-407D-B9A5-11F02C5CD8DF}"/>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20" name="Left Arrow 1">
          <a:hlinkClick xmlns:r="http://schemas.openxmlformats.org/officeDocument/2006/relationships" r:id="rId1"/>
          <a:extLst>
            <a:ext uri="{FF2B5EF4-FFF2-40B4-BE49-F238E27FC236}">
              <a16:creationId xmlns:a16="http://schemas.microsoft.com/office/drawing/2014/main" id="{6FBF38BA-E784-4B6D-BA1B-B692AC1EF754}"/>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21" name="Left Arrow 1">
          <a:hlinkClick xmlns:r="http://schemas.openxmlformats.org/officeDocument/2006/relationships" r:id="rId1"/>
          <a:extLst>
            <a:ext uri="{FF2B5EF4-FFF2-40B4-BE49-F238E27FC236}">
              <a16:creationId xmlns:a16="http://schemas.microsoft.com/office/drawing/2014/main" id="{199383C4-1206-4C79-8DB8-F082D7D32D63}"/>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22" name="Left Arrow 1">
          <a:hlinkClick xmlns:r="http://schemas.openxmlformats.org/officeDocument/2006/relationships" r:id="rId1"/>
          <a:extLst>
            <a:ext uri="{FF2B5EF4-FFF2-40B4-BE49-F238E27FC236}">
              <a16:creationId xmlns:a16="http://schemas.microsoft.com/office/drawing/2014/main" id="{4EF22B79-A269-4C2F-9F40-5B17F30E7C17}"/>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23" name="Left Arrow 1">
          <a:hlinkClick xmlns:r="http://schemas.openxmlformats.org/officeDocument/2006/relationships" r:id="rId1"/>
          <a:extLst>
            <a:ext uri="{FF2B5EF4-FFF2-40B4-BE49-F238E27FC236}">
              <a16:creationId xmlns:a16="http://schemas.microsoft.com/office/drawing/2014/main" id="{4C55048B-1E1F-4342-8225-F988D313B377}"/>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24" name="Left Arrow 1">
          <a:hlinkClick xmlns:r="http://schemas.openxmlformats.org/officeDocument/2006/relationships" r:id="rId1"/>
          <a:extLst>
            <a:ext uri="{FF2B5EF4-FFF2-40B4-BE49-F238E27FC236}">
              <a16:creationId xmlns:a16="http://schemas.microsoft.com/office/drawing/2014/main" id="{A6DAE800-97C7-4761-AE3D-8B99797546EE}"/>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25" name="Left Arrow 1">
          <a:hlinkClick xmlns:r="http://schemas.openxmlformats.org/officeDocument/2006/relationships" r:id="rId1"/>
          <a:extLst>
            <a:ext uri="{FF2B5EF4-FFF2-40B4-BE49-F238E27FC236}">
              <a16:creationId xmlns:a16="http://schemas.microsoft.com/office/drawing/2014/main" id="{9574257C-BFCB-42F5-9A58-44FC6E62D3C4}"/>
            </a:ext>
          </a:extLst>
        </xdr:cNvPr>
        <xdr:cNvSpPr/>
      </xdr:nvSpPr>
      <xdr:spPr>
        <a:xfrm>
          <a:off x="0" y="11772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37</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4BB879E-63D4-48B0-B6BD-B7EBE2638B04}"/>
            </a:ext>
          </a:extLst>
        </xdr:cNvPr>
        <xdr:cNvSpPr/>
      </xdr:nvSpPr>
      <xdr:spPr>
        <a:xfrm>
          <a:off x="0" y="7629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1B13D5-47C1-4ACC-A9B5-02C9E4F428EF}"/>
            </a:ext>
          </a:extLst>
        </xdr:cNvPr>
        <xdr:cNvSpPr/>
      </xdr:nvSpPr>
      <xdr:spPr>
        <a:xfrm>
          <a:off x="0" y="7629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8B4A146A-58B9-469D-9CAC-FB8F8152F8CF}"/>
            </a:ext>
          </a:extLst>
        </xdr:cNvPr>
        <xdr:cNvSpPr/>
      </xdr:nvSpPr>
      <xdr:spPr>
        <a:xfrm>
          <a:off x="0" y="7629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47D9E588-D560-4CBF-B2D2-3697B1390789}"/>
            </a:ext>
          </a:extLst>
        </xdr:cNvPr>
        <xdr:cNvSpPr/>
      </xdr:nvSpPr>
      <xdr:spPr>
        <a:xfrm>
          <a:off x="0" y="7629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CFC57AA-A0B3-460B-88DA-38414EB5960A}"/>
            </a:ext>
          </a:extLst>
        </xdr:cNvPr>
        <xdr:cNvSpPr/>
      </xdr:nvSpPr>
      <xdr:spPr>
        <a:xfrm>
          <a:off x="0" y="7629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B8D56999-E978-4965-A098-98252D4AC02C}"/>
            </a:ext>
          </a:extLst>
        </xdr:cNvPr>
        <xdr:cNvSpPr/>
      </xdr:nvSpPr>
      <xdr:spPr>
        <a:xfrm>
          <a:off x="0" y="7629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E050D2FE-56A9-4C90-B236-92BBD0ED6595}"/>
            </a:ext>
          </a:extLst>
        </xdr:cNvPr>
        <xdr:cNvSpPr/>
      </xdr:nvSpPr>
      <xdr:spPr>
        <a:xfrm>
          <a:off x="0" y="7629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5ED16DBA-EF8B-4491-B147-0788C2C24808}"/>
            </a:ext>
          </a:extLst>
        </xdr:cNvPr>
        <xdr:cNvSpPr/>
      </xdr:nvSpPr>
      <xdr:spPr>
        <a:xfrm>
          <a:off x="0" y="7629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57630A85-8ABF-45B1-9384-F9F4CB556F01}"/>
            </a:ext>
          </a:extLst>
        </xdr:cNvPr>
        <xdr:cNvSpPr/>
      </xdr:nvSpPr>
      <xdr:spPr>
        <a:xfrm>
          <a:off x="0" y="7629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1DDA6692-8CDE-4295-9AFB-57602D6445B1}"/>
            </a:ext>
          </a:extLst>
        </xdr:cNvPr>
        <xdr:cNvSpPr/>
      </xdr:nvSpPr>
      <xdr:spPr>
        <a:xfrm>
          <a:off x="0" y="7629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836CFC96-87A8-4241-8589-C098017C5186}"/>
            </a:ext>
          </a:extLst>
        </xdr:cNvPr>
        <xdr:cNvSpPr/>
      </xdr:nvSpPr>
      <xdr:spPr>
        <a:xfrm>
          <a:off x="0" y="7629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9AF3710E-68B1-4C8E-AD77-E2C02EE4E0C8}"/>
            </a:ext>
          </a:extLst>
        </xdr:cNvPr>
        <xdr:cNvSpPr/>
      </xdr:nvSpPr>
      <xdr:spPr>
        <a:xfrm>
          <a:off x="0" y="7629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14</xdr:row>
      <xdr:rowOff>0</xdr:rowOff>
    </xdr:from>
    <xdr:to>
      <xdr:col>0</xdr:col>
      <xdr:colOff>1304926</xdr:colOff>
      <xdr:row>16</xdr:row>
      <xdr:rowOff>38099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826B93B-ED3C-49E2-BE30-564CBA5B9C06}"/>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A0C4F581-04F7-4B38-A284-78D832FC1E3F}"/>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44874B33-9039-406D-BC24-616573731315}"/>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F207231F-CF53-4854-B00F-013C6C5FC3FA}"/>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FA4A9879-9154-49BE-B6EB-054FE105F03E}"/>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F756C5F0-54F5-4614-A40E-456C50514078}"/>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A13C5B33-8695-4F2B-898F-C0D72F37326B}"/>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14FB0FC5-A503-4A14-868D-5E45BB1A06BB}"/>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6E7F9754-A8E4-41C6-B6FF-90B825EF756F}"/>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229993B1-612F-426A-BBD1-99B401E44093}"/>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576971C8-ECED-4A78-9B68-475B2D609E65}"/>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9E8EA558-6C4D-4ACD-9308-BDDDDAD8DBFF}"/>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DB4FFB8B-A204-45F2-9697-E4C914404E57}"/>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B38B2125-7B0C-400E-B837-F639FA170026}"/>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E48D1212-0624-4947-8820-3E87E735DD8C}"/>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xdr:row>
      <xdr:rowOff>0</xdr:rowOff>
    </xdr:from>
    <xdr:to>
      <xdr:col>0</xdr:col>
      <xdr:colOff>1304926</xdr:colOff>
      <xdr:row>16</xdr:row>
      <xdr:rowOff>38099</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00CC4144-2DB6-4DF8-8F65-5645692ED358}"/>
            </a:ext>
          </a:extLst>
        </xdr:cNvPr>
        <xdr:cNvSpPr/>
      </xdr:nvSpPr>
      <xdr:spPr>
        <a:xfrm>
          <a:off x="0" y="3609975"/>
          <a:ext cx="1304926" cy="4000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123264</xdr:colOff>
      <xdr:row>34</xdr:row>
      <xdr:rowOff>112059</xdr:rowOff>
    </xdr:from>
    <xdr:to>
      <xdr:col>0</xdr:col>
      <xdr:colOff>1428190</xdr:colOff>
      <xdr:row>38</xdr:row>
      <xdr:rowOff>30256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E375849-F118-47A1-8676-FA973C073175}"/>
            </a:ext>
          </a:extLst>
        </xdr:cNvPr>
        <xdr:cNvSpPr/>
      </xdr:nvSpPr>
      <xdr:spPr>
        <a:xfrm>
          <a:off x="123264" y="7417734"/>
          <a:ext cx="1304926" cy="48017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34</xdr:row>
      <xdr:rowOff>112059</xdr:rowOff>
    </xdr:from>
    <xdr:to>
      <xdr:col>0</xdr:col>
      <xdr:colOff>1428190</xdr:colOff>
      <xdr:row>38</xdr:row>
      <xdr:rowOff>30256</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F574BE4-EDC8-4DCB-8AAB-99B7B6DF4961}"/>
            </a:ext>
          </a:extLst>
        </xdr:cNvPr>
        <xdr:cNvSpPr/>
      </xdr:nvSpPr>
      <xdr:spPr>
        <a:xfrm>
          <a:off x="123264" y="7417734"/>
          <a:ext cx="1304926" cy="48017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34</xdr:row>
      <xdr:rowOff>112059</xdr:rowOff>
    </xdr:from>
    <xdr:to>
      <xdr:col>0</xdr:col>
      <xdr:colOff>1428190</xdr:colOff>
      <xdr:row>38</xdr:row>
      <xdr:rowOff>30256</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BDBAB236-AAD0-4A8B-9CBD-B4652282C046}"/>
            </a:ext>
          </a:extLst>
        </xdr:cNvPr>
        <xdr:cNvSpPr/>
      </xdr:nvSpPr>
      <xdr:spPr>
        <a:xfrm>
          <a:off x="123264" y="7417734"/>
          <a:ext cx="1304926" cy="48017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34</xdr:row>
      <xdr:rowOff>112059</xdr:rowOff>
    </xdr:from>
    <xdr:to>
      <xdr:col>0</xdr:col>
      <xdr:colOff>1428190</xdr:colOff>
      <xdr:row>38</xdr:row>
      <xdr:rowOff>30256</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EDA14B7F-24CB-496C-BEC6-CA0C94736D36}"/>
            </a:ext>
          </a:extLst>
        </xdr:cNvPr>
        <xdr:cNvSpPr/>
      </xdr:nvSpPr>
      <xdr:spPr>
        <a:xfrm>
          <a:off x="123264" y="7417734"/>
          <a:ext cx="1304926" cy="48017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34</xdr:row>
      <xdr:rowOff>112059</xdr:rowOff>
    </xdr:from>
    <xdr:to>
      <xdr:col>0</xdr:col>
      <xdr:colOff>1428190</xdr:colOff>
      <xdr:row>38</xdr:row>
      <xdr:rowOff>30256</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399DEA70-DAE1-48CB-91AB-F833ACA380DB}"/>
            </a:ext>
          </a:extLst>
        </xdr:cNvPr>
        <xdr:cNvSpPr/>
      </xdr:nvSpPr>
      <xdr:spPr>
        <a:xfrm>
          <a:off x="123264" y="7417734"/>
          <a:ext cx="1304926" cy="48017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34</xdr:row>
      <xdr:rowOff>112059</xdr:rowOff>
    </xdr:from>
    <xdr:to>
      <xdr:col>0</xdr:col>
      <xdr:colOff>1428190</xdr:colOff>
      <xdr:row>38</xdr:row>
      <xdr:rowOff>30256</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3C58C1C-668A-48C7-9ABE-6B0B12000AA6}"/>
            </a:ext>
          </a:extLst>
        </xdr:cNvPr>
        <xdr:cNvSpPr/>
      </xdr:nvSpPr>
      <xdr:spPr>
        <a:xfrm>
          <a:off x="123264" y="7417734"/>
          <a:ext cx="1304926" cy="48017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34</xdr:row>
      <xdr:rowOff>112059</xdr:rowOff>
    </xdr:from>
    <xdr:to>
      <xdr:col>0</xdr:col>
      <xdr:colOff>1428190</xdr:colOff>
      <xdr:row>38</xdr:row>
      <xdr:rowOff>30256</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E2C7FFA4-E01C-486A-80C4-D4B290611F98}"/>
            </a:ext>
          </a:extLst>
        </xdr:cNvPr>
        <xdr:cNvSpPr/>
      </xdr:nvSpPr>
      <xdr:spPr>
        <a:xfrm>
          <a:off x="123264" y="7417734"/>
          <a:ext cx="1304926" cy="48017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34</xdr:row>
      <xdr:rowOff>112059</xdr:rowOff>
    </xdr:from>
    <xdr:to>
      <xdr:col>0</xdr:col>
      <xdr:colOff>1428190</xdr:colOff>
      <xdr:row>38</xdr:row>
      <xdr:rowOff>30256</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EBFFAD83-F178-4395-951C-06E625675AB9}"/>
            </a:ext>
          </a:extLst>
        </xdr:cNvPr>
        <xdr:cNvSpPr/>
      </xdr:nvSpPr>
      <xdr:spPr>
        <a:xfrm>
          <a:off x="123264" y="7417734"/>
          <a:ext cx="1304926" cy="48017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34</xdr:row>
      <xdr:rowOff>112059</xdr:rowOff>
    </xdr:from>
    <xdr:to>
      <xdr:col>0</xdr:col>
      <xdr:colOff>1428190</xdr:colOff>
      <xdr:row>38</xdr:row>
      <xdr:rowOff>30256</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1ECA1D0C-9748-4215-B098-55CC63F9D9FB}"/>
            </a:ext>
          </a:extLst>
        </xdr:cNvPr>
        <xdr:cNvSpPr/>
      </xdr:nvSpPr>
      <xdr:spPr>
        <a:xfrm>
          <a:off x="123264" y="7417734"/>
          <a:ext cx="1304926" cy="48017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34</xdr:row>
      <xdr:rowOff>112059</xdr:rowOff>
    </xdr:from>
    <xdr:to>
      <xdr:col>0</xdr:col>
      <xdr:colOff>1428190</xdr:colOff>
      <xdr:row>38</xdr:row>
      <xdr:rowOff>30256</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5ABAF1BF-17CD-4FE2-91DB-B9A549A15048}"/>
            </a:ext>
          </a:extLst>
        </xdr:cNvPr>
        <xdr:cNvSpPr/>
      </xdr:nvSpPr>
      <xdr:spPr>
        <a:xfrm>
          <a:off x="123264" y="7417734"/>
          <a:ext cx="1304926" cy="48017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34</xdr:row>
      <xdr:rowOff>112059</xdr:rowOff>
    </xdr:from>
    <xdr:to>
      <xdr:col>0</xdr:col>
      <xdr:colOff>1428190</xdr:colOff>
      <xdr:row>38</xdr:row>
      <xdr:rowOff>30256</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F64DC987-5791-4121-AA65-76DF2EFA9DC1}"/>
            </a:ext>
          </a:extLst>
        </xdr:cNvPr>
        <xdr:cNvSpPr/>
      </xdr:nvSpPr>
      <xdr:spPr>
        <a:xfrm>
          <a:off x="123264" y="7417734"/>
          <a:ext cx="1304926" cy="48017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34</xdr:row>
      <xdr:rowOff>112059</xdr:rowOff>
    </xdr:from>
    <xdr:to>
      <xdr:col>0</xdr:col>
      <xdr:colOff>1428190</xdr:colOff>
      <xdr:row>38</xdr:row>
      <xdr:rowOff>30256</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F49E6770-9A40-46CB-BADF-3FE61A27CDD5}"/>
            </a:ext>
          </a:extLst>
        </xdr:cNvPr>
        <xdr:cNvSpPr/>
      </xdr:nvSpPr>
      <xdr:spPr>
        <a:xfrm>
          <a:off x="123264" y="7417734"/>
          <a:ext cx="1304926" cy="48017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33</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08D536E-1B3B-402A-94A4-6840277AC320}"/>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EA441757-7E36-440D-9070-A5DC96362C5B}"/>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E38C402F-2E1F-4BCF-BABB-31737FC9EEC5}"/>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784C84C8-2D9A-4B5B-AE83-4FD1F0607665}"/>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3C295ACE-4913-4FC5-AD21-2925947A7F18}"/>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B05FBC2-95CE-4A67-91AA-885F089A6C11}"/>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2C821BB9-21F0-4708-A714-636870C463CE}"/>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27AFFFF5-78D5-40C1-AD16-66319836B7AB}"/>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817A0A17-9744-45C9-ABBA-5D68942D66F9}"/>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E1A12C34-7AC0-4DAD-83A2-28E81324450F}"/>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D83D0439-FE53-48B0-B3E6-A6C2895735F0}"/>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0047323B-A509-40F2-B40B-2875C81F5238}"/>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DD452D95-4191-4029-84A5-74342E69D916}"/>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3F9DBF48-BCB1-4D3C-8660-6EC3EC40D63F}"/>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79CEF682-3759-47FC-A8E4-A5A56D64F8C7}"/>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C64198B9-765F-45D9-98C9-D29A5F90CCD3}"/>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8" name="Left Arrow 1">
          <a:hlinkClick xmlns:r="http://schemas.openxmlformats.org/officeDocument/2006/relationships" r:id="rId1"/>
          <a:extLst>
            <a:ext uri="{FF2B5EF4-FFF2-40B4-BE49-F238E27FC236}">
              <a16:creationId xmlns:a16="http://schemas.microsoft.com/office/drawing/2014/main" id="{DBF05102-8E99-4CF8-8D33-D7C97F18F7A5}"/>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9" name="Left Arrow 1">
          <a:hlinkClick xmlns:r="http://schemas.openxmlformats.org/officeDocument/2006/relationships" r:id="rId1"/>
          <a:extLst>
            <a:ext uri="{FF2B5EF4-FFF2-40B4-BE49-F238E27FC236}">
              <a16:creationId xmlns:a16="http://schemas.microsoft.com/office/drawing/2014/main" id="{2FECB7B0-C6B9-4FED-9E4E-55A018CDEEC0}"/>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0" name="Left Arrow 1">
          <a:hlinkClick xmlns:r="http://schemas.openxmlformats.org/officeDocument/2006/relationships" r:id="rId1"/>
          <a:extLst>
            <a:ext uri="{FF2B5EF4-FFF2-40B4-BE49-F238E27FC236}">
              <a16:creationId xmlns:a16="http://schemas.microsoft.com/office/drawing/2014/main" id="{30A22573-7FCE-45A9-8ED8-C697FC75D75E}"/>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1" name="Left Arrow 1">
          <a:hlinkClick xmlns:r="http://schemas.openxmlformats.org/officeDocument/2006/relationships" r:id="rId1"/>
          <a:extLst>
            <a:ext uri="{FF2B5EF4-FFF2-40B4-BE49-F238E27FC236}">
              <a16:creationId xmlns:a16="http://schemas.microsoft.com/office/drawing/2014/main" id="{EB17A245-A7C0-4EFC-B184-68F9317ED8A4}"/>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2" name="Left Arrow 1">
          <a:hlinkClick xmlns:r="http://schemas.openxmlformats.org/officeDocument/2006/relationships" r:id="rId1"/>
          <a:extLst>
            <a:ext uri="{FF2B5EF4-FFF2-40B4-BE49-F238E27FC236}">
              <a16:creationId xmlns:a16="http://schemas.microsoft.com/office/drawing/2014/main" id="{ABE58CB1-56FE-4366-A9C4-D6A621F41052}"/>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3" name="Left Arrow 1">
          <a:hlinkClick xmlns:r="http://schemas.openxmlformats.org/officeDocument/2006/relationships" r:id="rId1"/>
          <a:extLst>
            <a:ext uri="{FF2B5EF4-FFF2-40B4-BE49-F238E27FC236}">
              <a16:creationId xmlns:a16="http://schemas.microsoft.com/office/drawing/2014/main" id="{37E97414-9AD5-4BC3-968F-B8C361F1FB03}"/>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4" name="Left Arrow 1">
          <a:hlinkClick xmlns:r="http://schemas.openxmlformats.org/officeDocument/2006/relationships" r:id="rId1"/>
          <a:extLst>
            <a:ext uri="{FF2B5EF4-FFF2-40B4-BE49-F238E27FC236}">
              <a16:creationId xmlns:a16="http://schemas.microsoft.com/office/drawing/2014/main" id="{7CEC2F9C-5634-4063-A92E-39481CE6DBF6}"/>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5" name="Left Arrow 1">
          <a:hlinkClick xmlns:r="http://schemas.openxmlformats.org/officeDocument/2006/relationships" r:id="rId1"/>
          <a:extLst>
            <a:ext uri="{FF2B5EF4-FFF2-40B4-BE49-F238E27FC236}">
              <a16:creationId xmlns:a16="http://schemas.microsoft.com/office/drawing/2014/main" id="{060198DA-CC78-43CD-AB61-37494080B17B}"/>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6" name="Left Arrow 1">
          <a:hlinkClick xmlns:r="http://schemas.openxmlformats.org/officeDocument/2006/relationships" r:id="rId1"/>
          <a:extLst>
            <a:ext uri="{FF2B5EF4-FFF2-40B4-BE49-F238E27FC236}">
              <a16:creationId xmlns:a16="http://schemas.microsoft.com/office/drawing/2014/main" id="{022BA241-C96F-475F-A906-B8DE07AA40A7}"/>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7" name="Left Arrow 1">
          <a:hlinkClick xmlns:r="http://schemas.openxmlformats.org/officeDocument/2006/relationships" r:id="rId1"/>
          <a:extLst>
            <a:ext uri="{FF2B5EF4-FFF2-40B4-BE49-F238E27FC236}">
              <a16:creationId xmlns:a16="http://schemas.microsoft.com/office/drawing/2014/main" id="{63AA2C5E-C921-4C7A-8B67-626E5B028A63}"/>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8" name="Left Arrow 1">
          <a:hlinkClick xmlns:r="http://schemas.openxmlformats.org/officeDocument/2006/relationships" r:id="rId1"/>
          <a:extLst>
            <a:ext uri="{FF2B5EF4-FFF2-40B4-BE49-F238E27FC236}">
              <a16:creationId xmlns:a16="http://schemas.microsoft.com/office/drawing/2014/main" id="{2F781868-EFF0-4FB9-8AAF-F80626CF9BF6}"/>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9" name="Left Arrow 1">
          <a:hlinkClick xmlns:r="http://schemas.openxmlformats.org/officeDocument/2006/relationships" r:id="rId1"/>
          <a:extLst>
            <a:ext uri="{FF2B5EF4-FFF2-40B4-BE49-F238E27FC236}">
              <a16:creationId xmlns:a16="http://schemas.microsoft.com/office/drawing/2014/main" id="{51F59592-E8B8-46B8-8EE4-22202CB56DA7}"/>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0" name="Left Arrow 1">
          <a:hlinkClick xmlns:r="http://schemas.openxmlformats.org/officeDocument/2006/relationships" r:id="rId1"/>
          <a:extLst>
            <a:ext uri="{FF2B5EF4-FFF2-40B4-BE49-F238E27FC236}">
              <a16:creationId xmlns:a16="http://schemas.microsoft.com/office/drawing/2014/main" id="{BB5FC9B7-5BDB-416C-AD23-822B2E0F2884}"/>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1" name="Left Arrow 1">
          <a:hlinkClick xmlns:r="http://schemas.openxmlformats.org/officeDocument/2006/relationships" r:id="rId1"/>
          <a:extLst>
            <a:ext uri="{FF2B5EF4-FFF2-40B4-BE49-F238E27FC236}">
              <a16:creationId xmlns:a16="http://schemas.microsoft.com/office/drawing/2014/main" id="{307ADBCA-5C46-4CC5-8DD1-F6468B9AB631}"/>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2" name="Left Arrow 1">
          <a:hlinkClick xmlns:r="http://schemas.openxmlformats.org/officeDocument/2006/relationships" r:id="rId1"/>
          <a:extLst>
            <a:ext uri="{FF2B5EF4-FFF2-40B4-BE49-F238E27FC236}">
              <a16:creationId xmlns:a16="http://schemas.microsoft.com/office/drawing/2014/main" id="{AB9FBFF2-CB7B-46DC-8F1E-DFD513AFF1DC}"/>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3" name="Left Arrow 1">
          <a:hlinkClick xmlns:r="http://schemas.openxmlformats.org/officeDocument/2006/relationships" r:id="rId1"/>
          <a:extLst>
            <a:ext uri="{FF2B5EF4-FFF2-40B4-BE49-F238E27FC236}">
              <a16:creationId xmlns:a16="http://schemas.microsoft.com/office/drawing/2014/main" id="{56AF8774-8A14-41AB-9E23-C4C41B3C6128}"/>
            </a:ext>
          </a:extLst>
        </xdr:cNvPr>
        <xdr:cNvSpPr/>
      </xdr:nvSpPr>
      <xdr:spPr>
        <a:xfrm>
          <a:off x="0" y="1059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33</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586E62F-5EBF-4D11-B886-E89923D03769}"/>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1B02946E-C687-4DBC-8378-8E99D7470BB1}"/>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9A3A7B8F-EDA3-484D-A3F0-FA65E278ADF5}"/>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81FE15D3-41CE-46F7-B78F-F6AD8E295AA3}"/>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D127717D-515B-4B31-959D-0466C740CC67}"/>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6E8C2747-2469-4F1F-A4CF-D6547393CD1A}"/>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279806F8-79E7-41C9-95E9-FE80C5E71E2D}"/>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5E2DD0A9-5129-454D-9638-5D497EAA3E6E}"/>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D5EAE356-B44B-45B9-9860-D42ACF9F05C2}"/>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48341572-730E-4D15-892E-48E5B414167A}"/>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56E769DD-888B-484D-98B4-FBA71EC3AB3B}"/>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F4F8B375-A143-4D13-98E2-04C1DBAEA7C7}"/>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8BFC6352-C933-4769-816A-98C32AEFE0EC}"/>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21FB2728-63CE-4027-8D53-CFF2A44E9A68}"/>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F6A9A50E-9BC5-4E00-A9C4-F1BBB3B11A7E}"/>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7606004C-63A5-44E4-9F45-4DEDD2DC81F2}"/>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8" name="Left Arrow 1">
          <a:hlinkClick xmlns:r="http://schemas.openxmlformats.org/officeDocument/2006/relationships" r:id="rId1"/>
          <a:extLst>
            <a:ext uri="{FF2B5EF4-FFF2-40B4-BE49-F238E27FC236}">
              <a16:creationId xmlns:a16="http://schemas.microsoft.com/office/drawing/2014/main" id="{A447914C-4AA4-46A8-B1C3-E18E00EEA640}"/>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19" name="Left Arrow 1">
          <a:hlinkClick xmlns:r="http://schemas.openxmlformats.org/officeDocument/2006/relationships" r:id="rId1"/>
          <a:extLst>
            <a:ext uri="{FF2B5EF4-FFF2-40B4-BE49-F238E27FC236}">
              <a16:creationId xmlns:a16="http://schemas.microsoft.com/office/drawing/2014/main" id="{D43C1FAA-0E4C-411A-8B8C-CFD222359357}"/>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0" name="Left Arrow 1">
          <a:hlinkClick xmlns:r="http://schemas.openxmlformats.org/officeDocument/2006/relationships" r:id="rId1"/>
          <a:extLst>
            <a:ext uri="{FF2B5EF4-FFF2-40B4-BE49-F238E27FC236}">
              <a16:creationId xmlns:a16="http://schemas.microsoft.com/office/drawing/2014/main" id="{4331B43C-E2EF-4D91-BA2E-621979A1E546}"/>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1" name="Left Arrow 1">
          <a:hlinkClick xmlns:r="http://schemas.openxmlformats.org/officeDocument/2006/relationships" r:id="rId1"/>
          <a:extLst>
            <a:ext uri="{FF2B5EF4-FFF2-40B4-BE49-F238E27FC236}">
              <a16:creationId xmlns:a16="http://schemas.microsoft.com/office/drawing/2014/main" id="{4FFA306C-BBD1-486C-9194-45B492D308BF}"/>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2" name="Left Arrow 1">
          <a:hlinkClick xmlns:r="http://schemas.openxmlformats.org/officeDocument/2006/relationships" r:id="rId1"/>
          <a:extLst>
            <a:ext uri="{FF2B5EF4-FFF2-40B4-BE49-F238E27FC236}">
              <a16:creationId xmlns:a16="http://schemas.microsoft.com/office/drawing/2014/main" id="{482B2AB5-F03B-4C3A-882D-7E266DC5E285}"/>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3" name="Left Arrow 1">
          <a:hlinkClick xmlns:r="http://schemas.openxmlformats.org/officeDocument/2006/relationships" r:id="rId1"/>
          <a:extLst>
            <a:ext uri="{FF2B5EF4-FFF2-40B4-BE49-F238E27FC236}">
              <a16:creationId xmlns:a16="http://schemas.microsoft.com/office/drawing/2014/main" id="{51C3BD7A-4530-4BAC-A166-B2D985AD2BDD}"/>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4" name="Left Arrow 1">
          <a:hlinkClick xmlns:r="http://schemas.openxmlformats.org/officeDocument/2006/relationships" r:id="rId1"/>
          <a:extLst>
            <a:ext uri="{FF2B5EF4-FFF2-40B4-BE49-F238E27FC236}">
              <a16:creationId xmlns:a16="http://schemas.microsoft.com/office/drawing/2014/main" id="{B22C8D77-5710-4E64-97E6-C6B5146B8A9C}"/>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5" name="Left Arrow 1">
          <a:hlinkClick xmlns:r="http://schemas.openxmlformats.org/officeDocument/2006/relationships" r:id="rId1"/>
          <a:extLst>
            <a:ext uri="{FF2B5EF4-FFF2-40B4-BE49-F238E27FC236}">
              <a16:creationId xmlns:a16="http://schemas.microsoft.com/office/drawing/2014/main" id="{393CA6B1-C317-47EF-A7C9-469867C156FE}"/>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6" name="Left Arrow 1">
          <a:hlinkClick xmlns:r="http://schemas.openxmlformats.org/officeDocument/2006/relationships" r:id="rId1"/>
          <a:extLst>
            <a:ext uri="{FF2B5EF4-FFF2-40B4-BE49-F238E27FC236}">
              <a16:creationId xmlns:a16="http://schemas.microsoft.com/office/drawing/2014/main" id="{1824B60F-694D-43D3-AB26-9C35AB7ACD5D}"/>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7" name="Left Arrow 1">
          <a:hlinkClick xmlns:r="http://schemas.openxmlformats.org/officeDocument/2006/relationships" r:id="rId1"/>
          <a:extLst>
            <a:ext uri="{FF2B5EF4-FFF2-40B4-BE49-F238E27FC236}">
              <a16:creationId xmlns:a16="http://schemas.microsoft.com/office/drawing/2014/main" id="{3AC465A4-CC8E-42F1-A217-89D32355856F}"/>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8" name="Left Arrow 1">
          <a:hlinkClick xmlns:r="http://schemas.openxmlformats.org/officeDocument/2006/relationships" r:id="rId1"/>
          <a:extLst>
            <a:ext uri="{FF2B5EF4-FFF2-40B4-BE49-F238E27FC236}">
              <a16:creationId xmlns:a16="http://schemas.microsoft.com/office/drawing/2014/main" id="{77F3AF9B-3740-435D-B5D9-7FD9E45A1A92}"/>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29" name="Left Arrow 1">
          <a:hlinkClick xmlns:r="http://schemas.openxmlformats.org/officeDocument/2006/relationships" r:id="rId1"/>
          <a:extLst>
            <a:ext uri="{FF2B5EF4-FFF2-40B4-BE49-F238E27FC236}">
              <a16:creationId xmlns:a16="http://schemas.microsoft.com/office/drawing/2014/main" id="{2830192E-ECD8-496D-B1CD-5C8D7305A7D1}"/>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0" name="Left Arrow 1">
          <a:hlinkClick xmlns:r="http://schemas.openxmlformats.org/officeDocument/2006/relationships" r:id="rId1"/>
          <a:extLst>
            <a:ext uri="{FF2B5EF4-FFF2-40B4-BE49-F238E27FC236}">
              <a16:creationId xmlns:a16="http://schemas.microsoft.com/office/drawing/2014/main" id="{DC7B7D5A-B172-477B-AC3D-637FAFA9AAE8}"/>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1" name="Left Arrow 1">
          <a:hlinkClick xmlns:r="http://schemas.openxmlformats.org/officeDocument/2006/relationships" r:id="rId1"/>
          <a:extLst>
            <a:ext uri="{FF2B5EF4-FFF2-40B4-BE49-F238E27FC236}">
              <a16:creationId xmlns:a16="http://schemas.microsoft.com/office/drawing/2014/main" id="{DD22578F-9A6A-4068-AE61-B193D1864190}"/>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2" name="Left Arrow 1">
          <a:hlinkClick xmlns:r="http://schemas.openxmlformats.org/officeDocument/2006/relationships" r:id="rId1"/>
          <a:extLst>
            <a:ext uri="{FF2B5EF4-FFF2-40B4-BE49-F238E27FC236}">
              <a16:creationId xmlns:a16="http://schemas.microsoft.com/office/drawing/2014/main" id="{B644E0DD-5716-492F-A41E-0769E2CB3A45}"/>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3" name="Left Arrow 1">
          <a:hlinkClick xmlns:r="http://schemas.openxmlformats.org/officeDocument/2006/relationships" r:id="rId1"/>
          <a:extLst>
            <a:ext uri="{FF2B5EF4-FFF2-40B4-BE49-F238E27FC236}">
              <a16:creationId xmlns:a16="http://schemas.microsoft.com/office/drawing/2014/main" id="{5EFB4A56-5FAA-4932-BC17-48719BE3AC49}"/>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4" name="Left Arrow 1">
          <a:hlinkClick xmlns:r="http://schemas.openxmlformats.org/officeDocument/2006/relationships" r:id="rId1"/>
          <a:extLst>
            <a:ext uri="{FF2B5EF4-FFF2-40B4-BE49-F238E27FC236}">
              <a16:creationId xmlns:a16="http://schemas.microsoft.com/office/drawing/2014/main" id="{63BF8004-4F83-4BC0-96FF-327B0D065105}"/>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5" name="Left Arrow 1">
          <a:hlinkClick xmlns:r="http://schemas.openxmlformats.org/officeDocument/2006/relationships" r:id="rId1"/>
          <a:extLst>
            <a:ext uri="{FF2B5EF4-FFF2-40B4-BE49-F238E27FC236}">
              <a16:creationId xmlns:a16="http://schemas.microsoft.com/office/drawing/2014/main" id="{674A1839-7E85-485F-A081-158CABC421E7}"/>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6" name="Left Arrow 1">
          <a:hlinkClick xmlns:r="http://schemas.openxmlformats.org/officeDocument/2006/relationships" r:id="rId1"/>
          <a:extLst>
            <a:ext uri="{FF2B5EF4-FFF2-40B4-BE49-F238E27FC236}">
              <a16:creationId xmlns:a16="http://schemas.microsoft.com/office/drawing/2014/main" id="{CCFA1725-6E0B-4839-8F06-74791BA60318}"/>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7" name="Left Arrow 1">
          <a:hlinkClick xmlns:r="http://schemas.openxmlformats.org/officeDocument/2006/relationships" r:id="rId1"/>
          <a:extLst>
            <a:ext uri="{FF2B5EF4-FFF2-40B4-BE49-F238E27FC236}">
              <a16:creationId xmlns:a16="http://schemas.microsoft.com/office/drawing/2014/main" id="{31FD523C-E165-45A5-BB5A-ED97CB5B2BBF}"/>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8" name="Left Arrow 1">
          <a:hlinkClick xmlns:r="http://schemas.openxmlformats.org/officeDocument/2006/relationships" r:id="rId1"/>
          <a:extLst>
            <a:ext uri="{FF2B5EF4-FFF2-40B4-BE49-F238E27FC236}">
              <a16:creationId xmlns:a16="http://schemas.microsoft.com/office/drawing/2014/main" id="{92698121-7F50-4AFA-965A-A205E3BA9CE1}"/>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9" name="Left Arrow 1">
          <a:hlinkClick xmlns:r="http://schemas.openxmlformats.org/officeDocument/2006/relationships" r:id="rId1"/>
          <a:extLst>
            <a:ext uri="{FF2B5EF4-FFF2-40B4-BE49-F238E27FC236}">
              <a16:creationId xmlns:a16="http://schemas.microsoft.com/office/drawing/2014/main" id="{E76C226C-0F69-4AB4-A01D-462CBD84A3D6}"/>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0" name="Left Arrow 1">
          <a:hlinkClick xmlns:r="http://schemas.openxmlformats.org/officeDocument/2006/relationships" r:id="rId1"/>
          <a:extLst>
            <a:ext uri="{FF2B5EF4-FFF2-40B4-BE49-F238E27FC236}">
              <a16:creationId xmlns:a16="http://schemas.microsoft.com/office/drawing/2014/main" id="{B9DA2DD2-04E8-4EF0-8609-F662F9E2C445}"/>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1" name="Left Arrow 1">
          <a:hlinkClick xmlns:r="http://schemas.openxmlformats.org/officeDocument/2006/relationships" r:id="rId1"/>
          <a:extLst>
            <a:ext uri="{FF2B5EF4-FFF2-40B4-BE49-F238E27FC236}">
              <a16:creationId xmlns:a16="http://schemas.microsoft.com/office/drawing/2014/main" id="{FA9DC5ED-BCCA-4745-9B6E-DD2F02A21D52}"/>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2" name="Left Arrow 1">
          <a:hlinkClick xmlns:r="http://schemas.openxmlformats.org/officeDocument/2006/relationships" r:id="rId1"/>
          <a:extLst>
            <a:ext uri="{FF2B5EF4-FFF2-40B4-BE49-F238E27FC236}">
              <a16:creationId xmlns:a16="http://schemas.microsoft.com/office/drawing/2014/main" id="{8D95F6BF-5C1D-4D28-8E61-FD200E2768B0}"/>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3" name="Left Arrow 1">
          <a:hlinkClick xmlns:r="http://schemas.openxmlformats.org/officeDocument/2006/relationships" r:id="rId1"/>
          <a:extLst>
            <a:ext uri="{FF2B5EF4-FFF2-40B4-BE49-F238E27FC236}">
              <a16:creationId xmlns:a16="http://schemas.microsoft.com/office/drawing/2014/main" id="{47FBFF7F-16D8-48ED-B725-F77B74C7BAF7}"/>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4" name="Left Arrow 1">
          <a:hlinkClick xmlns:r="http://schemas.openxmlformats.org/officeDocument/2006/relationships" r:id="rId1"/>
          <a:extLst>
            <a:ext uri="{FF2B5EF4-FFF2-40B4-BE49-F238E27FC236}">
              <a16:creationId xmlns:a16="http://schemas.microsoft.com/office/drawing/2014/main" id="{B985AF17-D2F8-4560-BD8E-7153D121E0F3}"/>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5" name="Left Arrow 1">
          <a:hlinkClick xmlns:r="http://schemas.openxmlformats.org/officeDocument/2006/relationships" r:id="rId1"/>
          <a:extLst>
            <a:ext uri="{FF2B5EF4-FFF2-40B4-BE49-F238E27FC236}">
              <a16:creationId xmlns:a16="http://schemas.microsoft.com/office/drawing/2014/main" id="{E49AF330-CCCA-489B-AB76-7B30A48553CA}"/>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6" name="Left Arrow 1">
          <a:hlinkClick xmlns:r="http://schemas.openxmlformats.org/officeDocument/2006/relationships" r:id="rId1"/>
          <a:extLst>
            <a:ext uri="{FF2B5EF4-FFF2-40B4-BE49-F238E27FC236}">
              <a16:creationId xmlns:a16="http://schemas.microsoft.com/office/drawing/2014/main" id="{5934ADD6-0DAC-45AB-A02D-117D7DF68566}"/>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7" name="Left Arrow 1">
          <a:hlinkClick xmlns:r="http://schemas.openxmlformats.org/officeDocument/2006/relationships" r:id="rId1"/>
          <a:extLst>
            <a:ext uri="{FF2B5EF4-FFF2-40B4-BE49-F238E27FC236}">
              <a16:creationId xmlns:a16="http://schemas.microsoft.com/office/drawing/2014/main" id="{03201B20-FE36-451B-B490-8C3388EA9684}"/>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8" name="Left Arrow 1">
          <a:hlinkClick xmlns:r="http://schemas.openxmlformats.org/officeDocument/2006/relationships" r:id="rId1"/>
          <a:extLst>
            <a:ext uri="{FF2B5EF4-FFF2-40B4-BE49-F238E27FC236}">
              <a16:creationId xmlns:a16="http://schemas.microsoft.com/office/drawing/2014/main" id="{77BF8816-0748-44BF-AC5B-7A3122E4A617}"/>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49" name="Left Arrow 1">
          <a:hlinkClick xmlns:r="http://schemas.openxmlformats.org/officeDocument/2006/relationships" r:id="rId1"/>
          <a:extLst>
            <a:ext uri="{FF2B5EF4-FFF2-40B4-BE49-F238E27FC236}">
              <a16:creationId xmlns:a16="http://schemas.microsoft.com/office/drawing/2014/main" id="{1CCB2A32-B664-4597-AA67-F1A44E0B7D30}"/>
            </a:ext>
          </a:extLst>
        </xdr:cNvPr>
        <xdr:cNvSpPr/>
      </xdr:nvSpPr>
      <xdr:spPr>
        <a:xfrm>
          <a:off x="0" y="10439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1304926</xdr:colOff>
      <xdr:row>39</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482081-30AB-44C8-9107-576372AAE818}"/>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E1329B28-0BEA-4696-A8E4-A1E28174F86F}"/>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BDE7035A-9C3A-4696-B76D-25DE55DA87DF}"/>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3F503AD8-E3CC-4E2E-BBD5-D04CCB106B63}"/>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0910CB32-7C96-46C3-A938-E7BEEA238BFF}"/>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65FB1636-9D5A-4124-ADAA-9F44F1B8B17B}"/>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8013D33-06BD-4079-8F92-A5F3976469C1}"/>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B452FA8C-F989-4434-8470-7C6DA31D4AEB}"/>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552AEFEB-B506-42F7-B34D-04B0E96243DE}"/>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260CD809-89E0-4C74-8B59-158EC0B8A893}"/>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D4374CA3-FD93-4F0B-968A-C04FC333BCB6}"/>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CFA3E5AE-F1EF-42C4-9C92-CE8634D5A2E5}"/>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F193C93E-B278-4E43-B241-87DB4F071869}"/>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5E45BF8E-D211-4F25-ACD9-AEDD8C8074D5}"/>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18C22B0A-E53F-44D2-A652-369216656320}"/>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91E22A1D-9EC4-4F0F-826C-1131CC4C9B68}"/>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8" name="Left Arrow 1">
          <a:hlinkClick xmlns:r="http://schemas.openxmlformats.org/officeDocument/2006/relationships" r:id="rId1"/>
          <a:extLst>
            <a:ext uri="{FF2B5EF4-FFF2-40B4-BE49-F238E27FC236}">
              <a16:creationId xmlns:a16="http://schemas.microsoft.com/office/drawing/2014/main" id="{314948BC-2B97-4E95-AA59-5FEF5AD3DB2B}"/>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19" name="Left Arrow 1">
          <a:hlinkClick xmlns:r="http://schemas.openxmlformats.org/officeDocument/2006/relationships" r:id="rId1"/>
          <a:extLst>
            <a:ext uri="{FF2B5EF4-FFF2-40B4-BE49-F238E27FC236}">
              <a16:creationId xmlns:a16="http://schemas.microsoft.com/office/drawing/2014/main" id="{4D80BE0F-B215-4C59-9363-F033F730AD5F}"/>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0" name="Left Arrow 1">
          <a:hlinkClick xmlns:r="http://schemas.openxmlformats.org/officeDocument/2006/relationships" r:id="rId1"/>
          <a:extLst>
            <a:ext uri="{FF2B5EF4-FFF2-40B4-BE49-F238E27FC236}">
              <a16:creationId xmlns:a16="http://schemas.microsoft.com/office/drawing/2014/main" id="{BBDDA3DC-D2CA-41DF-A175-CEA15922BCC6}"/>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1" name="Left Arrow 1">
          <a:hlinkClick xmlns:r="http://schemas.openxmlformats.org/officeDocument/2006/relationships" r:id="rId1"/>
          <a:extLst>
            <a:ext uri="{FF2B5EF4-FFF2-40B4-BE49-F238E27FC236}">
              <a16:creationId xmlns:a16="http://schemas.microsoft.com/office/drawing/2014/main" id="{76B31E95-BAC5-4303-9040-2CF9BD8007BA}"/>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2" name="Left Arrow 1">
          <a:hlinkClick xmlns:r="http://schemas.openxmlformats.org/officeDocument/2006/relationships" r:id="rId1"/>
          <a:extLst>
            <a:ext uri="{FF2B5EF4-FFF2-40B4-BE49-F238E27FC236}">
              <a16:creationId xmlns:a16="http://schemas.microsoft.com/office/drawing/2014/main" id="{06FE1ECD-62D2-413B-81B7-D5F060EE8407}"/>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3" name="Left Arrow 1">
          <a:hlinkClick xmlns:r="http://schemas.openxmlformats.org/officeDocument/2006/relationships" r:id="rId1"/>
          <a:extLst>
            <a:ext uri="{FF2B5EF4-FFF2-40B4-BE49-F238E27FC236}">
              <a16:creationId xmlns:a16="http://schemas.microsoft.com/office/drawing/2014/main" id="{F470D6EA-C35C-4488-84F4-B843866BAE8A}"/>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4" name="Left Arrow 1">
          <a:hlinkClick xmlns:r="http://schemas.openxmlformats.org/officeDocument/2006/relationships" r:id="rId1"/>
          <a:extLst>
            <a:ext uri="{FF2B5EF4-FFF2-40B4-BE49-F238E27FC236}">
              <a16:creationId xmlns:a16="http://schemas.microsoft.com/office/drawing/2014/main" id="{EC60E442-FC43-4425-BCD1-3BB558A2F6A3}"/>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5" name="Left Arrow 1">
          <a:hlinkClick xmlns:r="http://schemas.openxmlformats.org/officeDocument/2006/relationships" r:id="rId1"/>
          <a:extLst>
            <a:ext uri="{FF2B5EF4-FFF2-40B4-BE49-F238E27FC236}">
              <a16:creationId xmlns:a16="http://schemas.microsoft.com/office/drawing/2014/main" id="{B3DD256E-5D98-4460-AA20-2E8DF7A7C49A}"/>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6" name="Left Arrow 1">
          <a:hlinkClick xmlns:r="http://schemas.openxmlformats.org/officeDocument/2006/relationships" r:id="rId1"/>
          <a:extLst>
            <a:ext uri="{FF2B5EF4-FFF2-40B4-BE49-F238E27FC236}">
              <a16:creationId xmlns:a16="http://schemas.microsoft.com/office/drawing/2014/main" id="{5E6C2D40-ADDC-4B57-B0BA-D679040FFA32}"/>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7" name="Left Arrow 1">
          <a:hlinkClick xmlns:r="http://schemas.openxmlformats.org/officeDocument/2006/relationships" r:id="rId1"/>
          <a:extLst>
            <a:ext uri="{FF2B5EF4-FFF2-40B4-BE49-F238E27FC236}">
              <a16:creationId xmlns:a16="http://schemas.microsoft.com/office/drawing/2014/main" id="{B1CBB19E-4204-46F8-9FDA-C1F4616382CA}"/>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8" name="Left Arrow 1">
          <a:hlinkClick xmlns:r="http://schemas.openxmlformats.org/officeDocument/2006/relationships" r:id="rId1"/>
          <a:extLst>
            <a:ext uri="{FF2B5EF4-FFF2-40B4-BE49-F238E27FC236}">
              <a16:creationId xmlns:a16="http://schemas.microsoft.com/office/drawing/2014/main" id="{14FDE840-7BC3-40A9-B016-4C3DAA0BF0A9}"/>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29" name="Left Arrow 1">
          <a:hlinkClick xmlns:r="http://schemas.openxmlformats.org/officeDocument/2006/relationships" r:id="rId1"/>
          <a:extLst>
            <a:ext uri="{FF2B5EF4-FFF2-40B4-BE49-F238E27FC236}">
              <a16:creationId xmlns:a16="http://schemas.microsoft.com/office/drawing/2014/main" id="{7FB70114-B745-43F6-ACE2-3E3F4152E94A}"/>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0" name="Left Arrow 1">
          <a:hlinkClick xmlns:r="http://schemas.openxmlformats.org/officeDocument/2006/relationships" r:id="rId1"/>
          <a:extLst>
            <a:ext uri="{FF2B5EF4-FFF2-40B4-BE49-F238E27FC236}">
              <a16:creationId xmlns:a16="http://schemas.microsoft.com/office/drawing/2014/main" id="{AEF33A94-B021-4C48-8380-C76F65284533}"/>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1" name="Left Arrow 1">
          <a:hlinkClick xmlns:r="http://schemas.openxmlformats.org/officeDocument/2006/relationships" r:id="rId1"/>
          <a:extLst>
            <a:ext uri="{FF2B5EF4-FFF2-40B4-BE49-F238E27FC236}">
              <a16:creationId xmlns:a16="http://schemas.microsoft.com/office/drawing/2014/main" id="{0E851F09-0069-40FF-8010-8295B88774E6}"/>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2" name="Left Arrow 1">
          <a:hlinkClick xmlns:r="http://schemas.openxmlformats.org/officeDocument/2006/relationships" r:id="rId1"/>
          <a:extLst>
            <a:ext uri="{FF2B5EF4-FFF2-40B4-BE49-F238E27FC236}">
              <a16:creationId xmlns:a16="http://schemas.microsoft.com/office/drawing/2014/main" id="{E6BB174F-477D-44FD-AD4F-1839274AC968}"/>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3" name="Left Arrow 1">
          <a:hlinkClick xmlns:r="http://schemas.openxmlformats.org/officeDocument/2006/relationships" r:id="rId1"/>
          <a:extLst>
            <a:ext uri="{FF2B5EF4-FFF2-40B4-BE49-F238E27FC236}">
              <a16:creationId xmlns:a16="http://schemas.microsoft.com/office/drawing/2014/main" id="{E06D1276-2DD7-4734-B5D8-C81233062578}"/>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1304926</xdr:colOff>
      <xdr:row>36</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8A3CEB8-5750-42E8-81BD-71511F2F708D}"/>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1180B043-3487-4300-80BE-8032D121AC8D}"/>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96B744E-7D00-4656-8954-192F5916D6AE}"/>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1AD81AAE-1A50-429A-A6D0-A4AAE1966F65}"/>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7B6C9804-D57B-4407-A5F2-8A081FF9B162}"/>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52EB215-0186-4CB0-A15C-AD14FD1E33E1}"/>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58E999E9-ADC0-40D4-B8BE-3D027EC0ED3E}"/>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61768E9E-5F4E-4B90-915F-11FB12FA98F1}"/>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DB18BDFB-6117-49A4-AB29-985BD685D045}"/>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B78D5E7D-9741-4E9E-BF11-2C7CCF9AB91C}"/>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25DEDB2A-0EDA-43E5-BC56-4DDF7E670FFF}"/>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79467C28-E959-48F8-9406-01F447375489}"/>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384B9220-8260-4056-99E1-14F8D9A509B7}"/>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DF7638BD-90BB-42C5-85BF-A6C6A6E22ABA}"/>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F87C6A2F-4158-44D2-AC41-BBC54C4E46D6}"/>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EEE596D1-347B-482C-B177-DD41DA31C952}"/>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8" name="Left Arrow 1">
          <a:hlinkClick xmlns:r="http://schemas.openxmlformats.org/officeDocument/2006/relationships" r:id="rId1"/>
          <a:extLst>
            <a:ext uri="{FF2B5EF4-FFF2-40B4-BE49-F238E27FC236}">
              <a16:creationId xmlns:a16="http://schemas.microsoft.com/office/drawing/2014/main" id="{7536469A-E8B1-4DEA-98D5-ACC778B8BF4A}"/>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19" name="Left Arrow 1">
          <a:hlinkClick xmlns:r="http://schemas.openxmlformats.org/officeDocument/2006/relationships" r:id="rId1"/>
          <a:extLst>
            <a:ext uri="{FF2B5EF4-FFF2-40B4-BE49-F238E27FC236}">
              <a16:creationId xmlns:a16="http://schemas.microsoft.com/office/drawing/2014/main" id="{FCC02857-EB28-4745-A263-01D35A4BEBFD}"/>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0" name="Left Arrow 1">
          <a:hlinkClick xmlns:r="http://schemas.openxmlformats.org/officeDocument/2006/relationships" r:id="rId1"/>
          <a:extLst>
            <a:ext uri="{FF2B5EF4-FFF2-40B4-BE49-F238E27FC236}">
              <a16:creationId xmlns:a16="http://schemas.microsoft.com/office/drawing/2014/main" id="{CD6A7A01-8435-4F97-BAE4-32C5AB855B7E}"/>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1" name="Left Arrow 1">
          <a:hlinkClick xmlns:r="http://schemas.openxmlformats.org/officeDocument/2006/relationships" r:id="rId1"/>
          <a:extLst>
            <a:ext uri="{FF2B5EF4-FFF2-40B4-BE49-F238E27FC236}">
              <a16:creationId xmlns:a16="http://schemas.microsoft.com/office/drawing/2014/main" id="{9B413FD9-3FD0-43D5-B30D-AD71BA0DD2ED}"/>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2" name="Left Arrow 1">
          <a:hlinkClick xmlns:r="http://schemas.openxmlformats.org/officeDocument/2006/relationships" r:id="rId1"/>
          <a:extLst>
            <a:ext uri="{FF2B5EF4-FFF2-40B4-BE49-F238E27FC236}">
              <a16:creationId xmlns:a16="http://schemas.microsoft.com/office/drawing/2014/main" id="{E78A7815-A6ED-49B2-B313-5285B38EB1D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3" name="Left Arrow 1">
          <a:hlinkClick xmlns:r="http://schemas.openxmlformats.org/officeDocument/2006/relationships" r:id="rId1"/>
          <a:extLst>
            <a:ext uri="{FF2B5EF4-FFF2-40B4-BE49-F238E27FC236}">
              <a16:creationId xmlns:a16="http://schemas.microsoft.com/office/drawing/2014/main" id="{00FA56EB-60DD-46F5-A263-E355836EA58E}"/>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4" name="Left Arrow 1">
          <a:hlinkClick xmlns:r="http://schemas.openxmlformats.org/officeDocument/2006/relationships" r:id="rId1"/>
          <a:extLst>
            <a:ext uri="{FF2B5EF4-FFF2-40B4-BE49-F238E27FC236}">
              <a16:creationId xmlns:a16="http://schemas.microsoft.com/office/drawing/2014/main" id="{5DB7818A-5405-4B2A-9CDA-A77BCE4A1908}"/>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5" name="Left Arrow 1">
          <a:hlinkClick xmlns:r="http://schemas.openxmlformats.org/officeDocument/2006/relationships" r:id="rId1"/>
          <a:extLst>
            <a:ext uri="{FF2B5EF4-FFF2-40B4-BE49-F238E27FC236}">
              <a16:creationId xmlns:a16="http://schemas.microsoft.com/office/drawing/2014/main" id="{387C3FE1-1C0A-4775-8132-BE0DDDECADC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6" name="Left Arrow 1">
          <a:hlinkClick xmlns:r="http://schemas.openxmlformats.org/officeDocument/2006/relationships" r:id="rId1"/>
          <a:extLst>
            <a:ext uri="{FF2B5EF4-FFF2-40B4-BE49-F238E27FC236}">
              <a16:creationId xmlns:a16="http://schemas.microsoft.com/office/drawing/2014/main" id="{58441144-B1C0-4E36-B733-46A8D06A2237}"/>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7" name="Left Arrow 1">
          <a:hlinkClick xmlns:r="http://schemas.openxmlformats.org/officeDocument/2006/relationships" r:id="rId1"/>
          <a:extLst>
            <a:ext uri="{FF2B5EF4-FFF2-40B4-BE49-F238E27FC236}">
              <a16:creationId xmlns:a16="http://schemas.microsoft.com/office/drawing/2014/main" id="{0D87D178-3E5D-46E6-A57E-F4220D36509A}"/>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8" name="Left Arrow 1">
          <a:hlinkClick xmlns:r="http://schemas.openxmlformats.org/officeDocument/2006/relationships" r:id="rId1"/>
          <a:extLst>
            <a:ext uri="{FF2B5EF4-FFF2-40B4-BE49-F238E27FC236}">
              <a16:creationId xmlns:a16="http://schemas.microsoft.com/office/drawing/2014/main" id="{B2F626BB-1E0B-47A1-9BC8-64C126BBA503}"/>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29" name="Left Arrow 1">
          <a:hlinkClick xmlns:r="http://schemas.openxmlformats.org/officeDocument/2006/relationships" r:id="rId1"/>
          <a:extLst>
            <a:ext uri="{FF2B5EF4-FFF2-40B4-BE49-F238E27FC236}">
              <a16:creationId xmlns:a16="http://schemas.microsoft.com/office/drawing/2014/main" id="{34DD883F-FDF8-44AE-9198-58D998121573}"/>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0" name="Left Arrow 1">
          <a:hlinkClick xmlns:r="http://schemas.openxmlformats.org/officeDocument/2006/relationships" r:id="rId1"/>
          <a:extLst>
            <a:ext uri="{FF2B5EF4-FFF2-40B4-BE49-F238E27FC236}">
              <a16:creationId xmlns:a16="http://schemas.microsoft.com/office/drawing/2014/main" id="{9FC5488D-178E-411D-8718-27827059905D}"/>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1" name="Left Arrow 1">
          <a:hlinkClick xmlns:r="http://schemas.openxmlformats.org/officeDocument/2006/relationships" r:id="rId1"/>
          <a:extLst>
            <a:ext uri="{FF2B5EF4-FFF2-40B4-BE49-F238E27FC236}">
              <a16:creationId xmlns:a16="http://schemas.microsoft.com/office/drawing/2014/main" id="{EDA00673-1E48-461F-837A-9C99221CE72B}"/>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2" name="Left Arrow 1">
          <a:hlinkClick xmlns:r="http://schemas.openxmlformats.org/officeDocument/2006/relationships" r:id="rId1"/>
          <a:extLst>
            <a:ext uri="{FF2B5EF4-FFF2-40B4-BE49-F238E27FC236}">
              <a16:creationId xmlns:a16="http://schemas.microsoft.com/office/drawing/2014/main" id="{B2C83466-E3F5-4394-A0A7-AE4B125A6CD3}"/>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3" name="Left Arrow 1">
          <a:hlinkClick xmlns:r="http://schemas.openxmlformats.org/officeDocument/2006/relationships" r:id="rId1"/>
          <a:extLst>
            <a:ext uri="{FF2B5EF4-FFF2-40B4-BE49-F238E27FC236}">
              <a16:creationId xmlns:a16="http://schemas.microsoft.com/office/drawing/2014/main" id="{0059CF5C-8712-4F23-A6E5-D2859FA62626}"/>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4" name="Left Arrow 1">
          <a:hlinkClick xmlns:r="http://schemas.openxmlformats.org/officeDocument/2006/relationships" r:id="rId1"/>
          <a:extLst>
            <a:ext uri="{FF2B5EF4-FFF2-40B4-BE49-F238E27FC236}">
              <a16:creationId xmlns:a16="http://schemas.microsoft.com/office/drawing/2014/main" id="{BB05157A-0580-471A-98C9-B5A2CF9B1524}"/>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5" name="Left Arrow 1">
          <a:hlinkClick xmlns:r="http://schemas.openxmlformats.org/officeDocument/2006/relationships" r:id="rId1"/>
          <a:extLst>
            <a:ext uri="{FF2B5EF4-FFF2-40B4-BE49-F238E27FC236}">
              <a16:creationId xmlns:a16="http://schemas.microsoft.com/office/drawing/2014/main" id="{E4F34F90-2DB8-4484-83A7-F0D5BFDEB688}"/>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6" name="Left Arrow 1">
          <a:hlinkClick xmlns:r="http://schemas.openxmlformats.org/officeDocument/2006/relationships" r:id="rId1"/>
          <a:extLst>
            <a:ext uri="{FF2B5EF4-FFF2-40B4-BE49-F238E27FC236}">
              <a16:creationId xmlns:a16="http://schemas.microsoft.com/office/drawing/2014/main" id="{6E818FAB-33D6-472F-9B67-B3AA44605292}"/>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7" name="Left Arrow 1">
          <a:hlinkClick xmlns:r="http://schemas.openxmlformats.org/officeDocument/2006/relationships" r:id="rId1"/>
          <a:extLst>
            <a:ext uri="{FF2B5EF4-FFF2-40B4-BE49-F238E27FC236}">
              <a16:creationId xmlns:a16="http://schemas.microsoft.com/office/drawing/2014/main" id="{E04DAF77-C0C3-4096-9991-9E1C2CA3CE3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8" name="Left Arrow 1">
          <a:hlinkClick xmlns:r="http://schemas.openxmlformats.org/officeDocument/2006/relationships" r:id="rId1"/>
          <a:extLst>
            <a:ext uri="{FF2B5EF4-FFF2-40B4-BE49-F238E27FC236}">
              <a16:creationId xmlns:a16="http://schemas.microsoft.com/office/drawing/2014/main" id="{9C1396D7-EE2E-48C3-A07C-6C92A593C39E}"/>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9" name="Left Arrow 1">
          <a:hlinkClick xmlns:r="http://schemas.openxmlformats.org/officeDocument/2006/relationships" r:id="rId1"/>
          <a:extLst>
            <a:ext uri="{FF2B5EF4-FFF2-40B4-BE49-F238E27FC236}">
              <a16:creationId xmlns:a16="http://schemas.microsoft.com/office/drawing/2014/main" id="{3AE88B6C-6782-4080-AE2A-E3B3537FC7F7}"/>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40" name="Left Arrow 1">
          <a:hlinkClick xmlns:r="http://schemas.openxmlformats.org/officeDocument/2006/relationships" r:id="rId1"/>
          <a:extLst>
            <a:ext uri="{FF2B5EF4-FFF2-40B4-BE49-F238E27FC236}">
              <a16:creationId xmlns:a16="http://schemas.microsoft.com/office/drawing/2014/main" id="{D861A655-6EDB-405D-9C03-79C1D49A5EFC}"/>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41" name="Left Arrow 1">
          <a:hlinkClick xmlns:r="http://schemas.openxmlformats.org/officeDocument/2006/relationships" r:id="rId1"/>
          <a:extLst>
            <a:ext uri="{FF2B5EF4-FFF2-40B4-BE49-F238E27FC236}">
              <a16:creationId xmlns:a16="http://schemas.microsoft.com/office/drawing/2014/main" id="{EB28E72E-2032-434E-9FCA-A0AE6D202923}"/>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42" name="Left Arrow 1">
          <a:hlinkClick xmlns:r="http://schemas.openxmlformats.org/officeDocument/2006/relationships" r:id="rId1"/>
          <a:extLst>
            <a:ext uri="{FF2B5EF4-FFF2-40B4-BE49-F238E27FC236}">
              <a16:creationId xmlns:a16="http://schemas.microsoft.com/office/drawing/2014/main" id="{57753D9F-4FCD-4538-A26E-5AAD7168AF7D}"/>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43" name="Left Arrow 1">
          <a:hlinkClick xmlns:r="http://schemas.openxmlformats.org/officeDocument/2006/relationships" r:id="rId1"/>
          <a:extLst>
            <a:ext uri="{FF2B5EF4-FFF2-40B4-BE49-F238E27FC236}">
              <a16:creationId xmlns:a16="http://schemas.microsoft.com/office/drawing/2014/main" id="{A3EEAB15-6B06-478E-A1D1-DD0C6D7D37DA}"/>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44" name="Left Arrow 1">
          <a:hlinkClick xmlns:r="http://schemas.openxmlformats.org/officeDocument/2006/relationships" r:id="rId1"/>
          <a:extLst>
            <a:ext uri="{FF2B5EF4-FFF2-40B4-BE49-F238E27FC236}">
              <a16:creationId xmlns:a16="http://schemas.microsoft.com/office/drawing/2014/main" id="{A25DBB62-0139-4998-BDFD-B38CC6F3796A}"/>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45" name="Left Arrow 1">
          <a:hlinkClick xmlns:r="http://schemas.openxmlformats.org/officeDocument/2006/relationships" r:id="rId1"/>
          <a:extLst>
            <a:ext uri="{FF2B5EF4-FFF2-40B4-BE49-F238E27FC236}">
              <a16:creationId xmlns:a16="http://schemas.microsoft.com/office/drawing/2014/main" id="{4CD8BB03-A641-4077-9347-A81990062273}"/>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46" name="Left Arrow 1">
          <a:hlinkClick xmlns:r="http://schemas.openxmlformats.org/officeDocument/2006/relationships" r:id="rId1"/>
          <a:extLst>
            <a:ext uri="{FF2B5EF4-FFF2-40B4-BE49-F238E27FC236}">
              <a16:creationId xmlns:a16="http://schemas.microsoft.com/office/drawing/2014/main" id="{E5A305FE-AABC-4648-A039-3495DCAAE46C}"/>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47" name="Left Arrow 1">
          <a:hlinkClick xmlns:r="http://schemas.openxmlformats.org/officeDocument/2006/relationships" r:id="rId1"/>
          <a:extLst>
            <a:ext uri="{FF2B5EF4-FFF2-40B4-BE49-F238E27FC236}">
              <a16:creationId xmlns:a16="http://schemas.microsoft.com/office/drawing/2014/main" id="{C0BC4920-B8E0-4E21-A619-47E3A0FFB16E}"/>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48" name="Left Arrow 1">
          <a:hlinkClick xmlns:r="http://schemas.openxmlformats.org/officeDocument/2006/relationships" r:id="rId1"/>
          <a:extLst>
            <a:ext uri="{FF2B5EF4-FFF2-40B4-BE49-F238E27FC236}">
              <a16:creationId xmlns:a16="http://schemas.microsoft.com/office/drawing/2014/main" id="{DFE52C1F-F50E-454C-B198-76FD3920EBB8}"/>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49" name="Left Arrow 1">
          <a:hlinkClick xmlns:r="http://schemas.openxmlformats.org/officeDocument/2006/relationships" r:id="rId1"/>
          <a:extLst>
            <a:ext uri="{FF2B5EF4-FFF2-40B4-BE49-F238E27FC236}">
              <a16:creationId xmlns:a16="http://schemas.microsoft.com/office/drawing/2014/main" id="{D05A495D-371E-4704-8482-603504D90FE2}"/>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50" name="Left Arrow 1">
          <a:hlinkClick xmlns:r="http://schemas.openxmlformats.org/officeDocument/2006/relationships" r:id="rId1"/>
          <a:extLst>
            <a:ext uri="{FF2B5EF4-FFF2-40B4-BE49-F238E27FC236}">
              <a16:creationId xmlns:a16="http://schemas.microsoft.com/office/drawing/2014/main" id="{23162263-AB81-4464-A445-2E59B39240AE}"/>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51" name="Left Arrow 1">
          <a:hlinkClick xmlns:r="http://schemas.openxmlformats.org/officeDocument/2006/relationships" r:id="rId1"/>
          <a:extLst>
            <a:ext uri="{FF2B5EF4-FFF2-40B4-BE49-F238E27FC236}">
              <a16:creationId xmlns:a16="http://schemas.microsoft.com/office/drawing/2014/main" id="{AB753381-45E6-422F-8877-89054FAA8982}"/>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52" name="Left Arrow 1">
          <a:hlinkClick xmlns:r="http://schemas.openxmlformats.org/officeDocument/2006/relationships" r:id="rId1"/>
          <a:extLst>
            <a:ext uri="{FF2B5EF4-FFF2-40B4-BE49-F238E27FC236}">
              <a16:creationId xmlns:a16="http://schemas.microsoft.com/office/drawing/2014/main" id="{8E08A4F9-3C81-47C0-A6EA-45A5899A91C5}"/>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53" name="Left Arrow 1">
          <a:hlinkClick xmlns:r="http://schemas.openxmlformats.org/officeDocument/2006/relationships" r:id="rId1"/>
          <a:extLst>
            <a:ext uri="{FF2B5EF4-FFF2-40B4-BE49-F238E27FC236}">
              <a16:creationId xmlns:a16="http://schemas.microsoft.com/office/drawing/2014/main" id="{CC1CEF65-8479-4069-BA6C-6D35229B1136}"/>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54" name="Left Arrow 1">
          <a:hlinkClick xmlns:r="http://schemas.openxmlformats.org/officeDocument/2006/relationships" r:id="rId1"/>
          <a:extLst>
            <a:ext uri="{FF2B5EF4-FFF2-40B4-BE49-F238E27FC236}">
              <a16:creationId xmlns:a16="http://schemas.microsoft.com/office/drawing/2014/main" id="{953DAADB-83D8-4E54-84CA-A18211926789}"/>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55" name="Left Arrow 1">
          <a:hlinkClick xmlns:r="http://schemas.openxmlformats.org/officeDocument/2006/relationships" r:id="rId1"/>
          <a:extLst>
            <a:ext uri="{FF2B5EF4-FFF2-40B4-BE49-F238E27FC236}">
              <a16:creationId xmlns:a16="http://schemas.microsoft.com/office/drawing/2014/main" id="{7A18761A-669D-4781-B780-AE2EB377076B}"/>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56" name="Left Arrow 1">
          <a:hlinkClick xmlns:r="http://schemas.openxmlformats.org/officeDocument/2006/relationships" r:id="rId1"/>
          <a:extLst>
            <a:ext uri="{FF2B5EF4-FFF2-40B4-BE49-F238E27FC236}">
              <a16:creationId xmlns:a16="http://schemas.microsoft.com/office/drawing/2014/main" id="{B227FC0A-2F89-48AD-BA97-84AE33571608}"/>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57" name="Left Arrow 1">
          <a:hlinkClick xmlns:r="http://schemas.openxmlformats.org/officeDocument/2006/relationships" r:id="rId1"/>
          <a:extLst>
            <a:ext uri="{FF2B5EF4-FFF2-40B4-BE49-F238E27FC236}">
              <a16:creationId xmlns:a16="http://schemas.microsoft.com/office/drawing/2014/main" id="{B4378963-345F-460E-AC1E-60226A2F887A}"/>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58" name="Left Arrow 1">
          <a:hlinkClick xmlns:r="http://schemas.openxmlformats.org/officeDocument/2006/relationships" r:id="rId1"/>
          <a:extLst>
            <a:ext uri="{FF2B5EF4-FFF2-40B4-BE49-F238E27FC236}">
              <a16:creationId xmlns:a16="http://schemas.microsoft.com/office/drawing/2014/main" id="{E5D8A1C1-19C2-4870-BB4F-03D2DEEA4977}"/>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59" name="Left Arrow 1">
          <a:hlinkClick xmlns:r="http://schemas.openxmlformats.org/officeDocument/2006/relationships" r:id="rId1"/>
          <a:extLst>
            <a:ext uri="{FF2B5EF4-FFF2-40B4-BE49-F238E27FC236}">
              <a16:creationId xmlns:a16="http://schemas.microsoft.com/office/drawing/2014/main" id="{BDCAF525-06A0-415E-AF0B-39A1CF893A92}"/>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60" name="Left Arrow 1">
          <a:hlinkClick xmlns:r="http://schemas.openxmlformats.org/officeDocument/2006/relationships" r:id="rId1"/>
          <a:extLst>
            <a:ext uri="{FF2B5EF4-FFF2-40B4-BE49-F238E27FC236}">
              <a16:creationId xmlns:a16="http://schemas.microsoft.com/office/drawing/2014/main" id="{1D8FD8F7-0EC0-46B8-9768-0A7F76E38F8D}"/>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61" name="Left Arrow 1">
          <a:hlinkClick xmlns:r="http://schemas.openxmlformats.org/officeDocument/2006/relationships" r:id="rId1"/>
          <a:extLst>
            <a:ext uri="{FF2B5EF4-FFF2-40B4-BE49-F238E27FC236}">
              <a16:creationId xmlns:a16="http://schemas.microsoft.com/office/drawing/2014/main" id="{6A9AF187-90FA-402C-8E4B-D3BF728DF83E}"/>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62" name="Left Arrow 1">
          <a:hlinkClick xmlns:r="http://schemas.openxmlformats.org/officeDocument/2006/relationships" r:id="rId1"/>
          <a:extLst>
            <a:ext uri="{FF2B5EF4-FFF2-40B4-BE49-F238E27FC236}">
              <a16:creationId xmlns:a16="http://schemas.microsoft.com/office/drawing/2014/main" id="{B8B9A351-A5D4-42ED-9911-11B799FCC518}"/>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63" name="Left Arrow 1">
          <a:hlinkClick xmlns:r="http://schemas.openxmlformats.org/officeDocument/2006/relationships" r:id="rId1"/>
          <a:extLst>
            <a:ext uri="{FF2B5EF4-FFF2-40B4-BE49-F238E27FC236}">
              <a16:creationId xmlns:a16="http://schemas.microsoft.com/office/drawing/2014/main" id="{F99A5044-0A18-4450-B771-395DA1D88330}"/>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64" name="Left Arrow 1">
          <a:hlinkClick xmlns:r="http://schemas.openxmlformats.org/officeDocument/2006/relationships" r:id="rId1"/>
          <a:extLst>
            <a:ext uri="{FF2B5EF4-FFF2-40B4-BE49-F238E27FC236}">
              <a16:creationId xmlns:a16="http://schemas.microsoft.com/office/drawing/2014/main" id="{2E15FB37-12E7-481D-BAED-9AC2871DDE7E}"/>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65" name="Left Arrow 1">
          <a:hlinkClick xmlns:r="http://schemas.openxmlformats.org/officeDocument/2006/relationships" r:id="rId1"/>
          <a:extLst>
            <a:ext uri="{FF2B5EF4-FFF2-40B4-BE49-F238E27FC236}">
              <a16:creationId xmlns:a16="http://schemas.microsoft.com/office/drawing/2014/main" id="{E08475EE-B225-4356-B9EF-A0D1E2B22A3D}"/>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66" name="Left Arrow 1">
          <a:hlinkClick xmlns:r="http://schemas.openxmlformats.org/officeDocument/2006/relationships" r:id="rId1"/>
          <a:extLst>
            <a:ext uri="{FF2B5EF4-FFF2-40B4-BE49-F238E27FC236}">
              <a16:creationId xmlns:a16="http://schemas.microsoft.com/office/drawing/2014/main" id="{8F581254-4AFB-44FA-92EA-20719A1BF5A3}"/>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67" name="Left Arrow 1">
          <a:hlinkClick xmlns:r="http://schemas.openxmlformats.org/officeDocument/2006/relationships" r:id="rId1"/>
          <a:extLst>
            <a:ext uri="{FF2B5EF4-FFF2-40B4-BE49-F238E27FC236}">
              <a16:creationId xmlns:a16="http://schemas.microsoft.com/office/drawing/2014/main" id="{5F789967-F0DF-4038-929B-E301357DA1C2}"/>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68" name="Left Arrow 1">
          <a:hlinkClick xmlns:r="http://schemas.openxmlformats.org/officeDocument/2006/relationships" r:id="rId1"/>
          <a:extLst>
            <a:ext uri="{FF2B5EF4-FFF2-40B4-BE49-F238E27FC236}">
              <a16:creationId xmlns:a16="http://schemas.microsoft.com/office/drawing/2014/main" id="{FBFEB573-2BFC-4295-9F9E-44E2202DD797}"/>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69" name="Left Arrow 1">
          <a:hlinkClick xmlns:r="http://schemas.openxmlformats.org/officeDocument/2006/relationships" r:id="rId1"/>
          <a:extLst>
            <a:ext uri="{FF2B5EF4-FFF2-40B4-BE49-F238E27FC236}">
              <a16:creationId xmlns:a16="http://schemas.microsoft.com/office/drawing/2014/main" id="{06D94728-D4D7-46D6-8B17-A362FAF50A3A}"/>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70" name="Left Arrow 1">
          <a:hlinkClick xmlns:r="http://schemas.openxmlformats.org/officeDocument/2006/relationships" r:id="rId1"/>
          <a:extLst>
            <a:ext uri="{FF2B5EF4-FFF2-40B4-BE49-F238E27FC236}">
              <a16:creationId xmlns:a16="http://schemas.microsoft.com/office/drawing/2014/main" id="{9B0441C7-C0BB-4118-89FA-36EB50BE33AF}"/>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71" name="Left Arrow 1">
          <a:hlinkClick xmlns:r="http://schemas.openxmlformats.org/officeDocument/2006/relationships" r:id="rId1"/>
          <a:extLst>
            <a:ext uri="{FF2B5EF4-FFF2-40B4-BE49-F238E27FC236}">
              <a16:creationId xmlns:a16="http://schemas.microsoft.com/office/drawing/2014/main" id="{A117F6B1-A35E-4900-8202-1195E23BDE15}"/>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72" name="Left Arrow 1">
          <a:hlinkClick xmlns:r="http://schemas.openxmlformats.org/officeDocument/2006/relationships" r:id="rId1"/>
          <a:extLst>
            <a:ext uri="{FF2B5EF4-FFF2-40B4-BE49-F238E27FC236}">
              <a16:creationId xmlns:a16="http://schemas.microsoft.com/office/drawing/2014/main" id="{99BAF2CC-9210-4DB7-9BC2-C5EBD76064DC}"/>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73" name="Left Arrow 1">
          <a:hlinkClick xmlns:r="http://schemas.openxmlformats.org/officeDocument/2006/relationships" r:id="rId1"/>
          <a:extLst>
            <a:ext uri="{FF2B5EF4-FFF2-40B4-BE49-F238E27FC236}">
              <a16:creationId xmlns:a16="http://schemas.microsoft.com/office/drawing/2014/main" id="{F6C4E1B6-1855-4BBC-B6A8-BEE2993A91E8}"/>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74" name="Left Arrow 1">
          <a:hlinkClick xmlns:r="http://schemas.openxmlformats.org/officeDocument/2006/relationships" r:id="rId1"/>
          <a:extLst>
            <a:ext uri="{FF2B5EF4-FFF2-40B4-BE49-F238E27FC236}">
              <a16:creationId xmlns:a16="http://schemas.microsoft.com/office/drawing/2014/main" id="{57FA93DA-3A7D-423D-99D0-678970646913}"/>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75" name="Left Arrow 1">
          <a:hlinkClick xmlns:r="http://schemas.openxmlformats.org/officeDocument/2006/relationships" r:id="rId1"/>
          <a:extLst>
            <a:ext uri="{FF2B5EF4-FFF2-40B4-BE49-F238E27FC236}">
              <a16:creationId xmlns:a16="http://schemas.microsoft.com/office/drawing/2014/main" id="{2ECFE3A7-CA97-4BD6-8770-5ED422FA7337}"/>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76" name="Left Arrow 1">
          <a:hlinkClick xmlns:r="http://schemas.openxmlformats.org/officeDocument/2006/relationships" r:id="rId1"/>
          <a:extLst>
            <a:ext uri="{FF2B5EF4-FFF2-40B4-BE49-F238E27FC236}">
              <a16:creationId xmlns:a16="http://schemas.microsoft.com/office/drawing/2014/main" id="{FA98C6AB-9EAE-4A2F-A13D-D3B68E2D9555}"/>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77" name="Left Arrow 1">
          <a:hlinkClick xmlns:r="http://schemas.openxmlformats.org/officeDocument/2006/relationships" r:id="rId1"/>
          <a:extLst>
            <a:ext uri="{FF2B5EF4-FFF2-40B4-BE49-F238E27FC236}">
              <a16:creationId xmlns:a16="http://schemas.microsoft.com/office/drawing/2014/main" id="{6199A228-AC1F-4EA3-9D8E-30FC3F9E7035}"/>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78" name="Left Arrow 1">
          <a:hlinkClick xmlns:r="http://schemas.openxmlformats.org/officeDocument/2006/relationships" r:id="rId1"/>
          <a:extLst>
            <a:ext uri="{FF2B5EF4-FFF2-40B4-BE49-F238E27FC236}">
              <a16:creationId xmlns:a16="http://schemas.microsoft.com/office/drawing/2014/main" id="{86FB6BF0-5709-4DE6-9FCA-3FCAF4058A98}"/>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79" name="Left Arrow 1">
          <a:hlinkClick xmlns:r="http://schemas.openxmlformats.org/officeDocument/2006/relationships" r:id="rId1"/>
          <a:extLst>
            <a:ext uri="{FF2B5EF4-FFF2-40B4-BE49-F238E27FC236}">
              <a16:creationId xmlns:a16="http://schemas.microsoft.com/office/drawing/2014/main" id="{075C5EA8-B71F-42A9-9698-B535671F630C}"/>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80" name="Left Arrow 1">
          <a:hlinkClick xmlns:r="http://schemas.openxmlformats.org/officeDocument/2006/relationships" r:id="rId1"/>
          <a:extLst>
            <a:ext uri="{FF2B5EF4-FFF2-40B4-BE49-F238E27FC236}">
              <a16:creationId xmlns:a16="http://schemas.microsoft.com/office/drawing/2014/main" id="{0F828272-4A3C-41C6-9402-4050E1A1F1B9}"/>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81" name="Left Arrow 1">
          <a:hlinkClick xmlns:r="http://schemas.openxmlformats.org/officeDocument/2006/relationships" r:id="rId1"/>
          <a:extLst>
            <a:ext uri="{FF2B5EF4-FFF2-40B4-BE49-F238E27FC236}">
              <a16:creationId xmlns:a16="http://schemas.microsoft.com/office/drawing/2014/main" id="{57E5DDD3-B196-49BA-9E6B-789E86748901}"/>
            </a:ext>
          </a:extLst>
        </xdr:cNvPr>
        <xdr:cNvSpPr/>
      </xdr:nvSpPr>
      <xdr:spPr>
        <a:xfrm>
          <a:off x="0" y="9229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37</xdr:row>
      <xdr:rowOff>221875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C83FB03-470A-4EC4-9224-AE6F5D73E006}"/>
            </a:ext>
          </a:extLst>
        </xdr:cNvPr>
        <xdr:cNvSpPr/>
      </xdr:nvSpPr>
      <xdr:spPr>
        <a:xfrm>
          <a:off x="0" y="9467850"/>
          <a:ext cx="1304926" cy="479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167</xdr:row>
      <xdr:rowOff>0</xdr:rowOff>
    </xdr:from>
    <xdr:to>
      <xdr:col>1</xdr:col>
      <xdr:colOff>180976</xdr:colOff>
      <xdr:row>169</xdr:row>
      <xdr:rowOff>117661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4D53D2D-6564-406D-9A09-3D78D0398237}"/>
            </a:ext>
          </a:extLst>
        </xdr:cNvPr>
        <xdr:cNvSpPr/>
      </xdr:nvSpPr>
      <xdr:spPr>
        <a:xfrm>
          <a:off x="0" y="8353425"/>
          <a:ext cx="1304926" cy="47961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33</xdr:row>
      <xdr:rowOff>0</xdr:rowOff>
    </xdr:from>
    <xdr:to>
      <xdr:col>0</xdr:col>
      <xdr:colOff>1304926</xdr:colOff>
      <xdr:row>35</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3950FF4-29CD-49F9-9ADF-4F0C0146D0A7}"/>
            </a:ext>
          </a:extLst>
        </xdr:cNvPr>
        <xdr:cNvSpPr/>
      </xdr:nvSpPr>
      <xdr:spPr>
        <a:xfrm>
          <a:off x="0" y="678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15ACA37-0EFD-44DD-BB8C-7936E0F3C8E9}"/>
            </a:ext>
          </a:extLst>
        </xdr:cNvPr>
        <xdr:cNvSpPr/>
      </xdr:nvSpPr>
      <xdr:spPr>
        <a:xfrm>
          <a:off x="0" y="678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4F32971A-C801-4FE3-8A49-A49EE02044C7}"/>
            </a:ext>
          </a:extLst>
        </xdr:cNvPr>
        <xdr:cNvSpPr/>
      </xdr:nvSpPr>
      <xdr:spPr>
        <a:xfrm>
          <a:off x="0" y="678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A924F01F-F212-48CF-894F-B68C65C370C8}"/>
            </a:ext>
          </a:extLst>
        </xdr:cNvPr>
        <xdr:cNvSpPr/>
      </xdr:nvSpPr>
      <xdr:spPr>
        <a:xfrm>
          <a:off x="0" y="678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4006EC01-4259-43B3-B0F7-5A455AD2D1E9}"/>
            </a:ext>
          </a:extLst>
        </xdr:cNvPr>
        <xdr:cNvSpPr/>
      </xdr:nvSpPr>
      <xdr:spPr>
        <a:xfrm>
          <a:off x="0" y="678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ACE0223F-A25B-4F56-9668-68CF39A4E000}"/>
            </a:ext>
          </a:extLst>
        </xdr:cNvPr>
        <xdr:cNvSpPr/>
      </xdr:nvSpPr>
      <xdr:spPr>
        <a:xfrm>
          <a:off x="0" y="678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B3DEF509-35AD-4C41-8252-6C41BDC943C7}"/>
            </a:ext>
          </a:extLst>
        </xdr:cNvPr>
        <xdr:cNvSpPr/>
      </xdr:nvSpPr>
      <xdr:spPr>
        <a:xfrm>
          <a:off x="0" y="678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xdr:row>
      <xdr:rowOff>0</xdr:rowOff>
    </xdr:from>
    <xdr:to>
      <xdr:col>0</xdr:col>
      <xdr:colOff>1304926</xdr:colOff>
      <xdr:row>35</xdr:row>
      <xdr:rowOff>38100</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C6E8E9A8-12DF-4F04-9C05-28D9969ABA61}"/>
            </a:ext>
          </a:extLst>
        </xdr:cNvPr>
        <xdr:cNvSpPr/>
      </xdr:nvSpPr>
      <xdr:spPr>
        <a:xfrm>
          <a:off x="0" y="6781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59</xdr:row>
      <xdr:rowOff>0</xdr:rowOff>
    </xdr:from>
    <xdr:to>
      <xdr:col>0</xdr:col>
      <xdr:colOff>1304926</xdr:colOff>
      <xdr:row>61</xdr:row>
      <xdr:rowOff>40217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45E9FB8-BA7B-4743-940A-D7EE6C6C5AA0}"/>
            </a:ext>
          </a:extLst>
        </xdr:cNvPr>
        <xdr:cNvSpPr/>
      </xdr:nvSpPr>
      <xdr:spPr>
        <a:xfrm>
          <a:off x="0" y="10887075"/>
          <a:ext cx="1304926" cy="4021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59</xdr:row>
      <xdr:rowOff>0</xdr:rowOff>
    </xdr:from>
    <xdr:to>
      <xdr:col>0</xdr:col>
      <xdr:colOff>1304926</xdr:colOff>
      <xdr:row>61</xdr:row>
      <xdr:rowOff>40217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109665B9-8BDE-47D8-8B40-86B0CFC0FF56}"/>
            </a:ext>
          </a:extLst>
        </xdr:cNvPr>
        <xdr:cNvSpPr/>
      </xdr:nvSpPr>
      <xdr:spPr>
        <a:xfrm>
          <a:off x="0" y="10668000"/>
          <a:ext cx="1304926" cy="4021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197</xdr:row>
      <xdr:rowOff>0</xdr:rowOff>
    </xdr:from>
    <xdr:to>
      <xdr:col>1</xdr:col>
      <xdr:colOff>476251</xdr:colOff>
      <xdr:row>198</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A13C859-D773-4190-AEFA-D092BBC6FEED}"/>
            </a:ext>
          </a:extLst>
        </xdr:cNvPr>
        <xdr:cNvSpPr/>
      </xdr:nvSpPr>
      <xdr:spPr>
        <a:xfrm>
          <a:off x="0" y="7715250"/>
          <a:ext cx="1647826" cy="44767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160</xdr:row>
      <xdr:rowOff>0</xdr:rowOff>
    </xdr:from>
    <xdr:to>
      <xdr:col>1</xdr:col>
      <xdr:colOff>353719</xdr:colOff>
      <xdr:row>161</xdr:row>
      <xdr:rowOff>185053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10EBE3C-81FB-424A-B00F-59ECFECB75A3}"/>
            </a:ext>
          </a:extLst>
        </xdr:cNvPr>
        <xdr:cNvSpPr/>
      </xdr:nvSpPr>
      <xdr:spPr>
        <a:xfrm>
          <a:off x="0" y="10906125"/>
          <a:ext cx="1277644" cy="39460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33</xdr:row>
      <xdr:rowOff>175933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8A7490B-58D5-46B3-AAB0-5A52196A880D}"/>
            </a:ext>
          </a:extLst>
        </xdr:cNvPr>
        <xdr:cNvSpPr/>
      </xdr:nvSpPr>
      <xdr:spPr>
        <a:xfrm>
          <a:off x="0" y="6343650"/>
          <a:ext cx="1304926" cy="3950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175933</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33C40BE-0157-4517-803C-91FD828C3B0A}"/>
            </a:ext>
          </a:extLst>
        </xdr:cNvPr>
        <xdr:cNvSpPr/>
      </xdr:nvSpPr>
      <xdr:spPr>
        <a:xfrm>
          <a:off x="0" y="6343650"/>
          <a:ext cx="1304926" cy="3950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175933</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719F821C-A7A8-4DE4-9F1E-D42AA74ACA97}"/>
            </a:ext>
          </a:extLst>
        </xdr:cNvPr>
        <xdr:cNvSpPr/>
      </xdr:nvSpPr>
      <xdr:spPr>
        <a:xfrm>
          <a:off x="0" y="6343650"/>
          <a:ext cx="1304926" cy="3950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175933</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18A42EB0-E4B8-48D5-B1F3-9AE5966CCE64}"/>
            </a:ext>
          </a:extLst>
        </xdr:cNvPr>
        <xdr:cNvSpPr/>
      </xdr:nvSpPr>
      <xdr:spPr>
        <a:xfrm>
          <a:off x="0" y="6343650"/>
          <a:ext cx="1304926" cy="3950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175933</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8B62395C-FD95-4133-97C3-07C404E49C51}"/>
            </a:ext>
          </a:extLst>
        </xdr:cNvPr>
        <xdr:cNvSpPr/>
      </xdr:nvSpPr>
      <xdr:spPr>
        <a:xfrm>
          <a:off x="0" y="6343650"/>
          <a:ext cx="1304926" cy="3950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175933</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2D1FC738-0A97-43F9-B441-1A938D002BC0}"/>
            </a:ext>
          </a:extLst>
        </xdr:cNvPr>
        <xdr:cNvSpPr/>
      </xdr:nvSpPr>
      <xdr:spPr>
        <a:xfrm>
          <a:off x="0" y="6343650"/>
          <a:ext cx="1304926" cy="3950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175933</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61ECFD4D-F139-4879-810D-A4D27C533EF1}"/>
            </a:ext>
          </a:extLst>
        </xdr:cNvPr>
        <xdr:cNvSpPr/>
      </xdr:nvSpPr>
      <xdr:spPr>
        <a:xfrm>
          <a:off x="0" y="6343650"/>
          <a:ext cx="1304926" cy="3950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175933</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55C66F43-BCFA-47A9-95D6-42F5C6BFC6C4}"/>
            </a:ext>
          </a:extLst>
        </xdr:cNvPr>
        <xdr:cNvSpPr/>
      </xdr:nvSpPr>
      <xdr:spPr>
        <a:xfrm>
          <a:off x="0" y="6343650"/>
          <a:ext cx="1304926" cy="39500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38100</xdr:colOff>
      <xdr:row>163</xdr:row>
      <xdr:rowOff>87086</xdr:rowOff>
    </xdr:from>
    <xdr:to>
      <xdr:col>1</xdr:col>
      <xdr:colOff>328551</xdr:colOff>
      <xdr:row>165</xdr:row>
      <xdr:rowOff>70217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D995AAC-CFC0-4A41-A057-EEA89BD6B962}"/>
            </a:ext>
          </a:extLst>
        </xdr:cNvPr>
        <xdr:cNvSpPr/>
      </xdr:nvSpPr>
      <xdr:spPr>
        <a:xfrm>
          <a:off x="38100" y="12260036"/>
          <a:ext cx="1271526" cy="4022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34018</xdr:colOff>
      <xdr:row>159</xdr:row>
      <xdr:rowOff>96157</xdr:rowOff>
    </xdr:from>
    <xdr:to>
      <xdr:col>1</xdr:col>
      <xdr:colOff>415627</xdr:colOff>
      <xdr:row>161</xdr:row>
      <xdr:rowOff>78548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89B2824-316F-45F0-93B7-3A3DB53C7F4D}"/>
            </a:ext>
          </a:extLst>
        </xdr:cNvPr>
        <xdr:cNvSpPr/>
      </xdr:nvSpPr>
      <xdr:spPr>
        <a:xfrm>
          <a:off x="34018" y="12059557"/>
          <a:ext cx="1000734" cy="3919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13855</xdr:colOff>
      <xdr:row>48</xdr:row>
      <xdr:rowOff>78798</xdr:rowOff>
    </xdr:from>
    <xdr:to>
      <xdr:col>0</xdr:col>
      <xdr:colOff>1280733</xdr:colOff>
      <xdr:row>49</xdr:row>
      <xdr:rowOff>233178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4C517F9-39BE-4329-B933-7A6EAFC7E643}"/>
            </a:ext>
          </a:extLst>
        </xdr:cNvPr>
        <xdr:cNvSpPr/>
      </xdr:nvSpPr>
      <xdr:spPr>
        <a:xfrm>
          <a:off x="13855" y="11594523"/>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13855</xdr:colOff>
      <xdr:row>48</xdr:row>
      <xdr:rowOff>78798</xdr:rowOff>
    </xdr:from>
    <xdr:to>
      <xdr:col>0</xdr:col>
      <xdr:colOff>1280733</xdr:colOff>
      <xdr:row>49</xdr:row>
      <xdr:rowOff>233178</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32EBC0E5-76FC-469C-BECE-480C436FEBE7}"/>
            </a:ext>
          </a:extLst>
        </xdr:cNvPr>
        <xdr:cNvSpPr/>
      </xdr:nvSpPr>
      <xdr:spPr>
        <a:xfrm>
          <a:off x="13855" y="11594523"/>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26</xdr:row>
      <xdr:rowOff>0</xdr:rowOff>
    </xdr:from>
    <xdr:to>
      <xdr:col>0</xdr:col>
      <xdr:colOff>1273495</xdr:colOff>
      <xdr:row>27</xdr:row>
      <xdr:rowOff>189344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0084D6D-C267-49ED-8812-A29DDB94151E}"/>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31F67621-BEC2-4E68-BC1F-76446450FFD8}"/>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96385375-0C64-4F5C-B640-2A21AD08A4F7}"/>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C46EDDB8-8207-4A11-B2A6-49C7383F957D}"/>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CAEA3E53-6CF6-4585-832A-D03B866DDE07}"/>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DEF72ABF-821E-4E22-BF58-40555259D218}"/>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7544F268-6E34-4AEE-9DAB-764DC6805295}"/>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553CE7D0-A2FB-45EB-954D-C430CF2294C3}"/>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FFC12E6F-4DE7-4496-A48C-2164A3FC71DA}"/>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1" name="Left Arrow 1">
          <a:hlinkClick xmlns:r="http://schemas.openxmlformats.org/officeDocument/2006/relationships" r:id="rId1"/>
          <a:extLst>
            <a:ext uri="{FF2B5EF4-FFF2-40B4-BE49-F238E27FC236}">
              <a16:creationId xmlns:a16="http://schemas.microsoft.com/office/drawing/2014/main" id="{5050D89D-6E85-44B3-810F-31C0C78073BD}"/>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42959AA9-2A77-4406-9A88-E5A8705F2FFA}"/>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3" name="Left Arrow 1">
          <a:hlinkClick xmlns:r="http://schemas.openxmlformats.org/officeDocument/2006/relationships" r:id="rId1"/>
          <a:extLst>
            <a:ext uri="{FF2B5EF4-FFF2-40B4-BE49-F238E27FC236}">
              <a16:creationId xmlns:a16="http://schemas.microsoft.com/office/drawing/2014/main" id="{2A59D975-5A61-477A-A32E-0A5DC7247288}"/>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4" name="Left Arrow 1">
          <a:hlinkClick xmlns:r="http://schemas.openxmlformats.org/officeDocument/2006/relationships" r:id="rId1"/>
          <a:extLst>
            <a:ext uri="{FF2B5EF4-FFF2-40B4-BE49-F238E27FC236}">
              <a16:creationId xmlns:a16="http://schemas.microsoft.com/office/drawing/2014/main" id="{8CF3025B-0069-4FFC-9BFE-8BB28B518B7F}"/>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5" name="Left Arrow 1">
          <a:hlinkClick xmlns:r="http://schemas.openxmlformats.org/officeDocument/2006/relationships" r:id="rId1"/>
          <a:extLst>
            <a:ext uri="{FF2B5EF4-FFF2-40B4-BE49-F238E27FC236}">
              <a16:creationId xmlns:a16="http://schemas.microsoft.com/office/drawing/2014/main" id="{80ECFF48-F7F4-460D-8924-61021B25E75A}"/>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6" name="Left Arrow 1">
          <a:hlinkClick xmlns:r="http://schemas.openxmlformats.org/officeDocument/2006/relationships" r:id="rId1"/>
          <a:extLst>
            <a:ext uri="{FF2B5EF4-FFF2-40B4-BE49-F238E27FC236}">
              <a16:creationId xmlns:a16="http://schemas.microsoft.com/office/drawing/2014/main" id="{2711A950-52E5-4515-ACFB-E85C3F38E7D3}"/>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7" name="Left Arrow 1">
          <a:hlinkClick xmlns:r="http://schemas.openxmlformats.org/officeDocument/2006/relationships" r:id="rId1"/>
          <a:extLst>
            <a:ext uri="{FF2B5EF4-FFF2-40B4-BE49-F238E27FC236}">
              <a16:creationId xmlns:a16="http://schemas.microsoft.com/office/drawing/2014/main" id="{56A67C22-C09E-4EB1-A669-7C46C33E83D8}"/>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8" name="Left Arrow 1">
          <a:hlinkClick xmlns:r="http://schemas.openxmlformats.org/officeDocument/2006/relationships" r:id="rId1"/>
          <a:extLst>
            <a:ext uri="{FF2B5EF4-FFF2-40B4-BE49-F238E27FC236}">
              <a16:creationId xmlns:a16="http://schemas.microsoft.com/office/drawing/2014/main" id="{3DE21202-4832-4387-B094-3C387AE9E8C0}"/>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19" name="Left Arrow 1">
          <a:hlinkClick xmlns:r="http://schemas.openxmlformats.org/officeDocument/2006/relationships" r:id="rId1"/>
          <a:extLst>
            <a:ext uri="{FF2B5EF4-FFF2-40B4-BE49-F238E27FC236}">
              <a16:creationId xmlns:a16="http://schemas.microsoft.com/office/drawing/2014/main" id="{04423DA5-B5AB-44ED-9324-3A13314FABA7}"/>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0" name="Left Arrow 1">
          <a:hlinkClick xmlns:r="http://schemas.openxmlformats.org/officeDocument/2006/relationships" r:id="rId1"/>
          <a:extLst>
            <a:ext uri="{FF2B5EF4-FFF2-40B4-BE49-F238E27FC236}">
              <a16:creationId xmlns:a16="http://schemas.microsoft.com/office/drawing/2014/main" id="{2F7142B1-5DF7-4E73-8133-ED9128052D92}"/>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1" name="Left Arrow 1">
          <a:hlinkClick xmlns:r="http://schemas.openxmlformats.org/officeDocument/2006/relationships" r:id="rId1"/>
          <a:extLst>
            <a:ext uri="{FF2B5EF4-FFF2-40B4-BE49-F238E27FC236}">
              <a16:creationId xmlns:a16="http://schemas.microsoft.com/office/drawing/2014/main" id="{7F2FFCD6-FEC1-453D-A657-EDF643DC77E7}"/>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2" name="Left Arrow 1">
          <a:hlinkClick xmlns:r="http://schemas.openxmlformats.org/officeDocument/2006/relationships" r:id="rId1"/>
          <a:extLst>
            <a:ext uri="{FF2B5EF4-FFF2-40B4-BE49-F238E27FC236}">
              <a16:creationId xmlns:a16="http://schemas.microsoft.com/office/drawing/2014/main" id="{A1688381-FDD0-47F2-8DC3-D3D1945B9C01}"/>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3" name="Left Arrow 1">
          <a:hlinkClick xmlns:r="http://schemas.openxmlformats.org/officeDocument/2006/relationships" r:id="rId1"/>
          <a:extLst>
            <a:ext uri="{FF2B5EF4-FFF2-40B4-BE49-F238E27FC236}">
              <a16:creationId xmlns:a16="http://schemas.microsoft.com/office/drawing/2014/main" id="{8CC01006-71F8-47A1-B9EC-E792E774C100}"/>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4" name="Left Arrow 1">
          <a:hlinkClick xmlns:r="http://schemas.openxmlformats.org/officeDocument/2006/relationships" r:id="rId1"/>
          <a:extLst>
            <a:ext uri="{FF2B5EF4-FFF2-40B4-BE49-F238E27FC236}">
              <a16:creationId xmlns:a16="http://schemas.microsoft.com/office/drawing/2014/main" id="{75E0EA75-0EFF-4391-AC77-18DF68894757}"/>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5" name="Left Arrow 1">
          <a:hlinkClick xmlns:r="http://schemas.openxmlformats.org/officeDocument/2006/relationships" r:id="rId1"/>
          <a:extLst>
            <a:ext uri="{FF2B5EF4-FFF2-40B4-BE49-F238E27FC236}">
              <a16:creationId xmlns:a16="http://schemas.microsoft.com/office/drawing/2014/main" id="{9D739785-F606-4DF4-A0FE-2850866DDABC}"/>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6" name="Left Arrow 1">
          <a:hlinkClick xmlns:r="http://schemas.openxmlformats.org/officeDocument/2006/relationships" r:id="rId1"/>
          <a:extLst>
            <a:ext uri="{FF2B5EF4-FFF2-40B4-BE49-F238E27FC236}">
              <a16:creationId xmlns:a16="http://schemas.microsoft.com/office/drawing/2014/main" id="{7D5136BD-30C6-4525-8FE0-1C1BA9EDE2E3}"/>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7" name="Left Arrow 1">
          <a:hlinkClick xmlns:r="http://schemas.openxmlformats.org/officeDocument/2006/relationships" r:id="rId1"/>
          <a:extLst>
            <a:ext uri="{FF2B5EF4-FFF2-40B4-BE49-F238E27FC236}">
              <a16:creationId xmlns:a16="http://schemas.microsoft.com/office/drawing/2014/main" id="{E5C9466A-30C8-4E24-A726-0898940B7554}"/>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8" name="Left Arrow 1">
          <a:hlinkClick xmlns:r="http://schemas.openxmlformats.org/officeDocument/2006/relationships" r:id="rId1"/>
          <a:extLst>
            <a:ext uri="{FF2B5EF4-FFF2-40B4-BE49-F238E27FC236}">
              <a16:creationId xmlns:a16="http://schemas.microsoft.com/office/drawing/2014/main" id="{C268E471-20A6-4700-86C1-0A39B20D3876}"/>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29" name="Left Arrow 1">
          <a:hlinkClick xmlns:r="http://schemas.openxmlformats.org/officeDocument/2006/relationships" r:id="rId1"/>
          <a:extLst>
            <a:ext uri="{FF2B5EF4-FFF2-40B4-BE49-F238E27FC236}">
              <a16:creationId xmlns:a16="http://schemas.microsoft.com/office/drawing/2014/main" id="{74CD67D1-B9E3-42FD-8965-158FCD110B3E}"/>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30" name="Left Arrow 1">
          <a:hlinkClick xmlns:r="http://schemas.openxmlformats.org/officeDocument/2006/relationships" r:id="rId1"/>
          <a:extLst>
            <a:ext uri="{FF2B5EF4-FFF2-40B4-BE49-F238E27FC236}">
              <a16:creationId xmlns:a16="http://schemas.microsoft.com/office/drawing/2014/main" id="{05A734CB-96A6-41F7-8993-2E499AE73CA9}"/>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31" name="Left Arrow 1">
          <a:hlinkClick xmlns:r="http://schemas.openxmlformats.org/officeDocument/2006/relationships" r:id="rId1"/>
          <a:extLst>
            <a:ext uri="{FF2B5EF4-FFF2-40B4-BE49-F238E27FC236}">
              <a16:creationId xmlns:a16="http://schemas.microsoft.com/office/drawing/2014/main" id="{199F3FA4-13DC-4285-B02A-3650D8EB11F0}"/>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32" name="Left Arrow 1">
          <a:hlinkClick xmlns:r="http://schemas.openxmlformats.org/officeDocument/2006/relationships" r:id="rId1"/>
          <a:extLst>
            <a:ext uri="{FF2B5EF4-FFF2-40B4-BE49-F238E27FC236}">
              <a16:creationId xmlns:a16="http://schemas.microsoft.com/office/drawing/2014/main" id="{D8FA6135-5ECA-453A-A1AB-0D7A27F396F4}"/>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0</xdr:col>
      <xdr:colOff>1273495</xdr:colOff>
      <xdr:row>27</xdr:row>
      <xdr:rowOff>189344</xdr:rowOff>
    </xdr:to>
    <xdr:sp macro="" textlink="">
      <xdr:nvSpPr>
        <xdr:cNvPr id="33" name="Left Arrow 1">
          <a:hlinkClick xmlns:r="http://schemas.openxmlformats.org/officeDocument/2006/relationships" r:id="rId1"/>
          <a:extLst>
            <a:ext uri="{FF2B5EF4-FFF2-40B4-BE49-F238E27FC236}">
              <a16:creationId xmlns:a16="http://schemas.microsoft.com/office/drawing/2014/main" id="{EAC47B5C-A902-4129-B442-A08AD2D2F428}"/>
            </a:ext>
          </a:extLst>
        </xdr:cNvPr>
        <xdr:cNvSpPr/>
      </xdr:nvSpPr>
      <xdr:spPr>
        <a:xfrm>
          <a:off x="0" y="5324475"/>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1273495</xdr:colOff>
      <xdr:row>31</xdr:row>
      <xdr:rowOff>184052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464889A-6230-4B4F-A67B-7772511232E5}"/>
            </a:ext>
          </a:extLst>
        </xdr:cNvPr>
        <xdr:cNvSpPr/>
      </xdr:nvSpPr>
      <xdr:spPr>
        <a:xfrm>
          <a:off x="0" y="7896225"/>
          <a:ext cx="1273495" cy="39360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C7750377-6C71-4B48-8A87-6318DDD844FB}"/>
            </a:ext>
          </a:extLst>
        </xdr:cNvPr>
        <xdr:cNvSpPr/>
      </xdr:nvSpPr>
      <xdr:spPr>
        <a:xfrm>
          <a:off x="0" y="7896225"/>
          <a:ext cx="1273495" cy="39360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9045180F-4FB4-46CC-B2BC-AFE469A4FF12}"/>
            </a:ext>
          </a:extLst>
        </xdr:cNvPr>
        <xdr:cNvSpPr/>
      </xdr:nvSpPr>
      <xdr:spPr>
        <a:xfrm>
          <a:off x="0" y="7896225"/>
          <a:ext cx="1273495" cy="39360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DF78298B-4BDC-4399-BD72-EC31517B8C0A}"/>
            </a:ext>
          </a:extLst>
        </xdr:cNvPr>
        <xdr:cNvSpPr/>
      </xdr:nvSpPr>
      <xdr:spPr>
        <a:xfrm>
          <a:off x="0" y="7896225"/>
          <a:ext cx="1273495" cy="39360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CC061F06-9A6A-4ADA-8494-C1BD9A98D9A0}"/>
            </a:ext>
          </a:extLst>
        </xdr:cNvPr>
        <xdr:cNvSpPr/>
      </xdr:nvSpPr>
      <xdr:spPr>
        <a:xfrm>
          <a:off x="0" y="7896225"/>
          <a:ext cx="1273495" cy="39360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00F24464-05DB-4186-B0F8-CFD564891053}"/>
            </a:ext>
          </a:extLst>
        </xdr:cNvPr>
        <xdr:cNvSpPr/>
      </xdr:nvSpPr>
      <xdr:spPr>
        <a:xfrm>
          <a:off x="0" y="7896225"/>
          <a:ext cx="1273495" cy="39360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AF8B2864-BF84-4373-A8DD-2401102CCA22}"/>
            </a:ext>
          </a:extLst>
        </xdr:cNvPr>
        <xdr:cNvSpPr/>
      </xdr:nvSpPr>
      <xdr:spPr>
        <a:xfrm>
          <a:off x="0" y="7896225"/>
          <a:ext cx="1273495" cy="39360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1273495</xdr:colOff>
      <xdr:row>31</xdr:row>
      <xdr:rowOff>184052</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3962E1A0-0BC9-422D-B210-700C181FB088}"/>
            </a:ext>
          </a:extLst>
        </xdr:cNvPr>
        <xdr:cNvSpPr/>
      </xdr:nvSpPr>
      <xdr:spPr>
        <a:xfrm>
          <a:off x="0" y="7896225"/>
          <a:ext cx="1273495" cy="39360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1273495</xdr:colOff>
      <xdr:row>31</xdr:row>
      <xdr:rowOff>8369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588B6D7-E162-475C-8766-40EF693450A4}"/>
            </a:ext>
          </a:extLst>
        </xdr:cNvPr>
        <xdr:cNvSpPr/>
      </xdr:nvSpPr>
      <xdr:spPr>
        <a:xfrm>
          <a:off x="0" y="10306050"/>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1273495</xdr:colOff>
      <xdr:row>31</xdr:row>
      <xdr:rowOff>8369</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6FDEF85B-1B3D-41DA-A237-1EC6F104C5B6}"/>
            </a:ext>
          </a:extLst>
        </xdr:cNvPr>
        <xdr:cNvSpPr/>
      </xdr:nvSpPr>
      <xdr:spPr>
        <a:xfrm>
          <a:off x="0" y="10306050"/>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1273495</xdr:colOff>
      <xdr:row>31</xdr:row>
      <xdr:rowOff>8369</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ED5805DC-AA03-4540-8E86-492AAE6E6EE6}"/>
            </a:ext>
          </a:extLst>
        </xdr:cNvPr>
        <xdr:cNvSpPr/>
      </xdr:nvSpPr>
      <xdr:spPr>
        <a:xfrm>
          <a:off x="0" y="10306050"/>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1273495</xdr:colOff>
      <xdr:row>31</xdr:row>
      <xdr:rowOff>8369</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944000CA-D5B6-4D7C-96B0-F661D2E81778}"/>
            </a:ext>
          </a:extLst>
        </xdr:cNvPr>
        <xdr:cNvSpPr/>
      </xdr:nvSpPr>
      <xdr:spPr>
        <a:xfrm>
          <a:off x="0" y="10306050"/>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1273495</xdr:colOff>
      <xdr:row>31</xdr:row>
      <xdr:rowOff>8369</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5E276373-EB72-4AEC-B61E-46EB1EDA2087}"/>
            </a:ext>
          </a:extLst>
        </xdr:cNvPr>
        <xdr:cNvSpPr/>
      </xdr:nvSpPr>
      <xdr:spPr>
        <a:xfrm>
          <a:off x="0" y="10306050"/>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1273495</xdr:colOff>
      <xdr:row>31</xdr:row>
      <xdr:rowOff>8369</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CD16F632-3A3D-4A1F-B55C-7C0B46F24444}"/>
            </a:ext>
          </a:extLst>
        </xdr:cNvPr>
        <xdr:cNvSpPr/>
      </xdr:nvSpPr>
      <xdr:spPr>
        <a:xfrm>
          <a:off x="0" y="10306050"/>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1273495</xdr:colOff>
      <xdr:row>31</xdr:row>
      <xdr:rowOff>8369</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67848D61-D53B-4E02-8230-7125DC394BC1}"/>
            </a:ext>
          </a:extLst>
        </xdr:cNvPr>
        <xdr:cNvSpPr/>
      </xdr:nvSpPr>
      <xdr:spPr>
        <a:xfrm>
          <a:off x="0" y="10306050"/>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1273495</xdr:colOff>
      <xdr:row>31</xdr:row>
      <xdr:rowOff>8369</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F65C9591-0260-4B0F-A95D-BD1473BB8BB6}"/>
            </a:ext>
          </a:extLst>
        </xdr:cNvPr>
        <xdr:cNvSpPr/>
      </xdr:nvSpPr>
      <xdr:spPr>
        <a:xfrm>
          <a:off x="0" y="10306050"/>
          <a:ext cx="1273495" cy="38936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176893</xdr:colOff>
      <xdr:row>32</xdr:row>
      <xdr:rowOff>0</xdr:rowOff>
    </xdr:from>
    <xdr:to>
      <xdr:col>1</xdr:col>
      <xdr:colOff>1118800</xdr:colOff>
      <xdr:row>33</xdr:row>
      <xdr:rowOff>179273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A1B7785-FAE1-4FCA-9C31-A9002997102A}"/>
            </a:ext>
          </a:extLst>
        </xdr:cNvPr>
        <xdr:cNvSpPr/>
      </xdr:nvSpPr>
      <xdr:spPr>
        <a:xfrm>
          <a:off x="176893" y="7048500"/>
          <a:ext cx="1265757" cy="42692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36979</xdr:colOff>
      <xdr:row>34</xdr:row>
      <xdr:rowOff>0</xdr:rowOff>
    </xdr:from>
    <xdr:to>
      <xdr:col>1</xdr:col>
      <xdr:colOff>956475</xdr:colOff>
      <xdr:row>35</xdr:row>
      <xdr:rowOff>97791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19D4083-0739-4367-A688-A263960B0952}"/>
            </a:ext>
          </a:extLst>
        </xdr:cNvPr>
        <xdr:cNvSpPr/>
      </xdr:nvSpPr>
      <xdr:spPr>
        <a:xfrm>
          <a:off x="36979" y="737235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36979</xdr:colOff>
      <xdr:row>34</xdr:row>
      <xdr:rowOff>0</xdr:rowOff>
    </xdr:from>
    <xdr:to>
      <xdr:col>1</xdr:col>
      <xdr:colOff>956475</xdr:colOff>
      <xdr:row>35</xdr:row>
      <xdr:rowOff>97791</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870B0EBC-EBA3-464E-98FB-757C6AF588B3}"/>
            </a:ext>
          </a:extLst>
        </xdr:cNvPr>
        <xdr:cNvSpPr/>
      </xdr:nvSpPr>
      <xdr:spPr>
        <a:xfrm>
          <a:off x="36979" y="737235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36979</xdr:colOff>
      <xdr:row>34</xdr:row>
      <xdr:rowOff>0</xdr:rowOff>
    </xdr:from>
    <xdr:to>
      <xdr:col>1</xdr:col>
      <xdr:colOff>956475</xdr:colOff>
      <xdr:row>35</xdr:row>
      <xdr:rowOff>97791</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42D16566-54AD-4B94-929A-93416D0C07B6}"/>
            </a:ext>
          </a:extLst>
        </xdr:cNvPr>
        <xdr:cNvSpPr/>
      </xdr:nvSpPr>
      <xdr:spPr>
        <a:xfrm>
          <a:off x="36979" y="737235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36979</xdr:colOff>
      <xdr:row>34</xdr:row>
      <xdr:rowOff>0</xdr:rowOff>
    </xdr:from>
    <xdr:to>
      <xdr:col>1</xdr:col>
      <xdr:colOff>956475</xdr:colOff>
      <xdr:row>35</xdr:row>
      <xdr:rowOff>97791</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37B7BC80-1B17-4B9B-A1F4-24754D46F0C0}"/>
            </a:ext>
          </a:extLst>
        </xdr:cNvPr>
        <xdr:cNvSpPr/>
      </xdr:nvSpPr>
      <xdr:spPr>
        <a:xfrm>
          <a:off x="36979" y="737235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23</xdr:row>
      <xdr:rowOff>75139</xdr:rowOff>
    </xdr:from>
    <xdr:to>
      <xdr:col>1</xdr:col>
      <xdr:colOff>866775</xdr:colOff>
      <xdr:row>25</xdr:row>
      <xdr:rowOff>47625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6F047FE-D940-405C-B6E1-3F01849F7E1E}"/>
            </a:ext>
          </a:extLst>
        </xdr:cNvPr>
        <xdr:cNvSpPr/>
      </xdr:nvSpPr>
      <xdr:spPr>
        <a:xfrm>
          <a:off x="0" y="5285314"/>
          <a:ext cx="1247775" cy="46778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19050</xdr:colOff>
      <xdr:row>29</xdr:row>
      <xdr:rowOff>87584</xdr:rowOff>
    </xdr:from>
    <xdr:to>
      <xdr:col>1</xdr:col>
      <xdr:colOff>971603</xdr:colOff>
      <xdr:row>31</xdr:row>
      <xdr:rowOff>55843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70127BB-B434-47B5-A561-300BC7BC182E}"/>
            </a:ext>
          </a:extLst>
        </xdr:cNvPr>
        <xdr:cNvSpPr/>
      </xdr:nvSpPr>
      <xdr:spPr>
        <a:xfrm>
          <a:off x="19050" y="7545659"/>
          <a:ext cx="1266878" cy="40640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208</xdr:row>
      <xdr:rowOff>21166</xdr:rowOff>
    </xdr:from>
    <xdr:to>
      <xdr:col>1</xdr:col>
      <xdr:colOff>400051</xdr:colOff>
      <xdr:row>210</xdr:row>
      <xdr:rowOff>40216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B38CB66-08A2-42C8-9890-BEF061F420F9}"/>
            </a:ext>
          </a:extLst>
        </xdr:cNvPr>
        <xdr:cNvSpPr/>
      </xdr:nvSpPr>
      <xdr:spPr>
        <a:xfrm>
          <a:off x="0" y="9755716"/>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28</xdr:row>
      <xdr:rowOff>0</xdr:rowOff>
    </xdr:from>
    <xdr:to>
      <xdr:col>1</xdr:col>
      <xdr:colOff>931386</xdr:colOff>
      <xdr:row>29</xdr:row>
      <xdr:rowOff>169342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8E39D34-EB57-41E5-8523-D6F20BF84A4D}"/>
            </a:ext>
          </a:extLst>
        </xdr:cNvPr>
        <xdr:cNvSpPr/>
      </xdr:nvSpPr>
      <xdr:spPr>
        <a:xfrm>
          <a:off x="0" y="6029325"/>
          <a:ext cx="1274286" cy="41699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23</xdr:row>
      <xdr:rowOff>76200</xdr:rowOff>
    </xdr:from>
    <xdr:to>
      <xdr:col>0</xdr:col>
      <xdr:colOff>1270053</xdr:colOff>
      <xdr:row>24</xdr:row>
      <xdr:rowOff>234959</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A9283531-3759-464F-AFDF-3FABFEF917A1}"/>
            </a:ext>
          </a:extLst>
        </xdr:cNvPr>
        <xdr:cNvSpPr/>
      </xdr:nvSpPr>
      <xdr:spPr>
        <a:xfrm>
          <a:off x="0" y="5724525"/>
          <a:ext cx="1270053" cy="40640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50</xdr:row>
      <xdr:rowOff>0</xdr:rowOff>
    </xdr:from>
    <xdr:to>
      <xdr:col>1</xdr:col>
      <xdr:colOff>255232</xdr:colOff>
      <xdr:row>52</xdr:row>
      <xdr:rowOff>30713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E202BC2-D465-4EF6-A9E7-EBFA0737C2D3}"/>
            </a:ext>
          </a:extLst>
        </xdr:cNvPr>
        <xdr:cNvSpPr/>
      </xdr:nvSpPr>
      <xdr:spPr>
        <a:xfrm>
          <a:off x="0" y="10725150"/>
          <a:ext cx="1302982" cy="39266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123825</xdr:colOff>
      <xdr:row>27</xdr:row>
      <xdr:rowOff>142875</xdr:rowOff>
    </xdr:from>
    <xdr:to>
      <xdr:col>0</xdr:col>
      <xdr:colOff>1390703</xdr:colOff>
      <xdr:row>29</xdr:row>
      <xdr:rowOff>32449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2DC8218-38FC-4665-86D8-B1CD71901220}"/>
            </a:ext>
          </a:extLst>
        </xdr:cNvPr>
        <xdr:cNvSpPr/>
      </xdr:nvSpPr>
      <xdr:spPr>
        <a:xfrm>
          <a:off x="123825" y="6210300"/>
          <a:ext cx="1266878" cy="3848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123825</xdr:colOff>
      <xdr:row>27</xdr:row>
      <xdr:rowOff>142875</xdr:rowOff>
    </xdr:from>
    <xdr:to>
      <xdr:col>0</xdr:col>
      <xdr:colOff>1390703</xdr:colOff>
      <xdr:row>29</xdr:row>
      <xdr:rowOff>32449</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D18ECC87-8A1F-47C6-8A6F-6D789F3027E6}"/>
            </a:ext>
          </a:extLst>
        </xdr:cNvPr>
        <xdr:cNvSpPr/>
      </xdr:nvSpPr>
      <xdr:spPr>
        <a:xfrm>
          <a:off x="123825" y="6210300"/>
          <a:ext cx="1266878" cy="3848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23812</xdr:colOff>
      <xdr:row>14</xdr:row>
      <xdr:rowOff>142875</xdr:rowOff>
    </xdr:from>
    <xdr:to>
      <xdr:col>0</xdr:col>
      <xdr:colOff>1290690</xdr:colOff>
      <xdr:row>15</xdr:row>
      <xdr:rowOff>218598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A9DA10B-4CEF-47FC-8C4C-6207A0FF1A9A}"/>
            </a:ext>
          </a:extLst>
        </xdr:cNvPr>
        <xdr:cNvSpPr/>
      </xdr:nvSpPr>
      <xdr:spPr>
        <a:xfrm>
          <a:off x="23812" y="3457575"/>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14</xdr:row>
      <xdr:rowOff>142875</xdr:rowOff>
    </xdr:from>
    <xdr:to>
      <xdr:col>0</xdr:col>
      <xdr:colOff>1290690</xdr:colOff>
      <xdr:row>15</xdr:row>
      <xdr:rowOff>218598</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BC3B57B7-BA1F-439D-B92A-9EF4FDBBDAD3}"/>
            </a:ext>
          </a:extLst>
        </xdr:cNvPr>
        <xdr:cNvSpPr/>
      </xdr:nvSpPr>
      <xdr:spPr>
        <a:xfrm>
          <a:off x="23812" y="3457575"/>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14</xdr:row>
      <xdr:rowOff>142875</xdr:rowOff>
    </xdr:from>
    <xdr:to>
      <xdr:col>0</xdr:col>
      <xdr:colOff>1290690</xdr:colOff>
      <xdr:row>15</xdr:row>
      <xdr:rowOff>218598</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499425F6-270F-48A2-BA81-D91FB4CF250C}"/>
            </a:ext>
          </a:extLst>
        </xdr:cNvPr>
        <xdr:cNvSpPr/>
      </xdr:nvSpPr>
      <xdr:spPr>
        <a:xfrm>
          <a:off x="23812" y="3457575"/>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14</xdr:row>
      <xdr:rowOff>142875</xdr:rowOff>
    </xdr:from>
    <xdr:to>
      <xdr:col>0</xdr:col>
      <xdr:colOff>1290690</xdr:colOff>
      <xdr:row>15</xdr:row>
      <xdr:rowOff>218598</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90BCB8DB-4253-4D54-B960-E566EC580E8B}"/>
            </a:ext>
          </a:extLst>
        </xdr:cNvPr>
        <xdr:cNvSpPr/>
      </xdr:nvSpPr>
      <xdr:spPr>
        <a:xfrm>
          <a:off x="23812" y="3457575"/>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347</xdr:row>
      <xdr:rowOff>215901</xdr:rowOff>
    </xdr:from>
    <xdr:to>
      <xdr:col>1</xdr:col>
      <xdr:colOff>19103</xdr:colOff>
      <xdr:row>349</xdr:row>
      <xdr:rowOff>145914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0E05CBF-A4C3-4B10-8A41-8F5A6CC842F7}"/>
            </a:ext>
          </a:extLst>
        </xdr:cNvPr>
        <xdr:cNvSpPr/>
      </xdr:nvSpPr>
      <xdr:spPr>
        <a:xfrm>
          <a:off x="0" y="18542001"/>
          <a:ext cx="1266878" cy="42531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331</xdr:row>
      <xdr:rowOff>0</xdr:rowOff>
    </xdr:from>
    <xdr:to>
      <xdr:col>1</xdr:col>
      <xdr:colOff>18045</xdr:colOff>
      <xdr:row>332</xdr:row>
      <xdr:rowOff>79957</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4ABC8C10-ADA5-44DE-AF50-AB27C2568CE9}"/>
            </a:ext>
          </a:extLst>
        </xdr:cNvPr>
        <xdr:cNvSpPr/>
      </xdr:nvSpPr>
      <xdr:spPr>
        <a:xfrm>
          <a:off x="0" y="14363700"/>
          <a:ext cx="1265820" cy="32760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145</xdr:row>
      <xdr:rowOff>47625</xdr:rowOff>
    </xdr:from>
    <xdr:to>
      <xdr:col>1</xdr:col>
      <xdr:colOff>85778</xdr:colOff>
      <xdr:row>147</xdr:row>
      <xdr:rowOff>59130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4615507-8D83-4556-A0BE-79EFF02F2FFF}"/>
            </a:ext>
          </a:extLst>
        </xdr:cNvPr>
        <xdr:cNvSpPr/>
      </xdr:nvSpPr>
      <xdr:spPr>
        <a:xfrm>
          <a:off x="0" y="10810875"/>
          <a:ext cx="1266878" cy="5068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247</xdr:row>
      <xdr:rowOff>0</xdr:rowOff>
    </xdr:from>
    <xdr:to>
      <xdr:col>0</xdr:col>
      <xdr:colOff>1266878</xdr:colOff>
      <xdr:row>249</xdr:row>
      <xdr:rowOff>21030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11664DA-31F5-4C86-A205-F9EA359D0CEC}"/>
            </a:ext>
          </a:extLst>
        </xdr:cNvPr>
        <xdr:cNvSpPr/>
      </xdr:nvSpPr>
      <xdr:spPr>
        <a:xfrm>
          <a:off x="0" y="9934575"/>
          <a:ext cx="1266878" cy="4306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205</xdr:row>
      <xdr:rowOff>0</xdr:rowOff>
    </xdr:from>
    <xdr:to>
      <xdr:col>1</xdr:col>
      <xdr:colOff>371528</xdr:colOff>
      <xdr:row>219</xdr:row>
      <xdr:rowOff>182955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0C0CE0C-BBD5-4C22-AE4B-BEEE57447DEB}"/>
            </a:ext>
          </a:extLst>
        </xdr:cNvPr>
        <xdr:cNvSpPr/>
      </xdr:nvSpPr>
      <xdr:spPr>
        <a:xfrm>
          <a:off x="0" y="10563225"/>
          <a:ext cx="1266878" cy="4306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137</xdr:row>
      <xdr:rowOff>0</xdr:rowOff>
    </xdr:from>
    <xdr:to>
      <xdr:col>1</xdr:col>
      <xdr:colOff>571501</xdr:colOff>
      <xdr:row>139</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DC73A82-233E-4FEC-ABC0-A928EC9074A6}"/>
            </a:ext>
          </a:extLst>
        </xdr:cNvPr>
        <xdr:cNvSpPr/>
      </xdr:nvSpPr>
      <xdr:spPr>
        <a:xfrm>
          <a:off x="0" y="26098500"/>
          <a:ext cx="1162051"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46</xdr:row>
      <xdr:rowOff>21166</xdr:rowOff>
    </xdr:from>
    <xdr:to>
      <xdr:col>1</xdr:col>
      <xdr:colOff>1247775</xdr:colOff>
      <xdr:row>48</xdr:row>
      <xdr:rowOff>40216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5B22F90-3612-4048-BCEE-7F09BE9C516B}"/>
            </a:ext>
          </a:extLst>
        </xdr:cNvPr>
        <xdr:cNvSpPr/>
      </xdr:nvSpPr>
      <xdr:spPr>
        <a:xfrm>
          <a:off x="0" y="10632016"/>
          <a:ext cx="1247775" cy="3810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38</xdr:row>
      <xdr:rowOff>123825</xdr:rowOff>
    </xdr:from>
    <xdr:to>
      <xdr:col>0</xdr:col>
      <xdr:colOff>1304926</xdr:colOff>
      <xdr:row>40</xdr:row>
      <xdr:rowOff>104775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3D8B883-297B-485D-B391-73B56B257E12}"/>
            </a:ext>
          </a:extLst>
        </xdr:cNvPr>
        <xdr:cNvSpPr/>
      </xdr:nvSpPr>
      <xdr:spPr>
        <a:xfrm>
          <a:off x="0" y="7362825"/>
          <a:ext cx="609601" cy="3619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29</xdr:row>
      <xdr:rowOff>67236</xdr:rowOff>
    </xdr:from>
    <xdr:to>
      <xdr:col>0</xdr:col>
      <xdr:colOff>1304926</xdr:colOff>
      <xdr:row>31</xdr:row>
      <xdr:rowOff>105336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5178A3F-926D-427B-9E0F-6EFB7D1E7E00}"/>
            </a:ext>
          </a:extLst>
        </xdr:cNvPr>
        <xdr:cNvSpPr/>
      </xdr:nvSpPr>
      <xdr:spPr>
        <a:xfrm>
          <a:off x="0" y="5591736"/>
          <a:ext cx="609601"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42</xdr:row>
      <xdr:rowOff>94284</xdr:rowOff>
    </xdr:from>
    <xdr:to>
      <xdr:col>1</xdr:col>
      <xdr:colOff>302558</xdr:colOff>
      <xdr:row>44</xdr:row>
      <xdr:rowOff>159975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95F3F25-2AA7-4E32-A706-7472A7134483}"/>
            </a:ext>
          </a:extLst>
        </xdr:cNvPr>
        <xdr:cNvSpPr/>
      </xdr:nvSpPr>
      <xdr:spPr>
        <a:xfrm>
          <a:off x="0" y="8095284"/>
          <a:ext cx="912158" cy="44669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344582</xdr:colOff>
      <xdr:row>91</xdr:row>
      <xdr:rowOff>180415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10E84E2-ACB7-405E-96D4-64429F841893}"/>
            </a:ext>
          </a:extLst>
        </xdr:cNvPr>
        <xdr:cNvSpPr/>
      </xdr:nvSpPr>
      <xdr:spPr>
        <a:xfrm>
          <a:off x="0" y="17145000"/>
          <a:ext cx="1087532" cy="3709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32</xdr:row>
      <xdr:rowOff>0</xdr:rowOff>
    </xdr:from>
    <xdr:to>
      <xdr:col>1</xdr:col>
      <xdr:colOff>396440</xdr:colOff>
      <xdr:row>33</xdr:row>
      <xdr:rowOff>178298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3A2F815-947D-47D3-BC0A-D41C3AD0C171}"/>
            </a:ext>
          </a:extLst>
        </xdr:cNvPr>
        <xdr:cNvSpPr/>
      </xdr:nvSpPr>
      <xdr:spPr>
        <a:xfrm>
          <a:off x="0" y="6096000"/>
          <a:ext cx="1006040" cy="36879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32</xdr:row>
      <xdr:rowOff>190500</xdr:rowOff>
    </xdr:from>
    <xdr:to>
      <xdr:col>1</xdr:col>
      <xdr:colOff>401732</xdr:colOff>
      <xdr:row>34</xdr:row>
      <xdr:rowOff>162045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0259A83-C7FF-42A9-A00A-9A6D1C02062C}"/>
            </a:ext>
          </a:extLst>
        </xdr:cNvPr>
        <xdr:cNvSpPr/>
      </xdr:nvSpPr>
      <xdr:spPr>
        <a:xfrm>
          <a:off x="0" y="6286500"/>
          <a:ext cx="1011332" cy="35254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173</xdr:row>
      <xdr:rowOff>78442</xdr:rowOff>
    </xdr:from>
    <xdr:to>
      <xdr:col>2</xdr:col>
      <xdr:colOff>14520</xdr:colOff>
      <xdr:row>175</xdr:row>
      <xdr:rowOff>48430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A78AF7C-BFFC-4B62-9633-3765C459B843}"/>
            </a:ext>
          </a:extLst>
        </xdr:cNvPr>
        <xdr:cNvSpPr/>
      </xdr:nvSpPr>
      <xdr:spPr>
        <a:xfrm>
          <a:off x="0" y="33034942"/>
          <a:ext cx="1233720" cy="3509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100</xdr:row>
      <xdr:rowOff>0</xdr:rowOff>
    </xdr:from>
    <xdr:to>
      <xdr:col>1</xdr:col>
      <xdr:colOff>576357</xdr:colOff>
      <xdr:row>101</xdr:row>
      <xdr:rowOff>183590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D76A68E-57BE-459D-B383-A6BBE57BB1CF}"/>
            </a:ext>
          </a:extLst>
        </xdr:cNvPr>
        <xdr:cNvSpPr/>
      </xdr:nvSpPr>
      <xdr:spPr>
        <a:xfrm>
          <a:off x="0" y="22469475"/>
          <a:ext cx="1300257" cy="3931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435</xdr:row>
      <xdr:rowOff>11206</xdr:rowOff>
    </xdr:from>
    <xdr:to>
      <xdr:col>1</xdr:col>
      <xdr:colOff>459441</xdr:colOff>
      <xdr:row>437</xdr:row>
      <xdr:rowOff>123265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D581727-CAD1-4581-B944-1A260F288A00}"/>
            </a:ext>
          </a:extLst>
        </xdr:cNvPr>
        <xdr:cNvSpPr/>
      </xdr:nvSpPr>
      <xdr:spPr>
        <a:xfrm>
          <a:off x="0" y="10701618"/>
          <a:ext cx="1568823" cy="47064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24</xdr:row>
      <xdr:rowOff>0</xdr:rowOff>
    </xdr:from>
    <xdr:to>
      <xdr:col>3</xdr:col>
      <xdr:colOff>228653</xdr:colOff>
      <xdr:row>26</xdr:row>
      <xdr:rowOff>30555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6D091AA-B057-49CE-87AE-B2662FFDF792}"/>
            </a:ext>
          </a:extLst>
        </xdr:cNvPr>
        <xdr:cNvSpPr/>
      </xdr:nvSpPr>
      <xdr:spPr>
        <a:xfrm>
          <a:off x="0" y="5448300"/>
          <a:ext cx="100965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24</xdr:row>
      <xdr:rowOff>0</xdr:rowOff>
    </xdr:from>
    <xdr:to>
      <xdr:col>3</xdr:col>
      <xdr:colOff>228653</xdr:colOff>
      <xdr:row>26</xdr:row>
      <xdr:rowOff>30555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F7386CE0-BCC0-4A87-A145-708180797886}"/>
            </a:ext>
          </a:extLst>
        </xdr:cNvPr>
        <xdr:cNvSpPr/>
      </xdr:nvSpPr>
      <xdr:spPr>
        <a:xfrm>
          <a:off x="0" y="5448300"/>
          <a:ext cx="100965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24</xdr:row>
      <xdr:rowOff>0</xdr:rowOff>
    </xdr:from>
    <xdr:to>
      <xdr:col>3</xdr:col>
      <xdr:colOff>228653</xdr:colOff>
      <xdr:row>26</xdr:row>
      <xdr:rowOff>30555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41BE4DD2-0853-41A4-90BD-AF2FEB30410D}"/>
            </a:ext>
          </a:extLst>
        </xdr:cNvPr>
        <xdr:cNvSpPr/>
      </xdr:nvSpPr>
      <xdr:spPr>
        <a:xfrm>
          <a:off x="0" y="5448300"/>
          <a:ext cx="100965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24</xdr:row>
      <xdr:rowOff>0</xdr:rowOff>
    </xdr:from>
    <xdr:to>
      <xdr:col>7</xdr:col>
      <xdr:colOff>209550</xdr:colOff>
      <xdr:row>26</xdr:row>
      <xdr:rowOff>30555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737F10B9-708A-48FD-BC31-64454C9EFD68}"/>
            </a:ext>
          </a:extLst>
        </xdr:cNvPr>
        <xdr:cNvSpPr/>
      </xdr:nvSpPr>
      <xdr:spPr>
        <a:xfrm>
          <a:off x="0" y="5448300"/>
          <a:ext cx="121920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65</xdr:row>
      <xdr:rowOff>0</xdr:rowOff>
    </xdr:from>
    <xdr:to>
      <xdr:col>1</xdr:col>
      <xdr:colOff>757238</xdr:colOff>
      <xdr:row>67</xdr:row>
      <xdr:rowOff>50986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FE1423F-55A6-435F-B4BD-0D0F2AAED8C7}"/>
            </a:ext>
          </a:extLst>
        </xdr:cNvPr>
        <xdr:cNvSpPr/>
      </xdr:nvSpPr>
      <xdr:spPr>
        <a:xfrm>
          <a:off x="0" y="13554075"/>
          <a:ext cx="1309688" cy="47008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153</xdr:row>
      <xdr:rowOff>67236</xdr:rowOff>
    </xdr:from>
    <xdr:to>
      <xdr:col>1</xdr:col>
      <xdr:colOff>476250</xdr:colOff>
      <xdr:row>155</xdr:row>
      <xdr:rowOff>118957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87F09A2-2548-466D-92D5-D0F04CCC591E}"/>
            </a:ext>
          </a:extLst>
        </xdr:cNvPr>
        <xdr:cNvSpPr/>
      </xdr:nvSpPr>
      <xdr:spPr>
        <a:xfrm>
          <a:off x="0" y="1099241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153</xdr:row>
      <xdr:rowOff>67236</xdr:rowOff>
    </xdr:from>
    <xdr:to>
      <xdr:col>1</xdr:col>
      <xdr:colOff>476250</xdr:colOff>
      <xdr:row>155</xdr:row>
      <xdr:rowOff>118957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81EB7F29-A43B-44D1-89FA-6B0D1C909088}"/>
            </a:ext>
          </a:extLst>
        </xdr:cNvPr>
        <xdr:cNvSpPr/>
      </xdr:nvSpPr>
      <xdr:spPr>
        <a:xfrm>
          <a:off x="0" y="1099241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153</xdr:row>
      <xdr:rowOff>67236</xdr:rowOff>
    </xdr:from>
    <xdr:to>
      <xdr:col>1</xdr:col>
      <xdr:colOff>476250</xdr:colOff>
      <xdr:row>155</xdr:row>
      <xdr:rowOff>118957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91300834-E179-4FD5-BC2B-A19A4D854B6C}"/>
            </a:ext>
          </a:extLst>
        </xdr:cNvPr>
        <xdr:cNvSpPr/>
      </xdr:nvSpPr>
      <xdr:spPr>
        <a:xfrm>
          <a:off x="0" y="1099241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153</xdr:row>
      <xdr:rowOff>67236</xdr:rowOff>
    </xdr:from>
    <xdr:to>
      <xdr:col>1</xdr:col>
      <xdr:colOff>476250</xdr:colOff>
      <xdr:row>155</xdr:row>
      <xdr:rowOff>118957</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4CE726EB-7055-4010-A264-55C432AD27DC}"/>
            </a:ext>
          </a:extLst>
        </xdr:cNvPr>
        <xdr:cNvSpPr/>
      </xdr:nvSpPr>
      <xdr:spPr>
        <a:xfrm>
          <a:off x="0" y="1099241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153</xdr:row>
      <xdr:rowOff>67236</xdr:rowOff>
    </xdr:from>
    <xdr:to>
      <xdr:col>1</xdr:col>
      <xdr:colOff>476250</xdr:colOff>
      <xdr:row>155</xdr:row>
      <xdr:rowOff>118957</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6A9E4576-8E18-4082-BD68-E7152AAE4DAE}"/>
            </a:ext>
          </a:extLst>
        </xdr:cNvPr>
        <xdr:cNvSpPr/>
      </xdr:nvSpPr>
      <xdr:spPr>
        <a:xfrm>
          <a:off x="0" y="1099241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153</xdr:row>
      <xdr:rowOff>67236</xdr:rowOff>
    </xdr:from>
    <xdr:to>
      <xdr:col>1</xdr:col>
      <xdr:colOff>476250</xdr:colOff>
      <xdr:row>155</xdr:row>
      <xdr:rowOff>118957</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CA94C8E0-C217-4D97-B250-ACDC8CFCC5EE}"/>
            </a:ext>
          </a:extLst>
        </xdr:cNvPr>
        <xdr:cNvSpPr/>
      </xdr:nvSpPr>
      <xdr:spPr>
        <a:xfrm>
          <a:off x="0" y="1099241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153</xdr:row>
      <xdr:rowOff>67236</xdr:rowOff>
    </xdr:from>
    <xdr:to>
      <xdr:col>1</xdr:col>
      <xdr:colOff>476250</xdr:colOff>
      <xdr:row>155</xdr:row>
      <xdr:rowOff>118957</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4728F2E6-4CB9-4AE8-9DA3-B1CC4F527220}"/>
            </a:ext>
          </a:extLst>
        </xdr:cNvPr>
        <xdr:cNvSpPr/>
      </xdr:nvSpPr>
      <xdr:spPr>
        <a:xfrm>
          <a:off x="0" y="1099241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153</xdr:row>
      <xdr:rowOff>67236</xdr:rowOff>
    </xdr:from>
    <xdr:to>
      <xdr:col>1</xdr:col>
      <xdr:colOff>476250</xdr:colOff>
      <xdr:row>155</xdr:row>
      <xdr:rowOff>118957</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E054B393-2158-4515-BD19-18ED493E1362}"/>
            </a:ext>
          </a:extLst>
        </xdr:cNvPr>
        <xdr:cNvSpPr/>
      </xdr:nvSpPr>
      <xdr:spPr>
        <a:xfrm>
          <a:off x="0" y="1099241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74</xdr:row>
      <xdr:rowOff>0</xdr:rowOff>
    </xdr:from>
    <xdr:to>
      <xdr:col>1</xdr:col>
      <xdr:colOff>712259</xdr:colOff>
      <xdr:row>75</xdr:row>
      <xdr:rowOff>188383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8CEEAED-961A-4600-B5D7-9F6FF5626134}"/>
            </a:ext>
          </a:extLst>
        </xdr:cNvPr>
        <xdr:cNvSpPr/>
      </xdr:nvSpPr>
      <xdr:spPr>
        <a:xfrm>
          <a:off x="0" y="18926175"/>
          <a:ext cx="1302809" cy="39793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72</xdr:row>
      <xdr:rowOff>95248</xdr:rowOff>
    </xdr:from>
    <xdr:to>
      <xdr:col>1</xdr:col>
      <xdr:colOff>711014</xdr:colOff>
      <xdr:row>74</xdr:row>
      <xdr:rowOff>68074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D927144-B6F6-4676-8B84-F810BE0AC024}"/>
            </a:ext>
          </a:extLst>
        </xdr:cNvPr>
        <xdr:cNvSpPr/>
      </xdr:nvSpPr>
      <xdr:spPr>
        <a:xfrm>
          <a:off x="0" y="16649698"/>
          <a:ext cx="1406339" cy="39192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28575</xdr:colOff>
      <xdr:row>43</xdr:row>
      <xdr:rowOff>243416</xdr:rowOff>
    </xdr:from>
    <xdr:to>
      <xdr:col>0</xdr:col>
      <xdr:colOff>1295453</xdr:colOff>
      <xdr:row>45</xdr:row>
      <xdr:rowOff>133350</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FF29B148-C746-4C0C-94E0-1C2484A9F791}"/>
            </a:ext>
          </a:extLst>
        </xdr:cNvPr>
        <xdr:cNvSpPr/>
      </xdr:nvSpPr>
      <xdr:spPr>
        <a:xfrm>
          <a:off x="28575" y="9644591"/>
          <a:ext cx="1266878" cy="37570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26</xdr:row>
      <xdr:rowOff>0</xdr:rowOff>
    </xdr:from>
    <xdr:to>
      <xdr:col>1</xdr:col>
      <xdr:colOff>549702</xdr:colOff>
      <xdr:row>27</xdr:row>
      <xdr:rowOff>188306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23A6CE2-703F-4BEB-8B76-A239527F4DFB}"/>
            </a:ext>
          </a:extLst>
        </xdr:cNvPr>
        <xdr:cNvSpPr/>
      </xdr:nvSpPr>
      <xdr:spPr>
        <a:xfrm>
          <a:off x="0" y="5876925"/>
          <a:ext cx="134027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1</xdr:col>
      <xdr:colOff>549702</xdr:colOff>
      <xdr:row>27</xdr:row>
      <xdr:rowOff>188306</xdr:rowOff>
    </xdr:to>
    <xdr:sp macro="" textlink="">
      <xdr:nvSpPr>
        <xdr:cNvPr id="3" name="Left Arrow 3">
          <a:hlinkClick xmlns:r="http://schemas.openxmlformats.org/officeDocument/2006/relationships" r:id="rId1"/>
          <a:extLst>
            <a:ext uri="{FF2B5EF4-FFF2-40B4-BE49-F238E27FC236}">
              <a16:creationId xmlns:a16="http://schemas.microsoft.com/office/drawing/2014/main" id="{B4EB49E0-EE65-44D1-8986-3C1F444B647C}"/>
            </a:ext>
          </a:extLst>
        </xdr:cNvPr>
        <xdr:cNvSpPr/>
      </xdr:nvSpPr>
      <xdr:spPr>
        <a:xfrm>
          <a:off x="0" y="5876925"/>
          <a:ext cx="134027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1</xdr:col>
      <xdr:colOff>549702</xdr:colOff>
      <xdr:row>27</xdr:row>
      <xdr:rowOff>188306</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EB12A809-F369-4D6A-A3C5-42953397662F}"/>
            </a:ext>
          </a:extLst>
        </xdr:cNvPr>
        <xdr:cNvSpPr/>
      </xdr:nvSpPr>
      <xdr:spPr>
        <a:xfrm>
          <a:off x="0" y="5876925"/>
          <a:ext cx="134027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22</xdr:row>
      <xdr:rowOff>0</xdr:rowOff>
    </xdr:from>
    <xdr:to>
      <xdr:col>0</xdr:col>
      <xdr:colOff>1304926</xdr:colOff>
      <xdr:row>24</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9AEFDF4-CFA8-4323-8DBF-8B1F2FCD7D52}"/>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D798E97E-02B0-4E44-87FF-7312BC53E35B}"/>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5A14FBBC-01F1-481E-B47F-3A225C818504}"/>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5" name="Left Arrow 2">
          <a:hlinkClick xmlns:r="http://schemas.openxmlformats.org/officeDocument/2006/relationships" r:id="rId1"/>
          <a:extLst>
            <a:ext uri="{FF2B5EF4-FFF2-40B4-BE49-F238E27FC236}">
              <a16:creationId xmlns:a16="http://schemas.microsoft.com/office/drawing/2014/main" id="{2E40765C-E3D7-48F0-8BE9-AB2DFAF42F59}"/>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FF3A6D89-8614-4148-A697-7009426EF524}"/>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7" name="Left Arrow 2">
          <a:hlinkClick xmlns:r="http://schemas.openxmlformats.org/officeDocument/2006/relationships" r:id="rId1"/>
          <a:extLst>
            <a:ext uri="{FF2B5EF4-FFF2-40B4-BE49-F238E27FC236}">
              <a16:creationId xmlns:a16="http://schemas.microsoft.com/office/drawing/2014/main" id="{16CF99D7-878D-426C-9D45-D52EC3D915A7}"/>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4FDBDDC0-2BCA-4E2C-B546-349C25EC30D2}"/>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9" name="Left Arrow 2">
          <a:hlinkClick xmlns:r="http://schemas.openxmlformats.org/officeDocument/2006/relationships" r:id="rId1"/>
          <a:extLst>
            <a:ext uri="{FF2B5EF4-FFF2-40B4-BE49-F238E27FC236}">
              <a16:creationId xmlns:a16="http://schemas.microsoft.com/office/drawing/2014/main" id="{B82141D6-2743-4D31-B98B-E55F34913B45}"/>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10" name="Left Arrow 1">
          <a:hlinkClick xmlns:r="http://schemas.openxmlformats.org/officeDocument/2006/relationships" r:id="rId1"/>
          <a:extLst>
            <a:ext uri="{FF2B5EF4-FFF2-40B4-BE49-F238E27FC236}">
              <a16:creationId xmlns:a16="http://schemas.microsoft.com/office/drawing/2014/main" id="{45D6D7C3-6102-4C59-AC74-ACA15ABF6ADD}"/>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11" name="Left Arrow 2">
          <a:hlinkClick xmlns:r="http://schemas.openxmlformats.org/officeDocument/2006/relationships" r:id="rId1"/>
          <a:extLst>
            <a:ext uri="{FF2B5EF4-FFF2-40B4-BE49-F238E27FC236}">
              <a16:creationId xmlns:a16="http://schemas.microsoft.com/office/drawing/2014/main" id="{05509FB5-6F81-47DD-87F9-BFDFF3DC1E8B}"/>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12" name="Left Arrow 1">
          <a:hlinkClick xmlns:r="http://schemas.openxmlformats.org/officeDocument/2006/relationships" r:id="rId1"/>
          <a:extLst>
            <a:ext uri="{FF2B5EF4-FFF2-40B4-BE49-F238E27FC236}">
              <a16:creationId xmlns:a16="http://schemas.microsoft.com/office/drawing/2014/main" id="{7D0B1622-EFA0-4742-B6BB-1A2169DED46A}"/>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22</xdr:row>
      <xdr:rowOff>0</xdr:rowOff>
    </xdr:from>
    <xdr:to>
      <xdr:col>0</xdr:col>
      <xdr:colOff>1304926</xdr:colOff>
      <xdr:row>24</xdr:row>
      <xdr:rowOff>19050</xdr:rowOff>
    </xdr:to>
    <xdr:sp macro="" textlink="">
      <xdr:nvSpPr>
        <xdr:cNvPr id="13" name="Left Arrow 2">
          <a:hlinkClick xmlns:r="http://schemas.openxmlformats.org/officeDocument/2006/relationships" r:id="rId1"/>
          <a:extLst>
            <a:ext uri="{FF2B5EF4-FFF2-40B4-BE49-F238E27FC236}">
              <a16:creationId xmlns:a16="http://schemas.microsoft.com/office/drawing/2014/main" id="{1CBF7D39-81E8-4ED1-AAC8-C7FB4E8C3EF3}"/>
            </a:ext>
          </a:extLst>
        </xdr:cNvPr>
        <xdr:cNvSpPr/>
      </xdr:nvSpPr>
      <xdr:spPr>
        <a:xfrm>
          <a:off x="0" y="52101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159</xdr:row>
      <xdr:rowOff>71437</xdr:rowOff>
    </xdr:from>
    <xdr:to>
      <xdr:col>0</xdr:col>
      <xdr:colOff>1266878</xdr:colOff>
      <xdr:row>161</xdr:row>
      <xdr:rowOff>0</xdr:rowOff>
    </xdr:to>
    <xdr:sp macro="" textlink="">
      <xdr:nvSpPr>
        <xdr:cNvPr id="2" name="Left Arrow 3">
          <a:hlinkClick xmlns:r="http://schemas.openxmlformats.org/officeDocument/2006/relationships" r:id="rId1"/>
          <a:extLst>
            <a:ext uri="{FF2B5EF4-FFF2-40B4-BE49-F238E27FC236}">
              <a16:creationId xmlns:a16="http://schemas.microsoft.com/office/drawing/2014/main" id="{F0FCA000-395B-487F-B812-73AF21956CE3}"/>
            </a:ext>
          </a:extLst>
        </xdr:cNvPr>
        <xdr:cNvSpPr/>
      </xdr:nvSpPr>
      <xdr:spPr>
        <a:xfrm>
          <a:off x="0" y="29056012"/>
          <a:ext cx="1266878" cy="37625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167</xdr:row>
      <xdr:rowOff>0</xdr:rowOff>
    </xdr:from>
    <xdr:to>
      <xdr:col>0</xdr:col>
      <xdr:colOff>1266878</xdr:colOff>
      <xdr:row>168</xdr:row>
      <xdr:rowOff>165986</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5E9951AE-AF7C-4BF0-BF96-329F48E16A37}"/>
            </a:ext>
          </a:extLst>
        </xdr:cNvPr>
        <xdr:cNvSpPr/>
      </xdr:nvSpPr>
      <xdr:spPr>
        <a:xfrm>
          <a:off x="0" y="31784925"/>
          <a:ext cx="1266878" cy="37553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20</xdr:row>
      <xdr:rowOff>0</xdr:rowOff>
    </xdr:from>
    <xdr:to>
      <xdr:col>0</xdr:col>
      <xdr:colOff>1266878</xdr:colOff>
      <xdr:row>21</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B22747E-B6F0-44F0-B9ED-D268FE506E2A}"/>
            </a:ext>
          </a:extLst>
        </xdr:cNvPr>
        <xdr:cNvSpPr/>
      </xdr:nvSpPr>
      <xdr:spPr>
        <a:xfrm>
          <a:off x="0" y="42100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20</xdr:row>
      <xdr:rowOff>0</xdr:rowOff>
    </xdr:from>
    <xdr:to>
      <xdr:col>0</xdr:col>
      <xdr:colOff>1266878</xdr:colOff>
      <xdr:row>21</xdr:row>
      <xdr:rowOff>179593</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AF006E37-0DE3-4D77-8062-01EFF93FF19B}"/>
            </a:ext>
          </a:extLst>
        </xdr:cNvPr>
        <xdr:cNvSpPr/>
      </xdr:nvSpPr>
      <xdr:spPr>
        <a:xfrm>
          <a:off x="0" y="42100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43</xdr:row>
      <xdr:rowOff>0</xdr:rowOff>
    </xdr:from>
    <xdr:to>
      <xdr:col>0</xdr:col>
      <xdr:colOff>1304926</xdr:colOff>
      <xdr:row>45</xdr:row>
      <xdr:rowOff>117661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742DB0E-D0F0-458C-B27A-290A736482BB}"/>
            </a:ext>
          </a:extLst>
        </xdr:cNvPr>
        <xdr:cNvSpPr/>
      </xdr:nvSpPr>
      <xdr:spPr>
        <a:xfrm>
          <a:off x="0" y="9629775"/>
          <a:ext cx="1304926" cy="47961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56</xdr:row>
      <xdr:rowOff>0</xdr:rowOff>
    </xdr:from>
    <xdr:to>
      <xdr:col>1</xdr:col>
      <xdr:colOff>257176</xdr:colOff>
      <xdr:row>57</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CCFFF64-5285-484E-AF24-F75DF18D6057}"/>
            </a:ext>
          </a:extLst>
        </xdr:cNvPr>
        <xdr:cNvSpPr/>
      </xdr:nvSpPr>
      <xdr:spPr>
        <a:xfrm>
          <a:off x="0" y="125158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257176</xdr:colOff>
      <xdr:row>57</xdr:row>
      <xdr:rowOff>180975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C6DAF862-65A9-48E0-AA0C-3B853E213FB1}"/>
            </a:ext>
          </a:extLst>
        </xdr:cNvPr>
        <xdr:cNvSpPr/>
      </xdr:nvSpPr>
      <xdr:spPr>
        <a:xfrm>
          <a:off x="0" y="125158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257176</xdr:colOff>
      <xdr:row>57</xdr:row>
      <xdr:rowOff>180975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215F22CE-7747-4663-8334-D905683BF0C0}"/>
            </a:ext>
          </a:extLst>
        </xdr:cNvPr>
        <xdr:cNvSpPr/>
      </xdr:nvSpPr>
      <xdr:spPr>
        <a:xfrm>
          <a:off x="0" y="125158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257176</xdr:colOff>
      <xdr:row>57</xdr:row>
      <xdr:rowOff>180975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12AE33A1-7E4A-491E-A83C-EE1815772B72}"/>
            </a:ext>
          </a:extLst>
        </xdr:cNvPr>
        <xdr:cNvSpPr/>
      </xdr:nvSpPr>
      <xdr:spPr>
        <a:xfrm>
          <a:off x="0" y="125158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257176</xdr:colOff>
      <xdr:row>57</xdr:row>
      <xdr:rowOff>180975</xdr:rowOff>
    </xdr:to>
    <xdr:sp macro="" textlink="">
      <xdr:nvSpPr>
        <xdr:cNvPr id="6" name="Left Arrow 1">
          <a:hlinkClick xmlns:r="http://schemas.openxmlformats.org/officeDocument/2006/relationships" r:id="rId1"/>
          <a:extLst>
            <a:ext uri="{FF2B5EF4-FFF2-40B4-BE49-F238E27FC236}">
              <a16:creationId xmlns:a16="http://schemas.microsoft.com/office/drawing/2014/main" id="{2773974D-1D06-4702-8258-F44E055B71FE}"/>
            </a:ext>
          </a:extLst>
        </xdr:cNvPr>
        <xdr:cNvSpPr/>
      </xdr:nvSpPr>
      <xdr:spPr>
        <a:xfrm>
          <a:off x="0" y="125158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257176</xdr:colOff>
      <xdr:row>57</xdr:row>
      <xdr:rowOff>180975</xdr:rowOff>
    </xdr:to>
    <xdr:sp macro="" textlink="">
      <xdr:nvSpPr>
        <xdr:cNvPr id="7" name="Left Arrow 1">
          <a:hlinkClick xmlns:r="http://schemas.openxmlformats.org/officeDocument/2006/relationships" r:id="rId1"/>
          <a:extLst>
            <a:ext uri="{FF2B5EF4-FFF2-40B4-BE49-F238E27FC236}">
              <a16:creationId xmlns:a16="http://schemas.microsoft.com/office/drawing/2014/main" id="{6477B624-15E4-4C84-9776-748977905972}"/>
            </a:ext>
          </a:extLst>
        </xdr:cNvPr>
        <xdr:cNvSpPr/>
      </xdr:nvSpPr>
      <xdr:spPr>
        <a:xfrm>
          <a:off x="0" y="125158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257176</xdr:colOff>
      <xdr:row>57</xdr:row>
      <xdr:rowOff>180975</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CAD17C86-DD7A-4FA7-BE1C-5B34CEF10A4D}"/>
            </a:ext>
          </a:extLst>
        </xdr:cNvPr>
        <xdr:cNvSpPr/>
      </xdr:nvSpPr>
      <xdr:spPr>
        <a:xfrm>
          <a:off x="0" y="125158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56</xdr:row>
      <xdr:rowOff>0</xdr:rowOff>
    </xdr:from>
    <xdr:to>
      <xdr:col>1</xdr:col>
      <xdr:colOff>257176</xdr:colOff>
      <xdr:row>57</xdr:row>
      <xdr:rowOff>180975</xdr:rowOff>
    </xdr:to>
    <xdr:sp macro="" textlink="">
      <xdr:nvSpPr>
        <xdr:cNvPr id="9" name="Left Arrow 1">
          <a:hlinkClick xmlns:r="http://schemas.openxmlformats.org/officeDocument/2006/relationships" r:id="rId1"/>
          <a:extLst>
            <a:ext uri="{FF2B5EF4-FFF2-40B4-BE49-F238E27FC236}">
              <a16:creationId xmlns:a16="http://schemas.microsoft.com/office/drawing/2014/main" id="{E8741F1A-F0F5-438B-857A-CCCC238686B0}"/>
            </a:ext>
          </a:extLst>
        </xdr:cNvPr>
        <xdr:cNvSpPr/>
      </xdr:nvSpPr>
      <xdr:spPr>
        <a:xfrm>
          <a:off x="0" y="125158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102"/>
  <sheetViews>
    <sheetView tabSelected="1" zoomScale="110" zoomScaleNormal="110" workbookViewId="0">
      <selection activeCell="A91" sqref="A91"/>
    </sheetView>
  </sheetViews>
  <sheetFormatPr defaultColWidth="9.140625" defaultRowHeight="15.75" x14ac:dyDescent="0.3"/>
  <cols>
    <col min="1" max="1" width="137.85546875" style="1174" customWidth="1"/>
    <col min="2" max="16384" width="9.140625" style="1168"/>
  </cols>
  <sheetData>
    <row r="1" spans="1:1" x14ac:dyDescent="0.3">
      <c r="A1" s="1167"/>
    </row>
    <row r="2" spans="1:1" ht="30.75" x14ac:dyDescent="0.55000000000000004">
      <c r="A2" s="1169" t="s">
        <v>798</v>
      </c>
    </row>
    <row r="3" spans="1:1" s="1171" customFormat="1" ht="26.25" customHeight="1" x14ac:dyDescent="0.35">
      <c r="A3" s="1170" t="s">
        <v>799</v>
      </c>
    </row>
    <row r="4" spans="1:1" s="1173" customFormat="1" ht="37.5" customHeight="1" x14ac:dyDescent="0.3">
      <c r="A4" s="1172" t="s">
        <v>800</v>
      </c>
    </row>
    <row r="5" spans="1:1" s="1173" customFormat="1" ht="37.5" customHeight="1" x14ac:dyDescent="0.3">
      <c r="A5" s="1172" t="s">
        <v>5563</v>
      </c>
    </row>
    <row r="6" spans="1:1" s="1173" customFormat="1" ht="37.5" customHeight="1" x14ac:dyDescent="0.3">
      <c r="A6" s="1172" t="s">
        <v>801</v>
      </c>
    </row>
    <row r="7" spans="1:1" s="1173" customFormat="1" ht="37.5" customHeight="1" x14ac:dyDescent="0.3">
      <c r="A7" s="1172" t="s">
        <v>5564</v>
      </c>
    </row>
    <row r="8" spans="1:1" s="1173" customFormat="1" ht="37.5" customHeight="1" x14ac:dyDescent="0.3">
      <c r="A8" s="1172" t="s">
        <v>5565</v>
      </c>
    </row>
    <row r="9" spans="1:1" s="1173" customFormat="1" ht="37.5" customHeight="1" x14ac:dyDescent="0.3">
      <c r="A9" s="1172" t="s">
        <v>802</v>
      </c>
    </row>
    <row r="10" spans="1:1" s="1173" customFormat="1" ht="37.5" customHeight="1" x14ac:dyDescent="0.3">
      <c r="A10" s="1172" t="s">
        <v>5566</v>
      </c>
    </row>
    <row r="11" spans="1:1" s="1173" customFormat="1" ht="37.5" customHeight="1" x14ac:dyDescent="0.3">
      <c r="A11" s="1172" t="s">
        <v>5567</v>
      </c>
    </row>
    <row r="12" spans="1:1" s="1173" customFormat="1" ht="37.5" customHeight="1" x14ac:dyDescent="0.3">
      <c r="A12" s="1172" t="s">
        <v>5568</v>
      </c>
    </row>
    <row r="13" spans="1:1" s="1173" customFormat="1" ht="37.5" customHeight="1" x14ac:dyDescent="0.3">
      <c r="A13" s="1172" t="s">
        <v>5569</v>
      </c>
    </row>
    <row r="14" spans="1:1" s="1173" customFormat="1" ht="37.5" customHeight="1" x14ac:dyDescent="0.3">
      <c r="A14" s="1172" t="s">
        <v>5570</v>
      </c>
    </row>
    <row r="15" spans="1:1" s="1173" customFormat="1" ht="37.5" customHeight="1" x14ac:dyDescent="0.3">
      <c r="A15" s="1172" t="s">
        <v>5571</v>
      </c>
    </row>
    <row r="16" spans="1:1" s="1173" customFormat="1" ht="37.5" customHeight="1" x14ac:dyDescent="0.3">
      <c r="A16" s="1172" t="s">
        <v>5572</v>
      </c>
    </row>
    <row r="17" spans="1:1" s="1173" customFormat="1" ht="37.5" customHeight="1" x14ac:dyDescent="0.3">
      <c r="A17" s="1172" t="s">
        <v>803</v>
      </c>
    </row>
    <row r="18" spans="1:1" s="1173" customFormat="1" ht="37.5" customHeight="1" x14ac:dyDescent="0.3">
      <c r="A18" s="1172" t="s">
        <v>804</v>
      </c>
    </row>
    <row r="19" spans="1:1" s="1173" customFormat="1" ht="37.5" customHeight="1" x14ac:dyDescent="0.3">
      <c r="A19" s="1172" t="s">
        <v>805</v>
      </c>
    </row>
    <row r="20" spans="1:1" s="1173" customFormat="1" ht="37.5" customHeight="1" x14ac:dyDescent="0.3">
      <c r="A20" s="1172" t="s">
        <v>806</v>
      </c>
    </row>
    <row r="21" spans="1:1" s="1173" customFormat="1" ht="37.5" customHeight="1" x14ac:dyDescent="0.3">
      <c r="A21" s="1172" t="s">
        <v>5573</v>
      </c>
    </row>
    <row r="22" spans="1:1" s="1173" customFormat="1" ht="37.5" customHeight="1" x14ac:dyDescent="0.3">
      <c r="A22" s="1172" t="s">
        <v>5574</v>
      </c>
    </row>
    <row r="23" spans="1:1" s="1173" customFormat="1" ht="37.5" customHeight="1" x14ac:dyDescent="0.3">
      <c r="A23" s="1172" t="s">
        <v>5575</v>
      </c>
    </row>
    <row r="24" spans="1:1" s="1173" customFormat="1" ht="37.5" customHeight="1" x14ac:dyDescent="0.3">
      <c r="A24" s="1172" t="s">
        <v>5576</v>
      </c>
    </row>
    <row r="25" spans="1:1" s="1173" customFormat="1" ht="37.5" customHeight="1" x14ac:dyDescent="0.3">
      <c r="A25" s="1172" t="s">
        <v>5585</v>
      </c>
    </row>
    <row r="26" spans="1:1" s="1173" customFormat="1" ht="37.5" customHeight="1" x14ac:dyDescent="0.3">
      <c r="A26" s="1172" t="s">
        <v>5577</v>
      </c>
    </row>
    <row r="27" spans="1:1" s="1173" customFormat="1" ht="37.5" customHeight="1" x14ac:dyDescent="0.3">
      <c r="A27" s="1172" t="s">
        <v>5578</v>
      </c>
    </row>
    <row r="28" spans="1:1" s="1173" customFormat="1" ht="37.5" customHeight="1" x14ac:dyDescent="0.3">
      <c r="A28" s="1172" t="s">
        <v>5586</v>
      </c>
    </row>
    <row r="29" spans="1:1" s="1173" customFormat="1" ht="37.5" customHeight="1" x14ac:dyDescent="0.3">
      <c r="A29" s="1172" t="s">
        <v>5579</v>
      </c>
    </row>
    <row r="30" spans="1:1" s="1173" customFormat="1" ht="37.5" customHeight="1" x14ac:dyDescent="0.3">
      <c r="A30" s="1172" t="s">
        <v>5580</v>
      </c>
    </row>
    <row r="31" spans="1:1" s="1173" customFormat="1" ht="37.5" customHeight="1" x14ac:dyDescent="0.3">
      <c r="A31" s="1172" t="s">
        <v>5581</v>
      </c>
    </row>
    <row r="32" spans="1:1" s="1173" customFormat="1" ht="37.5" customHeight="1" x14ac:dyDescent="0.3">
      <c r="A32" s="1172" t="s">
        <v>5587</v>
      </c>
    </row>
    <row r="33" spans="1:1" s="1173" customFormat="1" ht="37.5" customHeight="1" x14ac:dyDescent="0.3">
      <c r="A33" s="1172" t="s">
        <v>5582</v>
      </c>
    </row>
    <row r="34" spans="1:1" s="1173" customFormat="1" ht="37.5" customHeight="1" x14ac:dyDescent="0.3">
      <c r="A34" s="1172" t="s">
        <v>5588</v>
      </c>
    </row>
    <row r="35" spans="1:1" s="1173" customFormat="1" ht="37.5" customHeight="1" x14ac:dyDescent="0.3">
      <c r="A35" s="1172" t="s">
        <v>5589</v>
      </c>
    </row>
    <row r="36" spans="1:1" s="1173" customFormat="1" ht="37.5" customHeight="1" x14ac:dyDescent="0.3">
      <c r="A36" s="1172" t="s">
        <v>5583</v>
      </c>
    </row>
    <row r="37" spans="1:1" s="1173" customFormat="1" ht="37.5" customHeight="1" x14ac:dyDescent="0.3">
      <c r="A37" s="1172" t="s">
        <v>5590</v>
      </c>
    </row>
    <row r="38" spans="1:1" s="1173" customFormat="1" ht="37.5" customHeight="1" x14ac:dyDescent="0.3">
      <c r="A38" s="1172" t="s">
        <v>5591</v>
      </c>
    </row>
    <row r="39" spans="1:1" s="1173" customFormat="1" ht="37.5" customHeight="1" x14ac:dyDescent="0.3">
      <c r="A39" s="1172" t="s">
        <v>5584</v>
      </c>
    </row>
    <row r="40" spans="1:1" s="1173" customFormat="1" ht="37.5" customHeight="1" x14ac:dyDescent="0.3">
      <c r="A40" s="1172" t="s">
        <v>807</v>
      </c>
    </row>
    <row r="41" spans="1:1" s="1173" customFormat="1" ht="37.5" customHeight="1" x14ac:dyDescent="0.3">
      <c r="A41" s="1172" t="s">
        <v>5596</v>
      </c>
    </row>
    <row r="42" spans="1:1" s="1173" customFormat="1" ht="37.5" customHeight="1" x14ac:dyDescent="0.3">
      <c r="A42" s="1172" t="s">
        <v>808</v>
      </c>
    </row>
    <row r="43" spans="1:1" s="1173" customFormat="1" ht="37.5" customHeight="1" x14ac:dyDescent="0.3">
      <c r="A43" s="1172" t="s">
        <v>809</v>
      </c>
    </row>
    <row r="44" spans="1:1" s="1173" customFormat="1" ht="37.5" customHeight="1" x14ac:dyDescent="0.3">
      <c r="A44" s="1172" t="s">
        <v>810</v>
      </c>
    </row>
    <row r="45" spans="1:1" s="1173" customFormat="1" ht="37.5" customHeight="1" x14ac:dyDescent="0.3">
      <c r="A45" s="1172" t="s">
        <v>811</v>
      </c>
    </row>
    <row r="46" spans="1:1" s="1173" customFormat="1" ht="37.5" customHeight="1" x14ac:dyDescent="0.3">
      <c r="A46" s="1172" t="s">
        <v>812</v>
      </c>
    </row>
    <row r="47" spans="1:1" s="1173" customFormat="1" ht="37.5" customHeight="1" x14ac:dyDescent="0.3">
      <c r="A47" s="1172" t="s">
        <v>813</v>
      </c>
    </row>
    <row r="48" spans="1:1" s="1173" customFormat="1" ht="37.5" customHeight="1" x14ac:dyDescent="0.3">
      <c r="A48" s="1172" t="s">
        <v>814</v>
      </c>
    </row>
    <row r="49" spans="1:1" s="1173" customFormat="1" ht="37.5" customHeight="1" x14ac:dyDescent="0.3">
      <c r="A49" s="1172" t="s">
        <v>815</v>
      </c>
    </row>
    <row r="50" spans="1:1" s="1173" customFormat="1" ht="37.5" customHeight="1" x14ac:dyDescent="0.3">
      <c r="A50" s="1172" t="s">
        <v>816</v>
      </c>
    </row>
    <row r="51" spans="1:1" s="1173" customFormat="1" ht="37.5" customHeight="1" x14ac:dyDescent="0.3">
      <c r="A51" s="1172" t="s">
        <v>817</v>
      </c>
    </row>
    <row r="52" spans="1:1" s="1173" customFormat="1" ht="37.5" customHeight="1" x14ac:dyDescent="0.3">
      <c r="A52" s="1172" t="s">
        <v>818</v>
      </c>
    </row>
    <row r="53" spans="1:1" s="1173" customFormat="1" ht="37.5" customHeight="1" x14ac:dyDescent="0.3">
      <c r="A53" s="1172" t="s">
        <v>819</v>
      </c>
    </row>
    <row r="54" spans="1:1" s="1173" customFormat="1" ht="37.5" customHeight="1" x14ac:dyDescent="0.3">
      <c r="A54" s="1172" t="s">
        <v>820</v>
      </c>
    </row>
    <row r="55" spans="1:1" s="1173" customFormat="1" ht="37.5" customHeight="1" x14ac:dyDescent="0.3">
      <c r="A55" s="1172" t="s">
        <v>821</v>
      </c>
    </row>
    <row r="56" spans="1:1" s="1173" customFormat="1" ht="37.5" customHeight="1" x14ac:dyDescent="0.3">
      <c r="A56" s="1172" t="s">
        <v>822</v>
      </c>
    </row>
    <row r="57" spans="1:1" s="1173" customFormat="1" ht="37.5" customHeight="1" x14ac:dyDescent="0.3">
      <c r="A57" s="1172" t="s">
        <v>823</v>
      </c>
    </row>
    <row r="58" spans="1:1" s="1173" customFormat="1" ht="37.5" customHeight="1" x14ac:dyDescent="0.3">
      <c r="A58" s="1172" t="s">
        <v>824</v>
      </c>
    </row>
    <row r="59" spans="1:1" s="1173" customFormat="1" ht="37.5" customHeight="1" x14ac:dyDescent="0.3">
      <c r="A59" s="1172" t="s">
        <v>825</v>
      </c>
    </row>
    <row r="60" spans="1:1" s="1173" customFormat="1" ht="37.5" customHeight="1" x14ac:dyDescent="0.3">
      <c r="A60" s="1172" t="s">
        <v>826</v>
      </c>
    </row>
    <row r="61" spans="1:1" s="1173" customFormat="1" ht="37.5" customHeight="1" x14ac:dyDescent="0.3">
      <c r="A61" s="1172" t="s">
        <v>827</v>
      </c>
    </row>
    <row r="62" spans="1:1" s="1173" customFormat="1" ht="37.5" customHeight="1" x14ac:dyDescent="0.3">
      <c r="A62" s="1172" t="s">
        <v>828</v>
      </c>
    </row>
    <row r="63" spans="1:1" s="1173" customFormat="1" ht="37.5" customHeight="1" x14ac:dyDescent="0.3">
      <c r="A63" s="1172" t="s">
        <v>829</v>
      </c>
    </row>
    <row r="64" spans="1:1" s="1173" customFormat="1" ht="37.5" customHeight="1" x14ac:dyDescent="0.3">
      <c r="A64" s="1172" t="s">
        <v>830</v>
      </c>
    </row>
    <row r="65" spans="1:1" s="1173" customFormat="1" ht="37.5" customHeight="1" x14ac:dyDescent="0.3">
      <c r="A65" s="1172" t="s">
        <v>831</v>
      </c>
    </row>
    <row r="66" spans="1:1" s="1173" customFormat="1" ht="37.5" customHeight="1" x14ac:dyDescent="0.3">
      <c r="A66" s="1172" t="s">
        <v>832</v>
      </c>
    </row>
    <row r="67" spans="1:1" s="1173" customFormat="1" ht="37.5" customHeight="1" x14ac:dyDescent="0.3">
      <c r="A67" s="1172" t="s">
        <v>833</v>
      </c>
    </row>
    <row r="68" spans="1:1" s="1173" customFormat="1" ht="37.5" customHeight="1" x14ac:dyDescent="0.3">
      <c r="A68" s="1172" t="s">
        <v>834</v>
      </c>
    </row>
    <row r="69" spans="1:1" s="1173" customFormat="1" ht="37.5" customHeight="1" x14ac:dyDescent="0.3">
      <c r="A69" s="1172" t="s">
        <v>835</v>
      </c>
    </row>
    <row r="70" spans="1:1" s="1173" customFormat="1" ht="37.5" customHeight="1" x14ac:dyDescent="0.3">
      <c r="A70" s="1172" t="s">
        <v>836</v>
      </c>
    </row>
    <row r="71" spans="1:1" s="1173" customFormat="1" ht="37.5" customHeight="1" x14ac:dyDescent="0.3">
      <c r="A71" s="1172" t="s">
        <v>837</v>
      </c>
    </row>
    <row r="72" spans="1:1" s="1173" customFormat="1" ht="37.5" customHeight="1" x14ac:dyDescent="0.3">
      <c r="A72" s="1172" t="s">
        <v>838</v>
      </c>
    </row>
    <row r="73" spans="1:1" s="1173" customFormat="1" ht="37.5" customHeight="1" x14ac:dyDescent="0.3">
      <c r="A73" s="1172" t="s">
        <v>839</v>
      </c>
    </row>
    <row r="74" spans="1:1" s="1173" customFormat="1" ht="37.5" customHeight="1" x14ac:dyDescent="0.3">
      <c r="A74" s="1172" t="s">
        <v>840</v>
      </c>
    </row>
    <row r="75" spans="1:1" s="1173" customFormat="1" ht="37.5" customHeight="1" x14ac:dyDescent="0.3">
      <c r="A75" s="1172" t="s">
        <v>841</v>
      </c>
    </row>
    <row r="76" spans="1:1" s="1173" customFormat="1" ht="37.5" customHeight="1" x14ac:dyDescent="0.3">
      <c r="A76" s="1172" t="s">
        <v>842</v>
      </c>
    </row>
    <row r="77" spans="1:1" s="1173" customFormat="1" ht="37.5" customHeight="1" x14ac:dyDescent="0.3">
      <c r="A77" s="1172" t="s">
        <v>843</v>
      </c>
    </row>
    <row r="78" spans="1:1" s="1173" customFormat="1" ht="37.5" customHeight="1" x14ac:dyDescent="0.3">
      <c r="A78" s="1172" t="s">
        <v>844</v>
      </c>
    </row>
    <row r="79" spans="1:1" s="1173" customFormat="1" ht="37.5" customHeight="1" x14ac:dyDescent="0.3">
      <c r="A79" s="1172" t="s">
        <v>845</v>
      </c>
    </row>
    <row r="80" spans="1:1" s="1173" customFormat="1" ht="37.5" customHeight="1" x14ac:dyDescent="0.3">
      <c r="A80" s="1172" t="s">
        <v>846</v>
      </c>
    </row>
    <row r="81" spans="1:1" s="1173" customFormat="1" ht="37.5" customHeight="1" x14ac:dyDescent="0.3">
      <c r="A81" s="1172" t="s">
        <v>847</v>
      </c>
    </row>
    <row r="82" spans="1:1" s="1173" customFormat="1" ht="37.5" customHeight="1" x14ac:dyDescent="0.3">
      <c r="A82" s="1172" t="s">
        <v>848</v>
      </c>
    </row>
    <row r="83" spans="1:1" s="1173" customFormat="1" ht="37.5" customHeight="1" x14ac:dyDescent="0.3">
      <c r="A83" s="1172" t="s">
        <v>849</v>
      </c>
    </row>
    <row r="84" spans="1:1" s="1173" customFormat="1" ht="37.5" customHeight="1" x14ac:dyDescent="0.3">
      <c r="A84" s="1172" t="s">
        <v>850</v>
      </c>
    </row>
    <row r="85" spans="1:1" s="1173" customFormat="1" ht="37.5" customHeight="1" x14ac:dyDescent="0.3">
      <c r="A85" s="1172" t="s">
        <v>851</v>
      </c>
    </row>
    <row r="86" spans="1:1" s="1173" customFormat="1" ht="37.5" customHeight="1" x14ac:dyDescent="0.3">
      <c r="A86" s="1172" t="s">
        <v>852</v>
      </c>
    </row>
    <row r="87" spans="1:1" s="1173" customFormat="1" ht="37.5" customHeight="1" x14ac:dyDescent="0.3">
      <c r="A87" s="1172" t="s">
        <v>853</v>
      </c>
    </row>
    <row r="88" spans="1:1" s="1173" customFormat="1" ht="37.5" customHeight="1" x14ac:dyDescent="0.3">
      <c r="A88" s="1172" t="s">
        <v>854</v>
      </c>
    </row>
    <row r="89" spans="1:1" s="1173" customFormat="1" ht="37.5" customHeight="1" x14ac:dyDescent="0.3">
      <c r="A89" s="1172" t="s">
        <v>855</v>
      </c>
    </row>
    <row r="90" spans="1:1" s="1173" customFormat="1" ht="37.5" customHeight="1" x14ac:dyDescent="0.3">
      <c r="A90" s="1172" t="s">
        <v>856</v>
      </c>
    </row>
    <row r="91" spans="1:1" s="1173" customFormat="1" ht="37.5" customHeight="1" x14ac:dyDescent="0.3">
      <c r="A91" s="1172" t="s">
        <v>5601</v>
      </c>
    </row>
    <row r="92" spans="1:1" s="1173" customFormat="1" ht="37.5" customHeight="1" x14ac:dyDescent="0.3">
      <c r="A92" s="1172" t="s">
        <v>5600</v>
      </c>
    </row>
    <row r="93" spans="1:1" s="1173" customFormat="1" ht="37.5" customHeight="1" x14ac:dyDescent="0.3">
      <c r="A93" s="1172" t="s">
        <v>5599</v>
      </c>
    </row>
    <row r="94" spans="1:1" s="1173" customFormat="1" ht="37.5" customHeight="1" x14ac:dyDescent="0.3">
      <c r="A94" s="1172" t="s">
        <v>5598</v>
      </c>
    </row>
    <row r="95" spans="1:1" s="1173" customFormat="1" ht="37.5" customHeight="1" x14ac:dyDescent="0.3">
      <c r="A95" s="1172" t="s">
        <v>857</v>
      </c>
    </row>
    <row r="96" spans="1:1" s="1173" customFormat="1" ht="37.5" customHeight="1" x14ac:dyDescent="0.3">
      <c r="A96" s="1172" t="s">
        <v>858</v>
      </c>
    </row>
    <row r="97" spans="1:1" s="1173" customFormat="1" ht="37.5" customHeight="1" x14ac:dyDescent="0.3">
      <c r="A97" s="1172" t="s">
        <v>859</v>
      </c>
    </row>
    <row r="98" spans="1:1" s="1173" customFormat="1" ht="37.5" customHeight="1" x14ac:dyDescent="0.3">
      <c r="A98" s="1172" t="s">
        <v>860</v>
      </c>
    </row>
    <row r="99" spans="1:1" s="1173" customFormat="1" ht="37.5" customHeight="1" x14ac:dyDescent="0.3">
      <c r="A99" s="1172" t="s">
        <v>861</v>
      </c>
    </row>
    <row r="100" spans="1:1" s="1173" customFormat="1" ht="37.5" customHeight="1" x14ac:dyDescent="0.3">
      <c r="A100" s="1172" t="s">
        <v>5592</v>
      </c>
    </row>
    <row r="101" spans="1:1" s="1173" customFormat="1" ht="37.5" customHeight="1" x14ac:dyDescent="0.3">
      <c r="A101" s="1172" t="s">
        <v>862</v>
      </c>
    </row>
    <row r="102" spans="1:1" s="1173" customFormat="1" ht="37.5" customHeight="1" x14ac:dyDescent="0.3">
      <c r="A102" s="1172" t="s">
        <v>863</v>
      </c>
    </row>
  </sheetData>
  <hyperlinks>
    <hyperlink ref="A36" location="'23'!A1" display="23. ODCs Loans to Other Nonfinancial Corporations, Households and Other Sectors as at end-August 2021" xr:uid="{00000000-0004-0000-0000-000000000000}"/>
    <hyperlink ref="A37" location="'24a'!A1" display="24a. ODCs* Loans to Other Nonfinancial Corporations, Households and Other Sectors1 : December 2020 to December 2021" xr:uid="{00000000-0004-0000-0000-000001000000}"/>
    <hyperlink ref="A39" location="'25'!A1" display="25. Maintenance of Cash Reserve Ratio (CRR) by Banks: 24 March 2022 to 23 March 2023" xr:uid="{00000000-0004-0000-0000-000002000000}"/>
    <hyperlink ref="A40" location="'26'!Print_Area" display="26. Maturity Pattern of Banks' Foreign Currency Deposits: As at end-September 2022" xr:uid="{00000000-0004-0000-0000-000003000000}"/>
    <hyperlink ref="A41" location="'27'!A1" display="27. Financial Soundness Indicators of Other Depository Corporations: December 2018 to June 2021" xr:uid="{00000000-0004-0000-0000-000004000000}"/>
    <hyperlink ref="A42" location="'28'!A1" display="28. Currency in Circulation: September 2020 to September 2021" xr:uid="{00000000-0004-0000-0000-000005000000}"/>
    <hyperlink ref="A43" location="'29'!A1" display="29. Cheque Clearance: January 2019 to September 2021" xr:uid="{00000000-0004-0000-0000-000006000000}"/>
    <hyperlink ref="A44" location="'30a'!A1" display="30a. Mauritius Automated Clearing and Settlement System (MACSS) Rupee Transactions: January 2019 to September 2021" xr:uid="{00000000-0004-0000-0000-000007000000}"/>
    <hyperlink ref="A45" location="'30b'!A1" display="30b. Mauritius Automated Clearing and Settlement System (MACSS) Foreign Currency Transactions: January 2019 to September 2021" xr:uid="{00000000-0004-0000-0000-000008000000}"/>
    <hyperlink ref="A34" location="'22a'!A1" display="22a.NBDTIs Interest Rates on New Rupee Loans to Other Nonfinancial Corporations1, Households and Other Sectors: December 2020 to December 2021" xr:uid="{00000000-0004-0000-0000-000009000000}"/>
    <hyperlink ref="A22" location="'14a-b'!A1" display="14b. Components and Sources of Broad Money Liabilities: May 2022 to May 2023" xr:uid="{00000000-0004-0000-0000-00000A000000}"/>
    <hyperlink ref="A27" location="'17b'!A1" display="17b. Banks' Interest Rates on New Rupee Loans to Other Nonfinancial Corporations, Households and Other Sectors: August 2020 to August 2021" xr:uid="{00000000-0004-0000-0000-00000B000000}"/>
    <hyperlink ref="A33" location="'21'!A1" display="21. NBDTIs Interest Rates on New Rupee Deposits: June 2022 to June 2023" xr:uid="{00000000-0004-0000-0000-00000C000000}"/>
    <hyperlink ref="A31" location="'20a'!A1" display="20a. NBDTIs Loans to Other Nonfinancial Corporations, Households and Other Sectors: December 2020 to December 2021" xr:uid="{00000000-0004-0000-0000-00000D000000}"/>
    <hyperlink ref="A30" location="'19'!A1" display="19. NBDTIs Loans to Other Nonfinancial Corporations, Households and Other Sectors as at end-June 2023" xr:uid="{00000000-0004-0000-0000-00000E000000}"/>
    <hyperlink ref="A29" location="'18'!A1" display="18. Banks' Principal Interest Rates and Other Interest Rates: May 2021 to May 2023" xr:uid="{00000000-0004-0000-0000-00000F000000}"/>
    <hyperlink ref="A26" location="'17a'!A1" display="17a. Banks' Interest Rates on New Rupee Deposits: April 2021 to April 2022" xr:uid="{00000000-0004-0000-0000-000010000000}"/>
    <hyperlink ref="A24" location="'16a'!A1" display="16a. Bank Loans to Other Nonfinancial Corporations, Households and Other Sectors: December 2020 to December 2021" xr:uid="{00000000-0004-0000-0000-000011000000}"/>
    <hyperlink ref="A23" location="'15'!A1" display="15. Bank Loans to Other Nonfinancial Corporations, Households and Other Sectors as at end-May 2023" xr:uid="{00000000-0004-0000-0000-000012000000}"/>
    <hyperlink ref="A21" location="'14a-b'!A1" display="14a. Components and Sources of Monetary Base: May 2022 to May 2023" xr:uid="{00000000-0004-0000-0000-000013000000}"/>
    <hyperlink ref="A16" location="'13a'!Print_Area" display="13a. Depository Corporations Survey: June 2022 to June 2023" xr:uid="{00000000-0004-0000-0000-000014000000}"/>
    <hyperlink ref="A15" location="'12'!A1" display="12. Other Depository Corporations Survey: August 2022 to August 2023" xr:uid="{00000000-0004-0000-0000-000015000000}"/>
    <hyperlink ref="A14" location="'11'!A1" display="11. Sectoral Balance Sheet of Other Depository Corporations: August 2022 to August 2023" xr:uid="{00000000-0004-0000-0000-000016000000}"/>
    <hyperlink ref="A13" location="'10'!A1" display="10. Sectoral Balance Sheet of Non-Bank Deposit Taking Institutions: December 2021 to December 2022" xr:uid="{00000000-0004-0000-0000-000017000000}"/>
    <hyperlink ref="A12" location="'9'!A1" display="9. Sectoral Balance Sheet of Banks: December 2021 to December 2022 " xr:uid="{00000000-0004-0000-0000-000018000000}"/>
    <hyperlink ref="A11" location="'8 '!A1" display="8. Central Bank Survey: August 2022 to August 2023" xr:uid="{00000000-0004-0000-0000-000019000000}"/>
    <hyperlink ref="A10" location="'7 '!A1" display="7. Sectoral Balance Sheet of Bank of Mauritius: August 2022 to August 2023" xr:uid="{00000000-0004-0000-0000-00001A000000}"/>
    <hyperlink ref="A9" location="'6'!A1" display="6. Bank of Mauritius Statement of Financial Position as at end August 2022" xr:uid="{00000000-0004-0000-0000-00001B000000}"/>
    <hyperlink ref="A8" location="'5 '!A1" display="5. Headline and Core Inflation Rates: June 2021 to June 2023" xr:uid="{00000000-0004-0000-0000-00001C000000}"/>
    <hyperlink ref="A7" location="'4 '!A1" display="4. Consumer Price Index (CPI) and Inflation Rates: January 2017 to September 2023" xr:uid="{00000000-0004-0000-0000-00001D000000}"/>
    <hyperlink ref="A6" location="'3 '!A1" display="3. Outstanding Public Sector Debt: March 2021 to June 2023" xr:uid="{00000000-0004-0000-0000-00001E000000}"/>
    <hyperlink ref="A4" location="'1'!A1" display="1. Selected Economic Indicators of Mauritius: 2011 to 2021" xr:uid="{00000000-0004-0000-0000-00001F000000}"/>
    <hyperlink ref="A5" location="'2 '!A1" display="2. FAO Food Price Indices and Oil Prices: 2018 to 2022 (Annual) and January 2018 to September 2023 (Monthly)" xr:uid="{00000000-0004-0000-0000-000020000000}"/>
    <hyperlink ref="A17:A20" location="'13a'!Print_Area" display="13a. Depository Corporations Survey: June 2022 to June 2023" xr:uid="{00000000-0004-0000-0000-000021000000}"/>
    <hyperlink ref="A17" location="'13b'!A1" display="13b. Sectoral Balance Sheet of Other Financial Corporations : 2023Q1" xr:uid="{00000000-0004-0000-0000-000022000000}"/>
    <hyperlink ref="A18" location="'13c '!A1" display="13c. Sectoral Balance Sheet of Other Financial Corporations (Excluding GBCs) : 2023Q1" xr:uid="{00000000-0004-0000-0000-000023000000}"/>
    <hyperlink ref="A19" location="'13d'!A1" display="13d: Other Financial Corporations Survey: 2023Q1" xr:uid="{00000000-0004-0000-0000-000024000000}"/>
    <hyperlink ref="A20" location="'13e'!A1" display="13e: Financial Corporations Survey: 2023Q1" xr:uid="{00000000-0004-0000-0000-000025000000}"/>
    <hyperlink ref="A46" location="'31-32-33'!Print_Area" display="31. Card Transactions: September 2021 to September 2022" xr:uid="{00000000-0004-0000-0000-000026000000}"/>
    <hyperlink ref="A47" location="'31-32-33'!Print_Area" display="32. Internet Banking Transactions: September 2021 to September 2022" xr:uid="{00000000-0004-0000-0000-000027000000}"/>
    <hyperlink ref="A48" location="'31-32-33'!Print_Area" display="33. Mobile Banking and Mobile Payments: September 2021 to September 2022" xr:uid="{00000000-0004-0000-0000-000028000000}"/>
    <hyperlink ref="A49" location="'34'!A1" display="34. Assets and Liabilities of Non-Bank Deposit Taking Leasing Companies: August 2020 to August 2021" xr:uid="{00000000-0004-0000-0000-000029000000}"/>
    <hyperlink ref="A50" location="'35'!A1" display="35. Consolidated Quarterly Profit and Loss Statement of Non-Bank Deposit Taking Leasing Companies: December 2014 to June 2021" xr:uid="{00000000-0004-0000-0000-00002A000000}"/>
    <hyperlink ref="A52" location="'37a-b'!Print_Area" display="37a. Auctions of Government of Mauritius Treasury Bills: November 2022 and December 2022" xr:uid="{00000000-0004-0000-0000-00002B000000}"/>
    <hyperlink ref="A53" location="'37a-b'!Print_Area" display="37b. Auctions of Government of Mauritius Treasury Bills: December 2021 to December 2022" xr:uid="{00000000-0004-0000-0000-00002C000000}"/>
    <hyperlink ref="A54" location="'38a-b'!A1" display="38a. Auctions of Bank of Mauritius Bills: August 2021 and September 2021 " xr:uid="{00000000-0004-0000-0000-00002D000000}"/>
    <hyperlink ref="A55" location="'38a-b'!A1" display="38b. Auctions of Bank of Mauritius Bills: September 2020 to September 2021" xr:uid="{00000000-0004-0000-0000-00002E000000}"/>
    <hyperlink ref="A56" location="'39a-b'!Print_Area" display="39a. Weighted Average Yields on Government of Mauritius Treasury Bills/Bank of Mauritius Bills: January 2023" xr:uid="{00000000-0004-0000-0000-00002F000000}"/>
    <hyperlink ref="A58" location="'40a-b'!Print_Area" display="40a. Auctions of Government of Mauritius Notes and Bonds" xr:uid="{00000000-0004-0000-0000-000030000000}"/>
    <hyperlink ref="A60" location="'41a-b'!Print_Area" display="41a: Issue of 7-Day Bank of Mauritius Bills: July 2023 and August 2023" xr:uid="{00000000-0004-0000-0000-000031000000}"/>
    <hyperlink ref="A62" location="'42'!A1" display="42. Buyback Auction of Government of Mauritius Securities: October 2019 and November 2019" xr:uid="{00000000-0004-0000-0000-000032000000}"/>
    <hyperlink ref="A63" location="'43-44'!A1" display="43. Outstanding Government of Mauritius Securities: September 2020 to September 2021" xr:uid="{00000000-0004-0000-0000-000033000000}"/>
    <hyperlink ref="A51" location="'36'!A1" display="36. Sectorwise Distribution of Credit to Non-Residents: June 2021" xr:uid="{00000000-0004-0000-0000-000034000000}"/>
    <hyperlink ref="A57" location="'39a-b'!Print_Area" display="39b: Weighted Average Yields on Government of Mauritius Treasury Bills/Bank of Mauritius Bills: January 2022 to January 2023" xr:uid="{00000000-0004-0000-0000-000035000000}"/>
    <hyperlink ref="A59" location="'40a-b'!Print_Area" display="40b. Buyback Auction of Government of Mauritius Securities " xr:uid="{00000000-0004-0000-0000-000036000000}"/>
    <hyperlink ref="A64" location="'43-44'!A1" display="44. Maturity Structure of Government of Mauritius Securities outstanding at end-September 2021" xr:uid="{00000000-0004-0000-0000-000037000000}"/>
    <hyperlink ref="A65" location="'45a-b'!A1" display="45a. Secondary Market Transactions by Counterparty: September 2021" xr:uid="{00000000-0004-0000-0000-000038000000}"/>
    <hyperlink ref="A67" location="'45c'!A1" display="45c. Secondary Market Yields by Residual Days to Maturity: September 2021" xr:uid="{00000000-0004-0000-0000-000039000000}"/>
    <hyperlink ref="A68" location="'46'!Print_Area" display="46. Secondary Market Activity: May 2022 to May 2023" xr:uid="{00000000-0004-0000-0000-00003A000000}"/>
    <hyperlink ref="A69" location="'47a-b'!Print_Area" display="47a. Overnight Transactions on the Interbank Money Market: January 2023 to May 2023" xr:uid="{00000000-0004-0000-0000-00003B000000}"/>
    <hyperlink ref="A70" location="'47a-b'!Print_Area" display="47b.Transactions on the Interbank Money Market: May 2022 to May 2023" xr:uid="{00000000-0004-0000-0000-00003C000000}"/>
    <hyperlink ref="A71" location="'47c'!Print_Area" display="47c. Repo Transactions on the Interbank Money Market: May 2022 to May 2023" xr:uid="{00000000-0004-0000-0000-00003D000000}"/>
    <hyperlink ref="A72" location="'48'!Print_Area" display="48. Transactions on the Interbank Foreign Exchange Market: May 2021 to May 2023" xr:uid="{00000000-0004-0000-0000-00003E000000}"/>
    <hyperlink ref="A74" location="'49a-b'!Print_Area" display="49b. Purchases and Sales of Foreign Currency by the Bank of Mauritius from Government and Other Institutions: May 2022 to May 2023" xr:uid="{00000000-0004-0000-0000-00003F000000}"/>
    <hyperlink ref="A76" location="'50b-c'!A1" display="50c. Exchange Rate of the Rupee (Period Average): September 2020 to September 2021" xr:uid="{00000000-0004-0000-0000-000040000000}"/>
    <hyperlink ref="A77" location="'50b-c'!Print_Area" display="50c. Exchange Rate of the Rupee (Period Average): May 2022 to May 2023" xr:uid="{00000000-0004-0000-0000-000041000000}"/>
    <hyperlink ref="A78" location="'50d'!Print_Area" display="50d. Average Exchange Rate of the Rupee vis-à-vis Major Trading Partner Currencies: May 2022 and May 2023" xr:uid="{00000000-0004-0000-0000-000042000000}"/>
    <hyperlink ref="A80" location="'51-52'!Print_Area" display="52. Mauritius Exchange Rate Index (MERI): January 2021 to May 2023" xr:uid="{00000000-0004-0000-0000-000043000000}"/>
    <hyperlink ref="A81" location="'53'!Print_Area" display="53. Foreign Currency Transactions: May 2022 to May 2023" xr:uid="{00000000-0004-0000-0000-000044000000}"/>
    <hyperlink ref="A82" location="'54a'!Print_Area" display="54a. Foreign Currency Purchases by Sector: May 2022 to May 2023" xr:uid="{00000000-0004-0000-0000-000045000000}"/>
    <hyperlink ref="A84" location="'55a-b'!Print_Area" display="55a. Foreign Currency Purchases by Major Currencies: May 2022 to May 2023" xr:uid="{00000000-0004-0000-0000-000046000000}"/>
    <hyperlink ref="A85" location="'55a-b'!Print_Area" display="55b. Foreign Currency Sales by Major Currencies: May 2022 to May 2023" xr:uid="{00000000-0004-0000-0000-000047000000}"/>
    <hyperlink ref="A86" location="'56'!Print_Area" display="56. Swap Transactions by Sector in Major Currencies: March 2023 to May 2023" xr:uid="{00000000-0004-0000-0000-000048000000}"/>
    <hyperlink ref="A88" location="'57a-b'!Print_Area" display="57b. Transactions by Non-Residents on the Stock Exchange of Mauritius: May 2022 to May 2023" xr:uid="{00000000-0004-0000-0000-000049000000}"/>
    <hyperlink ref="A89" location="'58'!Print_Area" display="58. Tourist Arrivals: January 2019 to May 2023 and Gross Tourism Earnings: January 2019 to April 2023" xr:uid="{00000000-0004-0000-0000-00004A000000}"/>
    <hyperlink ref="A91" location="'60a-b'!Print_Area" display="60b. Gross Direct Investment Flows in Mauritius (Excluding Global Business) by Geographical Origin: 2013 to 2020 (Annual) and First Three Quarters of 2021" xr:uid="{00000000-0004-0000-0000-00004B000000}"/>
    <hyperlink ref="A92" location="'60a-b'!Print_Area" display="60b. Gross Direct Investment Flows in Mauritius (Excluding Global Business) by Geographical Origin: 2014 to 2022 (Annual)" xr:uid="{00000000-0004-0000-0000-00004C000000}"/>
    <hyperlink ref="A95" location="'62a-c'!Print_Area" display="62a. Inward Workers' Remittances, Top 10 Source Countries: 2019Q1 to 2022Q4" xr:uid="{00000000-0004-0000-0000-00004D000000}"/>
    <hyperlink ref="A96" location="'62a-c'!Print_Area" display="62b. Outward Workers' Remittances, Top 5 Destination Countries: 2019Q1 to 2022Q4" xr:uid="{00000000-0004-0000-0000-00004E000000}"/>
    <hyperlink ref="A97" location="'62a-c'!Print_Area" display="62c. Remittance Cost: 2019Q1 to 2022Q4" xr:uid="{00000000-0004-0000-0000-00004F000000}"/>
    <hyperlink ref="A98" location="'62d'!Print_Area" display="62d. Outward Workers' Remittances by Domestic Remitter's Sector of Activity: 2019Q1 to 2022Q4" xr:uid="{00000000-0004-0000-0000-000050000000}"/>
    <hyperlink ref="A99" location="'63'!Print_Area" display="63. Coordinated Direct Investment Survey - Position data for Mauritius as at end-2020 and end-2021 vis-à-vis Top 10 Counterpart Economies" xr:uid="{00000000-0004-0000-0000-000051000000}"/>
    <hyperlink ref="A100" location="'64'!Print_Area" display="64. Balance of Payments - Fourth Quarters of 2021 and 2022" xr:uid="{00000000-0004-0000-0000-000052000000}"/>
    <hyperlink ref="A101" location="'65'!Print_Area" display="65. International Investment Position: External Assets and Liabilities at end-December 2018 to 2021" xr:uid="{00000000-0004-0000-0000-000053000000}"/>
    <hyperlink ref="A73" location="'49a-b'!A1" display="49b. Purchases and Sales of Foreign Currency by the Bank of Mauritius from Government and Other Institutions: September 2020 to September 2021" xr:uid="{00000000-0004-0000-0000-000054000000}"/>
    <hyperlink ref="A66" location="'45a-b'!A1" display="45b. Weekly Secondary Market Transactions: September 2021" xr:uid="{00000000-0004-0000-0000-000055000000}"/>
    <hyperlink ref="A75" location="'50a'!Print_Area" display="50a. Weighted Average Dealt Selling Rates of the Rupee against the USD, EUR and GBP: May 2022 to May 2023" xr:uid="{00000000-0004-0000-0000-000056000000}"/>
    <hyperlink ref="A79" location="'51-52'!A1" display="52. Mauritius Exchange Rate Index (MERI): January 2019 to September 2021" xr:uid="{00000000-0004-0000-0000-000057000000}"/>
    <hyperlink ref="A83" location="'54b'!Print_Area" display="54b. Foreign Currency Sales by Sector: May 2022 to May 2023" xr:uid="{00000000-0004-0000-0000-000058000000}"/>
    <hyperlink ref="A87" location="'57a-b'!Print_Area" display="57a. Transactions on the Stock Exchange of Mauritius: May 2022 to May 2023" xr:uid="{00000000-0004-0000-0000-000059000000}"/>
    <hyperlink ref="A90" location="'59'!Print_Area" display="59. Gross Official International Reserves: May 2020 to May 2023" xr:uid="{00000000-0004-0000-0000-00005A000000}"/>
    <hyperlink ref="A93" location="'61a-b'!Print_Area" display="61b. Gross Direct Investment Flows Abroad (Excluding Global Business) by Geographical Destination: 2013 to 2020 (Annual) and First Three Quarters of 2021" xr:uid="{00000000-0004-0000-0000-00005B000000}"/>
    <hyperlink ref="A94" location="'61a-b'!Print_Area" display="61b. Gross Direct Investment Flows Abroad (Excluding Global Business) by Geographical Destination: 2014 to 2022 (Annual) " xr:uid="{00000000-0004-0000-0000-00005C000000}"/>
    <hyperlink ref="A102" location="'66'!Print_Area" display="66. Leasing Facilities to Households and Corporates: March 2022 to March 2023" xr:uid="{00000000-0004-0000-0000-00005D000000}"/>
    <hyperlink ref="A61" location="'41a-b'!Print_Area" display="41b: Issue of Bank of Mauritius Notes " xr:uid="{00000000-0004-0000-0000-00005E000000}"/>
    <hyperlink ref="A12:XFD13" location="'11'!A1" display="9. Sectoral Balance Sheet of Banks: August 2022 to August 2023 " xr:uid="{00000000-0004-0000-0000-00005F000000}"/>
    <hyperlink ref="A25" location="'16b'!A1" display="16b. Bank Loans to Other Nonfinancial Corporations, Households and Other Sectors1 : August 2022 to August 2023" xr:uid="{00000000-0004-0000-0000-000060000000}"/>
    <hyperlink ref="A28" location="'17c'!A1" display="17c. Bank's Interest Rates on New Rupee Loans to Other Nonfinancial Corporations, Households and Other Sectors 1: June 2023 to August 2023" xr:uid="{00000000-0004-0000-0000-000061000000}"/>
    <hyperlink ref="A32" location="'20b'!A1" display="20b. NBDTIs Loans to Other Nonfinancial Corporations, Households and Other Sectors1: August 2022 to August 2023" xr:uid="{00000000-0004-0000-0000-000062000000}"/>
    <hyperlink ref="A35" location="'22b'!A1" display="22b.NBDTIs Interest Rates on New Rupee Loans to Other Nonfinancial Corporations1, Households and Other Sectors: August 2022 to August 2023" xr:uid="{00000000-0004-0000-0000-000063000000}"/>
    <hyperlink ref="A38" location="'24b'!A1" display="24b. ODCs* Loans to Other Nonfinancial Corporations, Households and Other Sectors1 : June 2023 to August 2023" xr:uid="{00000000-0004-0000-0000-000064000000}"/>
  </hyperlinks>
  <pageMargins left="0" right="0" top="0" bottom="0" header="0.3" footer="0.3"/>
  <pageSetup paperSize="9" scale="73"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WVJ62"/>
  <sheetViews>
    <sheetView showGridLines="0" zoomScale="70" zoomScaleNormal="70" zoomScaleSheetLayoutView="90" workbookViewId="0">
      <pane xSplit="7" ySplit="3" topLeftCell="AW31" activePane="bottomRight" state="frozen"/>
      <selection activeCell="A38" sqref="A38"/>
      <selection pane="topRight" activeCell="A38" sqref="A38"/>
      <selection pane="bottomLeft" activeCell="A38" sqref="A38"/>
      <selection pane="bottomRight" activeCell="A38" sqref="A38"/>
    </sheetView>
  </sheetViews>
  <sheetFormatPr defaultRowHeight="17.25" x14ac:dyDescent="0.3"/>
  <cols>
    <col min="1" max="1" width="15.7109375" style="1692" customWidth="1"/>
    <col min="2" max="2" width="60.7109375" style="624" bestFit="1" customWidth="1"/>
    <col min="3" max="3" width="15.140625" style="1692" hidden="1" customWidth="1"/>
    <col min="4" max="6" width="15.85546875" style="1692" hidden="1" customWidth="1"/>
    <col min="7" max="7" width="12.7109375" style="1692" hidden="1" customWidth="1"/>
    <col min="8" max="8" width="12.85546875" style="1692" hidden="1" customWidth="1"/>
    <col min="9" max="10" width="11.85546875" style="1692" hidden="1" customWidth="1"/>
    <col min="11" max="11" width="12.7109375" style="1692" hidden="1" customWidth="1"/>
    <col min="12" max="16" width="15.85546875" style="1692" hidden="1" customWidth="1"/>
    <col min="17" max="27" width="12.7109375" style="1692" hidden="1" customWidth="1"/>
    <col min="28" max="28" width="21.85546875" style="1692" hidden="1" customWidth="1"/>
    <col min="29" max="30" width="12.7109375" style="1692" hidden="1" customWidth="1"/>
    <col min="31" max="34" width="13.7109375" style="1692" hidden="1" customWidth="1"/>
    <col min="35" max="35" width="14.85546875" style="1692" hidden="1" customWidth="1"/>
    <col min="36" max="38" width="15.28515625" style="1692" hidden="1" customWidth="1"/>
    <col min="39" max="39" width="14.42578125" style="1692" hidden="1" customWidth="1"/>
    <col min="40" max="40" width="14.85546875" style="1692" hidden="1" customWidth="1"/>
    <col min="41" max="41" width="15.7109375" style="1692" hidden="1" customWidth="1"/>
    <col min="42" max="42" width="15.28515625" style="1692" hidden="1" customWidth="1"/>
    <col min="43" max="43" width="15.7109375" style="1692" hidden="1" customWidth="1"/>
    <col min="44" max="44" width="15.42578125" style="1692" hidden="1" customWidth="1"/>
    <col min="45" max="45" width="15.5703125" style="1692" hidden="1" customWidth="1"/>
    <col min="46" max="46" width="15.140625" style="1692" hidden="1" customWidth="1"/>
    <col min="47" max="48" width="15.5703125" style="1692" hidden="1" customWidth="1"/>
    <col min="49" max="61" width="15.5703125" style="1692" bestFit="1" customWidth="1"/>
    <col min="62" max="163" width="9.140625" style="1692"/>
    <col min="164" max="164" width="5.85546875" style="1692" customWidth="1"/>
    <col min="165" max="165" width="55.42578125" style="1692" bestFit="1" customWidth="1"/>
    <col min="166" max="258" width="9.140625" style="1692" hidden="1" customWidth="1"/>
    <col min="259" max="269" width="10.7109375" style="1692" customWidth="1"/>
    <col min="270" max="270" width="10.85546875" style="1692" customWidth="1"/>
    <col min="271" max="271" width="10.7109375" style="1692" bestFit="1" customWidth="1"/>
    <col min="272" max="419" width="9.140625" style="1692"/>
    <col min="420" max="420" width="5.85546875" style="1692" customWidth="1"/>
    <col min="421" max="421" width="55.42578125" style="1692" bestFit="1" customWidth="1"/>
    <col min="422" max="514" width="9.140625" style="1692" hidden="1" customWidth="1"/>
    <col min="515" max="525" width="10.7109375" style="1692" customWidth="1"/>
    <col min="526" max="526" width="10.85546875" style="1692" customWidth="1"/>
    <col min="527" max="527" width="10.7109375" style="1692" bestFit="1" customWidth="1"/>
    <col min="528" max="675" width="9.140625" style="1692"/>
    <col min="676" max="676" width="5.85546875" style="1692" customWidth="1"/>
    <col min="677" max="677" width="55.42578125" style="1692" bestFit="1" customWidth="1"/>
    <col min="678" max="770" width="9.140625" style="1692" hidden="1" customWidth="1"/>
    <col min="771" max="781" width="10.7109375" style="1692" customWidth="1"/>
    <col min="782" max="782" width="10.85546875" style="1692" customWidth="1"/>
    <col min="783" max="783" width="10.7109375" style="1692" bestFit="1" customWidth="1"/>
    <col min="784" max="931" width="9.140625" style="1692"/>
    <col min="932" max="932" width="5.85546875" style="1692" customWidth="1"/>
    <col min="933" max="933" width="55.42578125" style="1692" bestFit="1" customWidth="1"/>
    <col min="934" max="1026" width="9.140625" style="1692" hidden="1" customWidth="1"/>
    <col min="1027" max="1037" width="10.7109375" style="1692" customWidth="1"/>
    <col min="1038" max="1038" width="10.85546875" style="1692" customWidth="1"/>
    <col min="1039" max="1039" width="10.7109375" style="1692" bestFit="1" customWidth="1"/>
    <col min="1040" max="1187" width="9.140625" style="1692"/>
    <col min="1188" max="1188" width="5.85546875" style="1692" customWidth="1"/>
    <col min="1189" max="1189" width="55.42578125" style="1692" bestFit="1" customWidth="1"/>
    <col min="1190" max="1282" width="9.140625" style="1692" hidden="1" customWidth="1"/>
    <col min="1283" max="1293" width="10.7109375" style="1692" customWidth="1"/>
    <col min="1294" max="1294" width="10.85546875" style="1692" customWidth="1"/>
    <col min="1295" max="1295" width="10.7109375" style="1692" bestFit="1" customWidth="1"/>
    <col min="1296" max="1443" width="9.140625" style="1692"/>
    <col min="1444" max="1444" width="5.85546875" style="1692" customWidth="1"/>
    <col min="1445" max="1445" width="55.42578125" style="1692" bestFit="1" customWidth="1"/>
    <col min="1446" max="1538" width="9.140625" style="1692" hidden="1" customWidth="1"/>
    <col min="1539" max="1549" width="10.7109375" style="1692" customWidth="1"/>
    <col min="1550" max="1550" width="10.85546875" style="1692" customWidth="1"/>
    <col min="1551" max="1551" width="10.7109375" style="1692" bestFit="1" customWidth="1"/>
    <col min="1552" max="1699" width="9.140625" style="1692"/>
    <col min="1700" max="1700" width="5.85546875" style="1692" customWidth="1"/>
    <col min="1701" max="1701" width="55.42578125" style="1692" bestFit="1" customWidth="1"/>
    <col min="1702" max="1794" width="9.140625" style="1692" hidden="1" customWidth="1"/>
    <col min="1795" max="1805" width="10.7109375" style="1692" customWidth="1"/>
    <col min="1806" max="1806" width="10.85546875" style="1692" customWidth="1"/>
    <col min="1807" max="1807" width="10.7109375" style="1692" bestFit="1" customWidth="1"/>
    <col min="1808" max="1955" width="9.140625" style="1692"/>
    <col min="1956" max="1956" width="5.85546875" style="1692" customWidth="1"/>
    <col min="1957" max="1957" width="55.42578125" style="1692" bestFit="1" customWidth="1"/>
    <col min="1958" max="2050" width="9.140625" style="1692" hidden="1" customWidth="1"/>
    <col min="2051" max="2061" width="10.7109375" style="1692" customWidth="1"/>
    <col min="2062" max="2062" width="10.85546875" style="1692" customWidth="1"/>
    <col min="2063" max="2063" width="10.7109375" style="1692" bestFit="1" customWidth="1"/>
    <col min="2064" max="2211" width="9.140625" style="1692"/>
    <col min="2212" max="2212" width="5.85546875" style="1692" customWidth="1"/>
    <col min="2213" max="2213" width="55.42578125" style="1692" bestFit="1" customWidth="1"/>
    <col min="2214" max="2306" width="9.140625" style="1692" hidden="1" customWidth="1"/>
    <col min="2307" max="2317" width="10.7109375" style="1692" customWidth="1"/>
    <col min="2318" max="2318" width="10.85546875" style="1692" customWidth="1"/>
    <col min="2319" max="2319" width="10.7109375" style="1692" bestFit="1" customWidth="1"/>
    <col min="2320" max="2467" width="9.140625" style="1692"/>
    <col min="2468" max="2468" width="5.85546875" style="1692" customWidth="1"/>
    <col min="2469" max="2469" width="55.42578125" style="1692" bestFit="1" customWidth="1"/>
    <col min="2470" max="2562" width="9.140625" style="1692" hidden="1" customWidth="1"/>
    <col min="2563" max="2573" width="10.7109375" style="1692" customWidth="1"/>
    <col min="2574" max="2574" width="10.85546875" style="1692" customWidth="1"/>
    <col min="2575" max="2575" width="10.7109375" style="1692" bestFit="1" customWidth="1"/>
    <col min="2576" max="2723" width="9.140625" style="1692"/>
    <col min="2724" max="2724" width="5.85546875" style="1692" customWidth="1"/>
    <col min="2725" max="2725" width="55.42578125" style="1692" bestFit="1" customWidth="1"/>
    <col min="2726" max="2818" width="9.140625" style="1692" hidden="1" customWidth="1"/>
    <col min="2819" max="2829" width="10.7109375" style="1692" customWidth="1"/>
    <col min="2830" max="2830" width="10.85546875" style="1692" customWidth="1"/>
    <col min="2831" max="2831" width="10.7109375" style="1692" bestFit="1" customWidth="1"/>
    <col min="2832" max="2979" width="9.140625" style="1692"/>
    <col min="2980" max="2980" width="5.85546875" style="1692" customWidth="1"/>
    <col min="2981" max="2981" width="55.42578125" style="1692" bestFit="1" customWidth="1"/>
    <col min="2982" max="3074" width="9.140625" style="1692" hidden="1" customWidth="1"/>
    <col min="3075" max="3085" width="10.7109375" style="1692" customWidth="1"/>
    <col min="3086" max="3086" width="10.85546875" style="1692" customWidth="1"/>
    <col min="3087" max="3087" width="10.7109375" style="1692" bestFit="1" customWidth="1"/>
    <col min="3088" max="3235" width="9.140625" style="1692"/>
    <col min="3236" max="3236" width="5.85546875" style="1692" customWidth="1"/>
    <col min="3237" max="3237" width="55.42578125" style="1692" bestFit="1" customWidth="1"/>
    <col min="3238" max="3330" width="9.140625" style="1692" hidden="1" customWidth="1"/>
    <col min="3331" max="3341" width="10.7109375" style="1692" customWidth="1"/>
    <col min="3342" max="3342" width="10.85546875" style="1692" customWidth="1"/>
    <col min="3343" max="3343" width="10.7109375" style="1692" bestFit="1" customWidth="1"/>
    <col min="3344" max="3491" width="9.140625" style="1692"/>
    <col min="3492" max="3492" width="5.85546875" style="1692" customWidth="1"/>
    <col min="3493" max="3493" width="55.42578125" style="1692" bestFit="1" customWidth="1"/>
    <col min="3494" max="3586" width="9.140625" style="1692" hidden="1" customWidth="1"/>
    <col min="3587" max="3597" width="10.7109375" style="1692" customWidth="1"/>
    <col min="3598" max="3598" width="10.85546875" style="1692" customWidth="1"/>
    <col min="3599" max="3599" width="10.7109375" style="1692" bestFit="1" customWidth="1"/>
    <col min="3600" max="3747" width="9.140625" style="1692"/>
    <col min="3748" max="3748" width="5.85546875" style="1692" customWidth="1"/>
    <col min="3749" max="3749" width="55.42578125" style="1692" bestFit="1" customWidth="1"/>
    <col min="3750" max="3842" width="9.140625" style="1692" hidden="1" customWidth="1"/>
    <col min="3843" max="3853" width="10.7109375" style="1692" customWidth="1"/>
    <col min="3854" max="3854" width="10.85546875" style="1692" customWidth="1"/>
    <col min="3855" max="3855" width="10.7109375" style="1692" bestFit="1" customWidth="1"/>
    <col min="3856" max="4003" width="9.140625" style="1692"/>
    <col min="4004" max="4004" width="5.85546875" style="1692" customWidth="1"/>
    <col min="4005" max="4005" width="55.42578125" style="1692" bestFit="1" customWidth="1"/>
    <col min="4006" max="4098" width="9.140625" style="1692" hidden="1" customWidth="1"/>
    <col min="4099" max="4109" width="10.7109375" style="1692" customWidth="1"/>
    <col min="4110" max="4110" width="10.85546875" style="1692" customWidth="1"/>
    <col min="4111" max="4111" width="10.7109375" style="1692" bestFit="1" customWidth="1"/>
    <col min="4112" max="4259" width="9.140625" style="1692"/>
    <col min="4260" max="4260" width="5.85546875" style="1692" customWidth="1"/>
    <col min="4261" max="4261" width="55.42578125" style="1692" bestFit="1" customWidth="1"/>
    <col min="4262" max="4354" width="9.140625" style="1692" hidden="1" customWidth="1"/>
    <col min="4355" max="4365" width="10.7109375" style="1692" customWidth="1"/>
    <col min="4366" max="4366" width="10.85546875" style="1692" customWidth="1"/>
    <col min="4367" max="4367" width="10.7109375" style="1692" bestFit="1" customWidth="1"/>
    <col min="4368" max="4515" width="9.140625" style="1692"/>
    <col min="4516" max="4516" width="5.85546875" style="1692" customWidth="1"/>
    <col min="4517" max="4517" width="55.42578125" style="1692" bestFit="1" customWidth="1"/>
    <col min="4518" max="4610" width="9.140625" style="1692" hidden="1" customWidth="1"/>
    <col min="4611" max="4621" width="10.7109375" style="1692" customWidth="1"/>
    <col min="4622" max="4622" width="10.85546875" style="1692" customWidth="1"/>
    <col min="4623" max="4623" width="10.7109375" style="1692" bestFit="1" customWidth="1"/>
    <col min="4624" max="4771" width="9.140625" style="1692"/>
    <col min="4772" max="4772" width="5.85546875" style="1692" customWidth="1"/>
    <col min="4773" max="4773" width="55.42578125" style="1692" bestFit="1" customWidth="1"/>
    <col min="4774" max="4866" width="9.140625" style="1692" hidden="1" customWidth="1"/>
    <col min="4867" max="4877" width="10.7109375" style="1692" customWidth="1"/>
    <col min="4878" max="4878" width="10.85546875" style="1692" customWidth="1"/>
    <col min="4879" max="4879" width="10.7109375" style="1692" bestFit="1" customWidth="1"/>
    <col min="4880" max="5027" width="9.140625" style="1692"/>
    <col min="5028" max="5028" width="5.85546875" style="1692" customWidth="1"/>
    <col min="5029" max="5029" width="55.42578125" style="1692" bestFit="1" customWidth="1"/>
    <col min="5030" max="5122" width="9.140625" style="1692" hidden="1" customWidth="1"/>
    <col min="5123" max="5133" width="10.7109375" style="1692" customWidth="1"/>
    <col min="5134" max="5134" width="10.85546875" style="1692" customWidth="1"/>
    <col min="5135" max="5135" width="10.7109375" style="1692" bestFit="1" customWidth="1"/>
    <col min="5136" max="5283" width="9.140625" style="1692"/>
    <col min="5284" max="5284" width="5.85546875" style="1692" customWidth="1"/>
    <col min="5285" max="5285" width="55.42578125" style="1692" bestFit="1" customWidth="1"/>
    <col min="5286" max="5378" width="9.140625" style="1692" hidden="1" customWidth="1"/>
    <col min="5379" max="5389" width="10.7109375" style="1692" customWidth="1"/>
    <col min="5390" max="5390" width="10.85546875" style="1692" customWidth="1"/>
    <col min="5391" max="5391" width="10.7109375" style="1692" bestFit="1" customWidth="1"/>
    <col min="5392" max="5539" width="9.140625" style="1692"/>
    <col min="5540" max="5540" width="5.85546875" style="1692" customWidth="1"/>
    <col min="5541" max="5541" width="55.42578125" style="1692" bestFit="1" customWidth="1"/>
    <col min="5542" max="5634" width="9.140625" style="1692" hidden="1" customWidth="1"/>
    <col min="5635" max="5645" width="10.7109375" style="1692" customWidth="1"/>
    <col min="5646" max="5646" width="10.85546875" style="1692" customWidth="1"/>
    <col min="5647" max="5647" width="10.7109375" style="1692" bestFit="1" customWidth="1"/>
    <col min="5648" max="5795" width="9.140625" style="1692"/>
    <col min="5796" max="5796" width="5.85546875" style="1692" customWidth="1"/>
    <col min="5797" max="5797" width="55.42578125" style="1692" bestFit="1" customWidth="1"/>
    <col min="5798" max="5890" width="9.140625" style="1692" hidden="1" customWidth="1"/>
    <col min="5891" max="5901" width="10.7109375" style="1692" customWidth="1"/>
    <col min="5902" max="5902" width="10.85546875" style="1692" customWidth="1"/>
    <col min="5903" max="5903" width="10.7109375" style="1692" bestFit="1" customWidth="1"/>
    <col min="5904" max="6051" width="9.140625" style="1692"/>
    <col min="6052" max="6052" width="5.85546875" style="1692" customWidth="1"/>
    <col min="6053" max="6053" width="55.42578125" style="1692" bestFit="1" customWidth="1"/>
    <col min="6054" max="6146" width="9.140625" style="1692" hidden="1" customWidth="1"/>
    <col min="6147" max="6157" width="10.7109375" style="1692" customWidth="1"/>
    <col min="6158" max="6158" width="10.85546875" style="1692" customWidth="1"/>
    <col min="6159" max="6159" width="10.7109375" style="1692" bestFit="1" customWidth="1"/>
    <col min="6160" max="6307" width="9.140625" style="1692"/>
    <col min="6308" max="6308" width="5.85546875" style="1692" customWidth="1"/>
    <col min="6309" max="6309" width="55.42578125" style="1692" bestFit="1" customWidth="1"/>
    <col min="6310" max="6402" width="9.140625" style="1692" hidden="1" customWidth="1"/>
    <col min="6403" max="6413" width="10.7109375" style="1692" customWidth="1"/>
    <col min="6414" max="6414" width="10.85546875" style="1692" customWidth="1"/>
    <col min="6415" max="6415" width="10.7109375" style="1692" bestFit="1" customWidth="1"/>
    <col min="6416" max="6563" width="9.140625" style="1692"/>
    <col min="6564" max="6564" width="5.85546875" style="1692" customWidth="1"/>
    <col min="6565" max="6565" width="55.42578125" style="1692" bestFit="1" customWidth="1"/>
    <col min="6566" max="6658" width="9.140625" style="1692" hidden="1" customWidth="1"/>
    <col min="6659" max="6669" width="10.7109375" style="1692" customWidth="1"/>
    <col min="6670" max="6670" width="10.85546875" style="1692" customWidth="1"/>
    <col min="6671" max="6671" width="10.7109375" style="1692" bestFit="1" customWidth="1"/>
    <col min="6672" max="6819" width="9.140625" style="1692"/>
    <col min="6820" max="6820" width="5.85546875" style="1692" customWidth="1"/>
    <col min="6821" max="6821" width="55.42578125" style="1692" bestFit="1" customWidth="1"/>
    <col min="6822" max="6914" width="9.140625" style="1692" hidden="1" customWidth="1"/>
    <col min="6915" max="6925" width="10.7109375" style="1692" customWidth="1"/>
    <col min="6926" max="6926" width="10.85546875" style="1692" customWidth="1"/>
    <col min="6927" max="6927" width="10.7109375" style="1692" bestFit="1" customWidth="1"/>
    <col min="6928" max="7075" width="9.140625" style="1692"/>
    <col min="7076" max="7076" width="5.85546875" style="1692" customWidth="1"/>
    <col min="7077" max="7077" width="55.42578125" style="1692" bestFit="1" customWidth="1"/>
    <col min="7078" max="7170" width="9.140625" style="1692" hidden="1" customWidth="1"/>
    <col min="7171" max="7181" width="10.7109375" style="1692" customWidth="1"/>
    <col min="7182" max="7182" width="10.85546875" style="1692" customWidth="1"/>
    <col min="7183" max="7183" width="10.7109375" style="1692" bestFit="1" customWidth="1"/>
    <col min="7184" max="7331" width="9.140625" style="1692"/>
    <col min="7332" max="7332" width="5.85546875" style="1692" customWidth="1"/>
    <col min="7333" max="7333" width="55.42578125" style="1692" bestFit="1" customWidth="1"/>
    <col min="7334" max="7426" width="9.140625" style="1692" hidden="1" customWidth="1"/>
    <col min="7427" max="7437" width="10.7109375" style="1692" customWidth="1"/>
    <col min="7438" max="7438" width="10.85546875" style="1692" customWidth="1"/>
    <col min="7439" max="7439" width="10.7109375" style="1692" bestFit="1" customWidth="1"/>
    <col min="7440" max="7587" width="9.140625" style="1692"/>
    <col min="7588" max="7588" width="5.85546875" style="1692" customWidth="1"/>
    <col min="7589" max="7589" width="55.42578125" style="1692" bestFit="1" customWidth="1"/>
    <col min="7590" max="7682" width="9.140625" style="1692" hidden="1" customWidth="1"/>
    <col min="7683" max="7693" width="10.7109375" style="1692" customWidth="1"/>
    <col min="7694" max="7694" width="10.85546875" style="1692" customWidth="1"/>
    <col min="7695" max="7695" width="10.7109375" style="1692" bestFit="1" customWidth="1"/>
    <col min="7696" max="7843" width="9.140625" style="1692"/>
    <col min="7844" max="7844" width="5.85546875" style="1692" customWidth="1"/>
    <col min="7845" max="7845" width="55.42578125" style="1692" bestFit="1" customWidth="1"/>
    <col min="7846" max="7938" width="9.140625" style="1692" hidden="1" customWidth="1"/>
    <col min="7939" max="7949" width="10.7109375" style="1692" customWidth="1"/>
    <col min="7950" max="7950" width="10.85546875" style="1692" customWidth="1"/>
    <col min="7951" max="7951" width="10.7109375" style="1692" bestFit="1" customWidth="1"/>
    <col min="7952" max="8099" width="9.140625" style="1692"/>
    <col min="8100" max="8100" width="5.85546875" style="1692" customWidth="1"/>
    <col min="8101" max="8101" width="55.42578125" style="1692" bestFit="1" customWidth="1"/>
    <col min="8102" max="8194" width="9.140625" style="1692" hidden="1" customWidth="1"/>
    <col min="8195" max="8205" width="10.7109375" style="1692" customWidth="1"/>
    <col min="8206" max="8206" width="10.85546875" style="1692" customWidth="1"/>
    <col min="8207" max="8207" width="10.7109375" style="1692" bestFit="1" customWidth="1"/>
    <col min="8208" max="8355" width="9.140625" style="1692"/>
    <col min="8356" max="8356" width="5.85546875" style="1692" customWidth="1"/>
    <col min="8357" max="8357" width="55.42578125" style="1692" bestFit="1" customWidth="1"/>
    <col min="8358" max="8450" width="9.140625" style="1692" hidden="1" customWidth="1"/>
    <col min="8451" max="8461" width="10.7109375" style="1692" customWidth="1"/>
    <col min="8462" max="8462" width="10.85546875" style="1692" customWidth="1"/>
    <col min="8463" max="8463" width="10.7109375" style="1692" bestFit="1" customWidth="1"/>
    <col min="8464" max="8611" width="9.140625" style="1692"/>
    <col min="8612" max="8612" width="5.85546875" style="1692" customWidth="1"/>
    <col min="8613" max="8613" width="55.42578125" style="1692" bestFit="1" customWidth="1"/>
    <col min="8614" max="8706" width="9.140625" style="1692" hidden="1" customWidth="1"/>
    <col min="8707" max="8717" width="10.7109375" style="1692" customWidth="1"/>
    <col min="8718" max="8718" width="10.85546875" style="1692" customWidth="1"/>
    <col min="8719" max="8719" width="10.7109375" style="1692" bestFit="1" customWidth="1"/>
    <col min="8720" max="8867" width="9.140625" style="1692"/>
    <col min="8868" max="8868" width="5.85546875" style="1692" customWidth="1"/>
    <col min="8869" max="8869" width="55.42578125" style="1692" bestFit="1" customWidth="1"/>
    <col min="8870" max="8962" width="9.140625" style="1692" hidden="1" customWidth="1"/>
    <col min="8963" max="8973" width="10.7109375" style="1692" customWidth="1"/>
    <col min="8974" max="8974" width="10.85546875" style="1692" customWidth="1"/>
    <col min="8975" max="8975" width="10.7109375" style="1692" bestFit="1" customWidth="1"/>
    <col min="8976" max="9123" width="9.140625" style="1692"/>
    <col min="9124" max="9124" width="5.85546875" style="1692" customWidth="1"/>
    <col min="9125" max="9125" width="55.42578125" style="1692" bestFit="1" customWidth="1"/>
    <col min="9126" max="9218" width="9.140625" style="1692" hidden="1" customWidth="1"/>
    <col min="9219" max="9229" width="10.7109375" style="1692" customWidth="1"/>
    <col min="9230" max="9230" width="10.85546875" style="1692" customWidth="1"/>
    <col min="9231" max="9231" width="10.7109375" style="1692" bestFit="1" customWidth="1"/>
    <col min="9232" max="9379" width="9.140625" style="1692"/>
    <col min="9380" max="9380" width="5.85546875" style="1692" customWidth="1"/>
    <col min="9381" max="9381" width="55.42578125" style="1692" bestFit="1" customWidth="1"/>
    <col min="9382" max="9474" width="9.140625" style="1692" hidden="1" customWidth="1"/>
    <col min="9475" max="9485" width="10.7109375" style="1692" customWidth="1"/>
    <col min="9486" max="9486" width="10.85546875" style="1692" customWidth="1"/>
    <col min="9487" max="9487" width="10.7109375" style="1692" bestFit="1" customWidth="1"/>
    <col min="9488" max="9635" width="9.140625" style="1692"/>
    <col min="9636" max="9636" width="5.85546875" style="1692" customWidth="1"/>
    <col min="9637" max="9637" width="55.42578125" style="1692" bestFit="1" customWidth="1"/>
    <col min="9638" max="9730" width="9.140625" style="1692" hidden="1" customWidth="1"/>
    <col min="9731" max="9741" width="10.7109375" style="1692" customWidth="1"/>
    <col min="9742" max="9742" width="10.85546875" style="1692" customWidth="1"/>
    <col min="9743" max="9743" width="10.7109375" style="1692" bestFit="1" customWidth="1"/>
    <col min="9744" max="9891" width="9.140625" style="1692"/>
    <col min="9892" max="9892" width="5.85546875" style="1692" customWidth="1"/>
    <col min="9893" max="9893" width="55.42578125" style="1692" bestFit="1" customWidth="1"/>
    <col min="9894" max="9986" width="9.140625" style="1692" hidden="1" customWidth="1"/>
    <col min="9987" max="9997" width="10.7109375" style="1692" customWidth="1"/>
    <col min="9998" max="9998" width="10.85546875" style="1692" customWidth="1"/>
    <col min="9999" max="9999" width="10.7109375" style="1692" bestFit="1" customWidth="1"/>
    <col min="10000" max="10147" width="9.140625" style="1692"/>
    <col min="10148" max="10148" width="5.85546875" style="1692" customWidth="1"/>
    <col min="10149" max="10149" width="55.42578125" style="1692" bestFit="1" customWidth="1"/>
    <col min="10150" max="10242" width="9.140625" style="1692" hidden="1" customWidth="1"/>
    <col min="10243" max="10253" width="10.7109375" style="1692" customWidth="1"/>
    <col min="10254" max="10254" width="10.85546875" style="1692" customWidth="1"/>
    <col min="10255" max="10255" width="10.7109375" style="1692" bestFit="1" customWidth="1"/>
    <col min="10256" max="10403" width="9.140625" style="1692"/>
    <col min="10404" max="10404" width="5.85546875" style="1692" customWidth="1"/>
    <col min="10405" max="10405" width="55.42578125" style="1692" bestFit="1" customWidth="1"/>
    <col min="10406" max="10498" width="9.140625" style="1692" hidden="1" customWidth="1"/>
    <col min="10499" max="10509" width="10.7109375" style="1692" customWidth="1"/>
    <col min="10510" max="10510" width="10.85546875" style="1692" customWidth="1"/>
    <col min="10511" max="10511" width="10.7109375" style="1692" bestFit="1" customWidth="1"/>
    <col min="10512" max="10659" width="9.140625" style="1692"/>
    <col min="10660" max="10660" width="5.85546875" style="1692" customWidth="1"/>
    <col min="10661" max="10661" width="55.42578125" style="1692" bestFit="1" customWidth="1"/>
    <col min="10662" max="10754" width="9.140625" style="1692" hidden="1" customWidth="1"/>
    <col min="10755" max="10765" width="10.7109375" style="1692" customWidth="1"/>
    <col min="10766" max="10766" width="10.85546875" style="1692" customWidth="1"/>
    <col min="10767" max="10767" width="10.7109375" style="1692" bestFit="1" customWidth="1"/>
    <col min="10768" max="10915" width="9.140625" style="1692"/>
    <col min="10916" max="10916" width="5.85546875" style="1692" customWidth="1"/>
    <col min="10917" max="10917" width="55.42578125" style="1692" bestFit="1" customWidth="1"/>
    <col min="10918" max="11010" width="9.140625" style="1692" hidden="1" customWidth="1"/>
    <col min="11011" max="11021" width="10.7109375" style="1692" customWidth="1"/>
    <col min="11022" max="11022" width="10.85546875" style="1692" customWidth="1"/>
    <col min="11023" max="11023" width="10.7109375" style="1692" bestFit="1" customWidth="1"/>
    <col min="11024" max="11171" width="9.140625" style="1692"/>
    <col min="11172" max="11172" width="5.85546875" style="1692" customWidth="1"/>
    <col min="11173" max="11173" width="55.42578125" style="1692" bestFit="1" customWidth="1"/>
    <col min="11174" max="11266" width="9.140625" style="1692" hidden="1" customWidth="1"/>
    <col min="11267" max="11277" width="10.7109375" style="1692" customWidth="1"/>
    <col min="11278" max="11278" width="10.85546875" style="1692" customWidth="1"/>
    <col min="11279" max="11279" width="10.7109375" style="1692" bestFit="1" customWidth="1"/>
    <col min="11280" max="11427" width="9.140625" style="1692"/>
    <col min="11428" max="11428" width="5.85546875" style="1692" customWidth="1"/>
    <col min="11429" max="11429" width="55.42578125" style="1692" bestFit="1" customWidth="1"/>
    <col min="11430" max="11522" width="9.140625" style="1692" hidden="1" customWidth="1"/>
    <col min="11523" max="11533" width="10.7109375" style="1692" customWidth="1"/>
    <col min="11534" max="11534" width="10.85546875" style="1692" customWidth="1"/>
    <col min="11535" max="11535" width="10.7109375" style="1692" bestFit="1" customWidth="1"/>
    <col min="11536" max="11683" width="9.140625" style="1692"/>
    <col min="11684" max="11684" width="5.85546875" style="1692" customWidth="1"/>
    <col min="11685" max="11685" width="55.42578125" style="1692" bestFit="1" customWidth="1"/>
    <col min="11686" max="11778" width="9.140625" style="1692" hidden="1" customWidth="1"/>
    <col min="11779" max="11789" width="10.7109375" style="1692" customWidth="1"/>
    <col min="11790" max="11790" width="10.85546875" style="1692" customWidth="1"/>
    <col min="11791" max="11791" width="10.7109375" style="1692" bestFit="1" customWidth="1"/>
    <col min="11792" max="11939" width="9.140625" style="1692"/>
    <col min="11940" max="11940" width="5.85546875" style="1692" customWidth="1"/>
    <col min="11941" max="11941" width="55.42578125" style="1692" bestFit="1" customWidth="1"/>
    <col min="11942" max="12034" width="9.140625" style="1692" hidden="1" customWidth="1"/>
    <col min="12035" max="12045" width="10.7109375" style="1692" customWidth="1"/>
    <col min="12046" max="12046" width="10.85546875" style="1692" customWidth="1"/>
    <col min="12047" max="12047" width="10.7109375" style="1692" bestFit="1" customWidth="1"/>
    <col min="12048" max="12195" width="9.140625" style="1692"/>
    <col min="12196" max="12196" width="5.85546875" style="1692" customWidth="1"/>
    <col min="12197" max="12197" width="55.42578125" style="1692" bestFit="1" customWidth="1"/>
    <col min="12198" max="12290" width="9.140625" style="1692" hidden="1" customWidth="1"/>
    <col min="12291" max="12301" width="10.7109375" style="1692" customWidth="1"/>
    <col min="12302" max="12302" width="10.85546875" style="1692" customWidth="1"/>
    <col min="12303" max="12303" width="10.7109375" style="1692" bestFit="1" customWidth="1"/>
    <col min="12304" max="12451" width="9.140625" style="1692"/>
    <col min="12452" max="12452" width="5.85546875" style="1692" customWidth="1"/>
    <col min="12453" max="12453" width="55.42578125" style="1692" bestFit="1" customWidth="1"/>
    <col min="12454" max="12546" width="9.140625" style="1692" hidden="1" customWidth="1"/>
    <col min="12547" max="12557" width="10.7109375" style="1692" customWidth="1"/>
    <col min="12558" max="12558" width="10.85546875" style="1692" customWidth="1"/>
    <col min="12559" max="12559" width="10.7109375" style="1692" bestFit="1" customWidth="1"/>
    <col min="12560" max="12707" width="9.140625" style="1692"/>
    <col min="12708" max="12708" width="5.85546875" style="1692" customWidth="1"/>
    <col min="12709" max="12709" width="55.42578125" style="1692" bestFit="1" customWidth="1"/>
    <col min="12710" max="12802" width="9.140625" style="1692" hidden="1" customWidth="1"/>
    <col min="12803" max="12813" width="10.7109375" style="1692" customWidth="1"/>
    <col min="12814" max="12814" width="10.85546875" style="1692" customWidth="1"/>
    <col min="12815" max="12815" width="10.7109375" style="1692" bestFit="1" customWidth="1"/>
    <col min="12816" max="12963" width="9.140625" style="1692"/>
    <col min="12964" max="12964" width="5.85546875" style="1692" customWidth="1"/>
    <col min="12965" max="12965" width="55.42578125" style="1692" bestFit="1" customWidth="1"/>
    <col min="12966" max="13058" width="9.140625" style="1692" hidden="1" customWidth="1"/>
    <col min="13059" max="13069" width="10.7109375" style="1692" customWidth="1"/>
    <col min="13070" max="13070" width="10.85546875" style="1692" customWidth="1"/>
    <col min="13071" max="13071" width="10.7109375" style="1692" bestFit="1" customWidth="1"/>
    <col min="13072" max="13219" width="9.140625" style="1692"/>
    <col min="13220" max="13220" width="5.85546875" style="1692" customWidth="1"/>
    <col min="13221" max="13221" width="55.42578125" style="1692" bestFit="1" customWidth="1"/>
    <col min="13222" max="13314" width="9.140625" style="1692" hidden="1" customWidth="1"/>
    <col min="13315" max="13325" width="10.7109375" style="1692" customWidth="1"/>
    <col min="13326" max="13326" width="10.85546875" style="1692" customWidth="1"/>
    <col min="13327" max="13327" width="10.7109375" style="1692" bestFit="1" customWidth="1"/>
    <col min="13328" max="13475" width="9.140625" style="1692"/>
    <col min="13476" max="13476" width="5.85546875" style="1692" customWidth="1"/>
    <col min="13477" max="13477" width="55.42578125" style="1692" bestFit="1" customWidth="1"/>
    <col min="13478" max="13570" width="9.140625" style="1692" hidden="1" customWidth="1"/>
    <col min="13571" max="13581" width="10.7109375" style="1692" customWidth="1"/>
    <col min="13582" max="13582" width="10.85546875" style="1692" customWidth="1"/>
    <col min="13583" max="13583" width="10.7109375" style="1692" bestFit="1" customWidth="1"/>
    <col min="13584" max="13731" width="9.140625" style="1692"/>
    <col min="13732" max="13732" width="5.85546875" style="1692" customWidth="1"/>
    <col min="13733" max="13733" width="55.42578125" style="1692" bestFit="1" customWidth="1"/>
    <col min="13734" max="13826" width="9.140625" style="1692" hidden="1" customWidth="1"/>
    <col min="13827" max="13837" width="10.7109375" style="1692" customWidth="1"/>
    <col min="13838" max="13838" width="10.85546875" style="1692" customWidth="1"/>
    <col min="13839" max="13839" width="10.7109375" style="1692" bestFit="1" customWidth="1"/>
    <col min="13840" max="13987" width="9.140625" style="1692"/>
    <col min="13988" max="13988" width="5.85546875" style="1692" customWidth="1"/>
    <col min="13989" max="13989" width="55.42578125" style="1692" bestFit="1" customWidth="1"/>
    <col min="13990" max="14082" width="9.140625" style="1692" hidden="1" customWidth="1"/>
    <col min="14083" max="14093" width="10.7109375" style="1692" customWidth="1"/>
    <col min="14094" max="14094" width="10.85546875" style="1692" customWidth="1"/>
    <col min="14095" max="14095" width="10.7109375" style="1692" bestFit="1" customWidth="1"/>
    <col min="14096" max="14243" width="9.140625" style="1692"/>
    <col min="14244" max="14244" width="5.85546875" style="1692" customWidth="1"/>
    <col min="14245" max="14245" width="55.42578125" style="1692" bestFit="1" customWidth="1"/>
    <col min="14246" max="14338" width="9.140625" style="1692" hidden="1" customWidth="1"/>
    <col min="14339" max="14349" width="10.7109375" style="1692" customWidth="1"/>
    <col min="14350" max="14350" width="10.85546875" style="1692" customWidth="1"/>
    <col min="14351" max="14351" width="10.7109375" style="1692" bestFit="1" customWidth="1"/>
    <col min="14352" max="14499" width="9.140625" style="1692"/>
    <col min="14500" max="14500" width="5.85546875" style="1692" customWidth="1"/>
    <col min="14501" max="14501" width="55.42578125" style="1692" bestFit="1" customWidth="1"/>
    <col min="14502" max="14594" width="9.140625" style="1692" hidden="1" customWidth="1"/>
    <col min="14595" max="14605" width="10.7109375" style="1692" customWidth="1"/>
    <col min="14606" max="14606" width="10.85546875" style="1692" customWidth="1"/>
    <col min="14607" max="14607" width="10.7109375" style="1692" bestFit="1" customWidth="1"/>
    <col min="14608" max="14755" width="9.140625" style="1692"/>
    <col min="14756" max="14756" width="5.85546875" style="1692" customWidth="1"/>
    <col min="14757" max="14757" width="55.42578125" style="1692" bestFit="1" customWidth="1"/>
    <col min="14758" max="14850" width="9.140625" style="1692" hidden="1" customWidth="1"/>
    <col min="14851" max="14861" width="10.7109375" style="1692" customWidth="1"/>
    <col min="14862" max="14862" width="10.85546875" style="1692" customWidth="1"/>
    <col min="14863" max="14863" width="10.7109375" style="1692" bestFit="1" customWidth="1"/>
    <col min="14864" max="15011" width="9.140625" style="1692"/>
    <col min="15012" max="15012" width="5.85546875" style="1692" customWidth="1"/>
    <col min="15013" max="15013" width="55.42578125" style="1692" bestFit="1" customWidth="1"/>
    <col min="15014" max="15106" width="9.140625" style="1692" hidden="1" customWidth="1"/>
    <col min="15107" max="15117" width="10.7109375" style="1692" customWidth="1"/>
    <col min="15118" max="15118" width="10.85546875" style="1692" customWidth="1"/>
    <col min="15119" max="15119" width="10.7109375" style="1692" bestFit="1" customWidth="1"/>
    <col min="15120" max="15267" width="9.140625" style="1692"/>
    <col min="15268" max="15268" width="5.85546875" style="1692" customWidth="1"/>
    <col min="15269" max="15269" width="55.42578125" style="1692" bestFit="1" customWidth="1"/>
    <col min="15270" max="15362" width="9.140625" style="1692" hidden="1" customWidth="1"/>
    <col min="15363" max="15373" width="10.7109375" style="1692" customWidth="1"/>
    <col min="15374" max="15374" width="10.85546875" style="1692" customWidth="1"/>
    <col min="15375" max="15375" width="10.7109375" style="1692" bestFit="1" customWidth="1"/>
    <col min="15376" max="15523" width="9.140625" style="1692"/>
    <col min="15524" max="15524" width="5.85546875" style="1692" customWidth="1"/>
    <col min="15525" max="15525" width="55.42578125" style="1692" bestFit="1" customWidth="1"/>
    <col min="15526" max="15618" width="9.140625" style="1692" hidden="1" customWidth="1"/>
    <col min="15619" max="15629" width="10.7109375" style="1692" customWidth="1"/>
    <col min="15630" max="15630" width="10.85546875" style="1692" customWidth="1"/>
    <col min="15631" max="15631" width="10.7109375" style="1692" bestFit="1" customWidth="1"/>
    <col min="15632" max="15779" width="9.140625" style="1692"/>
    <col min="15780" max="15780" width="5.85546875" style="1692" customWidth="1"/>
    <col min="15781" max="15781" width="55.42578125" style="1692" bestFit="1" customWidth="1"/>
    <col min="15782" max="15874" width="9.140625" style="1692" hidden="1" customWidth="1"/>
    <col min="15875" max="15885" width="10.7109375" style="1692" customWidth="1"/>
    <col min="15886" max="15886" width="10.85546875" style="1692" customWidth="1"/>
    <col min="15887" max="15887" width="10.7109375" style="1692" bestFit="1" customWidth="1"/>
    <col min="15888" max="16035" width="9.140625" style="1692"/>
    <col min="16036" max="16036" width="5.85546875" style="1692" customWidth="1"/>
    <col min="16037" max="16037" width="55.42578125" style="1692" bestFit="1" customWidth="1"/>
    <col min="16038" max="16130" width="9.140625" style="1692" hidden="1" customWidth="1"/>
    <col min="16131" max="16141" width="10.7109375" style="1692" customWidth="1"/>
    <col min="16142" max="16142" width="10.85546875" style="1692" customWidth="1"/>
    <col min="16143" max="16143" width="10.7109375" style="1692" bestFit="1" customWidth="1"/>
    <col min="16144" max="16384" width="9.140625" style="1692"/>
  </cols>
  <sheetData>
    <row r="1" spans="1:61" ht="19.5" customHeight="1" x14ac:dyDescent="0.3">
      <c r="A1" s="2673" t="s">
        <v>2589</v>
      </c>
      <c r="B1" s="2673"/>
      <c r="C1" s="2673"/>
      <c r="D1" s="2673"/>
    </row>
    <row r="2" spans="1:61" ht="18" customHeight="1" thickBot="1" x14ac:dyDescent="0.35">
      <c r="A2" s="2721"/>
      <c r="B2" s="2722"/>
      <c r="D2" s="1694"/>
      <c r="E2" s="1694"/>
      <c r="F2" s="1694"/>
      <c r="H2" s="1694"/>
      <c r="S2" s="1694"/>
      <c r="X2" s="1694"/>
      <c r="AE2" s="1694"/>
      <c r="AR2" s="1694"/>
      <c r="AS2" s="1694"/>
      <c r="AT2" s="1694"/>
      <c r="AU2" s="1694"/>
      <c r="AV2" s="1694"/>
      <c r="AW2" s="1694"/>
      <c r="AX2" s="1694"/>
      <c r="AY2" s="1694"/>
      <c r="AZ2" s="1694"/>
      <c r="BA2" s="1694"/>
      <c r="BB2" s="1694"/>
      <c r="BC2" s="1694"/>
      <c r="BD2" s="1694"/>
      <c r="BE2" s="1694"/>
      <c r="BF2" s="1694"/>
      <c r="BG2" s="1694"/>
      <c r="BH2" s="1694"/>
      <c r="BI2" s="1694" t="s">
        <v>281</v>
      </c>
    </row>
    <row r="3" spans="1:61" ht="24" customHeight="1" thickTop="1" thickBot="1" x14ac:dyDescent="0.35">
      <c r="A3" s="2651" t="s">
        <v>2502</v>
      </c>
      <c r="B3" s="2651" t="s">
        <v>773</v>
      </c>
      <c r="C3" s="2723">
        <v>43374</v>
      </c>
      <c r="D3" s="2723">
        <v>43405</v>
      </c>
      <c r="E3" s="2723">
        <v>43435</v>
      </c>
      <c r="F3" s="2723">
        <v>43466</v>
      </c>
      <c r="G3" s="2723">
        <v>43497</v>
      </c>
      <c r="H3" s="2723">
        <v>43525</v>
      </c>
      <c r="I3" s="2723">
        <v>43556</v>
      </c>
      <c r="J3" s="2723">
        <v>43586</v>
      </c>
      <c r="K3" s="2723">
        <v>43617</v>
      </c>
      <c r="L3" s="2723">
        <v>43647</v>
      </c>
      <c r="M3" s="2723">
        <v>43678</v>
      </c>
      <c r="N3" s="2723">
        <v>43709</v>
      </c>
      <c r="O3" s="2723">
        <v>43739</v>
      </c>
      <c r="P3" s="2723">
        <v>43770</v>
      </c>
      <c r="Q3" s="2723">
        <v>43800</v>
      </c>
      <c r="R3" s="2723">
        <v>43831</v>
      </c>
      <c r="S3" s="2652" t="s">
        <v>2590</v>
      </c>
      <c r="T3" s="2652" t="s">
        <v>477</v>
      </c>
      <c r="U3" s="2652" t="s">
        <v>2591</v>
      </c>
      <c r="V3" s="2652" t="s">
        <v>2592</v>
      </c>
      <c r="W3" s="2652" t="s">
        <v>313</v>
      </c>
      <c r="X3" s="2652" t="s">
        <v>314</v>
      </c>
      <c r="Y3" s="2652" t="s">
        <v>315</v>
      </c>
      <c r="Z3" s="2652" t="s">
        <v>316</v>
      </c>
      <c r="AA3" s="2652" t="s">
        <v>317</v>
      </c>
      <c r="AB3" s="2652" t="s">
        <v>318</v>
      </c>
      <c r="AC3" s="2652" t="s">
        <v>319</v>
      </c>
      <c r="AD3" s="2652" t="s">
        <v>320</v>
      </c>
      <c r="AE3" s="2652" t="s">
        <v>2593</v>
      </c>
      <c r="AF3" s="2652" t="s">
        <v>2594</v>
      </c>
      <c r="AG3" s="2652" t="s">
        <v>2595</v>
      </c>
      <c r="AH3" s="2652" t="s">
        <v>324</v>
      </c>
      <c r="AI3" s="2652" t="s">
        <v>484</v>
      </c>
      <c r="AJ3" s="2652" t="s">
        <v>2596</v>
      </c>
      <c r="AK3" s="2652" t="s">
        <v>2597</v>
      </c>
      <c r="AL3" s="2652" t="s">
        <v>328</v>
      </c>
      <c r="AM3" s="2652" t="s">
        <v>485</v>
      </c>
      <c r="AN3" s="2652" t="s">
        <v>486</v>
      </c>
      <c r="AO3" s="2652" t="s">
        <v>487</v>
      </c>
      <c r="AP3" s="2652" t="s">
        <v>2598</v>
      </c>
      <c r="AQ3" s="2652">
        <v>44593</v>
      </c>
      <c r="AR3" s="2652">
        <v>44621</v>
      </c>
      <c r="AS3" s="2652">
        <v>44652</v>
      </c>
      <c r="AT3" s="2652">
        <v>44682</v>
      </c>
      <c r="AU3" s="2652">
        <v>44713</v>
      </c>
      <c r="AV3" s="2652">
        <v>44743</v>
      </c>
      <c r="AW3" s="2652">
        <v>44774</v>
      </c>
      <c r="AX3" s="2652">
        <v>44805</v>
      </c>
      <c r="AY3" s="2652">
        <v>44835</v>
      </c>
      <c r="AZ3" s="2652">
        <v>44866</v>
      </c>
      <c r="BA3" s="2652">
        <v>44896</v>
      </c>
      <c r="BB3" s="2652">
        <v>44927</v>
      </c>
      <c r="BC3" s="2652">
        <v>44958</v>
      </c>
      <c r="BD3" s="2652">
        <v>44986</v>
      </c>
      <c r="BE3" s="2652" t="s">
        <v>2599</v>
      </c>
      <c r="BF3" s="2652">
        <v>45047</v>
      </c>
      <c r="BG3" s="2652">
        <v>45078</v>
      </c>
      <c r="BH3" s="2652">
        <v>45108</v>
      </c>
      <c r="BI3" s="2652">
        <v>45139</v>
      </c>
    </row>
    <row r="4" spans="1:61" ht="18" customHeight="1" thickTop="1" x14ac:dyDescent="0.3">
      <c r="A4" s="2653"/>
      <c r="B4" s="2653"/>
      <c r="C4" s="2654"/>
      <c r="D4" s="2654"/>
      <c r="E4" s="2654"/>
      <c r="F4" s="2654"/>
      <c r="G4" s="2654"/>
      <c r="H4" s="2654"/>
      <c r="I4" s="2654"/>
      <c r="J4" s="2654"/>
      <c r="K4" s="2654"/>
      <c r="L4" s="2654"/>
      <c r="M4" s="2654"/>
      <c r="N4" s="2654"/>
      <c r="O4" s="2654"/>
      <c r="P4" s="2654"/>
      <c r="Q4" s="2654"/>
      <c r="R4" s="2654"/>
      <c r="S4" s="2654"/>
      <c r="T4" s="2654"/>
      <c r="U4" s="2654"/>
      <c r="V4" s="2654"/>
      <c r="W4" s="2654"/>
      <c r="X4" s="2654"/>
      <c r="Y4" s="2654"/>
      <c r="Z4" s="2654"/>
      <c r="AA4" s="2654"/>
      <c r="AB4" s="2654"/>
      <c r="AC4" s="2654"/>
      <c r="AD4" s="2654"/>
      <c r="AE4" s="2654"/>
      <c r="AF4" s="2654"/>
      <c r="AG4" s="2654"/>
      <c r="AH4" s="2654"/>
      <c r="AI4" s="2654"/>
      <c r="AJ4" s="2654"/>
      <c r="AK4" s="2654"/>
      <c r="AL4" s="2654"/>
      <c r="AM4" s="2654"/>
      <c r="AN4" s="2654"/>
      <c r="AO4" s="2654"/>
      <c r="AP4" s="2654"/>
      <c r="AQ4" s="2654"/>
      <c r="AR4" s="2654"/>
      <c r="AS4" s="2654"/>
      <c r="AT4" s="2654"/>
      <c r="AU4" s="2654"/>
      <c r="AV4" s="2654"/>
      <c r="AW4" s="2654"/>
      <c r="AX4" s="2654"/>
      <c r="AY4" s="2654"/>
      <c r="AZ4" s="2654"/>
      <c r="BA4" s="2654"/>
      <c r="BB4" s="2654"/>
      <c r="BC4" s="2654"/>
      <c r="BD4" s="2654"/>
      <c r="BE4" s="2654"/>
      <c r="BF4" s="2654"/>
      <c r="BG4" s="2654"/>
      <c r="BH4" s="2654"/>
      <c r="BI4" s="2654"/>
    </row>
    <row r="5" spans="1:61" ht="18" customHeight="1" x14ac:dyDescent="0.3">
      <c r="A5" s="2655" t="s">
        <v>2508</v>
      </c>
      <c r="B5" s="2655" t="s">
        <v>2511</v>
      </c>
      <c r="C5" s="2687">
        <v>345493.14301885228</v>
      </c>
      <c r="D5" s="2687">
        <v>321060.17135652184</v>
      </c>
      <c r="E5" s="2687">
        <v>309071.92400582891</v>
      </c>
      <c r="F5" s="2687">
        <v>312136.8667893727</v>
      </c>
      <c r="G5" s="2687">
        <v>373762.24455883709</v>
      </c>
      <c r="H5" s="2687">
        <v>317403.08893953124</v>
      </c>
      <c r="I5" s="2687">
        <v>336798.1364213507</v>
      </c>
      <c r="J5" s="2687">
        <v>308986.29391102114</v>
      </c>
      <c r="K5" s="2687">
        <v>301039.23716953694</v>
      </c>
      <c r="L5" s="2687">
        <v>353494.03560763173</v>
      </c>
      <c r="M5" s="2687">
        <v>320721.45942557621</v>
      </c>
      <c r="N5" s="2687">
        <v>315417.7696086691</v>
      </c>
      <c r="O5" s="2687">
        <v>352454.62778093858</v>
      </c>
      <c r="P5" s="2687">
        <v>400229.70489989355</v>
      </c>
      <c r="Q5" s="2687">
        <v>393986.78698643146</v>
      </c>
      <c r="R5" s="2687">
        <v>394986.11323238496</v>
      </c>
      <c r="S5" s="2687">
        <v>411580.06316350785</v>
      </c>
      <c r="T5" s="2687">
        <v>396153</v>
      </c>
      <c r="U5" s="2687">
        <v>417186.1562557338</v>
      </c>
      <c r="V5" s="2687">
        <v>441215.82092894043</v>
      </c>
      <c r="W5" s="2687">
        <v>447322.06481186062</v>
      </c>
      <c r="X5" s="2687">
        <v>458254.35853051418</v>
      </c>
      <c r="Y5" s="2687">
        <v>511394.26901665283</v>
      </c>
      <c r="Z5" s="2687">
        <v>468582.13881078875</v>
      </c>
      <c r="AA5" s="2687">
        <v>439847.50146167161</v>
      </c>
      <c r="AB5" s="2687">
        <v>480497.38910967228</v>
      </c>
      <c r="AC5" s="2687">
        <v>447336.06712086761</v>
      </c>
      <c r="AD5" s="2687">
        <v>513807.37695112178</v>
      </c>
      <c r="AE5" s="2687">
        <v>545933.89262478054</v>
      </c>
      <c r="AF5" s="2687">
        <v>544317.50391506287</v>
      </c>
      <c r="AG5" s="2687">
        <v>497256.6475073488</v>
      </c>
      <c r="AH5" s="2687">
        <v>554731.23063143669</v>
      </c>
      <c r="AI5" s="2687">
        <v>524252.25030942482</v>
      </c>
      <c r="AJ5" s="2687">
        <v>476951.02187597752</v>
      </c>
      <c r="AK5" s="2687">
        <v>526360.47996551299</v>
      </c>
      <c r="AL5" s="2687">
        <v>519866.92216525931</v>
      </c>
      <c r="AM5" s="2687">
        <v>534109.43112027424</v>
      </c>
      <c r="AN5" s="2687">
        <v>520576.1505107499</v>
      </c>
      <c r="AO5" s="2687">
        <v>529574.0498944571</v>
      </c>
      <c r="AP5" s="2687">
        <v>486858.27302969887</v>
      </c>
      <c r="AQ5" s="2687">
        <v>509698.37771362654</v>
      </c>
      <c r="AR5" s="2687">
        <v>528393.11249399313</v>
      </c>
      <c r="AS5" s="2687">
        <v>538096.50889069622</v>
      </c>
      <c r="AT5" s="2687">
        <v>529008.859264108</v>
      </c>
      <c r="AU5" s="2687">
        <v>472852.93534934107</v>
      </c>
      <c r="AV5" s="2687">
        <v>496417.20171303576</v>
      </c>
      <c r="AW5" s="2687">
        <v>471532.93903376377</v>
      </c>
      <c r="AX5" s="2687">
        <v>492050.04154498049</v>
      </c>
      <c r="AY5" s="2687">
        <v>452239.15257988195</v>
      </c>
      <c r="AZ5" s="2687">
        <v>489776.9602217793</v>
      </c>
      <c r="BA5" s="2687">
        <v>442058.71468228288</v>
      </c>
      <c r="BB5" s="2687">
        <v>483700.9596702925</v>
      </c>
      <c r="BC5" s="2687">
        <v>553105.83910995268</v>
      </c>
      <c r="BD5" s="2687">
        <v>421618.58654505137</v>
      </c>
      <c r="BE5" s="2687">
        <v>503175.22044031887</v>
      </c>
      <c r="BF5" s="2687">
        <v>482663.80707790464</v>
      </c>
      <c r="BG5" s="2687">
        <v>440377.79854101728</v>
      </c>
      <c r="BH5" s="2687">
        <v>581728.72083438607</v>
      </c>
      <c r="BI5" s="2687">
        <v>517797.18024192913</v>
      </c>
    </row>
    <row r="6" spans="1:61" ht="18" customHeight="1" x14ac:dyDescent="0.3">
      <c r="A6" s="2658" t="s">
        <v>2600</v>
      </c>
      <c r="B6" s="2662" t="s">
        <v>965</v>
      </c>
      <c r="C6" s="2693">
        <v>5826.5766495508124</v>
      </c>
      <c r="D6" s="2693">
        <v>6052.2666184850368</v>
      </c>
      <c r="E6" s="2693">
        <v>8358.0611533060746</v>
      </c>
      <c r="F6" s="2693">
        <v>7757.8839444804989</v>
      </c>
      <c r="G6" s="2693">
        <v>6528.3955411939151</v>
      </c>
      <c r="H6" s="2693">
        <v>6638.0022181426939</v>
      </c>
      <c r="I6" s="2693">
        <v>6900.866853658591</v>
      </c>
      <c r="J6" s="2693">
        <v>6870.2075429581691</v>
      </c>
      <c r="K6" s="2693">
        <v>6175.898702316078</v>
      </c>
      <c r="L6" s="2693">
        <v>6600.7347345161115</v>
      </c>
      <c r="M6" s="2693">
        <v>6346.52292890633</v>
      </c>
      <c r="N6" s="2693">
        <v>5736.3020507763604</v>
      </c>
      <c r="O6" s="2693">
        <v>6695.6182397775319</v>
      </c>
      <c r="P6" s="2693">
        <v>6342.7812201802217</v>
      </c>
      <c r="Q6" s="2693">
        <v>8320.4287509241403</v>
      </c>
      <c r="R6" s="2693">
        <v>6865.2591971069205</v>
      </c>
      <c r="S6" s="2693">
        <v>6255.5065924800756</v>
      </c>
      <c r="T6" s="2693">
        <v>7134.4</v>
      </c>
      <c r="U6" s="2693">
        <v>7599.067176334569</v>
      </c>
      <c r="V6" s="2693">
        <v>6331.1805087307257</v>
      </c>
      <c r="W6" s="2693">
        <v>6452.5894287720566</v>
      </c>
      <c r="X6" s="2693">
        <v>6672.5835297889944</v>
      </c>
      <c r="Y6" s="2693">
        <v>5979.3687342605908</v>
      </c>
      <c r="Z6" s="2693">
        <v>6579.9951174007947</v>
      </c>
      <c r="AA6" s="2693">
        <v>6322.025203260293</v>
      </c>
      <c r="AB6" s="2693">
        <v>6338.464902025109</v>
      </c>
      <c r="AC6" s="2693">
        <v>7799.8266851483459</v>
      </c>
      <c r="AD6" s="2693">
        <v>6865.8302027303462</v>
      </c>
      <c r="AE6" s="2693">
        <v>6216.3534002369661</v>
      </c>
      <c r="AF6" s="2693">
        <v>6815.2152927596544</v>
      </c>
      <c r="AG6" s="2693">
        <v>6667.5896884157337</v>
      </c>
      <c r="AH6" s="2693">
        <v>6612.5597860970211</v>
      </c>
      <c r="AI6" s="2693">
        <v>6788.9484263693967</v>
      </c>
      <c r="AJ6" s="2693">
        <v>6661.5325256102351</v>
      </c>
      <c r="AK6" s="2693">
        <v>6855.4461909698866</v>
      </c>
      <c r="AL6" s="2693">
        <v>6770.196786209669</v>
      </c>
      <c r="AM6" s="2693">
        <v>7303.309396564392</v>
      </c>
      <c r="AN6" s="2693">
        <v>7581.1314916001911</v>
      </c>
      <c r="AO6" s="2693">
        <v>8167.496105690182</v>
      </c>
      <c r="AP6" s="2693">
        <v>7448.6814723783482</v>
      </c>
      <c r="AQ6" s="2693">
        <v>7061.466566408727</v>
      </c>
      <c r="AR6" s="2693">
        <v>7104.0621176648074</v>
      </c>
      <c r="AS6" s="2693">
        <v>6586.0757147063114</v>
      </c>
      <c r="AT6" s="2693">
        <v>6977.0489505295518</v>
      </c>
      <c r="AU6" s="2693">
        <v>6994.7800401765135</v>
      </c>
      <c r="AV6" s="2693">
        <v>6767.6938308242534</v>
      </c>
      <c r="AW6" s="2693">
        <v>7058.0499573881661</v>
      </c>
      <c r="AX6" s="2693">
        <v>6665.4277222385635</v>
      </c>
      <c r="AY6" s="2693">
        <v>6281.9734640885799</v>
      </c>
      <c r="AZ6" s="2693">
        <v>6544.0028364119726</v>
      </c>
      <c r="BA6" s="2693">
        <v>8228.7502444514994</v>
      </c>
      <c r="BB6" s="2693">
        <v>7664.571881906184</v>
      </c>
      <c r="BC6" s="2693">
        <v>7499.1150278551522</v>
      </c>
      <c r="BD6" s="2693">
        <v>7130.1001736512626</v>
      </c>
      <c r="BE6" s="2693">
        <v>7007.527972635251</v>
      </c>
      <c r="BF6" s="2693">
        <v>7353.2225367711553</v>
      </c>
      <c r="BG6" s="2693">
        <v>7182.8330079143861</v>
      </c>
      <c r="BH6" s="2693">
        <v>7151.065261052373</v>
      </c>
      <c r="BI6" s="2693">
        <v>7431.0322154268588</v>
      </c>
    </row>
    <row r="7" spans="1:61" ht="18" customHeight="1" x14ac:dyDescent="0.3">
      <c r="A7" s="2658" t="s">
        <v>2601</v>
      </c>
      <c r="B7" s="2662" t="s">
        <v>2602</v>
      </c>
      <c r="C7" s="2693">
        <v>171332.4530043928</v>
      </c>
      <c r="D7" s="2693">
        <v>173604.27226292022</v>
      </c>
      <c r="E7" s="2693">
        <v>177586.07762604376</v>
      </c>
      <c r="F7" s="2693">
        <v>164469.07993446459</v>
      </c>
      <c r="G7" s="2693">
        <v>216522.05793958725</v>
      </c>
      <c r="H7" s="2693">
        <v>146475.28396170508</v>
      </c>
      <c r="I7" s="2693">
        <v>147231.14358066654</v>
      </c>
      <c r="J7" s="2693">
        <v>168044.40529489127</v>
      </c>
      <c r="K7" s="2693">
        <v>136817.50208896666</v>
      </c>
      <c r="L7" s="2693">
        <v>161843.79701368473</v>
      </c>
      <c r="M7" s="2693">
        <v>171327.17192837258</v>
      </c>
      <c r="N7" s="2693">
        <v>167713.72346853698</v>
      </c>
      <c r="O7" s="2693">
        <v>137755.21219775491</v>
      </c>
      <c r="P7" s="2693">
        <v>194301.30740113399</v>
      </c>
      <c r="Q7" s="2693">
        <v>192575.31580942922</v>
      </c>
      <c r="R7" s="2693">
        <v>165688.75920085609</v>
      </c>
      <c r="S7" s="2693">
        <v>182331.96610858798</v>
      </c>
      <c r="T7" s="2693">
        <v>241344.8</v>
      </c>
      <c r="U7" s="2693">
        <v>232937.80762791773</v>
      </c>
      <c r="V7" s="2693">
        <v>262015.13998769777</v>
      </c>
      <c r="W7" s="2693">
        <v>267413.60152848094</v>
      </c>
      <c r="X7" s="2693">
        <v>264042.8124660402</v>
      </c>
      <c r="Y7" s="2693">
        <v>246853.85869000561</v>
      </c>
      <c r="Z7" s="2693">
        <v>224866.25388325349</v>
      </c>
      <c r="AA7" s="2693">
        <v>220243.95149560299</v>
      </c>
      <c r="AB7" s="2693">
        <v>263890.58668446832</v>
      </c>
      <c r="AC7" s="2693">
        <v>246754.55886702082</v>
      </c>
      <c r="AD7" s="2693">
        <v>295617.01349112199</v>
      </c>
      <c r="AE7" s="2693">
        <v>287701.35772725462</v>
      </c>
      <c r="AF7" s="2693">
        <v>297826.28716396337</v>
      </c>
      <c r="AG7" s="2693">
        <v>260426.22403727405</v>
      </c>
      <c r="AH7" s="2693">
        <v>307862.21440610365</v>
      </c>
      <c r="AI7" s="2693">
        <v>295744.71665332856</v>
      </c>
      <c r="AJ7" s="2693">
        <v>218741.17075848451</v>
      </c>
      <c r="AK7" s="2693">
        <v>286810.94460800261</v>
      </c>
      <c r="AL7" s="2693">
        <v>291866.23576141562</v>
      </c>
      <c r="AM7" s="2693">
        <v>246811.39697958666</v>
      </c>
      <c r="AN7" s="2693">
        <v>282317.86365494668</v>
      </c>
      <c r="AO7" s="2693">
        <v>319353.62079218403</v>
      </c>
      <c r="AP7" s="2693">
        <v>274468.78578598215</v>
      </c>
      <c r="AQ7" s="2693">
        <v>300130.66080436576</v>
      </c>
      <c r="AR7" s="2693">
        <v>304464.79078819399</v>
      </c>
      <c r="AS7" s="2693">
        <v>287342.7440555623</v>
      </c>
      <c r="AT7" s="2693">
        <v>279181.89171830699</v>
      </c>
      <c r="AU7" s="2693">
        <v>273831.43032174371</v>
      </c>
      <c r="AV7" s="2693">
        <v>261488.22375048546</v>
      </c>
      <c r="AW7" s="2693">
        <v>247230.08372244859</v>
      </c>
      <c r="AX7" s="2693">
        <v>292363.55833721627</v>
      </c>
      <c r="AY7" s="2693">
        <v>235104.60212957943</v>
      </c>
      <c r="AZ7" s="2693">
        <v>283728.66317054169</v>
      </c>
      <c r="BA7" s="2693">
        <v>267516.16692755581</v>
      </c>
      <c r="BB7" s="2693">
        <v>237089.33191164315</v>
      </c>
      <c r="BC7" s="2693">
        <v>342777.16403140244</v>
      </c>
      <c r="BD7" s="2693">
        <v>239534.81770612861</v>
      </c>
      <c r="BE7" s="2693">
        <v>217929.63295620249</v>
      </c>
      <c r="BF7" s="2693">
        <v>207378.78718028864</v>
      </c>
      <c r="BG7" s="2693">
        <v>236209.03547551826</v>
      </c>
      <c r="BH7" s="2693">
        <v>273852.41772226384</v>
      </c>
      <c r="BI7" s="2693">
        <v>243405.12599784156</v>
      </c>
    </row>
    <row r="8" spans="1:61" ht="18" customHeight="1" x14ac:dyDescent="0.3">
      <c r="A8" s="2658" t="s">
        <v>2603</v>
      </c>
      <c r="B8" s="2662" t="s">
        <v>2604</v>
      </c>
      <c r="C8" s="2693">
        <v>168334.11336490876</v>
      </c>
      <c r="D8" s="2693">
        <v>141403.63247511652</v>
      </c>
      <c r="E8" s="2693">
        <v>123127.7852264791</v>
      </c>
      <c r="F8" s="2693">
        <v>139909.9029104276</v>
      </c>
      <c r="G8" s="2693">
        <v>150711.79107805598</v>
      </c>
      <c r="H8" s="2693">
        <v>164289.80275968352</v>
      </c>
      <c r="I8" s="2693">
        <v>182666.12598702565</v>
      </c>
      <c r="J8" s="2693">
        <v>134071.68107317167</v>
      </c>
      <c r="K8" s="2693">
        <v>158045.83637825417</v>
      </c>
      <c r="L8" s="2693">
        <v>185049.50385943084</v>
      </c>
      <c r="M8" s="2693">
        <v>143047.76456829731</v>
      </c>
      <c r="N8" s="2693">
        <v>141967.74408935584</v>
      </c>
      <c r="O8" s="2693">
        <v>208003.7973434061</v>
      </c>
      <c r="P8" s="2693">
        <v>199585.6162785794</v>
      </c>
      <c r="Q8" s="2693">
        <v>193091.04242607814</v>
      </c>
      <c r="R8" s="2693">
        <v>222432.09483442185</v>
      </c>
      <c r="S8" s="2693">
        <v>222992.5904624399</v>
      </c>
      <c r="T8" s="2693">
        <v>147673.70000000001</v>
      </c>
      <c r="U8" s="2693">
        <v>176649.2814514816</v>
      </c>
      <c r="V8" s="2693">
        <v>172869.50043251202</v>
      </c>
      <c r="W8" s="2693">
        <v>173455.87385460763</v>
      </c>
      <c r="X8" s="2693">
        <v>187538.96253468501</v>
      </c>
      <c r="Y8" s="2693">
        <v>258561.04159238664</v>
      </c>
      <c r="Z8" s="2693">
        <v>237135.88981013437</v>
      </c>
      <c r="AA8" s="2693">
        <v>213281.52476280826</v>
      </c>
      <c r="AB8" s="2693">
        <v>210268.33752317895</v>
      </c>
      <c r="AC8" s="2693">
        <v>192781.68156869846</v>
      </c>
      <c r="AD8" s="2693">
        <v>211324.53325726939</v>
      </c>
      <c r="AE8" s="2693">
        <v>252016.18149728893</v>
      </c>
      <c r="AF8" s="2693">
        <v>239676.00145833983</v>
      </c>
      <c r="AG8" s="2693">
        <v>230162.83378165905</v>
      </c>
      <c r="AH8" s="2693">
        <v>240256.45643923589</v>
      </c>
      <c r="AI8" s="2693">
        <v>221718.58522972689</v>
      </c>
      <c r="AJ8" s="2693">
        <v>251548.31859188277</v>
      </c>
      <c r="AK8" s="2693">
        <v>232694.08916654068</v>
      </c>
      <c r="AL8" s="2693">
        <v>221230.48961763398</v>
      </c>
      <c r="AM8" s="2693">
        <v>279994.72474412317</v>
      </c>
      <c r="AN8" s="2693">
        <v>230677.155364203</v>
      </c>
      <c r="AO8" s="2693">
        <v>202052.93299658288</v>
      </c>
      <c r="AP8" s="2693">
        <v>204940.80577133829</v>
      </c>
      <c r="AQ8" s="2693">
        <v>202506.25034285194</v>
      </c>
      <c r="AR8" s="2693">
        <v>216824.2595881343</v>
      </c>
      <c r="AS8" s="2693">
        <v>244167.68912042744</v>
      </c>
      <c r="AT8" s="2693">
        <v>242849.91859527153</v>
      </c>
      <c r="AU8" s="2693">
        <v>192026.72498742092</v>
      </c>
      <c r="AV8" s="2693">
        <v>228161.28413172602</v>
      </c>
      <c r="AW8" s="2693">
        <v>217244.80535392696</v>
      </c>
      <c r="AX8" s="2693">
        <v>193021.05548552575</v>
      </c>
      <c r="AY8" s="2693">
        <v>210852.57698621397</v>
      </c>
      <c r="AZ8" s="2693">
        <v>199504.29421482564</v>
      </c>
      <c r="BA8" s="2693">
        <v>166313.7975102755</v>
      </c>
      <c r="BB8" s="2693">
        <v>238947.05587674319</v>
      </c>
      <c r="BC8" s="2693">
        <v>202829.56005069506</v>
      </c>
      <c r="BD8" s="2693">
        <v>174953.66866527163</v>
      </c>
      <c r="BE8" s="2693">
        <v>278238.05951148103</v>
      </c>
      <c r="BF8" s="2693">
        <v>267931.79736084479</v>
      </c>
      <c r="BG8" s="2693">
        <v>196985.93005758463</v>
      </c>
      <c r="BH8" s="2693">
        <v>300725.23785106989</v>
      </c>
      <c r="BI8" s="2693">
        <v>266961.02202866063</v>
      </c>
    </row>
    <row r="9" spans="1:61" ht="18" customHeight="1" x14ac:dyDescent="0.3">
      <c r="A9" s="2658"/>
      <c r="B9" s="2658"/>
      <c r="C9" s="2724"/>
      <c r="D9" s="2724"/>
      <c r="E9" s="2724"/>
      <c r="F9" s="2724"/>
      <c r="G9" s="2724"/>
      <c r="H9" s="2724"/>
      <c r="I9" s="2724"/>
      <c r="J9" s="2724"/>
      <c r="K9" s="2724"/>
      <c r="L9" s="2724"/>
      <c r="M9" s="2724"/>
      <c r="N9" s="2724"/>
      <c r="O9" s="2724"/>
      <c r="P9" s="2724"/>
      <c r="Q9" s="2724"/>
      <c r="R9" s="2724"/>
      <c r="S9" s="2724"/>
      <c r="T9" s="2724"/>
      <c r="U9" s="2724"/>
      <c r="V9" s="2724"/>
      <c r="W9" s="2724"/>
      <c r="X9" s="2724"/>
      <c r="Y9" s="2724"/>
      <c r="Z9" s="2724"/>
      <c r="AA9" s="2724"/>
      <c r="AB9" s="2724"/>
      <c r="AC9" s="2724"/>
      <c r="AD9" s="2724"/>
      <c r="AE9" s="2724"/>
      <c r="AF9" s="2724"/>
      <c r="AG9" s="2724"/>
      <c r="AH9" s="2724"/>
      <c r="AI9" s="2724"/>
      <c r="AJ9" s="2724"/>
      <c r="AK9" s="2724"/>
      <c r="AL9" s="2724"/>
      <c r="AM9" s="2724"/>
      <c r="AN9" s="2724"/>
      <c r="AO9" s="2724"/>
      <c r="AP9" s="2724"/>
      <c r="AQ9" s="2724"/>
      <c r="AR9" s="2724"/>
      <c r="AS9" s="2724"/>
      <c r="AT9" s="2724"/>
      <c r="AU9" s="2724"/>
      <c r="AV9" s="2724"/>
      <c r="AW9" s="2724"/>
      <c r="AX9" s="2724"/>
      <c r="AY9" s="2724"/>
      <c r="AZ9" s="2724"/>
      <c r="BA9" s="2724"/>
      <c r="BB9" s="2724"/>
      <c r="BC9" s="2724"/>
      <c r="BD9" s="2724"/>
      <c r="BE9" s="2724"/>
      <c r="BF9" s="2724"/>
      <c r="BG9" s="2724"/>
      <c r="BH9" s="2724"/>
      <c r="BI9" s="2724"/>
    </row>
    <row r="10" spans="1:61" ht="18" customHeight="1" x14ac:dyDescent="0.3">
      <c r="A10" s="2655" t="s">
        <v>2510</v>
      </c>
      <c r="B10" s="2655" t="s">
        <v>2521</v>
      </c>
      <c r="C10" s="2687">
        <v>323409.15048591018</v>
      </c>
      <c r="D10" s="2687">
        <v>328683.53841267509</v>
      </c>
      <c r="E10" s="2687">
        <v>346403.11259458493</v>
      </c>
      <c r="F10" s="2687">
        <v>353423.08365790651</v>
      </c>
      <c r="G10" s="2687">
        <v>342551.35356928932</v>
      </c>
      <c r="H10" s="2687">
        <v>373517.47701141087</v>
      </c>
      <c r="I10" s="2687">
        <v>373947.17053014494</v>
      </c>
      <c r="J10" s="2687">
        <v>387477.88686132984</v>
      </c>
      <c r="K10" s="2687">
        <v>401175.45961785194</v>
      </c>
      <c r="L10" s="2687">
        <v>398067.71678505384</v>
      </c>
      <c r="M10" s="2687">
        <v>403537.38744113571</v>
      </c>
      <c r="N10" s="2687">
        <v>424769.77583347959</v>
      </c>
      <c r="O10" s="2687">
        <v>421455.61439245957</v>
      </c>
      <c r="P10" s="2687">
        <v>432621.81078598887</v>
      </c>
      <c r="Q10" s="2687">
        <v>424143.33950446133</v>
      </c>
      <c r="R10" s="2687">
        <v>425693.76163992035</v>
      </c>
      <c r="S10" s="2687">
        <v>435598.67287680868</v>
      </c>
      <c r="T10" s="2687">
        <v>453032.1</v>
      </c>
      <c r="U10" s="2687">
        <v>448926.14597877878</v>
      </c>
      <c r="V10" s="2687">
        <v>434004.41284679045</v>
      </c>
      <c r="W10" s="2687">
        <v>470689.58249038522</v>
      </c>
      <c r="X10" s="2687">
        <v>438535.18617274915</v>
      </c>
      <c r="Y10" s="2687">
        <v>480446.30932047707</v>
      </c>
      <c r="Z10" s="2687">
        <v>508940.15303977346</v>
      </c>
      <c r="AA10" s="2687">
        <v>473505.868987553</v>
      </c>
      <c r="AB10" s="2687">
        <v>475041.34015614988</v>
      </c>
      <c r="AC10" s="2687">
        <v>514556.57747646392</v>
      </c>
      <c r="AD10" s="2687">
        <v>494367.57944780565</v>
      </c>
      <c r="AE10" s="2687">
        <v>513558.73020492063</v>
      </c>
      <c r="AF10" s="2687">
        <v>545233.98117727914</v>
      </c>
      <c r="AG10" s="2687">
        <v>545721.90362080862</v>
      </c>
      <c r="AH10" s="2687">
        <v>553706.36467039504</v>
      </c>
      <c r="AI10" s="2687">
        <v>607480.45336826832</v>
      </c>
      <c r="AJ10" s="2687">
        <v>634122.46180386667</v>
      </c>
      <c r="AK10" s="2687">
        <v>642041.25087725208</v>
      </c>
      <c r="AL10" s="2687">
        <v>649439.68519550504</v>
      </c>
      <c r="AM10" s="2687">
        <v>640159.52073149488</v>
      </c>
      <c r="AN10" s="2687">
        <v>643408.97896975139</v>
      </c>
      <c r="AO10" s="2687">
        <v>691577.02271303372</v>
      </c>
      <c r="AP10" s="2687">
        <v>680160.3458580029</v>
      </c>
      <c r="AQ10" s="2687">
        <v>702077.88678418926</v>
      </c>
      <c r="AR10" s="2687">
        <v>732576.88947948441</v>
      </c>
      <c r="AS10" s="2687">
        <v>708081.16254776297</v>
      </c>
      <c r="AT10" s="2687">
        <v>697741.49225230259</v>
      </c>
      <c r="AU10" s="2687">
        <v>774749.34603554162</v>
      </c>
      <c r="AV10" s="2687">
        <v>781198.27487477975</v>
      </c>
      <c r="AW10" s="2687">
        <v>800875.15583897207</v>
      </c>
      <c r="AX10" s="2687">
        <v>820116.4759321427</v>
      </c>
      <c r="AY10" s="2687">
        <v>843821.31968378916</v>
      </c>
      <c r="AZ10" s="2687">
        <v>830906.61400579172</v>
      </c>
      <c r="BA10" s="2687">
        <v>834213.87769338035</v>
      </c>
      <c r="BB10" s="2687">
        <v>875930.34892526839</v>
      </c>
      <c r="BC10" s="2687">
        <v>896208.41937521577</v>
      </c>
      <c r="BD10" s="2687">
        <v>908452.66621534154</v>
      </c>
      <c r="BE10" s="2687">
        <v>890263.60469032195</v>
      </c>
      <c r="BF10" s="2687">
        <v>904264.14428248943</v>
      </c>
      <c r="BG10" s="2687">
        <v>919538.24934893078</v>
      </c>
      <c r="BH10" s="2687">
        <v>841437.14041263587</v>
      </c>
      <c r="BI10" s="2687">
        <v>862393.90579886443</v>
      </c>
    </row>
    <row r="11" spans="1:61" ht="18" customHeight="1" x14ac:dyDescent="0.3">
      <c r="A11" s="2658"/>
      <c r="B11" s="2658"/>
      <c r="C11" s="2724"/>
      <c r="D11" s="2724"/>
      <c r="E11" s="2724"/>
      <c r="F11" s="2724"/>
      <c r="G11" s="2724"/>
      <c r="H11" s="2724"/>
      <c r="I11" s="2724"/>
      <c r="J11" s="2724"/>
      <c r="K11" s="2724"/>
      <c r="L11" s="2724"/>
      <c r="M11" s="2724"/>
      <c r="N11" s="2724"/>
      <c r="O11" s="2724"/>
      <c r="P11" s="2724"/>
      <c r="Q11" s="2724"/>
      <c r="R11" s="2724"/>
      <c r="S11" s="2724"/>
      <c r="T11" s="2724"/>
      <c r="U11" s="2724"/>
      <c r="V11" s="2724"/>
      <c r="W11" s="2724"/>
      <c r="X11" s="2724"/>
      <c r="Y11" s="2724"/>
      <c r="Z11" s="2724"/>
      <c r="AA11" s="2724"/>
      <c r="AB11" s="2724"/>
      <c r="AC11" s="2724"/>
      <c r="AD11" s="2724"/>
      <c r="AE11" s="2724"/>
      <c r="AF11" s="2724"/>
      <c r="AG11" s="2724"/>
      <c r="AH11" s="2724"/>
      <c r="AI11" s="2724"/>
      <c r="AJ11" s="2724"/>
      <c r="AK11" s="2724"/>
      <c r="AL11" s="2724"/>
      <c r="AM11" s="2724"/>
      <c r="AN11" s="2724"/>
      <c r="AO11" s="2724"/>
      <c r="AP11" s="2724"/>
      <c r="AQ11" s="2724"/>
      <c r="AR11" s="2724"/>
      <c r="AS11" s="2724"/>
      <c r="AT11" s="2724"/>
      <c r="AU11" s="2724"/>
      <c r="AV11" s="2724"/>
      <c r="AW11" s="2724"/>
      <c r="AX11" s="2724"/>
      <c r="AY11" s="2724"/>
      <c r="AZ11" s="2724"/>
      <c r="BA11" s="2724"/>
      <c r="BB11" s="2724"/>
      <c r="BC11" s="2724"/>
      <c r="BD11" s="2724"/>
      <c r="BE11" s="2724"/>
      <c r="BF11" s="2724"/>
      <c r="BG11" s="2724"/>
      <c r="BH11" s="2724"/>
      <c r="BI11" s="2724"/>
    </row>
    <row r="12" spans="1:61" ht="18" customHeight="1" x14ac:dyDescent="0.3">
      <c r="A12" s="2655" t="s">
        <v>2520</v>
      </c>
      <c r="B12" s="2655" t="s">
        <v>1057</v>
      </c>
      <c r="C12" s="2687">
        <v>646874.39295671484</v>
      </c>
      <c r="D12" s="2687">
        <v>652737.52809542813</v>
      </c>
      <c r="E12" s="2687">
        <v>645998.54051785951</v>
      </c>
      <c r="F12" s="2687">
        <v>631980.82387106889</v>
      </c>
      <c r="G12" s="2687">
        <v>643984.74734653067</v>
      </c>
      <c r="H12" s="2725"/>
      <c r="I12" s="2687">
        <v>640712.36313337495</v>
      </c>
      <c r="J12" s="2687">
        <v>643720.41644352733</v>
      </c>
      <c r="K12" s="2687">
        <v>662951.11733307911</v>
      </c>
      <c r="L12" s="2687">
        <v>649718.08526534261</v>
      </c>
      <c r="M12" s="2687">
        <v>656005.68715069001</v>
      </c>
      <c r="N12" s="2687">
        <v>659367.01411922579</v>
      </c>
      <c r="O12" s="2687">
        <v>660435.68741008791</v>
      </c>
      <c r="P12" s="2687">
        <v>672693.92205062031</v>
      </c>
      <c r="Q12" s="2687">
        <v>663289.7944177686</v>
      </c>
      <c r="R12" s="2687">
        <v>676875.48783505824</v>
      </c>
      <c r="S12" s="2687">
        <v>674238.51903661201</v>
      </c>
      <c r="T12" s="2687">
        <v>706088.7</v>
      </c>
      <c r="U12" s="2687">
        <v>723562.49749299511</v>
      </c>
      <c r="V12" s="2687">
        <v>719403.81679250963</v>
      </c>
      <c r="W12" s="2687">
        <v>709129.31067039142</v>
      </c>
      <c r="X12" s="2687">
        <v>693843.16880276939</v>
      </c>
      <c r="Y12" s="2687">
        <v>687003.51589797961</v>
      </c>
      <c r="Z12" s="2687">
        <v>691313.09218121017</v>
      </c>
      <c r="AA12" s="2687">
        <v>687215.84705877898</v>
      </c>
      <c r="AB12" s="2687">
        <v>687769.72402532597</v>
      </c>
      <c r="AC12" s="2687">
        <v>692320.42916848161</v>
      </c>
      <c r="AD12" s="2687">
        <v>707078.37885188696</v>
      </c>
      <c r="AE12" s="2687">
        <v>698290.53039939236</v>
      </c>
      <c r="AF12" s="2687">
        <v>690537.70925050846</v>
      </c>
      <c r="AG12" s="2687">
        <v>694399.59053494188</v>
      </c>
      <c r="AH12" s="2687">
        <v>699000.55144608545</v>
      </c>
      <c r="AI12" s="2687">
        <v>718315.89551811665</v>
      </c>
      <c r="AJ12" s="2687">
        <v>726961.26776257518</v>
      </c>
      <c r="AK12" s="2687">
        <v>727630.09365989268</v>
      </c>
      <c r="AL12" s="2687">
        <v>715519.40134055086</v>
      </c>
      <c r="AM12" s="2687">
        <v>734550.55459114665</v>
      </c>
      <c r="AN12" s="2687">
        <v>723626.63337638334</v>
      </c>
      <c r="AO12" s="2687">
        <v>736267.08541910583</v>
      </c>
      <c r="AP12" s="2687">
        <v>737577.22123969346</v>
      </c>
      <c r="AQ12" s="2687">
        <v>740387.20638196229</v>
      </c>
      <c r="AR12" s="2687">
        <v>725190.24683982448</v>
      </c>
      <c r="AS12" s="2687">
        <v>718765.40004973707</v>
      </c>
      <c r="AT12" s="2687">
        <v>720477.38386695157</v>
      </c>
      <c r="AU12" s="2687">
        <v>750970.88843077305</v>
      </c>
      <c r="AV12" s="2687">
        <v>741152.8925447925</v>
      </c>
      <c r="AW12" s="2687">
        <v>788290.65707587474</v>
      </c>
      <c r="AX12" s="2687">
        <v>802651.54482725949</v>
      </c>
      <c r="AY12" s="2687">
        <v>822813.08384681458</v>
      </c>
      <c r="AZ12" s="2687">
        <v>849434.26262932154</v>
      </c>
      <c r="BA12" s="2687">
        <v>852254.19700748601</v>
      </c>
      <c r="BB12" s="2687">
        <v>849389.65413652989</v>
      </c>
      <c r="BC12" s="2687">
        <v>854405.61239000154</v>
      </c>
      <c r="BD12" s="2687">
        <v>853832.30346853437</v>
      </c>
      <c r="BE12" s="2687">
        <v>815976.3941848136</v>
      </c>
      <c r="BF12" s="2687">
        <v>816472.23872226418</v>
      </c>
      <c r="BG12" s="2687">
        <v>828701.02697392367</v>
      </c>
      <c r="BH12" s="2687">
        <v>844344.36790112371</v>
      </c>
      <c r="BI12" s="2687">
        <v>827007.16688413755</v>
      </c>
    </row>
    <row r="13" spans="1:61" ht="18" customHeight="1" x14ac:dyDescent="0.3">
      <c r="A13" s="2658"/>
      <c r="B13" s="2658"/>
      <c r="C13" s="2724"/>
      <c r="D13" s="2724"/>
      <c r="E13" s="2724"/>
      <c r="F13" s="2724"/>
      <c r="G13" s="2724"/>
      <c r="H13" s="2724"/>
      <c r="I13" s="2724"/>
      <c r="J13" s="2724"/>
      <c r="K13" s="2724"/>
      <c r="L13" s="2724"/>
      <c r="M13" s="2724"/>
      <c r="N13" s="2724"/>
      <c r="O13" s="2724">
        <v>2.5</v>
      </c>
      <c r="P13" s="2724"/>
      <c r="Q13" s="2724"/>
      <c r="R13" s="2724"/>
      <c r="S13" s="2724"/>
      <c r="T13" s="2724"/>
      <c r="U13" s="2724"/>
      <c r="V13" s="2724"/>
      <c r="W13" s="2724"/>
      <c r="X13" s="2724"/>
      <c r="Y13" s="2724"/>
      <c r="Z13" s="2724"/>
      <c r="AA13" s="2724"/>
      <c r="AB13" s="2724"/>
      <c r="AC13" s="2724"/>
      <c r="AD13" s="2724"/>
      <c r="AE13" s="2724"/>
      <c r="AF13" s="2724"/>
      <c r="AG13" s="2724"/>
      <c r="AH13" s="2724"/>
      <c r="AI13" s="2724"/>
      <c r="AJ13" s="2724"/>
      <c r="AK13" s="2724"/>
      <c r="AL13" s="2724"/>
      <c r="AM13" s="2724"/>
      <c r="AN13" s="2724"/>
      <c r="AO13" s="2724"/>
      <c r="AP13" s="2724"/>
      <c r="AQ13" s="2724"/>
      <c r="AR13" s="2724"/>
      <c r="AS13" s="2724"/>
      <c r="AT13" s="2724"/>
      <c r="AU13" s="2724"/>
      <c r="AV13" s="2724"/>
      <c r="AW13" s="2724"/>
      <c r="AX13" s="2724"/>
      <c r="AY13" s="2724"/>
      <c r="AZ13" s="2724"/>
      <c r="BA13" s="2724"/>
      <c r="BB13" s="2724"/>
      <c r="BC13" s="2724"/>
      <c r="BD13" s="2724"/>
      <c r="BE13" s="2724"/>
      <c r="BF13" s="2724"/>
      <c r="BG13" s="2724"/>
      <c r="BH13" s="2724"/>
      <c r="BI13" s="2724"/>
    </row>
    <row r="14" spans="1:61" ht="18" customHeight="1" x14ac:dyDescent="0.3">
      <c r="A14" s="2655" t="s">
        <v>2522</v>
      </c>
      <c r="B14" s="2655" t="s">
        <v>2524</v>
      </c>
      <c r="C14" s="2687">
        <v>12554.147170824433</v>
      </c>
      <c r="D14" s="2687">
        <v>13434.738536622657</v>
      </c>
      <c r="E14" s="2687">
        <v>9474.4783547853003</v>
      </c>
      <c r="F14" s="2687">
        <v>9582.3765905574546</v>
      </c>
      <c r="G14" s="2687">
        <v>9643.4592599895568</v>
      </c>
      <c r="H14" s="2687">
        <v>9803.9815799034277</v>
      </c>
      <c r="I14" s="2687">
        <v>9927.7433002470443</v>
      </c>
      <c r="J14" s="2687">
        <v>10081.649953439275</v>
      </c>
      <c r="K14" s="2687">
        <v>10167.583921020057</v>
      </c>
      <c r="L14" s="2687">
        <v>10300.631871663481</v>
      </c>
      <c r="M14" s="2687">
        <v>10300.221152248108</v>
      </c>
      <c r="N14" s="2687">
        <v>10248.713610977788</v>
      </c>
      <c r="O14" s="2687">
        <v>10372.056043579756</v>
      </c>
      <c r="P14" s="2687">
        <v>10744.073945685166</v>
      </c>
      <c r="Q14" s="2687">
        <v>9958.27089115134</v>
      </c>
      <c r="R14" s="2687">
        <v>10634.566665270193</v>
      </c>
      <c r="S14" s="2687">
        <v>10526.785551248049</v>
      </c>
      <c r="T14" s="2687">
        <v>9835.2000000000007</v>
      </c>
      <c r="U14" s="2687">
        <v>10381.661537628948</v>
      </c>
      <c r="V14" s="2687">
        <v>10611.189690226576</v>
      </c>
      <c r="W14" s="2687">
        <v>10182.487598533531</v>
      </c>
      <c r="X14" s="2687">
        <v>10404.576776722037</v>
      </c>
      <c r="Y14" s="2687">
        <v>10647.344806464487</v>
      </c>
      <c r="Z14" s="2687">
        <v>10512.98780086256</v>
      </c>
      <c r="AA14" s="2687">
        <v>10689.14513457909</v>
      </c>
      <c r="AB14" s="2687">
        <v>11928.259428188196</v>
      </c>
      <c r="AC14" s="2687">
        <v>12025.15521989481</v>
      </c>
      <c r="AD14" s="2687">
        <v>12107.407452142295</v>
      </c>
      <c r="AE14" s="2687">
        <v>12315.202106601209</v>
      </c>
      <c r="AF14" s="2687">
        <v>12424.898684971604</v>
      </c>
      <c r="AG14" s="2687">
        <v>12696.994251079097</v>
      </c>
      <c r="AH14" s="2687">
        <v>12711.860940847</v>
      </c>
      <c r="AI14" s="2687">
        <v>13023.076905827902</v>
      </c>
      <c r="AJ14" s="2687">
        <v>13423.067641571568</v>
      </c>
      <c r="AK14" s="2687">
        <v>13203.122056186474</v>
      </c>
      <c r="AL14" s="2687">
        <v>13453.716956910832</v>
      </c>
      <c r="AM14" s="2687">
        <v>13424.425722612874</v>
      </c>
      <c r="AN14" s="2687">
        <v>13285.886888690588</v>
      </c>
      <c r="AO14" s="2687">
        <v>14266.584231794086</v>
      </c>
      <c r="AP14" s="2687">
        <v>15161.258939307201</v>
      </c>
      <c r="AQ14" s="2687">
        <v>15160.290720573475</v>
      </c>
      <c r="AR14" s="2687">
        <v>15212.548619522415</v>
      </c>
      <c r="AS14" s="2687">
        <v>15372.41347673561</v>
      </c>
      <c r="AT14" s="2687">
        <v>14576.332852621214</v>
      </c>
      <c r="AU14" s="2687">
        <v>14781.626549428898</v>
      </c>
      <c r="AV14" s="2687">
        <v>14370.598173398797</v>
      </c>
      <c r="AW14" s="2687">
        <v>14139.236984560588</v>
      </c>
      <c r="AX14" s="2687">
        <v>13683.963330622775</v>
      </c>
      <c r="AY14" s="2687">
        <v>13354.033319929831</v>
      </c>
      <c r="AZ14" s="2687">
        <v>13238.437426699295</v>
      </c>
      <c r="BA14" s="2687">
        <v>13252.098907924177</v>
      </c>
      <c r="BB14" s="2687">
        <v>14180.205378819543</v>
      </c>
      <c r="BC14" s="2687">
        <v>14317.973677940259</v>
      </c>
      <c r="BD14" s="2687">
        <v>14006.834548063662</v>
      </c>
      <c r="BE14" s="2687">
        <v>14424.045511798142</v>
      </c>
      <c r="BF14" s="2687">
        <v>14552.49698857546</v>
      </c>
      <c r="BG14" s="2687">
        <v>14407.359547959069</v>
      </c>
      <c r="BH14" s="2687">
        <v>14969.650956380243</v>
      </c>
      <c r="BI14" s="2687">
        <v>15231.877038154607</v>
      </c>
    </row>
    <row r="15" spans="1:61" ht="18" customHeight="1" x14ac:dyDescent="0.3">
      <c r="A15" s="2658"/>
      <c r="B15" s="2662"/>
      <c r="C15" s="2724"/>
      <c r="D15" s="2724"/>
      <c r="E15" s="2724"/>
      <c r="F15" s="2724"/>
      <c r="G15" s="2724"/>
      <c r="H15" s="2724"/>
      <c r="I15" s="2724"/>
      <c r="J15" s="2724"/>
      <c r="K15" s="2724"/>
      <c r="L15" s="2724"/>
      <c r="M15" s="2724"/>
      <c r="N15" s="2724"/>
      <c r="O15" s="2724"/>
      <c r="P15" s="2724"/>
      <c r="Q15" s="2724"/>
      <c r="R15" s="2724"/>
      <c r="S15" s="2724"/>
      <c r="T15" s="2724"/>
      <c r="U15" s="2724"/>
      <c r="V15" s="2724"/>
      <c r="W15" s="2724"/>
      <c r="X15" s="2724"/>
      <c r="Y15" s="2724"/>
      <c r="Z15" s="2724"/>
      <c r="AA15" s="2724"/>
      <c r="AB15" s="2724"/>
      <c r="AC15" s="2724"/>
      <c r="AD15" s="2724"/>
      <c r="AE15" s="2724"/>
      <c r="AF15" s="2724"/>
      <c r="AG15" s="2724"/>
      <c r="AH15" s="2724"/>
      <c r="AI15" s="2724"/>
      <c r="AJ15" s="2724"/>
      <c r="AK15" s="2724"/>
      <c r="AL15" s="2724"/>
      <c r="AM15" s="2724"/>
      <c r="AN15" s="2724"/>
      <c r="AO15" s="2724"/>
      <c r="AP15" s="2724"/>
      <c r="AQ15" s="2724"/>
      <c r="AR15" s="2724"/>
      <c r="AS15" s="2724"/>
      <c r="AT15" s="2724"/>
      <c r="AU15" s="2724"/>
      <c r="AV15" s="2724"/>
      <c r="AW15" s="2724"/>
      <c r="AX15" s="2724"/>
      <c r="AY15" s="2724"/>
      <c r="AZ15" s="2724"/>
      <c r="BA15" s="2724"/>
      <c r="BB15" s="2724"/>
      <c r="BC15" s="2724"/>
      <c r="BD15" s="2724"/>
      <c r="BE15" s="2724"/>
      <c r="BF15" s="2724"/>
      <c r="BG15" s="2724"/>
      <c r="BH15" s="2724"/>
      <c r="BI15" s="2724"/>
    </row>
    <row r="16" spans="1:61" ht="18" customHeight="1" x14ac:dyDescent="0.3">
      <c r="A16" s="2655" t="s">
        <v>2523</v>
      </c>
      <c r="B16" s="2655" t="s">
        <v>2526</v>
      </c>
      <c r="C16" s="2687">
        <v>0.95513000000000003</v>
      </c>
      <c r="D16" s="2687">
        <v>0.51665499999999998</v>
      </c>
      <c r="E16" s="2687">
        <v>0.271646</v>
      </c>
      <c r="F16" s="2687">
        <v>0.45336859999999995</v>
      </c>
      <c r="G16" s="2687">
        <v>0.15168720000000002</v>
      </c>
      <c r="H16" s="2687">
        <v>3.7975800000000004E-2</v>
      </c>
      <c r="I16" s="2687">
        <v>0.11742039999999999</v>
      </c>
      <c r="J16" s="2687">
        <v>3.4548206399999994</v>
      </c>
      <c r="K16" s="2687">
        <v>3.0374739299999995</v>
      </c>
      <c r="L16" s="2687">
        <v>2.6577852200000001</v>
      </c>
      <c r="M16" s="2687">
        <v>2.2780965099999997</v>
      </c>
      <c r="N16" s="2687">
        <v>2.4612918000000001</v>
      </c>
      <c r="O16" s="2687">
        <v>2.2407580899999999</v>
      </c>
      <c r="P16" s="2687">
        <v>1.8249098000000001</v>
      </c>
      <c r="Q16" s="2687">
        <v>1.39630575</v>
      </c>
      <c r="R16" s="2687">
        <v>0.98153430000000008</v>
      </c>
      <c r="S16" s="2687">
        <v>0.98737425000000001</v>
      </c>
      <c r="T16" s="2687">
        <v>0.6</v>
      </c>
      <c r="U16" s="2687">
        <v>0.72680915000000001</v>
      </c>
      <c r="V16" s="2687">
        <v>4.3673442900000001</v>
      </c>
      <c r="W16" s="2687">
        <v>3.85214386</v>
      </c>
      <c r="X16" s="2687">
        <v>3.9203265099999998</v>
      </c>
      <c r="Y16" s="2687">
        <v>3.4256261600000002</v>
      </c>
      <c r="Z16" s="2687">
        <v>2.93092481</v>
      </c>
      <c r="AA16" s="2687">
        <v>2.4362414599999997</v>
      </c>
      <c r="AB16" s="2687">
        <v>2.0018861999999999</v>
      </c>
      <c r="AC16" s="2687">
        <v>1.50716691</v>
      </c>
      <c r="AD16" s="2687">
        <v>1.1218504199999999</v>
      </c>
      <c r="AE16" s="2687">
        <v>1.19621793</v>
      </c>
      <c r="AF16" s="2687">
        <v>1.0154459299999998</v>
      </c>
      <c r="AG16" s="2687">
        <v>0.59486348999999994</v>
      </c>
      <c r="AH16" s="2687">
        <v>4.0912923000000001</v>
      </c>
      <c r="AI16" s="2687">
        <v>4.4509865899999994</v>
      </c>
      <c r="AJ16" s="2687">
        <v>4.4329801500000006</v>
      </c>
      <c r="AK16" s="2687">
        <v>3.85208971</v>
      </c>
      <c r="AL16" s="2687">
        <v>3.2711992699999999</v>
      </c>
      <c r="AM16" s="2687">
        <v>2.7392267499999998</v>
      </c>
      <c r="AN16" s="2687">
        <v>1.91387628</v>
      </c>
      <c r="AO16" s="2687">
        <v>1.39623495</v>
      </c>
      <c r="AP16" s="2687">
        <v>0.97472670000000006</v>
      </c>
      <c r="AQ16" s="2687">
        <v>1.0694735099999999</v>
      </c>
      <c r="AR16" s="2687">
        <v>1.8237317900000001</v>
      </c>
      <c r="AS16" s="2687">
        <v>1.5909642500000001</v>
      </c>
      <c r="AT16" s="2687">
        <v>4.8581957100000004</v>
      </c>
      <c r="AU16" s="2687">
        <v>4.2754281699999996</v>
      </c>
      <c r="AV16" s="2687">
        <v>4.25554363</v>
      </c>
      <c r="AW16" s="2687">
        <v>3.6727760899999997</v>
      </c>
      <c r="AX16" s="2687">
        <v>3.1938167499999999</v>
      </c>
      <c r="AY16" s="2687">
        <v>2.6398054200000001</v>
      </c>
      <c r="AZ16" s="2687">
        <v>2.0538468500000002</v>
      </c>
      <c r="BA16" s="2687">
        <v>1.4609379899999999</v>
      </c>
      <c r="BB16" s="2687">
        <v>1.0101003900000001</v>
      </c>
      <c r="BC16" s="2687">
        <v>0.58604442000000001</v>
      </c>
      <c r="BD16" s="2687">
        <v>1.8272291000000001</v>
      </c>
      <c r="BE16" s="2687">
        <v>5.4372572799999999</v>
      </c>
      <c r="BF16" s="2687">
        <v>4.8472854600000002</v>
      </c>
      <c r="BG16" s="2687">
        <v>4.2573136399999996</v>
      </c>
      <c r="BH16" s="2687">
        <v>4.4023048200000003</v>
      </c>
      <c r="BI16" s="2687">
        <v>3.8082419999999999</v>
      </c>
    </row>
    <row r="17" spans="1:61" ht="18" customHeight="1" x14ac:dyDescent="0.3">
      <c r="A17" s="2658"/>
      <c r="B17" s="2658"/>
      <c r="C17" s="2724"/>
      <c r="D17" s="2724"/>
      <c r="E17" s="2724"/>
      <c r="F17" s="2724"/>
      <c r="G17" s="2724"/>
      <c r="H17" s="2724"/>
      <c r="I17" s="2724"/>
      <c r="J17" s="2724"/>
      <c r="K17" s="2724"/>
      <c r="L17" s="2724"/>
      <c r="M17" s="2724"/>
      <c r="N17" s="2724"/>
      <c r="O17" s="2724"/>
      <c r="P17" s="2724"/>
      <c r="Q17" s="2724"/>
      <c r="R17" s="2724"/>
      <c r="S17" s="2724"/>
      <c r="T17" s="2724"/>
      <c r="U17" s="2724"/>
      <c r="V17" s="2724"/>
      <c r="W17" s="2724"/>
      <c r="X17" s="2724"/>
      <c r="Y17" s="2724"/>
      <c r="Z17" s="2724"/>
      <c r="AA17" s="2724"/>
      <c r="AB17" s="2724"/>
      <c r="AC17" s="2724"/>
      <c r="AD17" s="2724"/>
      <c r="AE17" s="2724"/>
      <c r="AF17" s="2724"/>
      <c r="AG17" s="2724"/>
      <c r="AH17" s="2724"/>
      <c r="AI17" s="2724"/>
      <c r="AJ17" s="2724"/>
      <c r="AK17" s="2724"/>
      <c r="AL17" s="2724"/>
      <c r="AM17" s="2724"/>
      <c r="AN17" s="2724"/>
      <c r="AO17" s="2724"/>
      <c r="AP17" s="2724"/>
      <c r="AQ17" s="2724"/>
      <c r="AR17" s="2724"/>
      <c r="AS17" s="2724"/>
      <c r="AT17" s="2724"/>
      <c r="AU17" s="2724"/>
      <c r="AV17" s="2724"/>
      <c r="AW17" s="2724"/>
      <c r="AX17" s="2724"/>
      <c r="AY17" s="2724"/>
      <c r="AZ17" s="2724"/>
      <c r="BA17" s="2724"/>
      <c r="BB17" s="2724"/>
      <c r="BC17" s="2724"/>
      <c r="BD17" s="2724"/>
      <c r="BE17" s="2724"/>
      <c r="BF17" s="2724"/>
      <c r="BG17" s="2724"/>
      <c r="BH17" s="2724"/>
      <c r="BI17" s="2724"/>
    </row>
    <row r="18" spans="1:61" ht="18" customHeight="1" x14ac:dyDescent="0.3">
      <c r="A18" s="2655" t="s">
        <v>2525</v>
      </c>
      <c r="B18" s="2655" t="s">
        <v>2605</v>
      </c>
      <c r="C18" s="2687">
        <v>3378.8780669142157</v>
      </c>
      <c r="D18" s="2687">
        <v>2932.9963831550385</v>
      </c>
      <c r="E18" s="2687">
        <v>2650.1482004206027</v>
      </c>
      <c r="F18" s="2687">
        <v>2969.9703730723818</v>
      </c>
      <c r="G18" s="2687">
        <v>2891.4075156859453</v>
      </c>
      <c r="H18" s="2687">
        <v>3367.1146153100922</v>
      </c>
      <c r="I18" s="2687">
        <v>3135.2813071736273</v>
      </c>
      <c r="J18" s="2687">
        <v>3229.0768150738986</v>
      </c>
      <c r="K18" s="2687">
        <v>2677.9320068139214</v>
      </c>
      <c r="L18" s="2687">
        <v>3061.3047592178323</v>
      </c>
      <c r="M18" s="2687">
        <v>3375.4478817152722</v>
      </c>
      <c r="N18" s="2687">
        <v>4224.2087275010272</v>
      </c>
      <c r="O18" s="2687">
        <v>3575.6638802794705</v>
      </c>
      <c r="P18" s="2687">
        <v>3382.3977550478248</v>
      </c>
      <c r="Q18" s="2687">
        <v>2349.3868171397153</v>
      </c>
      <c r="R18" s="2687">
        <v>2099.6772200230771</v>
      </c>
      <c r="S18" s="2687">
        <v>2628.8716981202579</v>
      </c>
      <c r="T18" s="2687">
        <v>4930</v>
      </c>
      <c r="U18" s="2687">
        <v>4807.553876408836</v>
      </c>
      <c r="V18" s="2687">
        <v>4199.6506607678239</v>
      </c>
      <c r="W18" s="2687">
        <v>4112.7434605618328</v>
      </c>
      <c r="X18" s="2687">
        <v>4683.8504888224052</v>
      </c>
      <c r="Y18" s="2687">
        <v>4658.9992741215865</v>
      </c>
      <c r="Z18" s="2687">
        <v>4190.6287963194291</v>
      </c>
      <c r="AA18" s="2687">
        <v>3938.8512725084115</v>
      </c>
      <c r="AB18" s="2687">
        <v>2999.3717479872739</v>
      </c>
      <c r="AC18" s="2687">
        <v>2749.7532059051605</v>
      </c>
      <c r="AD18" s="2687">
        <v>2380.0018681140828</v>
      </c>
      <c r="AE18" s="2687">
        <v>3200.6897223084206</v>
      </c>
      <c r="AF18" s="2687">
        <v>4014.7991485580919</v>
      </c>
      <c r="AG18" s="2687">
        <v>3600.793245135902</v>
      </c>
      <c r="AH18" s="2687">
        <v>3473.5743224381781</v>
      </c>
      <c r="AI18" s="2687">
        <v>3578.4465937215859</v>
      </c>
      <c r="AJ18" s="2687">
        <v>2864.6504146204347</v>
      </c>
      <c r="AK18" s="2687">
        <v>2245.3185109850751</v>
      </c>
      <c r="AL18" s="2687">
        <v>2986.62155512755</v>
      </c>
      <c r="AM18" s="2687">
        <v>2551.4804127206976</v>
      </c>
      <c r="AN18" s="2687">
        <v>2871.6172360078181</v>
      </c>
      <c r="AO18" s="2687">
        <v>2450.7890614069415</v>
      </c>
      <c r="AP18" s="2687">
        <v>2578.0110010162566</v>
      </c>
      <c r="AQ18" s="2687">
        <v>3219.4995619170936</v>
      </c>
      <c r="AR18" s="2687">
        <v>4186.559686724876</v>
      </c>
      <c r="AS18" s="2687">
        <v>3774.4791054034795</v>
      </c>
      <c r="AT18" s="2687">
        <v>2956.2754556416007</v>
      </c>
      <c r="AU18" s="2687">
        <v>3759.2295274516378</v>
      </c>
      <c r="AV18" s="2687">
        <v>3169.7915749379449</v>
      </c>
      <c r="AW18" s="2687">
        <v>3925.5597039009649</v>
      </c>
      <c r="AX18" s="2687">
        <v>4535.0084935781133</v>
      </c>
      <c r="AY18" s="2687">
        <v>4571.1331126733194</v>
      </c>
      <c r="AZ18" s="2687">
        <v>3996.7730959439946</v>
      </c>
      <c r="BA18" s="2687">
        <v>3843.5433813934355</v>
      </c>
      <c r="BB18" s="2687">
        <v>3887.1489866648726</v>
      </c>
      <c r="BC18" s="2687">
        <v>4262.4690565366864</v>
      </c>
      <c r="BD18" s="2687">
        <v>4479.2739591117106</v>
      </c>
      <c r="BE18" s="2687">
        <v>4187.8941171944243</v>
      </c>
      <c r="BF18" s="2687">
        <v>3529.5217581596594</v>
      </c>
      <c r="BG18" s="2687">
        <v>5154.0410205675198</v>
      </c>
      <c r="BH18" s="2687">
        <v>5285.9339278336802</v>
      </c>
      <c r="BI18" s="2687">
        <v>4865.3473686469806</v>
      </c>
    </row>
    <row r="19" spans="1:61" ht="18" customHeight="1" x14ac:dyDescent="0.3">
      <c r="A19" s="2658"/>
      <c r="B19" s="2658"/>
      <c r="C19" s="2724"/>
      <c r="D19" s="2724"/>
      <c r="E19" s="2724"/>
      <c r="F19" s="2724"/>
      <c r="G19" s="2724"/>
      <c r="H19" s="2724"/>
      <c r="I19" s="2724"/>
      <c r="J19" s="2724"/>
      <c r="K19" s="2724"/>
      <c r="L19" s="2724"/>
      <c r="M19" s="2724"/>
      <c r="N19" s="2724"/>
      <c r="O19" s="2724"/>
      <c r="P19" s="2724"/>
      <c r="Q19" s="2724"/>
      <c r="R19" s="2724"/>
      <c r="S19" s="2724"/>
      <c r="T19" s="2724"/>
      <c r="U19" s="2724"/>
      <c r="V19" s="2724"/>
      <c r="W19" s="2724"/>
      <c r="X19" s="2724"/>
      <c r="Y19" s="2724"/>
      <c r="Z19" s="2724"/>
      <c r="AA19" s="2724"/>
      <c r="AB19" s="2724"/>
      <c r="AC19" s="2724"/>
      <c r="AD19" s="2724"/>
      <c r="AE19" s="2724"/>
      <c r="AF19" s="2724"/>
      <c r="AG19" s="2724"/>
      <c r="AH19" s="2724"/>
      <c r="AI19" s="2724"/>
      <c r="AJ19" s="2724"/>
      <c r="AK19" s="2724"/>
      <c r="AL19" s="2724"/>
      <c r="AM19" s="2724"/>
      <c r="AN19" s="2724"/>
      <c r="AO19" s="2724"/>
      <c r="AP19" s="2724"/>
      <c r="AQ19" s="2724"/>
      <c r="AR19" s="2724"/>
      <c r="AS19" s="2724"/>
      <c r="AT19" s="2724"/>
      <c r="AU19" s="2724"/>
      <c r="AV19" s="2724"/>
      <c r="AW19" s="2724"/>
      <c r="AX19" s="2724"/>
      <c r="AY19" s="2724"/>
      <c r="AZ19" s="2724"/>
      <c r="BA19" s="2724"/>
      <c r="BB19" s="2724"/>
      <c r="BC19" s="2724"/>
      <c r="BD19" s="2724"/>
      <c r="BE19" s="2724"/>
      <c r="BF19" s="2724"/>
      <c r="BG19" s="2724"/>
      <c r="BH19" s="2724"/>
      <c r="BI19" s="2724"/>
    </row>
    <row r="20" spans="1:61" ht="18" customHeight="1" x14ac:dyDescent="0.3">
      <c r="A20" s="2655" t="s">
        <v>2527</v>
      </c>
      <c r="B20" s="2655" t="s">
        <v>2530</v>
      </c>
      <c r="C20" s="2687">
        <v>17124.1534444516</v>
      </c>
      <c r="D20" s="2687">
        <v>17387.004475093752</v>
      </c>
      <c r="E20" s="2687">
        <v>17480.373507102853</v>
      </c>
      <c r="F20" s="2687">
        <v>18880.59577878311</v>
      </c>
      <c r="G20" s="2687">
        <v>19772.350756399792</v>
      </c>
      <c r="H20" s="2687">
        <v>19375.875493271189</v>
      </c>
      <c r="I20" s="2687">
        <v>20209.57726746341</v>
      </c>
      <c r="J20" s="2726">
        <v>20107.363307970078</v>
      </c>
      <c r="K20" s="2687">
        <v>19626.674306006345</v>
      </c>
      <c r="L20" s="2687">
        <v>25625.003998532386</v>
      </c>
      <c r="M20" s="2687">
        <v>20229.791210376086</v>
      </c>
      <c r="N20" s="2687">
        <v>13692.501802548008</v>
      </c>
      <c r="O20" s="2687">
        <v>13167.280321686601</v>
      </c>
      <c r="P20" s="2687">
        <v>13276.916430429383</v>
      </c>
      <c r="Q20" s="2687">
        <v>15709.527810514972</v>
      </c>
      <c r="R20" s="2687">
        <v>18406.097617916701</v>
      </c>
      <c r="S20" s="2687">
        <v>16684.635220977005</v>
      </c>
      <c r="T20" s="2687">
        <v>18208.3</v>
      </c>
      <c r="U20" s="2687">
        <v>22351.503204308618</v>
      </c>
      <c r="V20" s="2687">
        <v>22793.663781780338</v>
      </c>
      <c r="W20" s="2687">
        <v>26910.501744209832</v>
      </c>
      <c r="X20" s="2687">
        <v>26764.674456249071</v>
      </c>
      <c r="Y20" s="2687">
        <v>29035.718389169582</v>
      </c>
      <c r="Z20" s="2687">
        <v>30437.261802830217</v>
      </c>
      <c r="AA20" s="2687">
        <v>30214.232700746641</v>
      </c>
      <c r="AB20" s="2687">
        <v>32665.984429435379</v>
      </c>
      <c r="AC20" s="2687">
        <v>24857.823151971599</v>
      </c>
      <c r="AD20" s="2687">
        <v>27545.983244919938</v>
      </c>
      <c r="AE20" s="2687">
        <v>22077.554442707245</v>
      </c>
      <c r="AF20" s="2687">
        <v>26041.148231708707</v>
      </c>
      <c r="AG20" s="2687">
        <v>28312.750196300727</v>
      </c>
      <c r="AH20" s="2687">
        <v>33392.170831508505</v>
      </c>
      <c r="AI20" s="2687">
        <v>25983.86624887009</v>
      </c>
      <c r="AJ20" s="2687">
        <v>25047.162624934746</v>
      </c>
      <c r="AK20" s="2687">
        <v>26204.490141285343</v>
      </c>
      <c r="AL20" s="2687">
        <v>30524.576640195963</v>
      </c>
      <c r="AM20" s="2687">
        <v>24373.748313470722</v>
      </c>
      <c r="AN20" s="2687">
        <v>26848.325939390823</v>
      </c>
      <c r="AO20" s="2687">
        <v>28667.738854345422</v>
      </c>
      <c r="AP20" s="2687">
        <v>30340.941376314902</v>
      </c>
      <c r="AQ20" s="2687">
        <v>34059.659345527376</v>
      </c>
      <c r="AR20" s="2687">
        <v>32436.333767281638</v>
      </c>
      <c r="AS20" s="2687">
        <v>27399.479232437305</v>
      </c>
      <c r="AT20" s="2687">
        <v>27360.027053984268</v>
      </c>
      <c r="AU20" s="2687">
        <v>24427.216048603306</v>
      </c>
      <c r="AV20" s="2687">
        <v>23025.487397001576</v>
      </c>
      <c r="AW20" s="2687">
        <v>21076.1768899093</v>
      </c>
      <c r="AX20" s="2687">
        <v>24436.96975738028</v>
      </c>
      <c r="AY20" s="2687">
        <v>22069.406403781733</v>
      </c>
      <c r="AZ20" s="2687">
        <v>27152.787678890207</v>
      </c>
      <c r="BA20" s="2687">
        <v>25122.088403735248</v>
      </c>
      <c r="BB20" s="2687">
        <v>26611.962965123923</v>
      </c>
      <c r="BC20" s="2687">
        <v>29997.794230452648</v>
      </c>
      <c r="BD20" s="2687">
        <v>26723.557588868513</v>
      </c>
      <c r="BE20" s="2687">
        <v>27468.324334368132</v>
      </c>
      <c r="BF20" s="2687">
        <v>27570.750013807214</v>
      </c>
      <c r="BG20" s="2687">
        <v>27267.147481230801</v>
      </c>
      <c r="BH20" s="2687">
        <v>30494.04979619999</v>
      </c>
      <c r="BI20" s="2687">
        <v>32775.938160071841</v>
      </c>
    </row>
    <row r="21" spans="1:61" ht="18" customHeight="1" x14ac:dyDescent="0.3">
      <c r="A21" s="2658"/>
      <c r="B21" s="2658"/>
      <c r="C21" s="2724"/>
      <c r="D21" s="2724"/>
      <c r="E21" s="2724"/>
      <c r="F21" s="2724"/>
      <c r="G21" s="2724"/>
      <c r="H21" s="2724"/>
      <c r="I21" s="2724"/>
      <c r="J21" s="2724"/>
      <c r="K21" s="2724"/>
      <c r="L21" s="2724"/>
      <c r="M21" s="2724"/>
      <c r="N21" s="2724"/>
      <c r="O21" s="2724"/>
      <c r="P21" s="2724"/>
      <c r="Q21" s="2724"/>
      <c r="R21" s="2724"/>
      <c r="S21" s="2724"/>
      <c r="T21" s="2724"/>
      <c r="U21" s="2724"/>
      <c r="V21" s="2724"/>
      <c r="W21" s="2724"/>
      <c r="X21" s="2724"/>
      <c r="Y21" s="2724"/>
      <c r="Z21" s="2724"/>
      <c r="AA21" s="2724"/>
      <c r="AB21" s="2724"/>
      <c r="AC21" s="2724"/>
      <c r="AD21" s="2724"/>
      <c r="AE21" s="2724"/>
      <c r="AF21" s="2724"/>
      <c r="AG21" s="2724"/>
      <c r="AH21" s="2724"/>
      <c r="AI21" s="2724"/>
      <c r="AJ21" s="2724"/>
      <c r="AK21" s="2724"/>
      <c r="AL21" s="2724"/>
      <c r="AM21" s="2724"/>
      <c r="AN21" s="2724"/>
      <c r="AO21" s="2724"/>
      <c r="AP21" s="2724"/>
      <c r="AQ21" s="2724"/>
      <c r="AR21" s="2724"/>
      <c r="AS21" s="2724"/>
      <c r="AT21" s="2724"/>
      <c r="AU21" s="2724"/>
      <c r="AV21" s="2724"/>
      <c r="AW21" s="2724"/>
      <c r="AX21" s="2724"/>
      <c r="AY21" s="2724"/>
      <c r="AZ21" s="2724"/>
      <c r="BA21" s="2724"/>
      <c r="BB21" s="2724"/>
      <c r="BC21" s="2724"/>
      <c r="BD21" s="2724"/>
      <c r="BE21" s="2724"/>
      <c r="BF21" s="2724"/>
      <c r="BG21" s="2724"/>
      <c r="BH21" s="2724"/>
      <c r="BI21" s="2724"/>
    </row>
    <row r="22" spans="1:61" ht="18" customHeight="1" x14ac:dyDescent="0.3">
      <c r="A22" s="2655" t="s">
        <v>2529</v>
      </c>
      <c r="B22" s="2655" t="s">
        <v>2532</v>
      </c>
      <c r="C22" s="2687">
        <v>16783.066562153781</v>
      </c>
      <c r="D22" s="2687">
        <v>16662.990106930913</v>
      </c>
      <c r="E22" s="2687">
        <v>16714.808306037146</v>
      </c>
      <c r="F22" s="2687">
        <v>16933.391592858621</v>
      </c>
      <c r="G22" s="2687">
        <v>16965.380737863452</v>
      </c>
      <c r="H22" s="2687">
        <v>16894.259150927344</v>
      </c>
      <c r="I22" s="2687">
        <v>17244.552747367612</v>
      </c>
      <c r="J22" s="2687">
        <v>17176.067642631057</v>
      </c>
      <c r="K22" s="2687">
        <v>17714.909966183142</v>
      </c>
      <c r="L22" s="2687">
        <v>17779.359580064644</v>
      </c>
      <c r="M22" s="2687">
        <v>17729.429084550167</v>
      </c>
      <c r="N22" s="2687">
        <v>17596.792098551497</v>
      </c>
      <c r="O22" s="2687">
        <v>17502.197926633598</v>
      </c>
      <c r="P22" s="2687">
        <v>17546.488043785972</v>
      </c>
      <c r="Q22" s="2687">
        <v>17729.666947954731</v>
      </c>
      <c r="R22" s="2687">
        <v>17959.552263226153</v>
      </c>
      <c r="S22" s="2687">
        <v>17891.487368666632</v>
      </c>
      <c r="T22" s="2687">
        <v>17933.400000000001</v>
      </c>
      <c r="U22" s="2687">
        <v>17891.033263811409</v>
      </c>
      <c r="V22" s="2687">
        <v>17814.994206171017</v>
      </c>
      <c r="W22" s="2687">
        <v>18016.92987628323</v>
      </c>
      <c r="X22" s="2687">
        <v>17944.85720544224</v>
      </c>
      <c r="Y22" s="2687">
        <v>17829.534681573681</v>
      </c>
      <c r="Z22" s="2687">
        <v>18338.213278480045</v>
      </c>
      <c r="AA22" s="2687">
        <v>18192.769241368547</v>
      </c>
      <c r="AB22" s="2687">
        <v>18293.555926414694</v>
      </c>
      <c r="AC22" s="2687">
        <v>18251.359706277355</v>
      </c>
      <c r="AD22" s="2687">
        <v>18013.301744553763</v>
      </c>
      <c r="AE22" s="2687">
        <v>17932.255108175697</v>
      </c>
      <c r="AF22" s="2687">
        <v>17603.69697145218</v>
      </c>
      <c r="AG22" s="2687">
        <v>17584.518517895722</v>
      </c>
      <c r="AH22" s="2687">
        <v>17504.719826677381</v>
      </c>
      <c r="AI22" s="2687">
        <v>17963.073158406212</v>
      </c>
      <c r="AJ22" s="2687">
        <v>18054.004581106044</v>
      </c>
      <c r="AK22" s="2687">
        <v>18088.185566461289</v>
      </c>
      <c r="AL22" s="2687">
        <v>17684.155754636617</v>
      </c>
      <c r="AM22" s="2687">
        <v>18002.184540297701</v>
      </c>
      <c r="AN22" s="2687">
        <v>17941.773998696277</v>
      </c>
      <c r="AO22" s="2687">
        <v>18136.154827307884</v>
      </c>
      <c r="AP22" s="2687">
        <v>17913.213300872489</v>
      </c>
      <c r="AQ22" s="2687">
        <v>17660.932726467836</v>
      </c>
      <c r="AR22" s="2687">
        <v>18386.416719178509</v>
      </c>
      <c r="AS22" s="2687">
        <v>18175.252952294722</v>
      </c>
      <c r="AT22" s="2687">
        <v>18240.732494151896</v>
      </c>
      <c r="AU22" s="2687">
        <v>18854.516156780202</v>
      </c>
      <c r="AV22" s="2687">
        <v>18773.065889443664</v>
      </c>
      <c r="AW22" s="2687">
        <v>18587.471071871409</v>
      </c>
      <c r="AX22" s="2687">
        <v>18498.112775669197</v>
      </c>
      <c r="AY22" s="2687">
        <v>18346.422891565093</v>
      </c>
      <c r="AZ22" s="2687">
        <v>18167.810689382826</v>
      </c>
      <c r="BA22" s="2687">
        <v>18207.448656845278</v>
      </c>
      <c r="BB22" s="2687">
        <v>18264.673789199089</v>
      </c>
      <c r="BC22" s="2687">
        <v>18305.290691155213</v>
      </c>
      <c r="BD22" s="2687">
        <v>18249.479973366248</v>
      </c>
      <c r="BE22" s="2687">
        <v>18681.985067619302</v>
      </c>
      <c r="BF22" s="2687">
        <v>18814.52119317661</v>
      </c>
      <c r="BG22" s="2687">
        <v>19525.500580756314</v>
      </c>
      <c r="BH22" s="2687">
        <v>19636.461279091949</v>
      </c>
      <c r="BI22" s="2687">
        <v>19642.296457963348</v>
      </c>
    </row>
    <row r="23" spans="1:61" ht="18" customHeight="1" x14ac:dyDescent="0.3">
      <c r="A23" s="2658"/>
      <c r="B23" s="2658"/>
      <c r="C23" s="2693"/>
      <c r="D23" s="2693"/>
      <c r="E23" s="2693"/>
      <c r="F23" s="2693"/>
      <c r="G23" s="2693"/>
      <c r="H23" s="2693"/>
      <c r="I23" s="2693"/>
      <c r="J23" s="2693"/>
      <c r="K23" s="2693"/>
      <c r="L23" s="2693"/>
      <c r="M23" s="2693"/>
      <c r="N23" s="2693"/>
      <c r="O23" s="2693"/>
      <c r="P23" s="2693"/>
      <c r="Q23" s="2693"/>
      <c r="R23" s="2693"/>
      <c r="S23" s="2693"/>
      <c r="T23" s="2693"/>
      <c r="U23" s="2693"/>
      <c r="V23" s="2693"/>
      <c r="W23" s="2693"/>
      <c r="X23" s="2693"/>
      <c r="Y23" s="2693"/>
      <c r="Z23" s="2693"/>
      <c r="AA23" s="2693"/>
      <c r="AB23" s="2693"/>
      <c r="AC23" s="2693"/>
      <c r="AD23" s="2693"/>
      <c r="AE23" s="2693"/>
      <c r="AF23" s="2693"/>
      <c r="AG23" s="2693"/>
      <c r="AH23" s="2693"/>
      <c r="AI23" s="2693"/>
      <c r="AJ23" s="2693"/>
      <c r="AK23" s="2693"/>
      <c r="AL23" s="2693"/>
      <c r="AM23" s="2693"/>
      <c r="AN23" s="2693"/>
      <c r="AO23" s="2693"/>
      <c r="AP23" s="2693"/>
      <c r="AQ23" s="2693"/>
      <c r="AR23" s="2693"/>
      <c r="AS23" s="2693"/>
      <c r="AT23" s="2693"/>
      <c r="AU23" s="2693"/>
      <c r="AV23" s="2693"/>
      <c r="AW23" s="2693"/>
      <c r="AX23" s="2693"/>
      <c r="AY23" s="2693"/>
      <c r="AZ23" s="2693"/>
      <c r="BA23" s="2693"/>
      <c r="BB23" s="2693"/>
      <c r="BC23" s="2693"/>
      <c r="BD23" s="2693"/>
      <c r="BE23" s="2693"/>
      <c r="BF23" s="2693"/>
      <c r="BG23" s="2693"/>
      <c r="BH23" s="2693"/>
      <c r="BI23" s="2693"/>
    </row>
    <row r="24" spans="1:61" ht="18" customHeight="1" x14ac:dyDescent="0.3">
      <c r="A24" s="2655"/>
      <c r="B24" s="2655" t="s">
        <v>1060</v>
      </c>
      <c r="C24" s="2687">
        <v>1365617.8868358212</v>
      </c>
      <c r="D24" s="2687">
        <v>1352899.4840214273</v>
      </c>
      <c r="E24" s="2687">
        <v>1347793.6571326193</v>
      </c>
      <c r="F24" s="2687">
        <v>1345907.5620222194</v>
      </c>
      <c r="G24" s="2687">
        <v>1409571.0954317953</v>
      </c>
      <c r="H24" s="2687">
        <v>1382124.0103554248</v>
      </c>
      <c r="I24" s="2687">
        <v>1401974.9421275225</v>
      </c>
      <c r="J24" s="2687">
        <v>1390782.2097556328</v>
      </c>
      <c r="K24" s="2687">
        <v>1415355.9517944218</v>
      </c>
      <c r="L24" s="2687">
        <v>1458048.7956527267</v>
      </c>
      <c r="M24" s="2687">
        <v>1431901.7014428016</v>
      </c>
      <c r="N24" s="2687">
        <v>1445319.2370927532</v>
      </c>
      <c r="O24" s="2687">
        <v>1478965.3685137553</v>
      </c>
      <c r="P24" s="2687">
        <v>1550497.1388212512</v>
      </c>
      <c r="Q24" s="2687">
        <v>1527168.1696811719</v>
      </c>
      <c r="R24" s="2687">
        <v>1546656.2380080998</v>
      </c>
      <c r="S24" s="2687">
        <v>1569150.0222901902</v>
      </c>
      <c r="T24" s="2687">
        <v>1606181.3</v>
      </c>
      <c r="U24" s="2687">
        <v>1645107.2784188152</v>
      </c>
      <c r="V24" s="2687">
        <v>1650047.9162514766</v>
      </c>
      <c r="W24" s="2687">
        <v>1686367.4727960858</v>
      </c>
      <c r="X24" s="2687">
        <v>1650434.5927597787</v>
      </c>
      <c r="Y24" s="2687">
        <v>1741019.117012599</v>
      </c>
      <c r="Z24" s="2687">
        <v>1732317.4066350746</v>
      </c>
      <c r="AA24" s="2687">
        <v>1663606.6520986662</v>
      </c>
      <c r="AB24" s="2687">
        <v>1709197.6267093744</v>
      </c>
      <c r="AC24" s="2687">
        <v>1712098.6722167726</v>
      </c>
      <c r="AD24" s="2687">
        <v>1775301.1514109641</v>
      </c>
      <c r="AE24" s="2687">
        <v>1813310.0508268164</v>
      </c>
      <c r="AF24" s="2687">
        <v>1840174.7528254709</v>
      </c>
      <c r="AG24" s="2687">
        <v>1799573.7927370011</v>
      </c>
      <c r="AH24" s="2687">
        <v>1874524.5639616877</v>
      </c>
      <c r="AI24" s="2687">
        <v>1910601.5130892256</v>
      </c>
      <c r="AJ24" s="2687">
        <v>1897428.0696848023</v>
      </c>
      <c r="AK24" s="2687">
        <v>1955776.7928672861</v>
      </c>
      <c r="AL24" s="2687">
        <v>1949478.3508074561</v>
      </c>
      <c r="AM24" s="2687">
        <v>1967174.0846587676</v>
      </c>
      <c r="AN24" s="2687">
        <v>1948561.2807959497</v>
      </c>
      <c r="AO24" s="2687">
        <v>2020940.8212364009</v>
      </c>
      <c r="AP24" s="2687">
        <v>1970590.2394716062</v>
      </c>
      <c r="AQ24" s="2687">
        <v>2022264.9227077744</v>
      </c>
      <c r="AR24" s="2687">
        <v>2056383.9313377992</v>
      </c>
      <c r="AS24" s="2687">
        <v>2029666.2872193174</v>
      </c>
      <c r="AT24" s="2687">
        <v>2010365.9614354712</v>
      </c>
      <c r="AU24" s="2687">
        <v>2060400.0335260895</v>
      </c>
      <c r="AV24" s="2687">
        <v>2078111.5677110201</v>
      </c>
      <c r="AW24" s="2687">
        <v>2118430.869374943</v>
      </c>
      <c r="AX24" s="2687">
        <v>2175975.3104783837</v>
      </c>
      <c r="AY24" s="2687">
        <v>2177217.1916438555</v>
      </c>
      <c r="AZ24" s="2687">
        <v>2232675.6995946588</v>
      </c>
      <c r="BA24" s="2687">
        <v>2188953.4296710375</v>
      </c>
      <c r="BB24" s="2687">
        <v>2271965.9639522885</v>
      </c>
      <c r="BC24" s="2687">
        <v>2370603.9845756744</v>
      </c>
      <c r="BD24" s="2687">
        <v>2247364.5295274374</v>
      </c>
      <c r="BE24" s="2687">
        <v>2274182.9056037143</v>
      </c>
      <c r="BF24" s="2687">
        <v>2267872.3273218372</v>
      </c>
      <c r="BG24" s="2687">
        <v>2254975.3808080256</v>
      </c>
      <c r="BH24" s="2687">
        <v>2337900.7274124711</v>
      </c>
      <c r="BI24" s="2687">
        <v>2279717.5201917677</v>
      </c>
    </row>
    <row r="25" spans="1:61" thickBot="1" x14ac:dyDescent="0.35">
      <c r="A25" s="2663"/>
      <c r="B25" s="2663"/>
      <c r="C25" s="2727"/>
      <c r="D25" s="2727"/>
      <c r="E25" s="2727"/>
      <c r="F25" s="2727"/>
      <c r="G25" s="2727"/>
      <c r="H25" s="2727"/>
      <c r="I25" s="2727"/>
      <c r="J25" s="2727"/>
      <c r="K25" s="2727"/>
      <c r="L25" s="2727"/>
      <c r="M25" s="2727"/>
      <c r="N25" s="2727"/>
      <c r="O25" s="2727"/>
      <c r="P25" s="2727"/>
      <c r="Q25" s="2727"/>
      <c r="R25" s="2727"/>
      <c r="S25" s="2727"/>
      <c r="T25" s="2727"/>
      <c r="U25" s="2727"/>
      <c r="V25" s="2727"/>
      <c r="W25" s="2727"/>
      <c r="X25" s="2727"/>
      <c r="Y25" s="2727"/>
      <c r="Z25" s="2727"/>
      <c r="AA25" s="2727"/>
      <c r="AB25" s="2727"/>
      <c r="AC25" s="2727"/>
      <c r="AD25" s="2727"/>
      <c r="AE25" s="2727"/>
      <c r="AF25" s="2727"/>
      <c r="AG25" s="2727"/>
      <c r="AH25" s="2727"/>
      <c r="AI25" s="2727"/>
      <c r="AJ25" s="2727"/>
      <c r="AK25" s="2727"/>
      <c r="AL25" s="2727"/>
      <c r="AM25" s="2727"/>
      <c r="AN25" s="2727"/>
      <c r="AO25" s="2727"/>
      <c r="AP25" s="2727"/>
      <c r="AQ25" s="2727"/>
      <c r="AR25" s="2727"/>
      <c r="AS25" s="2727"/>
      <c r="AT25" s="2727"/>
      <c r="AU25" s="2727"/>
      <c r="AV25" s="2727"/>
      <c r="AW25" s="2727"/>
      <c r="AX25" s="2727"/>
      <c r="AY25" s="2727"/>
      <c r="AZ25" s="2727"/>
      <c r="BA25" s="2727"/>
      <c r="BB25" s="2727"/>
      <c r="BC25" s="2727"/>
      <c r="BD25" s="2727"/>
      <c r="BE25" s="2727"/>
      <c r="BF25" s="2727"/>
      <c r="BG25" s="2727"/>
      <c r="BH25" s="2727"/>
      <c r="BI25" s="2727"/>
    </row>
    <row r="26" spans="1:61" ht="18" hidden="1" thickTop="1" x14ac:dyDescent="0.3">
      <c r="A26" s="2728"/>
      <c r="B26" s="2728"/>
      <c r="C26" s="2729"/>
      <c r="D26" s="2729"/>
      <c r="E26" s="2729"/>
      <c r="F26" s="2729"/>
      <c r="G26" s="2729"/>
      <c r="H26" s="2729"/>
      <c r="I26" s="2729"/>
      <c r="J26" s="2729"/>
      <c r="K26" s="2729"/>
      <c r="L26" s="2729"/>
      <c r="M26" s="2729"/>
      <c r="N26" s="2729"/>
      <c r="O26" s="2729"/>
      <c r="P26" s="2729"/>
      <c r="Q26" s="2729"/>
      <c r="R26" s="2729"/>
      <c r="S26" s="2729"/>
      <c r="T26" s="2729"/>
      <c r="U26" s="2729"/>
      <c r="V26" s="2729"/>
      <c r="W26" s="2729"/>
      <c r="X26" s="2729"/>
      <c r="Y26" s="2729"/>
      <c r="Z26" s="2729"/>
      <c r="AA26" s="2729"/>
      <c r="AB26" s="2729"/>
      <c r="AC26" s="2729"/>
      <c r="AD26" s="2729"/>
      <c r="AE26" s="2729"/>
      <c r="AF26" s="2729"/>
      <c r="AG26" s="2729"/>
      <c r="AH26" s="2729"/>
      <c r="AI26" s="2729"/>
      <c r="AJ26" s="2729"/>
      <c r="AK26" s="2729"/>
      <c r="AL26" s="2729"/>
      <c r="AM26" s="2729"/>
      <c r="AN26" s="2729"/>
      <c r="AO26" s="2729"/>
      <c r="AP26" s="2729"/>
      <c r="AQ26" s="2729"/>
      <c r="AR26" s="2729"/>
      <c r="AS26" s="2729"/>
      <c r="AT26" s="2729"/>
      <c r="AU26" s="2729"/>
      <c r="AV26" s="2729"/>
      <c r="AW26" s="2729"/>
      <c r="AX26" s="2729"/>
      <c r="AY26" s="2729"/>
      <c r="AZ26" s="2729"/>
      <c r="BA26" s="2729"/>
      <c r="BB26" s="2729"/>
      <c r="BC26" s="2729"/>
      <c r="BD26" s="2729"/>
      <c r="BE26" s="2729"/>
      <c r="BF26" s="2729"/>
      <c r="BG26" s="2729"/>
      <c r="BH26" s="2729"/>
      <c r="BI26" s="2729"/>
    </row>
    <row r="27" spans="1:61" ht="18" thickTop="1" x14ac:dyDescent="0.3">
      <c r="A27" s="2649"/>
      <c r="B27" s="2649"/>
      <c r="C27" s="2729"/>
      <c r="D27" s="2729"/>
      <c r="E27" s="2729"/>
      <c r="F27" s="2729"/>
      <c r="G27" s="2729"/>
      <c r="H27" s="2729"/>
      <c r="I27" s="2729"/>
      <c r="J27" s="2729"/>
      <c r="K27" s="2729"/>
      <c r="L27" s="2729"/>
      <c r="M27" s="2729"/>
      <c r="N27" s="2729"/>
      <c r="O27" s="2729"/>
      <c r="P27" s="2729"/>
      <c r="Q27" s="2729"/>
      <c r="R27" s="2729"/>
      <c r="S27" s="2729"/>
      <c r="T27" s="2729"/>
      <c r="U27" s="2729"/>
      <c r="V27" s="2729"/>
      <c r="W27" s="2729"/>
      <c r="X27" s="2729"/>
      <c r="Y27" s="2729"/>
      <c r="Z27" s="2729"/>
      <c r="AA27" s="2729"/>
      <c r="AB27" s="2729"/>
      <c r="AC27" s="2729"/>
      <c r="AD27" s="2729"/>
      <c r="AE27" s="2729"/>
      <c r="AF27" s="2729"/>
      <c r="AG27" s="2729"/>
      <c r="AH27" s="2729"/>
      <c r="AI27" s="2729"/>
      <c r="AJ27" s="2729"/>
      <c r="AK27" s="2729"/>
      <c r="AL27" s="2729"/>
      <c r="AM27" s="2729"/>
      <c r="AN27" s="2729"/>
      <c r="AO27" s="2729"/>
      <c r="AP27" s="2729"/>
      <c r="AQ27" s="2729"/>
      <c r="AR27" s="2729"/>
      <c r="AS27" s="2729"/>
      <c r="AT27" s="2729"/>
      <c r="AU27" s="2729"/>
      <c r="AV27" s="2729"/>
      <c r="AW27" s="2729"/>
      <c r="AX27" s="2729"/>
      <c r="AY27" s="2729"/>
      <c r="AZ27" s="2729"/>
      <c r="BA27" s="2729"/>
      <c r="BB27" s="2729"/>
      <c r="BC27" s="2729"/>
      <c r="BD27" s="2729"/>
      <c r="BE27" s="2729"/>
      <c r="BF27" s="2729"/>
      <c r="BG27" s="2729"/>
      <c r="BH27" s="2729"/>
      <c r="BI27" s="2729"/>
    </row>
    <row r="28" spans="1:61" ht="18" thickBot="1" x14ac:dyDescent="0.35">
      <c r="A28" s="2730"/>
      <c r="B28" s="2730"/>
      <c r="C28" s="2731"/>
      <c r="D28" s="2731"/>
      <c r="E28" s="2731"/>
      <c r="F28" s="2731"/>
      <c r="G28" s="2731"/>
      <c r="H28" s="2731"/>
      <c r="I28" s="2731"/>
      <c r="J28" s="2731"/>
      <c r="K28" s="2731"/>
      <c r="S28" s="1694"/>
      <c r="X28" s="1694"/>
      <c r="AE28" s="1694"/>
      <c r="AR28" s="1694"/>
      <c r="AS28" s="1694"/>
      <c r="AT28" s="1694"/>
      <c r="AU28" s="1694"/>
      <c r="AV28" s="1694"/>
      <c r="AW28" s="1694"/>
      <c r="AX28" s="1694"/>
      <c r="AY28" s="1694"/>
      <c r="AZ28" s="1694"/>
      <c r="BA28" s="1694"/>
      <c r="BB28" s="1694"/>
      <c r="BC28" s="1694"/>
      <c r="BD28" s="1694"/>
      <c r="BE28" s="1694"/>
      <c r="BF28" s="1694"/>
      <c r="BG28" s="1694"/>
      <c r="BH28" s="1694"/>
      <c r="BI28" s="1694" t="s">
        <v>281</v>
      </c>
    </row>
    <row r="29" spans="1:61" ht="24" customHeight="1" thickTop="1" thickBot="1" x14ac:dyDescent="0.35">
      <c r="A29" s="2651" t="s">
        <v>2502</v>
      </c>
      <c r="B29" s="2651" t="s">
        <v>791</v>
      </c>
      <c r="C29" s="2723">
        <v>43374</v>
      </c>
      <c r="D29" s="2723">
        <v>43405</v>
      </c>
      <c r="E29" s="2723">
        <v>43435</v>
      </c>
      <c r="F29" s="2723">
        <v>43466</v>
      </c>
      <c r="G29" s="2723">
        <v>43497</v>
      </c>
      <c r="H29" s="2723">
        <v>43525</v>
      </c>
      <c r="I29" s="2723">
        <v>43556</v>
      </c>
      <c r="J29" s="2723">
        <v>43586</v>
      </c>
      <c r="K29" s="2723">
        <v>43617</v>
      </c>
      <c r="L29" s="2723">
        <v>43647</v>
      </c>
      <c r="M29" s="2723">
        <v>43678</v>
      </c>
      <c r="N29" s="2723">
        <v>43709</v>
      </c>
      <c r="O29" s="2723">
        <v>43739</v>
      </c>
      <c r="P29" s="2723">
        <v>43770</v>
      </c>
      <c r="Q29" s="2723">
        <v>43800</v>
      </c>
      <c r="R29" s="2723">
        <v>43831</v>
      </c>
      <c r="S29" s="2652" t="s">
        <v>2590</v>
      </c>
      <c r="T29" s="2652" t="s">
        <v>477</v>
      </c>
      <c r="U29" s="2652" t="s">
        <v>2591</v>
      </c>
      <c r="V29" s="2652" t="s">
        <v>2592</v>
      </c>
      <c r="W29" s="2652" t="s">
        <v>313</v>
      </c>
      <c r="X29" s="2652" t="s">
        <v>314</v>
      </c>
      <c r="Y29" s="2652" t="s">
        <v>315</v>
      </c>
      <c r="Z29" s="2652" t="s">
        <v>316</v>
      </c>
      <c r="AA29" s="2652" t="s">
        <v>317</v>
      </c>
      <c r="AB29" s="2652" t="s">
        <v>318</v>
      </c>
      <c r="AC29" s="2652" t="s">
        <v>319</v>
      </c>
      <c r="AD29" s="2652" t="s">
        <v>320</v>
      </c>
      <c r="AE29" s="2652" t="s">
        <v>2593</v>
      </c>
      <c r="AF29" s="2652" t="s">
        <v>322</v>
      </c>
      <c r="AG29" s="2652" t="s">
        <v>323</v>
      </c>
      <c r="AH29" s="2652" t="s">
        <v>483</v>
      </c>
      <c r="AI29" s="2652" t="s">
        <v>484</v>
      </c>
      <c r="AJ29" s="2652" t="s">
        <v>2596</v>
      </c>
      <c r="AK29" s="2652" t="s">
        <v>2597</v>
      </c>
      <c r="AL29" s="2652" t="s">
        <v>2606</v>
      </c>
      <c r="AM29" s="2652" t="s">
        <v>485</v>
      </c>
      <c r="AN29" s="2652" t="s">
        <v>486</v>
      </c>
      <c r="AO29" s="2652" t="s">
        <v>487</v>
      </c>
      <c r="AP29" s="2652" t="s">
        <v>2598</v>
      </c>
      <c r="AQ29" s="2652">
        <v>44593</v>
      </c>
      <c r="AR29" s="2652">
        <v>44621</v>
      </c>
      <c r="AS29" s="2652">
        <v>44652</v>
      </c>
      <c r="AT29" s="2652">
        <v>44682</v>
      </c>
      <c r="AU29" s="2652">
        <v>44713</v>
      </c>
      <c r="AV29" s="2652">
        <v>44743</v>
      </c>
      <c r="AW29" s="2652">
        <v>44774</v>
      </c>
      <c r="AX29" s="2652">
        <v>44805</v>
      </c>
      <c r="AY29" s="2652">
        <v>44835</v>
      </c>
      <c r="AZ29" s="2652">
        <v>44866</v>
      </c>
      <c r="BA29" s="2652">
        <v>44896</v>
      </c>
      <c r="BB29" s="2652">
        <v>44927</v>
      </c>
      <c r="BC29" s="2652">
        <v>44958</v>
      </c>
      <c r="BD29" s="2652">
        <v>44986</v>
      </c>
      <c r="BE29" s="2652" t="s">
        <v>2599</v>
      </c>
      <c r="BF29" s="2652">
        <v>45047</v>
      </c>
      <c r="BG29" s="2652">
        <v>45078</v>
      </c>
      <c r="BH29" s="2652">
        <v>45108</v>
      </c>
      <c r="BI29" s="2652">
        <v>45139</v>
      </c>
    </row>
    <row r="30" spans="1:61" ht="18" customHeight="1" thickTop="1" x14ac:dyDescent="0.3">
      <c r="A30" s="2658"/>
      <c r="B30" s="2667"/>
      <c r="C30" s="2693"/>
      <c r="D30" s="2693"/>
      <c r="E30" s="2693"/>
      <c r="F30" s="2693"/>
      <c r="G30" s="2693"/>
      <c r="H30" s="2693"/>
      <c r="I30" s="2693"/>
      <c r="J30" s="2693"/>
      <c r="K30" s="2693"/>
      <c r="L30" s="2693"/>
      <c r="M30" s="2693"/>
      <c r="N30" s="2693"/>
      <c r="O30" s="2693"/>
      <c r="P30" s="2693"/>
      <c r="Q30" s="2693"/>
      <c r="R30" s="2693"/>
      <c r="S30" s="2693"/>
      <c r="T30" s="2693"/>
      <c r="U30" s="2693"/>
      <c r="V30" s="2693"/>
      <c r="W30" s="2693"/>
      <c r="X30" s="2693"/>
      <c r="Y30" s="2693"/>
      <c r="Z30" s="2693"/>
      <c r="AA30" s="2693"/>
      <c r="AB30" s="2693"/>
      <c r="AC30" s="2693"/>
      <c r="AD30" s="2693"/>
      <c r="AE30" s="2693"/>
      <c r="AF30" s="2693"/>
      <c r="AG30" s="2693"/>
      <c r="AH30" s="2693"/>
      <c r="AI30" s="2693"/>
      <c r="AJ30" s="2693"/>
      <c r="AK30" s="2693"/>
      <c r="AL30" s="2693"/>
      <c r="AM30" s="2693"/>
      <c r="AN30" s="2693"/>
      <c r="AO30" s="2693"/>
      <c r="AP30" s="2693"/>
      <c r="AQ30" s="2693"/>
      <c r="AR30" s="2693"/>
      <c r="AS30" s="2693"/>
      <c r="AT30" s="2693"/>
      <c r="AU30" s="2693"/>
      <c r="AV30" s="2693"/>
      <c r="AW30" s="2693"/>
      <c r="AX30" s="2693"/>
      <c r="AY30" s="2693"/>
      <c r="AZ30" s="2693"/>
      <c r="BA30" s="2693"/>
      <c r="BB30" s="2693"/>
      <c r="BC30" s="2693"/>
      <c r="BD30" s="2693"/>
      <c r="BE30" s="2693"/>
      <c r="BF30" s="2693"/>
      <c r="BG30" s="2693"/>
      <c r="BH30" s="2693"/>
      <c r="BI30" s="2693"/>
    </row>
    <row r="31" spans="1:61" ht="18" customHeight="1" x14ac:dyDescent="0.3">
      <c r="A31" s="2655" t="s">
        <v>2533</v>
      </c>
      <c r="B31" s="2655" t="s">
        <v>2607</v>
      </c>
      <c r="C31" s="2687">
        <v>1003466.3580728481</v>
      </c>
      <c r="D31" s="2687">
        <v>985825.42911876226</v>
      </c>
      <c r="E31" s="2687">
        <v>993369.63823581871</v>
      </c>
      <c r="F31" s="2687">
        <v>985565.37924373988</v>
      </c>
      <c r="G31" s="2687">
        <v>1053179.7089023883</v>
      </c>
      <c r="H31" s="2687">
        <v>1009110.9752867478</v>
      </c>
      <c r="I31" s="2687">
        <v>1035201.4607954381</v>
      </c>
      <c r="J31" s="2687">
        <v>1026121.6099641048</v>
      </c>
      <c r="K31" s="2687">
        <v>1030371.0829183606</v>
      </c>
      <c r="L31" s="2687">
        <v>1064072.370818259</v>
      </c>
      <c r="M31" s="2687">
        <v>1043539.6086825189</v>
      </c>
      <c r="N31" s="2687">
        <v>1055813.5645698449</v>
      </c>
      <c r="O31" s="2687">
        <v>1100337.7640602475</v>
      </c>
      <c r="P31" s="2687">
        <v>1164628.4610824005</v>
      </c>
      <c r="Q31" s="2687">
        <v>1148426.0217205626</v>
      </c>
      <c r="R31" s="2687">
        <v>1163870.4374500378</v>
      </c>
      <c r="S31" s="2687">
        <v>1186540.9297861627</v>
      </c>
      <c r="T31" s="2687">
        <v>1198205.4218182403</v>
      </c>
      <c r="U31" s="2687">
        <v>1203806.418329777</v>
      </c>
      <c r="V31" s="2687">
        <v>1212952.0876573164</v>
      </c>
      <c r="W31" s="2687">
        <v>1238594.9601729973</v>
      </c>
      <c r="X31" s="2687">
        <v>1209835.2488311327</v>
      </c>
      <c r="Y31" s="2687">
        <v>1299599.0469368689</v>
      </c>
      <c r="Z31" s="2687">
        <v>1293559.1728604105</v>
      </c>
      <c r="AA31" s="2687">
        <v>1241999.2029383248</v>
      </c>
      <c r="AB31" s="2687">
        <v>1284614.958036182</v>
      </c>
      <c r="AC31" s="2687">
        <v>1297597.480225516</v>
      </c>
      <c r="AD31" s="2687">
        <v>1350604.0030924445</v>
      </c>
      <c r="AE31" s="2687">
        <v>1377236.757756907</v>
      </c>
      <c r="AF31" s="2687">
        <v>1403420.9892368205</v>
      </c>
      <c r="AG31" s="2687">
        <v>1371249.8312604974</v>
      </c>
      <c r="AH31" s="2687">
        <v>1448793.8960295466</v>
      </c>
      <c r="AI31" s="2687">
        <v>1465410.2477605103</v>
      </c>
      <c r="AJ31" s="2687">
        <v>1457975.7331020078</v>
      </c>
      <c r="AK31" s="2687">
        <v>1505497.7463221201</v>
      </c>
      <c r="AL31" s="2687">
        <v>1537414.3903610837</v>
      </c>
      <c r="AM31" s="2687">
        <v>1541580.9760342427</v>
      </c>
      <c r="AN31" s="2687">
        <v>1521911.0400298734</v>
      </c>
      <c r="AO31" s="2687">
        <v>1574122.8787381533</v>
      </c>
      <c r="AP31" s="2687">
        <v>1516174.4287989871</v>
      </c>
      <c r="AQ31" s="2687">
        <v>1571797.8519995792</v>
      </c>
      <c r="AR31" s="2687">
        <v>1604252.9804771501</v>
      </c>
      <c r="AS31" s="2687">
        <v>1584985.4431441417</v>
      </c>
      <c r="AT31" s="2687">
        <v>1563577.0785084418</v>
      </c>
      <c r="AU31" s="2687">
        <v>1588626.2004023748</v>
      </c>
      <c r="AV31" s="2687">
        <v>1591592.8479578185</v>
      </c>
      <c r="AW31" s="2687">
        <v>1605672.8353683923</v>
      </c>
      <c r="AX31" s="2687">
        <v>1637869.7902066852</v>
      </c>
      <c r="AY31" s="2687">
        <v>1626898.886615742</v>
      </c>
      <c r="AZ31" s="2687">
        <v>1683637.7270129609</v>
      </c>
      <c r="BA31" s="2687">
        <v>1666646.1169471408</v>
      </c>
      <c r="BB31" s="2687">
        <v>1711450.5421716135</v>
      </c>
      <c r="BC31" s="2687">
        <v>1761686.0335959813</v>
      </c>
      <c r="BD31" s="2687">
        <v>1710043.7846744575</v>
      </c>
      <c r="BE31" s="2687">
        <v>1719278.274043988</v>
      </c>
      <c r="BF31" s="2687">
        <v>1716093.603613728</v>
      </c>
      <c r="BG31" s="2687">
        <v>1704551.4206578953</v>
      </c>
      <c r="BH31" s="2687">
        <v>1780256.9726022</v>
      </c>
      <c r="BI31" s="2687">
        <v>1703506.965399561</v>
      </c>
    </row>
    <row r="32" spans="1:61" ht="18" customHeight="1" x14ac:dyDescent="0.3">
      <c r="A32" s="2658" t="s">
        <v>2608</v>
      </c>
      <c r="B32" s="2658" t="s">
        <v>2609</v>
      </c>
      <c r="C32" s="2693">
        <v>684016.11894296249</v>
      </c>
      <c r="D32" s="2693">
        <v>682378.04571106599</v>
      </c>
      <c r="E32" s="2693">
        <v>690891.10797815153</v>
      </c>
      <c r="F32" s="2693">
        <v>683455.39443433646</v>
      </c>
      <c r="G32" s="2693">
        <v>734607.71920019027</v>
      </c>
      <c r="H32" s="2693">
        <v>713130.30463240796</v>
      </c>
      <c r="I32" s="2693">
        <v>732804.11482553033</v>
      </c>
      <c r="J32" s="2693">
        <v>725006.83099447738</v>
      </c>
      <c r="K32" s="2693">
        <v>725875.24979446107</v>
      </c>
      <c r="L32" s="2693">
        <v>746384.07412294135</v>
      </c>
      <c r="M32" s="2693">
        <v>735631.1107674815</v>
      </c>
      <c r="N32" s="2693">
        <v>731605.02390251122</v>
      </c>
      <c r="O32" s="2693">
        <v>770243.14127152518</v>
      </c>
      <c r="P32" s="2693">
        <v>836476.11776609824</v>
      </c>
      <c r="Q32" s="2693">
        <v>815485.01336853555</v>
      </c>
      <c r="R32" s="2693">
        <v>822451.47965343355</v>
      </c>
      <c r="S32" s="2693">
        <v>841107.24794872652</v>
      </c>
      <c r="T32" s="2693">
        <v>870101.32714155549</v>
      </c>
      <c r="U32" s="2693">
        <v>885748.23622033582</v>
      </c>
      <c r="V32" s="2693">
        <v>887641.56076104497</v>
      </c>
      <c r="W32" s="2693">
        <v>909407.36061140278</v>
      </c>
      <c r="X32" s="2693">
        <v>883729.07255011238</v>
      </c>
      <c r="Y32" s="2693">
        <v>980849.72483544645</v>
      </c>
      <c r="Z32" s="2693">
        <v>946543.53277816495</v>
      </c>
      <c r="AA32" s="2693">
        <v>921364.93943594652</v>
      </c>
      <c r="AB32" s="2693">
        <v>954684.68506130739</v>
      </c>
      <c r="AC32" s="2693">
        <v>950398.87402759143</v>
      </c>
      <c r="AD32" s="2693">
        <v>1007112.6728638929</v>
      </c>
      <c r="AE32" s="2693">
        <v>1015434.695668649</v>
      </c>
      <c r="AF32" s="2693">
        <v>1044998.1454919098</v>
      </c>
      <c r="AG32" s="2693">
        <v>1014626.5152618177</v>
      </c>
      <c r="AH32" s="2693">
        <v>1077278.9773685916</v>
      </c>
      <c r="AI32" s="2693">
        <v>1097509.3418378225</v>
      </c>
      <c r="AJ32" s="2693">
        <v>1090209.9288943661</v>
      </c>
      <c r="AK32" s="2693">
        <v>1121843.497728613</v>
      </c>
      <c r="AL32" s="2693">
        <v>1144326.4261812151</v>
      </c>
      <c r="AM32" s="2693">
        <v>1151648.9093914253</v>
      </c>
      <c r="AN32" s="2693">
        <v>1150657.8782428182</v>
      </c>
      <c r="AO32" s="2693">
        <v>1193254.334872172</v>
      </c>
      <c r="AP32" s="2693">
        <v>1150968.7398866145</v>
      </c>
      <c r="AQ32" s="2693">
        <v>1200947.8359743452</v>
      </c>
      <c r="AR32" s="2693">
        <v>1224556.0029449824</v>
      </c>
      <c r="AS32" s="2693">
        <v>1230058.5657656603</v>
      </c>
      <c r="AT32" s="2693">
        <v>1208836.8899762407</v>
      </c>
      <c r="AU32" s="2693">
        <v>1204889.8556838133</v>
      </c>
      <c r="AV32" s="2693">
        <v>1207946.9512709205</v>
      </c>
      <c r="AW32" s="2693">
        <v>1210471.2291564534</v>
      </c>
      <c r="AX32" s="2693">
        <v>1224629.9512922417</v>
      </c>
      <c r="AY32" s="2693">
        <v>1206105.9608079032</v>
      </c>
      <c r="AZ32" s="2693">
        <v>1221899.8589617598</v>
      </c>
      <c r="BA32" s="2693">
        <v>1147797.2546504354</v>
      </c>
      <c r="BB32" s="2693">
        <v>1204937.3283249417</v>
      </c>
      <c r="BC32" s="2693">
        <v>1229165.8624704415</v>
      </c>
      <c r="BD32" s="2693">
        <v>1173312.4148411974</v>
      </c>
      <c r="BE32" s="2693">
        <v>1182618.4998079021</v>
      </c>
      <c r="BF32" s="2693">
        <v>1154497.7084942027</v>
      </c>
      <c r="BG32" s="2693">
        <v>1150443.2319674327</v>
      </c>
      <c r="BH32" s="2693">
        <v>1209454.7665059003</v>
      </c>
      <c r="BI32" s="2693">
        <v>1130520.7734147378</v>
      </c>
    </row>
    <row r="33" spans="1:61" ht="18" customHeight="1" x14ac:dyDescent="0.3">
      <c r="A33" s="2658" t="s">
        <v>2610</v>
      </c>
      <c r="B33" s="2658" t="s">
        <v>2611</v>
      </c>
      <c r="C33" s="2693">
        <v>319450.23912988557</v>
      </c>
      <c r="D33" s="2693">
        <v>303447.38340769592</v>
      </c>
      <c r="E33" s="2693">
        <v>302478.53025766718</v>
      </c>
      <c r="F33" s="2693">
        <v>302109.98480940354</v>
      </c>
      <c r="G33" s="2693">
        <v>318571.98970219807</v>
      </c>
      <c r="H33" s="2693">
        <v>295980.67065433983</v>
      </c>
      <c r="I33" s="2693">
        <v>302397.34596990753</v>
      </c>
      <c r="J33" s="2693">
        <v>301114.7789696274</v>
      </c>
      <c r="K33" s="2693">
        <v>304495.83312389982</v>
      </c>
      <c r="L33" s="2693">
        <v>317688.29669531749</v>
      </c>
      <c r="M33" s="2693">
        <v>307908.4979150375</v>
      </c>
      <c r="N33" s="2693">
        <v>324208.54066733358</v>
      </c>
      <c r="O33" s="2693">
        <v>330094.62278872228</v>
      </c>
      <c r="P33" s="2693">
        <v>328152.34331630234</v>
      </c>
      <c r="Q33" s="2693">
        <v>332941.00835202687</v>
      </c>
      <c r="R33" s="2693">
        <v>341418.95779660426</v>
      </c>
      <c r="S33" s="2693">
        <v>345433.68183743628</v>
      </c>
      <c r="T33" s="2693">
        <v>328104.09467668447</v>
      </c>
      <c r="U33" s="2693">
        <v>318058.18210944097</v>
      </c>
      <c r="V33" s="2693">
        <v>325310.52689627139</v>
      </c>
      <c r="W33" s="2693">
        <v>329187.59956159454</v>
      </c>
      <c r="X33" s="2693">
        <v>326106.17628101975</v>
      </c>
      <c r="Y33" s="2693">
        <v>318749.32210142264</v>
      </c>
      <c r="Z33" s="2693">
        <v>347015.64008224534</v>
      </c>
      <c r="AA33" s="2693">
        <v>320634.26350237842</v>
      </c>
      <c r="AB33" s="2693">
        <v>329930.27297487471</v>
      </c>
      <c r="AC33" s="2693">
        <v>347198.60619792453</v>
      </c>
      <c r="AD33" s="2693">
        <v>343491.33022855176</v>
      </c>
      <c r="AE33" s="2693">
        <v>361802.0620882581</v>
      </c>
      <c r="AF33" s="2693">
        <v>358422.84374491125</v>
      </c>
      <c r="AG33" s="2693">
        <v>356623.31599867973</v>
      </c>
      <c r="AH33" s="2693">
        <v>371514.91866095521</v>
      </c>
      <c r="AI33" s="2693">
        <v>367900.90592268785</v>
      </c>
      <c r="AJ33" s="2693">
        <v>367765.80420764151</v>
      </c>
      <c r="AK33" s="2693">
        <v>383654.24859350728</v>
      </c>
      <c r="AL33" s="2693">
        <v>393087.96417986852</v>
      </c>
      <c r="AM33" s="2693">
        <v>389932.06664281723</v>
      </c>
      <c r="AN33" s="2693">
        <v>371253.16178705532</v>
      </c>
      <c r="AO33" s="2693">
        <v>380868.5438659818</v>
      </c>
      <c r="AP33" s="2693">
        <v>365205.68891237263</v>
      </c>
      <c r="AQ33" s="2693">
        <v>370850.01602523413</v>
      </c>
      <c r="AR33" s="2693">
        <v>379696.97753216804</v>
      </c>
      <c r="AS33" s="2693">
        <v>354926.87737848167</v>
      </c>
      <c r="AT33" s="2693">
        <v>354740.1885322007</v>
      </c>
      <c r="AU33" s="2693">
        <v>383736.34471856162</v>
      </c>
      <c r="AV33" s="2693">
        <v>383645.89668689825</v>
      </c>
      <c r="AW33" s="2693">
        <v>395201.60621193907</v>
      </c>
      <c r="AX33" s="2693">
        <v>413239.83891444333</v>
      </c>
      <c r="AY33" s="2693">
        <v>420792.92580783874</v>
      </c>
      <c r="AZ33" s="2693">
        <v>461737.86805120145</v>
      </c>
      <c r="BA33" s="2693">
        <v>518848.8622967056</v>
      </c>
      <c r="BB33" s="2693">
        <v>506513.21384667204</v>
      </c>
      <c r="BC33" s="2693">
        <v>532520.17112553993</v>
      </c>
      <c r="BD33" s="2693">
        <v>536731.36983325984</v>
      </c>
      <c r="BE33" s="2693">
        <v>536659.77423608582</v>
      </c>
      <c r="BF33" s="2693">
        <v>561595.89511952526</v>
      </c>
      <c r="BG33" s="2693">
        <v>554108.1886904625</v>
      </c>
      <c r="BH33" s="2693">
        <v>570802.20609630004</v>
      </c>
      <c r="BI33" s="2693">
        <v>572986.19198482332</v>
      </c>
    </row>
    <row r="34" spans="1:61" ht="18" customHeight="1" x14ac:dyDescent="0.3">
      <c r="A34" s="2658"/>
      <c r="B34" s="2658"/>
      <c r="C34" s="2732"/>
      <c r="D34" s="2732"/>
      <c r="E34" s="2732"/>
      <c r="F34" s="2732"/>
      <c r="G34" s="2732"/>
      <c r="H34" s="2732"/>
      <c r="I34" s="2732"/>
      <c r="J34" s="2732"/>
      <c r="K34" s="2732"/>
      <c r="L34" s="2732"/>
      <c r="M34" s="2732"/>
      <c r="N34" s="2732"/>
      <c r="O34" s="2732"/>
      <c r="P34" s="2732"/>
      <c r="Q34" s="2732"/>
      <c r="R34" s="2732"/>
      <c r="S34" s="2732"/>
      <c r="T34" s="2732"/>
      <c r="U34" s="2732"/>
      <c r="V34" s="2732"/>
      <c r="W34" s="2732"/>
      <c r="X34" s="2732"/>
      <c r="Y34" s="2732"/>
      <c r="Z34" s="2732"/>
      <c r="AA34" s="2732"/>
      <c r="AB34" s="2732"/>
      <c r="AC34" s="2732"/>
      <c r="AD34" s="2732"/>
      <c r="AE34" s="2732"/>
      <c r="AF34" s="2732"/>
      <c r="AG34" s="2732"/>
      <c r="AH34" s="2732"/>
      <c r="AI34" s="2732"/>
      <c r="AJ34" s="2732"/>
      <c r="AK34" s="2732"/>
      <c r="AL34" s="2732"/>
      <c r="AM34" s="2732"/>
      <c r="AN34" s="2732"/>
      <c r="AO34" s="2732"/>
      <c r="AP34" s="2732"/>
      <c r="AQ34" s="2732"/>
      <c r="AR34" s="2732"/>
      <c r="AS34" s="2732"/>
      <c r="AT34" s="2732"/>
      <c r="AU34" s="2732"/>
      <c r="AV34" s="2732"/>
      <c r="AW34" s="2732"/>
      <c r="AX34" s="2732"/>
      <c r="AY34" s="2732"/>
      <c r="AZ34" s="2732"/>
      <c r="BA34" s="2732"/>
      <c r="BB34" s="2732"/>
      <c r="BC34" s="2732"/>
      <c r="BD34" s="2732"/>
      <c r="BE34" s="2732"/>
      <c r="BF34" s="2732"/>
      <c r="BG34" s="2732"/>
      <c r="BH34" s="2732"/>
      <c r="BI34" s="2732"/>
    </row>
    <row r="35" spans="1:61" ht="18" customHeight="1" x14ac:dyDescent="0.3">
      <c r="A35" s="2655" t="s">
        <v>2534</v>
      </c>
      <c r="B35" s="2655" t="s">
        <v>2521</v>
      </c>
      <c r="C35" s="2687">
        <v>10396.875698402895</v>
      </c>
      <c r="D35" s="2687">
        <v>10472.513971288818</v>
      </c>
      <c r="E35" s="2687">
        <v>9552.8629273608403</v>
      </c>
      <c r="F35" s="2687">
        <v>13987.50867411193</v>
      </c>
      <c r="G35" s="2687">
        <v>13862.469159942078</v>
      </c>
      <c r="H35" s="2687">
        <v>14163.428913594504</v>
      </c>
      <c r="I35" s="2687">
        <v>14708.977414611722</v>
      </c>
      <c r="J35" s="2687">
        <v>14942.4576806799</v>
      </c>
      <c r="K35" s="2687">
        <v>15062.803368544977</v>
      </c>
      <c r="L35" s="2687">
        <v>15026.021519396279</v>
      </c>
      <c r="M35" s="2687">
        <v>14959.982031542395</v>
      </c>
      <c r="N35" s="2687">
        <v>15120.636000181921</v>
      </c>
      <c r="O35" s="2687">
        <v>15280.012605387969</v>
      </c>
      <c r="P35" s="2687">
        <v>15447.164900141179</v>
      </c>
      <c r="Q35" s="2687">
        <v>17015.682745620466</v>
      </c>
      <c r="R35" s="2687">
        <v>17069.105568815172</v>
      </c>
      <c r="S35" s="2687">
        <v>17096.525482945803</v>
      </c>
      <c r="T35" s="2687">
        <v>16124.172714863298</v>
      </c>
      <c r="U35" s="2687">
        <v>16212.858535886307</v>
      </c>
      <c r="V35" s="2687">
        <v>16100.745294959024</v>
      </c>
      <c r="W35" s="2687">
        <v>16874.40861594228</v>
      </c>
      <c r="X35" s="2687">
        <v>17056.301030099683</v>
      </c>
      <c r="Y35" s="2687">
        <v>17100.396193503762</v>
      </c>
      <c r="Z35" s="2687">
        <v>16913.578328091779</v>
      </c>
      <c r="AA35" s="2687">
        <v>16903.670228602685</v>
      </c>
      <c r="AB35" s="2687">
        <v>16654.533657206321</v>
      </c>
      <c r="AC35" s="2687">
        <v>16264.041633131037</v>
      </c>
      <c r="AD35" s="2687">
        <v>16408.554026230264</v>
      </c>
      <c r="AE35" s="2687">
        <v>16221.468650547791</v>
      </c>
      <c r="AF35" s="2687">
        <v>16503.915965674823</v>
      </c>
      <c r="AG35" s="2687">
        <v>16455.038241147897</v>
      </c>
      <c r="AH35" s="2687">
        <v>16482.822912366399</v>
      </c>
      <c r="AI35" s="2687">
        <v>17087.44599870186</v>
      </c>
      <c r="AJ35" s="2687">
        <v>17042.038238085748</v>
      </c>
      <c r="AK35" s="2687">
        <v>16938.245741903298</v>
      </c>
      <c r="AL35" s="2687">
        <v>16800.648193319186</v>
      </c>
      <c r="AM35" s="2687">
        <v>16775.783152260639</v>
      </c>
      <c r="AN35" s="2687">
        <v>16709.497512591879</v>
      </c>
      <c r="AO35" s="2687">
        <v>16647.926400379903</v>
      </c>
      <c r="AP35" s="2687">
        <v>16889.070895970464</v>
      </c>
      <c r="AQ35" s="2687">
        <v>16894.960055143179</v>
      </c>
      <c r="AR35" s="2687">
        <v>17092.399380392508</v>
      </c>
      <c r="AS35" s="2687">
        <v>16333.00151408547</v>
      </c>
      <c r="AT35" s="2687">
        <v>16570.907792896134</v>
      </c>
      <c r="AU35" s="2687">
        <v>16887.17377153182</v>
      </c>
      <c r="AV35" s="2687">
        <v>16824.83903409652</v>
      </c>
      <c r="AW35" s="2687">
        <v>16122.180782663847</v>
      </c>
      <c r="AX35" s="2687">
        <v>16465.319542456728</v>
      </c>
      <c r="AY35" s="2687">
        <v>16293.840328382001</v>
      </c>
      <c r="AZ35" s="2687">
        <v>15989.194934705469</v>
      </c>
      <c r="BA35" s="2687">
        <v>16382.387070333913</v>
      </c>
      <c r="BB35" s="2687">
        <v>16734.979646386804</v>
      </c>
      <c r="BC35" s="2687">
        <v>16665.79343812299</v>
      </c>
      <c r="BD35" s="2687">
        <v>23070.148766669576</v>
      </c>
      <c r="BE35" s="2687">
        <v>36451.866097709761</v>
      </c>
      <c r="BF35" s="2687">
        <v>37381.143995305298</v>
      </c>
      <c r="BG35" s="2687">
        <v>37375.750023185494</v>
      </c>
      <c r="BH35" s="2687">
        <v>37687.912741891676</v>
      </c>
      <c r="BI35" s="2687">
        <v>37280.08697086772</v>
      </c>
    </row>
    <row r="36" spans="1:61" ht="18" customHeight="1" x14ac:dyDescent="0.3">
      <c r="A36" s="2658"/>
      <c r="B36" s="2658"/>
      <c r="C36" s="2732"/>
      <c r="D36" s="2732"/>
      <c r="E36" s="2732"/>
      <c r="F36" s="2732"/>
      <c r="G36" s="2732"/>
      <c r="H36" s="2732"/>
      <c r="I36" s="2732"/>
      <c r="J36" s="2732"/>
      <c r="K36" s="2732"/>
      <c r="L36" s="2732"/>
      <c r="M36" s="2732"/>
      <c r="N36" s="2732"/>
      <c r="O36" s="2732"/>
      <c r="P36" s="2732"/>
      <c r="Q36" s="2732"/>
      <c r="R36" s="2732"/>
      <c r="S36" s="2732"/>
      <c r="T36" s="2732"/>
      <c r="U36" s="2732"/>
      <c r="V36" s="2732"/>
      <c r="W36" s="2732"/>
      <c r="X36" s="2732"/>
      <c r="Y36" s="2732"/>
      <c r="Z36" s="2732"/>
      <c r="AA36" s="2732"/>
      <c r="AB36" s="2732"/>
      <c r="AC36" s="2732"/>
      <c r="AD36" s="2732"/>
      <c r="AE36" s="2732"/>
      <c r="AF36" s="2732"/>
      <c r="AG36" s="2732"/>
      <c r="AH36" s="2732"/>
      <c r="AI36" s="2732"/>
      <c r="AJ36" s="2732"/>
      <c r="AK36" s="2732"/>
      <c r="AL36" s="2732"/>
      <c r="AM36" s="2732"/>
      <c r="AN36" s="2732"/>
      <c r="AO36" s="2732"/>
      <c r="AP36" s="2732"/>
      <c r="AQ36" s="2732"/>
      <c r="AR36" s="2732"/>
      <c r="AS36" s="2732"/>
      <c r="AT36" s="2732"/>
      <c r="AU36" s="2732"/>
      <c r="AV36" s="2732"/>
      <c r="AW36" s="2732"/>
      <c r="AX36" s="2732"/>
      <c r="AY36" s="2732"/>
      <c r="AZ36" s="2732"/>
      <c r="BA36" s="2732"/>
      <c r="BB36" s="2732"/>
      <c r="BC36" s="2732"/>
      <c r="BD36" s="2732"/>
      <c r="BE36" s="2732"/>
      <c r="BF36" s="2732"/>
      <c r="BG36" s="2732"/>
      <c r="BH36" s="2732"/>
      <c r="BI36" s="2732"/>
    </row>
    <row r="37" spans="1:61" ht="18" customHeight="1" x14ac:dyDescent="0.3">
      <c r="A37" s="2655" t="s">
        <v>2542</v>
      </c>
      <c r="B37" s="2655" t="s">
        <v>1057</v>
      </c>
      <c r="C37" s="2687">
        <v>138686.41134619206</v>
      </c>
      <c r="D37" s="2687">
        <v>139939.762859062</v>
      </c>
      <c r="E37" s="2687">
        <v>138215.13703439353</v>
      </c>
      <c r="F37" s="2687">
        <v>138839.25534205005</v>
      </c>
      <c r="G37" s="2687">
        <v>132963.92811812891</v>
      </c>
      <c r="H37" s="2687">
        <v>141378.93299931596</v>
      </c>
      <c r="I37" s="2687">
        <v>134742.84316092852</v>
      </c>
      <c r="J37" s="2687">
        <v>128484.29869788558</v>
      </c>
      <c r="K37" s="2687">
        <v>149602.96541626702</v>
      </c>
      <c r="L37" s="2687">
        <v>146552.63785548275</v>
      </c>
      <c r="M37" s="2687">
        <v>150093.02527221362</v>
      </c>
      <c r="N37" s="2687">
        <v>152632.10169356837</v>
      </c>
      <c r="O37" s="2687">
        <v>145443.19904246111</v>
      </c>
      <c r="P37" s="2687">
        <v>147936.54823418125</v>
      </c>
      <c r="Q37" s="2687">
        <v>146043.20855930113</v>
      </c>
      <c r="R37" s="2687">
        <v>147009.44332419502</v>
      </c>
      <c r="S37" s="2687">
        <v>143405.48763154136</v>
      </c>
      <c r="T37" s="2687">
        <v>160364.31880343828</v>
      </c>
      <c r="U37" s="2687">
        <v>185421.66517849173</v>
      </c>
      <c r="V37" s="2687">
        <v>179417.44781692783</v>
      </c>
      <c r="W37" s="2687">
        <v>182515.64472524228</v>
      </c>
      <c r="X37" s="2687">
        <v>177189.80801213961</v>
      </c>
      <c r="Y37" s="2687">
        <v>173268.27627573922</v>
      </c>
      <c r="Z37" s="2687">
        <v>159553.83282579115</v>
      </c>
      <c r="AA37" s="2687">
        <v>151206.4401817577</v>
      </c>
      <c r="AB37" s="2687">
        <v>145580.02421794005</v>
      </c>
      <c r="AC37" s="2687">
        <v>144427.01910085219</v>
      </c>
      <c r="AD37" s="2687">
        <v>152334.79733372852</v>
      </c>
      <c r="AE37" s="2687">
        <v>160018.34789737646</v>
      </c>
      <c r="AF37" s="2687">
        <v>157684.46774648846</v>
      </c>
      <c r="AG37" s="2687">
        <v>151076.79913641003</v>
      </c>
      <c r="AH37" s="2687">
        <v>141875.43885198981</v>
      </c>
      <c r="AI37" s="2687">
        <v>157885.89576674532</v>
      </c>
      <c r="AJ37" s="2687">
        <v>154184.7443083892</v>
      </c>
      <c r="AK37" s="2687">
        <v>163697.9465848032</v>
      </c>
      <c r="AL37" s="2687">
        <v>125650.65566076699</v>
      </c>
      <c r="AM37" s="2687">
        <v>140168.23593797052</v>
      </c>
      <c r="AN37" s="2687">
        <v>131465.6728857547</v>
      </c>
      <c r="AO37" s="2687">
        <v>157216.69182422655</v>
      </c>
      <c r="AP37" s="2687">
        <v>157950.20061403728</v>
      </c>
      <c r="AQ37" s="2687">
        <v>155705.83894823308</v>
      </c>
      <c r="AR37" s="2687">
        <v>151851.65784305477</v>
      </c>
      <c r="AS37" s="2687">
        <v>148970.14400175901</v>
      </c>
      <c r="AT37" s="2687">
        <v>150798.869737776</v>
      </c>
      <c r="AU37" s="2687">
        <v>177810.47810124196</v>
      </c>
      <c r="AV37" s="2687">
        <v>183216.84389900166</v>
      </c>
      <c r="AW37" s="2687">
        <v>213234.14796099535</v>
      </c>
      <c r="AX37" s="2687">
        <v>226839.03088390722</v>
      </c>
      <c r="AY37" s="2687">
        <v>237773.18138044377</v>
      </c>
      <c r="AZ37" s="2687">
        <v>235649.91719455173</v>
      </c>
      <c r="BA37" s="2687">
        <v>220119.89442638485</v>
      </c>
      <c r="BB37" s="2687">
        <v>242996.90912726618</v>
      </c>
      <c r="BC37" s="2687">
        <v>221860.63426990234</v>
      </c>
      <c r="BD37" s="2687">
        <v>208235.14650668224</v>
      </c>
      <c r="BE37" s="2687">
        <v>210660.75638257599</v>
      </c>
      <c r="BF37" s="2687">
        <v>203296.58939998073</v>
      </c>
      <c r="BG37" s="2687">
        <v>195516.43049169291</v>
      </c>
      <c r="BH37" s="2687">
        <v>194080.37101466753</v>
      </c>
      <c r="BI37" s="2687">
        <v>202684.26892871215</v>
      </c>
    </row>
    <row r="38" spans="1:61" ht="18" customHeight="1" x14ac:dyDescent="0.3">
      <c r="A38" s="2658"/>
      <c r="B38" s="2668"/>
      <c r="C38" s="2732"/>
      <c r="D38" s="2732"/>
      <c r="E38" s="2732"/>
      <c r="F38" s="2732"/>
      <c r="G38" s="2732"/>
      <c r="H38" s="2732"/>
      <c r="I38" s="2732"/>
      <c r="J38" s="2732"/>
      <c r="K38" s="2732"/>
      <c r="L38" s="2732"/>
      <c r="M38" s="2732"/>
      <c r="N38" s="2732"/>
      <c r="O38" s="2732"/>
      <c r="P38" s="2732"/>
      <c r="Q38" s="2732"/>
      <c r="R38" s="2732"/>
      <c r="S38" s="2732"/>
      <c r="T38" s="2732"/>
      <c r="U38" s="2732"/>
      <c r="V38" s="2732"/>
      <c r="W38" s="2732"/>
      <c r="X38" s="2732"/>
      <c r="Y38" s="2732"/>
      <c r="Z38" s="2732"/>
      <c r="AA38" s="2732"/>
      <c r="AB38" s="2732"/>
      <c r="AC38" s="2732"/>
      <c r="AD38" s="2732"/>
      <c r="AE38" s="2732"/>
      <c r="AF38" s="2732"/>
      <c r="AG38" s="2732"/>
      <c r="AH38" s="2732"/>
      <c r="AI38" s="2732"/>
      <c r="AJ38" s="2732"/>
      <c r="AK38" s="2732"/>
      <c r="AL38" s="2732"/>
      <c r="AM38" s="2732"/>
      <c r="AN38" s="2732"/>
      <c r="AO38" s="2732"/>
      <c r="AP38" s="2732"/>
      <c r="AQ38" s="2732"/>
      <c r="AR38" s="2732"/>
      <c r="AS38" s="2732"/>
      <c r="AT38" s="2732"/>
      <c r="AU38" s="2732"/>
      <c r="AV38" s="2732"/>
      <c r="AW38" s="2732"/>
      <c r="AX38" s="2732"/>
      <c r="AY38" s="2732"/>
      <c r="AZ38" s="2732"/>
      <c r="BA38" s="2732"/>
      <c r="BB38" s="2732"/>
      <c r="BC38" s="2732"/>
      <c r="BD38" s="2732"/>
      <c r="BE38" s="2732"/>
      <c r="BF38" s="2732"/>
      <c r="BG38" s="2732"/>
      <c r="BH38" s="2732"/>
      <c r="BI38" s="2732"/>
    </row>
    <row r="39" spans="1:61" ht="18" customHeight="1" x14ac:dyDescent="0.3">
      <c r="A39" s="2655" t="s">
        <v>2547</v>
      </c>
      <c r="B39" s="2655" t="s">
        <v>2526</v>
      </c>
      <c r="C39" s="2687">
        <v>0</v>
      </c>
      <c r="D39" s="2687">
        <v>0</v>
      </c>
      <c r="E39" s="2687">
        <v>0</v>
      </c>
      <c r="F39" s="2687">
        <v>0</v>
      </c>
      <c r="G39" s="2687">
        <v>0</v>
      </c>
      <c r="H39" s="2687">
        <v>0</v>
      </c>
      <c r="I39" s="2687">
        <v>0</v>
      </c>
      <c r="J39" s="2687">
        <v>0</v>
      </c>
      <c r="K39" s="2687">
        <v>0</v>
      </c>
      <c r="L39" s="2687">
        <v>0</v>
      </c>
      <c r="M39" s="2687">
        <v>0</v>
      </c>
      <c r="N39" s="2687">
        <v>0</v>
      </c>
      <c r="O39" s="2687">
        <v>0</v>
      </c>
      <c r="P39" s="2687">
        <v>0</v>
      </c>
      <c r="Q39" s="2687">
        <v>0</v>
      </c>
      <c r="R39" s="2687">
        <v>0</v>
      </c>
      <c r="S39" s="2687">
        <v>0</v>
      </c>
      <c r="T39" s="2687">
        <v>0</v>
      </c>
      <c r="U39" s="2687">
        <v>0</v>
      </c>
      <c r="V39" s="2687">
        <v>0</v>
      </c>
      <c r="W39" s="2687">
        <v>0</v>
      </c>
      <c r="X39" s="2687">
        <v>0</v>
      </c>
      <c r="Y39" s="2687">
        <v>0</v>
      </c>
      <c r="Z39" s="2687">
        <v>0</v>
      </c>
      <c r="AA39" s="2687">
        <v>0</v>
      </c>
      <c r="AB39" s="2687">
        <v>0</v>
      </c>
      <c r="AC39" s="2687">
        <v>0</v>
      </c>
      <c r="AD39" s="2687">
        <v>0</v>
      </c>
      <c r="AE39" s="2687">
        <v>0</v>
      </c>
      <c r="AF39" s="2687">
        <v>0</v>
      </c>
      <c r="AG39" s="2687">
        <v>0</v>
      </c>
      <c r="AH39" s="2687">
        <v>0</v>
      </c>
      <c r="AI39" s="2687">
        <v>0</v>
      </c>
      <c r="AJ39" s="2687">
        <v>0</v>
      </c>
      <c r="AK39" s="2687">
        <v>0</v>
      </c>
      <c r="AL39" s="2687">
        <v>0</v>
      </c>
      <c r="AM39" s="2687">
        <v>0</v>
      </c>
      <c r="AN39" s="2687">
        <v>0</v>
      </c>
      <c r="AO39" s="2687">
        <v>0</v>
      </c>
      <c r="AP39" s="2687">
        <v>0</v>
      </c>
      <c r="AQ39" s="2687">
        <v>0</v>
      </c>
      <c r="AR39" s="2687">
        <v>0</v>
      </c>
      <c r="AS39" s="2687">
        <v>0</v>
      </c>
      <c r="AT39" s="2687">
        <v>0</v>
      </c>
      <c r="AU39" s="2687">
        <v>0</v>
      </c>
      <c r="AV39" s="2687">
        <v>0</v>
      </c>
      <c r="AW39" s="2687">
        <v>0</v>
      </c>
      <c r="AX39" s="2687">
        <v>0</v>
      </c>
      <c r="AY39" s="2687">
        <v>0</v>
      </c>
      <c r="AZ39" s="2687">
        <v>0</v>
      </c>
      <c r="BA39" s="2687">
        <v>0</v>
      </c>
      <c r="BB39" s="2687">
        <v>0</v>
      </c>
      <c r="BC39" s="2687">
        <v>0</v>
      </c>
      <c r="BD39" s="2687">
        <v>0</v>
      </c>
      <c r="BE39" s="2687">
        <v>0</v>
      </c>
      <c r="BF39" s="2687">
        <v>0</v>
      </c>
      <c r="BG39" s="2687">
        <v>0</v>
      </c>
      <c r="BH39" s="2687">
        <v>0</v>
      </c>
      <c r="BI39" s="2687">
        <v>0</v>
      </c>
    </row>
    <row r="40" spans="1:61" ht="18" customHeight="1" x14ac:dyDescent="0.3">
      <c r="A40" s="2658"/>
      <c r="B40" s="2658"/>
      <c r="C40" s="2732"/>
      <c r="D40" s="2732"/>
      <c r="E40" s="2732"/>
      <c r="F40" s="2732"/>
      <c r="G40" s="2732"/>
      <c r="H40" s="2732"/>
      <c r="I40" s="2732"/>
      <c r="J40" s="2732"/>
      <c r="K40" s="2732"/>
      <c r="L40" s="2732"/>
      <c r="M40" s="2732"/>
      <c r="N40" s="2732"/>
      <c r="O40" s="2732"/>
      <c r="P40" s="2732"/>
      <c r="Q40" s="2732"/>
      <c r="R40" s="2732"/>
      <c r="S40" s="2732"/>
      <c r="T40" s="2732"/>
      <c r="U40" s="2732"/>
      <c r="V40" s="2732"/>
      <c r="W40" s="2732"/>
      <c r="X40" s="2732"/>
      <c r="Y40" s="2732"/>
      <c r="Z40" s="2732"/>
      <c r="AA40" s="2732"/>
      <c r="AB40" s="2732"/>
      <c r="AC40" s="2732"/>
      <c r="AD40" s="2732"/>
      <c r="AE40" s="2732"/>
      <c r="AF40" s="2732"/>
      <c r="AG40" s="2732"/>
      <c r="AH40" s="2732"/>
      <c r="AI40" s="2732"/>
      <c r="AJ40" s="2732"/>
      <c r="AK40" s="2732"/>
      <c r="AL40" s="2732"/>
      <c r="AM40" s="2732"/>
      <c r="AN40" s="2732"/>
      <c r="AO40" s="2732"/>
      <c r="AP40" s="2732"/>
      <c r="AQ40" s="2732"/>
      <c r="AR40" s="2732"/>
      <c r="AS40" s="2732"/>
      <c r="AT40" s="2732"/>
      <c r="AU40" s="2732"/>
      <c r="AV40" s="2732"/>
      <c r="AW40" s="2732"/>
      <c r="AX40" s="2732"/>
      <c r="AY40" s="2732"/>
      <c r="AZ40" s="2732"/>
      <c r="BA40" s="2732"/>
      <c r="BB40" s="2732"/>
      <c r="BC40" s="2732"/>
      <c r="BD40" s="2732"/>
      <c r="BE40" s="2732"/>
      <c r="BF40" s="2732"/>
      <c r="BG40" s="2732"/>
      <c r="BH40" s="2732"/>
      <c r="BI40" s="2732"/>
    </row>
    <row r="41" spans="1:61" ht="18" customHeight="1" x14ac:dyDescent="0.3">
      <c r="A41" s="2655" t="s">
        <v>2549</v>
      </c>
      <c r="B41" s="2655" t="s">
        <v>2612</v>
      </c>
      <c r="C41" s="2687">
        <v>2220.5587516851147</v>
      </c>
      <c r="D41" s="2687">
        <v>2973.7746983604889</v>
      </c>
      <c r="E41" s="2687">
        <v>2793.4057543746385</v>
      </c>
      <c r="F41" s="2687">
        <v>2837.0982304102877</v>
      </c>
      <c r="G41" s="2687">
        <v>2889.4763727661752</v>
      </c>
      <c r="H41" s="2687">
        <v>3485.0313894252599</v>
      </c>
      <c r="I41" s="2687">
        <v>3357.6639987524809</v>
      </c>
      <c r="J41" s="2687">
        <v>3611.6788113440039</v>
      </c>
      <c r="K41" s="2687">
        <v>3354.7952141702235</v>
      </c>
      <c r="L41" s="2687">
        <v>3600.691496904597</v>
      </c>
      <c r="M41" s="2687">
        <v>3299.4268873645624</v>
      </c>
      <c r="N41" s="2687">
        <v>4163.4008869055833</v>
      </c>
      <c r="O41" s="2687">
        <v>3781.3165850788259</v>
      </c>
      <c r="P41" s="2687">
        <v>3338.9534975578613</v>
      </c>
      <c r="Q41" s="2687">
        <v>3241.382092907515</v>
      </c>
      <c r="R41" s="2687">
        <v>2200.8045698953802</v>
      </c>
      <c r="S41" s="2687">
        <v>3011.1787886331404</v>
      </c>
      <c r="T41" s="2687">
        <v>5000.7986755779766</v>
      </c>
      <c r="U41" s="2687">
        <v>5930.5633522589069</v>
      </c>
      <c r="V41" s="2687">
        <v>4586.5524504908981</v>
      </c>
      <c r="W41" s="2687">
        <v>3759.541357141497</v>
      </c>
      <c r="X41" s="2687">
        <v>4915.516998261668</v>
      </c>
      <c r="Y41" s="2687">
        <v>4783.2831960829226</v>
      </c>
      <c r="Z41" s="2687">
        <v>4440.7225172802082</v>
      </c>
      <c r="AA41" s="2687">
        <v>4091.4658880716315</v>
      </c>
      <c r="AB41" s="2687">
        <v>3936.6845371689215</v>
      </c>
      <c r="AC41" s="2687">
        <v>4012.1740674445377</v>
      </c>
      <c r="AD41" s="2687">
        <v>3200.807848833183</v>
      </c>
      <c r="AE41" s="2687">
        <v>3628.0198578387317</v>
      </c>
      <c r="AF41" s="2687">
        <v>4769.8301387371348</v>
      </c>
      <c r="AG41" s="2687">
        <v>3774.7033963075228</v>
      </c>
      <c r="AH41" s="2687">
        <v>3923.5526932379253</v>
      </c>
      <c r="AI41" s="2687">
        <v>4393.4741044475459</v>
      </c>
      <c r="AJ41" s="2687">
        <v>3543.792363564628</v>
      </c>
      <c r="AK41" s="2687">
        <v>3072.4814990240889</v>
      </c>
      <c r="AL41" s="2687">
        <v>3123.8123822462603</v>
      </c>
      <c r="AM41" s="2687">
        <v>2692.8755983424394</v>
      </c>
      <c r="AN41" s="2687">
        <v>3237.8887341761492</v>
      </c>
      <c r="AO41" s="2687">
        <v>2872.4858043068275</v>
      </c>
      <c r="AP41" s="2687">
        <v>2500.08970185812</v>
      </c>
      <c r="AQ41" s="2687">
        <v>3199.9403001592145</v>
      </c>
      <c r="AR41" s="2687">
        <v>4010.9542172874922</v>
      </c>
      <c r="AS41" s="2687">
        <v>3416.9507981850902</v>
      </c>
      <c r="AT41" s="2687">
        <v>3157.441795953906</v>
      </c>
      <c r="AU41" s="2687">
        <v>3821.3498732511657</v>
      </c>
      <c r="AV41" s="2687">
        <v>3799.3167848861813</v>
      </c>
      <c r="AW41" s="2687">
        <v>3753.2383554229409</v>
      </c>
      <c r="AX41" s="2687">
        <v>5125.0116633739917</v>
      </c>
      <c r="AY41" s="2687">
        <v>3655.6666434611052</v>
      </c>
      <c r="AZ41" s="2687">
        <v>3363.807927121898</v>
      </c>
      <c r="BA41" s="2687">
        <v>3886.1652890605305</v>
      </c>
      <c r="BB41" s="2687">
        <v>4202.7543350338137</v>
      </c>
      <c r="BC41" s="2687">
        <v>4441.3530902173843</v>
      </c>
      <c r="BD41" s="2687">
        <v>5310.6149930023057</v>
      </c>
      <c r="BE41" s="2687">
        <v>5363.3165885835542</v>
      </c>
      <c r="BF41" s="2687">
        <v>4242.398508197497</v>
      </c>
      <c r="BG41" s="2687">
        <v>6440.7440421278834</v>
      </c>
      <c r="BH41" s="2687">
        <v>6860.3260069125017</v>
      </c>
      <c r="BI41" s="2687">
        <v>5477.1422909990715</v>
      </c>
    </row>
    <row r="42" spans="1:61" ht="18" customHeight="1" x14ac:dyDescent="0.3">
      <c r="A42" s="2658"/>
      <c r="B42" s="2658"/>
      <c r="C42" s="2732"/>
      <c r="D42" s="2732"/>
      <c r="E42" s="2732"/>
      <c r="F42" s="2732"/>
      <c r="G42" s="2732"/>
      <c r="H42" s="2732"/>
      <c r="I42" s="2732"/>
      <c r="J42" s="2732"/>
      <c r="K42" s="2732"/>
      <c r="L42" s="2732"/>
      <c r="M42" s="2732"/>
      <c r="N42" s="2732"/>
      <c r="O42" s="2732"/>
      <c r="P42" s="2732"/>
      <c r="Q42" s="2732"/>
      <c r="R42" s="2732"/>
      <c r="S42" s="2732"/>
      <c r="T42" s="2732"/>
      <c r="U42" s="2732"/>
      <c r="V42" s="2732"/>
      <c r="W42" s="2732"/>
      <c r="X42" s="2732"/>
      <c r="Y42" s="2732"/>
      <c r="Z42" s="2732"/>
      <c r="AA42" s="2732"/>
      <c r="AB42" s="2732"/>
      <c r="AC42" s="2732"/>
      <c r="AD42" s="2732"/>
      <c r="AE42" s="2732"/>
      <c r="AF42" s="2732"/>
      <c r="AG42" s="2732"/>
      <c r="AH42" s="2732"/>
      <c r="AI42" s="2732"/>
      <c r="AJ42" s="2732"/>
      <c r="AK42" s="2732"/>
      <c r="AL42" s="2732"/>
      <c r="AM42" s="2732"/>
      <c r="AN42" s="2732"/>
      <c r="AO42" s="2732"/>
      <c r="AP42" s="2732"/>
      <c r="AQ42" s="2732"/>
      <c r="AR42" s="2732"/>
      <c r="AS42" s="2732"/>
      <c r="AT42" s="2732"/>
      <c r="AU42" s="2732"/>
      <c r="AV42" s="2732"/>
      <c r="AW42" s="2732"/>
      <c r="AX42" s="2732"/>
      <c r="AY42" s="2732"/>
      <c r="AZ42" s="2732"/>
      <c r="BA42" s="2732"/>
      <c r="BB42" s="2732"/>
      <c r="BC42" s="2732"/>
      <c r="BD42" s="2732"/>
      <c r="BE42" s="2732"/>
      <c r="BF42" s="2732"/>
      <c r="BG42" s="2732"/>
      <c r="BH42" s="2732"/>
      <c r="BI42" s="2732"/>
    </row>
    <row r="43" spans="1:61" ht="18" customHeight="1" x14ac:dyDescent="0.3">
      <c r="A43" s="2655" t="s">
        <v>2551</v>
      </c>
      <c r="B43" s="2655" t="s">
        <v>2555</v>
      </c>
      <c r="C43" s="2687">
        <v>60013.962889054012</v>
      </c>
      <c r="D43" s="2687">
        <v>60773.874818106429</v>
      </c>
      <c r="E43" s="2687">
        <v>57694.48437717498</v>
      </c>
      <c r="F43" s="2687">
        <v>56300.672538853141</v>
      </c>
      <c r="G43" s="2687">
        <v>56791.655590215996</v>
      </c>
      <c r="H43" s="2687">
        <v>60805.004832683189</v>
      </c>
      <c r="I43" s="2687">
        <v>58260.859288613639</v>
      </c>
      <c r="J43" s="2687">
        <v>58942.324860345238</v>
      </c>
      <c r="K43" s="2687">
        <v>58518.643886942067</v>
      </c>
      <c r="L43" s="2687">
        <v>70292.994113460183</v>
      </c>
      <c r="M43" s="2687">
        <v>58634.16505471136</v>
      </c>
      <c r="N43" s="2687">
        <v>58182.23040092372</v>
      </c>
      <c r="O43" s="2687">
        <v>54607.917054842612</v>
      </c>
      <c r="P43" s="2687">
        <v>57304.231994142923</v>
      </c>
      <c r="Q43" s="2687">
        <v>50858.533136811959</v>
      </c>
      <c r="R43" s="2687">
        <v>52804.560163316324</v>
      </c>
      <c r="S43" s="2687">
        <v>52635.697361753249</v>
      </c>
      <c r="T43" s="2687">
        <v>57478.951743014026</v>
      </c>
      <c r="U43" s="2687">
        <v>62744.829927602121</v>
      </c>
      <c r="V43" s="2687">
        <v>64305.412804674248</v>
      </c>
      <c r="W43" s="2687">
        <v>70415.672806937917</v>
      </c>
      <c r="X43" s="2687">
        <v>71356.143256979311</v>
      </c>
      <c r="Y43" s="2687">
        <v>76106.689343189981</v>
      </c>
      <c r="Z43" s="2687">
        <v>87469.272771371296</v>
      </c>
      <c r="AA43" s="2687">
        <v>78202.314053361828</v>
      </c>
      <c r="AB43" s="2687">
        <v>87754.815604549876</v>
      </c>
      <c r="AC43" s="2687">
        <v>78803.152678761297</v>
      </c>
      <c r="AD43" s="2687">
        <v>81714.099380288768</v>
      </c>
      <c r="AE43" s="2687">
        <v>83848.382948681086</v>
      </c>
      <c r="AF43" s="2687">
        <v>83769.8922762078</v>
      </c>
      <c r="AG43" s="2687">
        <v>80747.589630999733</v>
      </c>
      <c r="AH43" s="2687">
        <v>85450.366259405564</v>
      </c>
      <c r="AI43" s="2687">
        <v>84100.445089501474</v>
      </c>
      <c r="AJ43" s="2687">
        <v>80831.752177389295</v>
      </c>
      <c r="AK43" s="2687">
        <v>79329.117793421188</v>
      </c>
      <c r="AL43" s="2687">
        <v>80545.850890716029</v>
      </c>
      <c r="AM43" s="2687">
        <v>81649.898330089156</v>
      </c>
      <c r="AN43" s="2687">
        <v>88370.971254357166</v>
      </c>
      <c r="AO43" s="2687">
        <v>80928.566412254222</v>
      </c>
      <c r="AP43" s="2687">
        <v>88046.180561880799</v>
      </c>
      <c r="AQ43" s="2687">
        <v>82762.692095873354</v>
      </c>
      <c r="AR43" s="2687">
        <v>84346.168221347863</v>
      </c>
      <c r="AS43" s="2687">
        <v>82916.177900211012</v>
      </c>
      <c r="AT43" s="2687">
        <v>79777.608073449534</v>
      </c>
      <c r="AU43" s="2687">
        <v>76523.593981745042</v>
      </c>
      <c r="AV43" s="2687">
        <v>85862.451017511456</v>
      </c>
      <c r="AW43" s="2687">
        <v>81771.80537930438</v>
      </c>
      <c r="AX43" s="2687">
        <v>91734.132500507083</v>
      </c>
      <c r="AY43" s="2687">
        <v>95035.225577347694</v>
      </c>
      <c r="AZ43" s="2687">
        <v>93506.131420528487</v>
      </c>
      <c r="BA43" s="2687">
        <v>80844.374050328886</v>
      </c>
      <c r="BB43" s="2687">
        <v>89884.494191803635</v>
      </c>
      <c r="BC43" s="2687">
        <v>152647.82237593576</v>
      </c>
      <c r="BD43" s="2687">
        <v>83550.9992658314</v>
      </c>
      <c r="BE43" s="2687">
        <v>82992.891321067626</v>
      </c>
      <c r="BF43" s="2687">
        <v>86041.759881615682</v>
      </c>
      <c r="BG43" s="2687">
        <v>89020.779672774253</v>
      </c>
      <c r="BH43" s="2687">
        <v>91822.050401293105</v>
      </c>
      <c r="BI43" s="2687">
        <v>104383.62387159849</v>
      </c>
    </row>
    <row r="44" spans="1:61" ht="18" customHeight="1" x14ac:dyDescent="0.3">
      <c r="A44" s="2658"/>
      <c r="B44" s="2658"/>
      <c r="C44" s="2732"/>
      <c r="D44" s="2732"/>
      <c r="E44" s="2732"/>
      <c r="F44" s="2732"/>
      <c r="G44" s="2732"/>
      <c r="H44" s="2732"/>
      <c r="I44" s="2732"/>
      <c r="J44" s="2732"/>
      <c r="K44" s="2732"/>
      <c r="L44" s="2732"/>
      <c r="M44" s="2732"/>
      <c r="N44" s="2732"/>
      <c r="O44" s="2732"/>
      <c r="P44" s="2732"/>
      <c r="Q44" s="2732"/>
      <c r="R44" s="2732"/>
      <c r="S44" s="2732"/>
      <c r="T44" s="2732"/>
      <c r="U44" s="2732"/>
      <c r="V44" s="2732"/>
      <c r="W44" s="2732"/>
      <c r="X44" s="2732"/>
      <c r="Y44" s="2732"/>
      <c r="Z44" s="2732"/>
      <c r="AA44" s="2732"/>
      <c r="AB44" s="2732"/>
      <c r="AC44" s="2732"/>
      <c r="AD44" s="2732"/>
      <c r="AE44" s="2732"/>
      <c r="AF44" s="2732"/>
      <c r="AG44" s="2732"/>
      <c r="AH44" s="2732"/>
      <c r="AI44" s="2732"/>
      <c r="AJ44" s="2732"/>
      <c r="AK44" s="2732"/>
      <c r="AL44" s="2732"/>
      <c r="AM44" s="2732"/>
      <c r="AN44" s="2732"/>
      <c r="AO44" s="2732"/>
      <c r="AP44" s="2732"/>
      <c r="AQ44" s="2732"/>
      <c r="AR44" s="2732"/>
      <c r="AS44" s="2732"/>
      <c r="AT44" s="2732"/>
      <c r="AU44" s="2732"/>
      <c r="AV44" s="2732"/>
      <c r="AW44" s="2732"/>
      <c r="AX44" s="2732"/>
      <c r="AY44" s="2732"/>
      <c r="AZ44" s="2732"/>
      <c r="BA44" s="2732"/>
      <c r="BB44" s="2732"/>
      <c r="BC44" s="2732"/>
      <c r="BD44" s="2732"/>
      <c r="BE44" s="2732"/>
      <c r="BF44" s="2732"/>
      <c r="BG44" s="2732"/>
      <c r="BH44" s="2732"/>
      <c r="BI44" s="2732"/>
    </row>
    <row r="45" spans="1:61" ht="18" customHeight="1" x14ac:dyDescent="0.3">
      <c r="A45" s="2655" t="s">
        <v>2552</v>
      </c>
      <c r="B45" s="2655" t="s">
        <v>2524</v>
      </c>
      <c r="C45" s="2687">
        <v>150833.72007763924</v>
      </c>
      <c r="D45" s="2687">
        <v>152914.1285558478</v>
      </c>
      <c r="E45" s="2687">
        <v>146168.12880349666</v>
      </c>
      <c r="F45" s="2687">
        <v>148377.64799305439</v>
      </c>
      <c r="G45" s="2687">
        <v>149883.85728835408</v>
      </c>
      <c r="H45" s="2687">
        <v>153180.63693365804</v>
      </c>
      <c r="I45" s="2687">
        <v>155703.13746917812</v>
      </c>
      <c r="J45" s="2687">
        <v>158679.83974127311</v>
      </c>
      <c r="K45" s="2687">
        <v>158445.66099013638</v>
      </c>
      <c r="L45" s="2687">
        <v>158504.07984922366</v>
      </c>
      <c r="M45" s="2687">
        <v>161375.49351445082</v>
      </c>
      <c r="N45" s="2687">
        <v>159407.30354132867</v>
      </c>
      <c r="O45" s="2687">
        <v>159515.15916573725</v>
      </c>
      <c r="P45" s="2687">
        <v>161841.77911282721</v>
      </c>
      <c r="Q45" s="2687">
        <v>161583.34142596857</v>
      </c>
      <c r="R45" s="2687">
        <v>163701.88693183992</v>
      </c>
      <c r="S45" s="2687">
        <v>166460.20323915419</v>
      </c>
      <c r="T45" s="2687">
        <v>169007.67083421713</v>
      </c>
      <c r="U45" s="2687">
        <v>170990.94309479953</v>
      </c>
      <c r="V45" s="2687">
        <v>172685.670227108</v>
      </c>
      <c r="W45" s="2687">
        <v>174207.24511782441</v>
      </c>
      <c r="X45" s="2687">
        <v>170081.57463116586</v>
      </c>
      <c r="Y45" s="2687">
        <v>170161.4250672138</v>
      </c>
      <c r="Z45" s="2687">
        <v>170380.82733212991</v>
      </c>
      <c r="AA45" s="2687">
        <v>171203.55880854747</v>
      </c>
      <c r="AB45" s="2687">
        <v>170656.61065632669</v>
      </c>
      <c r="AC45" s="2687">
        <v>170994.80451106728</v>
      </c>
      <c r="AD45" s="2687">
        <v>171038.88972943914</v>
      </c>
      <c r="AE45" s="2687">
        <v>172357.073715465</v>
      </c>
      <c r="AF45" s="2687">
        <v>174025.657461542</v>
      </c>
      <c r="AG45" s="2687">
        <v>176269.83107163824</v>
      </c>
      <c r="AH45" s="2687">
        <v>177998.48721514165</v>
      </c>
      <c r="AI45" s="2687">
        <v>181724.00436931895</v>
      </c>
      <c r="AJ45" s="2687">
        <v>183850.00949536564</v>
      </c>
      <c r="AK45" s="2687">
        <v>187241.25492601414</v>
      </c>
      <c r="AL45" s="2687">
        <v>185942.99331932396</v>
      </c>
      <c r="AM45" s="2687">
        <v>184306.31560586233</v>
      </c>
      <c r="AN45" s="2687">
        <v>186866.21037919717</v>
      </c>
      <c r="AO45" s="2687">
        <v>189152.27205707959</v>
      </c>
      <c r="AP45" s="2687">
        <v>189030.26889887263</v>
      </c>
      <c r="AQ45" s="2687">
        <v>191903.63930878611</v>
      </c>
      <c r="AR45" s="2687">
        <v>194829.77119856636</v>
      </c>
      <c r="AS45" s="2687">
        <v>193044.56986093498</v>
      </c>
      <c r="AT45" s="2687">
        <v>196484.05552695401</v>
      </c>
      <c r="AU45" s="2687">
        <v>196731.23739594495</v>
      </c>
      <c r="AV45" s="2687">
        <v>196815.26901770575</v>
      </c>
      <c r="AW45" s="2687">
        <v>197876.66152816385</v>
      </c>
      <c r="AX45" s="2687">
        <v>197942.02568145303</v>
      </c>
      <c r="AY45" s="2687">
        <v>197560.39109847916</v>
      </c>
      <c r="AZ45" s="2687">
        <v>200528.92110479</v>
      </c>
      <c r="BA45" s="2687">
        <v>201074.49188778846</v>
      </c>
      <c r="BB45" s="2687">
        <v>206696.28448018394</v>
      </c>
      <c r="BC45" s="2687">
        <v>213302.34780552491</v>
      </c>
      <c r="BD45" s="2687">
        <v>217153.83532079466</v>
      </c>
      <c r="BE45" s="2687">
        <v>219435.80116978945</v>
      </c>
      <c r="BF45" s="2687">
        <v>220816.8319230098</v>
      </c>
      <c r="BG45" s="2687">
        <v>222070.25592035998</v>
      </c>
      <c r="BH45" s="2687">
        <v>227193.09464550638</v>
      </c>
      <c r="BI45" s="2687">
        <v>226385.432730039</v>
      </c>
    </row>
    <row r="46" spans="1:61" ht="16.5" x14ac:dyDescent="0.3">
      <c r="A46" s="2658"/>
      <c r="B46" s="2658"/>
      <c r="C46" s="2693"/>
      <c r="D46" s="2693"/>
      <c r="E46" s="2693"/>
      <c r="F46" s="2693"/>
      <c r="G46" s="2693"/>
      <c r="H46" s="2693"/>
      <c r="I46" s="2693"/>
      <c r="J46" s="2693"/>
      <c r="K46" s="2693"/>
      <c r="L46" s="2693"/>
      <c r="M46" s="2693"/>
      <c r="N46" s="2693"/>
      <c r="O46" s="2693"/>
      <c r="P46" s="2693"/>
      <c r="Q46" s="2693"/>
      <c r="R46" s="2693"/>
      <c r="S46" s="2693"/>
      <c r="T46" s="2693"/>
      <c r="U46" s="2693"/>
      <c r="V46" s="2693"/>
      <c r="W46" s="2693"/>
      <c r="X46" s="2693"/>
      <c r="Y46" s="2693"/>
      <c r="Z46" s="2693"/>
      <c r="AA46" s="2693"/>
      <c r="AB46" s="2693"/>
      <c r="AC46" s="2693"/>
      <c r="AD46" s="2693"/>
      <c r="AE46" s="2693"/>
      <c r="AF46" s="2693"/>
      <c r="AG46" s="2693"/>
      <c r="AH46" s="2693"/>
      <c r="AI46" s="2693"/>
      <c r="AJ46" s="2693"/>
      <c r="AK46" s="2693"/>
      <c r="AL46" s="2693"/>
      <c r="AM46" s="2693"/>
      <c r="AN46" s="2693"/>
      <c r="AO46" s="2693"/>
      <c r="AP46" s="2693"/>
      <c r="AQ46" s="2693"/>
      <c r="AR46" s="2693"/>
      <c r="AS46" s="2693"/>
      <c r="AT46" s="2693"/>
      <c r="AU46" s="2693"/>
      <c r="AV46" s="2693"/>
      <c r="AW46" s="2693"/>
      <c r="AX46" s="2693"/>
      <c r="AY46" s="2693"/>
      <c r="AZ46" s="2693"/>
      <c r="BA46" s="2693"/>
      <c r="BB46" s="2693"/>
      <c r="BC46" s="2693"/>
      <c r="BD46" s="2693"/>
      <c r="BE46" s="2693"/>
      <c r="BF46" s="2693"/>
      <c r="BG46" s="2693"/>
      <c r="BH46" s="2693"/>
      <c r="BI46" s="2693"/>
    </row>
    <row r="47" spans="1:61" ht="16.5" x14ac:dyDescent="0.3">
      <c r="A47" s="2655"/>
      <c r="B47" s="2655" t="s">
        <v>1071</v>
      </c>
      <c r="C47" s="2687">
        <v>1365617.8868358212</v>
      </c>
      <c r="D47" s="2687">
        <v>1352899.4840214273</v>
      </c>
      <c r="E47" s="2687">
        <v>1347793.6571326193</v>
      </c>
      <c r="F47" s="2687">
        <v>1345907.5620222194</v>
      </c>
      <c r="G47" s="2687">
        <v>1409571.0954317953</v>
      </c>
      <c r="H47" s="2687">
        <v>1382124.0103554248</v>
      </c>
      <c r="I47" s="2687">
        <v>1401974.9421275225</v>
      </c>
      <c r="J47" s="2687">
        <v>1390782.2097556328</v>
      </c>
      <c r="K47" s="2687">
        <v>1415355.9517944218</v>
      </c>
      <c r="L47" s="2687">
        <v>1458048.7956527267</v>
      </c>
      <c r="M47" s="2687">
        <v>1431901.7014428016</v>
      </c>
      <c r="N47" s="2687">
        <v>1445319.2370927532</v>
      </c>
      <c r="O47" s="2687">
        <v>1478965.3685137553</v>
      </c>
      <c r="P47" s="2687">
        <v>1550497.1388212512</v>
      </c>
      <c r="Q47" s="2687">
        <v>1527168.1696811719</v>
      </c>
      <c r="R47" s="2687">
        <v>1546656.2380080998</v>
      </c>
      <c r="S47" s="2687">
        <v>1569150.0222901902</v>
      </c>
      <c r="T47" s="2687">
        <v>1606181.3345893507</v>
      </c>
      <c r="U47" s="2687">
        <v>1645107.2784188152</v>
      </c>
      <c r="V47" s="2687">
        <v>1650047.9162514766</v>
      </c>
      <c r="W47" s="2687">
        <v>1686367.4727960858</v>
      </c>
      <c r="X47" s="2687">
        <v>1650434.5927597787</v>
      </c>
      <c r="Y47" s="2687">
        <v>1741019.117012599</v>
      </c>
      <c r="Z47" s="2687">
        <v>1732317.4066350746</v>
      </c>
      <c r="AA47" s="2687">
        <v>1663606.6520986662</v>
      </c>
      <c r="AB47" s="2687">
        <v>1709197.6267093744</v>
      </c>
      <c r="AC47" s="2687">
        <v>1712098.6722167726</v>
      </c>
      <c r="AD47" s="2687">
        <v>1775301.1514109641</v>
      </c>
      <c r="AE47" s="2687">
        <v>1813310.0508268164</v>
      </c>
      <c r="AF47" s="2687">
        <v>1840174.7528254709</v>
      </c>
      <c r="AG47" s="2687">
        <v>1799573.7927370011</v>
      </c>
      <c r="AH47" s="2687">
        <v>1874524.5639616877</v>
      </c>
      <c r="AI47" s="2687">
        <v>1910601.5130892256</v>
      </c>
      <c r="AJ47" s="2687">
        <v>1897428.0696848023</v>
      </c>
      <c r="AK47" s="2687">
        <v>1955776.7928672861</v>
      </c>
      <c r="AL47" s="2687">
        <v>1949478.3508074561</v>
      </c>
      <c r="AM47" s="2687">
        <v>1967174.0846587676</v>
      </c>
      <c r="AN47" s="2687">
        <v>1948561.2807959497</v>
      </c>
      <c r="AO47" s="2687">
        <v>2020940.8212364009</v>
      </c>
      <c r="AP47" s="2687">
        <v>1970590.2394716062</v>
      </c>
      <c r="AQ47" s="2687">
        <v>2022264.9227077744</v>
      </c>
      <c r="AR47" s="2687">
        <v>2056383.9313377992</v>
      </c>
      <c r="AS47" s="2687">
        <v>2029666.2872193174</v>
      </c>
      <c r="AT47" s="2687">
        <v>2010365.9614354712</v>
      </c>
      <c r="AU47" s="2687">
        <v>2060400.0335260895</v>
      </c>
      <c r="AV47" s="2687">
        <v>2078111.5677110201</v>
      </c>
      <c r="AW47" s="2687">
        <v>2118430.869374943</v>
      </c>
      <c r="AX47" s="2687">
        <v>2175975.3104783837</v>
      </c>
      <c r="AY47" s="2687">
        <v>2177217.1916438555</v>
      </c>
      <c r="AZ47" s="2687">
        <v>2232675.6995946588</v>
      </c>
      <c r="BA47" s="2687">
        <v>2188953.4296710375</v>
      </c>
      <c r="BB47" s="2687">
        <v>2271965.9639522885</v>
      </c>
      <c r="BC47" s="2687">
        <v>2370603.9845756846</v>
      </c>
      <c r="BD47" s="2687">
        <v>2247364.5295274374</v>
      </c>
      <c r="BE47" s="2687">
        <v>2274182.9056037143</v>
      </c>
      <c r="BF47" s="2687">
        <v>2267872.3273218372</v>
      </c>
      <c r="BG47" s="2687">
        <v>2254975.3808080358</v>
      </c>
      <c r="BH47" s="2687">
        <v>2337900.7274124711</v>
      </c>
      <c r="BI47" s="2687">
        <v>2279717.5201917775</v>
      </c>
    </row>
    <row r="48" spans="1:61" thickBot="1" x14ac:dyDescent="0.35">
      <c r="A48" s="2669"/>
      <c r="B48" s="2669"/>
      <c r="C48" s="2714"/>
      <c r="D48" s="2714"/>
      <c r="E48" s="2714"/>
      <c r="F48" s="2714"/>
      <c r="G48" s="2714"/>
      <c r="H48" s="2714"/>
      <c r="I48" s="2714"/>
      <c r="J48" s="2714"/>
      <c r="K48" s="2714"/>
      <c r="L48" s="2714"/>
      <c r="M48" s="2714"/>
      <c r="N48" s="2714"/>
      <c r="O48" s="2714"/>
      <c r="P48" s="2714"/>
      <c r="Q48" s="2714"/>
      <c r="R48" s="2714"/>
      <c r="S48" s="2714"/>
      <c r="T48" s="2714"/>
      <c r="U48" s="2714"/>
      <c r="V48" s="2714"/>
      <c r="W48" s="2714"/>
      <c r="X48" s="2714"/>
      <c r="Y48" s="2714"/>
      <c r="Z48" s="2714"/>
      <c r="AA48" s="2714"/>
      <c r="AB48" s="2714"/>
      <c r="AC48" s="2714"/>
      <c r="AD48" s="2714"/>
      <c r="AE48" s="2714"/>
      <c r="AF48" s="2714"/>
      <c r="AG48" s="2714"/>
      <c r="AH48" s="2714"/>
      <c r="AI48" s="2714"/>
      <c r="AJ48" s="2714"/>
      <c r="AK48" s="2714"/>
      <c r="AL48" s="2714"/>
      <c r="AM48" s="2714"/>
      <c r="AN48" s="2714"/>
      <c r="AO48" s="2714"/>
      <c r="AP48" s="2714"/>
      <c r="AQ48" s="2714"/>
      <c r="AR48" s="2714"/>
      <c r="AS48" s="2714"/>
      <c r="AT48" s="2714"/>
      <c r="AU48" s="2714"/>
      <c r="AV48" s="2714"/>
      <c r="AW48" s="2714"/>
      <c r="AX48" s="2714"/>
      <c r="AY48" s="2714"/>
      <c r="AZ48" s="2714"/>
      <c r="BA48" s="2714"/>
      <c r="BB48" s="2714"/>
      <c r="BC48" s="2714"/>
      <c r="BD48" s="2714"/>
      <c r="BE48" s="2714"/>
      <c r="BF48" s="2714"/>
      <c r="BG48" s="2714"/>
      <c r="BH48" s="2714"/>
      <c r="BI48" s="2714"/>
    </row>
    <row r="49" spans="1:66" s="627" customFormat="1" ht="18" customHeight="1" thickTop="1" x14ac:dyDescent="0.25">
      <c r="A49" s="1428" t="s">
        <v>173</v>
      </c>
    </row>
    <row r="50" spans="1:66" s="627" customFormat="1" ht="14.25" x14ac:dyDescent="0.25">
      <c r="A50" s="2733" t="s">
        <v>2613</v>
      </c>
    </row>
    <row r="51" spans="1:66" s="1428" customFormat="1" ht="15" x14ac:dyDescent="0.25">
      <c r="A51" s="2734" t="s">
        <v>2614</v>
      </c>
      <c r="BN51" s="627"/>
    </row>
    <row r="52" spans="1:66" s="627" customFormat="1" ht="15.75" x14ac:dyDescent="0.25">
      <c r="A52" s="3250" t="s">
        <v>2615</v>
      </c>
      <c r="B52" s="3250"/>
      <c r="C52" s="3250"/>
      <c r="D52" s="3250"/>
      <c r="E52" s="3250"/>
      <c r="F52" s="3250"/>
      <c r="G52" s="3250"/>
      <c r="H52" s="3250"/>
      <c r="I52" s="3250"/>
      <c r="J52" s="3250"/>
      <c r="K52" s="3250"/>
      <c r="L52" s="3250"/>
      <c r="M52" s="3250"/>
      <c r="N52" s="3250"/>
      <c r="O52" s="3250"/>
      <c r="P52" s="3250"/>
      <c r="Q52" s="3250"/>
      <c r="R52" s="3250"/>
      <c r="S52" s="3250"/>
      <c r="T52" s="3250"/>
      <c r="U52" s="3250"/>
      <c r="V52" s="3250"/>
      <c r="W52" s="3250"/>
      <c r="X52" s="3250"/>
      <c r="Y52" s="3250"/>
      <c r="Z52" s="3250"/>
      <c r="AA52" s="3250"/>
      <c r="AB52" s="3250"/>
      <c r="AC52" s="3250"/>
      <c r="AD52" s="3250"/>
      <c r="AE52" s="3250"/>
      <c r="AF52" s="3250"/>
      <c r="AG52" s="3250"/>
      <c r="AH52" s="3250"/>
      <c r="AI52" s="3250"/>
      <c r="AJ52" s="3250"/>
      <c r="AK52" s="3250"/>
      <c r="AL52" s="3250"/>
      <c r="AM52" s="3250"/>
      <c r="AN52" s="3250"/>
      <c r="AO52" s="3250"/>
      <c r="AP52" s="3250"/>
      <c r="AQ52" s="3250"/>
      <c r="AR52" s="3250"/>
      <c r="AS52" s="3250"/>
      <c r="AT52" s="3250"/>
      <c r="AU52" s="3250"/>
      <c r="AV52" s="3250"/>
      <c r="AW52" s="3250"/>
      <c r="AX52" s="3250"/>
      <c r="AY52" s="3250"/>
      <c r="AZ52" s="3250"/>
      <c r="BA52" s="3250"/>
      <c r="BB52" s="3250"/>
      <c r="BC52" s="3250"/>
      <c r="BD52" s="3250"/>
      <c r="BE52" s="3250"/>
      <c r="BF52" s="3250"/>
      <c r="BG52" s="3250"/>
      <c r="BH52" s="3250"/>
      <c r="BI52" s="3250"/>
    </row>
    <row r="53" spans="1:66" s="627" customFormat="1" ht="15.75" x14ac:dyDescent="0.25">
      <c r="A53" s="3250" t="s">
        <v>2616</v>
      </c>
      <c r="B53" s="3250"/>
      <c r="C53" s="3250"/>
      <c r="D53" s="3250"/>
      <c r="E53" s="3250"/>
      <c r="F53" s="3250"/>
      <c r="G53" s="3250"/>
      <c r="H53" s="3250"/>
      <c r="I53" s="3250"/>
      <c r="J53" s="3250"/>
      <c r="K53" s="3250"/>
      <c r="L53" s="3250"/>
      <c r="M53" s="3250"/>
      <c r="N53" s="3250"/>
      <c r="O53" s="3250"/>
      <c r="P53" s="3250"/>
      <c r="Q53" s="3250"/>
      <c r="R53" s="3250"/>
      <c r="S53" s="3250"/>
      <c r="T53" s="3250"/>
      <c r="U53" s="3250"/>
      <c r="V53" s="3250"/>
      <c r="W53" s="3250"/>
      <c r="X53" s="3250"/>
      <c r="Y53" s="3250"/>
      <c r="Z53" s="3250"/>
      <c r="AA53" s="3250"/>
      <c r="AB53" s="3250"/>
      <c r="AC53" s="3250"/>
      <c r="AD53" s="3250"/>
      <c r="AE53" s="3250"/>
      <c r="AF53" s="3250"/>
      <c r="AG53" s="3250"/>
      <c r="AH53" s="3250"/>
      <c r="AI53" s="3250"/>
      <c r="AJ53" s="3250"/>
      <c r="AK53" s="3250"/>
      <c r="AL53" s="3250"/>
      <c r="AM53" s="3250"/>
      <c r="AN53" s="3250"/>
      <c r="AO53" s="3250"/>
      <c r="AP53" s="3250"/>
      <c r="AQ53" s="3250"/>
      <c r="AR53" s="3250"/>
      <c r="AS53" s="3250"/>
      <c r="AT53" s="3250"/>
      <c r="AU53" s="3250"/>
      <c r="AV53" s="3250"/>
      <c r="AW53" s="3250"/>
      <c r="AX53" s="3250"/>
      <c r="AY53" s="3250"/>
      <c r="AZ53" s="3250"/>
      <c r="BA53" s="3250"/>
      <c r="BB53" s="3250"/>
      <c r="BC53" s="3250"/>
      <c r="BD53" s="3250"/>
      <c r="BE53" s="3250"/>
      <c r="BF53" s="3250"/>
      <c r="BG53" s="3250"/>
      <c r="BH53" s="3250"/>
      <c r="BI53" s="3250"/>
    </row>
    <row r="54" spans="1:66" s="627" customFormat="1" ht="15.75" x14ac:dyDescent="0.25">
      <c r="A54" s="3250" t="s">
        <v>2617</v>
      </c>
      <c r="B54" s="3250"/>
      <c r="C54" s="3250"/>
      <c r="D54" s="3250"/>
      <c r="E54" s="3250"/>
      <c r="F54" s="3250"/>
      <c r="G54" s="3250"/>
      <c r="H54" s="3250"/>
      <c r="I54" s="3250"/>
      <c r="J54" s="3250"/>
      <c r="K54" s="3250"/>
      <c r="L54" s="3250"/>
      <c r="M54" s="3250"/>
      <c r="N54" s="3250"/>
      <c r="O54" s="3250"/>
      <c r="P54" s="3250"/>
      <c r="Q54" s="3250"/>
      <c r="R54" s="3250"/>
      <c r="S54" s="3250"/>
      <c r="T54" s="3250"/>
      <c r="U54" s="3250"/>
      <c r="V54" s="3250"/>
      <c r="W54" s="3250"/>
      <c r="X54" s="3250"/>
      <c r="Y54" s="3250"/>
      <c r="Z54" s="3250"/>
      <c r="AA54" s="3250"/>
      <c r="AB54" s="3250"/>
      <c r="AC54" s="3250"/>
      <c r="AD54" s="3250"/>
      <c r="AE54" s="3250"/>
      <c r="AF54" s="3250"/>
      <c r="AG54" s="3250"/>
      <c r="AH54" s="3250"/>
      <c r="AI54" s="3250"/>
      <c r="AJ54" s="3250"/>
      <c r="AK54" s="3250"/>
      <c r="AL54" s="3250"/>
      <c r="AM54" s="3250"/>
      <c r="AN54" s="3250"/>
      <c r="AO54" s="3250"/>
      <c r="AP54" s="3250"/>
      <c r="AQ54" s="3250"/>
      <c r="AR54" s="3250"/>
      <c r="AS54" s="3250"/>
      <c r="AT54" s="3250"/>
      <c r="AU54" s="3250"/>
      <c r="AV54" s="3250"/>
      <c r="AW54" s="3250"/>
      <c r="AX54" s="3250"/>
      <c r="AY54" s="3250"/>
      <c r="AZ54" s="3250"/>
      <c r="BA54" s="3250"/>
      <c r="BB54" s="3250"/>
      <c r="BC54" s="3250"/>
      <c r="BD54" s="3250"/>
      <c r="BE54" s="3250"/>
      <c r="BF54" s="3250"/>
      <c r="BG54" s="3250"/>
      <c r="BH54" s="3250"/>
      <c r="BI54" s="3250"/>
    </row>
    <row r="55" spans="1:66" s="631" customFormat="1" ht="21" customHeight="1" x14ac:dyDescent="0.25">
      <c r="A55" s="2131" t="s">
        <v>290</v>
      </c>
      <c r="BN55" s="627"/>
    </row>
    <row r="56" spans="1:66" ht="15" customHeight="1" x14ac:dyDescent="0.3">
      <c r="A56" s="627"/>
      <c r="BN56" s="627"/>
    </row>
    <row r="57" spans="1:66" x14ac:dyDescent="0.3">
      <c r="A57" s="627"/>
      <c r="BN57" s="627"/>
    </row>
    <row r="58" spans="1:66" x14ac:dyDescent="0.3">
      <c r="BN58" s="627"/>
    </row>
    <row r="59" spans="1:66" x14ac:dyDescent="0.3">
      <c r="BN59" s="627"/>
    </row>
    <row r="60" spans="1:66" x14ac:dyDescent="0.3">
      <c r="BN60" s="627"/>
    </row>
    <row r="61" spans="1:66" x14ac:dyDescent="0.3">
      <c r="BN61" s="627"/>
    </row>
    <row r="62" spans="1:66" x14ac:dyDescent="0.3">
      <c r="BN62" s="627"/>
    </row>
  </sheetData>
  <mergeCells count="3">
    <mergeCell ref="A52:BI52"/>
    <mergeCell ref="A53:BI53"/>
    <mergeCell ref="A54:BI54"/>
  </mergeCells>
  <hyperlinks>
    <hyperlink ref="A51" r:id="rId1" display="https://www.bom.mu/publications-statistics/statistics/monthly-statistical-bulletin/monthly-statistical-bulletin-february-2021" xr:uid="{00000000-0004-0000-0900-000000000000}"/>
  </hyperlinks>
  <pageMargins left="0.75" right="0.75" top="0.75" bottom="0.75" header="0.3" footer="0"/>
  <pageSetup paperSize="9" scale="46"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WVK57"/>
  <sheetViews>
    <sheetView showGridLines="0" zoomScale="80" zoomScaleNormal="80" zoomScaleSheetLayoutView="70" workbookViewId="0">
      <pane xSplit="7" ySplit="3" topLeftCell="AW19" activePane="bottomRight" state="frozen"/>
      <selection activeCell="A38" sqref="A38"/>
      <selection pane="topRight" activeCell="A38" sqref="A38"/>
      <selection pane="bottomLeft" activeCell="A38" sqref="A38"/>
      <selection pane="bottomRight" activeCell="A38" sqref="A38"/>
    </sheetView>
  </sheetViews>
  <sheetFormatPr defaultRowHeight="17.25" x14ac:dyDescent="0.3"/>
  <cols>
    <col min="1" max="1" width="7.140625" style="1692" customWidth="1"/>
    <col min="2" max="2" width="60.7109375" style="624" bestFit="1" customWidth="1"/>
    <col min="3" max="6" width="16.140625" style="1692" hidden="1" customWidth="1"/>
    <col min="7" max="7" width="12.7109375" style="1692" hidden="1" customWidth="1"/>
    <col min="8" max="8" width="12.85546875" style="1692" hidden="1" customWidth="1"/>
    <col min="9" max="48" width="12.7109375" style="1692" hidden="1" customWidth="1"/>
    <col min="49" max="60" width="12.7109375" style="1692" customWidth="1"/>
    <col min="61" max="61" width="13.28515625" style="1692" customWidth="1"/>
    <col min="62" max="164" width="9.140625" style="1692"/>
    <col min="165" max="165" width="5.85546875" style="1692" customWidth="1"/>
    <col min="166" max="166" width="55.42578125" style="1692" bestFit="1" customWidth="1"/>
    <col min="167" max="259" width="9.140625" style="1692" hidden="1" customWidth="1"/>
    <col min="260" max="270" width="10.7109375" style="1692" customWidth="1"/>
    <col min="271" max="271" width="10.85546875" style="1692" customWidth="1"/>
    <col min="272" max="272" width="10.7109375" style="1692" bestFit="1" customWidth="1"/>
    <col min="273" max="420" width="9.140625" style="1692"/>
    <col min="421" max="421" width="5.85546875" style="1692" customWidth="1"/>
    <col min="422" max="422" width="55.42578125" style="1692" bestFit="1" customWidth="1"/>
    <col min="423" max="515" width="9.140625" style="1692" hidden="1" customWidth="1"/>
    <col min="516" max="526" width="10.7109375" style="1692" customWidth="1"/>
    <col min="527" max="527" width="10.85546875" style="1692" customWidth="1"/>
    <col min="528" max="528" width="10.7109375" style="1692" bestFit="1" customWidth="1"/>
    <col min="529" max="676" width="9.140625" style="1692"/>
    <col min="677" max="677" width="5.85546875" style="1692" customWidth="1"/>
    <col min="678" max="678" width="55.42578125" style="1692" bestFit="1" customWidth="1"/>
    <col min="679" max="771" width="9.140625" style="1692" hidden="1" customWidth="1"/>
    <col min="772" max="782" width="10.7109375" style="1692" customWidth="1"/>
    <col min="783" max="783" width="10.85546875" style="1692" customWidth="1"/>
    <col min="784" max="784" width="10.7109375" style="1692" bestFit="1" customWidth="1"/>
    <col min="785" max="932" width="9.140625" style="1692"/>
    <col min="933" max="933" width="5.85546875" style="1692" customWidth="1"/>
    <col min="934" max="934" width="55.42578125" style="1692" bestFit="1" customWidth="1"/>
    <col min="935" max="1027" width="9.140625" style="1692" hidden="1" customWidth="1"/>
    <col min="1028" max="1038" width="10.7109375" style="1692" customWidth="1"/>
    <col min="1039" max="1039" width="10.85546875" style="1692" customWidth="1"/>
    <col min="1040" max="1040" width="10.7109375" style="1692" bestFit="1" customWidth="1"/>
    <col min="1041" max="1188" width="9.140625" style="1692"/>
    <col min="1189" max="1189" width="5.85546875" style="1692" customWidth="1"/>
    <col min="1190" max="1190" width="55.42578125" style="1692" bestFit="1" customWidth="1"/>
    <col min="1191" max="1283" width="9.140625" style="1692" hidden="1" customWidth="1"/>
    <col min="1284" max="1294" width="10.7109375" style="1692" customWidth="1"/>
    <col min="1295" max="1295" width="10.85546875" style="1692" customWidth="1"/>
    <col min="1296" max="1296" width="10.7109375" style="1692" bestFit="1" customWidth="1"/>
    <col min="1297" max="1444" width="9.140625" style="1692"/>
    <col min="1445" max="1445" width="5.85546875" style="1692" customWidth="1"/>
    <col min="1446" max="1446" width="55.42578125" style="1692" bestFit="1" customWidth="1"/>
    <col min="1447" max="1539" width="9.140625" style="1692" hidden="1" customWidth="1"/>
    <col min="1540" max="1550" width="10.7109375" style="1692" customWidth="1"/>
    <col min="1551" max="1551" width="10.85546875" style="1692" customWidth="1"/>
    <col min="1552" max="1552" width="10.7109375" style="1692" bestFit="1" customWidth="1"/>
    <col min="1553" max="1700" width="9.140625" style="1692"/>
    <col min="1701" max="1701" width="5.85546875" style="1692" customWidth="1"/>
    <col min="1702" max="1702" width="55.42578125" style="1692" bestFit="1" customWidth="1"/>
    <col min="1703" max="1795" width="9.140625" style="1692" hidden="1" customWidth="1"/>
    <col min="1796" max="1806" width="10.7109375" style="1692" customWidth="1"/>
    <col min="1807" max="1807" width="10.85546875" style="1692" customWidth="1"/>
    <col min="1808" max="1808" width="10.7109375" style="1692" bestFit="1" customWidth="1"/>
    <col min="1809" max="1956" width="9.140625" style="1692"/>
    <col min="1957" max="1957" width="5.85546875" style="1692" customWidth="1"/>
    <col min="1958" max="1958" width="55.42578125" style="1692" bestFit="1" customWidth="1"/>
    <col min="1959" max="2051" width="9.140625" style="1692" hidden="1" customWidth="1"/>
    <col min="2052" max="2062" width="10.7109375" style="1692" customWidth="1"/>
    <col min="2063" max="2063" width="10.85546875" style="1692" customWidth="1"/>
    <col min="2064" max="2064" width="10.7109375" style="1692" bestFit="1" customWidth="1"/>
    <col min="2065" max="2212" width="9.140625" style="1692"/>
    <col min="2213" max="2213" width="5.85546875" style="1692" customWidth="1"/>
    <col min="2214" max="2214" width="55.42578125" style="1692" bestFit="1" customWidth="1"/>
    <col min="2215" max="2307" width="9.140625" style="1692" hidden="1" customWidth="1"/>
    <col min="2308" max="2318" width="10.7109375" style="1692" customWidth="1"/>
    <col min="2319" max="2319" width="10.85546875" style="1692" customWidth="1"/>
    <col min="2320" max="2320" width="10.7109375" style="1692" bestFit="1" customWidth="1"/>
    <col min="2321" max="2468" width="9.140625" style="1692"/>
    <col min="2469" max="2469" width="5.85546875" style="1692" customWidth="1"/>
    <col min="2470" max="2470" width="55.42578125" style="1692" bestFit="1" customWidth="1"/>
    <col min="2471" max="2563" width="9.140625" style="1692" hidden="1" customWidth="1"/>
    <col min="2564" max="2574" width="10.7109375" style="1692" customWidth="1"/>
    <col min="2575" max="2575" width="10.85546875" style="1692" customWidth="1"/>
    <col min="2576" max="2576" width="10.7109375" style="1692" bestFit="1" customWidth="1"/>
    <col min="2577" max="2724" width="9.140625" style="1692"/>
    <col min="2725" max="2725" width="5.85546875" style="1692" customWidth="1"/>
    <col min="2726" max="2726" width="55.42578125" style="1692" bestFit="1" customWidth="1"/>
    <col min="2727" max="2819" width="9.140625" style="1692" hidden="1" customWidth="1"/>
    <col min="2820" max="2830" width="10.7109375" style="1692" customWidth="1"/>
    <col min="2831" max="2831" width="10.85546875" style="1692" customWidth="1"/>
    <col min="2832" max="2832" width="10.7109375" style="1692" bestFit="1" customWidth="1"/>
    <col min="2833" max="2980" width="9.140625" style="1692"/>
    <col min="2981" max="2981" width="5.85546875" style="1692" customWidth="1"/>
    <col min="2982" max="2982" width="55.42578125" style="1692" bestFit="1" customWidth="1"/>
    <col min="2983" max="3075" width="9.140625" style="1692" hidden="1" customWidth="1"/>
    <col min="3076" max="3086" width="10.7109375" style="1692" customWidth="1"/>
    <col min="3087" max="3087" width="10.85546875" style="1692" customWidth="1"/>
    <col min="3088" max="3088" width="10.7109375" style="1692" bestFit="1" customWidth="1"/>
    <col min="3089" max="3236" width="9.140625" style="1692"/>
    <col min="3237" max="3237" width="5.85546875" style="1692" customWidth="1"/>
    <col min="3238" max="3238" width="55.42578125" style="1692" bestFit="1" customWidth="1"/>
    <col min="3239" max="3331" width="9.140625" style="1692" hidden="1" customWidth="1"/>
    <col min="3332" max="3342" width="10.7109375" style="1692" customWidth="1"/>
    <col min="3343" max="3343" width="10.85546875" style="1692" customWidth="1"/>
    <col min="3344" max="3344" width="10.7109375" style="1692" bestFit="1" customWidth="1"/>
    <col min="3345" max="3492" width="9.140625" style="1692"/>
    <col min="3493" max="3493" width="5.85546875" style="1692" customWidth="1"/>
    <col min="3494" max="3494" width="55.42578125" style="1692" bestFit="1" customWidth="1"/>
    <col min="3495" max="3587" width="9.140625" style="1692" hidden="1" customWidth="1"/>
    <col min="3588" max="3598" width="10.7109375" style="1692" customWidth="1"/>
    <col min="3599" max="3599" width="10.85546875" style="1692" customWidth="1"/>
    <col min="3600" max="3600" width="10.7109375" style="1692" bestFit="1" customWidth="1"/>
    <col min="3601" max="3748" width="9.140625" style="1692"/>
    <col min="3749" max="3749" width="5.85546875" style="1692" customWidth="1"/>
    <col min="3750" max="3750" width="55.42578125" style="1692" bestFit="1" customWidth="1"/>
    <col min="3751" max="3843" width="9.140625" style="1692" hidden="1" customWidth="1"/>
    <col min="3844" max="3854" width="10.7109375" style="1692" customWidth="1"/>
    <col min="3855" max="3855" width="10.85546875" style="1692" customWidth="1"/>
    <col min="3856" max="3856" width="10.7109375" style="1692" bestFit="1" customWidth="1"/>
    <col min="3857" max="4004" width="9.140625" style="1692"/>
    <col min="4005" max="4005" width="5.85546875" style="1692" customWidth="1"/>
    <col min="4006" max="4006" width="55.42578125" style="1692" bestFit="1" customWidth="1"/>
    <col min="4007" max="4099" width="9.140625" style="1692" hidden="1" customWidth="1"/>
    <col min="4100" max="4110" width="10.7109375" style="1692" customWidth="1"/>
    <col min="4111" max="4111" width="10.85546875" style="1692" customWidth="1"/>
    <col min="4112" max="4112" width="10.7109375" style="1692" bestFit="1" customWidth="1"/>
    <col min="4113" max="4260" width="9.140625" style="1692"/>
    <col min="4261" max="4261" width="5.85546875" style="1692" customWidth="1"/>
    <col min="4262" max="4262" width="55.42578125" style="1692" bestFit="1" customWidth="1"/>
    <col min="4263" max="4355" width="9.140625" style="1692" hidden="1" customWidth="1"/>
    <col min="4356" max="4366" width="10.7109375" style="1692" customWidth="1"/>
    <col min="4367" max="4367" width="10.85546875" style="1692" customWidth="1"/>
    <col min="4368" max="4368" width="10.7109375" style="1692" bestFit="1" customWidth="1"/>
    <col min="4369" max="4516" width="9.140625" style="1692"/>
    <col min="4517" max="4517" width="5.85546875" style="1692" customWidth="1"/>
    <col min="4518" max="4518" width="55.42578125" style="1692" bestFit="1" customWidth="1"/>
    <col min="4519" max="4611" width="9.140625" style="1692" hidden="1" customWidth="1"/>
    <col min="4612" max="4622" width="10.7109375" style="1692" customWidth="1"/>
    <col min="4623" max="4623" width="10.85546875" style="1692" customWidth="1"/>
    <col min="4624" max="4624" width="10.7109375" style="1692" bestFit="1" customWidth="1"/>
    <col min="4625" max="4772" width="9.140625" style="1692"/>
    <col min="4773" max="4773" width="5.85546875" style="1692" customWidth="1"/>
    <col min="4774" max="4774" width="55.42578125" style="1692" bestFit="1" customWidth="1"/>
    <col min="4775" max="4867" width="9.140625" style="1692" hidden="1" customWidth="1"/>
    <col min="4868" max="4878" width="10.7109375" style="1692" customWidth="1"/>
    <col min="4879" max="4879" width="10.85546875" style="1692" customWidth="1"/>
    <col min="4880" max="4880" width="10.7109375" style="1692" bestFit="1" customWidth="1"/>
    <col min="4881" max="5028" width="9.140625" style="1692"/>
    <col min="5029" max="5029" width="5.85546875" style="1692" customWidth="1"/>
    <col min="5030" max="5030" width="55.42578125" style="1692" bestFit="1" customWidth="1"/>
    <col min="5031" max="5123" width="9.140625" style="1692" hidden="1" customWidth="1"/>
    <col min="5124" max="5134" width="10.7109375" style="1692" customWidth="1"/>
    <col min="5135" max="5135" width="10.85546875" style="1692" customWidth="1"/>
    <col min="5136" max="5136" width="10.7109375" style="1692" bestFit="1" customWidth="1"/>
    <col min="5137" max="5284" width="9.140625" style="1692"/>
    <col min="5285" max="5285" width="5.85546875" style="1692" customWidth="1"/>
    <col min="5286" max="5286" width="55.42578125" style="1692" bestFit="1" customWidth="1"/>
    <col min="5287" max="5379" width="9.140625" style="1692" hidden="1" customWidth="1"/>
    <col min="5380" max="5390" width="10.7109375" style="1692" customWidth="1"/>
    <col min="5391" max="5391" width="10.85546875" style="1692" customWidth="1"/>
    <col min="5392" max="5392" width="10.7109375" style="1692" bestFit="1" customWidth="1"/>
    <col min="5393" max="5540" width="9.140625" style="1692"/>
    <col min="5541" max="5541" width="5.85546875" style="1692" customWidth="1"/>
    <col min="5542" max="5542" width="55.42578125" style="1692" bestFit="1" customWidth="1"/>
    <col min="5543" max="5635" width="9.140625" style="1692" hidden="1" customWidth="1"/>
    <col min="5636" max="5646" width="10.7109375" style="1692" customWidth="1"/>
    <col min="5647" max="5647" width="10.85546875" style="1692" customWidth="1"/>
    <col min="5648" max="5648" width="10.7109375" style="1692" bestFit="1" customWidth="1"/>
    <col min="5649" max="5796" width="9.140625" style="1692"/>
    <col min="5797" max="5797" width="5.85546875" style="1692" customWidth="1"/>
    <col min="5798" max="5798" width="55.42578125" style="1692" bestFit="1" customWidth="1"/>
    <col min="5799" max="5891" width="9.140625" style="1692" hidden="1" customWidth="1"/>
    <col min="5892" max="5902" width="10.7109375" style="1692" customWidth="1"/>
    <col min="5903" max="5903" width="10.85546875" style="1692" customWidth="1"/>
    <col min="5904" max="5904" width="10.7109375" style="1692" bestFit="1" customWidth="1"/>
    <col min="5905" max="6052" width="9.140625" style="1692"/>
    <col min="6053" max="6053" width="5.85546875" style="1692" customWidth="1"/>
    <col min="6054" max="6054" width="55.42578125" style="1692" bestFit="1" customWidth="1"/>
    <col min="6055" max="6147" width="9.140625" style="1692" hidden="1" customWidth="1"/>
    <col min="6148" max="6158" width="10.7109375" style="1692" customWidth="1"/>
    <col min="6159" max="6159" width="10.85546875" style="1692" customWidth="1"/>
    <col min="6160" max="6160" width="10.7109375" style="1692" bestFit="1" customWidth="1"/>
    <col min="6161" max="6308" width="9.140625" style="1692"/>
    <col min="6309" max="6309" width="5.85546875" style="1692" customWidth="1"/>
    <col min="6310" max="6310" width="55.42578125" style="1692" bestFit="1" customWidth="1"/>
    <col min="6311" max="6403" width="9.140625" style="1692" hidden="1" customWidth="1"/>
    <col min="6404" max="6414" width="10.7109375" style="1692" customWidth="1"/>
    <col min="6415" max="6415" width="10.85546875" style="1692" customWidth="1"/>
    <col min="6416" max="6416" width="10.7109375" style="1692" bestFit="1" customWidth="1"/>
    <col min="6417" max="6564" width="9.140625" style="1692"/>
    <col min="6565" max="6565" width="5.85546875" style="1692" customWidth="1"/>
    <col min="6566" max="6566" width="55.42578125" style="1692" bestFit="1" customWidth="1"/>
    <col min="6567" max="6659" width="9.140625" style="1692" hidden="1" customWidth="1"/>
    <col min="6660" max="6670" width="10.7109375" style="1692" customWidth="1"/>
    <col min="6671" max="6671" width="10.85546875" style="1692" customWidth="1"/>
    <col min="6672" max="6672" width="10.7109375" style="1692" bestFit="1" customWidth="1"/>
    <col min="6673" max="6820" width="9.140625" style="1692"/>
    <col min="6821" max="6821" width="5.85546875" style="1692" customWidth="1"/>
    <col min="6822" max="6822" width="55.42578125" style="1692" bestFit="1" customWidth="1"/>
    <col min="6823" max="6915" width="9.140625" style="1692" hidden="1" customWidth="1"/>
    <col min="6916" max="6926" width="10.7109375" style="1692" customWidth="1"/>
    <col min="6927" max="6927" width="10.85546875" style="1692" customWidth="1"/>
    <col min="6928" max="6928" width="10.7109375" style="1692" bestFit="1" customWidth="1"/>
    <col min="6929" max="7076" width="9.140625" style="1692"/>
    <col min="7077" max="7077" width="5.85546875" style="1692" customWidth="1"/>
    <col min="7078" max="7078" width="55.42578125" style="1692" bestFit="1" customWidth="1"/>
    <col min="7079" max="7171" width="9.140625" style="1692" hidden="1" customWidth="1"/>
    <col min="7172" max="7182" width="10.7109375" style="1692" customWidth="1"/>
    <col min="7183" max="7183" width="10.85546875" style="1692" customWidth="1"/>
    <col min="7184" max="7184" width="10.7109375" style="1692" bestFit="1" customWidth="1"/>
    <col min="7185" max="7332" width="9.140625" style="1692"/>
    <col min="7333" max="7333" width="5.85546875" style="1692" customWidth="1"/>
    <col min="7334" max="7334" width="55.42578125" style="1692" bestFit="1" customWidth="1"/>
    <col min="7335" max="7427" width="9.140625" style="1692" hidden="1" customWidth="1"/>
    <col min="7428" max="7438" width="10.7109375" style="1692" customWidth="1"/>
    <col min="7439" max="7439" width="10.85546875" style="1692" customWidth="1"/>
    <col min="7440" max="7440" width="10.7109375" style="1692" bestFit="1" customWidth="1"/>
    <col min="7441" max="7588" width="9.140625" style="1692"/>
    <col min="7589" max="7589" width="5.85546875" style="1692" customWidth="1"/>
    <col min="7590" max="7590" width="55.42578125" style="1692" bestFit="1" customWidth="1"/>
    <col min="7591" max="7683" width="9.140625" style="1692" hidden="1" customWidth="1"/>
    <col min="7684" max="7694" width="10.7109375" style="1692" customWidth="1"/>
    <col min="7695" max="7695" width="10.85546875" style="1692" customWidth="1"/>
    <col min="7696" max="7696" width="10.7109375" style="1692" bestFit="1" customWidth="1"/>
    <col min="7697" max="7844" width="9.140625" style="1692"/>
    <col min="7845" max="7845" width="5.85546875" style="1692" customWidth="1"/>
    <col min="7846" max="7846" width="55.42578125" style="1692" bestFit="1" customWidth="1"/>
    <col min="7847" max="7939" width="9.140625" style="1692" hidden="1" customWidth="1"/>
    <col min="7940" max="7950" width="10.7109375" style="1692" customWidth="1"/>
    <col min="7951" max="7951" width="10.85546875" style="1692" customWidth="1"/>
    <col min="7952" max="7952" width="10.7109375" style="1692" bestFit="1" customWidth="1"/>
    <col min="7953" max="8100" width="9.140625" style="1692"/>
    <col min="8101" max="8101" width="5.85546875" style="1692" customWidth="1"/>
    <col min="8102" max="8102" width="55.42578125" style="1692" bestFit="1" customWidth="1"/>
    <col min="8103" max="8195" width="9.140625" style="1692" hidden="1" customWidth="1"/>
    <col min="8196" max="8206" width="10.7109375" style="1692" customWidth="1"/>
    <col min="8207" max="8207" width="10.85546875" style="1692" customWidth="1"/>
    <col min="8208" max="8208" width="10.7109375" style="1692" bestFit="1" customWidth="1"/>
    <col min="8209" max="8356" width="9.140625" style="1692"/>
    <col min="8357" max="8357" width="5.85546875" style="1692" customWidth="1"/>
    <col min="8358" max="8358" width="55.42578125" style="1692" bestFit="1" customWidth="1"/>
    <col min="8359" max="8451" width="9.140625" style="1692" hidden="1" customWidth="1"/>
    <col min="8452" max="8462" width="10.7109375" style="1692" customWidth="1"/>
    <col min="8463" max="8463" width="10.85546875" style="1692" customWidth="1"/>
    <col min="8464" max="8464" width="10.7109375" style="1692" bestFit="1" customWidth="1"/>
    <col min="8465" max="8612" width="9.140625" style="1692"/>
    <col min="8613" max="8613" width="5.85546875" style="1692" customWidth="1"/>
    <col min="8614" max="8614" width="55.42578125" style="1692" bestFit="1" customWidth="1"/>
    <col min="8615" max="8707" width="9.140625" style="1692" hidden="1" customWidth="1"/>
    <col min="8708" max="8718" width="10.7109375" style="1692" customWidth="1"/>
    <col min="8719" max="8719" width="10.85546875" style="1692" customWidth="1"/>
    <col min="8720" max="8720" width="10.7109375" style="1692" bestFit="1" customWidth="1"/>
    <col min="8721" max="8868" width="9.140625" style="1692"/>
    <col min="8869" max="8869" width="5.85546875" style="1692" customWidth="1"/>
    <col min="8870" max="8870" width="55.42578125" style="1692" bestFit="1" customWidth="1"/>
    <col min="8871" max="8963" width="9.140625" style="1692" hidden="1" customWidth="1"/>
    <col min="8964" max="8974" width="10.7109375" style="1692" customWidth="1"/>
    <col min="8975" max="8975" width="10.85546875" style="1692" customWidth="1"/>
    <col min="8976" max="8976" width="10.7109375" style="1692" bestFit="1" customWidth="1"/>
    <col min="8977" max="9124" width="9.140625" style="1692"/>
    <col min="9125" max="9125" width="5.85546875" style="1692" customWidth="1"/>
    <col min="9126" max="9126" width="55.42578125" style="1692" bestFit="1" customWidth="1"/>
    <col min="9127" max="9219" width="9.140625" style="1692" hidden="1" customWidth="1"/>
    <col min="9220" max="9230" width="10.7109375" style="1692" customWidth="1"/>
    <col min="9231" max="9231" width="10.85546875" style="1692" customWidth="1"/>
    <col min="9232" max="9232" width="10.7109375" style="1692" bestFit="1" customWidth="1"/>
    <col min="9233" max="9380" width="9.140625" style="1692"/>
    <col min="9381" max="9381" width="5.85546875" style="1692" customWidth="1"/>
    <col min="9382" max="9382" width="55.42578125" style="1692" bestFit="1" customWidth="1"/>
    <col min="9383" max="9475" width="9.140625" style="1692" hidden="1" customWidth="1"/>
    <col min="9476" max="9486" width="10.7109375" style="1692" customWidth="1"/>
    <col min="9487" max="9487" width="10.85546875" style="1692" customWidth="1"/>
    <col min="9488" max="9488" width="10.7109375" style="1692" bestFit="1" customWidth="1"/>
    <col min="9489" max="9636" width="9.140625" style="1692"/>
    <col min="9637" max="9637" width="5.85546875" style="1692" customWidth="1"/>
    <col min="9638" max="9638" width="55.42578125" style="1692" bestFit="1" customWidth="1"/>
    <col min="9639" max="9731" width="9.140625" style="1692" hidden="1" customWidth="1"/>
    <col min="9732" max="9742" width="10.7109375" style="1692" customWidth="1"/>
    <col min="9743" max="9743" width="10.85546875" style="1692" customWidth="1"/>
    <col min="9744" max="9744" width="10.7109375" style="1692" bestFit="1" customWidth="1"/>
    <col min="9745" max="9892" width="9.140625" style="1692"/>
    <col min="9893" max="9893" width="5.85546875" style="1692" customWidth="1"/>
    <col min="9894" max="9894" width="55.42578125" style="1692" bestFit="1" customWidth="1"/>
    <col min="9895" max="9987" width="9.140625" style="1692" hidden="1" customWidth="1"/>
    <col min="9988" max="9998" width="10.7109375" style="1692" customWidth="1"/>
    <col min="9999" max="9999" width="10.85546875" style="1692" customWidth="1"/>
    <col min="10000" max="10000" width="10.7109375" style="1692" bestFit="1" customWidth="1"/>
    <col min="10001" max="10148" width="9.140625" style="1692"/>
    <col min="10149" max="10149" width="5.85546875" style="1692" customWidth="1"/>
    <col min="10150" max="10150" width="55.42578125" style="1692" bestFit="1" customWidth="1"/>
    <col min="10151" max="10243" width="9.140625" style="1692" hidden="1" customWidth="1"/>
    <col min="10244" max="10254" width="10.7109375" style="1692" customWidth="1"/>
    <col min="10255" max="10255" width="10.85546875" style="1692" customWidth="1"/>
    <col min="10256" max="10256" width="10.7109375" style="1692" bestFit="1" customWidth="1"/>
    <col min="10257" max="10404" width="9.140625" style="1692"/>
    <col min="10405" max="10405" width="5.85546875" style="1692" customWidth="1"/>
    <col min="10406" max="10406" width="55.42578125" style="1692" bestFit="1" customWidth="1"/>
    <col min="10407" max="10499" width="9.140625" style="1692" hidden="1" customWidth="1"/>
    <col min="10500" max="10510" width="10.7109375" style="1692" customWidth="1"/>
    <col min="10511" max="10511" width="10.85546875" style="1692" customWidth="1"/>
    <col min="10512" max="10512" width="10.7109375" style="1692" bestFit="1" customWidth="1"/>
    <col min="10513" max="10660" width="9.140625" style="1692"/>
    <col min="10661" max="10661" width="5.85546875" style="1692" customWidth="1"/>
    <col min="10662" max="10662" width="55.42578125" style="1692" bestFit="1" customWidth="1"/>
    <col min="10663" max="10755" width="9.140625" style="1692" hidden="1" customWidth="1"/>
    <col min="10756" max="10766" width="10.7109375" style="1692" customWidth="1"/>
    <col min="10767" max="10767" width="10.85546875" style="1692" customWidth="1"/>
    <col min="10768" max="10768" width="10.7109375" style="1692" bestFit="1" customWidth="1"/>
    <col min="10769" max="10916" width="9.140625" style="1692"/>
    <col min="10917" max="10917" width="5.85546875" style="1692" customWidth="1"/>
    <col min="10918" max="10918" width="55.42578125" style="1692" bestFit="1" customWidth="1"/>
    <col min="10919" max="11011" width="9.140625" style="1692" hidden="1" customWidth="1"/>
    <col min="11012" max="11022" width="10.7109375" style="1692" customWidth="1"/>
    <col min="11023" max="11023" width="10.85546875" style="1692" customWidth="1"/>
    <col min="11024" max="11024" width="10.7109375" style="1692" bestFit="1" customWidth="1"/>
    <col min="11025" max="11172" width="9.140625" style="1692"/>
    <col min="11173" max="11173" width="5.85546875" style="1692" customWidth="1"/>
    <col min="11174" max="11174" width="55.42578125" style="1692" bestFit="1" customWidth="1"/>
    <col min="11175" max="11267" width="9.140625" style="1692" hidden="1" customWidth="1"/>
    <col min="11268" max="11278" width="10.7109375" style="1692" customWidth="1"/>
    <col min="11279" max="11279" width="10.85546875" style="1692" customWidth="1"/>
    <col min="11280" max="11280" width="10.7109375" style="1692" bestFit="1" customWidth="1"/>
    <col min="11281" max="11428" width="9.140625" style="1692"/>
    <col min="11429" max="11429" width="5.85546875" style="1692" customWidth="1"/>
    <col min="11430" max="11430" width="55.42578125" style="1692" bestFit="1" customWidth="1"/>
    <col min="11431" max="11523" width="9.140625" style="1692" hidden="1" customWidth="1"/>
    <col min="11524" max="11534" width="10.7109375" style="1692" customWidth="1"/>
    <col min="11535" max="11535" width="10.85546875" style="1692" customWidth="1"/>
    <col min="11536" max="11536" width="10.7109375" style="1692" bestFit="1" customWidth="1"/>
    <col min="11537" max="11684" width="9.140625" style="1692"/>
    <col min="11685" max="11685" width="5.85546875" style="1692" customWidth="1"/>
    <col min="11686" max="11686" width="55.42578125" style="1692" bestFit="1" customWidth="1"/>
    <col min="11687" max="11779" width="9.140625" style="1692" hidden="1" customWidth="1"/>
    <col min="11780" max="11790" width="10.7109375" style="1692" customWidth="1"/>
    <col min="11791" max="11791" width="10.85546875" style="1692" customWidth="1"/>
    <col min="11792" max="11792" width="10.7109375" style="1692" bestFit="1" customWidth="1"/>
    <col min="11793" max="11940" width="9.140625" style="1692"/>
    <col min="11941" max="11941" width="5.85546875" style="1692" customWidth="1"/>
    <col min="11942" max="11942" width="55.42578125" style="1692" bestFit="1" customWidth="1"/>
    <col min="11943" max="12035" width="9.140625" style="1692" hidden="1" customWidth="1"/>
    <col min="12036" max="12046" width="10.7109375" style="1692" customWidth="1"/>
    <col min="12047" max="12047" width="10.85546875" style="1692" customWidth="1"/>
    <col min="12048" max="12048" width="10.7109375" style="1692" bestFit="1" customWidth="1"/>
    <col min="12049" max="12196" width="9.140625" style="1692"/>
    <col min="12197" max="12197" width="5.85546875" style="1692" customWidth="1"/>
    <col min="12198" max="12198" width="55.42578125" style="1692" bestFit="1" customWidth="1"/>
    <col min="12199" max="12291" width="9.140625" style="1692" hidden="1" customWidth="1"/>
    <col min="12292" max="12302" width="10.7109375" style="1692" customWidth="1"/>
    <col min="12303" max="12303" width="10.85546875" style="1692" customWidth="1"/>
    <col min="12304" max="12304" width="10.7109375" style="1692" bestFit="1" customWidth="1"/>
    <col min="12305" max="12452" width="9.140625" style="1692"/>
    <col min="12453" max="12453" width="5.85546875" style="1692" customWidth="1"/>
    <col min="12454" max="12454" width="55.42578125" style="1692" bestFit="1" customWidth="1"/>
    <col min="12455" max="12547" width="9.140625" style="1692" hidden="1" customWidth="1"/>
    <col min="12548" max="12558" width="10.7109375" style="1692" customWidth="1"/>
    <col min="12559" max="12559" width="10.85546875" style="1692" customWidth="1"/>
    <col min="12560" max="12560" width="10.7109375" style="1692" bestFit="1" customWidth="1"/>
    <col min="12561" max="12708" width="9.140625" style="1692"/>
    <col min="12709" max="12709" width="5.85546875" style="1692" customWidth="1"/>
    <col min="12710" max="12710" width="55.42578125" style="1692" bestFit="1" customWidth="1"/>
    <col min="12711" max="12803" width="9.140625" style="1692" hidden="1" customWidth="1"/>
    <col min="12804" max="12814" width="10.7109375" style="1692" customWidth="1"/>
    <col min="12815" max="12815" width="10.85546875" style="1692" customWidth="1"/>
    <col min="12816" max="12816" width="10.7109375" style="1692" bestFit="1" customWidth="1"/>
    <col min="12817" max="12964" width="9.140625" style="1692"/>
    <col min="12965" max="12965" width="5.85546875" style="1692" customWidth="1"/>
    <col min="12966" max="12966" width="55.42578125" style="1692" bestFit="1" customWidth="1"/>
    <col min="12967" max="13059" width="9.140625" style="1692" hidden="1" customWidth="1"/>
    <col min="13060" max="13070" width="10.7109375" style="1692" customWidth="1"/>
    <col min="13071" max="13071" width="10.85546875" style="1692" customWidth="1"/>
    <col min="13072" max="13072" width="10.7109375" style="1692" bestFit="1" customWidth="1"/>
    <col min="13073" max="13220" width="9.140625" style="1692"/>
    <col min="13221" max="13221" width="5.85546875" style="1692" customWidth="1"/>
    <col min="13222" max="13222" width="55.42578125" style="1692" bestFit="1" customWidth="1"/>
    <col min="13223" max="13315" width="9.140625" style="1692" hidden="1" customWidth="1"/>
    <col min="13316" max="13326" width="10.7109375" style="1692" customWidth="1"/>
    <col min="13327" max="13327" width="10.85546875" style="1692" customWidth="1"/>
    <col min="13328" max="13328" width="10.7109375" style="1692" bestFit="1" customWidth="1"/>
    <col min="13329" max="13476" width="9.140625" style="1692"/>
    <col min="13477" max="13477" width="5.85546875" style="1692" customWidth="1"/>
    <col min="13478" max="13478" width="55.42578125" style="1692" bestFit="1" customWidth="1"/>
    <col min="13479" max="13571" width="9.140625" style="1692" hidden="1" customWidth="1"/>
    <col min="13572" max="13582" width="10.7109375" style="1692" customWidth="1"/>
    <col min="13583" max="13583" width="10.85546875" style="1692" customWidth="1"/>
    <col min="13584" max="13584" width="10.7109375" style="1692" bestFit="1" customWidth="1"/>
    <col min="13585" max="13732" width="9.140625" style="1692"/>
    <col min="13733" max="13733" width="5.85546875" style="1692" customWidth="1"/>
    <col min="13734" max="13734" width="55.42578125" style="1692" bestFit="1" customWidth="1"/>
    <col min="13735" max="13827" width="9.140625" style="1692" hidden="1" customWidth="1"/>
    <col min="13828" max="13838" width="10.7109375" style="1692" customWidth="1"/>
    <col min="13839" max="13839" width="10.85546875" style="1692" customWidth="1"/>
    <col min="13840" max="13840" width="10.7109375" style="1692" bestFit="1" customWidth="1"/>
    <col min="13841" max="13988" width="9.140625" style="1692"/>
    <col min="13989" max="13989" width="5.85546875" style="1692" customWidth="1"/>
    <col min="13990" max="13990" width="55.42578125" style="1692" bestFit="1" customWidth="1"/>
    <col min="13991" max="14083" width="9.140625" style="1692" hidden="1" customWidth="1"/>
    <col min="14084" max="14094" width="10.7109375" style="1692" customWidth="1"/>
    <col min="14095" max="14095" width="10.85546875" style="1692" customWidth="1"/>
    <col min="14096" max="14096" width="10.7109375" style="1692" bestFit="1" customWidth="1"/>
    <col min="14097" max="14244" width="9.140625" style="1692"/>
    <col min="14245" max="14245" width="5.85546875" style="1692" customWidth="1"/>
    <col min="14246" max="14246" width="55.42578125" style="1692" bestFit="1" customWidth="1"/>
    <col min="14247" max="14339" width="9.140625" style="1692" hidden="1" customWidth="1"/>
    <col min="14340" max="14350" width="10.7109375" style="1692" customWidth="1"/>
    <col min="14351" max="14351" width="10.85546875" style="1692" customWidth="1"/>
    <col min="14352" max="14352" width="10.7109375" style="1692" bestFit="1" customWidth="1"/>
    <col min="14353" max="14500" width="9.140625" style="1692"/>
    <col min="14501" max="14501" width="5.85546875" style="1692" customWidth="1"/>
    <col min="14502" max="14502" width="55.42578125" style="1692" bestFit="1" customWidth="1"/>
    <col min="14503" max="14595" width="9.140625" style="1692" hidden="1" customWidth="1"/>
    <col min="14596" max="14606" width="10.7109375" style="1692" customWidth="1"/>
    <col min="14607" max="14607" width="10.85546875" style="1692" customWidth="1"/>
    <col min="14608" max="14608" width="10.7109375" style="1692" bestFit="1" customWidth="1"/>
    <col min="14609" max="14756" width="9.140625" style="1692"/>
    <col min="14757" max="14757" width="5.85546875" style="1692" customWidth="1"/>
    <col min="14758" max="14758" width="55.42578125" style="1692" bestFit="1" customWidth="1"/>
    <col min="14759" max="14851" width="9.140625" style="1692" hidden="1" customWidth="1"/>
    <col min="14852" max="14862" width="10.7109375" style="1692" customWidth="1"/>
    <col min="14863" max="14863" width="10.85546875" style="1692" customWidth="1"/>
    <col min="14864" max="14864" width="10.7109375" style="1692" bestFit="1" customWidth="1"/>
    <col min="14865" max="15012" width="9.140625" style="1692"/>
    <col min="15013" max="15013" width="5.85546875" style="1692" customWidth="1"/>
    <col min="15014" max="15014" width="55.42578125" style="1692" bestFit="1" customWidth="1"/>
    <col min="15015" max="15107" width="9.140625" style="1692" hidden="1" customWidth="1"/>
    <col min="15108" max="15118" width="10.7109375" style="1692" customWidth="1"/>
    <col min="15119" max="15119" width="10.85546875" style="1692" customWidth="1"/>
    <col min="15120" max="15120" width="10.7109375" style="1692" bestFit="1" customWidth="1"/>
    <col min="15121" max="15268" width="9.140625" style="1692"/>
    <col min="15269" max="15269" width="5.85546875" style="1692" customWidth="1"/>
    <col min="15270" max="15270" width="55.42578125" style="1692" bestFit="1" customWidth="1"/>
    <col min="15271" max="15363" width="9.140625" style="1692" hidden="1" customWidth="1"/>
    <col min="15364" max="15374" width="10.7109375" style="1692" customWidth="1"/>
    <col min="15375" max="15375" width="10.85546875" style="1692" customWidth="1"/>
    <col min="15376" max="15376" width="10.7109375" style="1692" bestFit="1" customWidth="1"/>
    <col min="15377" max="15524" width="9.140625" style="1692"/>
    <col min="15525" max="15525" width="5.85546875" style="1692" customWidth="1"/>
    <col min="15526" max="15526" width="55.42578125" style="1692" bestFit="1" customWidth="1"/>
    <col min="15527" max="15619" width="9.140625" style="1692" hidden="1" customWidth="1"/>
    <col min="15620" max="15630" width="10.7109375" style="1692" customWidth="1"/>
    <col min="15631" max="15631" width="10.85546875" style="1692" customWidth="1"/>
    <col min="15632" max="15632" width="10.7109375" style="1692" bestFit="1" customWidth="1"/>
    <col min="15633" max="15780" width="9.140625" style="1692"/>
    <col min="15781" max="15781" width="5.85546875" style="1692" customWidth="1"/>
    <col min="15782" max="15782" width="55.42578125" style="1692" bestFit="1" customWidth="1"/>
    <col min="15783" max="15875" width="9.140625" style="1692" hidden="1" customWidth="1"/>
    <col min="15876" max="15886" width="10.7109375" style="1692" customWidth="1"/>
    <col min="15887" max="15887" width="10.85546875" style="1692" customWidth="1"/>
    <col min="15888" max="15888" width="10.7109375" style="1692" bestFit="1" customWidth="1"/>
    <col min="15889" max="16036" width="9.140625" style="1692"/>
    <col min="16037" max="16037" width="5.85546875" style="1692" customWidth="1"/>
    <col min="16038" max="16038" width="55.42578125" style="1692" bestFit="1" customWidth="1"/>
    <col min="16039" max="16131" width="9.140625" style="1692" hidden="1" customWidth="1"/>
    <col min="16132" max="16142" width="10.7109375" style="1692" customWidth="1"/>
    <col min="16143" max="16143" width="10.85546875" style="1692" customWidth="1"/>
    <col min="16144" max="16144" width="10.7109375" style="1692" bestFit="1" customWidth="1"/>
    <col min="16145" max="16384" width="9.140625" style="1692"/>
  </cols>
  <sheetData>
    <row r="1" spans="1:61" ht="21.75" customHeight="1" x14ac:dyDescent="0.3">
      <c r="A1" s="2735" t="s">
        <v>2618</v>
      </c>
      <c r="B1" s="2736"/>
    </row>
    <row r="2" spans="1:61" ht="18" thickBot="1" x14ac:dyDescent="0.35">
      <c r="A2" s="2649"/>
      <c r="B2" s="2729"/>
      <c r="D2" s="1694"/>
      <c r="E2" s="1694"/>
      <c r="F2" s="1694"/>
      <c r="H2" s="1694"/>
      <c r="S2" s="1694"/>
      <c r="X2" s="1694"/>
      <c r="AE2" s="1694"/>
      <c r="AR2" s="1694"/>
      <c r="AS2" s="1694"/>
      <c r="AT2" s="1694"/>
      <c r="AU2" s="1694"/>
      <c r="AV2" s="1694"/>
      <c r="AW2" s="1694"/>
      <c r="AX2" s="1694"/>
      <c r="AY2" s="1694"/>
      <c r="AZ2" s="1694"/>
      <c r="BA2" s="1694"/>
      <c r="BB2" s="1694"/>
      <c r="BC2" s="1694"/>
      <c r="BD2" s="1694"/>
      <c r="BE2" s="1694"/>
      <c r="BF2" s="1694"/>
      <c r="BG2" s="1694"/>
      <c r="BH2" s="1694"/>
      <c r="BI2" s="1694" t="s">
        <v>281</v>
      </c>
    </row>
    <row r="3" spans="1:61" ht="24" customHeight="1" thickTop="1" thickBot="1" x14ac:dyDescent="0.35">
      <c r="A3" s="2651" t="s">
        <v>2502</v>
      </c>
      <c r="B3" s="2651" t="s">
        <v>773</v>
      </c>
      <c r="C3" s="2723">
        <v>43374</v>
      </c>
      <c r="D3" s="2723">
        <v>43405</v>
      </c>
      <c r="E3" s="2723">
        <v>43435</v>
      </c>
      <c r="F3" s="2723">
        <v>43466</v>
      </c>
      <c r="G3" s="2723">
        <v>43497</v>
      </c>
      <c r="H3" s="2723">
        <v>43525</v>
      </c>
      <c r="I3" s="2723">
        <v>43556</v>
      </c>
      <c r="J3" s="2723">
        <v>43586</v>
      </c>
      <c r="K3" s="2723">
        <v>43617</v>
      </c>
      <c r="L3" s="2723">
        <v>43647</v>
      </c>
      <c r="M3" s="2723">
        <v>43678</v>
      </c>
      <c r="N3" s="2723">
        <v>43709</v>
      </c>
      <c r="O3" s="2723">
        <v>43739</v>
      </c>
      <c r="P3" s="2723">
        <v>43770</v>
      </c>
      <c r="Q3" s="2723">
        <v>43800</v>
      </c>
      <c r="R3" s="2723">
        <v>43831</v>
      </c>
      <c r="S3" s="2652" t="s">
        <v>2590</v>
      </c>
      <c r="T3" s="2652" t="s">
        <v>477</v>
      </c>
      <c r="U3" s="2652" t="s">
        <v>2591</v>
      </c>
      <c r="V3" s="2652" t="s">
        <v>2592</v>
      </c>
      <c r="W3" s="2652" t="s">
        <v>2619</v>
      </c>
      <c r="X3" s="2652" t="s">
        <v>314</v>
      </c>
      <c r="Y3" s="2652" t="s">
        <v>315</v>
      </c>
      <c r="Z3" s="2652" t="s">
        <v>316</v>
      </c>
      <c r="AA3" s="2652" t="s">
        <v>317</v>
      </c>
      <c r="AB3" s="2652" t="s">
        <v>318</v>
      </c>
      <c r="AC3" s="2652" t="s">
        <v>319</v>
      </c>
      <c r="AD3" s="2652" t="s">
        <v>320</v>
      </c>
      <c r="AE3" s="2652" t="s">
        <v>2593</v>
      </c>
      <c r="AF3" s="2652" t="s">
        <v>322</v>
      </c>
      <c r="AG3" s="2652" t="s">
        <v>2620</v>
      </c>
      <c r="AH3" s="2652" t="s">
        <v>483</v>
      </c>
      <c r="AI3" s="2652" t="s">
        <v>484</v>
      </c>
      <c r="AJ3" s="2652" t="s">
        <v>2621</v>
      </c>
      <c r="AK3" s="2652" t="s">
        <v>2622</v>
      </c>
      <c r="AL3" s="2652" t="s">
        <v>2623</v>
      </c>
      <c r="AM3" s="2652" t="s">
        <v>2624</v>
      </c>
      <c r="AN3" s="2652" t="s">
        <v>2625</v>
      </c>
      <c r="AO3" s="2652" t="s">
        <v>2626</v>
      </c>
      <c r="AP3" s="2652">
        <v>44562</v>
      </c>
      <c r="AQ3" s="2652">
        <v>44593</v>
      </c>
      <c r="AR3" s="2652">
        <v>44621</v>
      </c>
      <c r="AS3" s="2652">
        <v>44652</v>
      </c>
      <c r="AT3" s="2652">
        <v>44682</v>
      </c>
      <c r="AU3" s="2652">
        <v>44713</v>
      </c>
      <c r="AV3" s="2652">
        <v>44743</v>
      </c>
      <c r="AW3" s="2652">
        <v>44774</v>
      </c>
      <c r="AX3" s="2652">
        <v>44805</v>
      </c>
      <c r="AY3" s="2652">
        <v>44835</v>
      </c>
      <c r="AZ3" s="2652">
        <v>44866</v>
      </c>
      <c r="BA3" s="2652">
        <v>44896</v>
      </c>
      <c r="BB3" s="2652">
        <v>44927</v>
      </c>
      <c r="BC3" s="2652">
        <v>44958</v>
      </c>
      <c r="BD3" s="2652">
        <v>44986</v>
      </c>
      <c r="BE3" s="2652">
        <v>45017</v>
      </c>
      <c r="BF3" s="2652">
        <v>45047</v>
      </c>
      <c r="BG3" s="2652">
        <v>45078</v>
      </c>
      <c r="BH3" s="2652">
        <v>45108</v>
      </c>
      <c r="BI3" s="2652">
        <v>45139</v>
      </c>
    </row>
    <row r="4" spans="1:61" ht="18" customHeight="1" thickTop="1" x14ac:dyDescent="0.3">
      <c r="A4" s="2653"/>
      <c r="B4" s="2653"/>
      <c r="C4" s="2654"/>
      <c r="D4" s="2654"/>
      <c r="E4" s="2654"/>
      <c r="F4" s="2654"/>
      <c r="G4" s="2654"/>
      <c r="H4" s="2654"/>
      <c r="I4" s="2654"/>
      <c r="J4" s="2654"/>
      <c r="K4" s="2654"/>
      <c r="L4" s="2654"/>
      <c r="M4" s="2654"/>
      <c r="N4" s="2654"/>
      <c r="O4" s="2654"/>
      <c r="P4" s="2654"/>
      <c r="Q4" s="2654"/>
      <c r="R4" s="2654"/>
      <c r="S4" s="2654"/>
      <c r="T4" s="2654"/>
      <c r="U4" s="2654"/>
      <c r="V4" s="2654"/>
      <c r="W4" s="2654"/>
      <c r="X4" s="2654"/>
      <c r="Y4" s="2654"/>
      <c r="Z4" s="2654"/>
      <c r="AA4" s="2654"/>
      <c r="AB4" s="2654"/>
      <c r="AC4" s="2654"/>
      <c r="AD4" s="2654"/>
      <c r="AE4" s="2654"/>
      <c r="AF4" s="2654"/>
      <c r="AG4" s="2654"/>
      <c r="AH4" s="2654"/>
      <c r="AI4" s="2654"/>
      <c r="AJ4" s="2654"/>
      <c r="AK4" s="2654"/>
      <c r="AL4" s="2654"/>
      <c r="AM4" s="2654"/>
      <c r="AN4" s="2654"/>
      <c r="AO4" s="2654"/>
      <c r="AP4" s="2654"/>
      <c r="AQ4" s="2654"/>
      <c r="AR4" s="2654"/>
      <c r="AS4" s="2654"/>
      <c r="AT4" s="2654"/>
      <c r="AU4" s="2654"/>
      <c r="AV4" s="2654"/>
      <c r="AW4" s="2654"/>
      <c r="AX4" s="2654"/>
      <c r="AY4" s="2654"/>
      <c r="AZ4" s="2654"/>
      <c r="BA4" s="2654"/>
      <c r="BB4" s="2654"/>
      <c r="BC4" s="2654"/>
      <c r="BD4" s="2654"/>
      <c r="BE4" s="2654"/>
      <c r="BF4" s="2654"/>
      <c r="BG4" s="2654"/>
      <c r="BH4" s="2654"/>
      <c r="BI4" s="2654"/>
    </row>
    <row r="5" spans="1:61" ht="18" customHeight="1" x14ac:dyDescent="0.3">
      <c r="A5" s="2655" t="s">
        <v>2508</v>
      </c>
      <c r="B5" s="2655" t="s">
        <v>2511</v>
      </c>
      <c r="C5" s="2687">
        <v>6889.5157246000008</v>
      </c>
      <c r="D5" s="2687">
        <v>6860.1638053400002</v>
      </c>
      <c r="E5" s="2687">
        <v>7137.9533715400012</v>
      </c>
      <c r="F5" s="2687">
        <v>7065.0594082700009</v>
      </c>
      <c r="G5" s="2687">
        <v>6918.2987180299997</v>
      </c>
      <c r="H5" s="2687">
        <v>7130.6788687300004</v>
      </c>
      <c r="I5" s="2687">
        <v>9906.0073724700014</v>
      </c>
      <c r="J5" s="2687">
        <v>7890.4231340100005</v>
      </c>
      <c r="K5" s="2687">
        <v>8069.9081984799996</v>
      </c>
      <c r="L5" s="2687">
        <v>8213.1324725599989</v>
      </c>
      <c r="M5" s="2687">
        <v>8040.98475074</v>
      </c>
      <c r="N5" s="2687">
        <v>8143.8793263400003</v>
      </c>
      <c r="O5" s="2687">
        <v>8014.0373515900001</v>
      </c>
      <c r="P5" s="2687">
        <v>7670.1874028599996</v>
      </c>
      <c r="Q5" s="2687">
        <v>7972.3419708899992</v>
      </c>
      <c r="R5" s="2687">
        <v>8269.4315490999998</v>
      </c>
      <c r="S5" s="2687">
        <v>7376.8085596000001</v>
      </c>
      <c r="T5" s="2687">
        <v>8000.3086672099989</v>
      </c>
      <c r="U5" s="2687">
        <v>9306.8694179100003</v>
      </c>
      <c r="V5" s="2687">
        <v>9481.0869493899991</v>
      </c>
      <c r="W5" s="2687">
        <v>7778.6035591199989</v>
      </c>
      <c r="X5" s="2687">
        <v>7054.1898808799997</v>
      </c>
      <c r="Y5" s="2687">
        <v>6634.5639321799999</v>
      </c>
      <c r="Z5" s="2687">
        <v>6428.6312984300002</v>
      </c>
      <c r="AA5" s="2687">
        <v>6524.6855502199996</v>
      </c>
      <c r="AB5" s="2687">
        <v>7159.0727882600004</v>
      </c>
      <c r="AC5" s="2687">
        <v>7168.3112889499998</v>
      </c>
      <c r="AD5" s="2687">
        <v>7011.7270396000004</v>
      </c>
      <c r="AE5" s="2687">
        <v>6616.7358665399997</v>
      </c>
      <c r="AF5" s="2687">
        <v>6411.2204412499996</v>
      </c>
      <c r="AG5" s="2687">
        <v>7653.285775790001</v>
      </c>
      <c r="AH5" s="2687">
        <v>7383.2788158899994</v>
      </c>
      <c r="AI5" s="2687">
        <v>6575.0359640900006</v>
      </c>
      <c r="AJ5" s="2687">
        <v>5943.0858797800001</v>
      </c>
      <c r="AK5" s="2687">
        <v>6028.4690684300003</v>
      </c>
      <c r="AL5" s="2687">
        <v>6126.4740527700005</v>
      </c>
      <c r="AM5" s="2687">
        <v>6115.5288866499995</v>
      </c>
      <c r="AN5" s="2687">
        <v>6075.5837037499996</v>
      </c>
      <c r="AO5" s="2687">
        <v>5486.2068453500005</v>
      </c>
      <c r="AP5" s="2687">
        <v>4819.7056421499992</v>
      </c>
      <c r="AQ5" s="2687">
        <v>4988.1900561900002</v>
      </c>
      <c r="AR5" s="2687">
        <v>4888.4831000300001</v>
      </c>
      <c r="AS5" s="2687">
        <v>4414.6965698200001</v>
      </c>
      <c r="AT5" s="2687">
        <v>4315.3585836400007</v>
      </c>
      <c r="AU5" s="2687">
        <v>4288.2209399500007</v>
      </c>
      <c r="AV5" s="2687">
        <v>4855.6141884600002</v>
      </c>
      <c r="AW5" s="2687">
        <v>4129.9725061500003</v>
      </c>
      <c r="AX5" s="2687">
        <v>3583.3053595900001</v>
      </c>
      <c r="AY5" s="2687">
        <v>3795.7147768599998</v>
      </c>
      <c r="AZ5" s="2687">
        <v>5162.7891246600002</v>
      </c>
      <c r="BA5" s="2687">
        <v>4988.1807752799996</v>
      </c>
      <c r="BB5" s="2687">
        <v>5159.9555791800003</v>
      </c>
      <c r="BC5" s="2687">
        <v>5496.7141846800005</v>
      </c>
      <c r="BD5" s="2687">
        <v>4951.0265530300003</v>
      </c>
      <c r="BE5" s="2687">
        <v>5014.3263484300005</v>
      </c>
      <c r="BF5" s="2687">
        <v>4974.0459515800003</v>
      </c>
      <c r="BG5" s="2687">
        <v>4886.5950898700012</v>
      </c>
      <c r="BH5" s="2687">
        <v>5786.1954807499997</v>
      </c>
      <c r="BI5" s="2687">
        <v>5569.4108723900017</v>
      </c>
    </row>
    <row r="6" spans="1:61" ht="18" customHeight="1" x14ac:dyDescent="0.3">
      <c r="A6" s="2658" t="s">
        <v>2600</v>
      </c>
      <c r="B6" s="2662" t="s">
        <v>965</v>
      </c>
      <c r="C6" s="2693">
        <v>2.1255316899999999</v>
      </c>
      <c r="D6" s="2693">
        <v>2.1192754300000001</v>
      </c>
      <c r="E6" s="2693">
        <v>2.2282869499999998</v>
      </c>
      <c r="F6" s="2693">
        <v>2.07141061</v>
      </c>
      <c r="G6" s="2693">
        <v>2.3350382800000005</v>
      </c>
      <c r="H6" s="2693">
        <v>2.0283251600000001</v>
      </c>
      <c r="I6" s="2693">
        <v>2.0672495999999998</v>
      </c>
      <c r="J6" s="2693">
        <v>2.3479572500000003</v>
      </c>
      <c r="K6" s="2693">
        <v>2.0449950299999999</v>
      </c>
      <c r="L6" s="2693">
        <v>1.8257430799999999</v>
      </c>
      <c r="M6" s="2693">
        <v>2.1015982600000003</v>
      </c>
      <c r="N6" s="2693">
        <v>2.2091104599999998</v>
      </c>
      <c r="O6" s="2693">
        <v>2.1396711399999999</v>
      </c>
      <c r="P6" s="2693">
        <v>3.2172066800000003</v>
      </c>
      <c r="Q6" s="2693">
        <v>3.66200766</v>
      </c>
      <c r="R6" s="2693">
        <v>3.6962569599999999</v>
      </c>
      <c r="S6" s="2693">
        <v>2.3838034100000001</v>
      </c>
      <c r="T6" s="2693">
        <v>2.1940803999999998</v>
      </c>
      <c r="U6" s="2693">
        <v>2.2731981700000001</v>
      </c>
      <c r="V6" s="2693">
        <v>3.6700169799999998</v>
      </c>
      <c r="W6" s="2693">
        <v>3.2185672599999999</v>
      </c>
      <c r="X6" s="2693">
        <v>3.3822865000000002</v>
      </c>
      <c r="Y6" s="2693">
        <v>4.00424281</v>
      </c>
      <c r="Z6" s="2693">
        <v>3.1150479199999999</v>
      </c>
      <c r="AA6" s="2693">
        <v>2.9779581800000003</v>
      </c>
      <c r="AB6" s="2693">
        <v>3.5097541899999998</v>
      </c>
      <c r="AC6" s="2693">
        <v>2.5970547199999996</v>
      </c>
      <c r="AD6" s="2693">
        <v>3.6482944899999996</v>
      </c>
      <c r="AE6" s="2693">
        <v>3.0722889599999998</v>
      </c>
      <c r="AF6" s="2693">
        <v>2.8867610899999998</v>
      </c>
      <c r="AG6" s="2693">
        <v>3.6579236600000002</v>
      </c>
      <c r="AH6" s="2693">
        <v>2.9862671399999998</v>
      </c>
      <c r="AI6" s="2693">
        <v>3.0295410199999999</v>
      </c>
      <c r="AJ6" s="2693">
        <v>3.1218672700000001</v>
      </c>
      <c r="AK6" s="2693">
        <v>3.0773278500000001</v>
      </c>
      <c r="AL6" s="2693">
        <v>3.3284520999999998</v>
      </c>
      <c r="AM6" s="2693">
        <v>3.2989905199999998</v>
      </c>
      <c r="AN6" s="2693">
        <v>3.4316191000000003</v>
      </c>
      <c r="AO6" s="2693">
        <v>2.9085969199999999</v>
      </c>
      <c r="AP6" s="2693">
        <v>4.3289331399999993</v>
      </c>
      <c r="AQ6" s="2693">
        <v>3.9958907399999997</v>
      </c>
      <c r="AR6" s="2693">
        <v>3.2823263700000003</v>
      </c>
      <c r="AS6" s="2693">
        <v>3.61119916</v>
      </c>
      <c r="AT6" s="2693">
        <v>3.56459233</v>
      </c>
      <c r="AU6" s="2693">
        <v>3.23331306</v>
      </c>
      <c r="AV6" s="2693">
        <v>3.4137822400000002</v>
      </c>
      <c r="AW6" s="2693">
        <v>3.08108133</v>
      </c>
      <c r="AX6" s="2693">
        <v>3.23409755</v>
      </c>
      <c r="AY6" s="2693">
        <v>3.4491787899999999</v>
      </c>
      <c r="AZ6" s="2693">
        <v>3.3554407599999996</v>
      </c>
      <c r="BA6" s="2693">
        <v>3.1138375999999997</v>
      </c>
      <c r="BB6" s="2693">
        <v>3.6265725700000004</v>
      </c>
      <c r="BC6" s="2693">
        <v>4.1537505100000001</v>
      </c>
      <c r="BD6" s="2693">
        <v>4.3286080500000006</v>
      </c>
      <c r="BE6" s="2693">
        <v>3.7877928500000002</v>
      </c>
      <c r="BF6" s="2693">
        <v>3.4122476300000004</v>
      </c>
      <c r="BG6" s="2693">
        <v>4.4043287699999993</v>
      </c>
      <c r="BH6" s="2693">
        <v>3.7106804699999998</v>
      </c>
      <c r="BI6" s="2693">
        <v>4.0415044800000004</v>
      </c>
    </row>
    <row r="7" spans="1:61" ht="18" customHeight="1" x14ac:dyDescent="0.3">
      <c r="A7" s="2658" t="s">
        <v>2601</v>
      </c>
      <c r="B7" s="2662" t="s">
        <v>2602</v>
      </c>
      <c r="C7" s="2693">
        <v>2048.87684141</v>
      </c>
      <c r="D7" s="2693">
        <v>2162.4572991100003</v>
      </c>
      <c r="E7" s="2693">
        <v>2275.4390492500002</v>
      </c>
      <c r="F7" s="2693">
        <v>2187.2024636099995</v>
      </c>
      <c r="G7" s="2693">
        <v>2219.8812308899996</v>
      </c>
      <c r="H7" s="2693">
        <v>2309.3755411100001</v>
      </c>
      <c r="I7" s="2693">
        <v>5132.7693236200003</v>
      </c>
      <c r="J7" s="2693">
        <v>3126.86252698</v>
      </c>
      <c r="K7" s="2693">
        <v>2628.6096517300002</v>
      </c>
      <c r="L7" s="2693">
        <v>2659.6728767600002</v>
      </c>
      <c r="M7" s="2693">
        <v>3032.8858741099998</v>
      </c>
      <c r="N7" s="2693">
        <v>2885.2825593900002</v>
      </c>
      <c r="O7" s="2693">
        <v>2797.44118183</v>
      </c>
      <c r="P7" s="2693">
        <v>2687.3435359800001</v>
      </c>
      <c r="Q7" s="2693">
        <v>2781.1416306099995</v>
      </c>
      <c r="R7" s="2693">
        <v>2931.5468949199999</v>
      </c>
      <c r="S7" s="2693">
        <v>2136.66904952</v>
      </c>
      <c r="T7" s="2693">
        <v>2890.6835806599997</v>
      </c>
      <c r="U7" s="2693">
        <v>4226.8995218099999</v>
      </c>
      <c r="V7" s="2693">
        <v>4520.5710963199999</v>
      </c>
      <c r="W7" s="2693">
        <v>3053.2745326400004</v>
      </c>
      <c r="X7" s="2693">
        <v>2415.9259483999999</v>
      </c>
      <c r="Y7" s="2693">
        <v>1984.2086634099999</v>
      </c>
      <c r="Z7" s="2693">
        <v>1767.56107038</v>
      </c>
      <c r="AA7" s="2693">
        <v>1956.9192613600001</v>
      </c>
      <c r="AB7" s="2693">
        <v>2847.1646539200001</v>
      </c>
      <c r="AC7" s="2693">
        <v>2886.1040588999999</v>
      </c>
      <c r="AD7" s="2693">
        <v>2910.6211680599999</v>
      </c>
      <c r="AE7" s="2693">
        <v>1982.1728863199999</v>
      </c>
      <c r="AF7" s="2693">
        <v>1766.01011937</v>
      </c>
      <c r="AG7" s="2693">
        <v>3118.6426557899999</v>
      </c>
      <c r="AH7" s="2693">
        <v>2907.3211288800003</v>
      </c>
      <c r="AI7" s="2693">
        <v>2625.7242710400001</v>
      </c>
      <c r="AJ7" s="2693">
        <v>2010.6456430799999</v>
      </c>
      <c r="AK7" s="2693">
        <v>2188.0888789899996</v>
      </c>
      <c r="AL7" s="2693">
        <v>2228.8349523899997</v>
      </c>
      <c r="AM7" s="2693">
        <v>2227.8732262499998</v>
      </c>
      <c r="AN7" s="2693">
        <v>1906.2905446499999</v>
      </c>
      <c r="AO7" s="2693">
        <v>1974.9920023599996</v>
      </c>
      <c r="AP7" s="2693">
        <v>2187.1965679200002</v>
      </c>
      <c r="AQ7" s="2693">
        <v>3090.3111241699999</v>
      </c>
      <c r="AR7" s="2693">
        <v>2564.3223453699998</v>
      </c>
      <c r="AS7" s="2693">
        <v>2087.0612942999996</v>
      </c>
      <c r="AT7" s="2693">
        <v>1985.0841659499999</v>
      </c>
      <c r="AU7" s="2693">
        <v>1904.3124689500003</v>
      </c>
      <c r="AV7" s="2693">
        <v>2368.8847194200002</v>
      </c>
      <c r="AW7" s="2693">
        <v>1672.0104584800001</v>
      </c>
      <c r="AX7" s="2693">
        <v>1422.5806787899999</v>
      </c>
      <c r="AY7" s="2693">
        <v>1707.7200724499999</v>
      </c>
      <c r="AZ7" s="2693">
        <v>2873.6107048999997</v>
      </c>
      <c r="BA7" s="2693">
        <v>2003.9003715500003</v>
      </c>
      <c r="BB7" s="2693">
        <v>2185.9356467100001</v>
      </c>
      <c r="BC7" s="2693">
        <v>2574.2455557100002</v>
      </c>
      <c r="BD7" s="2693">
        <v>1696.9090873499999</v>
      </c>
      <c r="BE7" s="2693">
        <v>1826.59399119</v>
      </c>
      <c r="BF7" s="2693">
        <v>1625.3494767300001</v>
      </c>
      <c r="BG7" s="2693">
        <v>1667.0421426100002</v>
      </c>
      <c r="BH7" s="2693">
        <v>2530.4642927299997</v>
      </c>
      <c r="BI7" s="2693">
        <v>2554.8059521</v>
      </c>
    </row>
    <row r="8" spans="1:61" ht="18" customHeight="1" x14ac:dyDescent="0.3">
      <c r="A8" s="2658" t="s">
        <v>2603</v>
      </c>
      <c r="B8" s="2662" t="s">
        <v>2604</v>
      </c>
      <c r="C8" s="2693">
        <v>4838.5133514999998</v>
      </c>
      <c r="D8" s="2693">
        <v>4695.5872307999998</v>
      </c>
      <c r="E8" s="2693">
        <v>4860.2860353400001</v>
      </c>
      <c r="F8" s="2693">
        <v>4875.78553405</v>
      </c>
      <c r="G8" s="2693">
        <v>4696.0824488599992</v>
      </c>
      <c r="H8" s="2693">
        <v>4819.27500246</v>
      </c>
      <c r="I8" s="2693">
        <v>4771.1707992499996</v>
      </c>
      <c r="J8" s="2693">
        <v>4761.2126497800009</v>
      </c>
      <c r="K8" s="2693">
        <v>5439.2535517200004</v>
      </c>
      <c r="L8" s="2693">
        <v>5551.6338527200005</v>
      </c>
      <c r="M8" s="2693">
        <v>5005.9972783699995</v>
      </c>
      <c r="N8" s="2693">
        <v>5256.3876564900002</v>
      </c>
      <c r="O8" s="2693">
        <v>5214.4564986200003</v>
      </c>
      <c r="P8" s="2693">
        <v>4979.6266602000005</v>
      </c>
      <c r="Q8" s="2693">
        <v>5187.5383326199999</v>
      </c>
      <c r="R8" s="2693">
        <v>5334.1883972200003</v>
      </c>
      <c r="S8" s="2693">
        <v>5237.7557066700001</v>
      </c>
      <c r="T8" s="2693">
        <v>5107.43100615</v>
      </c>
      <c r="U8" s="2693">
        <v>5077.6966979300005</v>
      </c>
      <c r="V8" s="2693">
        <v>4956.8458360900004</v>
      </c>
      <c r="W8" s="2693">
        <v>4722.110459219999</v>
      </c>
      <c r="X8" s="2693">
        <v>4634.8816459799991</v>
      </c>
      <c r="Y8" s="2693">
        <v>4646.3510259599998</v>
      </c>
      <c r="Z8" s="2693">
        <v>4657.9551801300004</v>
      </c>
      <c r="AA8" s="2693">
        <v>4564.7883306800004</v>
      </c>
      <c r="AB8" s="2693">
        <v>4308.3983801499999</v>
      </c>
      <c r="AC8" s="2693">
        <v>4279.6101753299999</v>
      </c>
      <c r="AD8" s="2693">
        <v>4097.4575770500005</v>
      </c>
      <c r="AE8" s="2693">
        <v>4631.4906912599999</v>
      </c>
      <c r="AF8" s="2693">
        <v>4642.3235607899996</v>
      </c>
      <c r="AG8" s="2693">
        <v>4530.9851963400006</v>
      </c>
      <c r="AH8" s="2693">
        <v>4472.9714198700003</v>
      </c>
      <c r="AI8" s="2693">
        <v>3946.2821520299999</v>
      </c>
      <c r="AJ8" s="2693">
        <v>3929.3183694300005</v>
      </c>
      <c r="AK8" s="2693">
        <v>3837.3028615900002</v>
      </c>
      <c r="AL8" s="2693">
        <v>3894.3106482799999</v>
      </c>
      <c r="AM8" s="2693">
        <v>3884.35666988</v>
      </c>
      <c r="AN8" s="2693">
        <v>4165.8615399999999</v>
      </c>
      <c r="AO8" s="2693">
        <v>3508.3062460700003</v>
      </c>
      <c r="AP8" s="2693">
        <v>2628.1801410900002</v>
      </c>
      <c r="AQ8" s="2693">
        <v>1893.88304128</v>
      </c>
      <c r="AR8" s="2693">
        <v>2320.8784282900001</v>
      </c>
      <c r="AS8" s="2693">
        <v>2324.02407636</v>
      </c>
      <c r="AT8" s="2693">
        <v>2326.7098253600002</v>
      </c>
      <c r="AU8" s="2693">
        <v>2380.6751579400002</v>
      </c>
      <c r="AV8" s="2693">
        <v>2483.3156868000001</v>
      </c>
      <c r="AW8" s="2693">
        <v>2454.8809663400002</v>
      </c>
      <c r="AX8" s="2693">
        <v>2157.4905832499999</v>
      </c>
      <c r="AY8" s="2693">
        <v>2084.5455256199998</v>
      </c>
      <c r="AZ8" s="2693">
        <v>2285.822979</v>
      </c>
      <c r="BA8" s="2693">
        <v>2981.1665661300003</v>
      </c>
      <c r="BB8" s="2693">
        <v>2970.3933599000002</v>
      </c>
      <c r="BC8" s="2693">
        <v>2918.3148784599998</v>
      </c>
      <c r="BD8" s="2693">
        <v>3249.7888576300002</v>
      </c>
      <c r="BE8" s="2693">
        <v>3183.9445643900003</v>
      </c>
      <c r="BF8" s="2693">
        <v>3345.2842272199996</v>
      </c>
      <c r="BG8" s="2693">
        <v>3215.14861849</v>
      </c>
      <c r="BH8" s="2693">
        <v>3252.0205075499998</v>
      </c>
      <c r="BI8" s="2693">
        <v>3010.5634158100006</v>
      </c>
    </row>
    <row r="9" spans="1:61" ht="18" customHeight="1" x14ac:dyDescent="0.3">
      <c r="A9" s="2658"/>
      <c r="B9" s="2658"/>
      <c r="C9" s="2724"/>
      <c r="D9" s="2724"/>
      <c r="E9" s="2724"/>
      <c r="F9" s="2724"/>
      <c r="G9" s="2724"/>
      <c r="H9" s="2724"/>
      <c r="I9" s="2724"/>
      <c r="J9" s="2724"/>
      <c r="K9" s="2724"/>
      <c r="L9" s="2724"/>
      <c r="M9" s="2724"/>
      <c r="N9" s="2724"/>
      <c r="O9" s="2724"/>
      <c r="P9" s="2724"/>
      <c r="Q9" s="2724"/>
      <c r="R9" s="2724"/>
      <c r="S9" s="2724"/>
      <c r="T9" s="2724"/>
      <c r="U9" s="2724"/>
      <c r="V9" s="2724"/>
      <c r="W9" s="2724"/>
      <c r="X9" s="2724"/>
      <c r="Y9" s="2724"/>
      <c r="Z9" s="2724"/>
      <c r="AA9" s="2724"/>
      <c r="AB9" s="2724"/>
      <c r="AC9" s="2724"/>
      <c r="AD9" s="2724"/>
      <c r="AE9" s="2724"/>
      <c r="AF9" s="2724"/>
      <c r="AG9" s="2724"/>
      <c r="AH9" s="2724"/>
      <c r="AI9" s="2724"/>
      <c r="AJ9" s="2724"/>
      <c r="AK9" s="2724"/>
      <c r="AL9" s="2724"/>
      <c r="AM9" s="2724"/>
      <c r="AN9" s="2724"/>
      <c r="AO9" s="2724"/>
      <c r="AP9" s="2724"/>
      <c r="AQ9" s="2724"/>
      <c r="AR9" s="2724"/>
      <c r="AS9" s="2724"/>
      <c r="AT9" s="2724"/>
      <c r="AU9" s="2724"/>
      <c r="AV9" s="2724"/>
      <c r="AW9" s="2724"/>
      <c r="AX9" s="2724"/>
      <c r="AY9" s="2724"/>
      <c r="AZ9" s="2724"/>
      <c r="BA9" s="2724"/>
      <c r="BB9" s="2724"/>
      <c r="BC9" s="2724"/>
      <c r="BD9" s="2724"/>
      <c r="BE9" s="2724"/>
      <c r="BF9" s="2724"/>
      <c r="BG9" s="2724"/>
      <c r="BH9" s="2724"/>
      <c r="BI9" s="2724"/>
    </row>
    <row r="10" spans="1:61" ht="18" customHeight="1" x14ac:dyDescent="0.3">
      <c r="A10" s="2655" t="s">
        <v>2510</v>
      </c>
      <c r="B10" s="2655" t="s">
        <v>2521</v>
      </c>
      <c r="C10" s="2687">
        <v>4221.6224623199996</v>
      </c>
      <c r="D10" s="2687">
        <v>4787.4185765900002</v>
      </c>
      <c r="E10" s="2687">
        <v>4565.2739098900001</v>
      </c>
      <c r="F10" s="2687">
        <v>4578.2717690099998</v>
      </c>
      <c r="G10" s="2687">
        <v>4886.4241171000003</v>
      </c>
      <c r="H10" s="2687">
        <v>4899.3148916600003</v>
      </c>
      <c r="I10" s="2687">
        <v>4611.5893382200002</v>
      </c>
      <c r="J10" s="2687">
        <v>4456.7396541799999</v>
      </c>
      <c r="K10" s="2687">
        <v>3906.0180231500008</v>
      </c>
      <c r="L10" s="2687">
        <v>3714.4465846499997</v>
      </c>
      <c r="M10" s="2687">
        <v>4191.2973830800001</v>
      </c>
      <c r="N10" s="2687">
        <v>4184.83437426</v>
      </c>
      <c r="O10" s="2687">
        <v>4135.7727037200002</v>
      </c>
      <c r="P10" s="2687">
        <v>4587.9014881700004</v>
      </c>
      <c r="Q10" s="2687">
        <v>4599.4966443100002</v>
      </c>
      <c r="R10" s="2687">
        <v>4223.5534941400001</v>
      </c>
      <c r="S10" s="2687">
        <v>4367.6754189700005</v>
      </c>
      <c r="T10" s="2687">
        <v>4093.1708770699997</v>
      </c>
      <c r="U10" s="2687">
        <v>2792.87933183</v>
      </c>
      <c r="V10" s="2687">
        <v>2794.3221522100002</v>
      </c>
      <c r="W10" s="2687">
        <v>4453.8647564700004</v>
      </c>
      <c r="X10" s="2687">
        <v>4557.4011225100003</v>
      </c>
      <c r="Y10" s="2687">
        <v>4564.7820450400004</v>
      </c>
      <c r="Z10" s="2687">
        <v>3962.81124043</v>
      </c>
      <c r="AA10" s="2687">
        <v>3581.1917449000002</v>
      </c>
      <c r="AB10" s="2687">
        <v>3581.4714010399998</v>
      </c>
      <c r="AC10" s="2687">
        <v>3031.8715136700002</v>
      </c>
      <c r="AD10" s="2687">
        <v>2227.1116753800002</v>
      </c>
      <c r="AE10" s="2687">
        <v>2732.3337587599999</v>
      </c>
      <c r="AF10" s="2687">
        <v>2784.8996033200001</v>
      </c>
      <c r="AG10" s="2687">
        <v>2089.2444395399998</v>
      </c>
      <c r="AH10" s="2687">
        <v>2790.02083416</v>
      </c>
      <c r="AI10" s="2687">
        <v>3316.1492837200003</v>
      </c>
      <c r="AJ10" s="2687">
        <v>3659.5634169099999</v>
      </c>
      <c r="AK10" s="2687">
        <v>3657.33060325</v>
      </c>
      <c r="AL10" s="2687">
        <v>3633.6341757800001</v>
      </c>
      <c r="AM10" s="2687">
        <v>3635.4818505100002</v>
      </c>
      <c r="AN10" s="2687">
        <v>3434.5979772399996</v>
      </c>
      <c r="AO10" s="2687">
        <v>3909.2922238900005</v>
      </c>
      <c r="AP10" s="2687">
        <v>4609.6708281800002</v>
      </c>
      <c r="AQ10" s="2687">
        <v>4608.0130893199994</v>
      </c>
      <c r="AR10" s="2687">
        <v>4614.35855008</v>
      </c>
      <c r="AS10" s="2687">
        <v>4648.0103440499988</v>
      </c>
      <c r="AT10" s="2687">
        <v>4648.3095760600008</v>
      </c>
      <c r="AU10" s="2687">
        <v>4545.2751419500009</v>
      </c>
      <c r="AV10" s="2687">
        <v>4035.20931746</v>
      </c>
      <c r="AW10" s="2687">
        <v>4524.1857719399995</v>
      </c>
      <c r="AX10" s="2687">
        <v>4701.5250092100005</v>
      </c>
      <c r="AY10" s="2687">
        <v>4705.0652555500001</v>
      </c>
      <c r="AZ10" s="2687">
        <v>4455.464658599999</v>
      </c>
      <c r="BA10" s="2687">
        <v>4374.8233057799998</v>
      </c>
      <c r="BB10" s="2687">
        <v>4424.7134491499992</v>
      </c>
      <c r="BC10" s="2687">
        <v>4427.1914791999998</v>
      </c>
      <c r="BD10" s="2687">
        <v>4788.8052132000003</v>
      </c>
      <c r="BE10" s="2687">
        <v>4762.6485101900007</v>
      </c>
      <c r="BF10" s="2687">
        <v>4829.1205329700006</v>
      </c>
      <c r="BG10" s="2687">
        <v>4795.1509611100009</v>
      </c>
      <c r="BH10" s="2687">
        <v>4094.0853297799999</v>
      </c>
      <c r="BI10" s="2687">
        <v>4186.5129456599998</v>
      </c>
    </row>
    <row r="11" spans="1:61" ht="18" customHeight="1" x14ac:dyDescent="0.3">
      <c r="A11" s="2658"/>
      <c r="B11" s="2658"/>
      <c r="C11" s="2724"/>
      <c r="D11" s="2724"/>
      <c r="E11" s="2724"/>
      <c r="F11" s="2724"/>
      <c r="G11" s="2724"/>
      <c r="H11" s="2724"/>
      <c r="I11" s="2724"/>
      <c r="J11" s="2724"/>
      <c r="K11" s="2724"/>
      <c r="L11" s="2724"/>
      <c r="M11" s="2724"/>
      <c r="N11" s="2724"/>
      <c r="O11" s="2724"/>
      <c r="P11" s="2724"/>
      <c r="Q11" s="2724"/>
      <c r="R11" s="2724"/>
      <c r="S11" s="2724"/>
      <c r="T11" s="2724"/>
      <c r="U11" s="2724"/>
      <c r="V11" s="2724"/>
      <c r="W11" s="2724"/>
      <c r="X11" s="2724"/>
      <c r="Y11" s="2724"/>
      <c r="Z11" s="2724"/>
      <c r="AA11" s="2724"/>
      <c r="AB11" s="2724"/>
      <c r="AC11" s="2724"/>
      <c r="AD11" s="2724"/>
      <c r="AE11" s="2724"/>
      <c r="AF11" s="2724"/>
      <c r="AG11" s="2724"/>
      <c r="AH11" s="2724"/>
      <c r="AI11" s="2724"/>
      <c r="AJ11" s="2724"/>
      <c r="AK11" s="2724"/>
      <c r="AL11" s="2724"/>
      <c r="AM11" s="2724"/>
      <c r="AN11" s="2724"/>
      <c r="AO11" s="2724"/>
      <c r="AP11" s="2724"/>
      <c r="AQ11" s="2724"/>
      <c r="AR11" s="2724"/>
      <c r="AS11" s="2724"/>
      <c r="AT11" s="2724"/>
      <c r="AU11" s="2724"/>
      <c r="AV11" s="2724"/>
      <c r="AW11" s="2724"/>
      <c r="AX11" s="2724"/>
      <c r="AY11" s="2724"/>
      <c r="AZ11" s="2724"/>
      <c r="BA11" s="2724"/>
      <c r="BB11" s="2724"/>
      <c r="BC11" s="2724"/>
      <c r="BD11" s="2724"/>
      <c r="BE11" s="2724"/>
      <c r="BF11" s="2724"/>
      <c r="BG11" s="2724"/>
      <c r="BH11" s="2724"/>
      <c r="BI11" s="2724"/>
    </row>
    <row r="12" spans="1:61" ht="18" customHeight="1" x14ac:dyDescent="0.3">
      <c r="A12" s="2655" t="s">
        <v>2520</v>
      </c>
      <c r="B12" s="2655" t="s">
        <v>1057</v>
      </c>
      <c r="C12" s="2687">
        <v>61788.929204800006</v>
      </c>
      <c r="D12" s="2687">
        <v>62115.52870178</v>
      </c>
      <c r="E12" s="2687">
        <v>62937.957910020006</v>
      </c>
      <c r="F12" s="2687">
        <v>63092.996645710009</v>
      </c>
      <c r="G12" s="2687">
        <v>62952.402119680002</v>
      </c>
      <c r="H12" s="2725"/>
      <c r="I12" s="2687">
        <v>62983.697272609999</v>
      </c>
      <c r="J12" s="2687">
        <v>63435.106245609997</v>
      </c>
      <c r="K12" s="2687">
        <v>64015.280219679989</v>
      </c>
      <c r="L12" s="2687">
        <v>64116.820249290002</v>
      </c>
      <c r="M12" s="2687">
        <v>64251.763532329998</v>
      </c>
      <c r="N12" s="2687">
        <v>64167.612116440003</v>
      </c>
      <c r="O12" s="2687">
        <v>2.5</v>
      </c>
      <c r="P12" s="2687">
        <v>64803.658447130008</v>
      </c>
      <c r="Q12" s="2687">
        <v>65648.735160800003</v>
      </c>
      <c r="R12" s="2687">
        <v>65209.124655700005</v>
      </c>
      <c r="S12" s="2687">
        <v>51333.949112180002</v>
      </c>
      <c r="T12" s="2687">
        <v>51074.885613020007</v>
      </c>
      <c r="U12" s="2687">
        <v>50751.705236380003</v>
      </c>
      <c r="V12" s="2687">
        <v>50706.598559699996</v>
      </c>
      <c r="W12" s="2687">
        <v>50412.561809599996</v>
      </c>
      <c r="X12" s="2687">
        <v>50746.287517699995</v>
      </c>
      <c r="Y12" s="2687">
        <v>51093.548557940005</v>
      </c>
      <c r="Z12" s="2687">
        <v>51759.644969000001</v>
      </c>
      <c r="AA12" s="2687">
        <v>50820.866305980002</v>
      </c>
      <c r="AB12" s="2687">
        <v>51184.03943194</v>
      </c>
      <c r="AC12" s="2687">
        <v>51050.350472260005</v>
      </c>
      <c r="AD12" s="2687">
        <v>51920.221772149998</v>
      </c>
      <c r="AE12" s="2687">
        <v>52717.67142033</v>
      </c>
      <c r="AF12" s="2687">
        <v>52794.196230479996</v>
      </c>
      <c r="AG12" s="2687">
        <v>52534.484217500001</v>
      </c>
      <c r="AH12" s="2687">
        <v>52282.461529</v>
      </c>
      <c r="AI12" s="2687">
        <v>52666.75609178999</v>
      </c>
      <c r="AJ12" s="2687">
        <v>53004.517595620004</v>
      </c>
      <c r="AK12" s="2687">
        <v>53203.934188929998</v>
      </c>
      <c r="AL12" s="2687">
        <v>53368.381187580002</v>
      </c>
      <c r="AM12" s="2687">
        <v>53476.581215899991</v>
      </c>
      <c r="AN12" s="2687">
        <v>53378.83647083</v>
      </c>
      <c r="AO12" s="2687">
        <v>53437.512443449996</v>
      </c>
      <c r="AP12" s="2687">
        <v>53393.778701569994</v>
      </c>
      <c r="AQ12" s="2687">
        <v>53446.604569700008</v>
      </c>
      <c r="AR12" s="2687">
        <v>53479.281055669999</v>
      </c>
      <c r="AS12" s="2687">
        <v>53779.815188689994</v>
      </c>
      <c r="AT12" s="2687">
        <v>54030.730107249998</v>
      </c>
      <c r="AU12" s="2687">
        <v>54303.165495040004</v>
      </c>
      <c r="AV12" s="2687">
        <v>54434.855203850006</v>
      </c>
      <c r="AW12" s="2687">
        <v>54533.313410459996</v>
      </c>
      <c r="AX12" s="2687">
        <v>54766.368897610002</v>
      </c>
      <c r="AY12" s="2687">
        <v>54958.173987129994</v>
      </c>
      <c r="AZ12" s="2687">
        <v>55141.036952349998</v>
      </c>
      <c r="BA12" s="2687">
        <v>55217.430461069998</v>
      </c>
      <c r="BB12" s="2687">
        <v>55277.715695189996</v>
      </c>
      <c r="BC12" s="2687">
        <v>55500.125569069998</v>
      </c>
      <c r="BD12" s="2687">
        <v>55960.006579780005</v>
      </c>
      <c r="BE12" s="2687">
        <v>56433.780727949998</v>
      </c>
      <c r="BF12" s="2687">
        <v>56740.573535529998</v>
      </c>
      <c r="BG12" s="2687">
        <v>57094.586154930003</v>
      </c>
      <c r="BH12" s="2687">
        <v>57495.663923499997</v>
      </c>
      <c r="BI12" s="2687">
        <v>57776.084370609999</v>
      </c>
    </row>
    <row r="13" spans="1:61" ht="18" customHeight="1" x14ac:dyDescent="0.3">
      <c r="A13" s="2658"/>
      <c r="B13" s="2658"/>
      <c r="C13" s="2724"/>
      <c r="D13" s="2724"/>
      <c r="E13" s="2724"/>
      <c r="F13" s="2724"/>
      <c r="G13" s="2724"/>
      <c r="H13" s="2724"/>
      <c r="I13" s="2724"/>
      <c r="J13" s="2724"/>
      <c r="K13" s="2724"/>
      <c r="L13" s="2724"/>
      <c r="M13" s="2724"/>
      <c r="N13" s="2724"/>
      <c r="O13" s="2724"/>
      <c r="P13" s="2724"/>
      <c r="Q13" s="2724"/>
      <c r="R13" s="2724"/>
      <c r="S13" s="2724"/>
      <c r="T13" s="2724"/>
      <c r="U13" s="2724"/>
      <c r="V13" s="2724"/>
      <c r="W13" s="2724"/>
      <c r="X13" s="2724"/>
      <c r="Y13" s="2724"/>
      <c r="Z13" s="2724"/>
      <c r="AA13" s="2724"/>
      <c r="AB13" s="2724"/>
      <c r="AC13" s="2724"/>
      <c r="AD13" s="2724"/>
      <c r="AE13" s="2724"/>
      <c r="AF13" s="2724"/>
      <c r="AG13" s="2724"/>
      <c r="AH13" s="2724"/>
      <c r="AI13" s="2724"/>
      <c r="AJ13" s="2724"/>
      <c r="AK13" s="2724"/>
      <c r="AL13" s="2724"/>
      <c r="AM13" s="2724"/>
      <c r="AN13" s="2724"/>
      <c r="AO13" s="2724"/>
      <c r="AP13" s="2724"/>
      <c r="AQ13" s="2724"/>
      <c r="AR13" s="2724"/>
      <c r="AS13" s="2724"/>
      <c r="AT13" s="2724"/>
      <c r="AU13" s="2724"/>
      <c r="AV13" s="2724"/>
      <c r="AW13" s="2724"/>
      <c r="AX13" s="2724"/>
      <c r="AY13" s="2724"/>
      <c r="AZ13" s="2724"/>
      <c r="BA13" s="2724"/>
      <c r="BB13" s="2724"/>
      <c r="BC13" s="2724"/>
      <c r="BD13" s="2724"/>
      <c r="BE13" s="2724"/>
      <c r="BF13" s="2724"/>
      <c r="BG13" s="2724"/>
      <c r="BH13" s="2724"/>
      <c r="BI13" s="2724"/>
    </row>
    <row r="14" spans="1:61" ht="18" customHeight="1" x14ac:dyDescent="0.3">
      <c r="A14" s="2655" t="s">
        <v>2522</v>
      </c>
      <c r="B14" s="2655" t="s">
        <v>2524</v>
      </c>
      <c r="C14" s="2687">
        <v>35.474803000000001</v>
      </c>
      <c r="D14" s="2687">
        <v>66.400627</v>
      </c>
      <c r="E14" s="2687">
        <v>512.40737300000001</v>
      </c>
      <c r="F14" s="2687">
        <v>513.118878</v>
      </c>
      <c r="G14" s="2687">
        <v>513.98527189999993</v>
      </c>
      <c r="H14" s="2687">
        <v>513.19316400000002</v>
      </c>
      <c r="I14" s="2687">
        <v>515.20972374999997</v>
      </c>
      <c r="J14" s="2687">
        <v>514.33098749999999</v>
      </c>
      <c r="K14" s="2687">
        <v>514.66546525000001</v>
      </c>
      <c r="L14" s="2687">
        <v>514.44156184999997</v>
      </c>
      <c r="M14" s="2687">
        <v>514.64231700000005</v>
      </c>
      <c r="N14" s="2687">
        <v>513.2903675</v>
      </c>
      <c r="O14" s="2687">
        <v>515.84672790000002</v>
      </c>
      <c r="P14" s="2687">
        <v>515.28500355000006</v>
      </c>
      <c r="Q14" s="2687">
        <v>516.99238500000001</v>
      </c>
      <c r="R14" s="2687">
        <v>519.25186514999996</v>
      </c>
      <c r="S14" s="2687">
        <v>520.38607315000002</v>
      </c>
      <c r="T14" s="2687">
        <v>499.77652914999999</v>
      </c>
      <c r="U14" s="2687">
        <v>501.45596499999999</v>
      </c>
      <c r="V14" s="2687">
        <v>505.12282419999997</v>
      </c>
      <c r="W14" s="2687">
        <v>510.57895100000002</v>
      </c>
      <c r="X14" s="2687">
        <v>561.854558</v>
      </c>
      <c r="Y14" s="2687">
        <v>567.74027935000004</v>
      </c>
      <c r="Z14" s="2687">
        <v>571.63318700000002</v>
      </c>
      <c r="AA14" s="2687">
        <v>623.82369300000005</v>
      </c>
      <c r="AB14" s="2687">
        <v>629.807547</v>
      </c>
      <c r="AC14" s="2687">
        <v>636.62834099999998</v>
      </c>
      <c r="AD14" s="2687">
        <v>639.45769399999995</v>
      </c>
      <c r="AE14" s="2687">
        <v>640.49127799999997</v>
      </c>
      <c r="AF14" s="2687">
        <v>640.56741650000004</v>
      </c>
      <c r="AG14" s="2687">
        <v>644.92066999999997</v>
      </c>
      <c r="AH14" s="2687">
        <v>648.15308100000004</v>
      </c>
      <c r="AI14" s="2687">
        <v>657.65561200000002</v>
      </c>
      <c r="AJ14" s="2687">
        <v>660.57465279999997</v>
      </c>
      <c r="AK14" s="2687">
        <v>661.48128399999996</v>
      </c>
      <c r="AL14" s="2687">
        <v>663.70502462000002</v>
      </c>
      <c r="AM14" s="2687">
        <v>669.58867662</v>
      </c>
      <c r="AN14" s="2687">
        <v>684.10685162000004</v>
      </c>
      <c r="AO14" s="2687">
        <v>692.91753061999998</v>
      </c>
      <c r="AP14" s="2687">
        <v>699.58274361999997</v>
      </c>
      <c r="AQ14" s="2687">
        <v>701.79015812</v>
      </c>
      <c r="AR14" s="2687">
        <v>704.77132961999996</v>
      </c>
      <c r="AS14" s="2687">
        <v>709.72623511999996</v>
      </c>
      <c r="AT14" s="2687">
        <v>704.48693212000001</v>
      </c>
      <c r="AU14" s="2687">
        <v>691.11039487999994</v>
      </c>
      <c r="AV14" s="2687">
        <v>684.60260287999995</v>
      </c>
      <c r="AW14" s="2687">
        <v>722.14306237999995</v>
      </c>
      <c r="AX14" s="2687">
        <v>724.62139237999997</v>
      </c>
      <c r="AY14" s="2687">
        <v>730.52062788000001</v>
      </c>
      <c r="AZ14" s="2687">
        <v>733.32358188000001</v>
      </c>
      <c r="BA14" s="2687">
        <v>730.70785888</v>
      </c>
      <c r="BB14" s="2687">
        <v>730.38505338000004</v>
      </c>
      <c r="BC14" s="2687">
        <v>760.93409687999997</v>
      </c>
      <c r="BD14" s="2687">
        <v>764.81270087999997</v>
      </c>
      <c r="BE14" s="2687">
        <v>790.53073587999995</v>
      </c>
      <c r="BF14" s="2687">
        <v>821.24869788000001</v>
      </c>
      <c r="BG14" s="2687">
        <v>821.89004437999995</v>
      </c>
      <c r="BH14" s="2687">
        <v>824.11319427000001</v>
      </c>
      <c r="BI14" s="2687">
        <v>857.21595926999998</v>
      </c>
    </row>
    <row r="15" spans="1:61" ht="18" customHeight="1" x14ac:dyDescent="0.3">
      <c r="A15" s="2658"/>
      <c r="B15" s="2662"/>
      <c r="C15" s="2724"/>
      <c r="D15" s="2724"/>
      <c r="E15" s="2724"/>
      <c r="F15" s="2724"/>
      <c r="G15" s="2724"/>
      <c r="H15" s="2724"/>
      <c r="I15" s="2724"/>
      <c r="J15" s="2724"/>
      <c r="K15" s="2724"/>
      <c r="L15" s="2724"/>
      <c r="M15" s="2724"/>
      <c r="N15" s="2724"/>
      <c r="O15" s="2724"/>
      <c r="P15" s="2724"/>
      <c r="Q15" s="2724"/>
      <c r="R15" s="2724"/>
      <c r="S15" s="2724"/>
      <c r="T15" s="2724"/>
      <c r="U15" s="2724"/>
      <c r="V15" s="2724"/>
      <c r="W15" s="2724"/>
      <c r="X15" s="2724"/>
      <c r="Y15" s="2724"/>
      <c r="Z15" s="2724"/>
      <c r="AA15" s="2724"/>
      <c r="AB15" s="2724"/>
      <c r="AC15" s="2724"/>
      <c r="AD15" s="2724"/>
      <c r="AE15" s="2724"/>
      <c r="AF15" s="2724"/>
      <c r="AG15" s="2724"/>
      <c r="AH15" s="2724"/>
      <c r="AI15" s="2724"/>
      <c r="AJ15" s="2724"/>
      <c r="AK15" s="2724"/>
      <c r="AL15" s="2724"/>
      <c r="AM15" s="2724"/>
      <c r="AN15" s="2724"/>
      <c r="AO15" s="2724"/>
      <c r="AP15" s="2724"/>
      <c r="AQ15" s="2724"/>
      <c r="AR15" s="2724"/>
      <c r="AS15" s="2724"/>
      <c r="AT15" s="2724"/>
      <c r="AU15" s="2724"/>
      <c r="AV15" s="2724"/>
      <c r="AW15" s="2724"/>
      <c r="AX15" s="2724"/>
      <c r="AY15" s="2724"/>
      <c r="AZ15" s="2724"/>
      <c r="BA15" s="2724"/>
      <c r="BB15" s="2724"/>
      <c r="BC15" s="2724"/>
      <c r="BD15" s="2724"/>
      <c r="BE15" s="2724"/>
      <c r="BF15" s="2724"/>
      <c r="BG15" s="2724"/>
      <c r="BH15" s="2724"/>
      <c r="BI15" s="2724"/>
    </row>
    <row r="16" spans="1:61" ht="18" customHeight="1" x14ac:dyDescent="0.3">
      <c r="A16" s="2655" t="s">
        <v>2523</v>
      </c>
      <c r="B16" s="2655" t="s">
        <v>2526</v>
      </c>
      <c r="C16" s="2687">
        <v>0</v>
      </c>
      <c r="D16" s="2687">
        <v>0</v>
      </c>
      <c r="E16" s="2687">
        <v>0</v>
      </c>
      <c r="F16" s="2687">
        <v>0</v>
      </c>
      <c r="G16" s="2687">
        <v>0</v>
      </c>
      <c r="H16" s="2687">
        <v>0</v>
      </c>
      <c r="I16" s="2687">
        <v>0</v>
      </c>
      <c r="J16" s="2687">
        <v>0</v>
      </c>
      <c r="K16" s="2687">
        <v>0</v>
      </c>
      <c r="L16" s="2687">
        <v>0</v>
      </c>
      <c r="M16" s="2687">
        <v>0</v>
      </c>
      <c r="N16" s="2687">
        <v>0</v>
      </c>
      <c r="O16" s="2687">
        <v>0</v>
      </c>
      <c r="P16" s="2687">
        <v>0</v>
      </c>
      <c r="Q16" s="2687">
        <v>0</v>
      </c>
      <c r="R16" s="2687">
        <v>0</v>
      </c>
      <c r="S16" s="2687">
        <v>0</v>
      </c>
      <c r="T16" s="2687">
        <v>0</v>
      </c>
      <c r="U16" s="2687">
        <v>0</v>
      </c>
      <c r="V16" s="2687">
        <v>0</v>
      </c>
      <c r="W16" s="2687">
        <v>0</v>
      </c>
      <c r="X16" s="2687">
        <v>0</v>
      </c>
      <c r="Y16" s="2687">
        <v>0</v>
      </c>
      <c r="Z16" s="2687">
        <v>0</v>
      </c>
      <c r="AA16" s="2687">
        <v>0</v>
      </c>
      <c r="AB16" s="2687">
        <v>0</v>
      </c>
      <c r="AC16" s="2687">
        <v>0</v>
      </c>
      <c r="AD16" s="2687">
        <v>0</v>
      </c>
      <c r="AE16" s="2687">
        <v>0</v>
      </c>
      <c r="AF16" s="2687">
        <v>0</v>
      </c>
      <c r="AG16" s="2687">
        <v>0</v>
      </c>
      <c r="AH16" s="2687">
        <v>0</v>
      </c>
      <c r="AI16" s="2687">
        <v>0</v>
      </c>
      <c r="AJ16" s="2687">
        <v>0</v>
      </c>
      <c r="AK16" s="2687">
        <v>0</v>
      </c>
      <c r="AL16" s="2687">
        <v>0</v>
      </c>
      <c r="AM16" s="2687">
        <v>0</v>
      </c>
      <c r="AN16" s="2687">
        <v>0</v>
      </c>
      <c r="AO16" s="2687">
        <v>0</v>
      </c>
      <c r="AP16" s="2687">
        <v>0</v>
      </c>
      <c r="AQ16" s="2687">
        <v>0</v>
      </c>
      <c r="AR16" s="2687">
        <v>0</v>
      </c>
      <c r="AS16" s="2687">
        <v>0</v>
      </c>
      <c r="AT16" s="2687">
        <v>0</v>
      </c>
      <c r="AU16" s="2687">
        <v>0</v>
      </c>
      <c r="AV16" s="2687">
        <v>0</v>
      </c>
      <c r="AW16" s="2687">
        <v>0</v>
      </c>
      <c r="AX16" s="2687">
        <v>0</v>
      </c>
      <c r="AY16" s="2687">
        <v>0</v>
      </c>
      <c r="AZ16" s="2687">
        <v>0</v>
      </c>
      <c r="BA16" s="2687">
        <v>0</v>
      </c>
      <c r="BB16" s="2687">
        <v>0</v>
      </c>
      <c r="BC16" s="2687">
        <v>0</v>
      </c>
      <c r="BD16" s="2687">
        <v>0</v>
      </c>
      <c r="BE16" s="2687">
        <v>0</v>
      </c>
      <c r="BF16" s="2687">
        <v>0</v>
      </c>
      <c r="BG16" s="2687">
        <v>0</v>
      </c>
      <c r="BH16" s="2687">
        <v>0</v>
      </c>
      <c r="BI16" s="2687">
        <v>0</v>
      </c>
    </row>
    <row r="17" spans="1:61" ht="18" customHeight="1" x14ac:dyDescent="0.3">
      <c r="A17" s="2658"/>
      <c r="B17" s="2658"/>
      <c r="C17" s="2724"/>
      <c r="D17" s="2724"/>
      <c r="E17" s="2724"/>
      <c r="F17" s="2724"/>
      <c r="G17" s="2724"/>
      <c r="H17" s="2724"/>
      <c r="I17" s="2724"/>
      <c r="J17" s="2724"/>
      <c r="K17" s="2724"/>
      <c r="L17" s="2724"/>
      <c r="M17" s="2724"/>
      <c r="N17" s="2724"/>
      <c r="O17" s="2724"/>
      <c r="P17" s="2724"/>
      <c r="Q17" s="2724"/>
      <c r="R17" s="2724"/>
      <c r="S17" s="2724"/>
      <c r="T17" s="2724"/>
      <c r="U17" s="2724"/>
      <c r="V17" s="2724"/>
      <c r="W17" s="2724"/>
      <c r="X17" s="2724"/>
      <c r="Y17" s="2724"/>
      <c r="Z17" s="2724"/>
      <c r="AA17" s="2724"/>
      <c r="AB17" s="2724"/>
      <c r="AC17" s="2724"/>
      <c r="AD17" s="2724"/>
      <c r="AE17" s="2724"/>
      <c r="AF17" s="2724"/>
      <c r="AG17" s="2724"/>
      <c r="AH17" s="2724"/>
      <c r="AI17" s="2724"/>
      <c r="AJ17" s="2724"/>
      <c r="AK17" s="2724"/>
      <c r="AL17" s="2724"/>
      <c r="AM17" s="2724"/>
      <c r="AN17" s="2724"/>
      <c r="AO17" s="2724"/>
      <c r="AP17" s="2724"/>
      <c r="AQ17" s="2724"/>
      <c r="AR17" s="2724"/>
      <c r="AS17" s="2724"/>
      <c r="AT17" s="2724"/>
      <c r="AU17" s="2724"/>
      <c r="AV17" s="2724"/>
      <c r="AW17" s="2724"/>
      <c r="AX17" s="2724"/>
      <c r="AY17" s="2724"/>
      <c r="AZ17" s="2724"/>
      <c r="BA17" s="2724"/>
      <c r="BB17" s="2724"/>
      <c r="BC17" s="2724"/>
      <c r="BD17" s="2724"/>
      <c r="BE17" s="2724"/>
      <c r="BF17" s="2724"/>
      <c r="BG17" s="2724"/>
      <c r="BH17" s="2724"/>
      <c r="BI17" s="2724"/>
    </row>
    <row r="18" spans="1:61" ht="18" customHeight="1" x14ac:dyDescent="0.3">
      <c r="A18" s="2655" t="s">
        <v>2525</v>
      </c>
      <c r="B18" s="2655" t="s">
        <v>2605</v>
      </c>
      <c r="C18" s="2687">
        <v>0</v>
      </c>
      <c r="D18" s="2687">
        <v>0</v>
      </c>
      <c r="E18" s="2687">
        <v>0</v>
      </c>
      <c r="F18" s="2687">
        <v>0</v>
      </c>
      <c r="G18" s="2687">
        <v>0</v>
      </c>
      <c r="H18" s="2687">
        <v>0</v>
      </c>
      <c r="I18" s="2687">
        <v>0</v>
      </c>
      <c r="J18" s="2687">
        <v>0</v>
      </c>
      <c r="K18" s="2687">
        <v>0</v>
      </c>
      <c r="L18" s="2687">
        <v>0</v>
      </c>
      <c r="M18" s="2687">
        <v>0</v>
      </c>
      <c r="N18" s="2687">
        <v>0</v>
      </c>
      <c r="O18" s="2687">
        <v>0</v>
      </c>
      <c r="P18" s="2687">
        <v>0</v>
      </c>
      <c r="Q18" s="2687">
        <v>0</v>
      </c>
      <c r="R18" s="2687">
        <v>0</v>
      </c>
      <c r="S18" s="2687">
        <v>0</v>
      </c>
      <c r="T18" s="2687">
        <v>0</v>
      </c>
      <c r="U18" s="2687">
        <v>0</v>
      </c>
      <c r="V18" s="2687">
        <v>0</v>
      </c>
      <c r="W18" s="2687">
        <v>0</v>
      </c>
      <c r="X18" s="2687">
        <v>0</v>
      </c>
      <c r="Y18" s="2687">
        <v>0</v>
      </c>
      <c r="Z18" s="2687">
        <v>0</v>
      </c>
      <c r="AA18" s="2687">
        <v>0</v>
      </c>
      <c r="AB18" s="2687">
        <v>0</v>
      </c>
      <c r="AC18" s="2687">
        <v>0</v>
      </c>
      <c r="AD18" s="2687">
        <v>0</v>
      </c>
      <c r="AE18" s="2687">
        <v>0</v>
      </c>
      <c r="AF18" s="2687">
        <v>0</v>
      </c>
      <c r="AG18" s="2687">
        <v>0</v>
      </c>
      <c r="AH18" s="2687">
        <v>0</v>
      </c>
      <c r="AI18" s="2687">
        <v>0</v>
      </c>
      <c r="AJ18" s="2687">
        <v>0</v>
      </c>
      <c r="AK18" s="2687">
        <v>0</v>
      </c>
      <c r="AL18" s="2687">
        <v>0</v>
      </c>
      <c r="AM18" s="2687">
        <v>0</v>
      </c>
      <c r="AN18" s="2687">
        <v>0</v>
      </c>
      <c r="AO18" s="2687">
        <v>0</v>
      </c>
      <c r="AP18" s="2687">
        <v>0</v>
      </c>
      <c r="AQ18" s="2687">
        <v>0</v>
      </c>
      <c r="AR18" s="2687">
        <v>0</v>
      </c>
      <c r="AS18" s="2687">
        <v>0</v>
      </c>
      <c r="AT18" s="2687">
        <v>0</v>
      </c>
      <c r="AU18" s="2687">
        <v>0</v>
      </c>
      <c r="AV18" s="2687">
        <v>0</v>
      </c>
      <c r="AW18" s="2687">
        <v>0</v>
      </c>
      <c r="AX18" s="2687">
        <v>0</v>
      </c>
      <c r="AY18" s="2687">
        <v>0</v>
      </c>
      <c r="AZ18" s="2687">
        <v>0</v>
      </c>
      <c r="BA18" s="2687">
        <v>0</v>
      </c>
      <c r="BB18" s="2687">
        <v>0</v>
      </c>
      <c r="BC18" s="2687">
        <v>0</v>
      </c>
      <c r="BD18" s="2687">
        <v>0</v>
      </c>
      <c r="BE18" s="2687">
        <v>0</v>
      </c>
      <c r="BF18" s="2687">
        <v>0</v>
      </c>
      <c r="BG18" s="2687">
        <v>0</v>
      </c>
      <c r="BH18" s="2687">
        <v>0</v>
      </c>
      <c r="BI18" s="2687">
        <v>0</v>
      </c>
    </row>
    <row r="19" spans="1:61" ht="18" customHeight="1" x14ac:dyDescent="0.3">
      <c r="A19" s="2658"/>
      <c r="B19" s="2658"/>
      <c r="C19" s="2724"/>
      <c r="D19" s="2724"/>
      <c r="E19" s="2724"/>
      <c r="F19" s="2724"/>
      <c r="G19" s="2724"/>
      <c r="H19" s="2724"/>
      <c r="I19" s="2724"/>
      <c r="J19" s="2737"/>
      <c r="K19" s="2724"/>
      <c r="L19" s="2724"/>
      <c r="M19" s="2724"/>
      <c r="N19" s="2724"/>
      <c r="O19" s="2724"/>
      <c r="P19" s="2724"/>
      <c r="Q19" s="2724"/>
      <c r="R19" s="2724"/>
      <c r="S19" s="2724"/>
      <c r="T19" s="2724"/>
      <c r="U19" s="2724"/>
      <c r="V19" s="2724"/>
      <c r="W19" s="2724"/>
      <c r="X19" s="2724"/>
      <c r="Y19" s="2724"/>
      <c r="Z19" s="2724"/>
      <c r="AA19" s="2724"/>
      <c r="AB19" s="2724"/>
      <c r="AC19" s="2724"/>
      <c r="AD19" s="2724"/>
      <c r="AE19" s="2724"/>
      <c r="AF19" s="2724"/>
      <c r="AG19" s="2724"/>
      <c r="AH19" s="2724"/>
      <c r="AI19" s="2724"/>
      <c r="AJ19" s="2724"/>
      <c r="AK19" s="2724"/>
      <c r="AL19" s="2724"/>
      <c r="AM19" s="2724"/>
      <c r="AN19" s="2724"/>
      <c r="AO19" s="2724"/>
      <c r="AP19" s="2724"/>
      <c r="AQ19" s="2724"/>
      <c r="AR19" s="2724"/>
      <c r="AS19" s="2724"/>
      <c r="AT19" s="2724"/>
      <c r="AU19" s="2724"/>
      <c r="AV19" s="2724"/>
      <c r="AW19" s="2724"/>
      <c r="AX19" s="2724"/>
      <c r="AY19" s="2724"/>
      <c r="AZ19" s="2724"/>
      <c r="BA19" s="2724"/>
      <c r="BB19" s="2724"/>
      <c r="BC19" s="2724"/>
      <c r="BD19" s="2724"/>
      <c r="BE19" s="2724"/>
      <c r="BF19" s="2724"/>
      <c r="BG19" s="2724"/>
      <c r="BH19" s="2724"/>
      <c r="BI19" s="2724"/>
    </row>
    <row r="20" spans="1:61" ht="18" customHeight="1" x14ac:dyDescent="0.3">
      <c r="A20" s="2655" t="s">
        <v>2527</v>
      </c>
      <c r="B20" s="2655" t="s">
        <v>2530</v>
      </c>
      <c r="C20" s="2687">
        <v>1165.5842754800001</v>
      </c>
      <c r="D20" s="2687">
        <v>1144.3339894400001</v>
      </c>
      <c r="E20" s="2687">
        <v>1252.33697779</v>
      </c>
      <c r="F20" s="2687">
        <v>1158.7047769400001</v>
      </c>
      <c r="G20" s="2687">
        <v>1211.0408513799998</v>
      </c>
      <c r="H20" s="2687">
        <v>1379.6697941500001</v>
      </c>
      <c r="I20" s="2687">
        <v>1151.33994018</v>
      </c>
      <c r="J20" s="2687">
        <v>1216.2030727000001</v>
      </c>
      <c r="K20" s="2687">
        <v>1267.5159774499998</v>
      </c>
      <c r="L20" s="2687">
        <v>1237.7968273299998</v>
      </c>
      <c r="M20" s="2687">
        <v>957.69574081000007</v>
      </c>
      <c r="N20" s="2687">
        <v>946.51278145000003</v>
      </c>
      <c r="O20" s="2687">
        <v>978.26740600000016</v>
      </c>
      <c r="P20" s="2687">
        <v>935.78048269999988</v>
      </c>
      <c r="Q20" s="2687">
        <v>819.60248229999991</v>
      </c>
      <c r="R20" s="2687">
        <v>824.27017603000002</v>
      </c>
      <c r="S20" s="2687">
        <v>527.13489362999997</v>
      </c>
      <c r="T20" s="2687">
        <v>491.28439797999988</v>
      </c>
      <c r="U20" s="2687">
        <v>548.74033615999997</v>
      </c>
      <c r="V20" s="2687">
        <v>562.88839671000005</v>
      </c>
      <c r="W20" s="2687">
        <v>612.32924229999992</v>
      </c>
      <c r="X20" s="2687">
        <v>659.42193758000008</v>
      </c>
      <c r="Y20" s="2687">
        <v>683.09322334000001</v>
      </c>
      <c r="Z20" s="2687">
        <v>663.31553169999995</v>
      </c>
      <c r="AA20" s="2687">
        <v>1302.3887944200001</v>
      </c>
      <c r="AB20" s="2687">
        <v>1318.0694026400001</v>
      </c>
      <c r="AC20" s="2687">
        <v>1327.1109784799999</v>
      </c>
      <c r="AD20" s="2687">
        <v>1050.54140972</v>
      </c>
      <c r="AE20" s="2687">
        <v>681.51544925999997</v>
      </c>
      <c r="AF20" s="2687">
        <v>648.09088933999999</v>
      </c>
      <c r="AG20" s="2687">
        <v>716.89722680000011</v>
      </c>
      <c r="AH20" s="2687">
        <v>708.64908884999988</v>
      </c>
      <c r="AI20" s="2687">
        <v>706.71083261000001</v>
      </c>
      <c r="AJ20" s="2687">
        <v>639.58666497999991</v>
      </c>
      <c r="AK20" s="2687">
        <v>636.17696328</v>
      </c>
      <c r="AL20" s="2687">
        <v>825.42127224000001</v>
      </c>
      <c r="AM20" s="2687">
        <v>737.30475550000006</v>
      </c>
      <c r="AN20" s="2687">
        <v>752.57898135000005</v>
      </c>
      <c r="AO20" s="2687">
        <v>763.08182311999997</v>
      </c>
      <c r="AP20" s="2687">
        <v>755.67874768000001</v>
      </c>
      <c r="AQ20" s="2687">
        <v>706.86633074999997</v>
      </c>
      <c r="AR20" s="2687">
        <v>714.04517712999996</v>
      </c>
      <c r="AS20" s="2687">
        <v>713.89141609000001</v>
      </c>
      <c r="AT20" s="2687">
        <v>746.12332222999999</v>
      </c>
      <c r="AU20" s="2687">
        <v>664.79465271000004</v>
      </c>
      <c r="AV20" s="2687">
        <v>669.13011806999998</v>
      </c>
      <c r="AW20" s="2687">
        <v>712.91687734999994</v>
      </c>
      <c r="AX20" s="2687">
        <v>920.56344186000013</v>
      </c>
      <c r="AY20" s="2687">
        <v>857.66908013000011</v>
      </c>
      <c r="AZ20" s="2687">
        <v>724.00008855999999</v>
      </c>
      <c r="BA20" s="2687">
        <v>1089.57461928</v>
      </c>
      <c r="BB20" s="2687">
        <v>959.23881013000016</v>
      </c>
      <c r="BC20" s="2687">
        <v>803.09048296000003</v>
      </c>
      <c r="BD20" s="2687">
        <v>919.62674217000006</v>
      </c>
      <c r="BE20" s="2687">
        <v>874.83756239000002</v>
      </c>
      <c r="BF20" s="2687">
        <v>727.22488358999999</v>
      </c>
      <c r="BG20" s="2687">
        <v>1050.43068483</v>
      </c>
      <c r="BH20" s="2687">
        <v>814.50723954000011</v>
      </c>
      <c r="BI20" s="2687">
        <v>795.14743147000001</v>
      </c>
    </row>
    <row r="21" spans="1:61" ht="18" customHeight="1" x14ac:dyDescent="0.3">
      <c r="A21" s="2658"/>
      <c r="B21" s="2658"/>
      <c r="C21" s="2724"/>
      <c r="D21" s="2724"/>
      <c r="E21" s="2724"/>
      <c r="F21" s="2724"/>
      <c r="G21" s="2724"/>
      <c r="H21" s="2724"/>
      <c r="I21" s="2724"/>
      <c r="J21" s="2724"/>
      <c r="K21" s="2724"/>
      <c r="L21" s="2724"/>
      <c r="M21" s="2724"/>
      <c r="N21" s="2724"/>
      <c r="O21" s="2724"/>
      <c r="P21" s="2724"/>
      <c r="Q21" s="2724"/>
      <c r="R21" s="2724"/>
      <c r="S21" s="2724"/>
      <c r="T21" s="2724"/>
      <c r="U21" s="2724"/>
      <c r="V21" s="2724"/>
      <c r="W21" s="2724"/>
      <c r="X21" s="2724"/>
      <c r="Y21" s="2724"/>
      <c r="Z21" s="2724"/>
      <c r="AA21" s="2724"/>
      <c r="AB21" s="2724"/>
      <c r="AC21" s="2724"/>
      <c r="AD21" s="2724"/>
      <c r="AE21" s="2724"/>
      <c r="AF21" s="2724"/>
      <c r="AG21" s="2724"/>
      <c r="AH21" s="2724"/>
      <c r="AI21" s="2724"/>
      <c r="AJ21" s="2724"/>
      <c r="AK21" s="2724"/>
      <c r="AL21" s="2724"/>
      <c r="AM21" s="2724"/>
      <c r="AN21" s="2724"/>
      <c r="AO21" s="2724"/>
      <c r="AP21" s="2724"/>
      <c r="AQ21" s="2724"/>
      <c r="AR21" s="2724"/>
      <c r="AS21" s="2724"/>
      <c r="AT21" s="2724"/>
      <c r="AU21" s="2724"/>
      <c r="AV21" s="2724"/>
      <c r="AW21" s="2724"/>
      <c r="AX21" s="2724"/>
      <c r="AY21" s="2724"/>
      <c r="AZ21" s="2724"/>
      <c r="BA21" s="2724"/>
      <c r="BB21" s="2724"/>
      <c r="BC21" s="2724"/>
      <c r="BD21" s="2724"/>
      <c r="BE21" s="2724"/>
      <c r="BF21" s="2724"/>
      <c r="BG21" s="2724"/>
      <c r="BH21" s="2724"/>
      <c r="BI21" s="2724"/>
    </row>
    <row r="22" spans="1:61" ht="18" customHeight="1" x14ac:dyDescent="0.3">
      <c r="A22" s="2655" t="s">
        <v>2529</v>
      </c>
      <c r="B22" s="2655" t="s">
        <v>2532</v>
      </c>
      <c r="C22" s="2687">
        <v>3135.7740471799998</v>
      </c>
      <c r="D22" s="2687">
        <v>3130.7487091800003</v>
      </c>
      <c r="E22" s="2687">
        <v>2788.11250492</v>
      </c>
      <c r="F22" s="2687">
        <v>2893.4054980399997</v>
      </c>
      <c r="G22" s="2687">
        <v>2886.2862546699994</v>
      </c>
      <c r="H22" s="2687">
        <v>2915.3276858499994</v>
      </c>
      <c r="I22" s="2687">
        <v>2892.2268666600003</v>
      </c>
      <c r="J22" s="2687">
        <v>2926.1956566900008</v>
      </c>
      <c r="K22" s="2687">
        <v>3039.1836180400005</v>
      </c>
      <c r="L22" s="2687">
        <v>3042.5841576500002</v>
      </c>
      <c r="M22" s="2687">
        <v>3027.9828807100002</v>
      </c>
      <c r="N22" s="2687">
        <v>3033.2130022399997</v>
      </c>
      <c r="O22" s="2687">
        <v>3162.9474170500002</v>
      </c>
      <c r="P22" s="2687">
        <v>3145.97798883</v>
      </c>
      <c r="Q22" s="2687">
        <v>3130.6690823399995</v>
      </c>
      <c r="R22" s="2687">
        <v>3050.2464105699996</v>
      </c>
      <c r="S22" s="2687">
        <v>2466.9573183599996</v>
      </c>
      <c r="T22" s="2687">
        <v>2492.7728384800002</v>
      </c>
      <c r="U22" s="2687">
        <v>2477.3548169100004</v>
      </c>
      <c r="V22" s="2687">
        <v>2456.2756352000001</v>
      </c>
      <c r="W22" s="2687">
        <v>2428.09250729</v>
      </c>
      <c r="X22" s="2687">
        <v>2411.7953546499998</v>
      </c>
      <c r="Y22" s="2687">
        <v>2381.6292145699995</v>
      </c>
      <c r="Z22" s="2687">
        <v>2427.2441287400002</v>
      </c>
      <c r="AA22" s="2687">
        <v>2419.9539893900001</v>
      </c>
      <c r="AB22" s="2687">
        <v>2422.0065897999998</v>
      </c>
      <c r="AC22" s="2687">
        <v>2462.5170033900004</v>
      </c>
      <c r="AD22" s="2687">
        <v>2830.7603667199996</v>
      </c>
      <c r="AE22" s="2687">
        <v>2858.7945148799995</v>
      </c>
      <c r="AF22" s="2687">
        <v>2849.8941393499999</v>
      </c>
      <c r="AG22" s="2687">
        <v>2848.7142131299997</v>
      </c>
      <c r="AH22" s="2687">
        <v>2854.1509788600001</v>
      </c>
      <c r="AI22" s="2687">
        <v>2805.22917719</v>
      </c>
      <c r="AJ22" s="2687">
        <v>2777.59521408</v>
      </c>
      <c r="AK22" s="2687">
        <v>2777.6061054199999</v>
      </c>
      <c r="AL22" s="2687">
        <v>2733.4085589300003</v>
      </c>
      <c r="AM22" s="2687">
        <v>2735.0959883400001</v>
      </c>
      <c r="AN22" s="2687">
        <v>2753.6509993200002</v>
      </c>
      <c r="AO22" s="2687">
        <v>2781.3799129499998</v>
      </c>
      <c r="AP22" s="2687">
        <v>2759.24120997</v>
      </c>
      <c r="AQ22" s="2687">
        <v>2798.7942198800001</v>
      </c>
      <c r="AR22" s="2687">
        <v>2754.14543809</v>
      </c>
      <c r="AS22" s="2687">
        <v>2770.5769398500006</v>
      </c>
      <c r="AT22" s="2687">
        <v>2755.6716942199996</v>
      </c>
      <c r="AU22" s="2687">
        <v>2756.6041696100001</v>
      </c>
      <c r="AV22" s="2687">
        <v>2743.2104484899996</v>
      </c>
      <c r="AW22" s="2687">
        <v>2760.6139933300001</v>
      </c>
      <c r="AX22" s="2687">
        <v>2644.0793516399999</v>
      </c>
      <c r="AY22" s="2687">
        <v>2678.2993346200001</v>
      </c>
      <c r="AZ22" s="2687">
        <v>2712.5156369199999</v>
      </c>
      <c r="BA22" s="2687">
        <v>2733.60433367</v>
      </c>
      <c r="BB22" s="2687">
        <v>2721.2603294199994</v>
      </c>
      <c r="BC22" s="2687">
        <v>2783.6507939900002</v>
      </c>
      <c r="BD22" s="2687">
        <v>2784.22295846</v>
      </c>
      <c r="BE22" s="2687">
        <v>2826.1221427600003</v>
      </c>
      <c r="BF22" s="2687">
        <v>2898.3044667400004</v>
      </c>
      <c r="BG22" s="2687">
        <v>2902.5884393499996</v>
      </c>
      <c r="BH22" s="2687">
        <v>2874.0335833600002</v>
      </c>
      <c r="BI22" s="2687">
        <v>2874.04791217</v>
      </c>
    </row>
    <row r="23" spans="1:61" ht="18" customHeight="1" x14ac:dyDescent="0.3">
      <c r="A23" s="2658"/>
      <c r="B23" s="2658"/>
      <c r="C23" s="2693"/>
      <c r="D23" s="2693"/>
      <c r="E23" s="2693"/>
      <c r="F23" s="2693"/>
      <c r="G23" s="2693"/>
      <c r="H23" s="2693"/>
      <c r="I23" s="2693"/>
      <c r="J23" s="2693"/>
      <c r="K23" s="2693"/>
      <c r="L23" s="2693"/>
      <c r="M23" s="2693"/>
      <c r="N23" s="2693"/>
      <c r="O23" s="2693"/>
      <c r="P23" s="2693"/>
      <c r="Q23" s="2693"/>
      <c r="R23" s="2693"/>
      <c r="S23" s="2693"/>
      <c r="T23" s="2693"/>
      <c r="U23" s="2693"/>
      <c r="V23" s="2693"/>
      <c r="W23" s="2693"/>
      <c r="X23" s="2693"/>
      <c r="Y23" s="2693"/>
      <c r="Z23" s="2693"/>
      <c r="AA23" s="2693"/>
      <c r="AB23" s="2693"/>
      <c r="AC23" s="2693"/>
      <c r="AD23" s="2693"/>
      <c r="AE23" s="2693"/>
      <c r="AF23" s="2693"/>
      <c r="AG23" s="2693"/>
      <c r="AH23" s="2693"/>
      <c r="AI23" s="2693"/>
      <c r="AJ23" s="2693"/>
      <c r="AK23" s="2693"/>
      <c r="AL23" s="2693"/>
      <c r="AM23" s="2693"/>
      <c r="AN23" s="2693"/>
      <c r="AO23" s="2693"/>
      <c r="AP23" s="2693"/>
      <c r="AQ23" s="2693"/>
      <c r="AR23" s="2693"/>
      <c r="AS23" s="2693"/>
      <c r="AT23" s="2693"/>
      <c r="AU23" s="2693"/>
      <c r="AV23" s="2693"/>
      <c r="AW23" s="2693"/>
      <c r="AX23" s="2693"/>
      <c r="AY23" s="2693"/>
      <c r="AZ23" s="2693"/>
      <c r="BA23" s="2693"/>
      <c r="BB23" s="2693"/>
      <c r="BC23" s="2693"/>
      <c r="BD23" s="2693"/>
      <c r="BE23" s="2693"/>
      <c r="BF23" s="2693"/>
      <c r="BG23" s="2693"/>
      <c r="BH23" s="2693"/>
      <c r="BI23" s="2693"/>
    </row>
    <row r="24" spans="1:61" ht="18" customHeight="1" x14ac:dyDescent="0.3">
      <c r="A24" s="2655"/>
      <c r="B24" s="2655" t="s">
        <v>1060</v>
      </c>
      <c r="C24" s="2687">
        <v>77236.900517380011</v>
      </c>
      <c r="D24" s="2687">
        <v>78104.594409330006</v>
      </c>
      <c r="E24" s="2687">
        <v>79194.042047160008</v>
      </c>
      <c r="F24" s="2687">
        <v>79301.556975970001</v>
      </c>
      <c r="G24" s="2687">
        <v>79368.437332760004</v>
      </c>
      <c r="H24" s="2687">
        <v>79844.122155790013</v>
      </c>
      <c r="I24" s="2687">
        <v>82060.070513889994</v>
      </c>
      <c r="J24" s="2687">
        <v>80438.998750690007</v>
      </c>
      <c r="K24" s="2687">
        <v>80812.571502049992</v>
      </c>
      <c r="L24" s="2687">
        <v>80839.221853329989</v>
      </c>
      <c r="M24" s="2687">
        <v>80984.36660466998</v>
      </c>
      <c r="N24" s="2687">
        <v>80989.341968230001</v>
      </c>
      <c r="O24" s="2687">
        <v>81080.767267770003</v>
      </c>
      <c r="P24" s="2687">
        <v>81658.790813240004</v>
      </c>
      <c r="Q24" s="2687">
        <v>82687.837725639984</v>
      </c>
      <c r="R24" s="2687">
        <v>82095.878150689998</v>
      </c>
      <c r="S24" s="2687">
        <v>66592.911375890006</v>
      </c>
      <c r="T24" s="2687">
        <v>66652.19892291</v>
      </c>
      <c r="U24" s="2687">
        <v>66379.005104190001</v>
      </c>
      <c r="V24" s="2687">
        <v>66506.294517410002</v>
      </c>
      <c r="W24" s="2687">
        <v>66196.030825779992</v>
      </c>
      <c r="X24" s="2687">
        <v>65990.950371319996</v>
      </c>
      <c r="Y24" s="2687">
        <v>65925.357252419999</v>
      </c>
      <c r="Z24" s="2687">
        <v>65813.280355299998</v>
      </c>
      <c r="AA24" s="2687">
        <v>65272.910077909997</v>
      </c>
      <c r="AB24" s="2687">
        <v>66294.467160679997</v>
      </c>
      <c r="AC24" s="2687">
        <v>65676.789597750001</v>
      </c>
      <c r="AD24" s="2687">
        <v>65679.819957569998</v>
      </c>
      <c r="AE24" s="2687">
        <v>66247.542287770004</v>
      </c>
      <c r="AF24" s="2687">
        <v>66128.868720240003</v>
      </c>
      <c r="AG24" s="2687">
        <v>66487.546542759999</v>
      </c>
      <c r="AH24" s="2687">
        <v>66666.714327759997</v>
      </c>
      <c r="AI24" s="2687">
        <v>66727.536961400008</v>
      </c>
      <c r="AJ24" s="2687">
        <v>66684.923424170003</v>
      </c>
      <c r="AK24" s="2687">
        <v>66964.998213309998</v>
      </c>
      <c r="AL24" s="2687">
        <v>67351.024271920003</v>
      </c>
      <c r="AM24" s="2687">
        <v>67369.581373520006</v>
      </c>
      <c r="AN24" s="2687">
        <v>67079.354984110003</v>
      </c>
      <c r="AO24" s="2687">
        <v>67070.390779380003</v>
      </c>
      <c r="AP24" s="2687">
        <v>67037.657873169999</v>
      </c>
      <c r="AQ24" s="2687">
        <v>67250.258423959996</v>
      </c>
      <c r="AR24" s="2687">
        <v>67155.084650620003</v>
      </c>
      <c r="AS24" s="2687">
        <v>67036.716693619994</v>
      </c>
      <c r="AT24" s="2687">
        <v>67200.680215519998</v>
      </c>
      <c r="AU24" s="2687">
        <v>67249.170794139995</v>
      </c>
      <c r="AV24" s="2687">
        <v>67422.621879210012</v>
      </c>
      <c r="AW24" s="2687">
        <v>67383.145621610005</v>
      </c>
      <c r="AX24" s="2687">
        <v>67340.463452289987</v>
      </c>
      <c r="AY24" s="2687">
        <v>67725.443062170001</v>
      </c>
      <c r="AZ24" s="2687">
        <v>68929.130042970006</v>
      </c>
      <c r="BA24" s="2687">
        <v>69134.321353959996</v>
      </c>
      <c r="BB24" s="2687">
        <v>69273.26891644999</v>
      </c>
      <c r="BC24" s="2687">
        <v>69771.706606780004</v>
      </c>
      <c r="BD24" s="2687">
        <v>70168.500747520011</v>
      </c>
      <c r="BE24" s="2687">
        <v>70702.246027600006</v>
      </c>
      <c r="BF24" s="2687">
        <v>70990.51806829001</v>
      </c>
      <c r="BG24" s="2687">
        <v>71551.241374470002</v>
      </c>
      <c r="BH24" s="2687">
        <v>71888.598751199999</v>
      </c>
      <c r="BI24" s="2687">
        <v>72058.419491570006</v>
      </c>
    </row>
    <row r="25" spans="1:61" thickBot="1" x14ac:dyDescent="0.35">
      <c r="A25" s="2663"/>
      <c r="B25" s="2663"/>
      <c r="C25" s="2727"/>
      <c r="D25" s="2727"/>
      <c r="E25" s="2727"/>
      <c r="F25" s="2727"/>
      <c r="G25" s="2727"/>
      <c r="H25" s="2727"/>
      <c r="I25" s="2727"/>
      <c r="J25" s="2727"/>
      <c r="K25" s="2727"/>
      <c r="L25" s="2727"/>
      <c r="M25" s="2727"/>
      <c r="N25" s="2727"/>
      <c r="O25" s="2727"/>
      <c r="P25" s="2727"/>
      <c r="Q25" s="2727"/>
      <c r="R25" s="2727"/>
      <c r="S25" s="2727"/>
      <c r="T25" s="2727"/>
      <c r="U25" s="2727"/>
      <c r="V25" s="2727"/>
      <c r="W25" s="2727"/>
      <c r="X25" s="2727"/>
      <c r="Y25" s="2727"/>
      <c r="Z25" s="2727"/>
      <c r="AA25" s="2727"/>
      <c r="AB25" s="2727"/>
      <c r="AC25" s="2727"/>
      <c r="AD25" s="2727"/>
      <c r="AE25" s="2727"/>
      <c r="AF25" s="2727"/>
      <c r="AG25" s="2727"/>
      <c r="AH25" s="2727"/>
      <c r="AI25" s="2727"/>
      <c r="AJ25" s="2727"/>
      <c r="AK25" s="2727"/>
      <c r="AL25" s="2727"/>
      <c r="AM25" s="2727"/>
      <c r="AN25" s="2727"/>
      <c r="AO25" s="2727"/>
      <c r="AP25" s="2727"/>
      <c r="AQ25" s="2727"/>
      <c r="AR25" s="2727"/>
      <c r="AS25" s="2727"/>
      <c r="AT25" s="2727"/>
      <c r="AU25" s="2727"/>
      <c r="AV25" s="2727"/>
      <c r="AW25" s="2727"/>
      <c r="AX25" s="2727"/>
      <c r="AY25" s="2727"/>
      <c r="AZ25" s="2727"/>
      <c r="BA25" s="2727"/>
      <c r="BB25" s="2727"/>
      <c r="BC25" s="2727"/>
      <c r="BD25" s="2727"/>
      <c r="BE25" s="2727"/>
      <c r="BF25" s="2727"/>
      <c r="BG25" s="2727"/>
      <c r="BH25" s="2727"/>
      <c r="BI25" s="2727"/>
    </row>
    <row r="26" spans="1:61" ht="18" hidden="1" thickTop="1" x14ac:dyDescent="0.3">
      <c r="A26" s="2728"/>
      <c r="B26" s="2728"/>
      <c r="C26" s="2729"/>
      <c r="D26" s="2729"/>
      <c r="E26" s="2729"/>
      <c r="F26" s="2729"/>
      <c r="G26" s="2729"/>
      <c r="H26" s="2729"/>
      <c r="I26" s="2729"/>
      <c r="J26" s="2729"/>
      <c r="K26" s="2729"/>
      <c r="L26" s="2729"/>
      <c r="M26" s="2729"/>
      <c r="N26" s="2729"/>
      <c r="O26" s="2729"/>
      <c r="P26" s="2729"/>
      <c r="Q26" s="2729"/>
      <c r="R26" s="2729"/>
      <c r="S26" s="2729"/>
      <c r="T26" s="2729"/>
      <c r="U26" s="2729"/>
      <c r="V26" s="2729"/>
      <c r="W26" s="2729"/>
      <c r="X26" s="2729"/>
      <c r="Y26" s="2729"/>
      <c r="Z26" s="2729"/>
      <c r="AA26" s="2729"/>
      <c r="AB26" s="2729"/>
      <c r="AC26" s="2729"/>
      <c r="AD26" s="2729"/>
      <c r="AE26" s="2729"/>
      <c r="AF26" s="2729"/>
      <c r="AG26" s="2729"/>
      <c r="AH26" s="2729"/>
      <c r="AI26" s="2729"/>
      <c r="AJ26" s="2729"/>
      <c r="AK26" s="2729"/>
      <c r="AL26" s="2729"/>
      <c r="AM26" s="2729"/>
      <c r="AN26" s="2729"/>
      <c r="AO26" s="2729"/>
      <c r="AP26" s="2729"/>
      <c r="AQ26" s="2729"/>
      <c r="AR26" s="2729"/>
      <c r="AS26" s="2729"/>
      <c r="AT26" s="2729"/>
      <c r="AU26" s="2729"/>
      <c r="AV26" s="2729"/>
      <c r="AW26" s="2729"/>
      <c r="AX26" s="2729"/>
      <c r="AY26" s="2729"/>
      <c r="AZ26" s="2729"/>
      <c r="BA26" s="2729"/>
      <c r="BB26" s="2729"/>
      <c r="BC26" s="2729"/>
      <c r="BD26" s="2729"/>
      <c r="BE26" s="2729"/>
      <c r="BF26" s="2729"/>
      <c r="BG26" s="2729"/>
      <c r="BH26" s="2729"/>
      <c r="BI26" s="2729"/>
    </row>
    <row r="27" spans="1:61" ht="18" thickTop="1" x14ac:dyDescent="0.3">
      <c r="A27" s="2649"/>
      <c r="B27" s="2649"/>
      <c r="C27" s="2729"/>
      <c r="D27" s="2729"/>
      <c r="E27" s="2729"/>
      <c r="F27" s="2729"/>
      <c r="G27" s="2729"/>
      <c r="H27" s="2729"/>
      <c r="I27" s="2729"/>
      <c r="J27" s="2729"/>
      <c r="K27" s="2729"/>
      <c r="L27" s="2729"/>
      <c r="M27" s="2729"/>
      <c r="N27" s="2729"/>
      <c r="O27" s="2729"/>
      <c r="P27" s="2729"/>
      <c r="Q27" s="2729"/>
      <c r="R27" s="2729"/>
      <c r="S27" s="2729"/>
      <c r="T27" s="2729"/>
      <c r="U27" s="2729"/>
      <c r="V27" s="2729"/>
      <c r="W27" s="2729"/>
      <c r="X27" s="2729"/>
      <c r="Y27" s="2729"/>
      <c r="Z27" s="2729"/>
      <c r="AA27" s="2729"/>
      <c r="AB27" s="2729"/>
      <c r="AC27" s="2729"/>
      <c r="AD27" s="2729"/>
      <c r="AE27" s="2729"/>
      <c r="AF27" s="2729"/>
      <c r="AG27" s="2729"/>
      <c r="AH27" s="2729"/>
      <c r="AI27" s="2729"/>
      <c r="AJ27" s="2729"/>
      <c r="AK27" s="2729"/>
      <c r="AL27" s="2729"/>
      <c r="AM27" s="2729"/>
      <c r="AN27" s="2729"/>
      <c r="AO27" s="2729"/>
      <c r="AP27" s="2729"/>
      <c r="AQ27" s="2729"/>
      <c r="AR27" s="2729"/>
      <c r="AS27" s="2729"/>
      <c r="AT27" s="2729"/>
      <c r="AU27" s="2729"/>
      <c r="AV27" s="2729"/>
      <c r="AW27" s="2729"/>
      <c r="AX27" s="2729"/>
      <c r="AY27" s="2729"/>
      <c r="AZ27" s="2729"/>
      <c r="BA27" s="2729"/>
      <c r="BB27" s="2729"/>
      <c r="BC27" s="2729"/>
      <c r="BD27" s="2729"/>
      <c r="BE27" s="2729"/>
      <c r="BF27" s="2729"/>
      <c r="BG27" s="2729"/>
      <c r="BH27" s="2729"/>
      <c r="BI27" s="2729"/>
    </row>
    <row r="28" spans="1:61" ht="18" thickBot="1" x14ac:dyDescent="0.35">
      <c r="A28" s="2730"/>
      <c r="B28" s="2730"/>
      <c r="C28" s="2731"/>
      <c r="D28" s="2731"/>
      <c r="E28" s="2731"/>
      <c r="F28" s="2731"/>
      <c r="G28" s="2731"/>
      <c r="H28" s="2731"/>
      <c r="I28" s="2731"/>
      <c r="J28" s="2731"/>
      <c r="K28" s="2731"/>
      <c r="S28" s="1694"/>
      <c r="X28" s="1694"/>
      <c r="AE28" s="1694"/>
      <c r="AR28" s="1694"/>
      <c r="AS28" s="1694"/>
      <c r="AT28" s="1694"/>
      <c r="AU28" s="1694"/>
      <c r="AV28" s="1694"/>
      <c r="AW28" s="1694"/>
      <c r="AX28" s="1694"/>
      <c r="AY28" s="1694"/>
      <c r="AZ28" s="1694"/>
      <c r="BA28" s="1694"/>
      <c r="BB28" s="1694"/>
      <c r="BC28" s="1694"/>
      <c r="BD28" s="1694"/>
      <c r="BE28" s="1694"/>
      <c r="BF28" s="1694"/>
      <c r="BG28" s="1694"/>
      <c r="BH28" s="1694"/>
      <c r="BI28" s="1694" t="s">
        <v>281</v>
      </c>
    </row>
    <row r="29" spans="1:61" ht="24" customHeight="1" thickTop="1" thickBot="1" x14ac:dyDescent="0.35">
      <c r="A29" s="2651" t="s">
        <v>2502</v>
      </c>
      <c r="B29" s="2651" t="s">
        <v>791</v>
      </c>
      <c r="C29" s="2723">
        <v>43374</v>
      </c>
      <c r="D29" s="2723">
        <v>43405</v>
      </c>
      <c r="E29" s="2723">
        <v>43435</v>
      </c>
      <c r="F29" s="2723">
        <v>43466</v>
      </c>
      <c r="G29" s="2723">
        <v>43497</v>
      </c>
      <c r="H29" s="2723">
        <v>43525</v>
      </c>
      <c r="I29" s="2723">
        <v>43556</v>
      </c>
      <c r="J29" s="2723">
        <v>43586</v>
      </c>
      <c r="K29" s="2723">
        <v>43617</v>
      </c>
      <c r="L29" s="2723">
        <v>43647</v>
      </c>
      <c r="M29" s="2723">
        <v>43678</v>
      </c>
      <c r="N29" s="2723">
        <v>43709</v>
      </c>
      <c r="O29" s="2723">
        <v>43739</v>
      </c>
      <c r="P29" s="2723">
        <v>43770</v>
      </c>
      <c r="Q29" s="2723">
        <v>43800</v>
      </c>
      <c r="R29" s="2723">
        <v>43831</v>
      </c>
      <c r="S29" s="2652" t="s">
        <v>2590</v>
      </c>
      <c r="T29" s="2652" t="s">
        <v>477</v>
      </c>
      <c r="U29" s="2652" t="s">
        <v>2591</v>
      </c>
      <c r="V29" s="2652" t="s">
        <v>2592</v>
      </c>
      <c r="W29" s="2652" t="s">
        <v>2619</v>
      </c>
      <c r="X29" s="2652" t="s">
        <v>314</v>
      </c>
      <c r="Y29" s="2652" t="s">
        <v>315</v>
      </c>
      <c r="Z29" s="2652" t="s">
        <v>316</v>
      </c>
      <c r="AA29" s="2652" t="s">
        <v>317</v>
      </c>
      <c r="AB29" s="2652" t="s">
        <v>318</v>
      </c>
      <c r="AC29" s="2652" t="s">
        <v>319</v>
      </c>
      <c r="AD29" s="2652" t="s">
        <v>320</v>
      </c>
      <c r="AE29" s="2652" t="s">
        <v>2627</v>
      </c>
      <c r="AF29" s="2652" t="s">
        <v>322</v>
      </c>
      <c r="AG29" s="2652" t="s">
        <v>2620</v>
      </c>
      <c r="AH29" s="2652" t="s">
        <v>483</v>
      </c>
      <c r="AI29" s="2652" t="s">
        <v>325</v>
      </c>
      <c r="AJ29" s="2652" t="s">
        <v>2621</v>
      </c>
      <c r="AK29" s="2652" t="s">
        <v>2622</v>
      </c>
      <c r="AL29" s="2652" t="s">
        <v>2623</v>
      </c>
      <c r="AM29" s="2652" t="s">
        <v>2624</v>
      </c>
      <c r="AN29" s="2652" t="s">
        <v>2625</v>
      </c>
      <c r="AO29" s="2652" t="s">
        <v>2626</v>
      </c>
      <c r="AP29" s="2652">
        <v>44562</v>
      </c>
      <c r="AQ29" s="2652">
        <v>44593</v>
      </c>
      <c r="AR29" s="2652">
        <v>44621</v>
      </c>
      <c r="AS29" s="2652">
        <v>44652</v>
      </c>
      <c r="AT29" s="2652">
        <v>44682</v>
      </c>
      <c r="AU29" s="2652">
        <v>44713</v>
      </c>
      <c r="AV29" s="2652">
        <v>44743</v>
      </c>
      <c r="AW29" s="2652">
        <v>44774</v>
      </c>
      <c r="AX29" s="2652">
        <v>44805</v>
      </c>
      <c r="AY29" s="2652">
        <v>44835</v>
      </c>
      <c r="AZ29" s="2652">
        <v>44866</v>
      </c>
      <c r="BA29" s="2652">
        <v>44896</v>
      </c>
      <c r="BB29" s="2652">
        <v>44927</v>
      </c>
      <c r="BC29" s="2652">
        <v>44958</v>
      </c>
      <c r="BD29" s="2652">
        <v>44986</v>
      </c>
      <c r="BE29" s="2652">
        <v>45017</v>
      </c>
      <c r="BF29" s="2652">
        <v>45047</v>
      </c>
      <c r="BG29" s="2652">
        <v>45078</v>
      </c>
      <c r="BH29" s="2652">
        <v>45108</v>
      </c>
      <c r="BI29" s="2652">
        <v>45139</v>
      </c>
    </row>
    <row r="30" spans="1:61" ht="18" customHeight="1" thickTop="1" x14ac:dyDescent="0.3">
      <c r="A30" s="2658"/>
      <c r="B30" s="2667"/>
      <c r="C30" s="2693"/>
      <c r="D30" s="2693"/>
      <c r="E30" s="2693"/>
      <c r="F30" s="2693"/>
      <c r="G30" s="2693"/>
      <c r="H30" s="2693"/>
      <c r="I30" s="2693"/>
      <c r="J30" s="2693"/>
      <c r="K30" s="2693"/>
      <c r="L30" s="2693"/>
      <c r="M30" s="2693"/>
      <c r="N30" s="2693"/>
      <c r="O30" s="2693"/>
      <c r="P30" s="2693"/>
      <c r="Q30" s="2693"/>
      <c r="R30" s="2693"/>
      <c r="S30" s="2693"/>
      <c r="T30" s="2693"/>
      <c r="U30" s="2693"/>
      <c r="V30" s="2693"/>
      <c r="W30" s="2693"/>
      <c r="X30" s="2693"/>
      <c r="Y30" s="2693"/>
      <c r="Z30" s="2693"/>
      <c r="AA30" s="2693"/>
      <c r="AB30" s="2693"/>
      <c r="AC30" s="2693"/>
      <c r="AD30" s="2693"/>
      <c r="AE30" s="2693"/>
      <c r="AF30" s="2693"/>
      <c r="AG30" s="2693"/>
      <c r="AH30" s="2693"/>
      <c r="AI30" s="2693"/>
      <c r="AJ30" s="2693"/>
      <c r="AK30" s="2693"/>
      <c r="AL30" s="2693"/>
      <c r="AM30" s="2693"/>
      <c r="AN30" s="2693"/>
      <c r="AO30" s="2693"/>
      <c r="AP30" s="2693"/>
      <c r="AQ30" s="2693"/>
      <c r="AR30" s="2693"/>
      <c r="AS30" s="2693"/>
      <c r="AT30" s="2693"/>
      <c r="AU30" s="2693"/>
      <c r="AV30" s="2693"/>
      <c r="AW30" s="2693"/>
      <c r="AX30" s="2693"/>
      <c r="AY30" s="2693"/>
      <c r="AZ30" s="2693"/>
      <c r="BA30" s="2693"/>
      <c r="BB30" s="2693"/>
      <c r="BC30" s="2693"/>
      <c r="BD30" s="2693"/>
      <c r="BE30" s="2693"/>
      <c r="BF30" s="2693"/>
      <c r="BG30" s="2693"/>
      <c r="BH30" s="2693"/>
      <c r="BI30" s="2693"/>
    </row>
    <row r="31" spans="1:61" ht="18" customHeight="1" x14ac:dyDescent="0.3">
      <c r="A31" s="2655" t="s">
        <v>2533</v>
      </c>
      <c r="B31" s="2655" t="s">
        <v>2607</v>
      </c>
      <c r="C31" s="2687">
        <v>47694.177166809997</v>
      </c>
      <c r="D31" s="2687">
        <v>47745.283479010002</v>
      </c>
      <c r="E31" s="2687">
        <v>47737.845197770002</v>
      </c>
      <c r="F31" s="2687">
        <v>47533.503202229993</v>
      </c>
      <c r="G31" s="2687">
        <v>47382.638370020002</v>
      </c>
      <c r="H31" s="2687">
        <v>47401.410157419996</v>
      </c>
      <c r="I31" s="2687">
        <v>47427.397743109999</v>
      </c>
      <c r="J31" s="2687">
        <v>44530.876024979996</v>
      </c>
      <c r="K31" s="2687">
        <v>44522.778753110004</v>
      </c>
      <c r="L31" s="2687">
        <v>44434.032098189993</v>
      </c>
      <c r="M31" s="2687">
        <v>44511.747251239998</v>
      </c>
      <c r="N31" s="2687">
        <v>44315.940731650007</v>
      </c>
      <c r="O31" s="2687">
        <v>44245.641496850003</v>
      </c>
      <c r="P31" s="2687">
        <v>44255.250134319998</v>
      </c>
      <c r="Q31" s="2687">
        <v>44277.996081609999</v>
      </c>
      <c r="R31" s="2687">
        <v>44222.000640229999</v>
      </c>
      <c r="S31" s="2687">
        <v>44210.372361330003</v>
      </c>
      <c r="T31" s="2687">
        <v>44280.088956700005</v>
      </c>
      <c r="U31" s="2687">
        <v>43930.418946800004</v>
      </c>
      <c r="V31" s="2687">
        <v>43827.40912086</v>
      </c>
      <c r="W31" s="2687">
        <v>43482.168871139998</v>
      </c>
      <c r="X31" s="2687">
        <v>43076.47440621</v>
      </c>
      <c r="Y31" s="2687">
        <v>42811.304690979996</v>
      </c>
      <c r="Z31" s="2687">
        <v>42626.153110209998</v>
      </c>
      <c r="AA31" s="2687">
        <v>42367.831198520005</v>
      </c>
      <c r="AB31" s="2687">
        <v>43182.478514529997</v>
      </c>
      <c r="AC31" s="2687">
        <v>42642.621432439999</v>
      </c>
      <c r="AD31" s="2687">
        <v>42279.742461139998</v>
      </c>
      <c r="AE31" s="2687">
        <v>42341.546560030001</v>
      </c>
      <c r="AF31" s="2687">
        <v>42162.317528939995</v>
      </c>
      <c r="AG31" s="2687">
        <v>42267.428383689999</v>
      </c>
      <c r="AH31" s="2687">
        <v>42473.18414954</v>
      </c>
      <c r="AI31" s="2687">
        <v>42382.252847019998</v>
      </c>
      <c r="AJ31" s="2687">
        <v>42351.705278480003</v>
      </c>
      <c r="AK31" s="2687">
        <v>42447.857508320005</v>
      </c>
      <c r="AL31" s="2687">
        <v>42576.548990819996</v>
      </c>
      <c r="AM31" s="2687">
        <v>42463.510283990006</v>
      </c>
      <c r="AN31" s="2687">
        <v>42200.920854390002</v>
      </c>
      <c r="AO31" s="2687">
        <v>42108.866467109998</v>
      </c>
      <c r="AP31" s="2687">
        <v>42038.355052129991</v>
      </c>
      <c r="AQ31" s="2687">
        <v>42128.473794819998</v>
      </c>
      <c r="AR31" s="2687">
        <v>41998.792859180001</v>
      </c>
      <c r="AS31" s="2687">
        <v>41647.724807699997</v>
      </c>
      <c r="AT31" s="2687">
        <v>41600.310444629999</v>
      </c>
      <c r="AU31" s="2687">
        <v>41587.739592809994</v>
      </c>
      <c r="AV31" s="2687">
        <v>41394.291443550006</v>
      </c>
      <c r="AW31" s="2687">
        <v>40967.050598149995</v>
      </c>
      <c r="AX31" s="2687">
        <v>40642.166791750002</v>
      </c>
      <c r="AY31" s="2687">
        <v>40595.561100869993</v>
      </c>
      <c r="AZ31" s="2687">
        <v>39804.749583609999</v>
      </c>
      <c r="BA31" s="2687">
        <v>40903.168172050006</v>
      </c>
      <c r="BB31" s="2687">
        <v>40817.323016769995</v>
      </c>
      <c r="BC31" s="2687">
        <v>40942.148281020003</v>
      </c>
      <c r="BD31" s="2687">
        <v>41086.385768280001</v>
      </c>
      <c r="BE31" s="2687">
        <v>41033.753101150003</v>
      </c>
      <c r="BF31" s="2687">
        <v>41104.465228169996</v>
      </c>
      <c r="BG31" s="2687">
        <v>41114.141650350008</v>
      </c>
      <c r="BH31" s="2687">
        <v>41234.898836280001</v>
      </c>
      <c r="BI31" s="2687">
        <v>41056.43297378999</v>
      </c>
    </row>
    <row r="32" spans="1:61" ht="18" customHeight="1" x14ac:dyDescent="0.3">
      <c r="A32" s="2658" t="s">
        <v>2608</v>
      </c>
      <c r="B32" s="2658" t="s">
        <v>2609</v>
      </c>
      <c r="C32" s="2693">
        <v>0</v>
      </c>
      <c r="D32" s="2693">
        <v>0</v>
      </c>
      <c r="E32" s="2693">
        <v>0</v>
      </c>
      <c r="F32" s="2693">
        <v>0</v>
      </c>
      <c r="G32" s="2693">
        <v>0</v>
      </c>
      <c r="H32" s="2693">
        <v>0</v>
      </c>
      <c r="I32" s="2693">
        <v>0</v>
      </c>
      <c r="J32" s="2693">
        <v>0</v>
      </c>
      <c r="K32" s="2693">
        <v>0</v>
      </c>
      <c r="L32" s="2693">
        <v>0</v>
      </c>
      <c r="M32" s="2693">
        <v>0</v>
      </c>
      <c r="N32" s="2693">
        <v>0</v>
      </c>
      <c r="O32" s="2693">
        <v>0</v>
      </c>
      <c r="P32" s="2693">
        <v>0</v>
      </c>
      <c r="Q32" s="2693">
        <v>0</v>
      </c>
      <c r="R32" s="2693">
        <v>0</v>
      </c>
      <c r="S32" s="2693">
        <v>0</v>
      </c>
      <c r="T32" s="2693">
        <v>0</v>
      </c>
      <c r="U32" s="2693">
        <v>0</v>
      </c>
      <c r="V32" s="2693">
        <v>0</v>
      </c>
      <c r="W32" s="2693">
        <v>0</v>
      </c>
      <c r="X32" s="2693">
        <v>0</v>
      </c>
      <c r="Y32" s="2693">
        <v>0</v>
      </c>
      <c r="Z32" s="2693">
        <v>0</v>
      </c>
      <c r="AA32" s="2693">
        <v>0</v>
      </c>
      <c r="AB32" s="2693">
        <v>0</v>
      </c>
      <c r="AC32" s="2693">
        <v>0</v>
      </c>
      <c r="AD32" s="2693">
        <v>0</v>
      </c>
      <c r="AE32" s="2693">
        <v>0</v>
      </c>
      <c r="AF32" s="2693">
        <v>0</v>
      </c>
      <c r="AG32" s="2693">
        <v>0</v>
      </c>
      <c r="AH32" s="2693">
        <v>0</v>
      </c>
      <c r="AI32" s="2693">
        <v>0</v>
      </c>
      <c r="AJ32" s="2693">
        <v>0</v>
      </c>
      <c r="AK32" s="2693">
        <v>0</v>
      </c>
      <c r="AL32" s="2693">
        <v>0</v>
      </c>
      <c r="AM32" s="2693">
        <v>0</v>
      </c>
      <c r="AN32" s="2693">
        <v>0</v>
      </c>
      <c r="AO32" s="2693">
        <v>0</v>
      </c>
      <c r="AP32" s="2693">
        <v>0</v>
      </c>
      <c r="AQ32" s="2693">
        <v>0</v>
      </c>
      <c r="AR32" s="2693">
        <v>0</v>
      </c>
      <c r="AS32" s="2693">
        <v>0</v>
      </c>
      <c r="AT32" s="2693">
        <v>0</v>
      </c>
      <c r="AU32" s="2693">
        <v>0</v>
      </c>
      <c r="AV32" s="2693">
        <v>0</v>
      </c>
      <c r="AW32" s="2693">
        <v>0</v>
      </c>
      <c r="AX32" s="2693">
        <v>0</v>
      </c>
      <c r="AY32" s="2693">
        <v>0</v>
      </c>
      <c r="AZ32" s="2693">
        <v>0</v>
      </c>
      <c r="BA32" s="2693">
        <v>0</v>
      </c>
      <c r="BB32" s="2693">
        <v>0</v>
      </c>
      <c r="BC32" s="2693">
        <v>0</v>
      </c>
      <c r="BD32" s="2693">
        <v>0</v>
      </c>
      <c r="BE32" s="2693">
        <v>0</v>
      </c>
      <c r="BF32" s="2693">
        <v>0</v>
      </c>
      <c r="BG32" s="2693">
        <v>0</v>
      </c>
      <c r="BH32" s="2693">
        <v>0</v>
      </c>
      <c r="BI32" s="2693">
        <v>0</v>
      </c>
    </row>
    <row r="33" spans="1:61" ht="18" customHeight="1" x14ac:dyDescent="0.3">
      <c r="A33" s="2658" t="s">
        <v>2610</v>
      </c>
      <c r="B33" s="2658" t="s">
        <v>2611</v>
      </c>
      <c r="C33" s="2693">
        <v>47694.177166810005</v>
      </c>
      <c r="D33" s="2693">
        <v>47745.283479009995</v>
      </c>
      <c r="E33" s="2693">
        <v>47737.845197770002</v>
      </c>
      <c r="F33" s="2693">
        <v>47533.50320223</v>
      </c>
      <c r="G33" s="2693">
        <v>47382.638370019995</v>
      </c>
      <c r="H33" s="2693">
        <v>47401.410157420003</v>
      </c>
      <c r="I33" s="2693">
        <v>47427.397743109999</v>
      </c>
      <c r="J33" s="2693">
        <v>44530.876024979996</v>
      </c>
      <c r="K33" s="2693">
        <v>44522.778753110004</v>
      </c>
      <c r="L33" s="2693">
        <v>44434.032098189993</v>
      </c>
      <c r="M33" s="2693">
        <v>44511.747251240013</v>
      </c>
      <c r="N33" s="2693">
        <v>44315.94073165</v>
      </c>
      <c r="O33" s="2693">
        <v>44245.641496850003</v>
      </c>
      <c r="P33" s="2693">
        <v>44255.250134319991</v>
      </c>
      <c r="Q33" s="2693">
        <v>44277.996081610007</v>
      </c>
      <c r="R33" s="2693">
        <v>44222.000640229999</v>
      </c>
      <c r="S33" s="2693">
        <v>44210.372361329995</v>
      </c>
      <c r="T33" s="2693">
        <v>44280.088956699998</v>
      </c>
      <c r="U33" s="2693">
        <v>43930.418946800004</v>
      </c>
      <c r="V33" s="2693">
        <v>43827.40912086</v>
      </c>
      <c r="W33" s="2693">
        <v>43482.168871139998</v>
      </c>
      <c r="X33" s="2693">
        <v>43076.47440621</v>
      </c>
      <c r="Y33" s="2693">
        <v>42811.304690979996</v>
      </c>
      <c r="Z33" s="2693">
        <v>42626.153110209998</v>
      </c>
      <c r="AA33" s="2693">
        <v>42367.831198519998</v>
      </c>
      <c r="AB33" s="2693">
        <v>43182.478514529997</v>
      </c>
      <c r="AC33" s="2693">
        <v>42642.621432439999</v>
      </c>
      <c r="AD33" s="2693">
        <v>42279.742461139998</v>
      </c>
      <c r="AE33" s="2693">
        <v>42341.546560030001</v>
      </c>
      <c r="AF33" s="2693">
        <v>42162.317528940002</v>
      </c>
      <c r="AG33" s="2693">
        <v>42267.428383689999</v>
      </c>
      <c r="AH33" s="2693">
        <v>42473.18414954</v>
      </c>
      <c r="AI33" s="2693">
        <v>42382.252847019998</v>
      </c>
      <c r="AJ33" s="2693">
        <v>42351.705278480003</v>
      </c>
      <c r="AK33" s="2693">
        <v>42447.857508319998</v>
      </c>
      <c r="AL33" s="2693">
        <v>42576.548990819996</v>
      </c>
      <c r="AM33" s="2693">
        <v>42463.510283989999</v>
      </c>
      <c r="AN33" s="2693">
        <v>42200.920854390002</v>
      </c>
      <c r="AO33" s="2693">
        <v>42108.866467109998</v>
      </c>
      <c r="AP33" s="2693">
        <v>42038.355052129991</v>
      </c>
      <c r="AQ33" s="2693">
        <v>42128.473794819998</v>
      </c>
      <c r="AR33" s="2693">
        <v>41998.792859180001</v>
      </c>
      <c r="AS33" s="2693">
        <v>41647.724807700004</v>
      </c>
      <c r="AT33" s="2693">
        <v>41600.310444629999</v>
      </c>
      <c r="AU33" s="2693">
        <v>41587.739592810009</v>
      </c>
      <c r="AV33" s="2693">
        <v>41394.291443550006</v>
      </c>
      <c r="AW33" s="2693">
        <v>40967.050598149995</v>
      </c>
      <c r="AX33" s="2693">
        <v>40642.166791750002</v>
      </c>
      <c r="AY33" s="2693">
        <v>40595.56110087</v>
      </c>
      <c r="AZ33" s="2693">
        <v>39804.749583609999</v>
      </c>
      <c r="BA33" s="2693">
        <v>40903.168172050006</v>
      </c>
      <c r="BB33" s="2693">
        <v>40817.323016769995</v>
      </c>
      <c r="BC33" s="2693">
        <v>40942.148281019996</v>
      </c>
      <c r="BD33" s="2693">
        <v>41086.385768280008</v>
      </c>
      <c r="BE33" s="2693">
        <v>41033.753101150003</v>
      </c>
      <c r="BF33" s="2693">
        <v>41104.465228169996</v>
      </c>
      <c r="BG33" s="2693">
        <v>41114.14165035</v>
      </c>
      <c r="BH33" s="2693">
        <v>41234.898836280008</v>
      </c>
      <c r="BI33" s="2693">
        <v>41056.432973790004</v>
      </c>
    </row>
    <row r="34" spans="1:61" ht="18" customHeight="1" x14ac:dyDescent="0.3">
      <c r="A34" s="2658"/>
      <c r="B34" s="2658"/>
      <c r="C34" s="2732"/>
      <c r="D34" s="2732"/>
      <c r="E34" s="2732"/>
      <c r="F34" s="2732"/>
      <c r="G34" s="2732"/>
      <c r="H34" s="2732"/>
      <c r="I34" s="2732"/>
      <c r="J34" s="2732"/>
      <c r="K34" s="2732"/>
      <c r="L34" s="2732"/>
      <c r="M34" s="2732"/>
      <c r="N34" s="2732"/>
      <c r="O34" s="2732"/>
      <c r="P34" s="2732"/>
      <c r="Q34" s="2732"/>
      <c r="R34" s="2732"/>
      <c r="S34" s="2732"/>
      <c r="T34" s="2732"/>
      <c r="U34" s="2732"/>
      <c r="V34" s="2732"/>
      <c r="W34" s="2732"/>
      <c r="X34" s="2732"/>
      <c r="Y34" s="2732"/>
      <c r="Z34" s="2732"/>
      <c r="AA34" s="2732"/>
      <c r="AB34" s="2732"/>
      <c r="AC34" s="2732"/>
      <c r="AD34" s="2732"/>
      <c r="AE34" s="2732"/>
      <c r="AF34" s="2732"/>
      <c r="AG34" s="2732"/>
      <c r="AH34" s="2732"/>
      <c r="AI34" s="2732"/>
      <c r="AJ34" s="2732"/>
      <c r="AK34" s="2732"/>
      <c r="AL34" s="2732"/>
      <c r="AM34" s="2732"/>
      <c r="AN34" s="2732"/>
      <c r="AO34" s="2732"/>
      <c r="AP34" s="2732"/>
      <c r="AQ34" s="2732"/>
      <c r="AR34" s="2732"/>
      <c r="AS34" s="2732"/>
      <c r="AT34" s="2732"/>
      <c r="AU34" s="2732"/>
      <c r="AV34" s="2732"/>
      <c r="AW34" s="2732"/>
      <c r="AX34" s="2732"/>
      <c r="AY34" s="2732"/>
      <c r="AZ34" s="2732"/>
      <c r="BA34" s="2732"/>
      <c r="BB34" s="2732"/>
      <c r="BC34" s="2732"/>
      <c r="BD34" s="2732"/>
      <c r="BE34" s="2732"/>
      <c r="BF34" s="2732"/>
      <c r="BG34" s="2732"/>
      <c r="BH34" s="2732"/>
      <c r="BI34" s="2732"/>
    </row>
    <row r="35" spans="1:61" ht="18" customHeight="1" x14ac:dyDescent="0.3">
      <c r="A35" s="2655" t="s">
        <v>2534</v>
      </c>
      <c r="B35" s="2655" t="s">
        <v>2521</v>
      </c>
      <c r="C35" s="2687">
        <v>0</v>
      </c>
      <c r="D35" s="2687">
        <v>0</v>
      </c>
      <c r="E35" s="2687">
        <v>0</v>
      </c>
      <c r="F35" s="2687">
        <v>0</v>
      </c>
      <c r="G35" s="2687">
        <v>0</v>
      </c>
      <c r="H35" s="2687">
        <v>1000</v>
      </c>
      <c r="I35" s="2687">
        <v>2500</v>
      </c>
      <c r="J35" s="2687">
        <v>2500</v>
      </c>
      <c r="K35" s="2687">
        <v>3500</v>
      </c>
      <c r="L35" s="2687">
        <v>3500</v>
      </c>
      <c r="M35" s="2687">
        <v>3500</v>
      </c>
      <c r="N35" s="2687">
        <v>3500</v>
      </c>
      <c r="O35" s="2687">
        <v>3500</v>
      </c>
      <c r="P35" s="2687">
        <v>3500</v>
      </c>
      <c r="Q35" s="2687">
        <v>3500</v>
      </c>
      <c r="R35" s="2687">
        <v>3500</v>
      </c>
      <c r="S35" s="2687">
        <v>0</v>
      </c>
      <c r="T35" s="2687">
        <v>0</v>
      </c>
      <c r="U35" s="2687">
        <v>0</v>
      </c>
      <c r="V35" s="2687">
        <v>0</v>
      </c>
      <c r="W35" s="2687">
        <v>0</v>
      </c>
      <c r="X35" s="2687">
        <v>0</v>
      </c>
      <c r="Y35" s="2687">
        <v>0</v>
      </c>
      <c r="Z35" s="2687">
        <v>0</v>
      </c>
      <c r="AA35" s="2687">
        <v>0</v>
      </c>
      <c r="AB35" s="2687">
        <v>0</v>
      </c>
      <c r="AC35" s="2687">
        <v>0</v>
      </c>
      <c r="AD35" s="2687">
        <v>0</v>
      </c>
      <c r="AE35" s="2687">
        <v>0</v>
      </c>
      <c r="AF35" s="2687">
        <v>0</v>
      </c>
      <c r="AG35" s="2687">
        <v>0</v>
      </c>
      <c r="AH35" s="2687">
        <v>0</v>
      </c>
      <c r="AI35" s="2687">
        <v>0</v>
      </c>
      <c r="AJ35" s="2687">
        <v>0</v>
      </c>
      <c r="AK35" s="2687">
        <v>0</v>
      </c>
      <c r="AL35" s="2687">
        <v>0</v>
      </c>
      <c r="AM35" s="2687">
        <v>0</v>
      </c>
      <c r="AN35" s="2687">
        <v>0</v>
      </c>
      <c r="AO35" s="2687">
        <v>0</v>
      </c>
      <c r="AP35" s="2687">
        <v>0</v>
      </c>
      <c r="AQ35" s="2687">
        <v>0</v>
      </c>
      <c r="AR35" s="2687">
        <v>0</v>
      </c>
      <c r="AS35" s="2687">
        <v>0</v>
      </c>
      <c r="AT35" s="2687">
        <v>0</v>
      </c>
      <c r="AU35" s="2687">
        <v>0</v>
      </c>
      <c r="AV35" s="2687">
        <v>0</v>
      </c>
      <c r="AW35" s="2687">
        <v>0</v>
      </c>
      <c r="AX35" s="2687">
        <v>0</v>
      </c>
      <c r="AY35" s="2687">
        <v>0</v>
      </c>
      <c r="AZ35" s="2687">
        <v>0</v>
      </c>
      <c r="BA35" s="2687">
        <v>0</v>
      </c>
      <c r="BB35" s="2687">
        <v>0</v>
      </c>
      <c r="BC35" s="2687">
        <v>157</v>
      </c>
      <c r="BD35" s="2687">
        <v>369.43338682999996</v>
      </c>
      <c r="BE35" s="2687">
        <v>371.34377365</v>
      </c>
      <c r="BF35" s="2687">
        <v>373.25416049</v>
      </c>
      <c r="BG35" s="2687">
        <v>367.60998995999995</v>
      </c>
      <c r="BH35" s="2687">
        <v>519.53654094000001</v>
      </c>
      <c r="BI35" s="2687">
        <v>521.46309205999989</v>
      </c>
    </row>
    <row r="36" spans="1:61" ht="18" customHeight="1" x14ac:dyDescent="0.3">
      <c r="A36" s="2658"/>
      <c r="B36" s="2658"/>
      <c r="C36" s="2732"/>
      <c r="D36" s="2732"/>
      <c r="E36" s="2732"/>
      <c r="F36" s="2732"/>
      <c r="G36" s="2732"/>
      <c r="H36" s="2732"/>
      <c r="I36" s="2732"/>
      <c r="J36" s="2732"/>
      <c r="K36" s="2732"/>
      <c r="L36" s="2732"/>
      <c r="M36" s="2732"/>
      <c r="N36" s="2732"/>
      <c r="O36" s="2732"/>
      <c r="P36" s="2732"/>
      <c r="Q36" s="2732"/>
      <c r="R36" s="2732"/>
      <c r="S36" s="2732"/>
      <c r="T36" s="2732"/>
      <c r="U36" s="2732"/>
      <c r="V36" s="2732"/>
      <c r="W36" s="2732"/>
      <c r="X36" s="2732"/>
      <c r="Y36" s="2732"/>
      <c r="Z36" s="2732"/>
      <c r="AA36" s="2732"/>
      <c r="AB36" s="2732"/>
      <c r="AC36" s="2732"/>
      <c r="AD36" s="2732"/>
      <c r="AE36" s="2732"/>
      <c r="AF36" s="2732"/>
      <c r="AG36" s="2732"/>
      <c r="AH36" s="2732"/>
      <c r="AI36" s="2732"/>
      <c r="AJ36" s="2732"/>
      <c r="AK36" s="2732"/>
      <c r="AL36" s="2732"/>
      <c r="AM36" s="2732"/>
      <c r="AN36" s="2732"/>
      <c r="AO36" s="2732"/>
      <c r="AP36" s="2732"/>
      <c r="AQ36" s="2732"/>
      <c r="AR36" s="2732"/>
      <c r="AS36" s="2732"/>
      <c r="AT36" s="2732"/>
      <c r="AU36" s="2732"/>
      <c r="AV36" s="2732"/>
      <c r="AW36" s="2732"/>
      <c r="AX36" s="2732"/>
      <c r="AY36" s="2732"/>
      <c r="AZ36" s="2732"/>
      <c r="BA36" s="2732"/>
      <c r="BB36" s="2732"/>
      <c r="BC36" s="2732"/>
      <c r="BD36" s="2732"/>
      <c r="BE36" s="2732"/>
      <c r="BF36" s="2732"/>
      <c r="BG36" s="2732"/>
      <c r="BH36" s="2732"/>
      <c r="BI36" s="2732"/>
    </row>
    <row r="37" spans="1:61" ht="18" customHeight="1" x14ac:dyDescent="0.3">
      <c r="A37" s="2655" t="s">
        <v>2542</v>
      </c>
      <c r="B37" s="2655" t="s">
        <v>1057</v>
      </c>
      <c r="C37" s="2687">
        <v>6737.2744701100009</v>
      </c>
      <c r="D37" s="2687">
        <v>7196.0808801700005</v>
      </c>
      <c r="E37" s="2687">
        <v>7568.8271590600007</v>
      </c>
      <c r="F37" s="2687">
        <v>8126.2390832200008</v>
      </c>
      <c r="G37" s="2687">
        <v>8243.5994757700009</v>
      </c>
      <c r="H37" s="2687">
        <v>7569.0138445899993</v>
      </c>
      <c r="I37" s="2687">
        <v>8000.0027897499976</v>
      </c>
      <c r="J37" s="2687">
        <v>8753.0440673700014</v>
      </c>
      <c r="K37" s="2687">
        <v>8185.6564800400001</v>
      </c>
      <c r="L37" s="2687">
        <v>8054.2517909899998</v>
      </c>
      <c r="M37" s="2687">
        <v>8103.3172242500004</v>
      </c>
      <c r="N37" s="2687">
        <v>8321.2882398300007</v>
      </c>
      <c r="O37" s="2687">
        <v>8104.4168467400004</v>
      </c>
      <c r="P37" s="2687">
        <v>8367.2974330099987</v>
      </c>
      <c r="Q37" s="2687">
        <v>8603.3838927800007</v>
      </c>
      <c r="R37" s="2687">
        <v>8426.8383009000008</v>
      </c>
      <c r="S37" s="2687">
        <v>783.62091100999999</v>
      </c>
      <c r="T37" s="2687">
        <v>780.2091568100002</v>
      </c>
      <c r="U37" s="2687">
        <v>782.30236002000004</v>
      </c>
      <c r="V37" s="2687">
        <v>747.65959606000001</v>
      </c>
      <c r="W37" s="2687">
        <v>675.78406803999997</v>
      </c>
      <c r="X37" s="2687">
        <v>689.16898163999997</v>
      </c>
      <c r="Y37" s="2687">
        <v>684.64534749999996</v>
      </c>
      <c r="Z37" s="2687">
        <v>681.53103354000007</v>
      </c>
      <c r="AA37" s="2687">
        <v>794.32048476</v>
      </c>
      <c r="AB37" s="2687">
        <v>756.13385965999987</v>
      </c>
      <c r="AC37" s="2687">
        <v>759.68859431999988</v>
      </c>
      <c r="AD37" s="2687">
        <v>775.20549093000011</v>
      </c>
      <c r="AE37" s="2687">
        <v>762.7514358200001</v>
      </c>
      <c r="AF37" s="2687">
        <v>761.62911378000001</v>
      </c>
      <c r="AG37" s="2687">
        <v>769.87665938999999</v>
      </c>
      <c r="AH37" s="2687">
        <v>606.44807977999994</v>
      </c>
      <c r="AI37" s="2687">
        <v>686.60128170000007</v>
      </c>
      <c r="AJ37" s="2687">
        <v>625.29962681000006</v>
      </c>
      <c r="AK37" s="2687">
        <v>620.69480098999998</v>
      </c>
      <c r="AL37" s="2687">
        <v>647.87426503999995</v>
      </c>
      <c r="AM37" s="2687">
        <v>616.63245032999987</v>
      </c>
      <c r="AN37" s="2687">
        <v>513.49214269000004</v>
      </c>
      <c r="AO37" s="2687">
        <v>583.48973398999999</v>
      </c>
      <c r="AP37" s="2687">
        <v>561.25092565</v>
      </c>
      <c r="AQ37" s="2687">
        <v>486.03154111999999</v>
      </c>
      <c r="AR37" s="2687">
        <v>458.33276265999996</v>
      </c>
      <c r="AS37" s="2687">
        <v>480.16960267999997</v>
      </c>
      <c r="AT37" s="2687">
        <v>471.52630065999995</v>
      </c>
      <c r="AU37" s="2687">
        <v>472.60638665999994</v>
      </c>
      <c r="AV37" s="2687">
        <v>756.86529229999996</v>
      </c>
      <c r="AW37" s="2687">
        <v>980.85793794000006</v>
      </c>
      <c r="AX37" s="2687">
        <v>1170.6833051100002</v>
      </c>
      <c r="AY37" s="2687">
        <v>1411.9042797899999</v>
      </c>
      <c r="AZ37" s="2687">
        <v>2205.4535380600005</v>
      </c>
      <c r="BA37" s="2687">
        <v>2461.6192572099999</v>
      </c>
      <c r="BB37" s="2687">
        <v>2467.1023743299997</v>
      </c>
      <c r="BC37" s="2687">
        <v>2454.5263823</v>
      </c>
      <c r="BD37" s="2687">
        <v>2451.6338332000005</v>
      </c>
      <c r="BE37" s="2687">
        <v>2729.7854517600003</v>
      </c>
      <c r="BF37" s="2687">
        <v>2826.0039087099999</v>
      </c>
      <c r="BG37" s="2687">
        <v>3148.2069065299997</v>
      </c>
      <c r="BH37" s="2687">
        <v>3040.8849013399999</v>
      </c>
      <c r="BI37" s="2687">
        <v>3114.7712712999996</v>
      </c>
    </row>
    <row r="38" spans="1:61" ht="18" customHeight="1" x14ac:dyDescent="0.3">
      <c r="A38" s="2658"/>
      <c r="B38" s="2668"/>
      <c r="C38" s="2732"/>
      <c r="D38" s="2732"/>
      <c r="E38" s="2732"/>
      <c r="F38" s="2732"/>
      <c r="G38" s="2732"/>
      <c r="H38" s="2732"/>
      <c r="I38" s="2732"/>
      <c r="J38" s="2732"/>
      <c r="K38" s="2732"/>
      <c r="L38" s="2732"/>
      <c r="M38" s="2732"/>
      <c r="N38" s="2732"/>
      <c r="O38" s="2732"/>
      <c r="P38" s="2732"/>
      <c r="Q38" s="2732"/>
      <c r="R38" s="2732"/>
      <c r="S38" s="2732"/>
      <c r="T38" s="2732"/>
      <c r="U38" s="2732"/>
      <c r="V38" s="2732"/>
      <c r="W38" s="2732"/>
      <c r="X38" s="2732"/>
      <c r="Y38" s="2732"/>
      <c r="Z38" s="2732"/>
      <c r="AA38" s="2732"/>
      <c r="AB38" s="2732"/>
      <c r="AC38" s="2732"/>
      <c r="AD38" s="2732"/>
      <c r="AE38" s="2732"/>
      <c r="AF38" s="2732"/>
      <c r="AG38" s="2732"/>
      <c r="AH38" s="2732"/>
      <c r="AI38" s="2732"/>
      <c r="AJ38" s="2732"/>
      <c r="AK38" s="2732"/>
      <c r="AL38" s="2732"/>
      <c r="AM38" s="2732"/>
      <c r="AN38" s="2732"/>
      <c r="AO38" s="2732"/>
      <c r="AP38" s="2732"/>
      <c r="AQ38" s="2732"/>
      <c r="AR38" s="2732"/>
      <c r="AS38" s="2732"/>
      <c r="AT38" s="2732"/>
      <c r="AU38" s="2732"/>
      <c r="AV38" s="2732"/>
      <c r="AW38" s="2732"/>
      <c r="AX38" s="2732"/>
      <c r="AY38" s="2732"/>
      <c r="AZ38" s="2732"/>
      <c r="BA38" s="2732"/>
      <c r="BB38" s="2732"/>
      <c r="BC38" s="2732"/>
      <c r="BD38" s="2732"/>
      <c r="BE38" s="2732"/>
      <c r="BF38" s="2732"/>
      <c r="BG38" s="2732"/>
      <c r="BH38" s="2732"/>
      <c r="BI38" s="2732"/>
    </row>
    <row r="39" spans="1:61" ht="18" customHeight="1" x14ac:dyDescent="0.3">
      <c r="A39" s="2655" t="s">
        <v>2547</v>
      </c>
      <c r="B39" s="2655" t="s">
        <v>2526</v>
      </c>
      <c r="C39" s="2687">
        <v>0</v>
      </c>
      <c r="D39" s="2687">
        <v>0</v>
      </c>
      <c r="E39" s="2687">
        <v>0</v>
      </c>
      <c r="F39" s="2687">
        <v>0</v>
      </c>
      <c r="G39" s="2687">
        <v>0</v>
      </c>
      <c r="H39" s="2687">
        <v>0</v>
      </c>
      <c r="I39" s="2687">
        <v>0</v>
      </c>
      <c r="J39" s="2687">
        <v>0</v>
      </c>
      <c r="K39" s="2687">
        <v>0</v>
      </c>
      <c r="L39" s="2687">
        <v>0</v>
      </c>
      <c r="M39" s="2687">
        <v>0</v>
      </c>
      <c r="N39" s="2687">
        <v>0</v>
      </c>
      <c r="O39" s="2687">
        <v>0</v>
      </c>
      <c r="P39" s="2687">
        <v>0</v>
      </c>
      <c r="Q39" s="2687">
        <v>0</v>
      </c>
      <c r="R39" s="2687">
        <v>0</v>
      </c>
      <c r="S39" s="2687">
        <v>0</v>
      </c>
      <c r="T39" s="2687">
        <v>0</v>
      </c>
      <c r="U39" s="2687">
        <v>0</v>
      </c>
      <c r="V39" s="2687">
        <v>0</v>
      </c>
      <c r="W39" s="2687">
        <v>0</v>
      </c>
      <c r="X39" s="2687">
        <v>0</v>
      </c>
      <c r="Y39" s="2687">
        <v>0</v>
      </c>
      <c r="Z39" s="2687">
        <v>0</v>
      </c>
      <c r="AA39" s="2687">
        <v>0</v>
      </c>
      <c r="AB39" s="2687">
        <v>0</v>
      </c>
      <c r="AC39" s="2687">
        <v>0</v>
      </c>
      <c r="AD39" s="2687">
        <v>0</v>
      </c>
      <c r="AE39" s="2687">
        <v>0</v>
      </c>
      <c r="AF39" s="2687">
        <v>0</v>
      </c>
      <c r="AG39" s="2687">
        <v>0</v>
      </c>
      <c r="AH39" s="2687">
        <v>0</v>
      </c>
      <c r="AI39" s="2687">
        <v>0</v>
      </c>
      <c r="AJ39" s="2687">
        <v>0</v>
      </c>
      <c r="AK39" s="2687">
        <v>0</v>
      </c>
      <c r="AL39" s="2687">
        <v>0</v>
      </c>
      <c r="AM39" s="2687">
        <v>0</v>
      </c>
      <c r="AN39" s="2687">
        <v>0</v>
      </c>
      <c r="AO39" s="2687">
        <v>0</v>
      </c>
      <c r="AP39" s="2687">
        <v>0</v>
      </c>
      <c r="AQ39" s="2687">
        <v>0</v>
      </c>
      <c r="AR39" s="2687">
        <v>0</v>
      </c>
      <c r="AS39" s="2687">
        <v>0</v>
      </c>
      <c r="AT39" s="2687">
        <v>0</v>
      </c>
      <c r="AU39" s="2687">
        <v>0</v>
      </c>
      <c r="AV39" s="2687">
        <v>0</v>
      </c>
      <c r="AW39" s="2687">
        <v>0</v>
      </c>
      <c r="AX39" s="2687">
        <v>0</v>
      </c>
      <c r="AY39" s="2687">
        <v>0</v>
      </c>
      <c r="AZ39" s="2687">
        <v>0</v>
      </c>
      <c r="BA39" s="2687">
        <v>0</v>
      </c>
      <c r="BB39" s="2687">
        <v>0</v>
      </c>
      <c r="BC39" s="2687">
        <v>0</v>
      </c>
      <c r="BD39" s="2687">
        <v>0</v>
      </c>
      <c r="BE39" s="2687">
        <v>0</v>
      </c>
      <c r="BF39" s="2687">
        <v>0</v>
      </c>
      <c r="BG39" s="2687">
        <v>0</v>
      </c>
      <c r="BH39" s="2687">
        <v>0</v>
      </c>
      <c r="BI39" s="2687">
        <v>0</v>
      </c>
    </row>
    <row r="40" spans="1:61" ht="18" customHeight="1" x14ac:dyDescent="0.3">
      <c r="A40" s="2658"/>
      <c r="B40" s="2658"/>
      <c r="C40" s="2732"/>
      <c r="D40" s="2732"/>
      <c r="E40" s="2732"/>
      <c r="F40" s="2732"/>
      <c r="G40" s="2732"/>
      <c r="H40" s="2732"/>
      <c r="I40" s="2732"/>
      <c r="J40" s="2732"/>
      <c r="K40" s="2732"/>
      <c r="L40" s="2732"/>
      <c r="M40" s="2732"/>
      <c r="N40" s="2732"/>
      <c r="O40" s="2732"/>
      <c r="P40" s="2732"/>
      <c r="Q40" s="2732"/>
      <c r="R40" s="2732"/>
      <c r="S40" s="2732"/>
      <c r="T40" s="2732"/>
      <c r="U40" s="2732"/>
      <c r="V40" s="2732"/>
      <c r="W40" s="2732"/>
      <c r="X40" s="2732"/>
      <c r="Y40" s="2732"/>
      <c r="Z40" s="2732"/>
      <c r="AA40" s="2732"/>
      <c r="AB40" s="2732"/>
      <c r="AC40" s="2732"/>
      <c r="AD40" s="2732"/>
      <c r="AE40" s="2732"/>
      <c r="AF40" s="2732"/>
      <c r="AG40" s="2732"/>
      <c r="AH40" s="2732"/>
      <c r="AI40" s="2732"/>
      <c r="AJ40" s="2732"/>
      <c r="AK40" s="2732"/>
      <c r="AL40" s="2732"/>
      <c r="AM40" s="2732"/>
      <c r="AN40" s="2732"/>
      <c r="AO40" s="2732"/>
      <c r="AP40" s="2732"/>
      <c r="AQ40" s="2732"/>
      <c r="AR40" s="2732"/>
      <c r="AS40" s="2732"/>
      <c r="AT40" s="2732"/>
      <c r="AU40" s="2732"/>
      <c r="AV40" s="2732"/>
      <c r="AW40" s="2732"/>
      <c r="AX40" s="2732"/>
      <c r="AY40" s="2732"/>
      <c r="AZ40" s="2732"/>
      <c r="BA40" s="2732"/>
      <c r="BB40" s="2732"/>
      <c r="BC40" s="2732"/>
      <c r="BD40" s="2732"/>
      <c r="BE40" s="2732"/>
      <c r="BF40" s="2732"/>
      <c r="BG40" s="2732"/>
      <c r="BH40" s="2732"/>
      <c r="BI40" s="2732"/>
    </row>
    <row r="41" spans="1:61" ht="18" customHeight="1" x14ac:dyDescent="0.3">
      <c r="A41" s="2655" t="s">
        <v>2549</v>
      </c>
      <c r="B41" s="2655" t="s">
        <v>2612</v>
      </c>
      <c r="C41" s="2687">
        <v>0</v>
      </c>
      <c r="D41" s="2687">
        <v>0</v>
      </c>
      <c r="E41" s="2687">
        <v>0</v>
      </c>
      <c r="F41" s="2687">
        <v>0</v>
      </c>
      <c r="G41" s="2687">
        <v>0</v>
      </c>
      <c r="H41" s="2687">
        <v>0</v>
      </c>
      <c r="I41" s="2687">
        <v>0</v>
      </c>
      <c r="J41" s="2687">
        <v>0</v>
      </c>
      <c r="K41" s="2687">
        <v>0</v>
      </c>
      <c r="L41" s="2687">
        <v>0</v>
      </c>
      <c r="M41" s="2687">
        <v>0</v>
      </c>
      <c r="N41" s="2687">
        <v>0</v>
      </c>
      <c r="O41" s="2687">
        <v>0</v>
      </c>
      <c r="P41" s="2687">
        <v>0</v>
      </c>
      <c r="Q41" s="2687">
        <v>0</v>
      </c>
      <c r="R41" s="2687">
        <v>0</v>
      </c>
      <c r="S41" s="2687">
        <v>0</v>
      </c>
      <c r="T41" s="2687">
        <v>0</v>
      </c>
      <c r="U41" s="2687">
        <v>0</v>
      </c>
      <c r="V41" s="2687">
        <v>0</v>
      </c>
      <c r="W41" s="2687">
        <v>0</v>
      </c>
      <c r="X41" s="2687">
        <v>0</v>
      </c>
      <c r="Y41" s="2687">
        <v>0</v>
      </c>
      <c r="Z41" s="2687">
        <v>0</v>
      </c>
      <c r="AA41" s="2687">
        <v>0</v>
      </c>
      <c r="AB41" s="2687">
        <v>0</v>
      </c>
      <c r="AC41" s="2687">
        <v>0</v>
      </c>
      <c r="AD41" s="2687">
        <v>0</v>
      </c>
      <c r="AE41" s="2687">
        <v>0</v>
      </c>
      <c r="AF41" s="2687">
        <v>0</v>
      </c>
      <c r="AG41" s="2687">
        <v>0</v>
      </c>
      <c r="AH41" s="2687">
        <v>0</v>
      </c>
      <c r="AI41" s="2687">
        <v>0</v>
      </c>
      <c r="AJ41" s="2687">
        <v>0</v>
      </c>
      <c r="AK41" s="2687">
        <v>0</v>
      </c>
      <c r="AL41" s="2687">
        <v>0</v>
      </c>
      <c r="AM41" s="2687">
        <v>0</v>
      </c>
      <c r="AN41" s="2687">
        <v>0</v>
      </c>
      <c r="AO41" s="2687">
        <v>0</v>
      </c>
      <c r="AP41" s="2687">
        <v>0</v>
      </c>
      <c r="AQ41" s="2687">
        <v>0</v>
      </c>
      <c r="AR41" s="2687">
        <v>0</v>
      </c>
      <c r="AS41" s="2687">
        <v>0</v>
      </c>
      <c r="AT41" s="2687">
        <v>0</v>
      </c>
      <c r="AU41" s="2687">
        <v>0</v>
      </c>
      <c r="AV41" s="2687">
        <v>0</v>
      </c>
      <c r="AW41" s="2687">
        <v>0</v>
      </c>
      <c r="AX41" s="2687">
        <v>0</v>
      </c>
      <c r="AY41" s="2687">
        <v>0</v>
      </c>
      <c r="AZ41" s="2687">
        <v>0</v>
      </c>
      <c r="BA41" s="2687">
        <v>0</v>
      </c>
      <c r="BB41" s="2687">
        <v>0</v>
      </c>
      <c r="BC41" s="2687">
        <v>0</v>
      </c>
      <c r="BD41" s="2687">
        <v>0</v>
      </c>
      <c r="BE41" s="2687">
        <v>0</v>
      </c>
      <c r="BF41" s="2687">
        <v>0</v>
      </c>
      <c r="BG41" s="2687">
        <v>0</v>
      </c>
      <c r="BH41" s="2687">
        <v>0</v>
      </c>
      <c r="BI41" s="2687">
        <v>0</v>
      </c>
    </row>
    <row r="42" spans="1:61" ht="18" customHeight="1" x14ac:dyDescent="0.3">
      <c r="A42" s="2658"/>
      <c r="B42" s="2658"/>
      <c r="C42" s="2732"/>
      <c r="D42" s="2732"/>
      <c r="E42" s="2732"/>
      <c r="F42" s="2732"/>
      <c r="G42" s="2732"/>
      <c r="H42" s="2732"/>
      <c r="I42" s="2732"/>
      <c r="J42" s="2732"/>
      <c r="K42" s="2732"/>
      <c r="L42" s="2732"/>
      <c r="M42" s="2732"/>
      <c r="N42" s="2732"/>
      <c r="O42" s="2732"/>
      <c r="P42" s="2732"/>
      <c r="Q42" s="2732"/>
      <c r="R42" s="2732"/>
      <c r="S42" s="2732"/>
      <c r="T42" s="2732"/>
      <c r="U42" s="2732"/>
      <c r="V42" s="2732"/>
      <c r="W42" s="2732"/>
      <c r="X42" s="2732"/>
      <c r="Y42" s="2732"/>
      <c r="Z42" s="2732"/>
      <c r="AA42" s="2732"/>
      <c r="AB42" s="2732"/>
      <c r="AC42" s="2732"/>
      <c r="AD42" s="2732"/>
      <c r="AE42" s="2732"/>
      <c r="AF42" s="2732"/>
      <c r="AG42" s="2732"/>
      <c r="AH42" s="2732"/>
      <c r="AI42" s="2732"/>
      <c r="AJ42" s="2732"/>
      <c r="AK42" s="2732"/>
      <c r="AL42" s="2732"/>
      <c r="AM42" s="2732"/>
      <c r="AN42" s="2732"/>
      <c r="AO42" s="2732"/>
      <c r="AP42" s="2732"/>
      <c r="AQ42" s="2732"/>
      <c r="AR42" s="2732"/>
      <c r="AS42" s="2732"/>
      <c r="AT42" s="2732"/>
      <c r="AU42" s="2732"/>
      <c r="AV42" s="2732"/>
      <c r="AW42" s="2732"/>
      <c r="AX42" s="2732"/>
      <c r="AY42" s="2732"/>
      <c r="AZ42" s="2732"/>
      <c r="BA42" s="2732"/>
      <c r="BB42" s="2732"/>
      <c r="BC42" s="2732"/>
      <c r="BD42" s="2732"/>
      <c r="BE42" s="2732"/>
      <c r="BF42" s="2732"/>
      <c r="BG42" s="2732"/>
      <c r="BH42" s="2732"/>
      <c r="BI42" s="2732"/>
    </row>
    <row r="43" spans="1:61" ht="18" customHeight="1" x14ac:dyDescent="0.3">
      <c r="A43" s="2655" t="s">
        <v>2551</v>
      </c>
      <c r="B43" s="2655" t="s">
        <v>2555</v>
      </c>
      <c r="C43" s="2687">
        <v>6314.8586488700012</v>
      </c>
      <c r="D43" s="2687">
        <v>6490.8241229300002</v>
      </c>
      <c r="E43" s="2687">
        <v>7060.6022900899989</v>
      </c>
      <c r="F43" s="2687">
        <v>6622.88513367</v>
      </c>
      <c r="G43" s="2687">
        <v>6563.53564955</v>
      </c>
      <c r="H43" s="2687">
        <v>6600.6007098899991</v>
      </c>
      <c r="I43" s="2687">
        <v>6765.2370936199995</v>
      </c>
      <c r="J43" s="2687">
        <v>7161.5383294800004</v>
      </c>
      <c r="K43" s="2687">
        <v>6905.9064424599992</v>
      </c>
      <c r="L43" s="2687">
        <v>6975.311365139999</v>
      </c>
      <c r="M43" s="2687">
        <v>6977.4743716700004</v>
      </c>
      <c r="N43" s="2687">
        <v>6555.624133450001</v>
      </c>
      <c r="O43" s="2687">
        <v>6666.5761637200003</v>
      </c>
      <c r="P43" s="2687">
        <v>6795.361598389999</v>
      </c>
      <c r="Q43" s="2687">
        <v>7403.5074112600005</v>
      </c>
      <c r="R43" s="2687">
        <v>7144.2468703500008</v>
      </c>
      <c r="S43" s="2687">
        <v>4582.5030572199994</v>
      </c>
      <c r="T43" s="2687">
        <v>4464.1036987200005</v>
      </c>
      <c r="U43" s="2687">
        <v>4411.2929158300003</v>
      </c>
      <c r="V43" s="2687">
        <v>4730.8340509800009</v>
      </c>
      <c r="W43" s="2687">
        <v>4690.5252794899998</v>
      </c>
      <c r="X43" s="2687">
        <v>4808.5696513899993</v>
      </c>
      <c r="Y43" s="2687">
        <v>4562.7797941899998</v>
      </c>
      <c r="Z43" s="2687">
        <v>4887.6153473899994</v>
      </c>
      <c r="AA43" s="2687">
        <v>4345.13922654</v>
      </c>
      <c r="AB43" s="2687">
        <v>4410.2773806499999</v>
      </c>
      <c r="AC43" s="2687">
        <v>4307.6419335399996</v>
      </c>
      <c r="AD43" s="2687">
        <v>4527.5351244699996</v>
      </c>
      <c r="AE43" s="2687">
        <v>4910.9876187199989</v>
      </c>
      <c r="AF43" s="2687">
        <v>5078.7027678199993</v>
      </c>
      <c r="AG43" s="2687">
        <v>5182.5940328699999</v>
      </c>
      <c r="AH43" s="2687">
        <v>5188.6480179999999</v>
      </c>
      <c r="AI43" s="2687">
        <v>5044.2319726399992</v>
      </c>
      <c r="AJ43" s="2687">
        <v>4849.9664679300004</v>
      </c>
      <c r="AK43" s="2687">
        <v>5136.6202076300006</v>
      </c>
      <c r="AL43" s="2687">
        <v>5055.8354439400009</v>
      </c>
      <c r="AM43" s="2687">
        <v>5176.28690327</v>
      </c>
      <c r="AN43" s="2687">
        <v>5140.2854201400005</v>
      </c>
      <c r="AO43" s="2687">
        <v>4975.9926916599998</v>
      </c>
      <c r="AP43" s="2687">
        <v>4937.6816335599997</v>
      </c>
      <c r="AQ43" s="2687">
        <v>5047.3398410199998</v>
      </c>
      <c r="AR43" s="2687">
        <v>4985.9664337999993</v>
      </c>
      <c r="AS43" s="2687">
        <v>5028.2100652600002</v>
      </c>
      <c r="AT43" s="2687">
        <v>5102.9675035099999</v>
      </c>
      <c r="AU43" s="2687">
        <v>4945.6289225099999</v>
      </c>
      <c r="AV43" s="2687">
        <v>4889.0022996300004</v>
      </c>
      <c r="AW43" s="2687">
        <v>4915.24166092</v>
      </c>
      <c r="AX43" s="2687">
        <v>5107.82609684</v>
      </c>
      <c r="AY43" s="2687">
        <v>5100.9155003199994</v>
      </c>
      <c r="AZ43" s="2687">
        <v>6153.3399064699997</v>
      </c>
      <c r="BA43" s="2687">
        <v>4950.521597599999</v>
      </c>
      <c r="BB43" s="2687">
        <v>5051.4053533000006</v>
      </c>
      <c r="BC43" s="2687">
        <v>5124.8353352000004</v>
      </c>
      <c r="BD43" s="2687">
        <v>5016.6244565299994</v>
      </c>
      <c r="BE43" s="2687">
        <v>5140.61792504</v>
      </c>
      <c r="BF43" s="2687">
        <v>5115.3106778199999</v>
      </c>
      <c r="BG43" s="2687">
        <v>5240.8954196099994</v>
      </c>
      <c r="BH43" s="2687">
        <v>5270.7035740600004</v>
      </c>
      <c r="BI43" s="2687">
        <v>5467.02951708</v>
      </c>
    </row>
    <row r="44" spans="1:61" ht="18" customHeight="1" x14ac:dyDescent="0.3">
      <c r="A44" s="2658"/>
      <c r="B44" s="2658"/>
      <c r="C44" s="2732"/>
      <c r="D44" s="2732"/>
      <c r="E44" s="2732"/>
      <c r="F44" s="2732"/>
      <c r="G44" s="2732"/>
      <c r="H44" s="2732"/>
      <c r="I44" s="2732"/>
      <c r="J44" s="2732"/>
      <c r="K44" s="2732"/>
      <c r="L44" s="2732"/>
      <c r="M44" s="2732"/>
      <c r="N44" s="2732"/>
      <c r="O44" s="2732"/>
      <c r="P44" s="2732"/>
      <c r="Q44" s="2732"/>
      <c r="R44" s="2732"/>
      <c r="S44" s="2732"/>
      <c r="T44" s="2732"/>
      <c r="U44" s="2732"/>
      <c r="V44" s="2732"/>
      <c r="W44" s="2732"/>
      <c r="X44" s="2732"/>
      <c r="Y44" s="2732"/>
      <c r="Z44" s="2732"/>
      <c r="AA44" s="2732"/>
      <c r="AB44" s="2732"/>
      <c r="AC44" s="2732"/>
      <c r="AD44" s="2732"/>
      <c r="AE44" s="2732"/>
      <c r="AF44" s="2732"/>
      <c r="AG44" s="2732"/>
      <c r="AH44" s="2732"/>
      <c r="AI44" s="2732"/>
      <c r="AJ44" s="2732"/>
      <c r="AK44" s="2732"/>
      <c r="AL44" s="2732"/>
      <c r="AM44" s="2732"/>
      <c r="AN44" s="2732"/>
      <c r="AO44" s="2732"/>
      <c r="AP44" s="2732"/>
      <c r="AQ44" s="2732"/>
      <c r="AR44" s="2732"/>
      <c r="AS44" s="2732"/>
      <c r="AT44" s="2732"/>
      <c r="AU44" s="2732"/>
      <c r="AV44" s="2732"/>
      <c r="AW44" s="2732"/>
      <c r="AX44" s="2732"/>
      <c r="AY44" s="2732"/>
      <c r="AZ44" s="2732"/>
      <c r="BA44" s="2732"/>
      <c r="BB44" s="2732"/>
      <c r="BC44" s="2732"/>
      <c r="BD44" s="2732"/>
      <c r="BE44" s="2732"/>
      <c r="BF44" s="2732"/>
      <c r="BG44" s="2732"/>
      <c r="BH44" s="2732"/>
      <c r="BI44" s="2732"/>
    </row>
    <row r="45" spans="1:61" ht="18" customHeight="1" x14ac:dyDescent="0.3">
      <c r="A45" s="2655" t="s">
        <v>2552</v>
      </c>
      <c r="B45" s="2655" t="s">
        <v>2524</v>
      </c>
      <c r="C45" s="2687">
        <v>16490.590231589998</v>
      </c>
      <c r="D45" s="2687">
        <v>16672.405927219999</v>
      </c>
      <c r="E45" s="2687">
        <v>16826.767400239998</v>
      </c>
      <c r="F45" s="2687">
        <v>17018.929556850002</v>
      </c>
      <c r="G45" s="2687">
        <v>17178.663837420001</v>
      </c>
      <c r="H45" s="2687">
        <v>17273.097443890001</v>
      </c>
      <c r="I45" s="2687">
        <v>17367.432887409999</v>
      </c>
      <c r="J45" s="2687">
        <v>17493.540328859999</v>
      </c>
      <c r="K45" s="2687">
        <v>17698.229826440001</v>
      </c>
      <c r="L45" s="2687">
        <v>17875.62659901</v>
      </c>
      <c r="M45" s="2687">
        <v>17891.827757510004</v>
      </c>
      <c r="N45" s="2687">
        <v>18296.488863300001</v>
      </c>
      <c r="O45" s="2687">
        <v>18564.132760459997</v>
      </c>
      <c r="P45" s="2687">
        <v>18740.88164752</v>
      </c>
      <c r="Q45" s="2687">
        <v>18902.950339989999</v>
      </c>
      <c r="R45" s="2687">
        <v>18802.792339209998</v>
      </c>
      <c r="S45" s="2687">
        <v>17016.415046330003</v>
      </c>
      <c r="T45" s="2687">
        <v>17127.79711068</v>
      </c>
      <c r="U45" s="2687">
        <v>17254.990881540001</v>
      </c>
      <c r="V45" s="2687">
        <v>17200.391749509999</v>
      </c>
      <c r="W45" s="2687">
        <v>17347.552607109999</v>
      </c>
      <c r="X45" s="2687">
        <v>17416.737332080003</v>
      </c>
      <c r="Y45" s="2687">
        <v>17866.627419749999</v>
      </c>
      <c r="Z45" s="2687">
        <v>17617.980864159999</v>
      </c>
      <c r="AA45" s="2687">
        <v>17765.619168090001</v>
      </c>
      <c r="AB45" s="2687">
        <v>17945.577405840006</v>
      </c>
      <c r="AC45" s="2687">
        <v>17966.837637449997</v>
      </c>
      <c r="AD45" s="2687">
        <v>18097.336881029998</v>
      </c>
      <c r="AE45" s="2687">
        <v>18232.256673199998</v>
      </c>
      <c r="AF45" s="2687">
        <v>18126.219309699998</v>
      </c>
      <c r="AG45" s="2687">
        <v>18267.647466809998</v>
      </c>
      <c r="AH45" s="2687">
        <v>18398.434080440002</v>
      </c>
      <c r="AI45" s="2687">
        <v>18614.45086004</v>
      </c>
      <c r="AJ45" s="2687">
        <v>18857.952050949996</v>
      </c>
      <c r="AK45" s="2687">
        <v>18759.825696369997</v>
      </c>
      <c r="AL45" s="2687">
        <v>19070.765572119999</v>
      </c>
      <c r="AM45" s="2687">
        <v>19113.151735930001</v>
      </c>
      <c r="AN45" s="2687">
        <v>19224.65656689</v>
      </c>
      <c r="AO45" s="2687">
        <v>19402.041886620002</v>
      </c>
      <c r="AP45" s="2687">
        <v>19500.370261830001</v>
      </c>
      <c r="AQ45" s="2687">
        <v>19588.413247</v>
      </c>
      <c r="AR45" s="2687">
        <v>19711.992594979998</v>
      </c>
      <c r="AS45" s="2687">
        <v>19880.61221798</v>
      </c>
      <c r="AT45" s="2687">
        <v>20025.875966720003</v>
      </c>
      <c r="AU45" s="2687">
        <v>20243.195892159998</v>
      </c>
      <c r="AV45" s="2687">
        <v>20382.462843730002</v>
      </c>
      <c r="AW45" s="2687">
        <v>20519.995424599998</v>
      </c>
      <c r="AX45" s="2687">
        <v>20419.787258590004</v>
      </c>
      <c r="AY45" s="2687">
        <v>20617.062181190002</v>
      </c>
      <c r="AZ45" s="2687">
        <v>20765.587014830002</v>
      </c>
      <c r="BA45" s="2687">
        <v>20819.012327100001</v>
      </c>
      <c r="BB45" s="2687">
        <v>20937.438172050002</v>
      </c>
      <c r="BC45" s="2687">
        <v>21093.196608260001</v>
      </c>
      <c r="BD45" s="2687">
        <v>21244.423302679999</v>
      </c>
      <c r="BE45" s="2687">
        <v>21426.745776</v>
      </c>
      <c r="BF45" s="2687">
        <v>21571.4840931</v>
      </c>
      <c r="BG45" s="2687">
        <v>21680.38740802</v>
      </c>
      <c r="BH45" s="2687">
        <v>21822.574898580002</v>
      </c>
      <c r="BI45" s="2687">
        <v>21898.722637340001</v>
      </c>
    </row>
    <row r="46" spans="1:61" ht="16.5" x14ac:dyDescent="0.3">
      <c r="A46" s="2658"/>
      <c r="B46" s="2658"/>
      <c r="C46" s="2693"/>
      <c r="D46" s="2693"/>
      <c r="E46" s="2693"/>
      <c r="F46" s="2693"/>
      <c r="G46" s="2693"/>
      <c r="H46" s="2693"/>
      <c r="I46" s="2693"/>
      <c r="J46" s="2693"/>
      <c r="K46" s="2693"/>
      <c r="L46" s="2693"/>
      <c r="M46" s="2693"/>
      <c r="N46" s="2693"/>
      <c r="O46" s="2693"/>
      <c r="P46" s="2693"/>
      <c r="Q46" s="2693"/>
      <c r="R46" s="2693"/>
      <c r="S46" s="2693"/>
      <c r="T46" s="2693"/>
      <c r="U46" s="2693"/>
      <c r="V46" s="2693"/>
      <c r="W46" s="2693"/>
      <c r="X46" s="2693"/>
      <c r="Y46" s="2693"/>
      <c r="Z46" s="2693"/>
      <c r="AA46" s="2693"/>
      <c r="AB46" s="2693"/>
      <c r="AC46" s="2693"/>
      <c r="AD46" s="2693"/>
      <c r="AE46" s="2693"/>
      <c r="AF46" s="2693"/>
      <c r="AG46" s="2693"/>
      <c r="AH46" s="2693"/>
      <c r="AI46" s="2693"/>
      <c r="AJ46" s="2693"/>
      <c r="AK46" s="2693"/>
      <c r="AL46" s="2693"/>
      <c r="AM46" s="2693"/>
      <c r="AN46" s="2693"/>
      <c r="AO46" s="2693"/>
      <c r="AP46" s="2693"/>
      <c r="AQ46" s="2693"/>
      <c r="AR46" s="2693"/>
      <c r="AS46" s="2693"/>
      <c r="AT46" s="2693"/>
      <c r="AU46" s="2693"/>
      <c r="AV46" s="2693"/>
      <c r="AW46" s="2693"/>
      <c r="AX46" s="2693"/>
      <c r="AY46" s="2693"/>
      <c r="AZ46" s="2693"/>
      <c r="BA46" s="2693"/>
      <c r="BB46" s="2693"/>
      <c r="BC46" s="2693"/>
      <c r="BD46" s="2693"/>
      <c r="BE46" s="2693"/>
      <c r="BF46" s="2693"/>
      <c r="BG46" s="2693"/>
      <c r="BH46" s="2693"/>
      <c r="BI46" s="2693"/>
    </row>
    <row r="47" spans="1:61" ht="16.5" x14ac:dyDescent="0.3">
      <c r="A47" s="2655"/>
      <c r="B47" s="2655" t="s">
        <v>1071</v>
      </c>
      <c r="C47" s="2687">
        <v>77236.900517380011</v>
      </c>
      <c r="D47" s="2687">
        <v>78104.594409330006</v>
      </c>
      <c r="E47" s="2687">
        <v>79194.042047160008</v>
      </c>
      <c r="F47" s="2687">
        <v>79301.556975970001</v>
      </c>
      <c r="G47" s="2687">
        <v>79368.437332760004</v>
      </c>
      <c r="H47" s="2687">
        <v>79844.122155790013</v>
      </c>
      <c r="I47" s="2687">
        <v>82060.070513889994</v>
      </c>
      <c r="J47" s="2687">
        <v>80438.998750690007</v>
      </c>
      <c r="K47" s="2687">
        <v>80812.571502049992</v>
      </c>
      <c r="L47" s="2687">
        <v>80839.221853329989</v>
      </c>
      <c r="M47" s="2687">
        <v>80984.36660466998</v>
      </c>
      <c r="N47" s="2687">
        <v>80989.341968230001</v>
      </c>
      <c r="O47" s="2687">
        <v>81080.767267770003</v>
      </c>
      <c r="P47" s="2687">
        <v>81658.790813240004</v>
      </c>
      <c r="Q47" s="2687">
        <v>82687.837725639984</v>
      </c>
      <c r="R47" s="2687">
        <v>82095.878150689998</v>
      </c>
      <c r="S47" s="2687">
        <v>66592.911375890006</v>
      </c>
      <c r="T47" s="2687">
        <v>66652.19892291</v>
      </c>
      <c r="U47" s="2687">
        <v>66379.005104190001</v>
      </c>
      <c r="V47" s="2687">
        <v>66506.294517410002</v>
      </c>
      <c r="W47" s="2687">
        <v>66196.030825779992</v>
      </c>
      <c r="X47" s="2687">
        <v>65990.950371319996</v>
      </c>
      <c r="Y47" s="2687">
        <v>65925.357252419999</v>
      </c>
      <c r="Z47" s="2687">
        <v>65813.280355299998</v>
      </c>
      <c r="AA47" s="2687">
        <v>65272.910077909997</v>
      </c>
      <c r="AB47" s="2687">
        <v>66294.467160679997</v>
      </c>
      <c r="AC47" s="2687">
        <v>65676.789597750001</v>
      </c>
      <c r="AD47" s="2687">
        <v>65679.819957569998</v>
      </c>
      <c r="AE47" s="2687">
        <v>66247.542287770004</v>
      </c>
      <c r="AF47" s="2687">
        <v>66128.868720240003</v>
      </c>
      <c r="AG47" s="2687">
        <v>66487.546542759999</v>
      </c>
      <c r="AH47" s="2687">
        <v>66666.714327759997</v>
      </c>
      <c r="AI47" s="2687">
        <v>66727.536961400008</v>
      </c>
      <c r="AJ47" s="2687">
        <v>66684.923424170003</v>
      </c>
      <c r="AK47" s="2687">
        <v>66964.998213309998</v>
      </c>
      <c r="AL47" s="2687">
        <v>67351.024271920003</v>
      </c>
      <c r="AM47" s="2687">
        <v>67369.581373520006</v>
      </c>
      <c r="AN47" s="2687">
        <v>67079.354984110003</v>
      </c>
      <c r="AO47" s="2687">
        <v>67070.390779380003</v>
      </c>
      <c r="AP47" s="2687">
        <v>67037.657873169999</v>
      </c>
      <c r="AQ47" s="2687">
        <v>67250.258423959996</v>
      </c>
      <c r="AR47" s="2687">
        <v>67155.084650620003</v>
      </c>
      <c r="AS47" s="2687">
        <v>67036.716693619994</v>
      </c>
      <c r="AT47" s="2687">
        <v>67200.680215519998</v>
      </c>
      <c r="AU47" s="2687">
        <v>67249.170794139995</v>
      </c>
      <c r="AV47" s="2687">
        <v>67422.621879210012</v>
      </c>
      <c r="AW47" s="2687">
        <v>67383.145621610005</v>
      </c>
      <c r="AX47" s="2687">
        <v>67340.463452289987</v>
      </c>
      <c r="AY47" s="2687">
        <v>67725.443062170001</v>
      </c>
      <c r="AZ47" s="2687">
        <v>68929.130042970006</v>
      </c>
      <c r="BA47" s="2687">
        <v>69134.321353959996</v>
      </c>
      <c r="BB47" s="2687">
        <v>69273.26891644999</v>
      </c>
      <c r="BC47" s="2687">
        <v>69771.706606780004</v>
      </c>
      <c r="BD47" s="2687">
        <v>70168.500747520011</v>
      </c>
      <c r="BE47" s="2687">
        <v>70702.246027600006</v>
      </c>
      <c r="BF47" s="2687">
        <v>70990.51806829001</v>
      </c>
      <c r="BG47" s="2687">
        <v>71551.241374470002</v>
      </c>
      <c r="BH47" s="2687">
        <v>71888.598751199999</v>
      </c>
      <c r="BI47" s="2687">
        <v>72058.419491570006</v>
      </c>
    </row>
    <row r="48" spans="1:61" thickBot="1" x14ac:dyDescent="0.35">
      <c r="A48" s="2669"/>
      <c r="B48" s="2669"/>
      <c r="C48" s="2714"/>
      <c r="D48" s="2714"/>
      <c r="E48" s="2714"/>
      <c r="F48" s="2714"/>
      <c r="G48" s="2714"/>
      <c r="H48" s="2714"/>
      <c r="I48" s="2714"/>
      <c r="J48" s="2714"/>
      <c r="K48" s="2714"/>
      <c r="L48" s="2714"/>
      <c r="M48" s="2714"/>
      <c r="N48" s="2714"/>
      <c r="O48" s="2714"/>
      <c r="P48" s="2714"/>
      <c r="Q48" s="2714"/>
      <c r="R48" s="2714"/>
      <c r="S48" s="2714"/>
      <c r="T48" s="2714"/>
      <c r="U48" s="2714"/>
      <c r="V48" s="2714"/>
      <c r="W48" s="2714"/>
      <c r="X48" s="2714"/>
      <c r="Y48" s="2714"/>
      <c r="Z48" s="2714"/>
      <c r="AA48" s="2714"/>
      <c r="AB48" s="2714"/>
      <c r="AC48" s="2714"/>
      <c r="AD48" s="2714"/>
      <c r="AE48" s="2714"/>
      <c r="AF48" s="2714"/>
      <c r="AG48" s="2714"/>
      <c r="AH48" s="2714"/>
      <c r="AI48" s="2714"/>
      <c r="AJ48" s="2714"/>
      <c r="AK48" s="2714"/>
      <c r="AL48" s="2714"/>
      <c r="AM48" s="2714"/>
      <c r="AN48" s="2714"/>
      <c r="AO48" s="2714"/>
      <c r="AP48" s="2714"/>
      <c r="AQ48" s="2714"/>
      <c r="AR48" s="2714"/>
      <c r="AS48" s="2714"/>
      <c r="AT48" s="2714"/>
      <c r="AU48" s="2714"/>
      <c r="AV48" s="2714"/>
      <c r="AW48" s="2714"/>
      <c r="AX48" s="2714"/>
      <c r="AY48" s="2714"/>
      <c r="AZ48" s="2714"/>
      <c r="BA48" s="2714"/>
      <c r="BB48" s="2714"/>
      <c r="BC48" s="2714"/>
      <c r="BD48" s="2714"/>
      <c r="BE48" s="2714"/>
      <c r="BF48" s="2714"/>
      <c r="BG48" s="2714"/>
      <c r="BH48" s="2714"/>
      <c r="BI48" s="2714"/>
    </row>
    <row r="49" spans="1:61" s="627" customFormat="1" ht="15.75" customHeight="1" thickTop="1" x14ac:dyDescent="0.25">
      <c r="A49" s="1428" t="s">
        <v>173</v>
      </c>
    </row>
    <row r="50" spans="1:61" s="627" customFormat="1" ht="15.75" customHeight="1" x14ac:dyDescent="0.25">
      <c r="A50" s="1428" t="s">
        <v>2613</v>
      </c>
    </row>
    <row r="51" spans="1:61" s="1428" customFormat="1" ht="15" x14ac:dyDescent="0.25">
      <c r="A51" s="2734" t="s">
        <v>2614</v>
      </c>
    </row>
    <row r="52" spans="1:61" s="627" customFormat="1" ht="15.75" customHeight="1" x14ac:dyDescent="0.25">
      <c r="A52" s="3250" t="s">
        <v>2615</v>
      </c>
      <c r="B52" s="3250"/>
      <c r="C52" s="3250"/>
      <c r="D52" s="3250"/>
      <c r="E52" s="3250"/>
      <c r="F52" s="3250"/>
      <c r="G52" s="3250"/>
      <c r="H52" s="3250"/>
      <c r="I52" s="3250"/>
      <c r="J52" s="3250"/>
      <c r="K52" s="3250"/>
      <c r="L52" s="3250"/>
      <c r="M52" s="3250"/>
      <c r="N52" s="3250"/>
      <c r="O52" s="3250"/>
      <c r="P52" s="3250"/>
      <c r="Q52" s="3250"/>
      <c r="R52" s="3250"/>
      <c r="S52" s="3250"/>
      <c r="T52" s="3250"/>
      <c r="U52" s="3250"/>
      <c r="V52" s="3250"/>
      <c r="W52" s="3250"/>
      <c r="X52" s="3250"/>
      <c r="Y52" s="3250"/>
      <c r="Z52" s="3250"/>
      <c r="AA52" s="3250"/>
      <c r="AB52" s="3250"/>
      <c r="AC52" s="3250"/>
      <c r="AD52" s="3250"/>
      <c r="AE52" s="3250"/>
      <c r="AF52" s="3250"/>
      <c r="AG52" s="3250"/>
      <c r="AH52" s="3250"/>
      <c r="AI52" s="3250"/>
      <c r="AJ52" s="3250"/>
      <c r="AK52" s="3250"/>
      <c r="AL52" s="3250"/>
      <c r="AM52" s="3250"/>
      <c r="AN52" s="3250"/>
      <c r="AO52" s="3250"/>
      <c r="AP52" s="3250"/>
      <c r="AQ52" s="3250"/>
      <c r="AR52" s="3250"/>
      <c r="AS52" s="3250"/>
      <c r="AT52" s="3250"/>
      <c r="AU52" s="3250"/>
      <c r="AV52" s="3250"/>
      <c r="AW52" s="3250"/>
      <c r="AX52" s="3250"/>
      <c r="AY52" s="3250"/>
      <c r="AZ52" s="3250"/>
      <c r="BA52" s="3250"/>
      <c r="BB52" s="3250"/>
      <c r="BC52" s="3250"/>
      <c r="BD52" s="3250"/>
      <c r="BE52" s="3250"/>
      <c r="BF52" s="3250"/>
      <c r="BG52" s="3250"/>
      <c r="BH52" s="3250"/>
      <c r="BI52" s="3250"/>
    </row>
    <row r="53" spans="1:61" s="627" customFormat="1" ht="37.5" customHeight="1" x14ac:dyDescent="0.25">
      <c r="A53" s="3251" t="s">
        <v>2616</v>
      </c>
      <c r="B53" s="3251"/>
      <c r="C53" s="3251"/>
      <c r="D53" s="3251"/>
      <c r="E53" s="3251"/>
      <c r="F53" s="3251"/>
      <c r="G53" s="3251"/>
      <c r="H53" s="3251"/>
      <c r="I53" s="3251"/>
      <c r="J53" s="3251"/>
      <c r="K53" s="3251"/>
      <c r="L53" s="3251"/>
      <c r="M53" s="3251"/>
      <c r="N53" s="3251"/>
      <c r="O53" s="3251"/>
      <c r="P53" s="3251"/>
      <c r="Q53" s="3251"/>
      <c r="R53" s="3251"/>
      <c r="S53" s="3251"/>
      <c r="T53" s="3251"/>
      <c r="U53" s="3251"/>
      <c r="V53" s="3251"/>
      <c r="W53" s="3251"/>
      <c r="X53" s="3251"/>
      <c r="Y53" s="3251"/>
      <c r="Z53" s="3251"/>
      <c r="AA53" s="3251"/>
      <c r="AB53" s="3251"/>
      <c r="AC53" s="3251"/>
      <c r="AD53" s="3251"/>
      <c r="AE53" s="3251"/>
      <c r="AF53" s="3251"/>
      <c r="AG53" s="3251"/>
      <c r="AH53" s="3251"/>
      <c r="AI53" s="3251"/>
      <c r="AJ53" s="3251"/>
      <c r="AK53" s="3251"/>
      <c r="AL53" s="3251"/>
      <c r="AM53" s="3251"/>
      <c r="AN53" s="3251"/>
      <c r="AO53" s="3251"/>
      <c r="AP53" s="3251"/>
      <c r="AQ53" s="3251"/>
      <c r="AR53" s="3251"/>
      <c r="AS53" s="3251"/>
      <c r="AT53" s="3251"/>
      <c r="AU53" s="3251"/>
      <c r="AV53" s="3251"/>
      <c r="AW53" s="3251"/>
      <c r="AX53" s="3251"/>
      <c r="AY53" s="3251"/>
      <c r="AZ53" s="3251"/>
      <c r="BA53" s="3251"/>
      <c r="BB53" s="3251"/>
      <c r="BC53" s="3251"/>
      <c r="BD53" s="3251"/>
      <c r="BE53" s="3251"/>
      <c r="BF53" s="3251"/>
      <c r="BG53" s="3251"/>
      <c r="BH53" s="3251"/>
      <c r="BI53" s="3251"/>
    </row>
    <row r="54" spans="1:61" s="627" customFormat="1" ht="15.75" customHeight="1" x14ac:dyDescent="0.25">
      <c r="A54" s="3250" t="s">
        <v>2617</v>
      </c>
      <c r="B54" s="3250"/>
      <c r="C54" s="3250"/>
      <c r="D54" s="3250"/>
      <c r="E54" s="3250"/>
      <c r="F54" s="3250"/>
      <c r="G54" s="3250"/>
      <c r="H54" s="3250"/>
      <c r="I54" s="3250"/>
      <c r="J54" s="3250"/>
      <c r="K54" s="3250"/>
      <c r="L54" s="3250"/>
      <c r="M54" s="3250"/>
      <c r="N54" s="3250"/>
      <c r="O54" s="3250"/>
      <c r="P54" s="3250"/>
      <c r="Q54" s="3250"/>
      <c r="R54" s="3250"/>
      <c r="S54" s="3250"/>
      <c r="T54" s="3250"/>
      <c r="U54" s="3250"/>
      <c r="V54" s="3250"/>
      <c r="W54" s="3250"/>
      <c r="X54" s="3250"/>
      <c r="Y54" s="3250"/>
      <c r="Z54" s="3250"/>
      <c r="AA54" s="3250"/>
      <c r="AB54" s="3250"/>
      <c r="AC54" s="3250"/>
      <c r="AD54" s="3250"/>
      <c r="AE54" s="3250"/>
      <c r="AF54" s="3250"/>
      <c r="AG54" s="3250"/>
      <c r="AH54" s="3250"/>
      <c r="AI54" s="3250"/>
      <c r="AJ54" s="3250"/>
      <c r="AK54" s="3250"/>
      <c r="AL54" s="3250"/>
      <c r="AM54" s="3250"/>
      <c r="AN54" s="3250"/>
      <c r="AO54" s="3250"/>
      <c r="AP54" s="3250"/>
      <c r="AQ54" s="3250"/>
      <c r="AR54" s="3250"/>
      <c r="AS54" s="3250"/>
      <c r="AT54" s="3250"/>
      <c r="AU54" s="3250"/>
      <c r="AV54" s="3250"/>
      <c r="AW54" s="3250"/>
      <c r="AX54" s="3250"/>
      <c r="AY54" s="3250"/>
      <c r="AZ54" s="3250"/>
      <c r="BA54" s="3250"/>
      <c r="BB54" s="3250"/>
      <c r="BC54" s="3250"/>
      <c r="BD54" s="3250"/>
      <c r="BE54" s="3250"/>
      <c r="BF54" s="3250"/>
      <c r="BG54" s="3250"/>
      <c r="BH54" s="3250"/>
      <c r="BI54" s="3250"/>
    </row>
    <row r="55" spans="1:61" s="631" customFormat="1" ht="20.25" customHeight="1" x14ac:dyDescent="0.25">
      <c r="A55" s="2131" t="s">
        <v>290</v>
      </c>
    </row>
    <row r="56" spans="1:61" ht="15" customHeight="1" x14ac:dyDescent="0.3">
      <c r="A56" s="627"/>
    </row>
    <row r="57" spans="1:61" x14ac:dyDescent="0.3">
      <c r="A57" s="627"/>
    </row>
  </sheetData>
  <mergeCells count="3">
    <mergeCell ref="A52:BI52"/>
    <mergeCell ref="A53:BI53"/>
    <mergeCell ref="A54:BI54"/>
  </mergeCells>
  <hyperlinks>
    <hyperlink ref="A51" r:id="rId1" display="https://www.bom.mu/publications-statistics/statistics/monthly-statistical-bulletin/monthly-statistical-bulletin-february-2021" xr:uid="{00000000-0004-0000-0A00-000000000000}"/>
  </hyperlinks>
  <pageMargins left="0.75" right="0.75" top="0.75" bottom="0.75" header="0.3" footer="0"/>
  <pageSetup scale="51"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I58"/>
  <sheetViews>
    <sheetView showGridLines="0" zoomScale="70" zoomScaleNormal="70" zoomScaleSheetLayoutView="70" workbookViewId="0">
      <pane xSplit="2" ySplit="4" topLeftCell="AY32" activePane="bottomRight" state="frozen"/>
      <selection activeCell="A38" sqref="A38"/>
      <selection pane="topRight" activeCell="A38" sqref="A38"/>
      <selection pane="bottomLeft" activeCell="A38" sqref="A38"/>
      <selection pane="bottomRight" activeCell="A38" sqref="A38"/>
    </sheetView>
  </sheetViews>
  <sheetFormatPr defaultColWidth="9.140625" defaultRowHeight="17.25" x14ac:dyDescent="0.3"/>
  <cols>
    <col min="1" max="1" width="7.140625" style="1692" customWidth="1"/>
    <col min="2" max="2" width="71" style="624" bestFit="1" customWidth="1"/>
    <col min="3" max="7" width="12.7109375" style="1692" hidden="1" customWidth="1"/>
    <col min="8" max="8" width="12.85546875" style="1692" hidden="1" customWidth="1"/>
    <col min="9" max="32" width="12.7109375" style="1692" hidden="1" customWidth="1"/>
    <col min="33" max="33" width="14.85546875" style="1692" hidden="1" customWidth="1"/>
    <col min="34" max="34" width="14.42578125" style="1692" hidden="1" customWidth="1"/>
    <col min="35" max="38" width="15.28515625" style="1692" hidden="1" customWidth="1"/>
    <col min="39" max="39" width="15.7109375" style="1692" hidden="1" customWidth="1"/>
    <col min="40" max="40" width="15.28515625" style="1692" hidden="1" customWidth="1"/>
    <col min="41" max="41" width="14.85546875" style="1692" hidden="1" customWidth="1"/>
    <col min="42" max="42" width="15.7109375" style="1692" hidden="1" customWidth="1"/>
    <col min="43" max="44" width="15.28515625" style="1692" hidden="1" customWidth="1"/>
    <col min="45" max="48" width="15.7109375" style="1692" hidden="1" customWidth="1"/>
    <col min="49" max="61" width="15.7109375" style="1692" bestFit="1" customWidth="1"/>
    <col min="62" max="16384" width="9.140625" style="1692"/>
  </cols>
  <sheetData>
    <row r="1" spans="1:61" ht="19.5" customHeight="1" x14ac:dyDescent="0.3">
      <c r="A1" s="2735" t="s">
        <v>2628</v>
      </c>
      <c r="B1" s="2736"/>
    </row>
    <row r="2" spans="1:61" hidden="1" x14ac:dyDescent="0.3">
      <c r="A2" s="2721"/>
      <c r="B2" s="2722"/>
    </row>
    <row r="3" spans="1:61" ht="18" thickBot="1" x14ac:dyDescent="0.35">
      <c r="A3" s="2649"/>
      <c r="B3" s="2729"/>
      <c r="D3" s="1694"/>
      <c r="F3" s="1694"/>
      <c r="H3" s="1694"/>
      <c r="S3" s="1694"/>
      <c r="X3" s="1694"/>
      <c r="AE3" s="1694"/>
      <c r="AR3" s="1694"/>
      <c r="AS3" s="1694"/>
      <c r="AT3" s="1694"/>
      <c r="AU3" s="1694"/>
      <c r="AV3" s="1694"/>
      <c r="AW3" s="1694"/>
      <c r="AX3" s="1694"/>
      <c r="AY3" s="1694"/>
      <c r="AZ3" s="1694"/>
      <c r="BA3" s="1694"/>
      <c r="BB3" s="1694"/>
      <c r="BC3" s="1694"/>
      <c r="BD3" s="1694"/>
      <c r="BE3" s="1694"/>
      <c r="BF3" s="1694"/>
      <c r="BG3" s="1694"/>
      <c r="BH3" s="1694"/>
      <c r="BI3" s="1694" t="s">
        <v>281</v>
      </c>
    </row>
    <row r="4" spans="1:61" ht="24" customHeight="1" thickTop="1" thickBot="1" x14ac:dyDescent="0.35">
      <c r="A4" s="2651" t="s">
        <v>2502</v>
      </c>
      <c r="B4" s="2651" t="s">
        <v>773</v>
      </c>
      <c r="C4" s="2723">
        <v>43374</v>
      </c>
      <c r="D4" s="2723">
        <v>43405</v>
      </c>
      <c r="E4" s="2723">
        <v>43435</v>
      </c>
      <c r="F4" s="2723">
        <v>43466</v>
      </c>
      <c r="G4" s="2723">
        <v>43497</v>
      </c>
      <c r="H4" s="2723">
        <v>43525</v>
      </c>
      <c r="I4" s="2723">
        <v>43556</v>
      </c>
      <c r="J4" s="2723">
        <v>43586</v>
      </c>
      <c r="K4" s="2723">
        <v>43617</v>
      </c>
      <c r="L4" s="2723">
        <v>43647</v>
      </c>
      <c r="M4" s="2723">
        <v>43678</v>
      </c>
      <c r="N4" s="2723">
        <v>43709</v>
      </c>
      <c r="O4" s="2723">
        <v>43739</v>
      </c>
      <c r="P4" s="2723">
        <v>43770</v>
      </c>
      <c r="Q4" s="2723">
        <v>43800</v>
      </c>
      <c r="R4" s="2723">
        <v>43831</v>
      </c>
      <c r="S4" s="2652" t="s">
        <v>2590</v>
      </c>
      <c r="T4" s="2652" t="s">
        <v>477</v>
      </c>
      <c r="U4" s="2652" t="s">
        <v>2591</v>
      </c>
      <c r="V4" s="2652" t="s">
        <v>2592</v>
      </c>
      <c r="W4" s="2652" t="s">
        <v>2629</v>
      </c>
      <c r="X4" s="2652" t="s">
        <v>314</v>
      </c>
      <c r="Y4" s="2652" t="s">
        <v>315</v>
      </c>
      <c r="Z4" s="2652" t="s">
        <v>316</v>
      </c>
      <c r="AA4" s="2652" t="s">
        <v>317</v>
      </c>
      <c r="AB4" s="2652">
        <v>44136</v>
      </c>
      <c r="AC4" s="2652">
        <v>44166</v>
      </c>
      <c r="AD4" s="2652">
        <v>44197</v>
      </c>
      <c r="AE4" s="2652" t="s">
        <v>2593</v>
      </c>
      <c r="AF4" s="2652" t="s">
        <v>2594</v>
      </c>
      <c r="AG4" s="2652" t="s">
        <v>2620</v>
      </c>
      <c r="AH4" s="2652" t="s">
        <v>483</v>
      </c>
      <c r="AI4" s="2652" t="s">
        <v>484</v>
      </c>
      <c r="AJ4" s="2652" t="s">
        <v>2596</v>
      </c>
      <c r="AK4" s="2652" t="s">
        <v>2597</v>
      </c>
      <c r="AL4" s="2652" t="s">
        <v>2606</v>
      </c>
      <c r="AM4" s="2652" t="s">
        <v>485</v>
      </c>
      <c r="AN4" s="2652" t="s">
        <v>2625</v>
      </c>
      <c r="AO4" s="2652" t="s">
        <v>2626</v>
      </c>
      <c r="AP4" s="2652">
        <v>44562</v>
      </c>
      <c r="AQ4" s="2652">
        <v>44593</v>
      </c>
      <c r="AR4" s="2652">
        <v>44621</v>
      </c>
      <c r="AS4" s="2652">
        <v>44652</v>
      </c>
      <c r="AT4" s="2652">
        <v>44682</v>
      </c>
      <c r="AU4" s="2652">
        <v>44713</v>
      </c>
      <c r="AV4" s="2652">
        <v>44743</v>
      </c>
      <c r="AW4" s="2652">
        <v>44774</v>
      </c>
      <c r="AX4" s="2652">
        <v>44805</v>
      </c>
      <c r="AY4" s="2652">
        <v>44835</v>
      </c>
      <c r="AZ4" s="2652">
        <v>44866</v>
      </c>
      <c r="BA4" s="2652">
        <v>44896</v>
      </c>
      <c r="BB4" s="2652">
        <v>44927</v>
      </c>
      <c r="BC4" s="2652">
        <v>44958</v>
      </c>
      <c r="BD4" s="2652">
        <v>44986</v>
      </c>
      <c r="BE4" s="2652">
        <v>45017</v>
      </c>
      <c r="BF4" s="2652">
        <v>45047</v>
      </c>
      <c r="BG4" s="2652">
        <v>45078</v>
      </c>
      <c r="BH4" s="2652">
        <v>45108</v>
      </c>
      <c r="BI4" s="2652">
        <v>45139</v>
      </c>
    </row>
    <row r="5" spans="1:61" ht="18" customHeight="1" thickTop="1" x14ac:dyDescent="0.3">
      <c r="A5" s="2658"/>
      <c r="B5" s="2658"/>
      <c r="C5" s="2724"/>
      <c r="D5" s="2724"/>
      <c r="E5" s="2724"/>
      <c r="F5" s="2724"/>
      <c r="G5" s="2724"/>
      <c r="H5" s="2724"/>
      <c r="I5" s="2724"/>
      <c r="J5" s="2724"/>
      <c r="K5" s="2724"/>
      <c r="L5" s="2724"/>
      <c r="M5" s="2724"/>
      <c r="N5" s="2724"/>
      <c r="O5" s="2724"/>
      <c r="P5" s="2724"/>
      <c r="Q5" s="2724"/>
      <c r="R5" s="2724"/>
      <c r="S5" s="2724"/>
      <c r="T5" s="2724"/>
      <c r="U5" s="2724"/>
      <c r="V5" s="2724"/>
      <c r="W5" s="2724"/>
      <c r="X5" s="2724"/>
      <c r="Y5" s="2724"/>
      <c r="Z5" s="2724"/>
      <c r="AA5" s="2724"/>
      <c r="AB5" s="2724"/>
      <c r="AC5" s="2724"/>
      <c r="AD5" s="2724"/>
      <c r="AE5" s="2724"/>
      <c r="AF5" s="2724"/>
      <c r="AG5" s="2724"/>
      <c r="AH5" s="2724"/>
      <c r="AI5" s="2724"/>
      <c r="AJ5" s="2724"/>
      <c r="AK5" s="2724"/>
      <c r="AL5" s="2724"/>
      <c r="AM5" s="2724"/>
      <c r="AN5" s="2724"/>
      <c r="AO5" s="2724"/>
      <c r="AP5" s="2724"/>
      <c r="AQ5" s="2724"/>
      <c r="AR5" s="2724"/>
      <c r="AS5" s="2724"/>
      <c r="AT5" s="2724"/>
      <c r="AU5" s="2724"/>
      <c r="AV5" s="2724"/>
      <c r="AW5" s="2724"/>
      <c r="AX5" s="2724"/>
      <c r="AY5" s="2724"/>
      <c r="AZ5" s="2724"/>
      <c r="BA5" s="2724"/>
      <c r="BB5" s="2724"/>
      <c r="BC5" s="2724"/>
      <c r="BD5" s="2724"/>
      <c r="BE5" s="2724"/>
      <c r="BF5" s="2724"/>
      <c r="BG5" s="2724"/>
      <c r="BH5" s="2724"/>
      <c r="BI5" s="2724"/>
    </row>
    <row r="6" spans="1:61" ht="18" customHeight="1" x14ac:dyDescent="0.3">
      <c r="A6" s="2655" t="s">
        <v>2508</v>
      </c>
      <c r="B6" s="2655" t="s">
        <v>2511</v>
      </c>
      <c r="C6" s="2687">
        <v>352382.65874345228</v>
      </c>
      <c r="D6" s="2687">
        <v>327920.33516186185</v>
      </c>
      <c r="E6" s="2687">
        <v>316209.87737736892</v>
      </c>
      <c r="F6" s="2687">
        <v>319201.92619764269</v>
      </c>
      <c r="G6" s="2687">
        <v>380680.54327686707</v>
      </c>
      <c r="H6" s="2687">
        <v>324533.76780826127</v>
      </c>
      <c r="I6" s="2687">
        <v>346704.14379382069</v>
      </c>
      <c r="J6" s="2687">
        <v>316876.71704503114</v>
      </c>
      <c r="K6" s="2687">
        <v>309109.14536801691</v>
      </c>
      <c r="L6" s="2687">
        <v>361707.16808019171</v>
      </c>
      <c r="M6" s="2687">
        <v>328762.4441763162</v>
      </c>
      <c r="N6" s="2687">
        <v>323561.64893500909</v>
      </c>
      <c r="O6" s="2687">
        <v>360468.66513252858</v>
      </c>
      <c r="P6" s="2687">
        <v>407899.89230275352</v>
      </c>
      <c r="Q6" s="2687">
        <v>401959.12895732146</v>
      </c>
      <c r="R6" s="2687">
        <v>403255.54478148493</v>
      </c>
      <c r="S6" s="2687">
        <v>418956.87172310788</v>
      </c>
      <c r="T6" s="2687">
        <v>404153.32814372377</v>
      </c>
      <c r="U6" s="2687">
        <v>426493.0256736438</v>
      </c>
      <c r="V6" s="2687">
        <v>450696.90787833044</v>
      </c>
      <c r="W6" s="2687">
        <v>455100.66837098059</v>
      </c>
      <c r="X6" s="2687">
        <v>465308.54841139418</v>
      </c>
      <c r="Y6" s="2687">
        <v>518028.83294883283</v>
      </c>
      <c r="Z6" s="2687">
        <v>475010.77010921878</v>
      </c>
      <c r="AA6" s="2687">
        <v>446372.18701189163</v>
      </c>
      <c r="AB6" s="2687">
        <v>487656.46189793228</v>
      </c>
      <c r="AC6" s="2687">
        <v>454504.37840981764</v>
      </c>
      <c r="AD6" s="2687">
        <v>520819.10399072175</v>
      </c>
      <c r="AE6" s="2687">
        <v>552550.62849132053</v>
      </c>
      <c r="AF6" s="2687">
        <v>550728.72435631289</v>
      </c>
      <c r="AG6" s="2687">
        <v>504909.93328313879</v>
      </c>
      <c r="AH6" s="2687">
        <v>562114.50944732665</v>
      </c>
      <c r="AI6" s="2687">
        <v>530827.28627351485</v>
      </c>
      <c r="AJ6" s="2687">
        <v>482894.10775575758</v>
      </c>
      <c r="AK6" s="2687">
        <v>532388.949033943</v>
      </c>
      <c r="AL6" s="2687">
        <v>525993.39621802932</v>
      </c>
      <c r="AM6" s="2687">
        <v>540224.96000692423</v>
      </c>
      <c r="AN6" s="2687">
        <v>526651.73421449983</v>
      </c>
      <c r="AO6" s="2687">
        <v>535060.25673980708</v>
      </c>
      <c r="AP6" s="2687">
        <v>491677.97867184889</v>
      </c>
      <c r="AQ6" s="2687">
        <v>514686.56776981655</v>
      </c>
      <c r="AR6" s="2687">
        <v>533281.59559402324</v>
      </c>
      <c r="AS6" s="2687">
        <v>542511.20546051615</v>
      </c>
      <c r="AT6" s="2687">
        <v>533324.21784774808</v>
      </c>
      <c r="AU6" s="2687">
        <v>477141.1562892911</v>
      </c>
      <c r="AV6" s="2687">
        <v>501272.81590149581</v>
      </c>
      <c r="AW6" s="2687">
        <v>475662.9115399138</v>
      </c>
      <c r="AX6" s="2687">
        <v>495633.34690457047</v>
      </c>
      <c r="AY6" s="2687">
        <v>456034.86735674192</v>
      </c>
      <c r="AZ6" s="2687">
        <v>494939.74934643926</v>
      </c>
      <c r="BA6" s="2687">
        <v>447046.89545756293</v>
      </c>
      <c r="BB6" s="2687">
        <v>488860.91524947248</v>
      </c>
      <c r="BC6" s="2687">
        <v>558602.5532946327</v>
      </c>
      <c r="BD6" s="2687">
        <v>426569.61309808143</v>
      </c>
      <c r="BE6" s="2687">
        <v>508189.54678874882</v>
      </c>
      <c r="BF6" s="2687">
        <v>487637.85302948469</v>
      </c>
      <c r="BG6" s="2687">
        <v>445264.39363088727</v>
      </c>
      <c r="BH6" s="2687">
        <v>587514.91631513613</v>
      </c>
      <c r="BI6" s="2687">
        <v>523366.59111431916</v>
      </c>
    </row>
    <row r="7" spans="1:61" ht="18" customHeight="1" x14ac:dyDescent="0.3">
      <c r="A7" s="2658" t="s">
        <v>2600</v>
      </c>
      <c r="B7" s="2662" t="s">
        <v>965</v>
      </c>
      <c r="C7" s="2693">
        <v>5828.702181240812</v>
      </c>
      <c r="D7" s="2693">
        <v>6054.3858939150368</v>
      </c>
      <c r="E7" s="2693">
        <v>8360.2894402560742</v>
      </c>
      <c r="F7" s="2693">
        <v>7759.9553550904993</v>
      </c>
      <c r="G7" s="2693">
        <v>6530.730579473915</v>
      </c>
      <c r="H7" s="2693">
        <v>6640.0305433026942</v>
      </c>
      <c r="I7" s="2693">
        <v>6902.9341032585908</v>
      </c>
      <c r="J7" s="2693">
        <v>6872.5555002081692</v>
      </c>
      <c r="K7" s="2693">
        <v>6177.9436973460779</v>
      </c>
      <c r="L7" s="2693">
        <v>6602.5604775961119</v>
      </c>
      <c r="M7" s="2693">
        <v>6348.6245271663302</v>
      </c>
      <c r="N7" s="2693">
        <v>5738.5111612363607</v>
      </c>
      <c r="O7" s="2693">
        <v>6697.7579109175322</v>
      </c>
      <c r="P7" s="2693">
        <v>6345.998426860222</v>
      </c>
      <c r="Q7" s="2693">
        <v>8324.0907585841396</v>
      </c>
      <c r="R7" s="2693">
        <v>6868.9554540669205</v>
      </c>
      <c r="S7" s="2693">
        <v>6257.8903958900755</v>
      </c>
      <c r="T7" s="2693">
        <v>7136.6265785968735</v>
      </c>
      <c r="U7" s="2693">
        <v>7601.3403745045689</v>
      </c>
      <c r="V7" s="2693">
        <v>6334.8505257107245</v>
      </c>
      <c r="W7" s="2693">
        <v>6455.8079960320565</v>
      </c>
      <c r="X7" s="2693">
        <v>6675.9658162889946</v>
      </c>
      <c r="Y7" s="2693">
        <v>5983.3729770705913</v>
      </c>
      <c r="Z7" s="2693">
        <v>6583.1101653207952</v>
      </c>
      <c r="AA7" s="2693">
        <v>6325.0031614402933</v>
      </c>
      <c r="AB7" s="2693">
        <v>6341.9746562151086</v>
      </c>
      <c r="AC7" s="2693">
        <v>7802.4237398683463</v>
      </c>
      <c r="AD7" s="2693">
        <v>6869.4784972203452</v>
      </c>
      <c r="AE7" s="2693">
        <v>6219.4256891969662</v>
      </c>
      <c r="AF7" s="2693">
        <v>6818.1020538496541</v>
      </c>
      <c r="AG7" s="2693">
        <v>6671.2476120757328</v>
      </c>
      <c r="AH7" s="2693">
        <v>6615.5460532370216</v>
      </c>
      <c r="AI7" s="2693">
        <v>6791.9779673893963</v>
      </c>
      <c r="AJ7" s="2693">
        <v>6664.6543928802357</v>
      </c>
      <c r="AK7" s="2693">
        <v>6858.5235188198876</v>
      </c>
      <c r="AL7" s="2693">
        <v>6773.5252383096695</v>
      </c>
      <c r="AM7" s="2693">
        <v>7306.6083870843922</v>
      </c>
      <c r="AN7" s="2693">
        <v>7584.5631107001918</v>
      </c>
      <c r="AO7" s="2693">
        <v>8170.4047026101816</v>
      </c>
      <c r="AP7" s="2693">
        <v>7453.0104055183483</v>
      </c>
      <c r="AQ7" s="2693">
        <v>7065.4624571487266</v>
      </c>
      <c r="AR7" s="2693">
        <v>7107.3444440348076</v>
      </c>
      <c r="AS7" s="2693">
        <v>6589.6869138663114</v>
      </c>
      <c r="AT7" s="2693">
        <v>6980.6135428595517</v>
      </c>
      <c r="AU7" s="2693">
        <v>6998.0133532365144</v>
      </c>
      <c r="AV7" s="2693">
        <v>6771.1076130642532</v>
      </c>
      <c r="AW7" s="2693">
        <v>7061.1310387181666</v>
      </c>
      <c r="AX7" s="2693">
        <v>6668.6618197885637</v>
      </c>
      <c r="AY7" s="2693">
        <v>6285.4226428785805</v>
      </c>
      <c r="AZ7" s="2693">
        <v>6547.358277171973</v>
      </c>
      <c r="BA7" s="2693">
        <v>8231.8640820514993</v>
      </c>
      <c r="BB7" s="2693">
        <v>7668.1984544761835</v>
      </c>
      <c r="BC7" s="2693">
        <v>7503.2687783651527</v>
      </c>
      <c r="BD7" s="2693">
        <v>7134.4287817012628</v>
      </c>
      <c r="BE7" s="2693">
        <v>7011.3157654852512</v>
      </c>
      <c r="BF7" s="2693">
        <v>7356.6347844011552</v>
      </c>
      <c r="BG7" s="2693">
        <v>7187.2373366843858</v>
      </c>
      <c r="BH7" s="2693">
        <v>7154.7759415223736</v>
      </c>
      <c r="BI7" s="2693">
        <v>7435.0737199068581</v>
      </c>
    </row>
    <row r="8" spans="1:61" ht="18" customHeight="1" x14ac:dyDescent="0.3">
      <c r="A8" s="2658" t="s">
        <v>2601</v>
      </c>
      <c r="B8" s="2662" t="s">
        <v>2602</v>
      </c>
      <c r="C8" s="2693">
        <v>173381.3298458028</v>
      </c>
      <c r="D8" s="2693">
        <v>175766.72956203023</v>
      </c>
      <c r="E8" s="2693">
        <v>179861.51667529377</v>
      </c>
      <c r="F8" s="2693">
        <v>166656.2823980746</v>
      </c>
      <c r="G8" s="2693">
        <v>218741.93917047724</v>
      </c>
      <c r="H8" s="2693">
        <v>148784.65950281508</v>
      </c>
      <c r="I8" s="2693">
        <v>152363.91290428655</v>
      </c>
      <c r="J8" s="2693">
        <v>171171.26782187127</v>
      </c>
      <c r="K8" s="2693">
        <v>139446.11174069665</v>
      </c>
      <c r="L8" s="2693">
        <v>164503.46989044474</v>
      </c>
      <c r="M8" s="2693">
        <v>174360.0578024826</v>
      </c>
      <c r="N8" s="2693">
        <v>170599.00602792698</v>
      </c>
      <c r="O8" s="2693">
        <v>140552.65337958492</v>
      </c>
      <c r="P8" s="2693">
        <v>196988.65093711403</v>
      </c>
      <c r="Q8" s="2693">
        <v>195356.4574400392</v>
      </c>
      <c r="R8" s="2693">
        <v>168620.30609577609</v>
      </c>
      <c r="S8" s="2693">
        <v>184468.63515810797</v>
      </c>
      <c r="T8" s="2693">
        <v>244235.52559768956</v>
      </c>
      <c r="U8" s="2693">
        <v>237164.70714972774</v>
      </c>
      <c r="V8" s="2693">
        <v>266535.71108401776</v>
      </c>
      <c r="W8" s="2693">
        <v>270466.87606112094</v>
      </c>
      <c r="X8" s="2693">
        <v>266458.73841444019</v>
      </c>
      <c r="Y8" s="2693">
        <v>248838.06735341562</v>
      </c>
      <c r="Z8" s="2693">
        <v>226633.8149536335</v>
      </c>
      <c r="AA8" s="2693">
        <v>222200.87075696298</v>
      </c>
      <c r="AB8" s="2693">
        <v>266737.75133838831</v>
      </c>
      <c r="AC8" s="2693">
        <v>249640.6629259208</v>
      </c>
      <c r="AD8" s="2693">
        <v>298527.63465918199</v>
      </c>
      <c r="AE8" s="2693">
        <v>289683.53061357467</v>
      </c>
      <c r="AF8" s="2693">
        <v>299592.29728333338</v>
      </c>
      <c r="AG8" s="2693">
        <v>263544.86669306405</v>
      </c>
      <c r="AH8" s="2693">
        <v>310769.53553498362</v>
      </c>
      <c r="AI8" s="2693">
        <v>298370.44092436851</v>
      </c>
      <c r="AJ8" s="2693">
        <v>220751.81640156452</v>
      </c>
      <c r="AK8" s="2693">
        <v>288999.03348699259</v>
      </c>
      <c r="AL8" s="2693">
        <v>294095.07071380568</v>
      </c>
      <c r="AM8" s="2693">
        <v>249039.27020583666</v>
      </c>
      <c r="AN8" s="2693">
        <v>284224.15419959667</v>
      </c>
      <c r="AO8" s="2693">
        <v>321328.61279454402</v>
      </c>
      <c r="AP8" s="2693">
        <v>276655.98235390219</v>
      </c>
      <c r="AQ8" s="2693">
        <v>303220.97192853579</v>
      </c>
      <c r="AR8" s="2693">
        <v>307029.11313356395</v>
      </c>
      <c r="AS8" s="2693">
        <v>289429.80534986232</v>
      </c>
      <c r="AT8" s="2693">
        <v>281166.975884257</v>
      </c>
      <c r="AU8" s="2693">
        <v>275735.74279069365</v>
      </c>
      <c r="AV8" s="2693">
        <v>263857.10846990545</v>
      </c>
      <c r="AW8" s="2693">
        <v>248902.0941809286</v>
      </c>
      <c r="AX8" s="2693">
        <v>293786.1390160062</v>
      </c>
      <c r="AY8" s="2693">
        <v>236812.32220202946</v>
      </c>
      <c r="AZ8" s="2693">
        <v>286602.27387544169</v>
      </c>
      <c r="BA8" s="2693">
        <v>269520.06729910581</v>
      </c>
      <c r="BB8" s="2693">
        <v>239275.26755835314</v>
      </c>
      <c r="BC8" s="2693">
        <v>345351.40958711249</v>
      </c>
      <c r="BD8" s="2693">
        <v>241231.72679347862</v>
      </c>
      <c r="BE8" s="2693">
        <v>219756.22694739248</v>
      </c>
      <c r="BF8" s="2693">
        <v>209004.13665701865</v>
      </c>
      <c r="BG8" s="2693">
        <v>237876.07761812824</v>
      </c>
      <c r="BH8" s="2693">
        <v>276382.88201499381</v>
      </c>
      <c r="BI8" s="2693">
        <v>245959.93194994156</v>
      </c>
    </row>
    <row r="9" spans="1:61" ht="18" customHeight="1" x14ac:dyDescent="0.3">
      <c r="A9" s="2658" t="s">
        <v>2603</v>
      </c>
      <c r="B9" s="2662" t="s">
        <v>2604</v>
      </c>
      <c r="C9" s="2693">
        <v>173172.62671640876</v>
      </c>
      <c r="D9" s="2693">
        <v>146099.21970591653</v>
      </c>
      <c r="E9" s="2693">
        <v>127988.0712618191</v>
      </c>
      <c r="F9" s="2693">
        <v>144785.68844447759</v>
      </c>
      <c r="G9" s="2693">
        <v>155407.87352691597</v>
      </c>
      <c r="H9" s="2693">
        <v>169109.07776214351</v>
      </c>
      <c r="I9" s="2693">
        <v>187437.29678627563</v>
      </c>
      <c r="J9" s="2693">
        <v>138832.89372295167</v>
      </c>
      <c r="K9" s="2693">
        <v>163485.08992997417</v>
      </c>
      <c r="L9" s="2693">
        <v>190601.13771215084</v>
      </c>
      <c r="M9" s="2693">
        <v>148053.7618466673</v>
      </c>
      <c r="N9" s="2693">
        <v>147224.13174584584</v>
      </c>
      <c r="O9" s="2693">
        <v>213218.25384202611</v>
      </c>
      <c r="P9" s="2693">
        <v>204565.24293877941</v>
      </c>
      <c r="Q9" s="2693">
        <v>198278.58075869814</v>
      </c>
      <c r="R9" s="2693">
        <v>227766.28323164184</v>
      </c>
      <c r="S9" s="2693">
        <v>228230.34616910992</v>
      </c>
      <c r="T9" s="2693">
        <v>152781.17596743727</v>
      </c>
      <c r="U9" s="2693">
        <v>181726.97814941159</v>
      </c>
      <c r="V9" s="2693">
        <v>177826.34626860201</v>
      </c>
      <c r="W9" s="2693">
        <v>178177.98431382765</v>
      </c>
      <c r="X9" s="2693">
        <v>192173.84418066501</v>
      </c>
      <c r="Y9" s="2693">
        <v>263207.39261834661</v>
      </c>
      <c r="Z9" s="2693">
        <v>241793.84499026436</v>
      </c>
      <c r="AA9" s="2693">
        <v>217846.31309348825</v>
      </c>
      <c r="AB9" s="2693">
        <v>214576.73590332895</v>
      </c>
      <c r="AC9" s="2693">
        <v>197061.29174402845</v>
      </c>
      <c r="AD9" s="2693">
        <v>215421.99083431941</v>
      </c>
      <c r="AE9" s="2693">
        <v>256647.67218854895</v>
      </c>
      <c r="AF9" s="2693">
        <v>244318.32501912984</v>
      </c>
      <c r="AG9" s="2693">
        <v>234693.81897799906</v>
      </c>
      <c r="AH9" s="2693">
        <v>244729.4278591059</v>
      </c>
      <c r="AI9" s="2693">
        <v>225664.86738175689</v>
      </c>
      <c r="AJ9" s="2693">
        <v>255477.63696131273</v>
      </c>
      <c r="AK9" s="2693">
        <v>236531.39202813068</v>
      </c>
      <c r="AL9" s="2693">
        <v>225124.80026591397</v>
      </c>
      <c r="AM9" s="2693">
        <v>283879.08141400316</v>
      </c>
      <c r="AN9" s="2693">
        <v>234843.01690420299</v>
      </c>
      <c r="AO9" s="2693">
        <v>205561.2392426529</v>
      </c>
      <c r="AP9" s="2693">
        <v>207568.9859124283</v>
      </c>
      <c r="AQ9" s="2693">
        <v>204400.13338413191</v>
      </c>
      <c r="AR9" s="2693">
        <v>219145.13801642432</v>
      </c>
      <c r="AS9" s="2693">
        <v>246491.7131967874</v>
      </c>
      <c r="AT9" s="2693">
        <v>245176.62842063152</v>
      </c>
      <c r="AU9" s="2693">
        <v>194407.40014536094</v>
      </c>
      <c r="AV9" s="2693">
        <v>230644.59981852601</v>
      </c>
      <c r="AW9" s="2693">
        <v>219699.68632026698</v>
      </c>
      <c r="AX9" s="2693">
        <v>195178.54606877576</v>
      </c>
      <c r="AY9" s="2693">
        <v>212937.12251183396</v>
      </c>
      <c r="AZ9" s="2693">
        <v>201790.11719382566</v>
      </c>
      <c r="BA9" s="2693">
        <v>169294.96407640551</v>
      </c>
      <c r="BB9" s="2693">
        <v>241917.44923664318</v>
      </c>
      <c r="BC9" s="2693">
        <v>205747.87492915505</v>
      </c>
      <c r="BD9" s="2693">
        <v>178203.45752290165</v>
      </c>
      <c r="BE9" s="2693">
        <v>281422.00407587102</v>
      </c>
      <c r="BF9" s="2693">
        <v>271277.08158806484</v>
      </c>
      <c r="BG9" s="2693">
        <v>200201.07867607463</v>
      </c>
      <c r="BH9" s="2693">
        <v>303977.25835861987</v>
      </c>
      <c r="BI9" s="2693">
        <v>269971.58544447063</v>
      </c>
    </row>
    <row r="10" spans="1:61" ht="18" customHeight="1" x14ac:dyDescent="0.3">
      <c r="A10" s="2658"/>
      <c r="B10" s="2658"/>
      <c r="C10" s="2724"/>
      <c r="D10" s="2724"/>
      <c r="E10" s="2724"/>
      <c r="F10" s="2724"/>
      <c r="G10" s="2724"/>
      <c r="H10" s="2724"/>
      <c r="I10" s="2724"/>
      <c r="J10" s="2724"/>
      <c r="K10" s="2724"/>
      <c r="L10" s="2724"/>
      <c r="M10" s="2724"/>
      <c r="N10" s="2724"/>
      <c r="O10" s="2724"/>
      <c r="P10" s="2724"/>
      <c r="Q10" s="2724"/>
      <c r="R10" s="2724"/>
      <c r="S10" s="2724"/>
      <c r="T10" s="2724"/>
      <c r="U10" s="2724"/>
      <c r="V10" s="2724"/>
      <c r="W10" s="2724"/>
      <c r="X10" s="2724"/>
      <c r="Y10" s="2724"/>
      <c r="Z10" s="2724"/>
      <c r="AA10" s="2724"/>
      <c r="AB10" s="2724"/>
      <c r="AC10" s="2724"/>
      <c r="AD10" s="2724"/>
      <c r="AE10" s="2724"/>
      <c r="AF10" s="2724"/>
      <c r="AG10" s="2724"/>
      <c r="AH10" s="2724"/>
      <c r="AI10" s="2724"/>
      <c r="AJ10" s="2724"/>
      <c r="AK10" s="2724"/>
      <c r="AL10" s="2724"/>
      <c r="AM10" s="2724"/>
      <c r="AN10" s="2724"/>
      <c r="AO10" s="2724"/>
      <c r="AP10" s="2724"/>
      <c r="AQ10" s="2724"/>
      <c r="AR10" s="2724"/>
      <c r="AS10" s="2724"/>
      <c r="AT10" s="2724"/>
      <c r="AU10" s="2724"/>
      <c r="AV10" s="2724"/>
      <c r="AW10" s="2724"/>
      <c r="AX10" s="2724"/>
      <c r="AY10" s="2724"/>
      <c r="AZ10" s="2724"/>
      <c r="BA10" s="2724"/>
      <c r="BB10" s="2724"/>
      <c r="BC10" s="2724"/>
      <c r="BD10" s="2724"/>
      <c r="BE10" s="2724"/>
      <c r="BF10" s="2724"/>
      <c r="BG10" s="2724"/>
      <c r="BH10" s="2724"/>
      <c r="BI10" s="2724"/>
    </row>
    <row r="11" spans="1:61" ht="18" customHeight="1" x14ac:dyDescent="0.3">
      <c r="A11" s="2655" t="s">
        <v>2510</v>
      </c>
      <c r="B11" s="2655" t="s">
        <v>2521</v>
      </c>
      <c r="C11" s="2687">
        <v>327630.77294823021</v>
      </c>
      <c r="D11" s="2687">
        <v>333470.95698926511</v>
      </c>
      <c r="E11" s="2687">
        <v>350968.38650447491</v>
      </c>
      <c r="F11" s="2687">
        <v>358001.3554269165</v>
      </c>
      <c r="G11" s="2687">
        <v>347437.77768638934</v>
      </c>
      <c r="H11" s="2687"/>
      <c r="I11" s="2687">
        <v>378558.75986836496</v>
      </c>
      <c r="J11" s="2687">
        <v>391934.62651550985</v>
      </c>
      <c r="K11" s="2687">
        <v>405081.47764100193</v>
      </c>
      <c r="L11" s="2687">
        <v>401782.16336970386</v>
      </c>
      <c r="M11" s="2687">
        <v>407728.68482421571</v>
      </c>
      <c r="N11" s="2687">
        <v>428954.61020773958</v>
      </c>
      <c r="O11" s="2687">
        <v>425591.38709617959</v>
      </c>
      <c r="P11" s="2687">
        <v>437209.7122741589</v>
      </c>
      <c r="Q11" s="2687">
        <v>428742.83614877128</v>
      </c>
      <c r="R11" s="2687">
        <v>429917.31513406034</v>
      </c>
      <c r="S11" s="2687">
        <v>439966.34829577862</v>
      </c>
      <c r="T11" s="2687">
        <v>457125.30249846954</v>
      </c>
      <c r="U11" s="2687">
        <v>451719.02531060879</v>
      </c>
      <c r="V11" s="2687">
        <v>436798.7349990005</v>
      </c>
      <c r="W11" s="2687">
        <v>475143.44724685518</v>
      </c>
      <c r="X11" s="2687">
        <v>443092.58729525917</v>
      </c>
      <c r="Y11" s="2687">
        <v>485011.091365517</v>
      </c>
      <c r="Z11" s="2687">
        <v>512902.96428020345</v>
      </c>
      <c r="AA11" s="2687">
        <v>477087.06073245301</v>
      </c>
      <c r="AB11" s="2687">
        <v>478622.81155718985</v>
      </c>
      <c r="AC11" s="2687">
        <v>517588.44899013394</v>
      </c>
      <c r="AD11" s="2687">
        <v>496594.69112318568</v>
      </c>
      <c r="AE11" s="2687">
        <v>516291.06396368064</v>
      </c>
      <c r="AF11" s="2687">
        <v>548018.8807805992</v>
      </c>
      <c r="AG11" s="2687">
        <v>547811.14806034858</v>
      </c>
      <c r="AH11" s="2687">
        <v>556496.38550455507</v>
      </c>
      <c r="AI11" s="2687">
        <v>610796.60265198827</v>
      </c>
      <c r="AJ11" s="2687">
        <v>637782.02522077668</v>
      </c>
      <c r="AK11" s="2687">
        <v>645698.58148050203</v>
      </c>
      <c r="AL11" s="2687">
        <v>653073.31937128503</v>
      </c>
      <c r="AM11" s="2687">
        <v>643795.00258200488</v>
      </c>
      <c r="AN11" s="2687">
        <v>646843.57694699138</v>
      </c>
      <c r="AO11" s="2687">
        <v>695486.31493692368</v>
      </c>
      <c r="AP11" s="2687">
        <v>684770.01668618293</v>
      </c>
      <c r="AQ11" s="2687">
        <v>706685.89987350919</v>
      </c>
      <c r="AR11" s="2687">
        <v>737191.24802956427</v>
      </c>
      <c r="AS11" s="2687">
        <v>712729.17289181298</v>
      </c>
      <c r="AT11" s="2687">
        <v>702389.80182836263</v>
      </c>
      <c r="AU11" s="2687">
        <v>779294.62117749162</v>
      </c>
      <c r="AV11" s="2687">
        <v>785233.4841922397</v>
      </c>
      <c r="AW11" s="2687">
        <v>805399.341610912</v>
      </c>
      <c r="AX11" s="2687">
        <v>824818.00094135269</v>
      </c>
      <c r="AY11" s="2687">
        <v>848526.38493933924</v>
      </c>
      <c r="AZ11" s="2687">
        <v>835362.07866439177</v>
      </c>
      <c r="BA11" s="2687">
        <v>838588.70099916041</v>
      </c>
      <c r="BB11" s="2687">
        <v>880355.06237441848</v>
      </c>
      <c r="BC11" s="2687">
        <v>900635.61085441581</v>
      </c>
      <c r="BD11" s="2687">
        <v>913241.47142854147</v>
      </c>
      <c r="BE11" s="2687">
        <v>895026.2532005118</v>
      </c>
      <c r="BF11" s="2687">
        <v>909093.26481545938</v>
      </c>
      <c r="BG11" s="2687">
        <v>924333.4003100408</v>
      </c>
      <c r="BH11" s="2687">
        <v>845531.22574241587</v>
      </c>
      <c r="BI11" s="2687">
        <v>866580.41874452436</v>
      </c>
    </row>
    <row r="12" spans="1:61" ht="18" customHeight="1" x14ac:dyDescent="0.3">
      <c r="A12" s="2658"/>
      <c r="B12" s="2658"/>
      <c r="C12" s="2724"/>
      <c r="D12" s="2724"/>
      <c r="E12" s="2724"/>
      <c r="F12" s="2724"/>
      <c r="G12" s="2724"/>
      <c r="H12" s="2738"/>
      <c r="I12" s="2724"/>
      <c r="J12" s="2724"/>
      <c r="K12" s="2724"/>
      <c r="L12" s="2724"/>
      <c r="M12" s="2724"/>
      <c r="N12" s="2724"/>
      <c r="O12" s="2724"/>
      <c r="P12" s="2724"/>
      <c r="Q12" s="2724"/>
      <c r="R12" s="2724"/>
      <c r="S12" s="2724"/>
      <c r="T12" s="2724"/>
      <c r="U12" s="2724"/>
      <c r="V12" s="2724"/>
      <c r="W12" s="2724"/>
      <c r="X12" s="2724"/>
      <c r="Y12" s="2724"/>
      <c r="Z12" s="2724"/>
      <c r="AA12" s="2724"/>
      <c r="AB12" s="2724"/>
      <c r="AC12" s="2724"/>
      <c r="AD12" s="2724"/>
      <c r="AE12" s="2724"/>
      <c r="AF12" s="2724"/>
      <c r="AG12" s="2724"/>
      <c r="AH12" s="2724"/>
      <c r="AI12" s="2724"/>
      <c r="AJ12" s="2724"/>
      <c r="AK12" s="2724"/>
      <c r="AL12" s="2724"/>
      <c r="AM12" s="2724"/>
      <c r="AN12" s="2724"/>
      <c r="AO12" s="2724"/>
      <c r="AP12" s="2724"/>
      <c r="AQ12" s="2724"/>
      <c r="AR12" s="2724"/>
      <c r="AS12" s="2724"/>
      <c r="AT12" s="2724"/>
      <c r="AU12" s="2724"/>
      <c r="AV12" s="2724"/>
      <c r="AW12" s="2724"/>
      <c r="AX12" s="2724"/>
      <c r="AY12" s="2724"/>
      <c r="AZ12" s="2724"/>
      <c r="BA12" s="2724"/>
      <c r="BB12" s="2724"/>
      <c r="BC12" s="2724"/>
      <c r="BD12" s="2724"/>
      <c r="BE12" s="2724"/>
      <c r="BF12" s="2724"/>
      <c r="BG12" s="2724"/>
      <c r="BH12" s="2724"/>
      <c r="BI12" s="2724"/>
    </row>
    <row r="13" spans="1:61" ht="18" customHeight="1" x14ac:dyDescent="0.3">
      <c r="A13" s="2655" t="s">
        <v>2520</v>
      </c>
      <c r="B13" s="2655" t="s">
        <v>1057</v>
      </c>
      <c r="C13" s="2687">
        <v>708663.32216151489</v>
      </c>
      <c r="D13" s="2687">
        <v>714853.05679720815</v>
      </c>
      <c r="E13" s="2687">
        <v>708936.49842787953</v>
      </c>
      <c r="F13" s="2687">
        <v>695073.82051677885</v>
      </c>
      <c r="G13" s="2687">
        <v>706937.14946621063</v>
      </c>
      <c r="H13" s="2687"/>
      <c r="I13" s="2687">
        <v>703696.06040598499</v>
      </c>
      <c r="J13" s="2687">
        <v>707155.52268913737</v>
      </c>
      <c r="K13" s="2687">
        <v>726966.39755275915</v>
      </c>
      <c r="L13" s="2687">
        <v>713834.90551463258</v>
      </c>
      <c r="M13" s="2687">
        <v>720257.45068302006</v>
      </c>
      <c r="N13" s="2687">
        <v>723534.62623566575</v>
      </c>
      <c r="O13" s="2687">
        <v>2.5</v>
      </c>
      <c r="P13" s="2687">
        <v>737497.58049775031</v>
      </c>
      <c r="Q13" s="2687">
        <v>728938.52957856865</v>
      </c>
      <c r="R13" s="2687">
        <v>742084.61249075818</v>
      </c>
      <c r="S13" s="2687">
        <v>725572.46814879216</v>
      </c>
      <c r="T13" s="2687">
        <v>757163.5663965448</v>
      </c>
      <c r="U13" s="2687">
        <v>774314.2027293751</v>
      </c>
      <c r="V13" s="2687">
        <v>770110.41535220959</v>
      </c>
      <c r="W13" s="2687">
        <v>759541.87247999141</v>
      </c>
      <c r="X13" s="2687">
        <v>744589.45632046938</v>
      </c>
      <c r="Y13" s="2687">
        <v>738097.06445591967</v>
      </c>
      <c r="Z13" s="2687">
        <v>743072.73715021019</v>
      </c>
      <c r="AA13" s="2687">
        <v>738036.71336475888</v>
      </c>
      <c r="AB13" s="2687">
        <v>738953.76345726592</v>
      </c>
      <c r="AC13" s="2687">
        <v>743370.77964074153</v>
      </c>
      <c r="AD13" s="2687">
        <v>758998.60062403698</v>
      </c>
      <c r="AE13" s="2687">
        <v>751008.20181972231</v>
      </c>
      <c r="AF13" s="2687">
        <v>743331.90548098844</v>
      </c>
      <c r="AG13" s="2687">
        <v>746934.07475244184</v>
      </c>
      <c r="AH13" s="2687">
        <v>751283.01297508541</v>
      </c>
      <c r="AI13" s="2687">
        <v>770982.65160990669</v>
      </c>
      <c r="AJ13" s="2687">
        <v>779965.78535819519</v>
      </c>
      <c r="AK13" s="2687">
        <v>780834.02784882276</v>
      </c>
      <c r="AL13" s="2687">
        <v>768887.7825281308</v>
      </c>
      <c r="AM13" s="2687">
        <v>788027.13580704667</v>
      </c>
      <c r="AN13" s="2687">
        <v>777005.46984721324</v>
      </c>
      <c r="AO13" s="2687">
        <v>789704.59786255576</v>
      </c>
      <c r="AP13" s="2687">
        <v>790970.99994126346</v>
      </c>
      <c r="AQ13" s="2687">
        <v>793833.81095166225</v>
      </c>
      <c r="AR13" s="2687">
        <v>778669.52789549448</v>
      </c>
      <c r="AS13" s="2687">
        <v>772545.21523842704</v>
      </c>
      <c r="AT13" s="2687">
        <v>774508.11397420149</v>
      </c>
      <c r="AU13" s="2687">
        <v>805274.05392581306</v>
      </c>
      <c r="AV13" s="2687">
        <v>795587.74774864246</v>
      </c>
      <c r="AW13" s="2687">
        <v>842823.97048633476</v>
      </c>
      <c r="AX13" s="2687">
        <v>857417.91372486949</v>
      </c>
      <c r="AY13" s="2687">
        <v>877771.25783394463</v>
      </c>
      <c r="AZ13" s="2687">
        <v>904575.29958167148</v>
      </c>
      <c r="BA13" s="2687">
        <v>907471.62746855593</v>
      </c>
      <c r="BB13" s="2687">
        <v>904667.3698317199</v>
      </c>
      <c r="BC13" s="2687">
        <v>909905.73795907153</v>
      </c>
      <c r="BD13" s="2687">
        <v>909792.31004831451</v>
      </c>
      <c r="BE13" s="2687">
        <v>872410.17491276353</v>
      </c>
      <c r="BF13" s="2687">
        <v>873212.8122577942</v>
      </c>
      <c r="BG13" s="2687">
        <v>885795.61312885373</v>
      </c>
      <c r="BH13" s="2687">
        <v>901840.0318246237</v>
      </c>
      <c r="BI13" s="2687">
        <v>884783.25125474751</v>
      </c>
    </row>
    <row r="14" spans="1:61" ht="18" customHeight="1" x14ac:dyDescent="0.3">
      <c r="A14" s="2658"/>
      <c r="B14" s="2658"/>
      <c r="C14" s="2724"/>
      <c r="D14" s="2724"/>
      <c r="E14" s="2724"/>
      <c r="F14" s="2724"/>
      <c r="G14" s="2724"/>
      <c r="H14" s="2724"/>
      <c r="I14" s="2724"/>
      <c r="J14" s="2724"/>
      <c r="K14" s="2724"/>
      <c r="L14" s="2724"/>
      <c r="M14" s="2724"/>
      <c r="N14" s="2724"/>
      <c r="O14" s="2724"/>
      <c r="P14" s="2724"/>
      <c r="Q14" s="2724"/>
      <c r="R14" s="2724"/>
      <c r="S14" s="2724"/>
      <c r="T14" s="2724"/>
      <c r="U14" s="2724"/>
      <c r="V14" s="2724"/>
      <c r="W14" s="2724"/>
      <c r="X14" s="2724"/>
      <c r="Y14" s="2724"/>
      <c r="Z14" s="2724"/>
      <c r="AA14" s="2724"/>
      <c r="AB14" s="2724"/>
      <c r="AC14" s="2724"/>
      <c r="AD14" s="2724"/>
      <c r="AE14" s="2724"/>
      <c r="AF14" s="2724"/>
      <c r="AG14" s="2724"/>
      <c r="AH14" s="2724"/>
      <c r="AI14" s="2724"/>
      <c r="AJ14" s="2724"/>
      <c r="AK14" s="2724"/>
      <c r="AL14" s="2724"/>
      <c r="AM14" s="2724"/>
      <c r="AN14" s="2724"/>
      <c r="AO14" s="2724"/>
      <c r="AP14" s="2724"/>
      <c r="AQ14" s="2724"/>
      <c r="AR14" s="2724"/>
      <c r="AS14" s="2724"/>
      <c r="AT14" s="2724"/>
      <c r="AU14" s="2724"/>
      <c r="AV14" s="2724"/>
      <c r="AW14" s="2724"/>
      <c r="AX14" s="2724"/>
      <c r="AY14" s="2724"/>
      <c r="AZ14" s="2724"/>
      <c r="BA14" s="2724"/>
      <c r="BB14" s="2724"/>
      <c r="BC14" s="2724"/>
      <c r="BD14" s="2724"/>
      <c r="BE14" s="2724"/>
      <c r="BF14" s="2724"/>
      <c r="BG14" s="2724"/>
      <c r="BH14" s="2724"/>
      <c r="BI14" s="2724"/>
    </row>
    <row r="15" spans="1:61" ht="18" customHeight="1" x14ac:dyDescent="0.3">
      <c r="A15" s="2655" t="s">
        <v>2522</v>
      </c>
      <c r="B15" s="2655" t="s">
        <v>2524</v>
      </c>
      <c r="C15" s="2687">
        <v>12589.621973824433</v>
      </c>
      <c r="D15" s="2687">
        <v>13501.139163622658</v>
      </c>
      <c r="E15" s="2687">
        <v>9986.8857277853003</v>
      </c>
      <c r="F15" s="2687">
        <v>10095.495468557454</v>
      </c>
      <c r="G15" s="2687">
        <v>10157.444531889556</v>
      </c>
      <c r="H15" s="2687">
        <v>10317.174743903428</v>
      </c>
      <c r="I15" s="2687">
        <v>10442.953023997045</v>
      </c>
      <c r="J15" s="2687">
        <v>10595.980940939275</v>
      </c>
      <c r="K15" s="2687">
        <v>10682.249386270058</v>
      </c>
      <c r="L15" s="2687">
        <v>10815.073433513482</v>
      </c>
      <c r="M15" s="2687">
        <v>10814.863469248108</v>
      </c>
      <c r="N15" s="2687">
        <v>10762.003978477787</v>
      </c>
      <c r="O15" s="2687">
        <v>10887.902771479756</v>
      </c>
      <c r="P15" s="2687">
        <v>11259.358949235164</v>
      </c>
      <c r="Q15" s="2687">
        <v>10475.26327615134</v>
      </c>
      <c r="R15" s="2687">
        <v>11153.818530420192</v>
      </c>
      <c r="S15" s="2687">
        <v>11047.171624398048</v>
      </c>
      <c r="T15" s="2687">
        <v>10334.929529277169</v>
      </c>
      <c r="U15" s="2687">
        <v>10883.117502628947</v>
      </c>
      <c r="V15" s="2687">
        <v>11116.312514426576</v>
      </c>
      <c r="W15" s="2687">
        <v>10693.066549533531</v>
      </c>
      <c r="X15" s="2687">
        <v>10966.431334722036</v>
      </c>
      <c r="Y15" s="2687">
        <v>11215.085085814488</v>
      </c>
      <c r="Z15" s="2687">
        <v>11084.62098786256</v>
      </c>
      <c r="AA15" s="2687">
        <v>11312.96882757909</v>
      </c>
      <c r="AB15" s="2687">
        <v>12558.066975188196</v>
      </c>
      <c r="AC15" s="2687">
        <v>12661.78356089481</v>
      </c>
      <c r="AD15" s="2687">
        <v>12746.865146142296</v>
      </c>
      <c r="AE15" s="2687">
        <v>12955.693384601209</v>
      </c>
      <c r="AF15" s="2687">
        <v>13065.466101471604</v>
      </c>
      <c r="AG15" s="2687">
        <v>13341.914921079098</v>
      </c>
      <c r="AH15" s="2687">
        <v>13360.014021847001</v>
      </c>
      <c r="AI15" s="2687">
        <v>13680.732517827902</v>
      </c>
      <c r="AJ15" s="2687">
        <v>14083.642294371566</v>
      </c>
      <c r="AK15" s="2687">
        <v>13864.603340186473</v>
      </c>
      <c r="AL15" s="2687">
        <v>14117.421981530832</v>
      </c>
      <c r="AM15" s="2687">
        <v>14094.014399232874</v>
      </c>
      <c r="AN15" s="2687">
        <v>13969.993740310589</v>
      </c>
      <c r="AO15" s="2687">
        <v>14959.501762414087</v>
      </c>
      <c r="AP15" s="2687">
        <v>15860.841682927203</v>
      </c>
      <c r="AQ15" s="2687">
        <v>15862.080878693476</v>
      </c>
      <c r="AR15" s="2687">
        <v>15917.319949142417</v>
      </c>
      <c r="AS15" s="2687">
        <v>16082.139711855611</v>
      </c>
      <c r="AT15" s="2687">
        <v>15280.819784741214</v>
      </c>
      <c r="AU15" s="2687">
        <v>15472.736944308897</v>
      </c>
      <c r="AV15" s="2687">
        <v>15055.200776278798</v>
      </c>
      <c r="AW15" s="2687">
        <v>14861.380046940589</v>
      </c>
      <c r="AX15" s="2687">
        <v>14408.584723002776</v>
      </c>
      <c r="AY15" s="2687">
        <v>14084.553947809829</v>
      </c>
      <c r="AZ15" s="2687">
        <v>13971.761008579295</v>
      </c>
      <c r="BA15" s="2687">
        <v>13982.806766804177</v>
      </c>
      <c r="BB15" s="2687">
        <v>14910.59043219954</v>
      </c>
      <c r="BC15" s="2687">
        <v>15078.90777482026</v>
      </c>
      <c r="BD15" s="2687">
        <v>14771.64724894366</v>
      </c>
      <c r="BE15" s="2687">
        <v>15214.57624767814</v>
      </c>
      <c r="BF15" s="2687">
        <v>15373.745686455459</v>
      </c>
      <c r="BG15" s="2687">
        <v>15229.249592339069</v>
      </c>
      <c r="BH15" s="2687">
        <v>15793.764150650244</v>
      </c>
      <c r="BI15" s="2687">
        <v>16089.092997424608</v>
      </c>
    </row>
    <row r="16" spans="1:61" ht="18" customHeight="1" x14ac:dyDescent="0.3">
      <c r="A16" s="2658"/>
      <c r="B16" s="2662"/>
      <c r="C16" s="2724"/>
      <c r="D16" s="2724"/>
      <c r="E16" s="2724"/>
      <c r="F16" s="2724"/>
      <c r="G16" s="2724"/>
      <c r="H16" s="2724"/>
      <c r="I16" s="2724"/>
      <c r="J16" s="2724"/>
      <c r="K16" s="2724"/>
      <c r="L16" s="2724"/>
      <c r="M16" s="2724"/>
      <c r="N16" s="2724"/>
      <c r="O16" s="2724"/>
      <c r="P16" s="2724"/>
      <c r="Q16" s="2724"/>
      <c r="R16" s="2724"/>
      <c r="S16" s="2724"/>
      <c r="T16" s="2724"/>
      <c r="U16" s="2724"/>
      <c r="V16" s="2724"/>
      <c r="W16" s="2724"/>
      <c r="X16" s="2724"/>
      <c r="Y16" s="2724"/>
      <c r="Z16" s="2724"/>
      <c r="AA16" s="2724"/>
      <c r="AB16" s="2724"/>
      <c r="AC16" s="2724"/>
      <c r="AD16" s="2724"/>
      <c r="AE16" s="2724"/>
      <c r="AF16" s="2724"/>
      <c r="AG16" s="2724"/>
      <c r="AH16" s="2724"/>
      <c r="AI16" s="2724"/>
      <c r="AJ16" s="2724"/>
      <c r="AK16" s="2724"/>
      <c r="AL16" s="2724"/>
      <c r="AM16" s="2724"/>
      <c r="AN16" s="2724"/>
      <c r="AO16" s="2724"/>
      <c r="AP16" s="2724"/>
      <c r="AQ16" s="2724"/>
      <c r="AR16" s="2724"/>
      <c r="AS16" s="2724"/>
      <c r="AT16" s="2724"/>
      <c r="AU16" s="2724"/>
      <c r="AV16" s="2724"/>
      <c r="AW16" s="2724"/>
      <c r="AX16" s="2724"/>
      <c r="AY16" s="2724"/>
      <c r="AZ16" s="2724"/>
      <c r="BA16" s="2724"/>
      <c r="BB16" s="2724"/>
      <c r="BC16" s="2724"/>
      <c r="BD16" s="2724"/>
      <c r="BE16" s="2724"/>
      <c r="BF16" s="2724"/>
      <c r="BG16" s="2724"/>
      <c r="BH16" s="2724"/>
      <c r="BI16" s="2724"/>
    </row>
    <row r="17" spans="1:61" ht="18" customHeight="1" x14ac:dyDescent="0.3">
      <c r="A17" s="2655" t="s">
        <v>2523</v>
      </c>
      <c r="B17" s="2655" t="s">
        <v>2526</v>
      </c>
      <c r="C17" s="2687">
        <v>0.95513000000000003</v>
      </c>
      <c r="D17" s="2687">
        <v>0.51665499999999998</v>
      </c>
      <c r="E17" s="2687">
        <v>0.271646</v>
      </c>
      <c r="F17" s="2687">
        <v>0.45336859999999995</v>
      </c>
      <c r="G17" s="2687">
        <v>0.15168720000000002</v>
      </c>
      <c r="H17" s="2687">
        <v>3.7975800000000004E-2</v>
      </c>
      <c r="I17" s="2687">
        <v>0.11742039999999999</v>
      </c>
      <c r="J17" s="2687">
        <v>3.4548206399999994</v>
      </c>
      <c r="K17" s="2687">
        <v>3.0374739299999995</v>
      </c>
      <c r="L17" s="2687">
        <v>2.6577852200000001</v>
      </c>
      <c r="M17" s="2687">
        <v>2.2780965099999997</v>
      </c>
      <c r="N17" s="2687">
        <v>2.4612918000000001</v>
      </c>
      <c r="O17" s="2687">
        <v>2.2407580899999999</v>
      </c>
      <c r="P17" s="2687">
        <v>1.8249098000000001</v>
      </c>
      <c r="Q17" s="2687">
        <v>1.39630575</v>
      </c>
      <c r="R17" s="2687">
        <v>0.98153430000000008</v>
      </c>
      <c r="S17" s="2687">
        <v>0.98737425000000001</v>
      </c>
      <c r="T17" s="2687">
        <v>0.63828099999999999</v>
      </c>
      <c r="U17" s="2687">
        <v>0.72680915000000001</v>
      </c>
      <c r="V17" s="2687">
        <v>4.3673442900000001</v>
      </c>
      <c r="W17" s="2687">
        <v>3.85214386</v>
      </c>
      <c r="X17" s="2687">
        <v>3.9203265099999998</v>
      </c>
      <c r="Y17" s="2687">
        <v>3.4256261600000002</v>
      </c>
      <c r="Z17" s="2687">
        <v>2.93092481</v>
      </c>
      <c r="AA17" s="2687">
        <v>2.4362414599999997</v>
      </c>
      <c r="AB17" s="2687">
        <v>2.0018861999999999</v>
      </c>
      <c r="AC17" s="2687">
        <v>1.50716691</v>
      </c>
      <c r="AD17" s="2687">
        <v>1.1218504199999999</v>
      </c>
      <c r="AE17" s="2687">
        <v>1.19621793</v>
      </c>
      <c r="AF17" s="2687">
        <v>1.0154459299999998</v>
      </c>
      <c r="AG17" s="2687">
        <v>0.59486348999999994</v>
      </c>
      <c r="AH17" s="2687">
        <v>4.0912923000000001</v>
      </c>
      <c r="AI17" s="2687">
        <v>4.4509865899999994</v>
      </c>
      <c r="AJ17" s="2687">
        <v>4.4329801500000006</v>
      </c>
      <c r="AK17" s="2687">
        <v>3.85208971</v>
      </c>
      <c r="AL17" s="2687">
        <v>3.2711992699999999</v>
      </c>
      <c r="AM17" s="2687">
        <v>2.7392267499999998</v>
      </c>
      <c r="AN17" s="2687">
        <v>1.91387628</v>
      </c>
      <c r="AO17" s="2687">
        <v>1.39623495</v>
      </c>
      <c r="AP17" s="2687">
        <v>0.97472670000000006</v>
      </c>
      <c r="AQ17" s="2687">
        <v>1.0694735099999999</v>
      </c>
      <c r="AR17" s="2687">
        <v>1.8237317900000001</v>
      </c>
      <c r="AS17" s="2687">
        <v>1.5909642500000001</v>
      </c>
      <c r="AT17" s="2687">
        <v>4.8581957100000004</v>
      </c>
      <c r="AU17" s="2687">
        <v>4.2754281699999996</v>
      </c>
      <c r="AV17" s="2687">
        <v>4.25554363</v>
      </c>
      <c r="AW17" s="2687">
        <v>3.6727760899999997</v>
      </c>
      <c r="AX17" s="2687">
        <v>3.1938167499999999</v>
      </c>
      <c r="AY17" s="2687">
        <v>2.6398054200000001</v>
      </c>
      <c r="AZ17" s="2687">
        <v>2.0538468500000002</v>
      </c>
      <c r="BA17" s="2687">
        <v>1.4609379899999999</v>
      </c>
      <c r="BB17" s="2687">
        <v>1.0101003900000001</v>
      </c>
      <c r="BC17" s="2687">
        <v>0.58604442000000001</v>
      </c>
      <c r="BD17" s="2687">
        <v>1.8272291000000001</v>
      </c>
      <c r="BE17" s="2687">
        <v>5.4372572799999999</v>
      </c>
      <c r="BF17" s="2687">
        <v>4.8472854600000002</v>
      </c>
      <c r="BG17" s="2687">
        <v>4.2573136399999996</v>
      </c>
      <c r="BH17" s="2687">
        <v>4.4023048200000003</v>
      </c>
      <c r="BI17" s="2687">
        <v>3.8082419999999999</v>
      </c>
    </row>
    <row r="18" spans="1:61" ht="18" customHeight="1" x14ac:dyDescent="0.3">
      <c r="A18" s="2658"/>
      <c r="B18" s="2658"/>
      <c r="C18" s="2724"/>
      <c r="D18" s="2724"/>
      <c r="E18" s="2724"/>
      <c r="F18" s="2724"/>
      <c r="G18" s="2724"/>
      <c r="H18" s="2724"/>
      <c r="I18" s="2724"/>
      <c r="J18" s="2724"/>
      <c r="K18" s="2724"/>
      <c r="L18" s="2724"/>
      <c r="M18" s="2724"/>
      <c r="N18" s="2724"/>
      <c r="O18" s="2724"/>
      <c r="P18" s="2724"/>
      <c r="Q18" s="2724"/>
      <c r="R18" s="2724"/>
      <c r="S18" s="2724"/>
      <c r="T18" s="2724"/>
      <c r="U18" s="2724"/>
      <c r="V18" s="2724"/>
      <c r="W18" s="2724"/>
      <c r="X18" s="2724"/>
      <c r="Y18" s="2724"/>
      <c r="Z18" s="2724"/>
      <c r="AA18" s="2724"/>
      <c r="AB18" s="2724"/>
      <c r="AC18" s="2724"/>
      <c r="AD18" s="2724"/>
      <c r="AE18" s="2724"/>
      <c r="AF18" s="2724"/>
      <c r="AG18" s="2724"/>
      <c r="AH18" s="2724"/>
      <c r="AI18" s="2724"/>
      <c r="AJ18" s="2724"/>
      <c r="AK18" s="2724"/>
      <c r="AL18" s="2724"/>
      <c r="AM18" s="2724"/>
      <c r="AN18" s="2724"/>
      <c r="AO18" s="2724"/>
      <c r="AP18" s="2724"/>
      <c r="AQ18" s="2724"/>
      <c r="AR18" s="2724"/>
      <c r="AS18" s="2724"/>
      <c r="AT18" s="2724"/>
      <c r="AU18" s="2724"/>
      <c r="AV18" s="2724"/>
      <c r="AW18" s="2724"/>
      <c r="AX18" s="2724"/>
      <c r="AY18" s="2724"/>
      <c r="AZ18" s="2724"/>
      <c r="BA18" s="2724"/>
      <c r="BB18" s="2724"/>
      <c r="BC18" s="2724"/>
      <c r="BD18" s="2724"/>
      <c r="BE18" s="2724"/>
      <c r="BF18" s="2724"/>
      <c r="BG18" s="2724"/>
      <c r="BH18" s="2724"/>
      <c r="BI18" s="2724"/>
    </row>
    <row r="19" spans="1:61" ht="18" customHeight="1" x14ac:dyDescent="0.3">
      <c r="A19" s="2655" t="s">
        <v>2525</v>
      </c>
      <c r="B19" s="2655" t="s">
        <v>2605</v>
      </c>
      <c r="C19" s="2687">
        <v>3378.8780669142157</v>
      </c>
      <c r="D19" s="2687">
        <v>2932.9963831550385</v>
      </c>
      <c r="E19" s="2687">
        <v>2650.1482004206027</v>
      </c>
      <c r="F19" s="2687">
        <v>2969.9703730723818</v>
      </c>
      <c r="G19" s="2687">
        <v>2891.4075156859453</v>
      </c>
      <c r="H19" s="2687">
        <v>3367.1146153100922</v>
      </c>
      <c r="I19" s="2687">
        <v>3135.2813071736273</v>
      </c>
      <c r="J19" s="2687">
        <v>3229.0768150738986</v>
      </c>
      <c r="K19" s="2687">
        <v>2677.9320068139214</v>
      </c>
      <c r="L19" s="2687">
        <v>3061.3047592178323</v>
      </c>
      <c r="M19" s="2687">
        <v>3375.4478817152722</v>
      </c>
      <c r="N19" s="2687">
        <v>4224.2087275010272</v>
      </c>
      <c r="O19" s="2687">
        <v>3575.6638802794705</v>
      </c>
      <c r="P19" s="2687">
        <v>3382.3977550478248</v>
      </c>
      <c r="Q19" s="2687">
        <v>2349.3868171397153</v>
      </c>
      <c r="R19" s="2687">
        <v>2099.6772200230771</v>
      </c>
      <c r="S19" s="2687">
        <v>2628.8716981202579</v>
      </c>
      <c r="T19" s="2687">
        <v>4930.0215133975844</v>
      </c>
      <c r="U19" s="2687">
        <v>4807.553876408836</v>
      </c>
      <c r="V19" s="2687">
        <v>4199.6506607678239</v>
      </c>
      <c r="W19" s="2687">
        <v>4112.7434605618328</v>
      </c>
      <c r="X19" s="2687">
        <v>4683.8504888224052</v>
      </c>
      <c r="Y19" s="2687">
        <v>4658.9992741215865</v>
      </c>
      <c r="Z19" s="2687">
        <v>4190.6287963194291</v>
      </c>
      <c r="AA19" s="2687">
        <v>3938.8512725084115</v>
      </c>
      <c r="AB19" s="2687">
        <v>2999.3717479872739</v>
      </c>
      <c r="AC19" s="2687">
        <v>2749.7532059051605</v>
      </c>
      <c r="AD19" s="2687">
        <v>2380.0018681140828</v>
      </c>
      <c r="AE19" s="2687">
        <v>3200.6897223084206</v>
      </c>
      <c r="AF19" s="2687">
        <v>4014.7991485580919</v>
      </c>
      <c r="AG19" s="2687">
        <v>3600.793245135902</v>
      </c>
      <c r="AH19" s="2687">
        <v>3473.5743224381781</v>
      </c>
      <c r="AI19" s="2687">
        <v>3578.4465937215859</v>
      </c>
      <c r="AJ19" s="2687">
        <v>2864.6504146204347</v>
      </c>
      <c r="AK19" s="2687">
        <v>2245.3185109850751</v>
      </c>
      <c r="AL19" s="2687">
        <v>2986.62155512755</v>
      </c>
      <c r="AM19" s="2687">
        <v>2551.4804127206976</v>
      </c>
      <c r="AN19" s="2687">
        <v>2871.6172360078181</v>
      </c>
      <c r="AO19" s="2687">
        <v>2450.7890614069415</v>
      </c>
      <c r="AP19" s="2687">
        <v>2578.0110010162566</v>
      </c>
      <c r="AQ19" s="2687">
        <v>3219.4995619170936</v>
      </c>
      <c r="AR19" s="2687">
        <v>4186.559686724876</v>
      </c>
      <c r="AS19" s="2687">
        <v>3774.4791054034795</v>
      </c>
      <c r="AT19" s="2687">
        <v>2956.2754556416007</v>
      </c>
      <c r="AU19" s="2687">
        <v>3759.2295274516378</v>
      </c>
      <c r="AV19" s="2687">
        <v>3169.7915749379449</v>
      </c>
      <c r="AW19" s="2687">
        <v>3925.5597039009649</v>
      </c>
      <c r="AX19" s="2687">
        <v>4535.0084935781133</v>
      </c>
      <c r="AY19" s="2687">
        <v>4571.1331126733194</v>
      </c>
      <c r="AZ19" s="2687">
        <v>3996.7730959439946</v>
      </c>
      <c r="BA19" s="2687">
        <v>3843.5433813934355</v>
      </c>
      <c r="BB19" s="2687">
        <v>3887.1489866648726</v>
      </c>
      <c r="BC19" s="2687">
        <v>4262.4690565366864</v>
      </c>
      <c r="BD19" s="2687">
        <v>4479.2739591117106</v>
      </c>
      <c r="BE19" s="2687">
        <v>4187.8941171944243</v>
      </c>
      <c r="BF19" s="2687">
        <v>3529.5217581596594</v>
      </c>
      <c r="BG19" s="2687">
        <v>5154.0410205675198</v>
      </c>
      <c r="BH19" s="2687">
        <v>5285.9339278336802</v>
      </c>
      <c r="BI19" s="2687">
        <v>4865.3473686469806</v>
      </c>
    </row>
    <row r="20" spans="1:61" ht="18" customHeight="1" x14ac:dyDescent="0.3">
      <c r="A20" s="2658"/>
      <c r="B20" s="2658"/>
      <c r="C20" s="2724"/>
      <c r="D20" s="2724"/>
      <c r="E20" s="2724"/>
      <c r="F20" s="2724"/>
      <c r="G20" s="2724"/>
      <c r="H20" s="2724"/>
      <c r="I20" s="2724"/>
      <c r="J20" s="2737"/>
      <c r="K20" s="2724"/>
      <c r="L20" s="2724"/>
      <c r="M20" s="2724"/>
      <c r="N20" s="2724"/>
      <c r="O20" s="2724"/>
      <c r="P20" s="2724"/>
      <c r="Q20" s="2724"/>
      <c r="R20" s="2724"/>
      <c r="S20" s="2724"/>
      <c r="T20" s="2724"/>
      <c r="U20" s="2724"/>
      <c r="V20" s="2724"/>
      <c r="W20" s="2724"/>
      <c r="X20" s="2724"/>
      <c r="Y20" s="2724"/>
      <c r="Z20" s="2724"/>
      <c r="AA20" s="2724"/>
      <c r="AB20" s="2724"/>
      <c r="AC20" s="2724"/>
      <c r="AD20" s="2724"/>
      <c r="AE20" s="2724"/>
      <c r="AF20" s="2724"/>
      <c r="AG20" s="2724"/>
      <c r="AH20" s="2724"/>
      <c r="AI20" s="2724"/>
      <c r="AJ20" s="2724"/>
      <c r="AK20" s="2724"/>
      <c r="AL20" s="2724"/>
      <c r="AM20" s="2724"/>
      <c r="AN20" s="2724"/>
      <c r="AO20" s="2724"/>
      <c r="AP20" s="2724"/>
      <c r="AQ20" s="2724"/>
      <c r="AR20" s="2724"/>
      <c r="AS20" s="2724"/>
      <c r="AT20" s="2724"/>
      <c r="AU20" s="2724"/>
      <c r="AV20" s="2724"/>
      <c r="AW20" s="2724"/>
      <c r="AX20" s="2724"/>
      <c r="AY20" s="2724"/>
      <c r="AZ20" s="2724"/>
      <c r="BA20" s="2724"/>
      <c r="BB20" s="2724"/>
      <c r="BC20" s="2724"/>
      <c r="BD20" s="2724"/>
      <c r="BE20" s="2724"/>
      <c r="BF20" s="2724"/>
      <c r="BG20" s="2724"/>
      <c r="BH20" s="2724"/>
      <c r="BI20" s="2724"/>
    </row>
    <row r="21" spans="1:61" ht="18" customHeight="1" x14ac:dyDescent="0.3">
      <c r="A21" s="2655" t="s">
        <v>2527</v>
      </c>
      <c r="B21" s="2655" t="s">
        <v>2530</v>
      </c>
      <c r="C21" s="2687">
        <v>18289.7377199316</v>
      </c>
      <c r="D21" s="2687">
        <v>18531.338464533754</v>
      </c>
      <c r="E21" s="2687">
        <v>18732.710484892854</v>
      </c>
      <c r="F21" s="2687">
        <v>20039.300555723112</v>
      </c>
      <c r="G21" s="2687">
        <v>20983.391607779791</v>
      </c>
      <c r="H21" s="2687">
        <v>20755.545287421188</v>
      </c>
      <c r="I21" s="2687">
        <v>21360.917207643412</v>
      </c>
      <c r="J21" s="2687">
        <v>21323.566380670076</v>
      </c>
      <c r="K21" s="2687">
        <v>20894.190283456344</v>
      </c>
      <c r="L21" s="2687">
        <v>26862.800825862385</v>
      </c>
      <c r="M21" s="2687">
        <v>21187.486951186085</v>
      </c>
      <c r="N21" s="2687">
        <v>14639.014583998007</v>
      </c>
      <c r="O21" s="2687">
        <v>14145.547727686602</v>
      </c>
      <c r="P21" s="2687">
        <v>14212.696913129383</v>
      </c>
      <c r="Q21" s="2687">
        <v>16529.130292814971</v>
      </c>
      <c r="R21" s="2687">
        <v>19230.367793946702</v>
      </c>
      <c r="S21" s="2687">
        <v>17211.770114607003</v>
      </c>
      <c r="T21" s="2687">
        <v>18699.621971386547</v>
      </c>
      <c r="U21" s="2687">
        <v>22900.243540468615</v>
      </c>
      <c r="V21" s="2687">
        <v>23356.552178490336</v>
      </c>
      <c r="W21" s="2687">
        <v>27522.830986509831</v>
      </c>
      <c r="X21" s="2687">
        <v>27424.096393829073</v>
      </c>
      <c r="Y21" s="2687">
        <v>29718.811612509584</v>
      </c>
      <c r="Z21" s="2687">
        <v>31100.577334530215</v>
      </c>
      <c r="AA21" s="2687">
        <v>31516.621495166641</v>
      </c>
      <c r="AB21" s="2687">
        <v>33984.053832075377</v>
      </c>
      <c r="AC21" s="2687">
        <v>26184.934130451598</v>
      </c>
      <c r="AD21" s="2687">
        <v>28596.524654639939</v>
      </c>
      <c r="AE21" s="2687">
        <v>22759.069891967243</v>
      </c>
      <c r="AF21" s="2687">
        <v>26689.239121048708</v>
      </c>
      <c r="AG21" s="2687">
        <v>29029.647423100727</v>
      </c>
      <c r="AH21" s="2687">
        <v>34100.819920358503</v>
      </c>
      <c r="AI21" s="2687">
        <v>26690.577081480093</v>
      </c>
      <c r="AJ21" s="2687">
        <v>25686.749289914744</v>
      </c>
      <c r="AK21" s="2687">
        <v>26840.667104565342</v>
      </c>
      <c r="AL21" s="2687">
        <v>31349.997912435963</v>
      </c>
      <c r="AM21" s="2687">
        <v>25111.053068970723</v>
      </c>
      <c r="AN21" s="2687">
        <v>27600.904920740821</v>
      </c>
      <c r="AO21" s="2687">
        <v>29430.820677465421</v>
      </c>
      <c r="AP21" s="2687">
        <v>31096.620123994904</v>
      </c>
      <c r="AQ21" s="2687">
        <v>34766.525676277372</v>
      </c>
      <c r="AR21" s="2687">
        <v>33150.378944411641</v>
      </c>
      <c r="AS21" s="2687">
        <v>28113.370648527307</v>
      </c>
      <c r="AT21" s="2687">
        <v>28106.150376214267</v>
      </c>
      <c r="AU21" s="2687">
        <v>25092.010701313306</v>
      </c>
      <c r="AV21" s="2687">
        <v>23694.617515071575</v>
      </c>
      <c r="AW21" s="2687">
        <v>21789.093767259299</v>
      </c>
      <c r="AX21" s="2687">
        <v>25357.533199240279</v>
      </c>
      <c r="AY21" s="2687">
        <v>22927.075483911736</v>
      </c>
      <c r="AZ21" s="2687">
        <v>27876.787767450205</v>
      </c>
      <c r="BA21" s="2687">
        <v>26211.663023015248</v>
      </c>
      <c r="BB21" s="2687">
        <v>27571.201775253925</v>
      </c>
      <c r="BC21" s="2687">
        <v>30800.884713412648</v>
      </c>
      <c r="BD21" s="2687">
        <v>27643.184331038512</v>
      </c>
      <c r="BE21" s="2687">
        <v>28343.161896758131</v>
      </c>
      <c r="BF21" s="2687">
        <v>28297.974897397213</v>
      </c>
      <c r="BG21" s="2687">
        <v>28317.578166060797</v>
      </c>
      <c r="BH21" s="2687">
        <v>31308.557035739992</v>
      </c>
      <c r="BI21" s="2687">
        <v>33571.085591541836</v>
      </c>
    </row>
    <row r="22" spans="1:61" ht="18" customHeight="1" x14ac:dyDescent="0.3">
      <c r="A22" s="2658"/>
      <c r="B22" s="2658"/>
      <c r="C22" s="2724"/>
      <c r="D22" s="2724"/>
      <c r="E22" s="2724"/>
      <c r="F22" s="2724"/>
      <c r="G22" s="2724"/>
      <c r="H22" s="2724"/>
      <c r="I22" s="2724"/>
      <c r="J22" s="2724"/>
      <c r="K22" s="2724"/>
      <c r="L22" s="2724"/>
      <c r="M22" s="2724"/>
      <c r="N22" s="2724"/>
      <c r="O22" s="2724"/>
      <c r="P22" s="2724"/>
      <c r="Q22" s="2724"/>
      <c r="R22" s="2724"/>
      <c r="S22" s="2724"/>
      <c r="T22" s="2724"/>
      <c r="U22" s="2724"/>
      <c r="V22" s="2724"/>
      <c r="W22" s="2724"/>
      <c r="X22" s="2724"/>
      <c r="Y22" s="2724"/>
      <c r="Z22" s="2724"/>
      <c r="AA22" s="2724"/>
      <c r="AB22" s="2724"/>
      <c r="AC22" s="2724"/>
      <c r="AD22" s="2724"/>
      <c r="AE22" s="2724"/>
      <c r="AF22" s="2724"/>
      <c r="AG22" s="2724"/>
      <c r="AH22" s="2724"/>
      <c r="AI22" s="2724"/>
      <c r="AJ22" s="2724"/>
      <c r="AK22" s="2724"/>
      <c r="AL22" s="2724"/>
      <c r="AM22" s="2724"/>
      <c r="AN22" s="2724"/>
      <c r="AO22" s="2724"/>
      <c r="AP22" s="2724"/>
      <c r="AQ22" s="2724"/>
      <c r="AR22" s="2724"/>
      <c r="AS22" s="2724"/>
      <c r="AT22" s="2724"/>
      <c r="AU22" s="2724"/>
      <c r="AV22" s="2724"/>
      <c r="AW22" s="2724"/>
      <c r="AX22" s="2724"/>
      <c r="AY22" s="2724"/>
      <c r="AZ22" s="2724"/>
      <c r="BA22" s="2724"/>
      <c r="BB22" s="2724"/>
      <c r="BC22" s="2724"/>
      <c r="BD22" s="2724"/>
      <c r="BE22" s="2724"/>
      <c r="BF22" s="2724"/>
      <c r="BG22" s="2724"/>
      <c r="BH22" s="2724"/>
      <c r="BI22" s="2724"/>
    </row>
    <row r="23" spans="1:61" ht="18" customHeight="1" x14ac:dyDescent="0.3">
      <c r="A23" s="2655" t="s">
        <v>2529</v>
      </c>
      <c r="B23" s="2655" t="s">
        <v>2532</v>
      </c>
      <c r="C23" s="2687">
        <v>19918.84060933378</v>
      </c>
      <c r="D23" s="2687">
        <v>19793.738816110912</v>
      </c>
      <c r="E23" s="2687">
        <v>19502.920810957148</v>
      </c>
      <c r="F23" s="2687">
        <v>19826.797090898621</v>
      </c>
      <c r="G23" s="2687">
        <v>19851.66699253345</v>
      </c>
      <c r="H23" s="2687">
        <v>19809.586836777344</v>
      </c>
      <c r="I23" s="2687">
        <v>20136.779614027611</v>
      </c>
      <c r="J23" s="2687">
        <v>20102.263299321057</v>
      </c>
      <c r="K23" s="2687">
        <v>20754.093584223141</v>
      </c>
      <c r="L23" s="2687">
        <v>20821.943737714642</v>
      </c>
      <c r="M23" s="2687">
        <v>20757.411965260166</v>
      </c>
      <c r="N23" s="2687">
        <v>20630.005100791495</v>
      </c>
      <c r="O23" s="2687">
        <v>20665.145343683598</v>
      </c>
      <c r="P23" s="2687">
        <v>20692.466032615976</v>
      </c>
      <c r="Q23" s="2687">
        <v>20860.336030294729</v>
      </c>
      <c r="R23" s="2687">
        <v>21009.798673796155</v>
      </c>
      <c r="S23" s="2687">
        <v>20358.444687026633</v>
      </c>
      <c r="T23" s="2687">
        <v>20426.125178461436</v>
      </c>
      <c r="U23" s="2687">
        <v>20368.388080721408</v>
      </c>
      <c r="V23" s="2687">
        <v>20271.269841371017</v>
      </c>
      <c r="W23" s="2687">
        <v>20445.022383573232</v>
      </c>
      <c r="X23" s="2687">
        <v>20356.65256009224</v>
      </c>
      <c r="Y23" s="2687">
        <v>20211.16389614368</v>
      </c>
      <c r="Z23" s="2687">
        <v>20765.457407220048</v>
      </c>
      <c r="AA23" s="2687">
        <v>20612.723230758544</v>
      </c>
      <c r="AB23" s="2687">
        <v>20715.562516214693</v>
      </c>
      <c r="AC23" s="2687">
        <v>20713.876709667355</v>
      </c>
      <c r="AD23" s="2687">
        <v>20844.062111273764</v>
      </c>
      <c r="AE23" s="2687">
        <v>20791.0496230557</v>
      </c>
      <c r="AF23" s="2687">
        <v>20453.591110802179</v>
      </c>
      <c r="AG23" s="2687">
        <v>20433.232731025724</v>
      </c>
      <c r="AH23" s="2687">
        <v>20358.870805537379</v>
      </c>
      <c r="AI23" s="2687">
        <v>20768.30233559621</v>
      </c>
      <c r="AJ23" s="2687">
        <v>20831.599795186045</v>
      </c>
      <c r="AK23" s="2687">
        <v>20865.791671881285</v>
      </c>
      <c r="AL23" s="2687">
        <v>20417.564313566618</v>
      </c>
      <c r="AM23" s="2687">
        <v>20737.280528637704</v>
      </c>
      <c r="AN23" s="2687">
        <v>20695.424998016279</v>
      </c>
      <c r="AO23" s="2687">
        <v>20917.534740257885</v>
      </c>
      <c r="AP23" s="2687">
        <v>20672.45451084249</v>
      </c>
      <c r="AQ23" s="2687">
        <v>20459.726946347837</v>
      </c>
      <c r="AR23" s="2687">
        <v>21140.562157268509</v>
      </c>
      <c r="AS23" s="2687">
        <v>20945.82989214472</v>
      </c>
      <c r="AT23" s="2687">
        <v>20996.4041883719</v>
      </c>
      <c r="AU23" s="2687">
        <v>21611.120326390203</v>
      </c>
      <c r="AV23" s="2687">
        <v>21516.276337933661</v>
      </c>
      <c r="AW23" s="2687">
        <v>21348.085065201409</v>
      </c>
      <c r="AX23" s="2687">
        <v>21142.192127309198</v>
      </c>
      <c r="AY23" s="2687">
        <v>21024.722226185091</v>
      </c>
      <c r="AZ23" s="2687">
        <v>20880.326326302828</v>
      </c>
      <c r="BA23" s="2687">
        <v>20941.052990515273</v>
      </c>
      <c r="BB23" s="2687">
        <v>20985.934118619087</v>
      </c>
      <c r="BC23" s="2687">
        <v>21088.941485145213</v>
      </c>
      <c r="BD23" s="2687">
        <v>21033.702931826247</v>
      </c>
      <c r="BE23" s="2687">
        <v>21508.107210379301</v>
      </c>
      <c r="BF23" s="2687">
        <v>21712.825659916612</v>
      </c>
      <c r="BG23" s="2687">
        <v>22428.089020106312</v>
      </c>
      <c r="BH23" s="2687">
        <v>22510.494862451949</v>
      </c>
      <c r="BI23" s="2687">
        <v>22516.344370133345</v>
      </c>
    </row>
    <row r="24" spans="1:61" ht="18" customHeight="1" x14ac:dyDescent="0.3">
      <c r="A24" s="2658"/>
      <c r="B24" s="2658"/>
      <c r="C24" s="2693"/>
      <c r="D24" s="2693"/>
      <c r="E24" s="2693"/>
      <c r="F24" s="2693"/>
      <c r="G24" s="2693"/>
      <c r="H24" s="2693"/>
      <c r="I24" s="2693"/>
      <c r="J24" s="2693"/>
      <c r="K24" s="2693"/>
      <c r="L24" s="2693"/>
      <c r="M24" s="2693"/>
      <c r="N24" s="2693"/>
      <c r="O24" s="2693"/>
      <c r="P24" s="2693"/>
      <c r="Q24" s="2693"/>
      <c r="R24" s="2693"/>
      <c r="S24" s="2693"/>
      <c r="T24" s="2693"/>
      <c r="U24" s="2693"/>
      <c r="V24" s="2693"/>
      <c r="W24" s="2693"/>
      <c r="X24" s="2693"/>
      <c r="Y24" s="2693"/>
      <c r="Z24" s="2693"/>
      <c r="AA24" s="2693"/>
      <c r="AB24" s="2693"/>
      <c r="AC24" s="2693"/>
      <c r="AD24" s="2693"/>
      <c r="AE24" s="2693"/>
      <c r="AF24" s="2693"/>
      <c r="AG24" s="2693"/>
      <c r="AH24" s="2693"/>
      <c r="AI24" s="2693"/>
      <c r="AJ24" s="2693"/>
      <c r="AK24" s="2693"/>
      <c r="AL24" s="2693"/>
      <c r="AM24" s="2693"/>
      <c r="AN24" s="2693"/>
      <c r="AO24" s="2693"/>
      <c r="AP24" s="2693"/>
      <c r="AQ24" s="2693"/>
      <c r="AR24" s="2693"/>
      <c r="AS24" s="2693"/>
      <c r="AT24" s="2693"/>
      <c r="AU24" s="2693"/>
      <c r="AV24" s="2693"/>
      <c r="AW24" s="2693"/>
      <c r="AX24" s="2693"/>
      <c r="AY24" s="2693"/>
      <c r="AZ24" s="2693"/>
      <c r="BA24" s="2693"/>
      <c r="BB24" s="2693"/>
      <c r="BC24" s="2693"/>
      <c r="BD24" s="2693"/>
      <c r="BE24" s="2693"/>
      <c r="BF24" s="2693"/>
      <c r="BG24" s="2693"/>
      <c r="BH24" s="2693"/>
      <c r="BI24" s="2693"/>
    </row>
    <row r="25" spans="1:61" ht="18" customHeight="1" x14ac:dyDescent="0.3">
      <c r="A25" s="2655"/>
      <c r="B25" s="2655" t="s">
        <v>1060</v>
      </c>
      <c r="C25" s="2687">
        <v>1442854.7873532013</v>
      </c>
      <c r="D25" s="2687">
        <v>1431004.0784307574</v>
      </c>
      <c r="E25" s="2687">
        <v>1426987.6991797793</v>
      </c>
      <c r="F25" s="2687">
        <v>1425209.1189981895</v>
      </c>
      <c r="G25" s="2687">
        <v>1488939.5327645554</v>
      </c>
      <c r="H25" s="2687">
        <v>1461968.1325112148</v>
      </c>
      <c r="I25" s="2687">
        <v>1484035.0126414124</v>
      </c>
      <c r="J25" s="2687">
        <v>1471221.2085063227</v>
      </c>
      <c r="K25" s="2687">
        <v>1496168.5232964717</v>
      </c>
      <c r="L25" s="2687">
        <v>1538888.0175060567</v>
      </c>
      <c r="M25" s="2687">
        <v>1512886.0680474716</v>
      </c>
      <c r="N25" s="2687">
        <v>1526308.5790609831</v>
      </c>
      <c r="O25" s="2687">
        <v>1560046.1357815252</v>
      </c>
      <c r="P25" s="2687">
        <v>1632155.9296344912</v>
      </c>
      <c r="Q25" s="2687">
        <v>1609856.0074068117</v>
      </c>
      <c r="R25" s="2687">
        <v>1628752.1161587897</v>
      </c>
      <c r="S25" s="2687">
        <v>1635742.93366608</v>
      </c>
      <c r="T25" s="2687">
        <v>1672833.5335122608</v>
      </c>
      <c r="U25" s="2687">
        <v>1711486.2835230052</v>
      </c>
      <c r="V25" s="2687">
        <v>1716554.2107688864</v>
      </c>
      <c r="W25" s="2687">
        <v>1752563.5036218658</v>
      </c>
      <c r="X25" s="2687">
        <v>1716425.5431310988</v>
      </c>
      <c r="Y25" s="2687">
        <v>1806944.4742650189</v>
      </c>
      <c r="Z25" s="2687">
        <v>1798130.6869903747</v>
      </c>
      <c r="AA25" s="2687">
        <v>1728879.5621765761</v>
      </c>
      <c r="AB25" s="2687">
        <v>1775492.0938700542</v>
      </c>
      <c r="AC25" s="2687">
        <v>1777775.4618145225</v>
      </c>
      <c r="AD25" s="2687">
        <v>1840980.9713685343</v>
      </c>
      <c r="AE25" s="2687">
        <v>1879557.5931145863</v>
      </c>
      <c r="AF25" s="2687">
        <v>1906303.6215457108</v>
      </c>
      <c r="AG25" s="2687">
        <v>1866061.3392797611</v>
      </c>
      <c r="AH25" s="2687">
        <v>1941191.2782894478</v>
      </c>
      <c r="AI25" s="2687">
        <v>1977329.0500506256</v>
      </c>
      <c r="AJ25" s="2687">
        <v>1964112.9931089722</v>
      </c>
      <c r="AK25" s="2687">
        <v>2022741.7910805962</v>
      </c>
      <c r="AL25" s="2687">
        <v>2016829.3750793759</v>
      </c>
      <c r="AM25" s="2687">
        <v>2034543.6660322875</v>
      </c>
      <c r="AN25" s="2687">
        <v>2015640.6357800597</v>
      </c>
      <c r="AO25" s="2687">
        <v>2088011.2120157809</v>
      </c>
      <c r="AP25" s="2687">
        <v>2037627.8973447762</v>
      </c>
      <c r="AQ25" s="2687">
        <v>2089515.1811317343</v>
      </c>
      <c r="AR25" s="2687">
        <v>2123539.0159884193</v>
      </c>
      <c r="AS25" s="2687">
        <v>2096703.0039129376</v>
      </c>
      <c r="AT25" s="2687">
        <v>2077566.6416509913</v>
      </c>
      <c r="AU25" s="2687">
        <v>2127649.2043202296</v>
      </c>
      <c r="AV25" s="2687">
        <v>2145534.1895902301</v>
      </c>
      <c r="AW25" s="2687">
        <v>2185814.0149965528</v>
      </c>
      <c r="AX25" s="2687">
        <v>2243315.7739306735</v>
      </c>
      <c r="AY25" s="2687">
        <v>2244942.6347060259</v>
      </c>
      <c r="AZ25" s="2687">
        <v>2301604.829637629</v>
      </c>
      <c r="BA25" s="2687">
        <v>2258087.7510249973</v>
      </c>
      <c r="BB25" s="2687">
        <v>2341239.2328687389</v>
      </c>
      <c r="BC25" s="2687">
        <v>2440375.6911824541</v>
      </c>
      <c r="BD25" s="2687">
        <v>2317533.0302749574</v>
      </c>
      <c r="BE25" s="2687">
        <v>2344885.1516313143</v>
      </c>
      <c r="BF25" s="2687">
        <v>2338862.8453901275</v>
      </c>
      <c r="BG25" s="2687">
        <v>2326526.6221824954</v>
      </c>
      <c r="BH25" s="2687">
        <v>2409789.3261636714</v>
      </c>
      <c r="BI25" s="2687">
        <v>2351775.9396833372</v>
      </c>
    </row>
    <row r="26" spans="1:61" thickBot="1" x14ac:dyDescent="0.35">
      <c r="A26" s="2663"/>
      <c r="B26" s="2663"/>
      <c r="C26" s="2727"/>
      <c r="D26" s="2727"/>
      <c r="E26" s="2727"/>
      <c r="F26" s="2727"/>
      <c r="G26" s="2727"/>
      <c r="H26" s="2727"/>
      <c r="I26" s="2727"/>
      <c r="J26" s="2727"/>
      <c r="K26" s="2727"/>
      <c r="L26" s="2727"/>
      <c r="M26" s="2727"/>
      <c r="N26" s="2727"/>
      <c r="O26" s="2727"/>
      <c r="P26" s="2727"/>
      <c r="Q26" s="2727"/>
      <c r="R26" s="2727"/>
      <c r="S26" s="2727"/>
      <c r="T26" s="2727"/>
      <c r="U26" s="2727"/>
      <c r="V26" s="2727"/>
      <c r="W26" s="2727"/>
      <c r="X26" s="2727"/>
      <c r="Y26" s="2727"/>
      <c r="Z26" s="2727"/>
      <c r="AA26" s="2727"/>
      <c r="AB26" s="2727"/>
      <c r="AC26" s="2727"/>
      <c r="AD26" s="2727"/>
      <c r="AE26" s="2727"/>
      <c r="AF26" s="2727"/>
      <c r="AG26" s="2727"/>
      <c r="AH26" s="2727"/>
      <c r="AI26" s="2727"/>
      <c r="AJ26" s="2727"/>
      <c r="AK26" s="2727"/>
      <c r="AL26" s="2727"/>
      <c r="AM26" s="2727"/>
      <c r="AN26" s="2727"/>
      <c r="AO26" s="2727"/>
      <c r="AP26" s="2727"/>
      <c r="AQ26" s="2727"/>
      <c r="AR26" s="2727"/>
      <c r="AS26" s="2727"/>
      <c r="AT26" s="2727"/>
      <c r="AU26" s="2727"/>
      <c r="AV26" s="2727"/>
      <c r="AW26" s="2727"/>
      <c r="AX26" s="2727"/>
      <c r="AY26" s="2727"/>
      <c r="AZ26" s="2727"/>
      <c r="BA26" s="2727"/>
      <c r="BB26" s="2727"/>
      <c r="BC26" s="2727"/>
      <c r="BD26" s="2727"/>
      <c r="BE26" s="2727"/>
      <c r="BF26" s="2727"/>
      <c r="BG26" s="2727"/>
      <c r="BH26" s="2727"/>
      <c r="BI26" s="2727"/>
    </row>
    <row r="27" spans="1:61" ht="18" hidden="1" thickTop="1" x14ac:dyDescent="0.3">
      <c r="A27" s="2728"/>
      <c r="B27" s="2728"/>
      <c r="C27" s="2729"/>
      <c r="D27" s="2729"/>
      <c r="E27" s="2729"/>
      <c r="F27" s="2729"/>
      <c r="G27" s="2729"/>
      <c r="H27" s="2729"/>
      <c r="I27" s="2729"/>
      <c r="J27" s="2729"/>
      <c r="K27" s="2729"/>
      <c r="L27" s="2729"/>
      <c r="M27" s="2729"/>
      <c r="N27" s="2729"/>
      <c r="O27" s="2729"/>
      <c r="P27" s="2729"/>
      <c r="Q27" s="2729"/>
      <c r="R27" s="2729"/>
      <c r="S27" s="2729"/>
      <c r="T27" s="2729"/>
      <c r="U27" s="2729"/>
      <c r="V27" s="2729"/>
      <c r="W27" s="2729"/>
      <c r="X27" s="2729"/>
      <c r="Y27" s="2729"/>
      <c r="Z27" s="2729"/>
      <c r="AA27" s="2729"/>
      <c r="AB27" s="2729"/>
      <c r="AC27" s="2729"/>
      <c r="AD27" s="2729"/>
      <c r="AE27" s="2729"/>
      <c r="AF27" s="2729"/>
      <c r="AG27" s="2729"/>
      <c r="AH27" s="2729"/>
      <c r="AI27" s="2729"/>
      <c r="AJ27" s="2729"/>
      <c r="AK27" s="2729"/>
      <c r="AL27" s="2729"/>
      <c r="AM27" s="2729"/>
      <c r="AN27" s="2729"/>
      <c r="AO27" s="2729"/>
      <c r="AP27" s="2729"/>
      <c r="AQ27" s="2729"/>
      <c r="AR27" s="2729"/>
      <c r="AS27" s="2729"/>
      <c r="AT27" s="2729"/>
      <c r="AU27" s="2729"/>
      <c r="AV27" s="2729"/>
      <c r="AW27" s="2729"/>
      <c r="AX27" s="2729"/>
      <c r="AY27" s="2729"/>
      <c r="AZ27" s="2729"/>
      <c r="BA27" s="2729"/>
      <c r="BB27" s="2729"/>
      <c r="BC27" s="2729"/>
      <c r="BD27" s="2729"/>
      <c r="BE27" s="2729"/>
      <c r="BF27" s="2729"/>
      <c r="BG27" s="2729"/>
      <c r="BH27" s="2729"/>
      <c r="BI27" s="2729"/>
    </row>
    <row r="28" spans="1:61" ht="18" thickTop="1" x14ac:dyDescent="0.3">
      <c r="A28" s="2649"/>
      <c r="B28" s="2649"/>
      <c r="C28" s="2729"/>
      <c r="D28" s="2729"/>
      <c r="E28" s="2729"/>
      <c r="F28" s="2729"/>
      <c r="G28" s="2729"/>
      <c r="H28" s="2729"/>
      <c r="I28" s="2729"/>
      <c r="J28" s="2729"/>
      <c r="K28" s="2729"/>
      <c r="L28" s="2729"/>
      <c r="M28" s="2729"/>
      <c r="N28" s="2729"/>
      <c r="O28" s="2729"/>
      <c r="P28" s="2729"/>
      <c r="Q28" s="2729"/>
      <c r="R28" s="2729"/>
      <c r="S28" s="2729"/>
      <c r="T28" s="2729"/>
      <c r="U28" s="2729"/>
      <c r="V28" s="2729"/>
      <c r="W28" s="2729"/>
      <c r="X28" s="2729"/>
      <c r="Y28" s="2729"/>
      <c r="Z28" s="2729"/>
      <c r="AA28" s="2729"/>
      <c r="AB28" s="2729"/>
      <c r="AC28" s="2729"/>
      <c r="AD28" s="2729"/>
      <c r="AE28" s="2729"/>
      <c r="AF28" s="2729"/>
      <c r="AG28" s="2729"/>
      <c r="AH28" s="2729"/>
      <c r="AI28" s="2729"/>
      <c r="AJ28" s="2729"/>
      <c r="AK28" s="2729"/>
      <c r="AL28" s="2729"/>
      <c r="AM28" s="2729"/>
      <c r="AN28" s="2729"/>
      <c r="AO28" s="2729"/>
      <c r="AP28" s="2729"/>
      <c r="AQ28" s="2729"/>
      <c r="AR28" s="2729"/>
      <c r="AS28" s="2729"/>
      <c r="AT28" s="2729"/>
      <c r="AU28" s="2729"/>
      <c r="AV28" s="2729"/>
      <c r="AW28" s="2729"/>
      <c r="AX28" s="2729"/>
      <c r="AY28" s="2729"/>
      <c r="AZ28" s="2729"/>
      <c r="BA28" s="2729"/>
      <c r="BB28" s="2729"/>
      <c r="BC28" s="2729"/>
      <c r="BD28" s="2729"/>
      <c r="BE28" s="2729"/>
      <c r="BF28" s="2729"/>
      <c r="BG28" s="2729"/>
      <c r="BH28" s="2729"/>
      <c r="BI28" s="2729"/>
    </row>
    <row r="29" spans="1:61" ht="18" thickBot="1" x14ac:dyDescent="0.35">
      <c r="A29" s="2730"/>
      <c r="B29" s="2730"/>
      <c r="C29" s="2731"/>
      <c r="D29" s="2731"/>
      <c r="E29" s="2731"/>
      <c r="F29" s="2731"/>
      <c r="G29" s="2731"/>
      <c r="H29" s="2731"/>
      <c r="I29" s="2731"/>
      <c r="J29" s="2731"/>
      <c r="K29" s="2731"/>
      <c r="S29" s="1694"/>
      <c r="X29" s="1694"/>
      <c r="AE29" s="1694"/>
      <c r="AR29" s="1694"/>
      <c r="AS29" s="1694"/>
      <c r="AT29" s="1694"/>
      <c r="AU29" s="1694"/>
      <c r="AV29" s="1694"/>
      <c r="AW29" s="1694"/>
      <c r="AX29" s="1694"/>
      <c r="AY29" s="1694"/>
      <c r="AZ29" s="1694"/>
      <c r="BA29" s="1694"/>
      <c r="BB29" s="1694"/>
      <c r="BC29" s="1694"/>
      <c r="BD29" s="1694"/>
      <c r="BE29" s="1694"/>
      <c r="BF29" s="1694"/>
      <c r="BG29" s="1694"/>
      <c r="BH29" s="1694"/>
      <c r="BI29" s="1694" t="s">
        <v>281</v>
      </c>
    </row>
    <row r="30" spans="1:61" ht="24" customHeight="1" thickTop="1" thickBot="1" x14ac:dyDescent="0.35">
      <c r="A30" s="2651" t="s">
        <v>2502</v>
      </c>
      <c r="B30" s="2651" t="s">
        <v>791</v>
      </c>
      <c r="C30" s="2723">
        <v>43374</v>
      </c>
      <c r="D30" s="2723">
        <v>43405</v>
      </c>
      <c r="E30" s="2723">
        <v>43435</v>
      </c>
      <c r="F30" s="2723">
        <v>43466</v>
      </c>
      <c r="G30" s="2723">
        <v>43497</v>
      </c>
      <c r="H30" s="2723">
        <v>43525</v>
      </c>
      <c r="I30" s="2723">
        <v>43556</v>
      </c>
      <c r="J30" s="2723">
        <v>43586</v>
      </c>
      <c r="K30" s="2723">
        <v>43617</v>
      </c>
      <c r="L30" s="2723">
        <v>43647</v>
      </c>
      <c r="M30" s="2723">
        <v>43678</v>
      </c>
      <c r="N30" s="2723">
        <v>43709</v>
      </c>
      <c r="O30" s="2723">
        <v>43739</v>
      </c>
      <c r="P30" s="2723">
        <v>43770</v>
      </c>
      <c r="Q30" s="2723">
        <v>43800</v>
      </c>
      <c r="R30" s="2723">
        <v>43831</v>
      </c>
      <c r="S30" s="2652" t="s">
        <v>2590</v>
      </c>
      <c r="T30" s="2652" t="s">
        <v>477</v>
      </c>
      <c r="U30" s="2652" t="s">
        <v>2591</v>
      </c>
      <c r="V30" s="2652" t="s">
        <v>2592</v>
      </c>
      <c r="W30" s="2652" t="s">
        <v>2630</v>
      </c>
      <c r="X30" s="2652" t="s">
        <v>314</v>
      </c>
      <c r="Y30" s="2652" t="s">
        <v>315</v>
      </c>
      <c r="Z30" s="2652" t="s">
        <v>316</v>
      </c>
      <c r="AA30" s="2652" t="s">
        <v>317</v>
      </c>
      <c r="AB30" s="2652">
        <v>44136</v>
      </c>
      <c r="AC30" s="2652">
        <v>44166</v>
      </c>
      <c r="AD30" s="2652">
        <v>44197</v>
      </c>
      <c r="AE30" s="2652" t="s">
        <v>321</v>
      </c>
      <c r="AF30" s="2652" t="s">
        <v>2594</v>
      </c>
      <c r="AG30" s="2652" t="s">
        <v>2620</v>
      </c>
      <c r="AH30" s="2652" t="s">
        <v>483</v>
      </c>
      <c r="AI30" s="2652" t="s">
        <v>484</v>
      </c>
      <c r="AJ30" s="2652" t="s">
        <v>2596</v>
      </c>
      <c r="AK30" s="2652" t="s">
        <v>2597</v>
      </c>
      <c r="AL30" s="2652" t="s">
        <v>2606</v>
      </c>
      <c r="AM30" s="2652" t="s">
        <v>485</v>
      </c>
      <c r="AN30" s="2652" t="s">
        <v>2625</v>
      </c>
      <c r="AO30" s="2652" t="s">
        <v>2626</v>
      </c>
      <c r="AP30" s="2652">
        <v>44562</v>
      </c>
      <c r="AQ30" s="2652">
        <v>44593</v>
      </c>
      <c r="AR30" s="2652">
        <v>44621</v>
      </c>
      <c r="AS30" s="2652">
        <v>44652</v>
      </c>
      <c r="AT30" s="2652">
        <v>44682</v>
      </c>
      <c r="AU30" s="2652">
        <v>44713</v>
      </c>
      <c r="AV30" s="2652">
        <v>44743</v>
      </c>
      <c r="AW30" s="2652">
        <v>44774</v>
      </c>
      <c r="AX30" s="2652">
        <v>44805</v>
      </c>
      <c r="AY30" s="2652">
        <v>44835</v>
      </c>
      <c r="AZ30" s="2652">
        <v>44866</v>
      </c>
      <c r="BA30" s="2652">
        <v>44896</v>
      </c>
      <c r="BB30" s="2652">
        <v>44927</v>
      </c>
      <c r="BC30" s="2652">
        <v>44958</v>
      </c>
      <c r="BD30" s="2652">
        <v>44986</v>
      </c>
      <c r="BE30" s="2652" t="s">
        <v>2599</v>
      </c>
      <c r="BF30" s="2652">
        <v>45047</v>
      </c>
      <c r="BG30" s="2652">
        <v>45078</v>
      </c>
      <c r="BH30" s="2652">
        <v>45108</v>
      </c>
      <c r="BI30" s="2652">
        <v>45139</v>
      </c>
    </row>
    <row r="31" spans="1:61" ht="18" customHeight="1" thickTop="1" x14ac:dyDescent="0.3">
      <c r="A31" s="2658"/>
      <c r="B31" s="2658"/>
      <c r="C31" s="2732"/>
      <c r="D31" s="2732"/>
      <c r="E31" s="2732"/>
      <c r="F31" s="2732"/>
      <c r="G31" s="2732"/>
      <c r="H31" s="2732"/>
      <c r="I31" s="2732"/>
      <c r="J31" s="2732"/>
      <c r="K31" s="2732"/>
      <c r="L31" s="2732"/>
      <c r="M31" s="2732"/>
      <c r="N31" s="2732"/>
      <c r="O31" s="2732"/>
      <c r="P31" s="2732"/>
      <c r="Q31" s="2732"/>
      <c r="R31" s="2732"/>
      <c r="S31" s="2732"/>
      <c r="T31" s="2732"/>
      <c r="U31" s="2732"/>
      <c r="V31" s="2732"/>
      <c r="W31" s="2732"/>
      <c r="X31" s="2732"/>
      <c r="Y31" s="2732"/>
      <c r="Z31" s="2732"/>
      <c r="AA31" s="2732"/>
      <c r="AB31" s="2732"/>
      <c r="AC31" s="2732"/>
      <c r="AD31" s="2732"/>
      <c r="AE31" s="2732"/>
      <c r="AF31" s="2732"/>
      <c r="AG31" s="2732"/>
      <c r="AH31" s="2732"/>
      <c r="AI31" s="2732"/>
      <c r="AJ31" s="2732"/>
      <c r="AK31" s="2732"/>
      <c r="AL31" s="2732"/>
      <c r="AM31" s="2732"/>
      <c r="AN31" s="2732"/>
      <c r="AO31" s="2732"/>
      <c r="AP31" s="2732"/>
      <c r="AQ31" s="2732"/>
      <c r="AR31" s="2732"/>
      <c r="AS31" s="2732"/>
      <c r="AT31" s="2732"/>
      <c r="AU31" s="2732"/>
      <c r="AV31" s="2732"/>
      <c r="AW31" s="2732"/>
      <c r="AX31" s="2732"/>
      <c r="AY31" s="2732"/>
      <c r="AZ31" s="2732"/>
      <c r="BA31" s="2732"/>
      <c r="BB31" s="2732"/>
      <c r="BC31" s="2732"/>
      <c r="BD31" s="2732"/>
      <c r="BE31" s="2732"/>
      <c r="BF31" s="2732"/>
      <c r="BG31" s="2732"/>
      <c r="BH31" s="2732"/>
      <c r="BI31" s="2732"/>
    </row>
    <row r="32" spans="1:61" ht="18" customHeight="1" x14ac:dyDescent="0.3">
      <c r="A32" s="2655" t="s">
        <v>2533</v>
      </c>
      <c r="B32" s="2655" t="s">
        <v>2607</v>
      </c>
      <c r="C32" s="2687">
        <v>1051160.5352396581</v>
      </c>
      <c r="D32" s="2687">
        <v>1033570.7125977722</v>
      </c>
      <c r="E32" s="2687">
        <v>1041107.4834335888</v>
      </c>
      <c r="F32" s="2687">
        <v>1033098.8824459699</v>
      </c>
      <c r="G32" s="2687">
        <v>1100562.3472724084</v>
      </c>
      <c r="H32" s="2687">
        <v>1056512.3854441678</v>
      </c>
      <c r="I32" s="2687">
        <v>1082628.8585385482</v>
      </c>
      <c r="J32" s="2687">
        <v>1070652.4859890849</v>
      </c>
      <c r="K32" s="2687">
        <v>1074893.8616714706</v>
      </c>
      <c r="L32" s="2687">
        <v>1108506.4029164489</v>
      </c>
      <c r="M32" s="2687">
        <v>1088051.3559337589</v>
      </c>
      <c r="N32" s="2687">
        <v>1100129.5053014948</v>
      </c>
      <c r="O32" s="2687">
        <v>1144583.4055570974</v>
      </c>
      <c r="P32" s="2687">
        <v>1208883.7112167208</v>
      </c>
      <c r="Q32" s="2687">
        <v>1192704.0178021726</v>
      </c>
      <c r="R32" s="2687">
        <v>1208092.4380902678</v>
      </c>
      <c r="S32" s="2687">
        <v>1230751.3021474928</v>
      </c>
      <c r="T32" s="2687">
        <v>1242485.5107749403</v>
      </c>
      <c r="U32" s="2687">
        <v>1247736.837276577</v>
      </c>
      <c r="V32" s="2687">
        <v>1256779.4967781764</v>
      </c>
      <c r="W32" s="2687">
        <v>1282077.1290441372</v>
      </c>
      <c r="X32" s="2687">
        <v>1252911.7232373424</v>
      </c>
      <c r="Y32" s="2687">
        <v>1342410.3516278488</v>
      </c>
      <c r="Z32" s="2687">
        <v>1336185.3259706206</v>
      </c>
      <c r="AA32" s="2687">
        <v>1284367.0341368448</v>
      </c>
      <c r="AB32" s="2687">
        <v>1327797.436550712</v>
      </c>
      <c r="AC32" s="2687">
        <v>1340240.1016579561</v>
      </c>
      <c r="AD32" s="2687">
        <v>1392883.7455535845</v>
      </c>
      <c r="AE32" s="2687">
        <v>1419578.304316937</v>
      </c>
      <c r="AF32" s="2687">
        <v>1445583.3067657605</v>
      </c>
      <c r="AG32" s="2687">
        <v>1413517.2596441875</v>
      </c>
      <c r="AH32" s="2687">
        <v>1491267.0801790867</v>
      </c>
      <c r="AI32" s="2687">
        <v>1507792.5006075304</v>
      </c>
      <c r="AJ32" s="2687">
        <v>1500327.4383804877</v>
      </c>
      <c r="AK32" s="2687">
        <v>1547945.6038304402</v>
      </c>
      <c r="AL32" s="2687">
        <v>1579990.9393519037</v>
      </c>
      <c r="AM32" s="2687">
        <v>1584044.4863182327</v>
      </c>
      <c r="AN32" s="2687">
        <v>1564111.9608842633</v>
      </c>
      <c r="AO32" s="2687">
        <v>1616231.7452052634</v>
      </c>
      <c r="AP32" s="2687">
        <v>1558212.7838511169</v>
      </c>
      <c r="AQ32" s="2687">
        <v>1613926.3257943995</v>
      </c>
      <c r="AR32" s="2687">
        <v>1646251.77333633</v>
      </c>
      <c r="AS32" s="2687">
        <v>1626633.1679518416</v>
      </c>
      <c r="AT32" s="2687">
        <v>1605177.3889530718</v>
      </c>
      <c r="AU32" s="2687">
        <v>1630213.9399951848</v>
      </c>
      <c r="AV32" s="2687">
        <v>1632987.1394013686</v>
      </c>
      <c r="AW32" s="2687">
        <v>1646639.8859665422</v>
      </c>
      <c r="AX32" s="2687">
        <v>1678511.9569984353</v>
      </c>
      <c r="AY32" s="2687">
        <v>1667494.4477166119</v>
      </c>
      <c r="AZ32" s="2687">
        <v>1723442.476596571</v>
      </c>
      <c r="BA32" s="2687">
        <v>1707549.2851191908</v>
      </c>
      <c r="BB32" s="2687">
        <v>1752267.8651883835</v>
      </c>
      <c r="BC32" s="2687">
        <v>1802628.1818770012</v>
      </c>
      <c r="BD32" s="2687">
        <v>1751130.1704427376</v>
      </c>
      <c r="BE32" s="2687">
        <v>1760312.027145138</v>
      </c>
      <c r="BF32" s="2687">
        <v>1757198.0688418979</v>
      </c>
      <c r="BG32" s="2687">
        <v>1745665.5623082453</v>
      </c>
      <c r="BH32" s="2687">
        <v>1821491.87143848</v>
      </c>
      <c r="BI32" s="2687">
        <v>1744563.398373351</v>
      </c>
    </row>
    <row r="33" spans="1:61" ht="18" customHeight="1" x14ac:dyDescent="0.3">
      <c r="A33" s="2658" t="s">
        <v>2608</v>
      </c>
      <c r="B33" s="2658" t="s">
        <v>2609</v>
      </c>
      <c r="C33" s="2693">
        <v>684016.11894296249</v>
      </c>
      <c r="D33" s="2693">
        <v>682378.04571106599</v>
      </c>
      <c r="E33" s="2693">
        <v>690891.10797815153</v>
      </c>
      <c r="F33" s="2693">
        <v>683455.39443433646</v>
      </c>
      <c r="G33" s="2693">
        <v>734607.71920019027</v>
      </c>
      <c r="H33" s="2693">
        <v>713130.30463240796</v>
      </c>
      <c r="I33" s="2693">
        <v>732804.11482553033</v>
      </c>
      <c r="J33" s="2693">
        <v>725006.83099447738</v>
      </c>
      <c r="K33" s="2693">
        <v>725875.24979446107</v>
      </c>
      <c r="L33" s="2693">
        <v>746384.07412294135</v>
      </c>
      <c r="M33" s="2693">
        <v>735631.1107674815</v>
      </c>
      <c r="N33" s="2693">
        <v>731605.02390251122</v>
      </c>
      <c r="O33" s="2693">
        <v>770243.14127152518</v>
      </c>
      <c r="P33" s="2693">
        <v>836476.11776609824</v>
      </c>
      <c r="Q33" s="2693">
        <v>815485.01336853555</v>
      </c>
      <c r="R33" s="2693">
        <v>822451.47965343355</v>
      </c>
      <c r="S33" s="2693">
        <v>841107.24794872652</v>
      </c>
      <c r="T33" s="2693">
        <v>870101.32714155549</v>
      </c>
      <c r="U33" s="2693">
        <v>885748.23622033582</v>
      </c>
      <c r="V33" s="2693">
        <v>887641.56076104497</v>
      </c>
      <c r="W33" s="2693">
        <v>909407.36061140278</v>
      </c>
      <c r="X33" s="2693">
        <v>883729.07255011238</v>
      </c>
      <c r="Y33" s="2693">
        <v>980849.72483544645</v>
      </c>
      <c r="Z33" s="2693">
        <v>946543.53277816495</v>
      </c>
      <c r="AA33" s="2693">
        <v>921364.93943594652</v>
      </c>
      <c r="AB33" s="2693">
        <v>954684.68506130739</v>
      </c>
      <c r="AC33" s="2693">
        <v>950398.87402759143</v>
      </c>
      <c r="AD33" s="2693">
        <v>1007112.6728638929</v>
      </c>
      <c r="AE33" s="2693">
        <v>1015434.695668649</v>
      </c>
      <c r="AF33" s="2693">
        <v>1044998.1454919098</v>
      </c>
      <c r="AG33" s="2693">
        <v>1014626.5152618177</v>
      </c>
      <c r="AH33" s="2693">
        <v>1077278.9773685916</v>
      </c>
      <c r="AI33" s="2693">
        <v>1097509.3418378225</v>
      </c>
      <c r="AJ33" s="2693">
        <v>1090209.9288943661</v>
      </c>
      <c r="AK33" s="2693">
        <v>1121843.497728613</v>
      </c>
      <c r="AL33" s="2693">
        <v>1144326.4261812151</v>
      </c>
      <c r="AM33" s="2693">
        <v>1151648.9093914253</v>
      </c>
      <c r="AN33" s="2693">
        <v>1150657.8782428182</v>
      </c>
      <c r="AO33" s="2693">
        <v>1193254.334872172</v>
      </c>
      <c r="AP33" s="2693">
        <v>1150968.7398866145</v>
      </c>
      <c r="AQ33" s="2693">
        <v>1200947.8359743452</v>
      </c>
      <c r="AR33" s="2693">
        <v>1224556.0029449824</v>
      </c>
      <c r="AS33" s="2693">
        <v>1230058.5657656603</v>
      </c>
      <c r="AT33" s="2693">
        <v>1208836.8899762407</v>
      </c>
      <c r="AU33" s="2693">
        <v>1204889.8556838133</v>
      </c>
      <c r="AV33" s="2693">
        <v>1207946.9512709205</v>
      </c>
      <c r="AW33" s="2693">
        <v>1210471.2291564534</v>
      </c>
      <c r="AX33" s="2693">
        <v>1224629.9512922417</v>
      </c>
      <c r="AY33" s="2693">
        <v>1206105.9608079032</v>
      </c>
      <c r="AZ33" s="2693">
        <v>1221899.8589617598</v>
      </c>
      <c r="BA33" s="2693">
        <v>1147797.2546504354</v>
      </c>
      <c r="BB33" s="2693">
        <v>1204937.3283249417</v>
      </c>
      <c r="BC33" s="2693">
        <v>1229165.8624704415</v>
      </c>
      <c r="BD33" s="2693">
        <v>1173312.4148411974</v>
      </c>
      <c r="BE33" s="2693">
        <v>1182618.4998079021</v>
      </c>
      <c r="BF33" s="2693">
        <v>1154497.7084942027</v>
      </c>
      <c r="BG33" s="2693">
        <v>1150443.2319674327</v>
      </c>
      <c r="BH33" s="2693">
        <v>1209454.7665059003</v>
      </c>
      <c r="BI33" s="2693">
        <v>1130520.7734147378</v>
      </c>
    </row>
    <row r="34" spans="1:61" ht="18" customHeight="1" x14ac:dyDescent="0.3">
      <c r="A34" s="2658" t="s">
        <v>2610</v>
      </c>
      <c r="B34" s="2658" t="s">
        <v>2611</v>
      </c>
      <c r="C34" s="2693">
        <v>367144.41629669559</v>
      </c>
      <c r="D34" s="2693">
        <v>351192.66688670591</v>
      </c>
      <c r="E34" s="2693">
        <v>350216.37545543717</v>
      </c>
      <c r="F34" s="2693">
        <v>349643.48801163351</v>
      </c>
      <c r="G34" s="2693">
        <v>365954.62807221804</v>
      </c>
      <c r="H34" s="2693">
        <v>343382.08081175981</v>
      </c>
      <c r="I34" s="2693">
        <v>349824.74371301755</v>
      </c>
      <c r="J34" s="2693">
        <v>345645.65499460738</v>
      </c>
      <c r="K34" s="2693">
        <v>349018.61187700985</v>
      </c>
      <c r="L34" s="2693">
        <v>362122.32879350748</v>
      </c>
      <c r="M34" s="2693">
        <v>352420.24516627751</v>
      </c>
      <c r="N34" s="2693">
        <v>368524.48139898363</v>
      </c>
      <c r="O34" s="2693">
        <v>374340.26428557228</v>
      </c>
      <c r="P34" s="2693">
        <v>372407.5934506224</v>
      </c>
      <c r="Q34" s="2693">
        <v>377219.0044336369</v>
      </c>
      <c r="R34" s="2693">
        <v>385640.95843683422</v>
      </c>
      <c r="S34" s="2693">
        <v>389644.05419876624</v>
      </c>
      <c r="T34" s="2693">
        <v>372384.18363338447</v>
      </c>
      <c r="U34" s="2693">
        <v>361988.60105624102</v>
      </c>
      <c r="V34" s="2693">
        <v>369137.93601713137</v>
      </c>
      <c r="W34" s="2693">
        <v>372669.76843273448</v>
      </c>
      <c r="X34" s="2693">
        <v>369182.65068722982</v>
      </c>
      <c r="Y34" s="2693">
        <v>361560.62679240271</v>
      </c>
      <c r="Z34" s="2693">
        <v>389641.79319245537</v>
      </c>
      <c r="AA34" s="2693">
        <v>363002.09470089845</v>
      </c>
      <c r="AB34" s="2693">
        <v>373112.75148940471</v>
      </c>
      <c r="AC34" s="2693">
        <v>389841.22763036448</v>
      </c>
      <c r="AD34" s="2693">
        <v>385771.07268969185</v>
      </c>
      <c r="AE34" s="2693">
        <v>404143.60864828806</v>
      </c>
      <c r="AF34" s="2693">
        <v>400585.16127385129</v>
      </c>
      <c r="AG34" s="2693">
        <v>398890.74438236974</v>
      </c>
      <c r="AH34" s="2693">
        <v>413988.10281049518</v>
      </c>
      <c r="AI34" s="2693">
        <v>410283.15876970784</v>
      </c>
      <c r="AJ34" s="2693">
        <v>410117.50948612159</v>
      </c>
      <c r="AK34" s="2693">
        <v>426102.10610182723</v>
      </c>
      <c r="AL34" s="2693">
        <v>435664.51317068847</v>
      </c>
      <c r="AM34" s="2693">
        <v>432395.57692680717</v>
      </c>
      <c r="AN34" s="2693">
        <v>413454.08264144533</v>
      </c>
      <c r="AO34" s="2693">
        <v>422977.41033309174</v>
      </c>
      <c r="AP34" s="2693">
        <v>407244.04396450263</v>
      </c>
      <c r="AQ34" s="2693">
        <v>412978.48982005415</v>
      </c>
      <c r="AR34" s="2693">
        <v>421695.77039134805</v>
      </c>
      <c r="AS34" s="2693">
        <v>396574.6021861817</v>
      </c>
      <c r="AT34" s="2693">
        <v>396340.49897683068</v>
      </c>
      <c r="AU34" s="2693">
        <v>425324.08431137167</v>
      </c>
      <c r="AV34" s="2693">
        <v>425040.18813044822</v>
      </c>
      <c r="AW34" s="2693">
        <v>436168.65681008913</v>
      </c>
      <c r="AX34" s="2693">
        <v>453882.00570619345</v>
      </c>
      <c r="AY34" s="2693">
        <v>461388.48690870882</v>
      </c>
      <c r="AZ34" s="2693">
        <v>501542.61763481144</v>
      </c>
      <c r="BA34" s="2693">
        <v>559752.03046875575</v>
      </c>
      <c r="BB34" s="2693">
        <v>547330.53686344204</v>
      </c>
      <c r="BC34" s="2693">
        <v>573462.31940656004</v>
      </c>
      <c r="BD34" s="2693">
        <v>577817.75560153974</v>
      </c>
      <c r="BE34" s="2693">
        <v>577693.52733723586</v>
      </c>
      <c r="BF34" s="2693">
        <v>602700.36034769518</v>
      </c>
      <c r="BG34" s="2693">
        <v>595222.33034081233</v>
      </c>
      <c r="BH34" s="2693">
        <v>612037.10493257991</v>
      </c>
      <c r="BI34" s="2693">
        <v>614042.62495861342</v>
      </c>
    </row>
    <row r="35" spans="1:61" ht="18" customHeight="1" x14ac:dyDescent="0.3">
      <c r="A35" s="2658"/>
      <c r="B35" s="2658"/>
      <c r="C35" s="2732"/>
      <c r="D35" s="2732"/>
      <c r="E35" s="2732"/>
      <c r="F35" s="2732"/>
      <c r="G35" s="2732"/>
      <c r="H35" s="2732"/>
      <c r="I35" s="2732"/>
      <c r="J35" s="2732"/>
      <c r="K35" s="2732"/>
      <c r="L35" s="2732"/>
      <c r="M35" s="2732"/>
      <c r="N35" s="2732"/>
      <c r="O35" s="2732"/>
      <c r="P35" s="2732"/>
      <c r="Q35" s="2732"/>
      <c r="R35" s="2732"/>
      <c r="S35" s="2732"/>
      <c r="T35" s="2732"/>
      <c r="U35" s="2732"/>
      <c r="V35" s="2732"/>
      <c r="W35" s="2732"/>
      <c r="X35" s="2732"/>
      <c r="Y35" s="2732"/>
      <c r="Z35" s="2732"/>
      <c r="AA35" s="2732"/>
      <c r="AB35" s="2732"/>
      <c r="AC35" s="2732"/>
      <c r="AD35" s="2732"/>
      <c r="AE35" s="2732"/>
      <c r="AF35" s="2732"/>
      <c r="AG35" s="2732"/>
      <c r="AH35" s="2732"/>
      <c r="AI35" s="2732"/>
      <c r="AJ35" s="2732"/>
      <c r="AK35" s="2732"/>
      <c r="AL35" s="2732"/>
      <c r="AM35" s="2732"/>
      <c r="AN35" s="2732"/>
      <c r="AO35" s="2732"/>
      <c r="AP35" s="2732"/>
      <c r="AQ35" s="2732"/>
      <c r="AR35" s="2732"/>
      <c r="AS35" s="2732"/>
      <c r="AT35" s="2732"/>
      <c r="AU35" s="2732"/>
      <c r="AV35" s="2732"/>
      <c r="AW35" s="2732"/>
      <c r="AX35" s="2732"/>
      <c r="AY35" s="2732"/>
      <c r="AZ35" s="2732"/>
      <c r="BA35" s="2732"/>
      <c r="BB35" s="2732"/>
      <c r="BC35" s="2732"/>
      <c r="BD35" s="2732"/>
      <c r="BE35" s="2732"/>
      <c r="BF35" s="2732"/>
      <c r="BG35" s="2732"/>
      <c r="BH35" s="2732"/>
      <c r="BI35" s="2732"/>
    </row>
    <row r="36" spans="1:61" ht="18" customHeight="1" x14ac:dyDescent="0.3">
      <c r="A36" s="2655" t="s">
        <v>2534</v>
      </c>
      <c r="B36" s="2655" t="s">
        <v>2521</v>
      </c>
      <c r="C36" s="2687">
        <v>10396.875698402895</v>
      </c>
      <c r="D36" s="2687">
        <v>10472.513971288818</v>
      </c>
      <c r="E36" s="2687">
        <v>9552.8629273608403</v>
      </c>
      <c r="F36" s="2687">
        <v>13987.50867411193</v>
      </c>
      <c r="G36" s="2687">
        <v>13862.469159942078</v>
      </c>
      <c r="H36" s="2687">
        <v>15163.428913594504</v>
      </c>
      <c r="I36" s="2687">
        <v>17208.97741461172</v>
      </c>
      <c r="J36" s="2687">
        <v>17442.457680679901</v>
      </c>
      <c r="K36" s="2687">
        <v>18562.803368544977</v>
      </c>
      <c r="L36" s="2687">
        <v>18526.021519396279</v>
      </c>
      <c r="M36" s="2687">
        <v>18459.982031542393</v>
      </c>
      <c r="N36" s="2687">
        <v>18620.636000181923</v>
      </c>
      <c r="O36" s="2687">
        <v>18780.012605387969</v>
      </c>
      <c r="P36" s="2687">
        <v>18947.164900141179</v>
      </c>
      <c r="Q36" s="2687">
        <v>20515.682745620466</v>
      </c>
      <c r="R36" s="2687">
        <v>20569.105568815176</v>
      </c>
      <c r="S36" s="2687">
        <v>17096.525482945803</v>
      </c>
      <c r="T36" s="2687">
        <v>16124.172714863298</v>
      </c>
      <c r="U36" s="2687">
        <v>16212.858535886307</v>
      </c>
      <c r="V36" s="2687">
        <v>16100.745294959024</v>
      </c>
      <c r="W36" s="2687">
        <v>16874.40861594228</v>
      </c>
      <c r="X36" s="2687">
        <v>17056.301030099683</v>
      </c>
      <c r="Y36" s="2687">
        <v>17100.396193503762</v>
      </c>
      <c r="Z36" s="2687">
        <v>16913.578328091779</v>
      </c>
      <c r="AA36" s="2687">
        <v>16903.670228602685</v>
      </c>
      <c r="AB36" s="2687">
        <v>16654.533657206321</v>
      </c>
      <c r="AC36" s="2687">
        <v>16264.041633131037</v>
      </c>
      <c r="AD36" s="2687">
        <v>16408.554026230264</v>
      </c>
      <c r="AE36" s="2687">
        <v>16221.468650547791</v>
      </c>
      <c r="AF36" s="2687">
        <v>16503.915965674823</v>
      </c>
      <c r="AG36" s="2687">
        <v>16455.038241147897</v>
      </c>
      <c r="AH36" s="2687">
        <v>16482.822912366399</v>
      </c>
      <c r="AI36" s="2687">
        <v>17087.44599870186</v>
      </c>
      <c r="AJ36" s="2687">
        <v>17042.038238085748</v>
      </c>
      <c r="AK36" s="2687">
        <v>16938.245741903298</v>
      </c>
      <c r="AL36" s="2687">
        <v>16800.648193319186</v>
      </c>
      <c r="AM36" s="2687">
        <v>16775.783152260639</v>
      </c>
      <c r="AN36" s="2687">
        <v>16709.497512591879</v>
      </c>
      <c r="AO36" s="2687">
        <v>16647.926400379903</v>
      </c>
      <c r="AP36" s="2687">
        <v>16889.070895970464</v>
      </c>
      <c r="AQ36" s="2687">
        <v>16894.960055143179</v>
      </c>
      <c r="AR36" s="2687">
        <v>17092.399380392508</v>
      </c>
      <c r="AS36" s="2687">
        <v>16333.00151408547</v>
      </c>
      <c r="AT36" s="2687">
        <v>16570.907792896134</v>
      </c>
      <c r="AU36" s="2687">
        <v>16887.17377153182</v>
      </c>
      <c r="AV36" s="2687">
        <v>16824.83903409652</v>
      </c>
      <c r="AW36" s="2687">
        <v>16122.180782663847</v>
      </c>
      <c r="AX36" s="2687">
        <v>16465.319542456728</v>
      </c>
      <c r="AY36" s="2687">
        <v>16293.840328382001</v>
      </c>
      <c r="AZ36" s="2687">
        <v>15989.194934705469</v>
      </c>
      <c r="BA36" s="2687">
        <v>16382.387070333913</v>
      </c>
      <c r="BB36" s="2687">
        <v>16734.979646386804</v>
      </c>
      <c r="BC36" s="2687">
        <v>16822.79343812299</v>
      </c>
      <c r="BD36" s="2687">
        <v>23439.582153499578</v>
      </c>
      <c r="BE36" s="2687">
        <v>36823.209871359766</v>
      </c>
      <c r="BF36" s="2687">
        <v>37754.398155795294</v>
      </c>
      <c r="BG36" s="2687">
        <v>37743.360013145495</v>
      </c>
      <c r="BH36" s="2687">
        <v>38207.44928283168</v>
      </c>
      <c r="BI36" s="2687">
        <v>37801.550062927716</v>
      </c>
    </row>
    <row r="37" spans="1:61" ht="18" customHeight="1" x14ac:dyDescent="0.3">
      <c r="A37" s="2658"/>
      <c r="B37" s="2658"/>
      <c r="C37" s="2732"/>
      <c r="D37" s="2732"/>
      <c r="E37" s="2732"/>
      <c r="F37" s="2732"/>
      <c r="G37" s="2732"/>
      <c r="H37" s="2732"/>
      <c r="I37" s="2732"/>
      <c r="J37" s="2732"/>
      <c r="K37" s="2732"/>
      <c r="L37" s="2732"/>
      <c r="M37" s="2732"/>
      <c r="N37" s="2732"/>
      <c r="O37" s="2732"/>
      <c r="P37" s="2732"/>
      <c r="Q37" s="2732"/>
      <c r="R37" s="2732"/>
      <c r="S37" s="2732"/>
      <c r="T37" s="2732"/>
      <c r="U37" s="2732"/>
      <c r="V37" s="2732"/>
      <c r="W37" s="2732"/>
      <c r="X37" s="2732"/>
      <c r="Y37" s="2732"/>
      <c r="Z37" s="2732"/>
      <c r="AA37" s="2732"/>
      <c r="AB37" s="2732"/>
      <c r="AC37" s="2732"/>
      <c r="AD37" s="2732"/>
      <c r="AE37" s="2732"/>
      <c r="AF37" s="2732"/>
      <c r="AG37" s="2732"/>
      <c r="AH37" s="2732"/>
      <c r="AI37" s="2732"/>
      <c r="AJ37" s="2732"/>
      <c r="AK37" s="2732"/>
      <c r="AL37" s="2732"/>
      <c r="AM37" s="2732"/>
      <c r="AN37" s="2732"/>
      <c r="AO37" s="2732"/>
      <c r="AP37" s="2732"/>
      <c r="AQ37" s="2732"/>
      <c r="AR37" s="2732"/>
      <c r="AS37" s="2732"/>
      <c r="AT37" s="2732"/>
      <c r="AU37" s="2732"/>
      <c r="AV37" s="2732"/>
      <c r="AW37" s="2732"/>
      <c r="AX37" s="2732"/>
      <c r="AY37" s="2732"/>
      <c r="AZ37" s="2732"/>
      <c r="BA37" s="2732"/>
      <c r="BB37" s="2732"/>
      <c r="BC37" s="2732"/>
      <c r="BD37" s="2732"/>
      <c r="BE37" s="2732"/>
      <c r="BF37" s="2732"/>
      <c r="BG37" s="2732"/>
      <c r="BH37" s="2732"/>
      <c r="BI37" s="2732"/>
    </row>
    <row r="38" spans="1:61" ht="18" customHeight="1" x14ac:dyDescent="0.3">
      <c r="A38" s="2655" t="s">
        <v>2542</v>
      </c>
      <c r="B38" s="2655" t="s">
        <v>1057</v>
      </c>
      <c r="C38" s="2687">
        <v>145423.68581630205</v>
      </c>
      <c r="D38" s="2687">
        <v>147135.84373923199</v>
      </c>
      <c r="E38" s="2687">
        <v>145783.96419345352</v>
      </c>
      <c r="F38" s="2687">
        <v>146965.49442527004</v>
      </c>
      <c r="G38" s="2687">
        <v>141207.52759389891</v>
      </c>
      <c r="H38" s="2687">
        <v>148947.94684390596</v>
      </c>
      <c r="I38" s="2687">
        <v>142742.84595067851</v>
      </c>
      <c r="J38" s="2687">
        <v>137237.34276525557</v>
      </c>
      <c r="K38" s="2687">
        <v>157788.62189630701</v>
      </c>
      <c r="L38" s="2687">
        <v>154606.88964647276</v>
      </c>
      <c r="M38" s="2687">
        <v>158196.34249646362</v>
      </c>
      <c r="N38" s="2687">
        <v>160953.38993339837</v>
      </c>
      <c r="O38" s="2687">
        <v>153547.61588920112</v>
      </c>
      <c r="P38" s="2687">
        <v>156303.84566719126</v>
      </c>
      <c r="Q38" s="2687">
        <v>154646.59245208112</v>
      </c>
      <c r="R38" s="2687">
        <v>155436.281625095</v>
      </c>
      <c r="S38" s="2687">
        <v>144189.10854255137</v>
      </c>
      <c r="T38" s="2687">
        <v>161144.52796024826</v>
      </c>
      <c r="U38" s="2687">
        <v>186203.96753851173</v>
      </c>
      <c r="V38" s="2687">
        <v>180165.10741298783</v>
      </c>
      <c r="W38" s="2687">
        <v>183191.42879328228</v>
      </c>
      <c r="X38" s="2687">
        <v>177878.97699377962</v>
      </c>
      <c r="Y38" s="2687">
        <v>173952.92162323924</v>
      </c>
      <c r="Z38" s="2687">
        <v>160235.36385933115</v>
      </c>
      <c r="AA38" s="2687">
        <v>152000.76066651769</v>
      </c>
      <c r="AB38" s="2687">
        <v>146336.15807760006</v>
      </c>
      <c r="AC38" s="2687">
        <v>145186.7076951722</v>
      </c>
      <c r="AD38" s="2687">
        <v>153110.0028246585</v>
      </c>
      <c r="AE38" s="2687">
        <v>160781.09933319647</v>
      </c>
      <c r="AF38" s="2687">
        <v>158446.09686026847</v>
      </c>
      <c r="AG38" s="2687">
        <v>151846.67579580005</v>
      </c>
      <c r="AH38" s="2687">
        <v>142481.88693176981</v>
      </c>
      <c r="AI38" s="2687">
        <v>158572.49704844534</v>
      </c>
      <c r="AJ38" s="2687">
        <v>154810.04393519918</v>
      </c>
      <c r="AK38" s="2687">
        <v>164318.64138579319</v>
      </c>
      <c r="AL38" s="2687">
        <v>126298.52992580699</v>
      </c>
      <c r="AM38" s="2687">
        <v>140784.8683883005</v>
      </c>
      <c r="AN38" s="2687">
        <v>131979.1650284447</v>
      </c>
      <c r="AO38" s="2687">
        <v>157800.18155821654</v>
      </c>
      <c r="AP38" s="2687">
        <v>158511.45153968729</v>
      </c>
      <c r="AQ38" s="2687">
        <v>156191.87048935308</v>
      </c>
      <c r="AR38" s="2687">
        <v>152309.99060571479</v>
      </c>
      <c r="AS38" s="2687">
        <v>149450.313604439</v>
      </c>
      <c r="AT38" s="2687">
        <v>151270.39603843601</v>
      </c>
      <c r="AU38" s="2687">
        <v>178283.08448790194</v>
      </c>
      <c r="AV38" s="2687">
        <v>183973.70919130163</v>
      </c>
      <c r="AW38" s="2687">
        <v>214215.00589893537</v>
      </c>
      <c r="AX38" s="2687">
        <v>228009.71418901722</v>
      </c>
      <c r="AY38" s="2687">
        <v>239185.08566023377</v>
      </c>
      <c r="AZ38" s="2687">
        <v>237855.37073261171</v>
      </c>
      <c r="BA38" s="2687">
        <v>222581.51368359485</v>
      </c>
      <c r="BB38" s="2687">
        <v>245464.01150159616</v>
      </c>
      <c r="BC38" s="2687">
        <v>224315.16065220232</v>
      </c>
      <c r="BD38" s="2687">
        <v>210686.78033988227</v>
      </c>
      <c r="BE38" s="2687">
        <v>213390.54183433601</v>
      </c>
      <c r="BF38" s="2687">
        <v>206122.59330869073</v>
      </c>
      <c r="BG38" s="2687">
        <v>198664.6373982229</v>
      </c>
      <c r="BH38" s="2687">
        <v>197121.25591600753</v>
      </c>
      <c r="BI38" s="2687">
        <v>205799.04020001215</v>
      </c>
    </row>
    <row r="39" spans="1:61" ht="18" customHeight="1" x14ac:dyDescent="0.3">
      <c r="A39" s="2658"/>
      <c r="B39" s="2668"/>
      <c r="C39" s="2732"/>
      <c r="D39" s="2732"/>
      <c r="E39" s="2732"/>
      <c r="F39" s="2732"/>
      <c r="G39" s="2732"/>
      <c r="H39" s="2732"/>
      <c r="I39" s="2732"/>
      <c r="J39" s="2732"/>
      <c r="K39" s="2732"/>
      <c r="L39" s="2732"/>
      <c r="M39" s="2732"/>
      <c r="N39" s="2732"/>
      <c r="O39" s="2732"/>
      <c r="P39" s="2732"/>
      <c r="Q39" s="2732"/>
      <c r="R39" s="2732"/>
      <c r="S39" s="2732"/>
      <c r="T39" s="2732"/>
      <c r="U39" s="2732"/>
      <c r="V39" s="2732"/>
      <c r="W39" s="2732"/>
      <c r="X39" s="2732"/>
      <c r="Y39" s="2732"/>
      <c r="Z39" s="2732"/>
      <c r="AA39" s="2732"/>
      <c r="AB39" s="2732"/>
      <c r="AC39" s="2732"/>
      <c r="AD39" s="2732"/>
      <c r="AE39" s="2732"/>
      <c r="AF39" s="2732"/>
      <c r="AG39" s="2732"/>
      <c r="AH39" s="2732"/>
      <c r="AI39" s="2732"/>
      <c r="AJ39" s="2732"/>
      <c r="AK39" s="2732"/>
      <c r="AL39" s="2732"/>
      <c r="AM39" s="2732"/>
      <c r="AN39" s="2732"/>
      <c r="AO39" s="2732"/>
      <c r="AP39" s="2732"/>
      <c r="AQ39" s="2732"/>
      <c r="AR39" s="2732"/>
      <c r="AS39" s="2732"/>
      <c r="AT39" s="2732"/>
      <c r="AU39" s="2732"/>
      <c r="AV39" s="2732"/>
      <c r="AW39" s="2732"/>
      <c r="AX39" s="2732"/>
      <c r="AY39" s="2732"/>
      <c r="AZ39" s="2732"/>
      <c r="BA39" s="2732"/>
      <c r="BB39" s="2732"/>
      <c r="BC39" s="2732"/>
      <c r="BD39" s="2732"/>
      <c r="BE39" s="2732"/>
      <c r="BF39" s="2732"/>
      <c r="BG39" s="2732"/>
      <c r="BH39" s="2732"/>
      <c r="BI39" s="2732"/>
    </row>
    <row r="40" spans="1:61" ht="18" customHeight="1" x14ac:dyDescent="0.3">
      <c r="A40" s="2655" t="s">
        <v>2547</v>
      </c>
      <c r="B40" s="2655" t="s">
        <v>2526</v>
      </c>
      <c r="C40" s="2687">
        <v>0</v>
      </c>
      <c r="D40" s="2687">
        <v>0</v>
      </c>
      <c r="E40" s="2687">
        <v>0</v>
      </c>
      <c r="F40" s="2687">
        <v>0</v>
      </c>
      <c r="G40" s="2687">
        <v>0</v>
      </c>
      <c r="H40" s="2687">
        <v>0</v>
      </c>
      <c r="I40" s="2687">
        <v>0</v>
      </c>
      <c r="J40" s="2687">
        <v>0</v>
      </c>
      <c r="K40" s="2687">
        <v>0</v>
      </c>
      <c r="L40" s="2687">
        <v>0</v>
      </c>
      <c r="M40" s="2687">
        <v>0</v>
      </c>
      <c r="N40" s="2687">
        <v>0</v>
      </c>
      <c r="O40" s="2687">
        <v>0</v>
      </c>
      <c r="P40" s="2687">
        <v>0</v>
      </c>
      <c r="Q40" s="2687">
        <v>0</v>
      </c>
      <c r="R40" s="2687">
        <v>0</v>
      </c>
      <c r="S40" s="2687">
        <v>0</v>
      </c>
      <c r="T40" s="2687">
        <v>0</v>
      </c>
      <c r="U40" s="2687">
        <v>0</v>
      </c>
      <c r="V40" s="2687">
        <v>0</v>
      </c>
      <c r="W40" s="2687">
        <v>0</v>
      </c>
      <c r="X40" s="2687">
        <v>0</v>
      </c>
      <c r="Y40" s="2687">
        <v>0</v>
      </c>
      <c r="Z40" s="2687">
        <v>0</v>
      </c>
      <c r="AA40" s="2687">
        <v>0</v>
      </c>
      <c r="AB40" s="2687">
        <v>0</v>
      </c>
      <c r="AC40" s="2687">
        <v>0</v>
      </c>
      <c r="AD40" s="2687">
        <v>0</v>
      </c>
      <c r="AE40" s="2687">
        <v>0</v>
      </c>
      <c r="AF40" s="2687">
        <v>0</v>
      </c>
      <c r="AG40" s="2687">
        <v>0</v>
      </c>
      <c r="AH40" s="2687">
        <v>0</v>
      </c>
      <c r="AI40" s="2687">
        <v>0</v>
      </c>
      <c r="AJ40" s="2687">
        <v>0</v>
      </c>
      <c r="AK40" s="2687">
        <v>0</v>
      </c>
      <c r="AL40" s="2687">
        <v>0</v>
      </c>
      <c r="AM40" s="2687">
        <v>0</v>
      </c>
      <c r="AN40" s="2687">
        <v>0</v>
      </c>
      <c r="AO40" s="2687">
        <v>0</v>
      </c>
      <c r="AP40" s="2687">
        <v>0</v>
      </c>
      <c r="AQ40" s="2687">
        <v>0</v>
      </c>
      <c r="AR40" s="2687">
        <v>0</v>
      </c>
      <c r="AS40" s="2687">
        <v>0</v>
      </c>
      <c r="AT40" s="2687">
        <v>0</v>
      </c>
      <c r="AU40" s="2687">
        <v>0</v>
      </c>
      <c r="AV40" s="2687">
        <v>0</v>
      </c>
      <c r="AW40" s="2687">
        <v>0</v>
      </c>
      <c r="AX40" s="2687">
        <v>0</v>
      </c>
      <c r="AY40" s="2687">
        <v>0</v>
      </c>
      <c r="AZ40" s="2687">
        <v>0</v>
      </c>
      <c r="BA40" s="2687">
        <v>0</v>
      </c>
      <c r="BB40" s="2687">
        <v>0</v>
      </c>
      <c r="BC40" s="2687">
        <v>0</v>
      </c>
      <c r="BD40" s="2687">
        <v>0</v>
      </c>
      <c r="BE40" s="2687">
        <v>0</v>
      </c>
      <c r="BF40" s="2687">
        <v>0</v>
      </c>
      <c r="BG40" s="2687">
        <v>0</v>
      </c>
      <c r="BH40" s="2687">
        <v>0</v>
      </c>
      <c r="BI40" s="2687">
        <v>0</v>
      </c>
    </row>
    <row r="41" spans="1:61" ht="18" customHeight="1" x14ac:dyDescent="0.3">
      <c r="A41" s="2658"/>
      <c r="B41" s="2658"/>
      <c r="C41" s="2732"/>
      <c r="D41" s="2732"/>
      <c r="E41" s="2732"/>
      <c r="F41" s="2732"/>
      <c r="G41" s="2732"/>
      <c r="H41" s="2732"/>
      <c r="I41" s="2732"/>
      <c r="J41" s="2732"/>
      <c r="K41" s="2732"/>
      <c r="L41" s="2732"/>
      <c r="M41" s="2732"/>
      <c r="N41" s="2732"/>
      <c r="O41" s="2732"/>
      <c r="P41" s="2732"/>
      <c r="Q41" s="2732"/>
      <c r="R41" s="2732"/>
      <c r="S41" s="2732"/>
      <c r="T41" s="2732"/>
      <c r="U41" s="2732"/>
      <c r="V41" s="2732"/>
      <c r="W41" s="2732"/>
      <c r="X41" s="2732"/>
      <c r="Y41" s="2732"/>
      <c r="Z41" s="2732"/>
      <c r="AA41" s="2732"/>
      <c r="AB41" s="2732"/>
      <c r="AC41" s="2732"/>
      <c r="AD41" s="2732"/>
      <c r="AE41" s="2732"/>
      <c r="AF41" s="2732"/>
      <c r="AG41" s="2732"/>
      <c r="AH41" s="2732"/>
      <c r="AI41" s="2732"/>
      <c r="AJ41" s="2732"/>
      <c r="AK41" s="2732"/>
      <c r="AL41" s="2732"/>
      <c r="AM41" s="2732"/>
      <c r="AN41" s="2732"/>
      <c r="AO41" s="2732"/>
      <c r="AP41" s="2732"/>
      <c r="AQ41" s="2732"/>
      <c r="AR41" s="2732"/>
      <c r="AS41" s="2732"/>
      <c r="AT41" s="2732"/>
      <c r="AU41" s="2732"/>
      <c r="AV41" s="2732"/>
      <c r="AW41" s="2732"/>
      <c r="AX41" s="2732"/>
      <c r="AY41" s="2732"/>
      <c r="AZ41" s="2732"/>
      <c r="BA41" s="2732"/>
      <c r="BB41" s="2732"/>
      <c r="BC41" s="2732"/>
      <c r="BD41" s="2732"/>
      <c r="BE41" s="2732"/>
      <c r="BF41" s="2732"/>
      <c r="BG41" s="2732"/>
      <c r="BH41" s="2732"/>
      <c r="BI41" s="2732"/>
    </row>
    <row r="42" spans="1:61" ht="18" customHeight="1" x14ac:dyDescent="0.3">
      <c r="A42" s="2655" t="s">
        <v>2549</v>
      </c>
      <c r="B42" s="2655" t="s">
        <v>2612</v>
      </c>
      <c r="C42" s="2687">
        <v>2220.5587516851147</v>
      </c>
      <c r="D42" s="2687">
        <v>2973.7746983604889</v>
      </c>
      <c r="E42" s="2687">
        <v>2793.4057543746385</v>
      </c>
      <c r="F42" s="2687">
        <v>2837.0982304102877</v>
      </c>
      <c r="G42" s="2687">
        <v>2889.4763727661752</v>
      </c>
      <c r="H42" s="2687">
        <v>3485.0313894252599</v>
      </c>
      <c r="I42" s="2687">
        <v>3357.6639987524809</v>
      </c>
      <c r="J42" s="2687">
        <v>3611.6788113440039</v>
      </c>
      <c r="K42" s="2687">
        <v>3354.7952141702235</v>
      </c>
      <c r="L42" s="2687">
        <v>3600.691496904597</v>
      </c>
      <c r="M42" s="2687">
        <v>3299.4268873645624</v>
      </c>
      <c r="N42" s="2687">
        <v>4163.4008869055833</v>
      </c>
      <c r="O42" s="2687">
        <v>3781.3165850788259</v>
      </c>
      <c r="P42" s="2687">
        <v>3338.9534975578613</v>
      </c>
      <c r="Q42" s="2687">
        <v>3241.382092907515</v>
      </c>
      <c r="R42" s="2687">
        <v>2200.8045698953802</v>
      </c>
      <c r="S42" s="2687">
        <v>3011.1787886331404</v>
      </c>
      <c r="T42" s="2687">
        <v>5000.7986755779766</v>
      </c>
      <c r="U42" s="2687">
        <v>5930.5633522589069</v>
      </c>
      <c r="V42" s="2687">
        <v>4586.5524504908981</v>
      </c>
      <c r="W42" s="2687">
        <v>3759.541357141497</v>
      </c>
      <c r="X42" s="2687">
        <v>4915.516998261668</v>
      </c>
      <c r="Y42" s="2687">
        <v>4783.2831960829226</v>
      </c>
      <c r="Z42" s="2687">
        <v>4440.7225172802082</v>
      </c>
      <c r="AA42" s="2687">
        <v>4091.4658880716315</v>
      </c>
      <c r="AB42" s="2687">
        <v>3936.6845371689215</v>
      </c>
      <c r="AC42" s="2687">
        <v>4012.1740674445377</v>
      </c>
      <c r="AD42" s="2687">
        <v>3200.807848833183</v>
      </c>
      <c r="AE42" s="2687">
        <v>3628.0198578387317</v>
      </c>
      <c r="AF42" s="2687">
        <v>4769.8301387371348</v>
      </c>
      <c r="AG42" s="2687">
        <v>3774.7033963075228</v>
      </c>
      <c r="AH42" s="2687">
        <v>3923.5526932379253</v>
      </c>
      <c r="AI42" s="2687">
        <v>4393.4741044475459</v>
      </c>
      <c r="AJ42" s="2687">
        <v>3543.792363564628</v>
      </c>
      <c r="AK42" s="2687">
        <v>3072.4814990240889</v>
      </c>
      <c r="AL42" s="2687">
        <v>3123.8123822462603</v>
      </c>
      <c r="AM42" s="2687">
        <v>2692.8755983424394</v>
      </c>
      <c r="AN42" s="2687">
        <v>3237.8887341761492</v>
      </c>
      <c r="AO42" s="2687">
        <v>2872.4858043068275</v>
      </c>
      <c r="AP42" s="2687">
        <v>2500.08970185812</v>
      </c>
      <c r="AQ42" s="2687">
        <v>3199.9403001592145</v>
      </c>
      <c r="AR42" s="2687">
        <v>4010.9542172874922</v>
      </c>
      <c r="AS42" s="2687">
        <v>3416.9507981850902</v>
      </c>
      <c r="AT42" s="2687">
        <v>3157.441795953906</v>
      </c>
      <c r="AU42" s="2687">
        <v>3821.3498732511657</v>
      </c>
      <c r="AV42" s="2687">
        <v>3799.3167848861813</v>
      </c>
      <c r="AW42" s="2687">
        <v>3753.2383554229409</v>
      </c>
      <c r="AX42" s="2687">
        <v>5125.0116633739917</v>
      </c>
      <c r="AY42" s="2687">
        <v>3655.6666434611052</v>
      </c>
      <c r="AZ42" s="2687">
        <v>3363.807927121898</v>
      </c>
      <c r="BA42" s="2687">
        <v>3886.1652890605305</v>
      </c>
      <c r="BB42" s="2687">
        <v>4202.7543350338137</v>
      </c>
      <c r="BC42" s="2687">
        <v>4441.3530902173843</v>
      </c>
      <c r="BD42" s="2687">
        <v>5310.6149930023057</v>
      </c>
      <c r="BE42" s="2687">
        <v>5363.3165885835542</v>
      </c>
      <c r="BF42" s="2687">
        <v>4242.398508197497</v>
      </c>
      <c r="BG42" s="2687">
        <v>6440.7440421278834</v>
      </c>
      <c r="BH42" s="2687">
        <v>6860.3260069125017</v>
      </c>
      <c r="BI42" s="2687">
        <v>5477.1422909990715</v>
      </c>
    </row>
    <row r="43" spans="1:61" ht="18" customHeight="1" x14ac:dyDescent="0.3">
      <c r="A43" s="2658"/>
      <c r="B43" s="2658"/>
      <c r="C43" s="2732"/>
      <c r="D43" s="2732"/>
      <c r="E43" s="2732"/>
      <c r="F43" s="2732"/>
      <c r="G43" s="2732"/>
      <c r="H43" s="2732"/>
      <c r="I43" s="2732"/>
      <c r="J43" s="2732"/>
      <c r="K43" s="2732"/>
      <c r="L43" s="2732"/>
      <c r="M43" s="2732"/>
      <c r="N43" s="2732"/>
      <c r="O43" s="2732"/>
      <c r="P43" s="2732"/>
      <c r="Q43" s="2732"/>
      <c r="R43" s="2732"/>
      <c r="S43" s="2732"/>
      <c r="T43" s="2732"/>
      <c r="U43" s="2732"/>
      <c r="V43" s="2732"/>
      <c r="W43" s="2732"/>
      <c r="X43" s="2732"/>
      <c r="Y43" s="2732"/>
      <c r="Z43" s="2732"/>
      <c r="AA43" s="2732"/>
      <c r="AB43" s="2732"/>
      <c r="AC43" s="2732"/>
      <c r="AD43" s="2732"/>
      <c r="AE43" s="2732"/>
      <c r="AF43" s="2732"/>
      <c r="AG43" s="2732"/>
      <c r="AH43" s="2732"/>
      <c r="AI43" s="2732"/>
      <c r="AJ43" s="2732"/>
      <c r="AK43" s="2732"/>
      <c r="AL43" s="2732"/>
      <c r="AM43" s="2732"/>
      <c r="AN43" s="2732"/>
      <c r="AO43" s="2732"/>
      <c r="AP43" s="2732"/>
      <c r="AQ43" s="2732"/>
      <c r="AR43" s="2732"/>
      <c r="AS43" s="2732"/>
      <c r="AT43" s="2732"/>
      <c r="AU43" s="2732"/>
      <c r="AV43" s="2732"/>
      <c r="AW43" s="2732"/>
      <c r="AX43" s="2732"/>
      <c r="AY43" s="2732"/>
      <c r="AZ43" s="2732"/>
      <c r="BA43" s="2732"/>
      <c r="BB43" s="2732"/>
      <c r="BC43" s="2732"/>
      <c r="BD43" s="2732"/>
      <c r="BE43" s="2732"/>
      <c r="BF43" s="2732"/>
      <c r="BG43" s="2732"/>
      <c r="BH43" s="2732"/>
      <c r="BI43" s="2732"/>
    </row>
    <row r="44" spans="1:61" ht="18" customHeight="1" x14ac:dyDescent="0.3">
      <c r="A44" s="2655" t="s">
        <v>2551</v>
      </c>
      <c r="B44" s="2655" t="s">
        <v>2555</v>
      </c>
      <c r="C44" s="2687">
        <v>66328.821537924014</v>
      </c>
      <c r="D44" s="2687">
        <v>67264.698941036433</v>
      </c>
      <c r="E44" s="2687">
        <v>64755.086667264979</v>
      </c>
      <c r="F44" s="2687">
        <v>62923.557672523144</v>
      </c>
      <c r="G44" s="2687">
        <v>63355.191239765998</v>
      </c>
      <c r="H44" s="2687">
        <v>67405.60554257319</v>
      </c>
      <c r="I44" s="2687">
        <v>65026.096382233642</v>
      </c>
      <c r="J44" s="2687">
        <v>66103.863189825235</v>
      </c>
      <c r="K44" s="2687">
        <v>65424.550329402067</v>
      </c>
      <c r="L44" s="2687">
        <v>77268.305478600189</v>
      </c>
      <c r="M44" s="2687">
        <v>65611.639426381356</v>
      </c>
      <c r="N44" s="2687">
        <v>64737.854534373721</v>
      </c>
      <c r="O44" s="2687">
        <v>61274.493218562609</v>
      </c>
      <c r="P44" s="2687">
        <v>64099.593592532918</v>
      </c>
      <c r="Q44" s="2687">
        <v>58262.040548071964</v>
      </c>
      <c r="R44" s="2687">
        <v>59948.807033666322</v>
      </c>
      <c r="S44" s="2687">
        <v>57218.200418973254</v>
      </c>
      <c r="T44" s="2687">
        <v>61943.055441734024</v>
      </c>
      <c r="U44" s="2687">
        <v>67156.122843432124</v>
      </c>
      <c r="V44" s="2687">
        <v>69036.246855654244</v>
      </c>
      <c r="W44" s="2687">
        <v>75106.198086427918</v>
      </c>
      <c r="X44" s="2687">
        <v>76164.712908369314</v>
      </c>
      <c r="Y44" s="2687">
        <v>80669.469137379987</v>
      </c>
      <c r="Z44" s="2687">
        <v>92356.888118761286</v>
      </c>
      <c r="AA44" s="2687">
        <v>82547.45327990182</v>
      </c>
      <c r="AB44" s="2687">
        <v>92165.092985199881</v>
      </c>
      <c r="AC44" s="2687">
        <v>83110.794612301281</v>
      </c>
      <c r="AD44" s="2687">
        <v>86241.634504758767</v>
      </c>
      <c r="AE44" s="2687">
        <v>88759.370567401085</v>
      </c>
      <c r="AF44" s="2687">
        <v>88848.595044027796</v>
      </c>
      <c r="AG44" s="2687">
        <v>85930.183663869742</v>
      </c>
      <c r="AH44" s="2687">
        <v>90639.014277405557</v>
      </c>
      <c r="AI44" s="2687">
        <v>89144.677062141476</v>
      </c>
      <c r="AJ44" s="2687">
        <v>85681.718645319299</v>
      </c>
      <c r="AK44" s="2687">
        <v>84465.738001051199</v>
      </c>
      <c r="AL44" s="2687">
        <v>85601.686334656042</v>
      </c>
      <c r="AM44" s="2687">
        <v>86826.185233359167</v>
      </c>
      <c r="AN44" s="2687">
        <v>93511.256674497155</v>
      </c>
      <c r="AO44" s="2687">
        <v>85904.559103914231</v>
      </c>
      <c r="AP44" s="2687">
        <v>92983.862195440801</v>
      </c>
      <c r="AQ44" s="2687">
        <v>87810.031936893356</v>
      </c>
      <c r="AR44" s="2687">
        <v>89332.134655147878</v>
      </c>
      <c r="AS44" s="2687">
        <v>87944.387965471004</v>
      </c>
      <c r="AT44" s="2687">
        <v>84880.575576959527</v>
      </c>
      <c r="AU44" s="2687">
        <v>81469.222904255032</v>
      </c>
      <c r="AV44" s="2687">
        <v>90751.453317141466</v>
      </c>
      <c r="AW44" s="2687">
        <v>86687.047040224381</v>
      </c>
      <c r="AX44" s="2687">
        <v>96841.958597347082</v>
      </c>
      <c r="AY44" s="2687">
        <v>100136.14107766769</v>
      </c>
      <c r="AZ44" s="2687">
        <v>99659.471326998493</v>
      </c>
      <c r="BA44" s="2687">
        <v>85794.89564792889</v>
      </c>
      <c r="BB44" s="2687">
        <v>94935.899545103632</v>
      </c>
      <c r="BC44" s="2687">
        <v>157772.65771113578</v>
      </c>
      <c r="BD44" s="2687">
        <v>88567.623722361401</v>
      </c>
      <c r="BE44" s="2687">
        <v>88133.509246107627</v>
      </c>
      <c r="BF44" s="2687">
        <v>91157.07055943567</v>
      </c>
      <c r="BG44" s="2687">
        <v>94261.675092384248</v>
      </c>
      <c r="BH44" s="2687">
        <v>97092.753975353102</v>
      </c>
      <c r="BI44" s="2687">
        <v>109850.6533886785</v>
      </c>
    </row>
    <row r="45" spans="1:61" ht="18" customHeight="1" x14ac:dyDescent="0.3">
      <c r="A45" s="2658"/>
      <c r="B45" s="2658"/>
      <c r="C45" s="2732"/>
      <c r="D45" s="2732"/>
      <c r="E45" s="2732"/>
      <c r="F45" s="2732"/>
      <c r="G45" s="2732"/>
      <c r="H45" s="2732"/>
      <c r="I45" s="2732"/>
      <c r="J45" s="2732"/>
      <c r="K45" s="2732"/>
      <c r="L45" s="2732"/>
      <c r="M45" s="2732"/>
      <c r="N45" s="2732"/>
      <c r="O45" s="2732"/>
      <c r="P45" s="2732"/>
      <c r="Q45" s="2732"/>
      <c r="R45" s="2732"/>
      <c r="S45" s="2732"/>
      <c r="T45" s="2732"/>
      <c r="U45" s="2732"/>
      <c r="V45" s="2732"/>
      <c r="W45" s="2732"/>
      <c r="X45" s="2732"/>
      <c r="Y45" s="2732"/>
      <c r="Z45" s="2732"/>
      <c r="AA45" s="2732"/>
      <c r="AB45" s="2732"/>
      <c r="AC45" s="2732"/>
      <c r="AD45" s="2732"/>
      <c r="AE45" s="2732"/>
      <c r="AF45" s="2732"/>
      <c r="AG45" s="2732"/>
      <c r="AH45" s="2732"/>
      <c r="AI45" s="2732"/>
      <c r="AJ45" s="2732"/>
      <c r="AK45" s="2732"/>
      <c r="AL45" s="2732"/>
      <c r="AM45" s="2732"/>
      <c r="AN45" s="2732"/>
      <c r="AO45" s="2732"/>
      <c r="AP45" s="2732"/>
      <c r="AQ45" s="2732"/>
      <c r="AR45" s="2732"/>
      <c r="AS45" s="2732"/>
      <c r="AT45" s="2732"/>
      <c r="AU45" s="2732"/>
      <c r="AV45" s="2732"/>
      <c r="AW45" s="2732"/>
      <c r="AX45" s="2732"/>
      <c r="AY45" s="2732"/>
      <c r="AZ45" s="2732"/>
      <c r="BA45" s="2732"/>
      <c r="BB45" s="2732"/>
      <c r="BC45" s="2732"/>
      <c r="BD45" s="2732"/>
      <c r="BE45" s="2732"/>
      <c r="BF45" s="2732"/>
      <c r="BG45" s="2732"/>
      <c r="BH45" s="2732"/>
      <c r="BI45" s="2732"/>
    </row>
    <row r="46" spans="1:61" ht="18" customHeight="1" x14ac:dyDescent="0.3">
      <c r="A46" s="2655" t="s">
        <v>2552</v>
      </c>
      <c r="B46" s="2655" t="s">
        <v>2524</v>
      </c>
      <c r="C46" s="2687">
        <v>167324.31030922924</v>
      </c>
      <c r="D46" s="2687">
        <v>169586.53448306781</v>
      </c>
      <c r="E46" s="2687">
        <v>162994.89620373666</v>
      </c>
      <c r="F46" s="2687">
        <v>165396.57754990438</v>
      </c>
      <c r="G46" s="2687">
        <v>167062.52112577407</v>
      </c>
      <c r="H46" s="2687">
        <v>170453.73437754804</v>
      </c>
      <c r="I46" s="2687">
        <v>173070.57035658811</v>
      </c>
      <c r="J46" s="2687">
        <v>176173.38007013311</v>
      </c>
      <c r="K46" s="2687">
        <v>176143.89081657637</v>
      </c>
      <c r="L46" s="2687">
        <v>176379.70644823366</v>
      </c>
      <c r="M46" s="2687">
        <v>179267.32127196083</v>
      </c>
      <c r="N46" s="2687">
        <v>177703.79240462868</v>
      </c>
      <c r="O46" s="2687">
        <v>178079.29192619724</v>
      </c>
      <c r="P46" s="2687">
        <v>180582.66076034721</v>
      </c>
      <c r="Q46" s="2687">
        <v>180486.29176595857</v>
      </c>
      <c r="R46" s="2687">
        <v>182504.67927104991</v>
      </c>
      <c r="S46" s="2687">
        <v>183476.6182854842</v>
      </c>
      <c r="T46" s="2687">
        <v>186135.46794489713</v>
      </c>
      <c r="U46" s="2687">
        <v>188245.93397633953</v>
      </c>
      <c r="V46" s="2687">
        <v>189886.06197661802</v>
      </c>
      <c r="W46" s="2687">
        <v>191554.79772493438</v>
      </c>
      <c r="X46" s="2687">
        <v>187498.31196324585</v>
      </c>
      <c r="Y46" s="2687">
        <v>188028.0524869638</v>
      </c>
      <c r="Z46" s="2687">
        <v>187998.80819628993</v>
      </c>
      <c r="AA46" s="2687">
        <v>188969.17797663747</v>
      </c>
      <c r="AB46" s="2687">
        <v>188602.18806216668</v>
      </c>
      <c r="AC46" s="2687">
        <v>188961.64214851728</v>
      </c>
      <c r="AD46" s="2687">
        <v>189136.22661046914</v>
      </c>
      <c r="AE46" s="2687">
        <v>190589.33038866497</v>
      </c>
      <c r="AF46" s="2687">
        <v>192151.87677124201</v>
      </c>
      <c r="AG46" s="2687">
        <v>194537.47853844825</v>
      </c>
      <c r="AH46" s="2687">
        <v>196396.92129558168</v>
      </c>
      <c r="AI46" s="2687">
        <v>200338.45522935895</v>
      </c>
      <c r="AJ46" s="2687">
        <v>202707.96154631561</v>
      </c>
      <c r="AK46" s="2687">
        <v>206001.08062238412</v>
      </c>
      <c r="AL46" s="2687">
        <v>205013.75889144393</v>
      </c>
      <c r="AM46" s="2687">
        <v>203419.46734179233</v>
      </c>
      <c r="AN46" s="2687">
        <v>206090.86694608716</v>
      </c>
      <c r="AO46" s="2687">
        <v>208554.31394369958</v>
      </c>
      <c r="AP46" s="2687">
        <v>208530.63916070265</v>
      </c>
      <c r="AQ46" s="2687">
        <v>211492.0525557861</v>
      </c>
      <c r="AR46" s="2687">
        <v>214541.76379354639</v>
      </c>
      <c r="AS46" s="2687">
        <v>212925.18207891498</v>
      </c>
      <c r="AT46" s="2687">
        <v>216509.931493674</v>
      </c>
      <c r="AU46" s="2687">
        <v>216974.43328810495</v>
      </c>
      <c r="AV46" s="2687">
        <v>217197.73186143575</v>
      </c>
      <c r="AW46" s="2687">
        <v>218396.65695276385</v>
      </c>
      <c r="AX46" s="2687">
        <v>218361.81294004302</v>
      </c>
      <c r="AY46" s="2687">
        <v>218177.45327966916</v>
      </c>
      <c r="AZ46" s="2687">
        <v>221294.50811962</v>
      </c>
      <c r="BA46" s="2687">
        <v>221893.50421488847</v>
      </c>
      <c r="BB46" s="2687">
        <v>227633.72265223393</v>
      </c>
      <c r="BC46" s="2687">
        <v>234395.54441378493</v>
      </c>
      <c r="BD46" s="2687">
        <v>238398.25862347466</v>
      </c>
      <c r="BE46" s="2687">
        <v>240862.54694578945</v>
      </c>
      <c r="BF46" s="2687">
        <v>242388.31601610981</v>
      </c>
      <c r="BG46" s="2687">
        <v>243750.64332837999</v>
      </c>
      <c r="BH46" s="2687">
        <v>249015.66954408636</v>
      </c>
      <c r="BI46" s="2687">
        <v>248284.15536737899</v>
      </c>
    </row>
    <row r="47" spans="1:61" ht="16.5" x14ac:dyDescent="0.3">
      <c r="A47" s="2658"/>
      <c r="B47" s="2658"/>
      <c r="C47" s="2693"/>
      <c r="D47" s="2693"/>
      <c r="E47" s="2693"/>
      <c r="F47" s="2693"/>
      <c r="G47" s="2693"/>
      <c r="H47" s="2693"/>
      <c r="I47" s="2693"/>
      <c r="J47" s="2693"/>
      <c r="K47" s="2693"/>
      <c r="L47" s="2693"/>
      <c r="M47" s="2693"/>
      <c r="N47" s="2693"/>
      <c r="O47" s="2693"/>
      <c r="P47" s="2693"/>
      <c r="Q47" s="2693"/>
      <c r="R47" s="2693"/>
      <c r="S47" s="2693"/>
      <c r="T47" s="2693"/>
      <c r="U47" s="2693"/>
      <c r="V47" s="2693"/>
      <c r="W47" s="2693"/>
      <c r="X47" s="2693"/>
      <c r="Y47" s="2693"/>
      <c r="Z47" s="2693"/>
      <c r="AA47" s="2693"/>
      <c r="AB47" s="2693"/>
      <c r="AC47" s="2693"/>
      <c r="AD47" s="2693"/>
      <c r="AE47" s="2693"/>
      <c r="AF47" s="2693"/>
      <c r="AG47" s="2693"/>
      <c r="AH47" s="2693"/>
      <c r="AI47" s="2693"/>
      <c r="AJ47" s="2693"/>
      <c r="AK47" s="2693"/>
      <c r="AL47" s="2693"/>
      <c r="AM47" s="2693"/>
      <c r="AN47" s="2693"/>
      <c r="AO47" s="2693"/>
      <c r="AP47" s="2693"/>
      <c r="AQ47" s="2693"/>
      <c r="AR47" s="2693"/>
      <c r="AS47" s="2693"/>
      <c r="AT47" s="2693"/>
      <c r="AU47" s="2693"/>
      <c r="AV47" s="2693"/>
      <c r="AW47" s="2693"/>
      <c r="AX47" s="2693"/>
      <c r="AY47" s="2693"/>
      <c r="AZ47" s="2693"/>
      <c r="BA47" s="2693"/>
      <c r="BB47" s="2693"/>
      <c r="BC47" s="2693"/>
      <c r="BD47" s="2693"/>
      <c r="BE47" s="2693"/>
      <c r="BF47" s="2693"/>
      <c r="BG47" s="2693"/>
      <c r="BH47" s="2693"/>
      <c r="BI47" s="2693"/>
    </row>
    <row r="48" spans="1:61" ht="16.5" x14ac:dyDescent="0.3">
      <c r="A48" s="2655"/>
      <c r="B48" s="2655" t="s">
        <v>1071</v>
      </c>
      <c r="C48" s="2687">
        <v>1442854.7873532013</v>
      </c>
      <c r="D48" s="2687">
        <v>1431004.0784307574</v>
      </c>
      <c r="E48" s="2687">
        <v>1426987.6991797793</v>
      </c>
      <c r="F48" s="2687">
        <v>1425209.1189981895</v>
      </c>
      <c r="G48" s="2687">
        <v>1488939.5327645554</v>
      </c>
      <c r="H48" s="2687">
        <v>1461968.1325112148</v>
      </c>
      <c r="I48" s="2687">
        <v>1484035.0126414124</v>
      </c>
      <c r="J48" s="2687">
        <v>1471221.2085063227</v>
      </c>
      <c r="K48" s="2687">
        <v>1496168.5232964717</v>
      </c>
      <c r="L48" s="2687">
        <v>1538888.0175060567</v>
      </c>
      <c r="M48" s="2687">
        <v>1512886.0680474716</v>
      </c>
      <c r="N48" s="2687">
        <v>1526308.5790609831</v>
      </c>
      <c r="O48" s="2687">
        <v>1560046.1357815252</v>
      </c>
      <c r="P48" s="2687">
        <v>1632155.9296344912</v>
      </c>
      <c r="Q48" s="2687">
        <v>1609856.0074068117</v>
      </c>
      <c r="R48" s="2687">
        <v>1628752.1161587897</v>
      </c>
      <c r="S48" s="2687">
        <v>1635742.93366608</v>
      </c>
      <c r="T48" s="2687">
        <v>1672833.5335122608</v>
      </c>
      <c r="U48" s="2687">
        <v>1711486.2835230052</v>
      </c>
      <c r="V48" s="2687">
        <v>1716554.2107688864</v>
      </c>
      <c r="W48" s="2687">
        <v>1752563.5036218658</v>
      </c>
      <c r="X48" s="2687">
        <v>1716425.5431310988</v>
      </c>
      <c r="Y48" s="2687">
        <v>1806944.4742650189</v>
      </c>
      <c r="Z48" s="2687">
        <v>1798130.6869903747</v>
      </c>
      <c r="AA48" s="2687">
        <v>1728879.5621765761</v>
      </c>
      <c r="AB48" s="2687">
        <v>1775492.0938700542</v>
      </c>
      <c r="AC48" s="2687">
        <v>1777775.4618145225</v>
      </c>
      <c r="AD48" s="2687">
        <v>1840980.9713685343</v>
      </c>
      <c r="AE48" s="2687">
        <v>1879557.5931145863</v>
      </c>
      <c r="AF48" s="2687">
        <v>1906303.6215457108</v>
      </c>
      <c r="AG48" s="2687">
        <v>1866061.3392797611</v>
      </c>
      <c r="AH48" s="2687">
        <v>1941191.2782894478</v>
      </c>
      <c r="AI48" s="2687">
        <v>1977329.0500506256</v>
      </c>
      <c r="AJ48" s="2687">
        <v>1964112.9931089722</v>
      </c>
      <c r="AK48" s="2687">
        <v>2022741.7910805962</v>
      </c>
      <c r="AL48" s="2687">
        <v>2016829.3750793759</v>
      </c>
      <c r="AM48" s="2687">
        <v>2034543.6660322875</v>
      </c>
      <c r="AN48" s="2687">
        <v>2015640.6357800597</v>
      </c>
      <c r="AO48" s="2687">
        <v>2088011.2120157809</v>
      </c>
      <c r="AP48" s="2687">
        <v>2037627.8973447762</v>
      </c>
      <c r="AQ48" s="2687">
        <v>2089515.1811317343</v>
      </c>
      <c r="AR48" s="2687">
        <v>2123539.0159884193</v>
      </c>
      <c r="AS48" s="2687">
        <v>2096703.0039129376</v>
      </c>
      <c r="AT48" s="2687">
        <v>2077566.6416509913</v>
      </c>
      <c r="AU48" s="2687">
        <v>2127649.2043202296</v>
      </c>
      <c r="AV48" s="2687">
        <v>2145534.1895902301</v>
      </c>
      <c r="AW48" s="2687">
        <v>2185814.0149965528</v>
      </c>
      <c r="AX48" s="2687">
        <v>2243315.7739306735</v>
      </c>
      <c r="AY48" s="2687">
        <v>2244942.6347060259</v>
      </c>
      <c r="AZ48" s="2687">
        <v>2301604.829637629</v>
      </c>
      <c r="BA48" s="2687">
        <v>2258087.7510249973</v>
      </c>
      <c r="BB48" s="2687">
        <v>2341239.2328687389</v>
      </c>
      <c r="BC48" s="2687">
        <v>2440375.6911824644</v>
      </c>
      <c r="BD48" s="2687">
        <v>2317533.0302749574</v>
      </c>
      <c r="BE48" s="2687">
        <v>2344885.1516313143</v>
      </c>
      <c r="BF48" s="2687">
        <v>2338862.8453901275</v>
      </c>
      <c r="BG48" s="2687">
        <v>2326526.6221825057</v>
      </c>
      <c r="BH48" s="2687">
        <v>2409789.3261636714</v>
      </c>
      <c r="BI48" s="2687">
        <v>2351775.939683347</v>
      </c>
    </row>
    <row r="49" spans="1:61" thickBot="1" x14ac:dyDescent="0.35">
      <c r="A49" s="2669"/>
      <c r="B49" s="2669"/>
      <c r="C49" s="2714"/>
      <c r="D49" s="2714"/>
      <c r="E49" s="2714"/>
      <c r="F49" s="2714"/>
      <c r="G49" s="2714"/>
      <c r="H49" s="2714"/>
      <c r="I49" s="2714"/>
      <c r="J49" s="2714"/>
      <c r="K49" s="2714"/>
      <c r="L49" s="2714"/>
      <c r="M49" s="2714"/>
      <c r="N49" s="2714"/>
      <c r="O49" s="2714"/>
      <c r="P49" s="2714"/>
      <c r="Q49" s="2714"/>
      <c r="R49" s="2714"/>
      <c r="S49" s="2714"/>
      <c r="T49" s="2714"/>
      <c r="U49" s="2714"/>
      <c r="V49" s="2714"/>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row>
    <row r="50" spans="1:61" s="627" customFormat="1" ht="18.95" customHeight="1" thickTop="1" x14ac:dyDescent="0.25">
      <c r="A50" s="1428" t="s">
        <v>173</v>
      </c>
    </row>
    <row r="51" spans="1:61" s="627" customFormat="1" ht="18.95" customHeight="1" x14ac:dyDescent="0.25">
      <c r="A51" s="2733" t="s">
        <v>2613</v>
      </c>
    </row>
    <row r="52" spans="1:61" s="1428" customFormat="1" ht="18.95" customHeight="1" x14ac:dyDescent="0.25">
      <c r="A52" s="2734" t="s">
        <v>2614</v>
      </c>
    </row>
    <row r="53" spans="1:61" s="627" customFormat="1" ht="18.95" customHeight="1" x14ac:dyDescent="0.25">
      <c r="A53" s="3252" t="s">
        <v>2615</v>
      </c>
      <c r="B53" s="3252"/>
      <c r="C53" s="3252"/>
      <c r="D53" s="3252"/>
      <c r="E53" s="3252"/>
      <c r="F53" s="3252"/>
      <c r="G53" s="3252"/>
      <c r="H53" s="3252"/>
      <c r="I53" s="3252"/>
      <c r="J53" s="3252"/>
      <c r="K53" s="3252"/>
      <c r="L53" s="3252"/>
      <c r="M53" s="3252"/>
      <c r="N53" s="3252"/>
      <c r="O53" s="3252"/>
      <c r="P53" s="3252"/>
      <c r="Q53" s="3252"/>
      <c r="R53" s="3252"/>
      <c r="S53" s="3252"/>
      <c r="T53" s="3252"/>
      <c r="U53" s="3252"/>
      <c r="V53" s="3252"/>
      <c r="W53" s="3252"/>
      <c r="X53" s="3252"/>
      <c r="Y53" s="3252"/>
      <c r="Z53" s="3252"/>
      <c r="AA53" s="3252"/>
      <c r="AB53" s="3252"/>
      <c r="AC53" s="3252"/>
      <c r="AD53" s="3252"/>
      <c r="AE53" s="3252"/>
      <c r="AF53" s="3252"/>
      <c r="AG53" s="3252"/>
      <c r="AH53" s="3252"/>
      <c r="AI53" s="3252"/>
      <c r="AJ53" s="3252"/>
      <c r="AK53" s="3252"/>
      <c r="AL53" s="3252"/>
      <c r="AM53" s="3252"/>
      <c r="AN53" s="3252"/>
      <c r="AO53" s="3252"/>
      <c r="AP53" s="3252"/>
      <c r="AQ53" s="3252"/>
      <c r="AR53" s="3252"/>
      <c r="AS53" s="3252"/>
      <c r="AT53" s="3252"/>
      <c r="AU53" s="3252"/>
      <c r="AV53" s="3252"/>
      <c r="AW53" s="3252"/>
      <c r="AX53" s="3252"/>
      <c r="AY53" s="3252"/>
      <c r="AZ53" s="3252"/>
      <c r="BA53" s="3252"/>
      <c r="BB53" s="3252"/>
      <c r="BC53" s="3252"/>
      <c r="BD53" s="3252"/>
      <c r="BE53" s="3252"/>
      <c r="BF53" s="3252"/>
      <c r="BG53" s="3252"/>
      <c r="BH53" s="3252"/>
      <c r="BI53" s="3252"/>
    </row>
    <row r="54" spans="1:61" s="2739" customFormat="1" ht="14.25" x14ac:dyDescent="0.25">
      <c r="A54" s="3252" t="s">
        <v>2616</v>
      </c>
      <c r="B54" s="3252"/>
      <c r="C54" s="3252"/>
      <c r="D54" s="3252"/>
      <c r="E54" s="3252"/>
      <c r="F54" s="3252"/>
      <c r="G54" s="3252"/>
      <c r="H54" s="3252"/>
      <c r="I54" s="3252"/>
      <c r="J54" s="3252"/>
      <c r="K54" s="3252"/>
      <c r="L54" s="3252"/>
      <c r="M54" s="3252"/>
      <c r="N54" s="3252"/>
      <c r="O54" s="3252"/>
      <c r="P54" s="3252"/>
      <c r="Q54" s="3252"/>
      <c r="R54" s="3252"/>
      <c r="S54" s="3252"/>
      <c r="T54" s="3252"/>
      <c r="U54" s="3252"/>
      <c r="V54" s="3252"/>
      <c r="W54" s="3252"/>
      <c r="X54" s="3252"/>
      <c r="Y54" s="3252"/>
      <c r="Z54" s="3252"/>
      <c r="AA54" s="3252"/>
      <c r="AB54" s="3252"/>
      <c r="AC54" s="3252"/>
      <c r="AD54" s="3252"/>
      <c r="AE54" s="3252"/>
      <c r="AF54" s="3252"/>
      <c r="AG54" s="3252"/>
      <c r="AH54" s="3252"/>
      <c r="AI54" s="3252"/>
      <c r="AJ54" s="3252"/>
      <c r="AK54" s="3252"/>
      <c r="AL54" s="3252"/>
      <c r="AM54" s="3252"/>
      <c r="AN54" s="3252"/>
      <c r="AO54" s="3252"/>
      <c r="AP54" s="3252"/>
      <c r="AQ54" s="3252"/>
      <c r="AR54" s="3252"/>
      <c r="AS54" s="3252"/>
      <c r="AT54" s="3252"/>
      <c r="AU54" s="3252"/>
      <c r="AV54" s="3252"/>
      <c r="AW54" s="3252"/>
      <c r="AX54" s="3252"/>
      <c r="AY54" s="3252"/>
      <c r="AZ54" s="3252"/>
      <c r="BA54" s="3252"/>
      <c r="BB54" s="3252"/>
      <c r="BC54" s="3252"/>
      <c r="BD54" s="3252"/>
      <c r="BE54" s="3252"/>
      <c r="BF54" s="3252"/>
      <c r="BG54" s="3252"/>
      <c r="BH54" s="3252"/>
      <c r="BI54" s="3252"/>
    </row>
    <row r="55" spans="1:61" s="627" customFormat="1" ht="18.75" customHeight="1" x14ac:dyDescent="0.25">
      <c r="A55" s="1428" t="s">
        <v>2617</v>
      </c>
    </row>
    <row r="56" spans="1:61" s="631" customFormat="1" ht="18.95" customHeight="1" x14ac:dyDescent="0.25">
      <c r="A56" s="2131" t="s">
        <v>290</v>
      </c>
    </row>
    <row r="57" spans="1:61" ht="15" customHeight="1" x14ac:dyDescent="0.3">
      <c r="A57" s="627"/>
    </row>
    <row r="58" spans="1:61" x14ac:dyDescent="0.3">
      <c r="A58" s="627"/>
    </row>
  </sheetData>
  <mergeCells count="2">
    <mergeCell ref="A53:BI53"/>
    <mergeCell ref="A54:BI54"/>
  </mergeCells>
  <hyperlinks>
    <hyperlink ref="A52" r:id="rId1" display="https://www.bom.mu/publications-statistics/statistics/monthly-statistical-bulletin/monthly-statistical-bulletin-february-2021" xr:uid="{00000000-0004-0000-0B00-000000000000}"/>
  </hyperlinks>
  <pageMargins left="0.75" right="0.75" top="0.75" bottom="0.75" header="0.3" footer="0"/>
  <pageSetup paperSize="9" scale="45" orientation="landscape"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H49"/>
  <sheetViews>
    <sheetView zoomScale="85" zoomScaleNormal="85" zoomScaleSheetLayoutView="100" workbookViewId="0">
      <pane xSplit="6" ySplit="3" topLeftCell="AV40" activePane="bottomRight" state="frozen"/>
      <selection activeCell="A38" sqref="A38"/>
      <selection pane="topRight" activeCell="A38" sqref="A38"/>
      <selection pane="bottomLeft" activeCell="A38" sqref="A38"/>
      <selection pane="bottomRight" activeCell="A38" sqref="A38"/>
    </sheetView>
  </sheetViews>
  <sheetFormatPr defaultColWidth="9.140625" defaultRowHeight="15" customHeight="1" x14ac:dyDescent="0.25"/>
  <cols>
    <col min="1" max="1" width="63" style="2748" customWidth="1"/>
    <col min="2" max="47" width="12.7109375" style="2748" hidden="1" customWidth="1"/>
    <col min="48" max="60" width="12.7109375" style="2748" customWidth="1"/>
    <col min="61" max="16384" width="9.140625" style="2748"/>
  </cols>
  <sheetData>
    <row r="1" spans="1:60" s="2741" customFormat="1" ht="24.75" customHeight="1" x14ac:dyDescent="0.25">
      <c r="A1" s="2740" t="s">
        <v>2631</v>
      </c>
    </row>
    <row r="2" spans="1:60" s="2741" customFormat="1" ht="16.5" customHeight="1" thickBot="1" x14ac:dyDescent="0.3">
      <c r="A2" s="2740"/>
      <c r="R2" s="1969"/>
      <c r="W2" s="1969"/>
      <c r="AD2" s="1969"/>
      <c r="AQ2" s="1969"/>
      <c r="AR2" s="1969"/>
      <c r="AS2" s="1969"/>
      <c r="AT2" s="1969"/>
      <c r="AU2" s="1969"/>
      <c r="AV2" s="1969"/>
      <c r="AW2" s="1969"/>
      <c r="AX2" s="1969"/>
      <c r="AY2" s="1969"/>
      <c r="AZ2" s="1969"/>
      <c r="BA2" s="1969"/>
      <c r="BB2" s="1969"/>
      <c r="BC2" s="1969"/>
      <c r="BD2" s="1969"/>
      <c r="BE2" s="1969"/>
      <c r="BF2" s="1969"/>
      <c r="BG2" s="1969"/>
      <c r="BH2" s="1969" t="s">
        <v>281</v>
      </c>
    </row>
    <row r="3" spans="1:60" s="2745" customFormat="1" ht="26.25" customHeight="1" thickTop="1" thickBot="1" x14ac:dyDescent="0.35">
      <c r="A3" s="2742"/>
      <c r="B3" s="2743">
        <v>43374</v>
      </c>
      <c r="C3" s="2743">
        <v>43405</v>
      </c>
      <c r="D3" s="2743">
        <v>43435</v>
      </c>
      <c r="E3" s="2743">
        <v>43466</v>
      </c>
      <c r="F3" s="2743">
        <v>43497</v>
      </c>
      <c r="G3" s="2743">
        <v>43525</v>
      </c>
      <c r="H3" s="2743">
        <v>43556</v>
      </c>
      <c r="I3" s="2743">
        <v>43586</v>
      </c>
      <c r="J3" s="2743">
        <v>43617</v>
      </c>
      <c r="K3" s="2743">
        <v>43647</v>
      </c>
      <c r="L3" s="2743">
        <v>43678</v>
      </c>
      <c r="M3" s="2743">
        <v>43709</v>
      </c>
      <c r="N3" s="2743">
        <v>43739</v>
      </c>
      <c r="O3" s="2743">
        <v>43770</v>
      </c>
      <c r="P3" s="2743">
        <v>43800</v>
      </c>
      <c r="Q3" s="2743">
        <v>43831</v>
      </c>
      <c r="R3" s="2744" t="s">
        <v>2590</v>
      </c>
      <c r="S3" s="2744" t="s">
        <v>477</v>
      </c>
      <c r="T3" s="2652" t="s">
        <v>2591</v>
      </c>
      <c r="U3" s="2652" t="s">
        <v>2592</v>
      </c>
      <c r="V3" s="2652" t="s">
        <v>2619</v>
      </c>
      <c r="W3" s="2652" t="s">
        <v>314</v>
      </c>
      <c r="X3" s="2652" t="s">
        <v>315</v>
      </c>
      <c r="Y3" s="2652" t="s">
        <v>316</v>
      </c>
      <c r="Z3" s="2652" t="s">
        <v>317</v>
      </c>
      <c r="AA3" s="2652">
        <v>44136</v>
      </c>
      <c r="AB3" s="2652">
        <v>44166</v>
      </c>
      <c r="AC3" s="2652">
        <v>44197</v>
      </c>
      <c r="AD3" s="2652" t="s">
        <v>2593</v>
      </c>
      <c r="AE3" s="2652" t="s">
        <v>2594</v>
      </c>
      <c r="AF3" s="2652" t="s">
        <v>2620</v>
      </c>
      <c r="AG3" s="2652" t="s">
        <v>483</v>
      </c>
      <c r="AH3" s="2652" t="s">
        <v>484</v>
      </c>
      <c r="AI3" s="2652" t="s">
        <v>2596</v>
      </c>
      <c r="AJ3" s="2652" t="s">
        <v>2597</v>
      </c>
      <c r="AK3" s="2652" t="s">
        <v>2606</v>
      </c>
      <c r="AL3" s="2652" t="s">
        <v>485</v>
      </c>
      <c r="AM3" s="2652" t="s">
        <v>2625</v>
      </c>
      <c r="AN3" s="2652" t="s">
        <v>2626</v>
      </c>
      <c r="AO3" s="2652">
        <v>44562</v>
      </c>
      <c r="AP3" s="2652">
        <v>44593</v>
      </c>
      <c r="AQ3" s="2652">
        <v>44621</v>
      </c>
      <c r="AR3" s="2652" t="s">
        <v>2632</v>
      </c>
      <c r="AS3" s="2652">
        <v>44682</v>
      </c>
      <c r="AT3" s="2652">
        <v>44713</v>
      </c>
      <c r="AU3" s="2652">
        <v>44743</v>
      </c>
      <c r="AV3" s="2652">
        <v>44774</v>
      </c>
      <c r="AW3" s="2652">
        <v>44805</v>
      </c>
      <c r="AX3" s="2652">
        <v>44835</v>
      </c>
      <c r="AY3" s="2652">
        <v>44866</v>
      </c>
      <c r="AZ3" s="2652">
        <v>44896</v>
      </c>
      <c r="BA3" s="2652">
        <v>44927</v>
      </c>
      <c r="BB3" s="2652">
        <v>44958</v>
      </c>
      <c r="BC3" s="2652">
        <v>44986</v>
      </c>
      <c r="BD3" s="2652" t="s">
        <v>2599</v>
      </c>
      <c r="BE3" s="2652">
        <v>45047</v>
      </c>
      <c r="BF3" s="2652">
        <v>45078</v>
      </c>
      <c r="BG3" s="2652">
        <v>45108</v>
      </c>
      <c r="BH3" s="2652">
        <v>45139</v>
      </c>
    </row>
    <row r="4" spans="1:60" ht="17.25" customHeight="1" thickTop="1" x14ac:dyDescent="0.25">
      <c r="A4" s="2746"/>
      <c r="B4" s="2747"/>
      <c r="C4" s="2747"/>
      <c r="D4" s="2747"/>
      <c r="E4" s="2747"/>
      <c r="F4" s="2747"/>
      <c r="G4" s="2747"/>
      <c r="H4" s="2747"/>
      <c r="I4" s="2747"/>
      <c r="J4" s="2747"/>
      <c r="K4" s="2747"/>
      <c r="L4" s="2747"/>
      <c r="M4" s="2747"/>
      <c r="N4" s="2747"/>
      <c r="O4" s="2747"/>
      <c r="P4" s="2747"/>
      <c r="Q4" s="2747"/>
      <c r="R4" s="2747"/>
      <c r="S4" s="2747"/>
      <c r="T4" s="2747"/>
      <c r="U4" s="2747"/>
      <c r="V4" s="2747"/>
      <c r="W4" s="2747"/>
      <c r="X4" s="2747"/>
      <c r="Y4" s="2747"/>
      <c r="Z4" s="2747"/>
      <c r="AA4" s="2747"/>
      <c r="AB4" s="2747"/>
      <c r="AC4" s="2747"/>
      <c r="AD4" s="2747"/>
      <c r="AE4" s="2747"/>
      <c r="AF4" s="2747"/>
      <c r="AG4" s="2747"/>
      <c r="AH4" s="2747"/>
      <c r="AI4" s="2747"/>
      <c r="AJ4" s="2747"/>
      <c r="AK4" s="2747"/>
      <c r="AL4" s="2747"/>
      <c r="AM4" s="2747"/>
      <c r="AN4" s="2747"/>
      <c r="AO4" s="2747"/>
      <c r="AP4" s="2747"/>
      <c r="AQ4" s="2747"/>
      <c r="AR4" s="2747"/>
      <c r="AS4" s="2747"/>
      <c r="AT4" s="2747"/>
      <c r="AU4" s="2747"/>
      <c r="AV4" s="2747"/>
      <c r="AW4" s="2747"/>
      <c r="AX4" s="2747"/>
      <c r="AY4" s="2747"/>
      <c r="AZ4" s="2747"/>
      <c r="BA4" s="2747"/>
      <c r="BB4" s="2747"/>
      <c r="BC4" s="2747"/>
      <c r="BD4" s="2747"/>
      <c r="BE4" s="2747"/>
      <c r="BF4" s="2747"/>
      <c r="BG4" s="2747"/>
      <c r="BH4" s="2747"/>
    </row>
    <row r="5" spans="1:60" ht="22.5" customHeight="1" x14ac:dyDescent="0.25">
      <c r="A5" s="2749" t="s">
        <v>2633</v>
      </c>
      <c r="B5" s="2708">
        <v>385649.40622922993</v>
      </c>
      <c r="C5" s="2708">
        <v>363279.79565297958</v>
      </c>
      <c r="D5" s="2708">
        <v>353672.22692313755</v>
      </c>
      <c r="E5" s="2708">
        <v>336891.62640916527</v>
      </c>
      <c r="F5" s="2708">
        <v>392202.11374761362</v>
      </c>
      <c r="G5" s="2708">
        <v>354145.52008613723</v>
      </c>
      <c r="H5" s="2708">
        <v>372566.96164006862</v>
      </c>
      <c r="I5" s="2708">
        <v>346889.67271337175</v>
      </c>
      <c r="J5" s="2708">
        <v>339080.05635992333</v>
      </c>
      <c r="K5" s="2708">
        <v>372547.20632164081</v>
      </c>
      <c r="L5" s="2708">
        <v>345020.34132282884</v>
      </c>
      <c r="M5" s="2708">
        <v>352026.16984591458</v>
      </c>
      <c r="N5" s="2708">
        <v>372869.15477806696</v>
      </c>
      <c r="O5" s="2708">
        <v>425430.81849484541</v>
      </c>
      <c r="P5" s="2708">
        <v>378325.0342431232</v>
      </c>
      <c r="Q5" s="2708">
        <v>378124.14407719782</v>
      </c>
      <c r="R5" s="2708">
        <v>389345.73745258374</v>
      </c>
      <c r="S5" s="2708">
        <v>393152.78312206076</v>
      </c>
      <c r="T5" s="2708">
        <v>393799.49649500381</v>
      </c>
      <c r="U5" s="2708">
        <v>399158.47932819545</v>
      </c>
      <c r="V5" s="2708">
        <v>431125.96424864652</v>
      </c>
      <c r="W5" s="2708">
        <v>397686.15572789341</v>
      </c>
      <c r="X5" s="2708">
        <v>491444.3765313914</v>
      </c>
      <c r="Y5" s="2708">
        <v>505283.20364732033</v>
      </c>
      <c r="Z5" s="2708">
        <v>461673.38126699225</v>
      </c>
      <c r="AA5" s="2708">
        <v>477535.98417066422</v>
      </c>
      <c r="AB5" s="2708">
        <v>468677.71510817122</v>
      </c>
      <c r="AC5" s="2708">
        <v>452951.25845440623</v>
      </c>
      <c r="AD5" s="2708">
        <v>524636.90653630672</v>
      </c>
      <c r="AE5" s="2708">
        <v>551733.46787802991</v>
      </c>
      <c r="AF5" s="2708">
        <v>480913.714471235</v>
      </c>
      <c r="AG5" s="2708">
        <v>523729.98302754969</v>
      </c>
      <c r="AH5" s="2708">
        <v>517201.64438044082</v>
      </c>
      <c r="AI5" s="2708">
        <v>499924.38252289861</v>
      </c>
      <c r="AJ5" s="2708">
        <v>552015.49425927445</v>
      </c>
      <c r="AK5" s="2708">
        <v>552285.28254130215</v>
      </c>
      <c r="AL5" s="2708">
        <v>539238.5414826253</v>
      </c>
      <c r="AM5" s="2708">
        <v>554393.67126472527</v>
      </c>
      <c r="AN5" s="2708">
        <v>557096.9627283538</v>
      </c>
      <c r="AO5" s="2708">
        <v>538666.77301680064</v>
      </c>
      <c r="AP5" s="2708">
        <v>557052.76230342826</v>
      </c>
      <c r="AQ5" s="2708">
        <v>548816.20608771534</v>
      </c>
      <c r="AR5" s="2708">
        <v>610344.4000881731</v>
      </c>
      <c r="AS5" s="2708">
        <v>589539.19378155493</v>
      </c>
      <c r="AT5" s="2708">
        <v>543114.42312705528</v>
      </c>
      <c r="AU5" s="2708">
        <v>576486.50846704061</v>
      </c>
      <c r="AV5" s="2708">
        <v>565220.24229577091</v>
      </c>
      <c r="AW5" s="2708">
        <v>577580.60029436345</v>
      </c>
      <c r="AX5" s="2708">
        <v>581360.04692740284</v>
      </c>
      <c r="AY5" s="2708">
        <v>670222.42589064152</v>
      </c>
      <c r="AZ5" s="2708">
        <v>571651.57729259739</v>
      </c>
      <c r="BA5" s="2708">
        <v>631017.74052719015</v>
      </c>
      <c r="BB5" s="2708">
        <v>629474.23678417609</v>
      </c>
      <c r="BC5" s="2708">
        <v>634716.75839133351</v>
      </c>
      <c r="BD5" s="2708">
        <v>664266.66843291663</v>
      </c>
      <c r="BE5" s="2708">
        <v>655547.53331811575</v>
      </c>
      <c r="BF5" s="2708">
        <v>622444.84587232384</v>
      </c>
      <c r="BG5" s="2708">
        <v>669864.76880746498</v>
      </c>
      <c r="BH5" s="2708">
        <v>612799.88168887782</v>
      </c>
    </row>
    <row r="6" spans="1:60" ht="22.5" customHeight="1" x14ac:dyDescent="0.25">
      <c r="A6" s="2750" t="s">
        <v>2634</v>
      </c>
      <c r="B6" s="2751">
        <v>678116.00874646718</v>
      </c>
      <c r="C6" s="2751">
        <v>661319.61851377657</v>
      </c>
      <c r="D6" s="2751">
        <v>663158.79373686097</v>
      </c>
      <c r="E6" s="2751">
        <v>647990.19809867325</v>
      </c>
      <c r="F6" s="2751">
        <v>703553.30534787918</v>
      </c>
      <c r="G6" s="2751">
        <v>675194.62987425947</v>
      </c>
      <c r="H6" s="2751">
        <v>684160.43367899</v>
      </c>
      <c r="I6" s="2751">
        <v>668329.45538384817</v>
      </c>
      <c r="J6" s="2751">
        <v>673345.51050488092</v>
      </c>
      <c r="K6" s="2751">
        <v>711383.89268833294</v>
      </c>
      <c r="L6" s="2751">
        <v>688087.10238610615</v>
      </c>
      <c r="M6" s="2751">
        <v>701251.50397485052</v>
      </c>
      <c r="N6" s="2751">
        <v>726116.50519541709</v>
      </c>
      <c r="O6" s="2751">
        <v>787087.88260076311</v>
      </c>
      <c r="P6" s="2751">
        <v>754966.84731831658</v>
      </c>
      <c r="Q6" s="2751">
        <v>756348.23036135093</v>
      </c>
      <c r="R6" s="2751">
        <v>777464.69550262822</v>
      </c>
      <c r="S6" s="2751">
        <v>785681.97074679343</v>
      </c>
      <c r="T6" s="2751">
        <v>807365.04549238144</v>
      </c>
      <c r="U6" s="2751">
        <v>803679.92756011896</v>
      </c>
      <c r="V6" s="2751">
        <v>832593.46048708796</v>
      </c>
      <c r="W6" s="2751">
        <v>793383.35183111648</v>
      </c>
      <c r="X6" s="2751">
        <v>895454.73890974268</v>
      </c>
      <c r="Y6" s="2751">
        <v>885191.04906106566</v>
      </c>
      <c r="Z6" s="2751">
        <v>828386.98563737061</v>
      </c>
      <c r="AA6" s="2751">
        <v>867378.62936680508</v>
      </c>
      <c r="AB6" s="2751">
        <v>851966.97411224968</v>
      </c>
      <c r="AC6" s="2751">
        <v>876296.81615577568</v>
      </c>
      <c r="AD6" s="2751">
        <v>935790.86435820011</v>
      </c>
      <c r="AE6" s="2751">
        <v>968885.73663730244</v>
      </c>
      <c r="AF6" s="2751">
        <v>904209.60070943646</v>
      </c>
      <c r="AG6" s="2751">
        <v>961762.98252830526</v>
      </c>
      <c r="AH6" s="2751">
        <v>984472.99076271045</v>
      </c>
      <c r="AI6" s="2751">
        <v>955049.21523653902</v>
      </c>
      <c r="AJ6" s="2751">
        <v>1014108.1840873405</v>
      </c>
      <c r="AK6" s="2751">
        <v>1001369.8949634494</v>
      </c>
      <c r="AL6" s="2751">
        <v>990403.00768704363</v>
      </c>
      <c r="AM6" s="2751">
        <v>989772.57187537861</v>
      </c>
      <c r="AN6" s="2751">
        <v>1020699.1812205248</v>
      </c>
      <c r="AO6" s="2751">
        <v>1012550.502436602</v>
      </c>
      <c r="AP6" s="2751">
        <v>1062984.3240446942</v>
      </c>
      <c r="AQ6" s="2751">
        <v>1075556.9262596855</v>
      </c>
      <c r="AR6" s="2751">
        <v>1095773.455757499</v>
      </c>
      <c r="AS6" s="2751">
        <v>1091334.5986080214</v>
      </c>
      <c r="AT6" s="2751">
        <v>1086587.5131833598</v>
      </c>
      <c r="AU6" s="2751">
        <v>1126126.6264048368</v>
      </c>
      <c r="AV6" s="2751">
        <v>1132343.9398296382</v>
      </c>
      <c r="AW6" s="2751">
        <v>1159880.3397681832</v>
      </c>
      <c r="AX6" s="2751">
        <v>1186356.4461193553</v>
      </c>
      <c r="AY6" s="2751">
        <v>1236361.5233348387</v>
      </c>
      <c r="AZ6" s="2751">
        <v>1133974.3083388398</v>
      </c>
      <c r="BA6" s="2751">
        <v>1238516.4594064206</v>
      </c>
      <c r="BB6" s="2751">
        <v>1348909.4862168394</v>
      </c>
      <c r="BC6" s="2751">
        <v>1236374.1513405442</v>
      </c>
      <c r="BD6" s="2751">
        <v>1282515.4375383426</v>
      </c>
      <c r="BE6" s="2751">
        <v>1287051.8185401042</v>
      </c>
      <c r="BF6" s="2751">
        <v>1251236.2219206009</v>
      </c>
      <c r="BG6" s="2751">
        <v>1311119.0187543996</v>
      </c>
      <c r="BH6" s="2751">
        <v>1255123.6690230703</v>
      </c>
    </row>
    <row r="7" spans="1:60" ht="22.5" customHeight="1" x14ac:dyDescent="0.25">
      <c r="A7" s="2750" t="s">
        <v>2635</v>
      </c>
      <c r="B7" s="2751">
        <v>-292466.60251723725</v>
      </c>
      <c r="C7" s="2751">
        <v>-298039.82286079699</v>
      </c>
      <c r="D7" s="2751">
        <v>-309486.56681372342</v>
      </c>
      <c r="E7" s="2751">
        <v>-311098.57168950798</v>
      </c>
      <c r="F7" s="2751">
        <v>-311351.19160026556</v>
      </c>
      <c r="G7" s="2751">
        <v>-321049.10978812224</v>
      </c>
      <c r="H7" s="2751">
        <v>-311593.47203892138</v>
      </c>
      <c r="I7" s="2751">
        <v>-321439.78267047642</v>
      </c>
      <c r="J7" s="2751">
        <v>-334265.45414495759</v>
      </c>
      <c r="K7" s="2751">
        <v>-338836.68636669213</v>
      </c>
      <c r="L7" s="2751">
        <v>-343066.76106327731</v>
      </c>
      <c r="M7" s="2751">
        <v>-349225.33412893594</v>
      </c>
      <c r="N7" s="2751">
        <v>-353247.35041735013</v>
      </c>
      <c r="O7" s="2751">
        <v>-361657.0641059177</v>
      </c>
      <c r="P7" s="2751">
        <v>-376641.81307519338</v>
      </c>
      <c r="Q7" s="2751">
        <v>-378224.08628415311</v>
      </c>
      <c r="R7" s="2751">
        <v>-388118.95805004449</v>
      </c>
      <c r="S7" s="2751">
        <v>-392529.18762473267</v>
      </c>
      <c r="T7" s="2751">
        <v>-413565.54899737763</v>
      </c>
      <c r="U7" s="2751">
        <v>-404521.44823192351</v>
      </c>
      <c r="V7" s="2751">
        <v>-401467.49623844144</v>
      </c>
      <c r="W7" s="2751">
        <v>-395697.19610322308</v>
      </c>
      <c r="X7" s="2751">
        <v>-404010.36237835127</v>
      </c>
      <c r="Y7" s="2751">
        <v>-379907.84541374532</v>
      </c>
      <c r="Z7" s="2751">
        <v>-366713.60437037837</v>
      </c>
      <c r="AA7" s="2751">
        <v>-389842.64519614086</v>
      </c>
      <c r="AB7" s="2751">
        <v>-383289.25900407846</v>
      </c>
      <c r="AC7" s="2751">
        <v>-423345.55770136946</v>
      </c>
      <c r="AD7" s="2751">
        <v>-411153.95782189345</v>
      </c>
      <c r="AE7" s="2751">
        <v>-417152.26875927259</v>
      </c>
      <c r="AF7" s="2751">
        <v>-423295.88623820146</v>
      </c>
      <c r="AG7" s="2751">
        <v>-438032.99950075557</v>
      </c>
      <c r="AH7" s="2751">
        <v>-467271.34638226964</v>
      </c>
      <c r="AI7" s="2751">
        <v>-455124.83271364041</v>
      </c>
      <c r="AJ7" s="2751">
        <v>-462092.68982806604</v>
      </c>
      <c r="AK7" s="2751">
        <v>-449084.6124221473</v>
      </c>
      <c r="AL7" s="2751">
        <v>-451164.46620441828</v>
      </c>
      <c r="AM7" s="2751">
        <v>-435378.90061065333</v>
      </c>
      <c r="AN7" s="2751">
        <v>-463602.21849217103</v>
      </c>
      <c r="AO7" s="2751">
        <v>-473883.72941980138</v>
      </c>
      <c r="AP7" s="2751">
        <v>-505931.56174126588</v>
      </c>
      <c r="AQ7" s="2751">
        <v>-526740.7201719702</v>
      </c>
      <c r="AR7" s="2751">
        <v>-485429.05566932593</v>
      </c>
      <c r="AS7" s="2751">
        <v>-501795.4048264664</v>
      </c>
      <c r="AT7" s="2751">
        <v>-543473.09005630447</v>
      </c>
      <c r="AU7" s="2751">
        <v>-549640.11793779617</v>
      </c>
      <c r="AV7" s="2751">
        <v>-567123.69753386732</v>
      </c>
      <c r="AW7" s="2751">
        <v>-582299.73947381973</v>
      </c>
      <c r="AX7" s="2751">
        <v>-604996.39919195243</v>
      </c>
      <c r="AY7" s="2751">
        <v>-566139.09744419716</v>
      </c>
      <c r="AZ7" s="2751">
        <v>-562322.73104624241</v>
      </c>
      <c r="BA7" s="2751">
        <v>-607498.71887923044</v>
      </c>
      <c r="BB7" s="2751">
        <v>-719435.24943266332</v>
      </c>
      <c r="BC7" s="2751">
        <v>-601657.39294921071</v>
      </c>
      <c r="BD7" s="2751">
        <v>-618248.76910542592</v>
      </c>
      <c r="BE7" s="2751">
        <v>-631504.28522198845</v>
      </c>
      <c r="BF7" s="2751">
        <v>-628791.37604827702</v>
      </c>
      <c r="BG7" s="2751">
        <v>-641254.24994693464</v>
      </c>
      <c r="BH7" s="2751">
        <v>-642323.78733419243</v>
      </c>
    </row>
    <row r="8" spans="1:60" ht="14.25" customHeight="1" x14ac:dyDescent="0.25">
      <c r="A8" s="2750"/>
      <c r="B8" s="2751"/>
      <c r="C8" s="2751"/>
      <c r="D8" s="2751"/>
      <c r="E8" s="2751"/>
      <c r="F8" s="2751"/>
      <c r="G8" s="2751"/>
      <c r="H8" s="2751"/>
      <c r="I8" s="2751"/>
      <c r="J8" s="2751"/>
      <c r="K8" s="2751"/>
      <c r="L8" s="2751"/>
      <c r="M8" s="2751"/>
      <c r="N8" s="2751"/>
      <c r="O8" s="2751"/>
      <c r="P8" s="2751"/>
      <c r="Q8" s="2751"/>
      <c r="R8" s="2751"/>
      <c r="S8" s="2751"/>
      <c r="T8" s="2751"/>
      <c r="U8" s="2751"/>
      <c r="V8" s="2751"/>
      <c r="W8" s="2751"/>
      <c r="X8" s="2751"/>
      <c r="Y8" s="2751"/>
      <c r="Z8" s="2751"/>
      <c r="AA8" s="2751"/>
      <c r="AB8" s="2751"/>
      <c r="AC8" s="2751"/>
      <c r="AD8" s="2751"/>
      <c r="AE8" s="2751"/>
      <c r="AF8" s="2751"/>
      <c r="AG8" s="2751"/>
      <c r="AH8" s="2751"/>
      <c r="AI8" s="2751"/>
      <c r="AJ8" s="2751"/>
      <c r="AK8" s="2751"/>
      <c r="AL8" s="2751"/>
      <c r="AM8" s="2751"/>
      <c r="AN8" s="2751"/>
      <c r="AO8" s="2751"/>
      <c r="AP8" s="2751"/>
      <c r="AQ8" s="2751"/>
      <c r="AR8" s="2751"/>
      <c r="AS8" s="2751"/>
      <c r="AT8" s="2751"/>
      <c r="AU8" s="2751"/>
      <c r="AV8" s="2751"/>
      <c r="AW8" s="2751"/>
      <c r="AX8" s="2751"/>
      <c r="AY8" s="2751"/>
      <c r="AZ8" s="2751"/>
      <c r="BA8" s="2751"/>
      <c r="BB8" s="2751"/>
      <c r="BC8" s="2751"/>
      <c r="BD8" s="2751"/>
      <c r="BE8" s="2751"/>
      <c r="BF8" s="2751"/>
      <c r="BG8" s="2751"/>
      <c r="BH8" s="2751"/>
    </row>
    <row r="9" spans="1:60" ht="22.5" customHeight="1" x14ac:dyDescent="0.25">
      <c r="A9" s="2749" t="s">
        <v>2636</v>
      </c>
      <c r="B9" s="2708">
        <v>132582.19629137509</v>
      </c>
      <c r="C9" s="2708">
        <v>135312.77791247051</v>
      </c>
      <c r="D9" s="2708">
        <v>132372.44885152235</v>
      </c>
      <c r="E9" s="2708">
        <v>134947.45689269016</v>
      </c>
      <c r="F9" s="2708">
        <v>135234.18626352379</v>
      </c>
      <c r="G9" s="2708">
        <v>134998.85710492329</v>
      </c>
      <c r="H9" s="2708">
        <v>137618.88812548789</v>
      </c>
      <c r="I9" s="2708">
        <v>143328.28211254504</v>
      </c>
      <c r="J9" s="2708">
        <v>151952.28731442726</v>
      </c>
      <c r="K9" s="2708">
        <v>154739.02827337652</v>
      </c>
      <c r="L9" s="2708">
        <v>149034.35477402413</v>
      </c>
      <c r="M9" s="2708">
        <v>153434.97414880735</v>
      </c>
      <c r="N9" s="2708">
        <v>154371.74485310129</v>
      </c>
      <c r="O9" s="2708">
        <v>156427.96770249953</v>
      </c>
      <c r="P9" s="2708">
        <v>164461.29444468091</v>
      </c>
      <c r="Q9" s="2708">
        <v>173109.62377702535</v>
      </c>
      <c r="R9" s="2708">
        <v>176675.21250976957</v>
      </c>
      <c r="S9" s="2708">
        <v>177248.7694930635</v>
      </c>
      <c r="T9" s="2708">
        <v>172276.68957304404</v>
      </c>
      <c r="U9" s="2708">
        <v>180782.39108579364</v>
      </c>
      <c r="V9" s="2708">
        <v>171197.6469577543</v>
      </c>
      <c r="W9" s="2708">
        <v>181323.72398935939</v>
      </c>
      <c r="X9" s="2708">
        <v>176731.37385215604</v>
      </c>
      <c r="Y9" s="2708">
        <v>195048.36213158641</v>
      </c>
      <c r="Z9" s="2708">
        <v>191636.4330704801</v>
      </c>
      <c r="AA9" s="2708">
        <v>195960.85227549582</v>
      </c>
      <c r="AB9" s="2708">
        <v>210879.5022295207</v>
      </c>
      <c r="AC9" s="2708">
        <v>229393.72252891655</v>
      </c>
      <c r="AD9" s="2708">
        <v>210793.90180145408</v>
      </c>
      <c r="AE9" s="2708">
        <v>208702.69722161506</v>
      </c>
      <c r="AF9" s="2708">
        <v>215582.58239761149</v>
      </c>
      <c r="AG9" s="2708">
        <v>222481.33633273543</v>
      </c>
      <c r="AH9" s="2708">
        <v>215438.81936172582</v>
      </c>
      <c r="AI9" s="2708">
        <v>223680.25717790908</v>
      </c>
      <c r="AJ9" s="2708">
        <v>219394.55466715456</v>
      </c>
      <c r="AK9" s="2708">
        <v>229005.27923056041</v>
      </c>
      <c r="AL9" s="2708">
        <v>230367.96330212761</v>
      </c>
      <c r="AM9" s="2708">
        <v>230272.73216340027</v>
      </c>
      <c r="AN9" s="2708">
        <v>276260.96418993652</v>
      </c>
      <c r="AO9" s="2708">
        <v>236090.37333469922</v>
      </c>
      <c r="AP9" s="2708">
        <v>239748.93215822749</v>
      </c>
      <c r="AQ9" s="2708">
        <v>261181.78810627956</v>
      </c>
      <c r="AR9" s="2708">
        <v>220211.68237728975</v>
      </c>
      <c r="AS9" s="2708">
        <v>209943.10135015222</v>
      </c>
      <c r="AT9" s="2708">
        <v>247544.71566485724</v>
      </c>
      <c r="AU9" s="2708">
        <v>226285.36557831673</v>
      </c>
      <c r="AV9" s="2708">
        <v>225531.69494155492</v>
      </c>
      <c r="AW9" s="2708">
        <v>243646.62972087623</v>
      </c>
      <c r="AX9" s="2708">
        <v>206323.39053736482</v>
      </c>
      <c r="AY9" s="2708">
        <v>189965.75725312153</v>
      </c>
      <c r="AZ9" s="2708">
        <v>253771.93800190758</v>
      </c>
      <c r="BA9" s="2708">
        <v>214770.46504109458</v>
      </c>
      <c r="BB9" s="2708">
        <v>219146.26183244266</v>
      </c>
      <c r="BC9" s="2708">
        <v>209728.6894564238</v>
      </c>
      <c r="BD9" s="2708">
        <v>195114.28370957775</v>
      </c>
      <c r="BE9" s="2708">
        <v>189072.34537446324</v>
      </c>
      <c r="BF9" s="2708">
        <v>193733.64421737354</v>
      </c>
      <c r="BG9" s="2708">
        <v>203612.21011141851</v>
      </c>
      <c r="BH9" s="2708">
        <v>208932.79924326847</v>
      </c>
    </row>
    <row r="10" spans="1:60" ht="22.5" customHeight="1" x14ac:dyDescent="0.25">
      <c r="A10" s="2750" t="s">
        <v>2637</v>
      </c>
      <c r="B10" s="2751">
        <v>5441.6693809101835</v>
      </c>
      <c r="C10" s="2751">
        <v>5638.6729159237802</v>
      </c>
      <c r="D10" s="2751">
        <v>7704.4489917341543</v>
      </c>
      <c r="E10" s="2751">
        <v>7354.9369597161085</v>
      </c>
      <c r="F10" s="2751">
        <v>6057.7412150413129</v>
      </c>
      <c r="G10" s="2751">
        <v>6188.3169892272736</v>
      </c>
      <c r="H10" s="2751">
        <v>6526.4704679423421</v>
      </c>
      <c r="I10" s="2751">
        <v>6456.2028305483882</v>
      </c>
      <c r="J10" s="2751">
        <v>5837.0643281894327</v>
      </c>
      <c r="K10" s="2751">
        <v>6124.8075236438253</v>
      </c>
      <c r="L10" s="2751">
        <v>5972.4088819290218</v>
      </c>
      <c r="M10" s="2751">
        <v>5242.610979963948</v>
      </c>
      <c r="N10" s="2751">
        <v>6250.6338458380906</v>
      </c>
      <c r="O10" s="2751">
        <v>5814.1562041309053</v>
      </c>
      <c r="P10" s="2751">
        <v>7543.713894688377</v>
      </c>
      <c r="Q10" s="2751">
        <v>6263.8035133059066</v>
      </c>
      <c r="R10" s="2751">
        <v>5655.1840796482666</v>
      </c>
      <c r="S10" s="2751">
        <v>6490.3051716908449</v>
      </c>
      <c r="T10" s="2751">
        <v>6930.7378024656709</v>
      </c>
      <c r="U10" s="2751">
        <v>5586.7797979408087</v>
      </c>
      <c r="V10" s="2751">
        <v>5722.302474896841</v>
      </c>
      <c r="W10" s="2751">
        <v>5767.0276340122928</v>
      </c>
      <c r="X10" s="2751">
        <v>5098.575338673737</v>
      </c>
      <c r="Y10" s="2751">
        <v>5599.5383830129713</v>
      </c>
      <c r="Z10" s="2751">
        <v>5477.2437161352191</v>
      </c>
      <c r="AA10" s="2751">
        <v>5394.0144405774463</v>
      </c>
      <c r="AB10" s="2751">
        <v>6950.9651418888052</v>
      </c>
      <c r="AC10" s="2751">
        <v>6011.4850225429063</v>
      </c>
      <c r="AD10" s="2751">
        <v>5340.56838381337</v>
      </c>
      <c r="AE10" s="2751">
        <v>5928.2086155700936</v>
      </c>
      <c r="AF10" s="2751">
        <v>5770.0358313166835</v>
      </c>
      <c r="AG10" s="2751">
        <v>5691.350409953624</v>
      </c>
      <c r="AH10" s="2751">
        <v>5827.0871118054465</v>
      </c>
      <c r="AI10" s="2751">
        <v>5701.5120236500361</v>
      </c>
      <c r="AJ10" s="2751">
        <v>5898.6733748374745</v>
      </c>
      <c r="AK10" s="2751">
        <v>5848.1588981454179</v>
      </c>
      <c r="AL10" s="2751">
        <v>6200.9903362771829</v>
      </c>
      <c r="AM10" s="2751">
        <v>6174.9756292848388</v>
      </c>
      <c r="AN10" s="2751">
        <v>6658.4163965527987</v>
      </c>
      <c r="AO10" s="2751">
        <v>6093.529433580672</v>
      </c>
      <c r="AP10" s="2751">
        <v>6042.0403755521538</v>
      </c>
      <c r="AQ10" s="2751">
        <v>6302.4203345383849</v>
      </c>
      <c r="AR10" s="2751">
        <v>5806.7671158457588</v>
      </c>
      <c r="AS10" s="2751">
        <v>6199.1420801840804</v>
      </c>
      <c r="AT10" s="2751">
        <v>6226.0034153836359</v>
      </c>
      <c r="AU10" s="2751">
        <v>5852.8333855448573</v>
      </c>
      <c r="AV10" s="2751">
        <v>6188.2348218031029</v>
      </c>
      <c r="AW10" s="2751">
        <v>5945.0316045670652</v>
      </c>
      <c r="AX10" s="2751">
        <v>5600.8444229015204</v>
      </c>
      <c r="AY10" s="2751">
        <v>5676.8441473441744</v>
      </c>
      <c r="AZ10" s="2751">
        <v>7021.1141858289448</v>
      </c>
      <c r="BA10" s="2751">
        <v>6362.8260449469017</v>
      </c>
      <c r="BB10" s="2751">
        <v>6294.0120372970223</v>
      </c>
      <c r="BC10" s="2751">
        <v>6157.0350029967358</v>
      </c>
      <c r="BD10" s="2751">
        <v>5773.5440817647068</v>
      </c>
      <c r="BE10" s="2751">
        <v>6288.5177023886208</v>
      </c>
      <c r="BF10" s="2751">
        <v>6153.4373551306962</v>
      </c>
      <c r="BG10" s="2751">
        <v>5754.6709943726119</v>
      </c>
      <c r="BH10" s="2751">
        <v>6196.3994764574736</v>
      </c>
    </row>
    <row r="11" spans="1:60" ht="22.5" customHeight="1" x14ac:dyDescent="0.25">
      <c r="A11" s="2750" t="s">
        <v>2638</v>
      </c>
      <c r="B11" s="2751">
        <v>82563.59234208928</v>
      </c>
      <c r="C11" s="2751">
        <v>87384.928497697823</v>
      </c>
      <c r="D11" s="2751">
        <v>79538.672407307458</v>
      </c>
      <c r="E11" s="2751">
        <v>83333.376206196423</v>
      </c>
      <c r="F11" s="2751">
        <v>82695.745708529226</v>
      </c>
      <c r="G11" s="2751">
        <v>78909.555408014174</v>
      </c>
      <c r="H11" s="2751">
        <v>78765.13547548691</v>
      </c>
      <c r="I11" s="2751">
        <v>79256.70218141214</v>
      </c>
      <c r="J11" s="2751">
        <v>82850.505690479287</v>
      </c>
      <c r="K11" s="2751">
        <v>87436.502564791313</v>
      </c>
      <c r="L11" s="2751">
        <v>82086.954213231613</v>
      </c>
      <c r="M11" s="2751">
        <v>83675.527711102128</v>
      </c>
      <c r="N11" s="2751">
        <v>81087.619998718204</v>
      </c>
      <c r="O11" s="2751">
        <v>86933.210777206274</v>
      </c>
      <c r="P11" s="2751">
        <v>93476.41056536464</v>
      </c>
      <c r="Q11" s="2751">
        <v>90915.576182441</v>
      </c>
      <c r="R11" s="2751">
        <v>94764.483631942116</v>
      </c>
      <c r="S11" s="2751">
        <v>101628.99271691046</v>
      </c>
      <c r="T11" s="2751">
        <v>105771.52741119532</v>
      </c>
      <c r="U11" s="2751">
        <v>129614.41687471696</v>
      </c>
      <c r="V11" s="2751">
        <v>118702.32704485014</v>
      </c>
      <c r="W11" s="2751">
        <v>121061.68863668956</v>
      </c>
      <c r="X11" s="2751">
        <v>104970.81586813295</v>
      </c>
      <c r="Y11" s="2751">
        <v>103196.24441352117</v>
      </c>
      <c r="Z11" s="2751">
        <v>111265.96529821929</v>
      </c>
      <c r="AA11" s="2751">
        <v>116844.16643911877</v>
      </c>
      <c r="AB11" s="2751">
        <v>124183.61474854042</v>
      </c>
      <c r="AC11" s="2751">
        <v>145633.34386328957</v>
      </c>
      <c r="AD11" s="2751">
        <v>128075.85248768893</v>
      </c>
      <c r="AE11" s="2751">
        <v>126821.47929322447</v>
      </c>
      <c r="AF11" s="2751">
        <v>117314.12185414774</v>
      </c>
      <c r="AG11" s="2751">
        <v>122935.38863166633</v>
      </c>
      <c r="AH11" s="2751">
        <v>123526.92849112111</v>
      </c>
      <c r="AI11" s="2751">
        <v>127671.8330999685</v>
      </c>
      <c r="AJ11" s="2751">
        <v>127217.28707167719</v>
      </c>
      <c r="AK11" s="2751">
        <v>146203.1685395292</v>
      </c>
      <c r="AL11" s="2751">
        <v>131847.70822057157</v>
      </c>
      <c r="AM11" s="2751">
        <v>136741.00359390207</v>
      </c>
      <c r="AN11" s="2751">
        <v>174132.31137571399</v>
      </c>
      <c r="AO11" s="2751">
        <v>146834.82628167997</v>
      </c>
      <c r="AP11" s="2751">
        <v>143414.84184349797</v>
      </c>
      <c r="AQ11" s="2751">
        <v>163399.12932376846</v>
      </c>
      <c r="AR11" s="2751">
        <v>130860.90656628856</v>
      </c>
      <c r="AS11" s="2751">
        <v>121503.92728795201</v>
      </c>
      <c r="AT11" s="2751">
        <v>160872.49486174082</v>
      </c>
      <c r="AU11" s="2751">
        <v>131094.73160640625</v>
      </c>
      <c r="AV11" s="2751">
        <v>133000.85448332189</v>
      </c>
      <c r="AW11" s="2751">
        <v>144230.40977044334</v>
      </c>
      <c r="AX11" s="2751">
        <v>105571.68277827252</v>
      </c>
      <c r="AY11" s="2751">
        <v>95023.016555346927</v>
      </c>
      <c r="AZ11" s="2751">
        <v>178954.84082129551</v>
      </c>
      <c r="BA11" s="2751">
        <v>108150.47084708975</v>
      </c>
      <c r="BB11" s="2751">
        <v>104333.31139349095</v>
      </c>
      <c r="BC11" s="2751">
        <v>95512.952246975488</v>
      </c>
      <c r="BD11" s="2751">
        <v>86781.908925893731</v>
      </c>
      <c r="BE11" s="2751">
        <v>81422.837543823422</v>
      </c>
      <c r="BF11" s="2751">
        <v>84958.484585954691</v>
      </c>
      <c r="BG11" s="2751">
        <v>164114.0151659947</v>
      </c>
      <c r="BH11" s="2751">
        <v>150915.76948360848</v>
      </c>
    </row>
    <row r="12" spans="1:60" ht="19.5" customHeight="1" x14ac:dyDescent="0.25">
      <c r="A12" s="2750" t="s">
        <v>2639</v>
      </c>
      <c r="B12" s="2751">
        <v>44576.934568375611</v>
      </c>
      <c r="C12" s="2751">
        <v>42289.176498848909</v>
      </c>
      <c r="D12" s="2751">
        <v>45129.327452480735</v>
      </c>
      <c r="E12" s="2751">
        <v>44259.143726777613</v>
      </c>
      <c r="F12" s="2751">
        <v>46480.699339953251</v>
      </c>
      <c r="G12" s="2751">
        <v>49900.984707681826</v>
      </c>
      <c r="H12" s="2751">
        <v>52327.28218205864</v>
      </c>
      <c r="I12" s="2751">
        <v>57615.377100584534</v>
      </c>
      <c r="J12" s="2751">
        <v>63264.717295758535</v>
      </c>
      <c r="K12" s="2751">
        <v>61177.71818494139</v>
      </c>
      <c r="L12" s="2751">
        <v>60974.991678863509</v>
      </c>
      <c r="M12" s="2751">
        <v>64516.835457741283</v>
      </c>
      <c r="N12" s="2751">
        <v>67033.491008544996</v>
      </c>
      <c r="O12" s="2751">
        <v>63680.600721162351</v>
      </c>
      <c r="P12" s="2751">
        <v>63441.169984627886</v>
      </c>
      <c r="Q12" s="2751">
        <v>75930.244081278448</v>
      </c>
      <c r="R12" s="2751">
        <v>76255.54479817918</v>
      </c>
      <c r="S12" s="2751">
        <v>69129.471604462175</v>
      </c>
      <c r="T12" s="2751">
        <v>59574.424359383054</v>
      </c>
      <c r="U12" s="2751">
        <v>45581.194413135876</v>
      </c>
      <c r="V12" s="2751">
        <v>46773.017438007322</v>
      </c>
      <c r="W12" s="2751">
        <v>54495.007718657536</v>
      </c>
      <c r="X12" s="2751">
        <v>66661.982645349344</v>
      </c>
      <c r="Y12" s="2751">
        <v>86252.579335052287</v>
      </c>
      <c r="Z12" s="2751">
        <v>74893.224056125589</v>
      </c>
      <c r="AA12" s="2751">
        <v>73722.671395799611</v>
      </c>
      <c r="AB12" s="2751">
        <v>79744.922339091499</v>
      </c>
      <c r="AC12" s="2751">
        <v>77748.893643084084</v>
      </c>
      <c r="AD12" s="2751">
        <v>77377.480929951766</v>
      </c>
      <c r="AE12" s="2751">
        <v>75953.009312820519</v>
      </c>
      <c r="AF12" s="2751">
        <v>92498.424712147069</v>
      </c>
      <c r="AG12" s="2751">
        <v>93854.597291115482</v>
      </c>
      <c r="AH12" s="2751">
        <v>86084.803758799244</v>
      </c>
      <c r="AI12" s="2751">
        <v>90306.912054290558</v>
      </c>
      <c r="AJ12" s="2751">
        <v>86278.59422063989</v>
      </c>
      <c r="AK12" s="2751">
        <v>76953.951792885782</v>
      </c>
      <c r="AL12" s="2751">
        <v>92319.264745278881</v>
      </c>
      <c r="AM12" s="2751">
        <v>87356.752940213366</v>
      </c>
      <c r="AN12" s="2751">
        <v>95470.23641766973</v>
      </c>
      <c r="AO12" s="2751">
        <v>83162.017619438586</v>
      </c>
      <c r="AP12" s="2751">
        <v>90292.049939177392</v>
      </c>
      <c r="AQ12" s="2751">
        <v>91480.238447972719</v>
      </c>
      <c r="AR12" s="2751">
        <v>83544.008695155426</v>
      </c>
      <c r="AS12" s="2751">
        <v>82240.031982016109</v>
      </c>
      <c r="AT12" s="2751">
        <v>80446.217387732788</v>
      </c>
      <c r="AU12" s="2751">
        <v>89337.800586365614</v>
      </c>
      <c r="AV12" s="2751">
        <v>86342.605636429929</v>
      </c>
      <c r="AW12" s="2751">
        <v>93471.188345865812</v>
      </c>
      <c r="AX12" s="2751">
        <v>95150.8633361908</v>
      </c>
      <c r="AY12" s="2751">
        <v>89265.896550430407</v>
      </c>
      <c r="AZ12" s="2751">
        <v>67795.982994783117</v>
      </c>
      <c r="BA12" s="2751">
        <v>100257.16814905792</v>
      </c>
      <c r="BB12" s="2751">
        <v>108518.93840165467</v>
      </c>
      <c r="BC12" s="2751">
        <v>108058.70220645159</v>
      </c>
      <c r="BD12" s="2751">
        <v>102558.83070191933</v>
      </c>
      <c r="BE12" s="2751">
        <v>101360.9901282512</v>
      </c>
      <c r="BF12" s="2751">
        <v>102621.72227628816</v>
      </c>
      <c r="BG12" s="2751">
        <v>33743.523951051211</v>
      </c>
      <c r="BH12" s="2751">
        <v>51820.630283202518</v>
      </c>
    </row>
    <row r="13" spans="1:60" ht="11.25" customHeight="1" x14ac:dyDescent="0.25">
      <c r="A13" s="2750"/>
      <c r="B13" s="2751"/>
      <c r="C13" s="2751"/>
      <c r="D13" s="2751"/>
      <c r="E13" s="2751"/>
      <c r="F13" s="2751"/>
      <c r="G13" s="2751"/>
      <c r="H13" s="2751"/>
      <c r="I13" s="2751"/>
      <c r="J13" s="2751"/>
      <c r="K13" s="2751"/>
      <c r="L13" s="2751"/>
      <c r="M13" s="2751"/>
      <c r="N13" s="2751"/>
      <c r="O13" s="2751">
        <v>2.5</v>
      </c>
      <c r="P13" s="2751"/>
      <c r="Q13" s="2751"/>
      <c r="R13" s="2751"/>
      <c r="S13" s="2751"/>
      <c r="T13" s="2751"/>
      <c r="U13" s="2751"/>
      <c r="V13" s="2751"/>
      <c r="W13" s="2751"/>
      <c r="X13" s="2751"/>
      <c r="Y13" s="2751"/>
      <c r="Z13" s="2751"/>
      <c r="AA13" s="2751"/>
      <c r="AB13" s="2751"/>
      <c r="AC13" s="2751"/>
      <c r="AD13" s="2751"/>
      <c r="AE13" s="2751"/>
      <c r="AF13" s="2751"/>
      <c r="AG13" s="2751"/>
      <c r="AH13" s="2751"/>
      <c r="AI13" s="2751"/>
      <c r="AJ13" s="2751"/>
      <c r="AK13" s="2751"/>
      <c r="AL13" s="2751"/>
      <c r="AM13" s="2751"/>
      <c r="AN13" s="2751"/>
      <c r="AO13" s="2751"/>
      <c r="AP13" s="2751"/>
      <c r="AQ13" s="2751"/>
      <c r="AR13" s="2751"/>
      <c r="AS13" s="2751"/>
      <c r="AT13" s="2751"/>
      <c r="AU13" s="2751"/>
      <c r="AV13" s="2751"/>
      <c r="AW13" s="2751"/>
      <c r="AX13" s="2751"/>
      <c r="AY13" s="2751"/>
      <c r="AZ13" s="2751"/>
      <c r="BA13" s="2751"/>
      <c r="BB13" s="2751"/>
      <c r="BC13" s="2751"/>
      <c r="BD13" s="2751"/>
      <c r="BE13" s="2751"/>
      <c r="BF13" s="2751"/>
      <c r="BG13" s="2751"/>
      <c r="BH13" s="2751"/>
    </row>
    <row r="14" spans="1:60" ht="22.5" customHeight="1" x14ac:dyDescent="0.25">
      <c r="A14" s="2749" t="s">
        <v>2640</v>
      </c>
      <c r="B14" s="2708">
        <v>95912.159010256728</v>
      </c>
      <c r="C14" s="2708">
        <v>96358.448604507867</v>
      </c>
      <c r="D14" s="2708">
        <v>94606.461094577156</v>
      </c>
      <c r="E14" s="2708">
        <v>98513.136882358493</v>
      </c>
      <c r="F14" s="2708">
        <v>98419.089581583234</v>
      </c>
      <c r="G14" s="2708">
        <v>102100.8388480961</v>
      </c>
      <c r="H14" s="2708">
        <v>100429.58168204807</v>
      </c>
      <c r="I14" s="2708">
        <v>104956.51997646724</v>
      </c>
      <c r="J14" s="2708">
        <v>99603.390430154977</v>
      </c>
      <c r="K14" s="2708">
        <v>99147.19424265236</v>
      </c>
      <c r="L14" s="2708">
        <v>104710.76653035931</v>
      </c>
      <c r="M14" s="2708">
        <v>101090.81024325041</v>
      </c>
      <c r="N14" s="2708">
        <v>102614.10500011046</v>
      </c>
      <c r="O14" s="2708">
        <v>109799.84181547757</v>
      </c>
      <c r="P14" s="2708">
        <v>96370.221954894601</v>
      </c>
      <c r="Q14" s="2708">
        <v>104792.89405483412</v>
      </c>
      <c r="R14" s="2708">
        <v>100235.90780331341</v>
      </c>
      <c r="S14" s="2708">
        <v>107522.06243744137</v>
      </c>
      <c r="T14" s="2708">
        <v>115117.06355502739</v>
      </c>
      <c r="U14" s="2708">
        <v>113663.82334381409</v>
      </c>
      <c r="V14" s="2708">
        <v>130985.36750735366</v>
      </c>
      <c r="W14" s="2708">
        <v>123870.57175727657</v>
      </c>
      <c r="X14" s="2708">
        <v>117658.22214513682</v>
      </c>
      <c r="Y14" s="2708">
        <v>115101.32136797829</v>
      </c>
      <c r="Z14" s="2708">
        <v>110071.78765070974</v>
      </c>
      <c r="AA14" s="2708">
        <v>108053.66679872123</v>
      </c>
      <c r="AB14" s="2708">
        <v>105924.61550965313</v>
      </c>
      <c r="AC14" s="2708">
        <v>113219.15246678972</v>
      </c>
      <c r="AD14" s="2708">
        <v>119083.44453456254</v>
      </c>
      <c r="AE14" s="2708">
        <v>124465.12446889046</v>
      </c>
      <c r="AF14" s="2708">
        <v>128275.82180672989</v>
      </c>
      <c r="AG14" s="2708">
        <v>131361.07199122367</v>
      </c>
      <c r="AH14" s="2708">
        <v>144133.0072075119</v>
      </c>
      <c r="AI14" s="2708">
        <v>144263.12580057493</v>
      </c>
      <c r="AJ14" s="2708">
        <v>146910.60919368154</v>
      </c>
      <c r="AK14" s="2708">
        <v>149234.22821854963</v>
      </c>
      <c r="AL14" s="2708">
        <v>145689.52437338495</v>
      </c>
      <c r="AM14" s="2708">
        <v>148988.63277138385</v>
      </c>
      <c r="AN14" s="2708">
        <v>138451.66229621915</v>
      </c>
      <c r="AO14" s="2708">
        <v>152022.40623920903</v>
      </c>
      <c r="AP14" s="2708">
        <v>148515.76978822076</v>
      </c>
      <c r="AQ14" s="2708">
        <v>156054.30068815089</v>
      </c>
      <c r="AR14" s="2708">
        <v>153321.14447641195</v>
      </c>
      <c r="AS14" s="2708">
        <v>155238.93553129872</v>
      </c>
      <c r="AT14" s="2708">
        <v>150144.41142030733</v>
      </c>
      <c r="AU14" s="2708">
        <v>152487.78618279015</v>
      </c>
      <c r="AV14" s="2708">
        <v>158556.88604437522</v>
      </c>
      <c r="AW14" s="2708">
        <v>159675.08608649627</v>
      </c>
      <c r="AX14" s="2708">
        <v>158717.00217626573</v>
      </c>
      <c r="AY14" s="2708">
        <v>158333.02480456553</v>
      </c>
      <c r="AZ14" s="2708">
        <v>150985.32918860583</v>
      </c>
      <c r="BA14" s="2708">
        <v>149439.67511007993</v>
      </c>
      <c r="BB14" s="2708">
        <v>149028.79907183713</v>
      </c>
      <c r="BC14" s="2708">
        <v>156181.45850702174</v>
      </c>
      <c r="BD14" s="2708">
        <v>158437.83376471218</v>
      </c>
      <c r="BE14" s="2708">
        <v>159394.47237442053</v>
      </c>
      <c r="BF14" s="2708">
        <v>161079.87231775696</v>
      </c>
      <c r="BG14" s="2708">
        <v>163480.33612386655</v>
      </c>
      <c r="BH14" s="2708">
        <v>164736.59307234152</v>
      </c>
    </row>
    <row r="15" spans="1:60" ht="22.5" customHeight="1" x14ac:dyDescent="0.25">
      <c r="A15" s="2750" t="s">
        <v>2641</v>
      </c>
      <c r="B15" s="2751">
        <v>108217.11890005319</v>
      </c>
      <c r="C15" s="2751">
        <v>108579.23208321015</v>
      </c>
      <c r="D15" s="2751">
        <v>106178.93122812911</v>
      </c>
      <c r="E15" s="2751">
        <v>110549.0315719678</v>
      </c>
      <c r="F15" s="2751">
        <v>108574.7629698135</v>
      </c>
      <c r="G15" s="2751">
        <v>111766.4702303556</v>
      </c>
      <c r="H15" s="2751">
        <v>112862.75934543875</v>
      </c>
      <c r="I15" s="2751">
        <v>115551.63246242593</v>
      </c>
      <c r="J15" s="2751">
        <v>110970.08129169466</v>
      </c>
      <c r="K15" s="2751">
        <v>110078.73144454572</v>
      </c>
      <c r="L15" s="2751">
        <v>115273.40085948257</v>
      </c>
      <c r="M15" s="2751">
        <v>112146.14209126255</v>
      </c>
      <c r="N15" s="2751">
        <v>114600.09017981113</v>
      </c>
      <c r="O15" s="2751">
        <v>121045.56187016412</v>
      </c>
      <c r="P15" s="2751">
        <v>120246.625444812</v>
      </c>
      <c r="Q15" s="2751">
        <v>121462.67168724733</v>
      </c>
      <c r="R15" s="2751">
        <v>121946.85739869358</v>
      </c>
      <c r="S15" s="2751">
        <v>129309.58465342212</v>
      </c>
      <c r="T15" s="2751">
        <v>138351.73114569145</v>
      </c>
      <c r="U15" s="2751">
        <v>138328.15159699001</v>
      </c>
      <c r="V15" s="2751">
        <v>152923.42619524119</v>
      </c>
      <c r="W15" s="2751">
        <v>142978.58982017741</v>
      </c>
      <c r="X15" s="2751">
        <v>134498.01065773799</v>
      </c>
      <c r="Y15" s="2751">
        <v>131560.56328186748</v>
      </c>
      <c r="Z15" s="2751">
        <v>124840.14199082051</v>
      </c>
      <c r="AA15" s="2751">
        <v>126668.97558227062</v>
      </c>
      <c r="AB15" s="2751">
        <v>131312.31108673761</v>
      </c>
      <c r="AC15" s="2751">
        <v>135720.47854898963</v>
      </c>
      <c r="AD15" s="2751">
        <v>143416.61068777461</v>
      </c>
      <c r="AE15" s="2751">
        <v>147599.41475486901</v>
      </c>
      <c r="AF15" s="2751">
        <v>150472.33490783055</v>
      </c>
      <c r="AG15" s="2751">
        <v>157416.41771673187</v>
      </c>
      <c r="AH15" s="2751">
        <v>173783.68504441847</v>
      </c>
      <c r="AI15" s="2751">
        <v>175601.70856190039</v>
      </c>
      <c r="AJ15" s="2751">
        <v>178048.36496004724</v>
      </c>
      <c r="AK15" s="2751">
        <v>180464.7009208643</v>
      </c>
      <c r="AL15" s="2751">
        <v>181412.72462805136</v>
      </c>
      <c r="AM15" s="2751">
        <v>183749.51845366933</v>
      </c>
      <c r="AN15" s="2751">
        <v>181605.36676010067</v>
      </c>
      <c r="AO15" s="2751">
        <v>182796.73752880248</v>
      </c>
      <c r="AP15" s="2751">
        <v>182038.18274535876</v>
      </c>
      <c r="AQ15" s="2751">
        <v>182972.30523309699</v>
      </c>
      <c r="AR15" s="2751">
        <v>179817.77984560968</v>
      </c>
      <c r="AS15" s="2751">
        <v>183696.29925934118</v>
      </c>
      <c r="AT15" s="2751">
        <v>177906.25734122825</v>
      </c>
      <c r="AU15" s="2751">
        <v>178989.50809317731</v>
      </c>
      <c r="AV15" s="2751">
        <v>186953.69291451114</v>
      </c>
      <c r="AW15" s="2751">
        <v>190768.50160039446</v>
      </c>
      <c r="AX15" s="2751">
        <v>184495.9433856713</v>
      </c>
      <c r="AY15" s="2751">
        <v>184659.99227616753</v>
      </c>
      <c r="AZ15" s="2751">
        <v>180685.83200259754</v>
      </c>
      <c r="BA15" s="2751">
        <v>181019.52023045343</v>
      </c>
      <c r="BB15" s="2751">
        <v>180369.14264404797</v>
      </c>
      <c r="BC15" s="2751">
        <v>184146.12812449576</v>
      </c>
      <c r="BD15" s="2751">
        <v>186759.82992777362</v>
      </c>
      <c r="BE15" s="2751">
        <v>189704.70264590238</v>
      </c>
      <c r="BF15" s="2751">
        <v>194468.61959701782</v>
      </c>
      <c r="BG15" s="2751">
        <v>197490.87837364664</v>
      </c>
      <c r="BH15" s="2751">
        <v>198080.20936243696</v>
      </c>
    </row>
    <row r="16" spans="1:60" ht="22.5" customHeight="1" x14ac:dyDescent="0.25">
      <c r="A16" s="2750" t="s">
        <v>2642</v>
      </c>
      <c r="B16" s="2751">
        <v>-12304.959889796466</v>
      </c>
      <c r="C16" s="2751">
        <v>-12220.783478702284</v>
      </c>
      <c r="D16" s="2751">
        <v>-11572.470133551949</v>
      </c>
      <c r="E16" s="2751">
        <v>-12035.894689609304</v>
      </c>
      <c r="F16" s="2751">
        <v>-10155.673388230263</v>
      </c>
      <c r="G16" s="2751">
        <v>-9665.6313822594966</v>
      </c>
      <c r="H16" s="2751">
        <v>-12433.177663390679</v>
      </c>
      <c r="I16" s="2751">
        <v>-10595.112485958683</v>
      </c>
      <c r="J16" s="2751">
        <v>-11366.690861539679</v>
      </c>
      <c r="K16" s="2751">
        <v>-10931.537201893361</v>
      </c>
      <c r="L16" s="2751">
        <v>-10562.634329123266</v>
      </c>
      <c r="M16" s="2751">
        <v>-11055.331848012143</v>
      </c>
      <c r="N16" s="2751">
        <v>-11985.98517970067</v>
      </c>
      <c r="O16" s="2751">
        <v>-11245.720054686546</v>
      </c>
      <c r="P16" s="2751">
        <v>-23876.403489917404</v>
      </c>
      <c r="Q16" s="2751">
        <v>-16669.77763241321</v>
      </c>
      <c r="R16" s="2751">
        <v>-21710.949595380163</v>
      </c>
      <c r="S16" s="2751">
        <v>-21787.522215980738</v>
      </c>
      <c r="T16" s="2751">
        <v>-23234.667590664052</v>
      </c>
      <c r="U16" s="2751">
        <v>-24664.328253175914</v>
      </c>
      <c r="V16" s="2751">
        <v>-21938.05868788754</v>
      </c>
      <c r="W16" s="2751">
        <v>-19108.018062900832</v>
      </c>
      <c r="X16" s="2751">
        <v>-16839.788512601172</v>
      </c>
      <c r="Y16" s="2751">
        <v>-16459.241913889193</v>
      </c>
      <c r="Z16" s="2751">
        <v>-14768.35434011078</v>
      </c>
      <c r="AA16" s="2751">
        <v>-18615.30878354939</v>
      </c>
      <c r="AB16" s="2751">
        <v>-25387.695577084476</v>
      </c>
      <c r="AC16" s="2751">
        <v>-22501.32608219991</v>
      </c>
      <c r="AD16" s="2751">
        <v>-24333.166153212067</v>
      </c>
      <c r="AE16" s="2751">
        <v>-23134.290285978554</v>
      </c>
      <c r="AF16" s="2751">
        <v>-22196.51310110066</v>
      </c>
      <c r="AG16" s="2751">
        <v>-26055.345725508207</v>
      </c>
      <c r="AH16" s="2751">
        <v>-29650.677836906576</v>
      </c>
      <c r="AI16" s="2751">
        <v>-31338.582761325462</v>
      </c>
      <c r="AJ16" s="2751">
        <v>-31137.755766365713</v>
      </c>
      <c r="AK16" s="2751">
        <v>-31230.472702314655</v>
      </c>
      <c r="AL16" s="2751">
        <v>-35723.200254666408</v>
      </c>
      <c r="AM16" s="2751">
        <v>-34760.88568228548</v>
      </c>
      <c r="AN16" s="2751">
        <v>-43153.704463881528</v>
      </c>
      <c r="AO16" s="2751">
        <v>-30774.331289593461</v>
      </c>
      <c r="AP16" s="2751">
        <v>-33522.412957138011</v>
      </c>
      <c r="AQ16" s="2751">
        <v>-26918.004544946099</v>
      </c>
      <c r="AR16" s="2751">
        <v>-26496.635369197735</v>
      </c>
      <c r="AS16" s="2751">
        <v>-28457.363728042452</v>
      </c>
      <c r="AT16" s="2751">
        <v>-27761.845920920932</v>
      </c>
      <c r="AU16" s="2751">
        <v>-26501.721910387165</v>
      </c>
      <c r="AV16" s="2751">
        <v>-28396.806870135915</v>
      </c>
      <c r="AW16" s="2751">
        <v>-31093.415513898195</v>
      </c>
      <c r="AX16" s="2751">
        <v>-25778.941209405573</v>
      </c>
      <c r="AY16" s="2751">
        <v>-26326.967471601998</v>
      </c>
      <c r="AZ16" s="2751">
        <v>-29700.502813991719</v>
      </c>
      <c r="BA16" s="2751">
        <v>-31579.845120373509</v>
      </c>
      <c r="BB16" s="2751">
        <v>-31340.343572210848</v>
      </c>
      <c r="BC16" s="2751">
        <v>-27964.669617474021</v>
      </c>
      <c r="BD16" s="2751">
        <v>-28321.996163061438</v>
      </c>
      <c r="BE16" s="2751">
        <v>-30310.23027148184</v>
      </c>
      <c r="BF16" s="2751">
        <v>-33388.747279260861</v>
      </c>
      <c r="BG16" s="2751">
        <v>-34010.542249780083</v>
      </c>
      <c r="BH16" s="2751">
        <v>-33343.61629009543</v>
      </c>
    </row>
    <row r="17" spans="1:60" ht="17.25" customHeight="1" x14ac:dyDescent="0.25">
      <c r="A17" s="2749"/>
      <c r="B17" s="2708"/>
      <c r="C17" s="2708"/>
      <c r="D17" s="2708"/>
      <c r="E17" s="2708"/>
      <c r="F17" s="2708"/>
      <c r="G17" s="2708"/>
      <c r="H17" s="2708"/>
      <c r="I17" s="2708"/>
      <c r="J17" s="2708"/>
      <c r="K17" s="2708"/>
      <c r="L17" s="2708"/>
      <c r="M17" s="2708"/>
      <c r="N17" s="2708"/>
      <c r="O17" s="2708"/>
      <c r="P17" s="2708"/>
      <c r="Q17" s="2708"/>
      <c r="R17" s="2708"/>
      <c r="S17" s="2708"/>
      <c r="T17" s="2708"/>
      <c r="U17" s="2708"/>
      <c r="V17" s="2708"/>
      <c r="W17" s="2708"/>
      <c r="X17" s="2708"/>
      <c r="Y17" s="2708"/>
      <c r="Z17" s="2708"/>
      <c r="AA17" s="2708"/>
      <c r="AB17" s="2708"/>
      <c r="AC17" s="2708"/>
      <c r="AD17" s="2708"/>
      <c r="AE17" s="2708"/>
      <c r="AF17" s="2708"/>
      <c r="AG17" s="2708"/>
      <c r="AH17" s="2708"/>
      <c r="AI17" s="2708"/>
      <c r="AJ17" s="2708"/>
      <c r="AK17" s="2708"/>
      <c r="AL17" s="2708"/>
      <c r="AM17" s="2708"/>
      <c r="AN17" s="2708"/>
      <c r="AO17" s="2708"/>
      <c r="AP17" s="2708"/>
      <c r="AQ17" s="2708"/>
      <c r="AR17" s="2708"/>
      <c r="AS17" s="2708"/>
      <c r="AT17" s="2708"/>
      <c r="AU17" s="2708"/>
      <c r="AV17" s="2708"/>
      <c r="AW17" s="2708"/>
      <c r="AX17" s="2708"/>
      <c r="AY17" s="2708"/>
      <c r="AZ17" s="2708"/>
      <c r="BA17" s="2708"/>
      <c r="BB17" s="2708"/>
      <c r="BC17" s="2708"/>
      <c r="BD17" s="2708"/>
      <c r="BE17" s="2708"/>
      <c r="BF17" s="2708"/>
      <c r="BG17" s="2708"/>
      <c r="BH17" s="2708"/>
    </row>
    <row r="18" spans="1:60" ht="22.5" customHeight="1" x14ac:dyDescent="0.25">
      <c r="A18" s="2749" t="s">
        <v>2643</v>
      </c>
      <c r="B18" s="2708">
        <v>451073.7371483951</v>
      </c>
      <c r="C18" s="2708">
        <v>451878.05634321668</v>
      </c>
      <c r="D18" s="2708">
        <v>456334.86147293949</v>
      </c>
      <c r="E18" s="2708">
        <v>455941.45380823663</v>
      </c>
      <c r="F18" s="2708">
        <v>461357.69229075871</v>
      </c>
      <c r="G18" s="2708">
        <v>461200.64549646678</v>
      </c>
      <c r="H18" s="2708">
        <v>466015.88957993238</v>
      </c>
      <c r="I18" s="2708">
        <v>468822.28168550559</v>
      </c>
      <c r="J18" s="2708">
        <v>474117.6138447515</v>
      </c>
      <c r="K18" s="2708">
        <v>475524.32201576926</v>
      </c>
      <c r="L18" s="2708">
        <v>479207.38735999202</v>
      </c>
      <c r="M18" s="2708">
        <v>483866.50208134501</v>
      </c>
      <c r="N18" s="2708">
        <v>484379.95621825446</v>
      </c>
      <c r="O18" s="2708">
        <v>486395.38783103629</v>
      </c>
      <c r="P18" s="2708">
        <v>491691.96661388484</v>
      </c>
      <c r="Q18" s="2708">
        <v>492867.89942938258</v>
      </c>
      <c r="R18" s="2708">
        <v>488865.79346722353</v>
      </c>
      <c r="S18" s="2708">
        <v>493090.07736421895</v>
      </c>
      <c r="T18" s="2708">
        <v>500206.62997035653</v>
      </c>
      <c r="U18" s="2708">
        <v>499767.30424507416</v>
      </c>
      <c r="V18" s="2708">
        <v>502641.43176622962</v>
      </c>
      <c r="W18" s="2708">
        <v>503880.49019510503</v>
      </c>
      <c r="X18" s="2708">
        <v>501601.1696651699</v>
      </c>
      <c r="Y18" s="2708">
        <v>496108.67695145996</v>
      </c>
      <c r="Z18" s="2708">
        <v>494915.82835421042</v>
      </c>
      <c r="AA18" s="2708">
        <v>494144.66428709624</v>
      </c>
      <c r="AB18" s="2708">
        <v>493910.45560742536</v>
      </c>
      <c r="AC18" s="2708">
        <v>505527.66557847703</v>
      </c>
      <c r="AD18" s="2708">
        <v>496239.7346823978</v>
      </c>
      <c r="AE18" s="2708">
        <v>489644.77953211672</v>
      </c>
      <c r="AF18" s="2708">
        <v>499166.25881950383</v>
      </c>
      <c r="AG18" s="2708">
        <v>504042.44450547587</v>
      </c>
      <c r="AH18" s="2708">
        <v>505319.42920309445</v>
      </c>
      <c r="AI18" s="2708">
        <v>514845.82064394082</v>
      </c>
      <c r="AJ18" s="2708">
        <v>513063.20684336533</v>
      </c>
      <c r="AK18" s="2708">
        <v>512341.17578417563</v>
      </c>
      <c r="AL18" s="2708">
        <v>534163.71643387934</v>
      </c>
      <c r="AM18" s="2708">
        <v>522246.55549056362</v>
      </c>
      <c r="AN18" s="2708">
        <v>512428.00969782355</v>
      </c>
      <c r="AO18" s="2708">
        <v>514382.80970436963</v>
      </c>
      <c r="AP18" s="2708">
        <v>517812.76359883818</v>
      </c>
      <c r="AQ18" s="2708">
        <v>521927.6740014127</v>
      </c>
      <c r="AR18" s="2708">
        <v>518316.85022993037</v>
      </c>
      <c r="AS18" s="2708">
        <v>525654.79081545188</v>
      </c>
      <c r="AT18" s="2708">
        <v>544940.12048019178</v>
      </c>
      <c r="AU18" s="2708">
        <v>540655.08824403689</v>
      </c>
      <c r="AV18" s="2708">
        <v>546647.82440032589</v>
      </c>
      <c r="AW18" s="2708">
        <v>548407.37651596358</v>
      </c>
      <c r="AX18" s="2708">
        <v>559740.50131194782</v>
      </c>
      <c r="AY18" s="2708">
        <v>570485.95676622679</v>
      </c>
      <c r="AZ18" s="2708">
        <v>577934.56875696522</v>
      </c>
      <c r="BA18" s="2708">
        <v>581119.21071851486</v>
      </c>
      <c r="BB18" s="2708">
        <v>580221.0240214197</v>
      </c>
      <c r="BC18" s="2708">
        <v>576863.91699145513</v>
      </c>
      <c r="BD18" s="2708">
        <v>575770.14006976364</v>
      </c>
      <c r="BE18" s="2708">
        <v>579049.19182662666</v>
      </c>
      <c r="BF18" s="2708">
        <v>593828.00509089313</v>
      </c>
      <c r="BG18" s="2708">
        <v>596186.80470901553</v>
      </c>
      <c r="BH18" s="2708">
        <v>598860.16085779294</v>
      </c>
    </row>
    <row r="19" spans="1:60" ht="10.5" customHeight="1" x14ac:dyDescent="0.25">
      <c r="A19" s="2752"/>
      <c r="B19" s="2751"/>
      <c r="C19" s="2751"/>
      <c r="D19" s="2751"/>
      <c r="E19" s="2751"/>
      <c r="F19" s="2751"/>
      <c r="G19" s="2751"/>
      <c r="H19" s="2751"/>
      <c r="I19" s="2751"/>
      <c r="J19" s="2751"/>
      <c r="K19" s="2751"/>
      <c r="L19" s="2751"/>
      <c r="M19" s="2751"/>
      <c r="N19" s="2751"/>
      <c r="O19" s="2751"/>
      <c r="P19" s="2751"/>
      <c r="Q19" s="2751"/>
      <c r="R19" s="2751"/>
      <c r="S19" s="2751"/>
      <c r="T19" s="2751"/>
      <c r="U19" s="2751"/>
      <c r="V19" s="2751"/>
      <c r="W19" s="2751"/>
      <c r="X19" s="2751"/>
      <c r="Y19" s="2751"/>
      <c r="Z19" s="2751"/>
      <c r="AA19" s="2751"/>
      <c r="AB19" s="2751"/>
      <c r="AC19" s="2751"/>
      <c r="AD19" s="2751"/>
      <c r="AE19" s="2751"/>
      <c r="AF19" s="2751"/>
      <c r="AG19" s="2751"/>
      <c r="AH19" s="2751"/>
      <c r="AI19" s="2751"/>
      <c r="AJ19" s="2751"/>
      <c r="AK19" s="2751"/>
      <c r="AL19" s="2751"/>
      <c r="AM19" s="2751"/>
      <c r="AN19" s="2751"/>
      <c r="AO19" s="2751"/>
      <c r="AP19" s="2751"/>
      <c r="AQ19" s="2751"/>
      <c r="AR19" s="2751"/>
      <c r="AS19" s="2751"/>
      <c r="AT19" s="2751"/>
      <c r="AU19" s="2751"/>
      <c r="AV19" s="2751"/>
      <c r="AW19" s="2751"/>
      <c r="AX19" s="2751"/>
      <c r="AY19" s="2751"/>
      <c r="AZ19" s="2751"/>
      <c r="BA19" s="2751"/>
      <c r="BB19" s="2751"/>
      <c r="BC19" s="2751"/>
      <c r="BD19" s="2751"/>
      <c r="BE19" s="2751"/>
      <c r="BF19" s="2751"/>
      <c r="BG19" s="2751"/>
      <c r="BH19" s="2751"/>
    </row>
    <row r="20" spans="1:60" ht="21.75" customHeight="1" x14ac:dyDescent="0.25">
      <c r="A20" s="2749" t="s">
        <v>2644</v>
      </c>
      <c r="B20" s="2708">
        <v>522.57621659999995</v>
      </c>
      <c r="C20" s="2708">
        <v>530.43674090999991</v>
      </c>
      <c r="D20" s="2708">
        <v>451.85899688000006</v>
      </c>
      <c r="E20" s="2708">
        <v>449.49498455999998</v>
      </c>
      <c r="F20" s="2708">
        <v>460.36892423999996</v>
      </c>
      <c r="G20" s="2708">
        <v>495.24021552999994</v>
      </c>
      <c r="H20" s="2708">
        <v>452.14654894</v>
      </c>
      <c r="I20" s="2708">
        <v>456.44429422000002</v>
      </c>
      <c r="J20" s="2753">
        <v>311.48910302000002</v>
      </c>
      <c r="K20" s="2708">
        <v>311.82640702999998</v>
      </c>
      <c r="L20" s="2708">
        <v>308.17392470999994</v>
      </c>
      <c r="M20" s="2708">
        <v>256.47710615</v>
      </c>
      <c r="N20" s="2708">
        <v>146.41670360000001</v>
      </c>
      <c r="O20" s="2708">
        <v>154.76987269999998</v>
      </c>
      <c r="P20" s="2708">
        <v>78.109223049999997</v>
      </c>
      <c r="Q20" s="2708">
        <v>73.199827839999998</v>
      </c>
      <c r="R20" s="2708">
        <v>159.13884273999997</v>
      </c>
      <c r="S20" s="2708">
        <v>90.191372209999997</v>
      </c>
      <c r="T20" s="2708">
        <v>95.977676840000015</v>
      </c>
      <c r="U20" s="2708">
        <v>100.59973837999999</v>
      </c>
      <c r="V20" s="2708">
        <v>12138.693073389999</v>
      </c>
      <c r="W20" s="2708">
        <v>12016.07055699</v>
      </c>
      <c r="X20" s="2708">
        <v>12031.780456820001</v>
      </c>
      <c r="Y20" s="2708">
        <v>10246.224443559999</v>
      </c>
      <c r="Z20" s="2708">
        <v>10311.653699110002</v>
      </c>
      <c r="AA20" s="2708">
        <v>10417.145987380001</v>
      </c>
      <c r="AB20" s="2708">
        <v>2047.99303992</v>
      </c>
      <c r="AC20" s="2708">
        <v>2066.7607259299998</v>
      </c>
      <c r="AD20" s="2708">
        <v>2079.2860818499998</v>
      </c>
      <c r="AE20" s="2708">
        <v>66.589581159999994</v>
      </c>
      <c r="AF20" s="2708">
        <v>79.972528219999987</v>
      </c>
      <c r="AG20" s="2708">
        <v>64.184046659999993</v>
      </c>
      <c r="AH20" s="2708">
        <v>59.933134109999997</v>
      </c>
      <c r="AI20" s="2708">
        <v>61.903596100000009</v>
      </c>
      <c r="AJ20" s="2708">
        <v>55.75456071</v>
      </c>
      <c r="AK20" s="2708">
        <v>58.08664469</v>
      </c>
      <c r="AL20" s="2708">
        <v>60.365235179999999</v>
      </c>
      <c r="AM20" s="2708">
        <v>63.432219039999993</v>
      </c>
      <c r="AN20" s="2708">
        <v>55.651880509999998</v>
      </c>
      <c r="AO20" s="2708">
        <v>59.78485079</v>
      </c>
      <c r="AP20" s="2708">
        <v>58.47387612</v>
      </c>
      <c r="AQ20" s="2708">
        <v>52.474686779999992</v>
      </c>
      <c r="AR20" s="2708">
        <v>53.158377230000006</v>
      </c>
      <c r="AS20" s="2708">
        <v>49.501873149999994</v>
      </c>
      <c r="AT20" s="2708">
        <v>53.398212369999996</v>
      </c>
      <c r="AU20" s="2708">
        <v>51.505267619999998</v>
      </c>
      <c r="AV20" s="2708">
        <v>112.92910121999999</v>
      </c>
      <c r="AW20" s="2708">
        <v>124.9716359</v>
      </c>
      <c r="AX20" s="2708">
        <v>118.93893346999999</v>
      </c>
      <c r="AY20" s="2708">
        <v>117.7121846</v>
      </c>
      <c r="AZ20" s="2708">
        <v>106.39736470000001</v>
      </c>
      <c r="BA20" s="2708">
        <v>132.70047986000003</v>
      </c>
      <c r="BB20" s="2708">
        <v>108.94590164</v>
      </c>
      <c r="BC20" s="2708">
        <v>103.31673272</v>
      </c>
      <c r="BD20" s="2708">
        <v>102.94019059</v>
      </c>
      <c r="BE20" s="2708">
        <v>101.63518917000002</v>
      </c>
      <c r="BF20" s="2708">
        <v>100.88639645000001</v>
      </c>
      <c r="BG20" s="2708">
        <v>96.238306309999999</v>
      </c>
      <c r="BH20" s="2708">
        <v>96.587645129999999</v>
      </c>
    </row>
    <row r="21" spans="1:60" ht="9.75" customHeight="1" x14ac:dyDescent="0.25">
      <c r="A21" s="2749"/>
      <c r="B21" s="2751"/>
      <c r="C21" s="2751"/>
      <c r="D21" s="2751"/>
      <c r="E21" s="2751"/>
      <c r="F21" s="2751"/>
      <c r="G21" s="2751"/>
      <c r="H21" s="2751"/>
      <c r="I21" s="2751"/>
      <c r="J21" s="2751"/>
      <c r="K21" s="2751"/>
      <c r="L21" s="2751"/>
      <c r="M21" s="2751"/>
      <c r="N21" s="2751"/>
      <c r="O21" s="2751"/>
      <c r="P21" s="2751"/>
      <c r="Q21" s="2751"/>
      <c r="R21" s="2751"/>
      <c r="S21" s="2751"/>
      <c r="T21" s="2751"/>
      <c r="U21" s="2751"/>
      <c r="V21" s="2751"/>
      <c r="W21" s="2751"/>
      <c r="X21" s="2751"/>
      <c r="Y21" s="2751"/>
      <c r="Z21" s="2751"/>
      <c r="AA21" s="2751"/>
      <c r="AB21" s="2751"/>
      <c r="AC21" s="2751"/>
      <c r="AD21" s="2751"/>
      <c r="AE21" s="2751"/>
      <c r="AF21" s="2751"/>
      <c r="AG21" s="2751"/>
      <c r="AH21" s="2751"/>
      <c r="AI21" s="2751"/>
      <c r="AJ21" s="2751"/>
      <c r="AK21" s="2751"/>
      <c r="AL21" s="2751"/>
      <c r="AM21" s="2751"/>
      <c r="AN21" s="2751"/>
      <c r="AO21" s="2751"/>
      <c r="AP21" s="2751"/>
      <c r="AQ21" s="2751"/>
      <c r="AR21" s="2751"/>
      <c r="AS21" s="2751"/>
      <c r="AT21" s="2751"/>
      <c r="AU21" s="2751"/>
      <c r="AV21" s="2751"/>
      <c r="AW21" s="2751"/>
      <c r="AX21" s="2751"/>
      <c r="AY21" s="2751"/>
      <c r="AZ21" s="2751"/>
      <c r="BA21" s="2751"/>
      <c r="BB21" s="2751"/>
      <c r="BC21" s="2751"/>
      <c r="BD21" s="2751"/>
      <c r="BE21" s="2751"/>
      <c r="BF21" s="2751"/>
      <c r="BG21" s="2751"/>
      <c r="BH21" s="2751"/>
    </row>
    <row r="22" spans="1:60" ht="22.5" customHeight="1" x14ac:dyDescent="0.25">
      <c r="A22" s="2749" t="s">
        <v>2645</v>
      </c>
      <c r="B22" s="2708">
        <v>349789.39643925882</v>
      </c>
      <c r="C22" s="2708">
        <v>354170.3034660893</v>
      </c>
      <c r="D22" s="2708">
        <v>357735.22139157733</v>
      </c>
      <c r="E22" s="2708">
        <v>357962.47704415396</v>
      </c>
      <c r="F22" s="2708">
        <v>360581.78950197063</v>
      </c>
      <c r="G22" s="2708">
        <v>363085.37267747527</v>
      </c>
      <c r="H22" s="2708">
        <v>364932.49857265683</v>
      </c>
      <c r="I22" s="2708">
        <v>366847.34362554888</v>
      </c>
      <c r="J22" s="2708">
        <v>372438.94038680987</v>
      </c>
      <c r="K22" s="2708">
        <v>371917.46975703631</v>
      </c>
      <c r="L22" s="2708">
        <v>370888.18591016589</v>
      </c>
      <c r="M22" s="2708">
        <v>372574.82047093648</v>
      </c>
      <c r="N22" s="2708">
        <v>379078.89212929457</v>
      </c>
      <c r="O22" s="2708">
        <v>385351.11206594779</v>
      </c>
      <c r="P22" s="2708">
        <v>393440.09602186747</v>
      </c>
      <c r="Q22" s="2708">
        <v>393991.29553756956</v>
      </c>
      <c r="R22" s="2708">
        <v>404976.78114451043</v>
      </c>
      <c r="S22" s="2708">
        <v>417170.38737767446</v>
      </c>
      <c r="T22" s="2708">
        <v>431839.58590218471</v>
      </c>
      <c r="U22" s="2708">
        <v>439171.12592656486</v>
      </c>
      <c r="V22" s="2708">
        <v>442961.82572781673</v>
      </c>
      <c r="W22" s="2708">
        <v>440860.03805052245</v>
      </c>
      <c r="X22" s="2708">
        <v>441254.28449667618</v>
      </c>
      <c r="Y22" s="2708">
        <v>450949.35300080496</v>
      </c>
      <c r="Z22" s="2708">
        <v>452880.19470378384</v>
      </c>
      <c r="AA22" s="2708">
        <v>451506.00409469916</v>
      </c>
      <c r="AB22" s="2708">
        <v>460594.77236869972</v>
      </c>
      <c r="AC22" s="2708">
        <v>466335.37205285276</v>
      </c>
      <c r="AD22" s="2708">
        <v>471158.83303180221</v>
      </c>
      <c r="AE22" s="2708">
        <v>480063.96320307633</v>
      </c>
      <c r="AF22" s="2708">
        <v>489982.67451628548</v>
      </c>
      <c r="AG22" s="2708">
        <v>492690.02785586292</v>
      </c>
      <c r="AH22" s="2708">
        <v>497613.61870424671</v>
      </c>
      <c r="AI22" s="2708">
        <v>506686.67131947889</v>
      </c>
      <c r="AJ22" s="2708">
        <v>502593.89032367163</v>
      </c>
      <c r="AK22" s="2708">
        <v>502755.0153042879</v>
      </c>
      <c r="AL22" s="2708">
        <v>517456.02598702308</v>
      </c>
      <c r="AM22" s="2708">
        <v>523105.98182163591</v>
      </c>
      <c r="AN22" s="2708">
        <v>526554.98568187421</v>
      </c>
      <c r="AO22" s="2708">
        <v>527621.54509135394</v>
      </c>
      <c r="AP22" s="2708">
        <v>531965.9557624131</v>
      </c>
      <c r="AQ22" s="2708">
        <v>538595.33689040213</v>
      </c>
      <c r="AR22" s="2708">
        <v>539560.43435716932</v>
      </c>
      <c r="AS22" s="2708">
        <v>535894.82571799518</v>
      </c>
      <c r="AT22" s="2708">
        <v>550816.78274416761</v>
      </c>
      <c r="AU22" s="2708">
        <v>555735.260254369</v>
      </c>
      <c r="AV22" s="2708">
        <v>545675.65038445208</v>
      </c>
      <c r="AW22" s="2708">
        <v>547537.03390497121</v>
      </c>
      <c r="AX22" s="2708">
        <v>547624.78860308998</v>
      </c>
      <c r="AY22" s="2708">
        <v>551900.23132537864</v>
      </c>
      <c r="AZ22" s="2708">
        <v>553442.77092180587</v>
      </c>
      <c r="BA22" s="2708">
        <v>564117.50235049624</v>
      </c>
      <c r="BB22" s="2708">
        <v>567394.84187350597</v>
      </c>
      <c r="BC22" s="2708">
        <v>554686.40333726758</v>
      </c>
      <c r="BD22" s="2708">
        <v>548030.75193037488</v>
      </c>
      <c r="BE22" s="2708">
        <v>546442.87838717911</v>
      </c>
      <c r="BF22" s="2708">
        <v>556746.78366040951</v>
      </c>
      <c r="BG22" s="2708">
        <v>561982.70872516313</v>
      </c>
      <c r="BH22" s="2708">
        <v>562855.19911565154</v>
      </c>
    </row>
    <row r="23" spans="1:60" ht="10.5" customHeight="1" x14ac:dyDescent="0.25">
      <c r="A23" s="2749"/>
      <c r="B23" s="2708"/>
      <c r="C23" s="2708"/>
      <c r="D23" s="2708"/>
      <c r="E23" s="2708"/>
      <c r="F23" s="2708"/>
      <c r="G23" s="2708"/>
      <c r="H23" s="2708"/>
      <c r="I23" s="2708"/>
      <c r="J23" s="2708"/>
      <c r="K23" s="2708"/>
      <c r="L23" s="2708"/>
      <c r="M23" s="2708"/>
      <c r="N23" s="2708"/>
      <c r="O23" s="2708"/>
      <c r="P23" s="2708"/>
      <c r="Q23" s="2708"/>
      <c r="R23" s="2708"/>
      <c r="S23" s="2708"/>
      <c r="T23" s="2708"/>
      <c r="U23" s="2708"/>
      <c r="V23" s="2708"/>
      <c r="W23" s="2708"/>
      <c r="X23" s="2708"/>
      <c r="Y23" s="2708"/>
      <c r="Z23" s="2708"/>
      <c r="AA23" s="2708"/>
      <c r="AB23" s="2708"/>
      <c r="AC23" s="2708"/>
      <c r="AD23" s="2708"/>
      <c r="AE23" s="2708"/>
      <c r="AF23" s="2708"/>
      <c r="AG23" s="2708"/>
      <c r="AH23" s="2708"/>
      <c r="AI23" s="2708"/>
      <c r="AJ23" s="2708"/>
      <c r="AK23" s="2708"/>
      <c r="AL23" s="2708"/>
      <c r="AM23" s="2708"/>
      <c r="AN23" s="2708"/>
      <c r="AO23" s="2708"/>
      <c r="AP23" s="2708"/>
      <c r="AQ23" s="2708"/>
      <c r="AR23" s="2708"/>
      <c r="AS23" s="2708"/>
      <c r="AT23" s="2708"/>
      <c r="AU23" s="2708"/>
      <c r="AV23" s="2708"/>
      <c r="AW23" s="2708"/>
      <c r="AX23" s="2708"/>
      <c r="AY23" s="2708"/>
      <c r="AZ23" s="2708"/>
      <c r="BA23" s="2708"/>
      <c r="BB23" s="2708"/>
      <c r="BC23" s="2708"/>
      <c r="BD23" s="2708"/>
      <c r="BE23" s="2708"/>
      <c r="BF23" s="2708"/>
      <c r="BG23" s="2708"/>
      <c r="BH23" s="2708"/>
    </row>
    <row r="24" spans="1:60" ht="22.5" customHeight="1" x14ac:dyDescent="0.25">
      <c r="A24" s="2749" t="s">
        <v>2646</v>
      </c>
      <c r="B24" s="2708">
        <v>144883.38886078529</v>
      </c>
      <c r="C24" s="2708">
        <v>143439.12745355885</v>
      </c>
      <c r="D24" s="2708">
        <v>143496.29122423049</v>
      </c>
      <c r="E24" s="2708">
        <v>145106.94909269409</v>
      </c>
      <c r="F24" s="2708">
        <v>146097.19155949244</v>
      </c>
      <c r="G24" s="2708">
        <v>144905.64824180829</v>
      </c>
      <c r="H24" s="2708">
        <v>145337.20193105954</v>
      </c>
      <c r="I24" s="2708">
        <v>142617.13254103361</v>
      </c>
      <c r="J24" s="2708">
        <v>142168.91231730412</v>
      </c>
      <c r="K24" s="2708">
        <v>145175.64693089874</v>
      </c>
      <c r="L24" s="2708">
        <v>145009.12880182205</v>
      </c>
      <c r="M24" s="2708">
        <v>146886.99544390262</v>
      </c>
      <c r="N24" s="2708">
        <v>148587.50168630731</v>
      </c>
      <c r="O24" s="2708">
        <v>148924.06911314867</v>
      </c>
      <c r="P24" s="2708">
        <v>146135.72684683496</v>
      </c>
      <c r="Q24" s="2708">
        <v>149654.89173177833</v>
      </c>
      <c r="R24" s="2708">
        <v>149489.65466258017</v>
      </c>
      <c r="S24" s="2708">
        <v>148721.92179424886</v>
      </c>
      <c r="T24" s="2708">
        <v>145212.12223979147</v>
      </c>
      <c r="U24" s="2708">
        <v>145121.90364971879</v>
      </c>
      <c r="V24" s="2708">
        <v>146233.60011356845</v>
      </c>
      <c r="W24" s="2708">
        <v>147731.5166022795</v>
      </c>
      <c r="X24" s="2708">
        <v>148643.92693014941</v>
      </c>
      <c r="Y24" s="2708">
        <v>148733.96141695153</v>
      </c>
      <c r="Z24" s="2708">
        <v>148776.37339146185</v>
      </c>
      <c r="AA24" s="2708">
        <v>150773.99329671604</v>
      </c>
      <c r="AB24" s="2708">
        <v>150023.86640949865</v>
      </c>
      <c r="AC24" s="2708">
        <v>149489.95006325806</v>
      </c>
      <c r="AD24" s="2708">
        <v>148159.36137781234</v>
      </c>
      <c r="AE24" s="2708">
        <v>143922.01373360475</v>
      </c>
      <c r="AF24" s="2708">
        <v>141332.03858743189</v>
      </c>
      <c r="AG24" s="2708">
        <v>142611.96901376377</v>
      </c>
      <c r="AH24" s="2708">
        <v>143737.48427063884</v>
      </c>
      <c r="AI24" s="2708">
        <v>144411.78692895081</v>
      </c>
      <c r="AJ24" s="2708">
        <v>144572.51039488416</v>
      </c>
      <c r="AK24" s="2708">
        <v>144955.18732009598</v>
      </c>
      <c r="AL24" s="2708">
        <v>144522.90579350753</v>
      </c>
      <c r="AM24" s="2708">
        <v>141913.70705970578</v>
      </c>
      <c r="AN24" s="2708">
        <v>140857.08230651257</v>
      </c>
      <c r="AO24" s="2708">
        <v>137808.60757889133</v>
      </c>
      <c r="AP24" s="2708">
        <v>140975.98418438493</v>
      </c>
      <c r="AQ24" s="2708">
        <v>142657.59735011787</v>
      </c>
      <c r="AR24" s="2708">
        <v>138443.99641782831</v>
      </c>
      <c r="AS24" s="2708">
        <v>136824.53371241607</v>
      </c>
      <c r="AT24" s="2708">
        <v>142830.22736783768</v>
      </c>
      <c r="AU24" s="2708">
        <v>144451.65765574001</v>
      </c>
      <c r="AV24" s="2708">
        <v>145106.70121517318</v>
      </c>
      <c r="AW24" s="2708">
        <v>149285.09576204285</v>
      </c>
      <c r="AX24" s="2708">
        <v>150205.1510615084</v>
      </c>
      <c r="AY24" s="2708">
        <v>153582.25267760098</v>
      </c>
      <c r="AZ24" s="2708">
        <v>160701.75284107169</v>
      </c>
      <c r="BA24" s="2708">
        <v>163515.98840334633</v>
      </c>
      <c r="BB24" s="2708">
        <v>171171.73673197755</v>
      </c>
      <c r="BC24" s="2708">
        <v>179557.37246380627</v>
      </c>
      <c r="BD24" s="2708">
        <v>176691.81012167362</v>
      </c>
      <c r="BE24" s="2708">
        <v>174700.92805779242</v>
      </c>
      <c r="BF24" s="2708">
        <v>178700.48802450992</v>
      </c>
      <c r="BG24" s="2708">
        <v>187976.80883700293</v>
      </c>
      <c r="BH24" s="2708">
        <v>188934.32097706848</v>
      </c>
    </row>
    <row r="25" spans="1:60" ht="8.25" customHeight="1" x14ac:dyDescent="0.25">
      <c r="A25" s="2754"/>
      <c r="B25" s="2751"/>
      <c r="C25" s="2751"/>
      <c r="D25" s="2751"/>
      <c r="E25" s="2751"/>
      <c r="F25" s="2751"/>
      <c r="G25" s="2751"/>
      <c r="H25" s="2751"/>
      <c r="I25" s="2751"/>
      <c r="J25" s="2751"/>
      <c r="K25" s="2751"/>
      <c r="L25" s="2751"/>
      <c r="M25" s="2751"/>
      <c r="N25" s="2751"/>
      <c r="O25" s="2751"/>
      <c r="P25" s="2751"/>
      <c r="Q25" s="2751"/>
      <c r="R25" s="2751"/>
      <c r="S25" s="2751"/>
      <c r="T25" s="2751"/>
      <c r="U25" s="2751"/>
      <c r="V25" s="2751"/>
      <c r="W25" s="2751"/>
      <c r="X25" s="2751"/>
      <c r="Y25" s="2751"/>
      <c r="Z25" s="2751"/>
      <c r="AA25" s="2751"/>
      <c r="AB25" s="2751"/>
      <c r="AC25" s="2751"/>
      <c r="AD25" s="2751"/>
      <c r="AE25" s="2751"/>
      <c r="AF25" s="2751"/>
      <c r="AG25" s="2751"/>
      <c r="AH25" s="2751"/>
      <c r="AI25" s="2751"/>
      <c r="AJ25" s="2751"/>
      <c r="AK25" s="2751"/>
      <c r="AL25" s="2751"/>
      <c r="AM25" s="2751"/>
      <c r="AN25" s="2751"/>
      <c r="AO25" s="2751"/>
      <c r="AP25" s="2751"/>
      <c r="AQ25" s="2751"/>
      <c r="AR25" s="2751"/>
      <c r="AS25" s="2751"/>
      <c r="AT25" s="2751"/>
      <c r="AU25" s="2751"/>
      <c r="AV25" s="2751"/>
      <c r="AW25" s="2751"/>
      <c r="AX25" s="2751"/>
      <c r="AY25" s="2751"/>
      <c r="AZ25" s="2751"/>
      <c r="BA25" s="2751"/>
      <c r="BB25" s="2751"/>
      <c r="BC25" s="2751"/>
      <c r="BD25" s="2751"/>
      <c r="BE25" s="2751"/>
      <c r="BF25" s="2751"/>
      <c r="BG25" s="2751"/>
      <c r="BH25" s="2751"/>
    </row>
    <row r="26" spans="1:60" ht="22.5" customHeight="1" x14ac:dyDescent="0.25">
      <c r="A26" s="2749" t="s">
        <v>2647</v>
      </c>
      <c r="B26" s="2708">
        <v>0</v>
      </c>
      <c r="C26" s="2708">
        <v>0</v>
      </c>
      <c r="D26" s="2708">
        <v>0</v>
      </c>
      <c r="E26" s="2708">
        <v>0</v>
      </c>
      <c r="F26" s="2708">
        <v>0</v>
      </c>
      <c r="G26" s="2708">
        <v>0</v>
      </c>
      <c r="H26" s="2708">
        <v>0</v>
      </c>
      <c r="I26" s="2708">
        <v>0</v>
      </c>
      <c r="J26" s="2708">
        <v>0</v>
      </c>
      <c r="K26" s="2708">
        <v>0</v>
      </c>
      <c r="L26" s="2708">
        <v>0</v>
      </c>
      <c r="M26" s="2708">
        <v>0</v>
      </c>
      <c r="N26" s="2708">
        <v>0</v>
      </c>
      <c r="O26" s="2708">
        <v>0</v>
      </c>
      <c r="P26" s="2708">
        <v>0</v>
      </c>
      <c r="Q26" s="2708">
        <v>0</v>
      </c>
      <c r="R26" s="2708">
        <v>0</v>
      </c>
      <c r="S26" s="2708">
        <v>0</v>
      </c>
      <c r="T26" s="2708">
        <v>0</v>
      </c>
      <c r="U26" s="2708">
        <v>0</v>
      </c>
      <c r="V26" s="2708">
        <v>0</v>
      </c>
      <c r="W26" s="2708">
        <v>0</v>
      </c>
      <c r="X26" s="2708">
        <v>0</v>
      </c>
      <c r="Y26" s="2708">
        <v>0</v>
      </c>
      <c r="Z26" s="2708">
        <v>0</v>
      </c>
      <c r="AA26" s="2708">
        <v>0</v>
      </c>
      <c r="AB26" s="2708">
        <v>0</v>
      </c>
      <c r="AC26" s="2708">
        <v>0</v>
      </c>
      <c r="AD26" s="2708">
        <v>0</v>
      </c>
      <c r="AE26" s="2708">
        <v>0</v>
      </c>
      <c r="AF26" s="2708">
        <v>0</v>
      </c>
      <c r="AG26" s="2708">
        <v>0</v>
      </c>
      <c r="AH26" s="2708">
        <v>0</v>
      </c>
      <c r="AI26" s="2708">
        <v>0</v>
      </c>
      <c r="AJ26" s="2708">
        <v>0</v>
      </c>
      <c r="AK26" s="2708">
        <v>0</v>
      </c>
      <c r="AL26" s="2708">
        <v>0</v>
      </c>
      <c r="AM26" s="2708">
        <v>0</v>
      </c>
      <c r="AN26" s="2708">
        <v>0</v>
      </c>
      <c r="AO26" s="2708">
        <v>0</v>
      </c>
      <c r="AP26" s="2708">
        <v>0</v>
      </c>
      <c r="AQ26" s="2708">
        <v>0</v>
      </c>
      <c r="AR26" s="2708">
        <v>0</v>
      </c>
      <c r="AS26" s="2708">
        <v>0</v>
      </c>
      <c r="AT26" s="2708">
        <v>0</v>
      </c>
      <c r="AU26" s="2708">
        <v>0</v>
      </c>
      <c r="AV26" s="2708">
        <v>0</v>
      </c>
      <c r="AW26" s="2708">
        <v>0</v>
      </c>
      <c r="AX26" s="2708">
        <v>0</v>
      </c>
      <c r="AY26" s="2708">
        <v>0</v>
      </c>
      <c r="AZ26" s="2708">
        <v>0</v>
      </c>
      <c r="BA26" s="2708">
        <v>0</v>
      </c>
      <c r="BB26" s="2708">
        <v>0</v>
      </c>
      <c r="BC26" s="2708">
        <v>0</v>
      </c>
      <c r="BD26" s="2708">
        <v>0</v>
      </c>
      <c r="BE26" s="2708">
        <v>0</v>
      </c>
      <c r="BF26" s="2708">
        <v>0</v>
      </c>
      <c r="BG26" s="2708">
        <v>0</v>
      </c>
      <c r="BH26" s="2708">
        <v>0</v>
      </c>
    </row>
    <row r="27" spans="1:60" ht="10.5" customHeight="1" x14ac:dyDescent="0.25">
      <c r="A27" s="2750"/>
      <c r="B27" s="2751"/>
      <c r="C27" s="2751"/>
      <c r="D27" s="2751"/>
      <c r="E27" s="2751"/>
      <c r="F27" s="2751"/>
      <c r="G27" s="2751"/>
      <c r="H27" s="2751"/>
      <c r="I27" s="2751"/>
      <c r="J27" s="2751"/>
      <c r="K27" s="2751"/>
      <c r="L27" s="2751"/>
      <c r="M27" s="2751"/>
      <c r="N27" s="2751"/>
      <c r="O27" s="2751"/>
      <c r="P27" s="2751"/>
      <c r="Q27" s="2751"/>
      <c r="R27" s="2751"/>
      <c r="S27" s="2751"/>
      <c r="T27" s="2751"/>
      <c r="U27" s="2751"/>
      <c r="V27" s="2751"/>
      <c r="W27" s="2751"/>
      <c r="X27" s="2751"/>
      <c r="Y27" s="2751"/>
      <c r="Z27" s="2751"/>
      <c r="AA27" s="2751"/>
      <c r="AB27" s="2751"/>
      <c r="AC27" s="2751"/>
      <c r="AD27" s="2751"/>
      <c r="AE27" s="2751"/>
      <c r="AF27" s="2751"/>
      <c r="AG27" s="2751"/>
      <c r="AH27" s="2751"/>
      <c r="AI27" s="2751"/>
      <c r="AJ27" s="2751"/>
      <c r="AK27" s="2751"/>
      <c r="AL27" s="2751"/>
      <c r="AM27" s="2751"/>
      <c r="AN27" s="2751"/>
      <c r="AO27" s="2751"/>
      <c r="AP27" s="2751"/>
      <c r="AQ27" s="2751"/>
      <c r="AR27" s="2751"/>
      <c r="AS27" s="2751"/>
      <c r="AT27" s="2751"/>
      <c r="AU27" s="2751"/>
      <c r="AV27" s="2751"/>
      <c r="AW27" s="2751"/>
      <c r="AX27" s="2751"/>
      <c r="AY27" s="2751"/>
      <c r="AZ27" s="2751"/>
      <c r="BA27" s="2751"/>
      <c r="BB27" s="2751"/>
      <c r="BC27" s="2751"/>
      <c r="BD27" s="2751"/>
      <c r="BE27" s="2751"/>
      <c r="BF27" s="2751"/>
      <c r="BG27" s="2751"/>
      <c r="BH27" s="2751"/>
    </row>
    <row r="28" spans="1:60" ht="22.5" customHeight="1" x14ac:dyDescent="0.25">
      <c r="A28" s="2749" t="s">
        <v>2648</v>
      </c>
      <c r="B28" s="2708"/>
      <c r="C28" s="2708"/>
      <c r="D28" s="2708"/>
      <c r="E28" s="2708"/>
      <c r="F28" s="2708"/>
      <c r="G28" s="2708"/>
      <c r="H28" s="2708"/>
      <c r="I28" s="2708"/>
      <c r="J28" s="2708"/>
      <c r="K28" s="2708"/>
      <c r="L28" s="2708"/>
      <c r="M28" s="2708"/>
      <c r="N28" s="2708"/>
      <c r="O28" s="2708"/>
      <c r="P28" s="2708"/>
      <c r="Q28" s="2708"/>
      <c r="R28" s="2708"/>
      <c r="S28" s="2708"/>
      <c r="T28" s="2708"/>
      <c r="U28" s="2708"/>
      <c r="V28" s="2708"/>
      <c r="W28" s="2708"/>
      <c r="X28" s="2708"/>
      <c r="Y28" s="2708"/>
      <c r="Z28" s="2708"/>
      <c r="AA28" s="2708"/>
      <c r="AB28" s="2708"/>
      <c r="AC28" s="2708"/>
      <c r="AD28" s="2708"/>
      <c r="AE28" s="2708"/>
      <c r="AF28" s="2708"/>
      <c r="AG28" s="2708"/>
      <c r="AH28" s="2708"/>
      <c r="AI28" s="2708"/>
      <c r="AJ28" s="2708"/>
      <c r="AK28" s="2708"/>
      <c r="AL28" s="2708"/>
      <c r="AM28" s="2708"/>
      <c r="AN28" s="2708"/>
      <c r="AO28" s="2708"/>
      <c r="AP28" s="2708"/>
      <c r="AQ28" s="2708"/>
      <c r="AR28" s="2708"/>
      <c r="AS28" s="2708"/>
      <c r="AT28" s="2708"/>
      <c r="AU28" s="2708"/>
      <c r="AV28" s="2708"/>
      <c r="AW28" s="2708"/>
      <c r="AX28" s="2708"/>
      <c r="AY28" s="2708"/>
      <c r="AZ28" s="2708"/>
      <c r="BA28" s="2708"/>
      <c r="BB28" s="2708"/>
      <c r="BC28" s="2708"/>
      <c r="BD28" s="2708"/>
      <c r="BE28" s="2708"/>
      <c r="BF28" s="2708"/>
      <c r="BG28" s="2708"/>
      <c r="BH28" s="2708"/>
    </row>
    <row r="29" spans="1:60" ht="22.5" customHeight="1" x14ac:dyDescent="0.25">
      <c r="A29" s="2746" t="s">
        <v>2649</v>
      </c>
      <c r="B29" s="2708">
        <v>371820.41246335511</v>
      </c>
      <c r="C29" s="2708">
        <v>345978.12591905287</v>
      </c>
      <c r="D29" s="2708">
        <v>344592.93580855796</v>
      </c>
      <c r="E29" s="2708">
        <v>330296.29170795</v>
      </c>
      <c r="F29" s="2708">
        <v>385448.02944673214</v>
      </c>
      <c r="G29" s="2708">
        <v>345639.7747620907</v>
      </c>
      <c r="H29" s="2708">
        <v>365706.06015358894</v>
      </c>
      <c r="I29" s="2708">
        <v>348318.70683307596</v>
      </c>
      <c r="J29" s="2708">
        <v>345759.14137831796</v>
      </c>
      <c r="K29" s="2708">
        <v>374528.30897165101</v>
      </c>
      <c r="L29" s="2708">
        <v>354951.43150542554</v>
      </c>
      <c r="M29" s="2708">
        <v>360949.47712199442</v>
      </c>
      <c r="N29" s="2708">
        <v>378549.76280583034</v>
      </c>
      <c r="O29" s="2708">
        <v>429442.59929208434</v>
      </c>
      <c r="P29" s="2708">
        <v>385057.17265573645</v>
      </c>
      <c r="Q29" s="2708">
        <v>395984.38072670449</v>
      </c>
      <c r="R29" s="2708">
        <v>395609.24065458408</v>
      </c>
      <c r="S29" s="2708">
        <v>392116.27284580446</v>
      </c>
      <c r="T29" s="2708">
        <v>388056.22939926386</v>
      </c>
      <c r="U29" s="2708">
        <v>390645.14163770003</v>
      </c>
      <c r="V29" s="2708">
        <v>410080.53944106522</v>
      </c>
      <c r="W29" s="2708">
        <v>388542.33471318497</v>
      </c>
      <c r="X29" s="2708">
        <v>464110.86675237794</v>
      </c>
      <c r="Y29" s="2708">
        <v>473879.77038058394</v>
      </c>
      <c r="Z29" s="2708">
        <v>420020.78837752168</v>
      </c>
      <c r="AA29" s="2708">
        <v>432221.76154978963</v>
      </c>
      <c r="AB29" s="2708">
        <v>439047.8970075947</v>
      </c>
      <c r="AC29" s="2708">
        <v>454257.41830865305</v>
      </c>
      <c r="AD29" s="2708">
        <v>493140.21808222844</v>
      </c>
      <c r="AE29" s="2708">
        <v>516704.15221673512</v>
      </c>
      <c r="AF29" s="2708">
        <v>457242.30943425174</v>
      </c>
      <c r="AG29" s="2708">
        <v>510814.96322751959</v>
      </c>
      <c r="AH29" s="2708">
        <v>498674.1029262282</v>
      </c>
      <c r="AI29" s="2708">
        <v>489056.04360221996</v>
      </c>
      <c r="AJ29" s="2708">
        <v>540419.34684097394</v>
      </c>
      <c r="AK29" s="2708">
        <v>552708.14688056253</v>
      </c>
      <c r="AL29" s="2708">
        <v>542537.82056109654</v>
      </c>
      <c r="AM29" s="2708">
        <v>537531.55730851716</v>
      </c>
      <c r="AN29" s="2708">
        <v>572121.93708637124</v>
      </c>
      <c r="AO29" s="2708">
        <v>519897.36128409789</v>
      </c>
      <c r="AP29" s="2708">
        <v>539788.64929401688</v>
      </c>
      <c r="AQ29" s="2708">
        <v>553761.8382041296</v>
      </c>
      <c r="AR29" s="2708">
        <v>578620.98014860379</v>
      </c>
      <c r="AS29" s="2708">
        <v>555854.69307784573</v>
      </c>
      <c r="AT29" s="2708">
        <v>540106.31055837544</v>
      </c>
      <c r="AU29" s="2708">
        <v>538113.22421959322</v>
      </c>
      <c r="AV29" s="2708">
        <v>547692.50243254844</v>
      </c>
      <c r="AW29" s="2708">
        <v>574542.54559571308</v>
      </c>
      <c r="AX29" s="2708">
        <v>547904.22736040235</v>
      </c>
      <c r="AY29" s="2708">
        <v>619114.77540406189</v>
      </c>
      <c r="AZ29" s="2708">
        <v>580752.50373938913</v>
      </c>
      <c r="BA29" s="2708">
        <v>579964.48418040865</v>
      </c>
      <c r="BB29" s="2708">
        <v>564033.42369130359</v>
      </c>
      <c r="BC29" s="2708">
        <v>567633.20026496018</v>
      </c>
      <c r="BD29" s="2708">
        <v>589800.52981670352</v>
      </c>
      <c r="BE29" s="2708">
        <v>579154.11838025483</v>
      </c>
      <c r="BF29" s="2708">
        <v>550458.53429755941</v>
      </c>
      <c r="BG29" s="2708">
        <v>595301.56498120225</v>
      </c>
      <c r="BH29" s="2708">
        <v>539730.48428214202</v>
      </c>
    </row>
    <row r="30" spans="1:60" ht="12" customHeight="1" x14ac:dyDescent="0.25">
      <c r="A30" s="2755"/>
      <c r="B30" s="2751"/>
      <c r="C30" s="2751"/>
      <c r="D30" s="2751"/>
      <c r="E30" s="2751"/>
      <c r="F30" s="2751"/>
      <c r="G30" s="2751"/>
      <c r="H30" s="2751"/>
      <c r="I30" s="2751"/>
      <c r="J30" s="2751"/>
      <c r="K30" s="2751"/>
      <c r="L30" s="2751"/>
      <c r="M30" s="2751"/>
      <c r="N30" s="2751"/>
      <c r="O30" s="2751"/>
      <c r="P30" s="2751"/>
      <c r="Q30" s="2751"/>
      <c r="R30" s="2751"/>
      <c r="S30" s="2751"/>
      <c r="T30" s="2751"/>
      <c r="U30" s="2751"/>
      <c r="V30" s="2751"/>
      <c r="W30" s="2751"/>
      <c r="X30" s="2751"/>
      <c r="Y30" s="2751"/>
      <c r="Z30" s="2751"/>
      <c r="AA30" s="2751"/>
      <c r="AB30" s="2751"/>
      <c r="AC30" s="2751"/>
      <c r="AD30" s="2751"/>
      <c r="AE30" s="2751"/>
      <c r="AF30" s="2751"/>
      <c r="AG30" s="2751"/>
      <c r="AH30" s="2751"/>
      <c r="AI30" s="2751"/>
      <c r="AJ30" s="2751"/>
      <c r="AK30" s="2751"/>
      <c r="AL30" s="2751"/>
      <c r="AM30" s="2751"/>
      <c r="AN30" s="2751"/>
      <c r="AO30" s="2751"/>
      <c r="AP30" s="2751"/>
      <c r="AQ30" s="2751"/>
      <c r="AR30" s="2751"/>
      <c r="AS30" s="2751"/>
      <c r="AT30" s="2751"/>
      <c r="AU30" s="2751"/>
      <c r="AV30" s="2751"/>
      <c r="AW30" s="2751"/>
      <c r="AX30" s="2751"/>
      <c r="AY30" s="2751"/>
      <c r="AZ30" s="2751"/>
      <c r="BA30" s="2751"/>
      <c r="BB30" s="2751"/>
      <c r="BC30" s="2751"/>
      <c r="BD30" s="2751"/>
      <c r="BE30" s="2751"/>
      <c r="BF30" s="2751"/>
      <c r="BG30" s="2751"/>
      <c r="BH30" s="2751"/>
    </row>
    <row r="31" spans="1:60" ht="22.5" customHeight="1" x14ac:dyDescent="0.25">
      <c r="A31" s="2749" t="s">
        <v>2650</v>
      </c>
      <c r="B31" s="2708">
        <v>1623.27390423</v>
      </c>
      <c r="C31" s="2708">
        <v>1548.5679364100001</v>
      </c>
      <c r="D31" s="2708">
        <v>855.12510182999995</v>
      </c>
      <c r="E31" s="2708">
        <v>1275.4246460999998</v>
      </c>
      <c r="F31" s="2708">
        <v>1296.6051401700001</v>
      </c>
      <c r="G31" s="2708">
        <v>1322.7311870499998</v>
      </c>
      <c r="H31" s="2708">
        <v>1664.4127358000001</v>
      </c>
      <c r="I31" s="2708">
        <v>1730.7663387500002</v>
      </c>
      <c r="J31" s="2708">
        <v>1744.1606250000002</v>
      </c>
      <c r="K31" s="2708">
        <v>1269.4877059999999</v>
      </c>
      <c r="L31" s="2708">
        <v>1336.3206773700001</v>
      </c>
      <c r="M31" s="2708">
        <v>1431.07576062</v>
      </c>
      <c r="N31" s="2708">
        <v>1613.53974404</v>
      </c>
      <c r="O31" s="2708">
        <v>1697.4800377300003</v>
      </c>
      <c r="P31" s="2708">
        <v>1644.9191077999999</v>
      </c>
      <c r="Q31" s="2708">
        <v>1569.9684395700001</v>
      </c>
      <c r="R31" s="2708">
        <v>1514.3693039699997</v>
      </c>
      <c r="S31" s="2708">
        <v>1589.9343460800001</v>
      </c>
      <c r="T31" s="2708">
        <v>1389.7755594499999</v>
      </c>
      <c r="U31" s="2708">
        <v>1248.1248768700002</v>
      </c>
      <c r="V31" s="2708">
        <v>1545.2350535099999</v>
      </c>
      <c r="W31" s="2708">
        <v>1659.15287908</v>
      </c>
      <c r="X31" s="2708">
        <v>1893.0338647900003</v>
      </c>
      <c r="Y31" s="2708">
        <v>1791.4027259099998</v>
      </c>
      <c r="Z31" s="2708">
        <v>1726.3617396699999</v>
      </c>
      <c r="AA31" s="2708">
        <v>1796.3770332900001</v>
      </c>
      <c r="AB31" s="2708">
        <v>1653.1243997000001</v>
      </c>
      <c r="AC31" s="2708">
        <v>1735.5649875700001</v>
      </c>
      <c r="AD31" s="2708">
        <v>1632.2116555099999</v>
      </c>
      <c r="AE31" s="2708">
        <v>1836.78979452</v>
      </c>
      <c r="AF31" s="2708">
        <v>1747.5416362799999</v>
      </c>
      <c r="AG31" s="2708">
        <v>1636.2422863100001</v>
      </c>
      <c r="AH31" s="2708">
        <v>1775.39708838</v>
      </c>
      <c r="AI31" s="2708">
        <v>1732.4463909999999</v>
      </c>
      <c r="AJ31" s="2708">
        <v>1792.55095682</v>
      </c>
      <c r="AK31" s="2708">
        <v>1798.9373246600001</v>
      </c>
      <c r="AL31" s="2708">
        <v>1718.94637702</v>
      </c>
      <c r="AM31" s="2708">
        <v>1605.9138470800001</v>
      </c>
      <c r="AN31" s="2708">
        <v>1633.1101032199999</v>
      </c>
      <c r="AO31" s="2708">
        <v>1908.17098422</v>
      </c>
      <c r="AP31" s="2708">
        <v>1939.36838177</v>
      </c>
      <c r="AQ31" s="2708">
        <v>2073.1421766399999</v>
      </c>
      <c r="AR31" s="2708">
        <v>1961.84491207</v>
      </c>
      <c r="AS31" s="2708">
        <v>1946.0856942199998</v>
      </c>
      <c r="AT31" s="2708">
        <v>1886.0250202500001</v>
      </c>
      <c r="AU31" s="2708">
        <v>1905.7870813100001</v>
      </c>
      <c r="AV31" s="2708">
        <v>1644.30628067</v>
      </c>
      <c r="AW31" s="2708">
        <v>1966.2400290400001</v>
      </c>
      <c r="AX31" s="2708">
        <v>2097.3345075299999</v>
      </c>
      <c r="AY31" s="2708">
        <v>1734.8800431</v>
      </c>
      <c r="AZ31" s="2708">
        <v>1708.0822636299999</v>
      </c>
      <c r="BA31" s="2708">
        <v>1692.1295786999999</v>
      </c>
      <c r="BB31" s="2708">
        <v>1766.5765433900001</v>
      </c>
      <c r="BC31" s="2708">
        <v>1925.0818147200002</v>
      </c>
      <c r="BD31" s="2708">
        <v>2002.8458438100001</v>
      </c>
      <c r="BE31" s="2708">
        <v>2924.2370305300001</v>
      </c>
      <c r="BF31" s="2708">
        <v>2687.2675994399997</v>
      </c>
      <c r="BG31" s="2708">
        <v>2227.6050383100001</v>
      </c>
      <c r="BH31" s="2708">
        <v>2411.31420385</v>
      </c>
    </row>
    <row r="32" spans="1:60" ht="6.75" customHeight="1" x14ac:dyDescent="0.25">
      <c r="A32" s="2755"/>
      <c r="B32" s="2751"/>
      <c r="C32" s="2751"/>
      <c r="D32" s="2751"/>
      <c r="E32" s="2751"/>
      <c r="F32" s="2751"/>
      <c r="G32" s="2751"/>
      <c r="H32" s="2751"/>
      <c r="I32" s="2751"/>
      <c r="J32" s="2751"/>
      <c r="K32" s="2751"/>
      <c r="L32" s="2751"/>
      <c r="M32" s="2751"/>
      <c r="N32" s="2751"/>
      <c r="O32" s="2751"/>
      <c r="P32" s="2751"/>
      <c r="Q32" s="2751"/>
      <c r="R32" s="2751"/>
      <c r="S32" s="2751"/>
      <c r="T32" s="2751"/>
      <c r="U32" s="2751"/>
      <c r="V32" s="2751"/>
      <c r="W32" s="2751"/>
      <c r="X32" s="2751"/>
      <c r="Y32" s="2751"/>
      <c r="Z32" s="2751"/>
      <c r="AA32" s="2751"/>
      <c r="AB32" s="2751"/>
      <c r="AC32" s="2751"/>
      <c r="AD32" s="2751"/>
      <c r="AE32" s="2751"/>
      <c r="AF32" s="2751"/>
      <c r="AG32" s="2751"/>
      <c r="AH32" s="2751"/>
      <c r="AI32" s="2751"/>
      <c r="AJ32" s="2751"/>
      <c r="AK32" s="2751"/>
      <c r="AL32" s="2751"/>
      <c r="AM32" s="2751"/>
      <c r="AN32" s="2751"/>
      <c r="AO32" s="2751"/>
      <c r="AP32" s="2751"/>
      <c r="AQ32" s="2751"/>
      <c r="AR32" s="2751"/>
      <c r="AS32" s="2751"/>
      <c r="AT32" s="2751"/>
      <c r="AU32" s="2751"/>
      <c r="AV32" s="2751"/>
      <c r="AW32" s="2751"/>
      <c r="AX32" s="2751"/>
      <c r="AY32" s="2751"/>
      <c r="AZ32" s="2751"/>
      <c r="BA32" s="2751"/>
      <c r="BB32" s="2751"/>
      <c r="BC32" s="2751"/>
      <c r="BD32" s="2751"/>
      <c r="BE32" s="2751"/>
      <c r="BF32" s="2751"/>
      <c r="BG32" s="2751"/>
      <c r="BH32" s="2751"/>
    </row>
    <row r="33" spans="1:60" ht="21" customHeight="1" x14ac:dyDescent="0.25">
      <c r="A33" s="2749" t="s">
        <v>1057</v>
      </c>
      <c r="B33" s="2708">
        <v>1632.4893438899999</v>
      </c>
      <c r="C33" s="2708">
        <v>1792.6862675599998</v>
      </c>
      <c r="D33" s="2708">
        <v>2003.9572564100004</v>
      </c>
      <c r="E33" s="2708">
        <v>2552.4010111900002</v>
      </c>
      <c r="F33" s="2708">
        <v>2499.3138635099999</v>
      </c>
      <c r="G33" s="2708">
        <v>2038.20702794</v>
      </c>
      <c r="H33" s="2708">
        <v>2539.0902784499999</v>
      </c>
      <c r="I33" s="2708">
        <v>3039.9506260800003</v>
      </c>
      <c r="J33" s="2708">
        <v>2805.1478813600002</v>
      </c>
      <c r="K33" s="2708">
        <v>2330.8089022000004</v>
      </c>
      <c r="L33" s="2708">
        <v>2798.3830364800001</v>
      </c>
      <c r="M33" s="2708">
        <v>3012.69729035</v>
      </c>
      <c r="N33" s="2708">
        <v>3265.6251120099996</v>
      </c>
      <c r="O33" s="2708">
        <v>3925.75648331</v>
      </c>
      <c r="P33" s="2708">
        <v>4599.7472379300016</v>
      </c>
      <c r="Q33" s="2708">
        <v>4238.9144227299994</v>
      </c>
      <c r="R33" s="2708">
        <v>57.091407879999998</v>
      </c>
      <c r="S33" s="2708">
        <v>55.851357880000002</v>
      </c>
      <c r="T33" s="2708">
        <v>55.869201259999997</v>
      </c>
      <c r="U33" s="2708">
        <v>54.111268260000003</v>
      </c>
      <c r="V33" s="2708">
        <v>54.130567880000001</v>
      </c>
      <c r="W33" s="2708">
        <v>67.366464649999998</v>
      </c>
      <c r="X33" s="2708">
        <v>91.748766759999995</v>
      </c>
      <c r="Y33" s="2708">
        <v>91.150441400000005</v>
      </c>
      <c r="Z33" s="2708">
        <v>104.49683879999999</v>
      </c>
      <c r="AA33" s="2708">
        <v>117.42358992</v>
      </c>
      <c r="AB33" s="2708">
        <v>123.24530838</v>
      </c>
      <c r="AC33" s="2708">
        <v>147.75145222</v>
      </c>
      <c r="AD33" s="2708">
        <v>151.36129400999999</v>
      </c>
      <c r="AE33" s="2708">
        <v>147.90856485</v>
      </c>
      <c r="AF33" s="2708">
        <v>150.14729041000001</v>
      </c>
      <c r="AG33" s="2708">
        <v>151.25828595999999</v>
      </c>
      <c r="AH33" s="2708">
        <v>159.86479464000001</v>
      </c>
      <c r="AI33" s="2708">
        <v>160.39223551000001</v>
      </c>
      <c r="AJ33" s="2708">
        <v>183.93797853999999</v>
      </c>
      <c r="AK33" s="2708">
        <v>182.36378815999998</v>
      </c>
      <c r="AL33" s="2708">
        <v>180.16772972999999</v>
      </c>
      <c r="AM33" s="2708">
        <v>151.24180635000002</v>
      </c>
      <c r="AN33" s="2708">
        <v>117.53975077000001</v>
      </c>
      <c r="AO33" s="2708">
        <v>140.08731355</v>
      </c>
      <c r="AP33" s="2708">
        <v>141.60201232000003</v>
      </c>
      <c r="AQ33" s="2708">
        <v>144.71281635000003</v>
      </c>
      <c r="AR33" s="2708">
        <v>116.99161011999999</v>
      </c>
      <c r="AS33" s="2708">
        <v>118.38786518999999</v>
      </c>
      <c r="AT33" s="2708">
        <v>133.12680392999999</v>
      </c>
      <c r="AU33" s="2708">
        <v>136.36762911000002</v>
      </c>
      <c r="AV33" s="2708">
        <v>133.04617832</v>
      </c>
      <c r="AW33" s="2708">
        <v>129.88698013000001</v>
      </c>
      <c r="AX33" s="2708">
        <v>126.88787929</v>
      </c>
      <c r="AY33" s="2708">
        <v>123.92231344999999</v>
      </c>
      <c r="AZ33" s="2708">
        <v>121.76930211000001</v>
      </c>
      <c r="BA33" s="2708">
        <v>118.72913075999999</v>
      </c>
      <c r="BB33" s="2708">
        <v>115.76691871000001</v>
      </c>
      <c r="BC33" s="2708">
        <v>115.47622507000001</v>
      </c>
      <c r="BD33" s="2708">
        <v>112.48000871000001</v>
      </c>
      <c r="BE33" s="2708">
        <v>109.4059427</v>
      </c>
      <c r="BF33" s="2708">
        <v>106.38058102999999</v>
      </c>
      <c r="BG33" s="2708">
        <v>102.90162153</v>
      </c>
      <c r="BH33" s="2708">
        <v>99.494669250000001</v>
      </c>
    </row>
    <row r="34" spans="1:60" ht="8.25" customHeight="1" x14ac:dyDescent="0.25">
      <c r="A34" s="2755"/>
      <c r="B34" s="2751"/>
      <c r="C34" s="2751"/>
      <c r="D34" s="2751"/>
      <c r="E34" s="2751"/>
      <c r="F34" s="2751"/>
      <c r="G34" s="2751"/>
      <c r="H34" s="2751"/>
      <c r="I34" s="2751"/>
      <c r="J34" s="2751"/>
      <c r="K34" s="2751"/>
      <c r="L34" s="2751"/>
      <c r="M34" s="2751"/>
      <c r="N34" s="2751"/>
      <c r="O34" s="2751"/>
      <c r="P34" s="2751"/>
      <c r="Q34" s="2751"/>
      <c r="R34" s="2751"/>
      <c r="S34" s="2751"/>
      <c r="T34" s="2751"/>
      <c r="U34" s="2751"/>
      <c r="V34" s="2751"/>
      <c r="W34" s="2751"/>
      <c r="X34" s="2751"/>
      <c r="Y34" s="2751"/>
      <c r="Z34" s="2751"/>
      <c r="AA34" s="2751"/>
      <c r="AB34" s="2751"/>
      <c r="AC34" s="2751"/>
      <c r="AD34" s="2751"/>
      <c r="AE34" s="2751"/>
      <c r="AF34" s="2751"/>
      <c r="AG34" s="2751"/>
      <c r="AH34" s="2751"/>
      <c r="AI34" s="2751"/>
      <c r="AJ34" s="2751"/>
      <c r="AK34" s="2751"/>
      <c r="AL34" s="2751"/>
      <c r="AM34" s="2751"/>
      <c r="AN34" s="2751"/>
      <c r="AO34" s="2751"/>
      <c r="AP34" s="2751"/>
      <c r="AQ34" s="2751"/>
      <c r="AR34" s="2751"/>
      <c r="AS34" s="2751"/>
      <c r="AT34" s="2751"/>
      <c r="AU34" s="2751"/>
      <c r="AV34" s="2751"/>
      <c r="AW34" s="2751"/>
      <c r="AX34" s="2751"/>
      <c r="AY34" s="2751"/>
      <c r="AZ34" s="2751"/>
      <c r="BA34" s="2751"/>
      <c r="BB34" s="2751"/>
      <c r="BC34" s="2751"/>
      <c r="BD34" s="2751"/>
      <c r="BE34" s="2751"/>
      <c r="BF34" s="2751"/>
      <c r="BG34" s="2751"/>
      <c r="BH34" s="2751"/>
    </row>
    <row r="35" spans="1:60" ht="22.5" customHeight="1" x14ac:dyDescent="0.25">
      <c r="A35" s="2749" t="s">
        <v>2612</v>
      </c>
      <c r="B35" s="2708">
        <v>725.5638831950298</v>
      </c>
      <c r="C35" s="2708">
        <v>682.56711189350335</v>
      </c>
      <c r="D35" s="2708">
        <v>721.26581348887601</v>
      </c>
      <c r="E35" s="2708">
        <v>793.48505532829211</v>
      </c>
      <c r="F35" s="2708">
        <v>845.2363743790977</v>
      </c>
      <c r="G35" s="2708">
        <v>973.05045557940718</v>
      </c>
      <c r="H35" s="2708">
        <v>883.02524867605166</v>
      </c>
      <c r="I35" s="2708">
        <v>855.93827996839514</v>
      </c>
      <c r="J35" s="2708">
        <v>682.47721434085372</v>
      </c>
      <c r="K35" s="2708">
        <v>1224.048572871633</v>
      </c>
      <c r="L35" s="2708">
        <v>1246.6045671305631</v>
      </c>
      <c r="M35" s="2708">
        <v>1494.9483908614461</v>
      </c>
      <c r="N35" s="2708">
        <v>1200.4160331051226</v>
      </c>
      <c r="O35" s="2708">
        <v>955.76363592580117</v>
      </c>
      <c r="P35" s="2708">
        <v>386.53557206151777</v>
      </c>
      <c r="Q35" s="2708">
        <v>517.60928102836704</v>
      </c>
      <c r="R35" s="2708">
        <v>807.8960421569227</v>
      </c>
      <c r="S35" s="2708">
        <v>1451.7716805643795</v>
      </c>
      <c r="T35" s="2708">
        <v>1616.2441390656709</v>
      </c>
      <c r="U35" s="2708">
        <v>1300.3614356249816</v>
      </c>
      <c r="V35" s="2708">
        <v>1000.7588714996272</v>
      </c>
      <c r="W35" s="2708">
        <v>907.81543222046503</v>
      </c>
      <c r="X35" s="2708">
        <v>1014.533581349178</v>
      </c>
      <c r="Y35" s="2708">
        <v>1467.2900490025236</v>
      </c>
      <c r="Z35" s="2708">
        <v>1443.3517260527958</v>
      </c>
      <c r="AA35" s="2708">
        <v>1146.3648273212923</v>
      </c>
      <c r="AB35" s="2708">
        <v>789.5229444521342</v>
      </c>
      <c r="AC35" s="2708">
        <v>607.31263338088661</v>
      </c>
      <c r="AD35" s="2708">
        <v>848.79643543092561</v>
      </c>
      <c r="AE35" s="2708">
        <v>1113.7266825691863</v>
      </c>
      <c r="AF35" s="2708">
        <v>874.73302784515079</v>
      </c>
      <c r="AG35" s="2708">
        <v>886.9074433463129</v>
      </c>
      <c r="AH35" s="2708">
        <v>1286.2339281879279</v>
      </c>
      <c r="AI35" s="2708">
        <v>1339.8417888524009</v>
      </c>
      <c r="AJ35" s="2708">
        <v>1048.0993338681974</v>
      </c>
      <c r="AK35" s="2708">
        <v>967.50555286146141</v>
      </c>
      <c r="AL35" s="2708">
        <v>952.75531967112329</v>
      </c>
      <c r="AM35" s="2708">
        <v>1039.9887518573607</v>
      </c>
      <c r="AN35" s="2708">
        <v>923.57327598547704</v>
      </c>
      <c r="AO35" s="2708">
        <v>959.18215609285949</v>
      </c>
      <c r="AP35" s="2708">
        <v>1503.9044616446342</v>
      </c>
      <c r="AQ35" s="2708">
        <v>1355.6881966037868</v>
      </c>
      <c r="AR35" s="2708">
        <v>1581.0025099693316</v>
      </c>
      <c r="AS35" s="2708">
        <v>1565.5613092176804</v>
      </c>
      <c r="AT35" s="2708">
        <v>2537.012162902377</v>
      </c>
      <c r="AU35" s="2708">
        <v>1836.5287138171989</v>
      </c>
      <c r="AV35" s="2708">
        <v>2025.596511804893</v>
      </c>
      <c r="AW35" s="2708">
        <v>2390.2717276735839</v>
      </c>
      <c r="AX35" s="2708">
        <v>1796.0228268536794</v>
      </c>
      <c r="AY35" s="2708">
        <v>1704.0902506248135</v>
      </c>
      <c r="AZ35" s="2708">
        <v>1907.1787875530706</v>
      </c>
      <c r="BA35" s="2708">
        <v>2200.9060131691313</v>
      </c>
      <c r="BB35" s="2708">
        <v>2281.9711415249326</v>
      </c>
      <c r="BC35" s="2708">
        <v>2957.4840438663032</v>
      </c>
      <c r="BD35" s="2708">
        <v>3228.2135006091912</v>
      </c>
      <c r="BE35" s="2708">
        <v>2298.7105155484096</v>
      </c>
      <c r="BF35" s="2708">
        <v>3619.4224046276613</v>
      </c>
      <c r="BG35" s="2708">
        <v>3648.4325435741684</v>
      </c>
      <c r="BH35" s="2708">
        <v>3416.5017553620246</v>
      </c>
    </row>
    <row r="36" spans="1:60" ht="10.5" customHeight="1" x14ac:dyDescent="0.25">
      <c r="A36" s="2749"/>
      <c r="B36" s="2708"/>
      <c r="C36" s="2708"/>
      <c r="D36" s="2708"/>
      <c r="E36" s="2708"/>
      <c r="F36" s="2708"/>
      <c r="G36" s="2708"/>
      <c r="H36" s="2708"/>
      <c r="I36" s="2708"/>
      <c r="J36" s="2708"/>
      <c r="K36" s="2708"/>
      <c r="L36" s="2708"/>
      <c r="M36" s="2708"/>
      <c r="N36" s="2708"/>
      <c r="O36" s="2708"/>
      <c r="P36" s="2708"/>
      <c r="Q36" s="2708"/>
      <c r="R36" s="2708"/>
      <c r="S36" s="2708"/>
      <c r="T36" s="2708"/>
      <c r="U36" s="2708"/>
      <c r="V36" s="2708"/>
      <c r="W36" s="2708"/>
      <c r="X36" s="2708"/>
      <c r="Y36" s="2708"/>
      <c r="Z36" s="2708"/>
      <c r="AA36" s="2708"/>
      <c r="AB36" s="2708"/>
      <c r="AC36" s="2708"/>
      <c r="AD36" s="2708"/>
      <c r="AE36" s="2708"/>
      <c r="AF36" s="2708"/>
      <c r="AG36" s="2708"/>
      <c r="AH36" s="2708"/>
      <c r="AI36" s="2708"/>
      <c r="AJ36" s="2708"/>
      <c r="AK36" s="2708"/>
      <c r="AL36" s="2708"/>
      <c r="AM36" s="2708"/>
      <c r="AN36" s="2708"/>
      <c r="AO36" s="2708"/>
      <c r="AP36" s="2708"/>
      <c r="AQ36" s="2708"/>
      <c r="AR36" s="2708"/>
      <c r="AS36" s="2708"/>
      <c r="AT36" s="2708"/>
      <c r="AU36" s="2708"/>
      <c r="AV36" s="2708"/>
      <c r="AW36" s="2708"/>
      <c r="AX36" s="2708"/>
      <c r="AY36" s="2708"/>
      <c r="AZ36" s="2708"/>
      <c r="BA36" s="2708"/>
      <c r="BB36" s="2708"/>
      <c r="BC36" s="2708"/>
      <c r="BD36" s="2708"/>
      <c r="BE36" s="2708"/>
      <c r="BF36" s="2708"/>
      <c r="BG36" s="2708"/>
      <c r="BH36" s="2708"/>
    </row>
    <row r="37" spans="1:60" ht="22.5" customHeight="1" x14ac:dyDescent="0.25">
      <c r="A37" s="2749" t="s">
        <v>2526</v>
      </c>
      <c r="B37" s="2709">
        <v>0</v>
      </c>
      <c r="C37" s="2709">
        <v>0</v>
      </c>
      <c r="D37" s="2709">
        <v>0</v>
      </c>
      <c r="E37" s="2709">
        <v>0</v>
      </c>
      <c r="F37" s="2709">
        <v>0</v>
      </c>
      <c r="G37" s="2709">
        <v>0</v>
      </c>
      <c r="H37" s="2709">
        <v>0</v>
      </c>
      <c r="I37" s="2709">
        <v>0</v>
      </c>
      <c r="J37" s="2709">
        <v>0</v>
      </c>
      <c r="K37" s="2709">
        <v>0</v>
      </c>
      <c r="L37" s="2709">
        <v>0</v>
      </c>
      <c r="M37" s="2709">
        <v>0</v>
      </c>
      <c r="N37" s="2709">
        <v>0</v>
      </c>
      <c r="O37" s="2709">
        <v>0</v>
      </c>
      <c r="P37" s="2709">
        <v>0</v>
      </c>
      <c r="Q37" s="2709">
        <v>0</v>
      </c>
      <c r="R37" s="2709">
        <v>0</v>
      </c>
      <c r="S37" s="2709">
        <v>0</v>
      </c>
      <c r="T37" s="2709">
        <v>0</v>
      </c>
      <c r="U37" s="2709">
        <v>0</v>
      </c>
      <c r="V37" s="2709">
        <v>0</v>
      </c>
      <c r="W37" s="2709">
        <v>0</v>
      </c>
      <c r="X37" s="2709">
        <v>0</v>
      </c>
      <c r="Y37" s="2709">
        <v>0</v>
      </c>
      <c r="Z37" s="2709">
        <v>0</v>
      </c>
      <c r="AA37" s="2709">
        <v>0</v>
      </c>
      <c r="AB37" s="2709">
        <v>0</v>
      </c>
      <c r="AC37" s="2709">
        <v>0</v>
      </c>
      <c r="AD37" s="2709">
        <v>0</v>
      </c>
      <c r="AE37" s="2709">
        <v>0</v>
      </c>
      <c r="AF37" s="2709">
        <v>0</v>
      </c>
      <c r="AG37" s="2709">
        <v>0</v>
      </c>
      <c r="AH37" s="2709">
        <v>0</v>
      </c>
      <c r="AI37" s="2709">
        <v>0</v>
      </c>
      <c r="AJ37" s="2709">
        <v>0</v>
      </c>
      <c r="AK37" s="2709">
        <v>0</v>
      </c>
      <c r="AL37" s="2709">
        <v>0</v>
      </c>
      <c r="AM37" s="2709">
        <v>0</v>
      </c>
      <c r="AN37" s="2709">
        <v>0</v>
      </c>
      <c r="AO37" s="2709">
        <v>0</v>
      </c>
      <c r="AP37" s="2709">
        <v>0</v>
      </c>
      <c r="AQ37" s="2709">
        <v>0</v>
      </c>
      <c r="AR37" s="2709">
        <v>0</v>
      </c>
      <c r="AS37" s="2709">
        <v>0</v>
      </c>
      <c r="AT37" s="2709">
        <v>0</v>
      </c>
      <c r="AU37" s="2709">
        <v>0</v>
      </c>
      <c r="AV37" s="2709">
        <v>0</v>
      </c>
      <c r="AW37" s="2709">
        <v>0</v>
      </c>
      <c r="AX37" s="2709">
        <v>0</v>
      </c>
      <c r="AY37" s="2709">
        <v>0</v>
      </c>
      <c r="AZ37" s="2709">
        <v>0</v>
      </c>
      <c r="BA37" s="2709">
        <v>0</v>
      </c>
      <c r="BB37" s="2709">
        <v>0</v>
      </c>
      <c r="BC37" s="2709">
        <v>0</v>
      </c>
      <c r="BD37" s="2709">
        <v>0</v>
      </c>
      <c r="BE37" s="2709">
        <v>0</v>
      </c>
      <c r="BF37" s="2709">
        <v>0</v>
      </c>
      <c r="BG37" s="2709">
        <v>0</v>
      </c>
      <c r="BH37" s="2709">
        <v>0</v>
      </c>
    </row>
    <row r="38" spans="1:60" ht="13.5" customHeight="1" x14ac:dyDescent="0.25">
      <c r="A38" s="2755"/>
      <c r="B38" s="2751"/>
      <c r="C38" s="2751"/>
      <c r="D38" s="2751"/>
      <c r="E38" s="2751"/>
      <c r="F38" s="2751"/>
      <c r="G38" s="2751"/>
      <c r="H38" s="2751"/>
      <c r="I38" s="2751"/>
      <c r="J38" s="2751"/>
      <c r="K38" s="2751"/>
      <c r="L38" s="2751"/>
      <c r="M38" s="2751"/>
      <c r="N38" s="2751"/>
      <c r="O38" s="2751"/>
      <c r="P38" s="2751"/>
      <c r="Q38" s="2751"/>
      <c r="R38" s="2751"/>
      <c r="S38" s="2751"/>
      <c r="T38" s="2751"/>
      <c r="U38" s="2751"/>
      <c r="V38" s="2751"/>
      <c r="W38" s="2751"/>
      <c r="X38" s="2751"/>
      <c r="Y38" s="2751"/>
      <c r="Z38" s="2751"/>
      <c r="AA38" s="2751"/>
      <c r="AB38" s="2751"/>
      <c r="AC38" s="2751"/>
      <c r="AD38" s="2751"/>
      <c r="AE38" s="2751"/>
      <c r="AF38" s="2751"/>
      <c r="AG38" s="2751"/>
      <c r="AH38" s="2751"/>
      <c r="AI38" s="2751"/>
      <c r="AJ38" s="2751"/>
      <c r="AK38" s="2751"/>
      <c r="AL38" s="2751"/>
      <c r="AM38" s="2751"/>
      <c r="AN38" s="2751"/>
      <c r="AO38" s="2751"/>
      <c r="AP38" s="2751"/>
      <c r="AQ38" s="2751"/>
      <c r="AR38" s="2751"/>
      <c r="AS38" s="2751"/>
      <c r="AT38" s="2751"/>
      <c r="AU38" s="2751"/>
      <c r="AV38" s="2751"/>
      <c r="AW38" s="2751"/>
      <c r="AX38" s="2751"/>
      <c r="AY38" s="2751"/>
      <c r="AZ38" s="2751"/>
      <c r="BA38" s="2751"/>
      <c r="BB38" s="2751"/>
      <c r="BC38" s="2751"/>
      <c r="BD38" s="2751"/>
      <c r="BE38" s="2751"/>
      <c r="BF38" s="2751"/>
      <c r="BG38" s="2751"/>
      <c r="BH38" s="2751"/>
    </row>
    <row r="39" spans="1:60" ht="16.5" customHeight="1" x14ac:dyDescent="0.25">
      <c r="A39" s="2749" t="s">
        <v>2524</v>
      </c>
      <c r="B39" s="2708">
        <v>167324.31030922927</v>
      </c>
      <c r="C39" s="2708">
        <v>169586.53448306775</v>
      </c>
      <c r="D39" s="2708">
        <v>162994.89620373669</v>
      </c>
      <c r="E39" s="2708">
        <v>165396.57754990438</v>
      </c>
      <c r="F39" s="2708">
        <v>167062.52112577404</v>
      </c>
      <c r="G39" s="2708">
        <v>170453.73437754804</v>
      </c>
      <c r="H39" s="2708">
        <v>173070.57035658814</v>
      </c>
      <c r="I39" s="2708">
        <v>176173.38007013311</v>
      </c>
      <c r="J39" s="2708">
        <v>176143.8908165764</v>
      </c>
      <c r="K39" s="2708">
        <v>176379.70644823369</v>
      </c>
      <c r="L39" s="2708">
        <v>179267.32127196083</v>
      </c>
      <c r="M39" s="2708">
        <v>177703.79240462868</v>
      </c>
      <c r="N39" s="2708">
        <v>178079.29192619727</v>
      </c>
      <c r="O39" s="2708">
        <v>180582.66076034718</v>
      </c>
      <c r="P39" s="2708">
        <v>180486.29176595857</v>
      </c>
      <c r="Q39" s="2708">
        <v>182504.67927104994</v>
      </c>
      <c r="R39" s="2708">
        <v>183476.61828548415</v>
      </c>
      <c r="S39" s="2708">
        <v>186135.4679448971</v>
      </c>
      <c r="T39" s="2708">
        <v>188245.9339763395</v>
      </c>
      <c r="U39" s="2708">
        <v>189886.06197661796</v>
      </c>
      <c r="V39" s="2708">
        <v>191554.79772493441</v>
      </c>
      <c r="W39" s="2708">
        <v>187498.31196324585</v>
      </c>
      <c r="X39" s="2708">
        <v>188028.0524869638</v>
      </c>
      <c r="Y39" s="2708">
        <v>187998.80819628984</v>
      </c>
      <c r="Z39" s="2708">
        <v>188969.1779766375</v>
      </c>
      <c r="AA39" s="2708">
        <v>188602.18806216671</v>
      </c>
      <c r="AB39" s="2708">
        <v>188961.64214851733</v>
      </c>
      <c r="AC39" s="2708">
        <v>189136.22661046914</v>
      </c>
      <c r="AD39" s="2708">
        <v>190589.330388665</v>
      </c>
      <c r="AE39" s="2708">
        <v>192151.87677124201</v>
      </c>
      <c r="AF39" s="2708">
        <v>194537.47853844825</v>
      </c>
      <c r="AG39" s="2708">
        <v>196396.92129558162</v>
      </c>
      <c r="AH39" s="2708">
        <v>200338.45522935892</v>
      </c>
      <c r="AI39" s="2708">
        <v>202707.96154631564</v>
      </c>
      <c r="AJ39" s="2708">
        <v>206001.08062238412</v>
      </c>
      <c r="AK39" s="2708">
        <v>205013.75889144395</v>
      </c>
      <c r="AL39" s="2708">
        <v>203419.46734179236</v>
      </c>
      <c r="AM39" s="2708">
        <v>206090.86694608716</v>
      </c>
      <c r="AN39" s="2708">
        <v>208554.31394369964</v>
      </c>
      <c r="AO39" s="2708">
        <v>208530.63916070262</v>
      </c>
      <c r="AP39" s="2708">
        <v>211492.05255578607</v>
      </c>
      <c r="AQ39" s="2708">
        <v>214541.76379354639</v>
      </c>
      <c r="AR39" s="2708">
        <v>212925.18207891501</v>
      </c>
      <c r="AS39" s="2708">
        <v>216509.93149367406</v>
      </c>
      <c r="AT39" s="2708">
        <v>216974.43328810498</v>
      </c>
      <c r="AU39" s="2708">
        <v>217197.73186143578</v>
      </c>
      <c r="AV39" s="2708">
        <v>218396.65695276385</v>
      </c>
      <c r="AW39" s="2708">
        <v>218361.81294004302</v>
      </c>
      <c r="AX39" s="2708">
        <v>218177.45327966916</v>
      </c>
      <c r="AY39" s="2708">
        <v>221294.50811962003</v>
      </c>
      <c r="AZ39" s="2708">
        <v>221893.50421488844</v>
      </c>
      <c r="BA39" s="2708">
        <v>227633.72265223396</v>
      </c>
      <c r="BB39" s="2708">
        <v>234395.54441378496</v>
      </c>
      <c r="BC39" s="2708">
        <v>238398.25862347471</v>
      </c>
      <c r="BD39" s="2708">
        <v>240862.54694578948</v>
      </c>
      <c r="BE39" s="2708">
        <v>242388.31601610983</v>
      </c>
      <c r="BF39" s="2708">
        <v>243750.64332838001</v>
      </c>
      <c r="BG39" s="2708">
        <v>249015.66954408647</v>
      </c>
      <c r="BH39" s="2708">
        <v>248284.15536737899</v>
      </c>
    </row>
    <row r="40" spans="1:60" ht="10.5" customHeight="1" x14ac:dyDescent="0.25">
      <c r="A40" s="2750"/>
      <c r="B40" s="2751"/>
      <c r="C40" s="2751"/>
      <c r="D40" s="2751"/>
      <c r="E40" s="2751"/>
      <c r="F40" s="2751"/>
      <c r="G40" s="2751"/>
      <c r="H40" s="2751"/>
      <c r="I40" s="2751"/>
      <c r="J40" s="2751"/>
      <c r="K40" s="2751"/>
      <c r="L40" s="2751"/>
      <c r="M40" s="2751"/>
      <c r="N40" s="2751"/>
      <c r="O40" s="2751"/>
      <c r="P40" s="2751"/>
      <c r="Q40" s="2751"/>
      <c r="R40" s="2751"/>
      <c r="S40" s="2751"/>
      <c r="T40" s="2751"/>
      <c r="U40" s="2751"/>
      <c r="V40" s="2751"/>
      <c r="W40" s="2751"/>
      <c r="X40" s="2751"/>
      <c r="Y40" s="2751"/>
      <c r="Z40" s="2751"/>
      <c r="AA40" s="2751"/>
      <c r="AB40" s="2751"/>
      <c r="AC40" s="2751"/>
      <c r="AD40" s="2751"/>
      <c r="AE40" s="2751"/>
      <c r="AF40" s="2751"/>
      <c r="AG40" s="2751"/>
      <c r="AH40" s="2751"/>
      <c r="AI40" s="2751"/>
      <c r="AJ40" s="2751"/>
      <c r="AK40" s="2751"/>
      <c r="AL40" s="2751"/>
      <c r="AM40" s="2751"/>
      <c r="AN40" s="2751"/>
      <c r="AO40" s="2751"/>
      <c r="AP40" s="2751"/>
      <c r="AQ40" s="2751"/>
      <c r="AR40" s="2751"/>
      <c r="AS40" s="2751"/>
      <c r="AT40" s="2751"/>
      <c r="AU40" s="2751"/>
      <c r="AV40" s="2751"/>
      <c r="AW40" s="2751"/>
      <c r="AX40" s="2751"/>
      <c r="AY40" s="2751"/>
      <c r="AZ40" s="2751"/>
      <c r="BA40" s="2751"/>
      <c r="BB40" s="2751"/>
      <c r="BC40" s="2751"/>
      <c r="BD40" s="2751"/>
      <c r="BE40" s="2751"/>
      <c r="BF40" s="2751"/>
      <c r="BG40" s="2751"/>
      <c r="BH40" s="2751"/>
    </row>
    <row r="41" spans="1:60" ht="21" customHeight="1" x14ac:dyDescent="0.25">
      <c r="A41" s="2749" t="s">
        <v>2585</v>
      </c>
      <c r="B41" s="2708">
        <v>26896.087258713422</v>
      </c>
      <c r="C41" s="2708">
        <v>29100.729134632551</v>
      </c>
      <c r="D41" s="2708">
        <v>24134.446545465074</v>
      </c>
      <c r="E41" s="2708">
        <v>22460.572900569918</v>
      </c>
      <c r="F41" s="2708">
        <v>22922.025947210619</v>
      </c>
      <c r="G41" s="2708">
        <v>23532.102590601666</v>
      </c>
      <c r="H41" s="2708">
        <v>22046.315201777368</v>
      </c>
      <c r="I41" s="2708">
        <v>23957.09387907989</v>
      </c>
      <c r="J41" s="2708">
        <v>22699.188226527789</v>
      </c>
      <c r="K41" s="2708">
        <v>28820.447157517687</v>
      </c>
      <c r="L41" s="2708">
        <v>22167.300292139458</v>
      </c>
      <c r="M41" s="2708">
        <v>26108.172329873574</v>
      </c>
      <c r="N41" s="2708">
        <v>23713.51470914856</v>
      </c>
      <c r="O41" s="2708">
        <v>27019.804582665161</v>
      </c>
      <c r="P41" s="2708">
        <v>19019.918825344452</v>
      </c>
      <c r="Q41" s="2708">
        <v>20359.622100169196</v>
      </c>
      <c r="R41" s="2708">
        <v>19031.86088898444</v>
      </c>
      <c r="S41" s="2708">
        <v>23681.893697425519</v>
      </c>
      <c r="T41" s="2708">
        <v>24888.141499236568</v>
      </c>
      <c r="U41" s="2708">
        <v>25844.567493140414</v>
      </c>
      <c r="V41" s="2708">
        <v>30380.829906319705</v>
      </c>
      <c r="W41" s="2708">
        <v>27478.335007460904</v>
      </c>
      <c r="X41" s="2708">
        <v>30366.914857967749</v>
      </c>
      <c r="Y41" s="2708">
        <v>36383.603443842294</v>
      </c>
      <c r="Z41" s="2708">
        <v>34065.031889354956</v>
      </c>
      <c r="AA41" s="2708">
        <v>39113.909090694455</v>
      </c>
      <c r="AB41" s="2708">
        <v>36150.224828007966</v>
      </c>
      <c r="AC41" s="2708">
        <v>37315.442194255513</v>
      </c>
      <c r="AD41" s="2708">
        <v>42994.589207411875</v>
      </c>
      <c r="AE41" s="2708">
        <v>38539.048552894761</v>
      </c>
      <c r="AF41" s="2708">
        <v>37991.481935907781</v>
      </c>
      <c r="AG41" s="2708">
        <v>36362.362401980514</v>
      </c>
      <c r="AH41" s="2708">
        <v>38447.810076982285</v>
      </c>
      <c r="AI41" s="2708">
        <v>36556.538736895629</v>
      </c>
      <c r="AJ41" s="2708">
        <v>34716.693951623682</v>
      </c>
      <c r="AK41" s="2708">
        <v>34426.964067826026</v>
      </c>
      <c r="AL41" s="2708">
        <v>38611.29124699677</v>
      </c>
      <c r="AM41" s="2708">
        <v>44398.901929799962</v>
      </c>
      <c r="AN41" s="2708">
        <v>33419.404883389987</v>
      </c>
      <c r="AO41" s="2708">
        <v>44236.983875380021</v>
      </c>
      <c r="AP41" s="2708">
        <v>35264.237320259344</v>
      </c>
      <c r="AQ41" s="2708">
        <v>34797.414768989009</v>
      </c>
      <c r="AR41" s="2708">
        <v>28930.486759899308</v>
      </c>
      <c r="AS41" s="2708">
        <v>31612.500734748966</v>
      </c>
      <c r="AT41" s="2708">
        <v>30406.354534473394</v>
      </c>
      <c r="AU41" s="2708">
        <v>36486.685789188858</v>
      </c>
      <c r="AV41" s="2708">
        <v>35169.25862507461</v>
      </c>
      <c r="AW41" s="2708">
        <v>34971.834042186107</v>
      </c>
      <c r="AX41" s="2708">
        <v>38090.136501167624</v>
      </c>
      <c r="AY41" s="2708">
        <v>39434.792396118646</v>
      </c>
      <c r="AZ41" s="2708">
        <v>33709.453804927798</v>
      </c>
      <c r="BA41" s="2708">
        <v>36970.928607905415</v>
      </c>
      <c r="BB41" s="2708">
        <v>36601.514494048584</v>
      </c>
      <c r="BC41" s="2708">
        <v>32114.229840348933</v>
      </c>
      <c r="BD41" s="2708">
        <v>32756.807618709645</v>
      </c>
      <c r="BE41" s="2708">
        <v>34943.313374341174</v>
      </c>
      <c r="BF41" s="2708">
        <v>34915.961205950611</v>
      </c>
      <c r="BG41" s="2708">
        <v>32792.190154586613</v>
      </c>
      <c r="BH41" s="2708">
        <v>39501.376846457781</v>
      </c>
    </row>
    <row r="42" spans="1:60" ht="12.75" customHeight="1" thickBot="1" x14ac:dyDescent="0.3">
      <c r="A42" s="2756"/>
      <c r="B42" s="2757"/>
      <c r="C42" s="2757"/>
      <c r="D42" s="2757"/>
      <c r="E42" s="2757"/>
      <c r="F42" s="2757"/>
      <c r="G42" s="2757"/>
      <c r="H42" s="2757"/>
      <c r="I42" s="2757"/>
      <c r="J42" s="2757"/>
      <c r="K42" s="2757"/>
      <c r="L42" s="2757"/>
      <c r="M42" s="2757"/>
      <c r="N42" s="2757"/>
      <c r="O42" s="2757"/>
      <c r="P42" s="2757"/>
      <c r="Q42" s="2757"/>
      <c r="R42" s="2757"/>
      <c r="S42" s="2757"/>
      <c r="T42" s="2757"/>
      <c r="U42" s="2757"/>
      <c r="V42" s="2757"/>
      <c r="W42" s="2757"/>
      <c r="X42" s="2757"/>
      <c r="Y42" s="2757"/>
      <c r="Z42" s="2757"/>
      <c r="AA42" s="2757"/>
      <c r="AB42" s="2757"/>
      <c r="AC42" s="2757"/>
      <c r="AD42" s="2757"/>
      <c r="AE42" s="2757"/>
      <c r="AF42" s="2757"/>
      <c r="AG42" s="2757"/>
      <c r="AH42" s="2757"/>
      <c r="AI42" s="2757"/>
      <c r="AJ42" s="2757"/>
      <c r="AK42" s="2757"/>
      <c r="AL42" s="2757"/>
      <c r="AM42" s="2757"/>
      <c r="AN42" s="2757"/>
      <c r="AO42" s="2757"/>
      <c r="AP42" s="2757"/>
      <c r="AQ42" s="2757"/>
      <c r="AR42" s="2757"/>
      <c r="AS42" s="2757"/>
      <c r="AT42" s="2757"/>
      <c r="AU42" s="2757"/>
      <c r="AV42" s="2757"/>
      <c r="AW42" s="2757"/>
      <c r="AX42" s="2757"/>
      <c r="AY42" s="2757"/>
      <c r="AZ42" s="2757"/>
      <c r="BA42" s="2757"/>
      <c r="BB42" s="2757"/>
      <c r="BC42" s="2757"/>
      <c r="BD42" s="2757"/>
      <c r="BE42" s="2757"/>
      <c r="BF42" s="2757"/>
      <c r="BG42" s="2757"/>
      <c r="BH42" s="2757"/>
    </row>
    <row r="43" spans="1:60" s="2759" customFormat="1" ht="18.95" customHeight="1" thickTop="1" x14ac:dyDescent="0.25">
      <c r="A43" s="1428" t="s">
        <v>173</v>
      </c>
      <c r="B43" s="2758"/>
      <c r="C43" s="2758"/>
      <c r="D43" s="2758"/>
      <c r="E43" s="2758"/>
      <c r="F43" s="2758"/>
      <c r="G43" s="2758"/>
      <c r="H43" s="2758"/>
      <c r="I43" s="2758"/>
      <c r="J43" s="2758"/>
      <c r="K43" s="2758"/>
      <c r="L43" s="2758"/>
      <c r="M43" s="2758"/>
      <c r="N43" s="2758"/>
      <c r="O43" s="2758"/>
      <c r="P43" s="2758"/>
      <c r="Q43" s="2758"/>
      <c r="R43" s="2758"/>
      <c r="S43" s="2758"/>
      <c r="T43" s="2758"/>
      <c r="U43" s="2758"/>
      <c r="V43" s="2758"/>
      <c r="W43" s="2758"/>
      <c r="X43" s="2758"/>
      <c r="Y43" s="2758"/>
      <c r="Z43" s="2758"/>
      <c r="AA43" s="2758"/>
      <c r="AB43" s="2758"/>
      <c r="AC43" s="2758"/>
      <c r="AD43" s="2758"/>
      <c r="AE43" s="2758"/>
      <c r="AF43" s="2758"/>
      <c r="AG43" s="2758"/>
      <c r="AH43" s="2758"/>
      <c r="AI43" s="2758"/>
      <c r="AJ43" s="2758"/>
      <c r="AK43" s="2758"/>
      <c r="AL43" s="2758"/>
      <c r="AM43" s="2758"/>
      <c r="AN43" s="2758"/>
      <c r="AO43" s="2758"/>
      <c r="AP43" s="2758"/>
      <c r="AQ43" s="2758"/>
      <c r="AR43" s="2758"/>
      <c r="AS43" s="2758"/>
      <c r="AT43" s="2758"/>
      <c r="AU43" s="2758"/>
      <c r="AV43" s="2758"/>
      <c r="AW43" s="2758"/>
      <c r="AX43" s="2758"/>
      <c r="AY43" s="2758"/>
      <c r="AZ43" s="2758"/>
      <c r="BA43" s="2758"/>
      <c r="BB43" s="2758"/>
      <c r="BC43" s="2758"/>
      <c r="BD43" s="2758"/>
      <c r="BE43" s="2758"/>
      <c r="BF43" s="2758"/>
      <c r="BG43" s="2758"/>
      <c r="BH43" s="2758"/>
    </row>
    <row r="44" spans="1:60" s="627" customFormat="1" ht="14.25" x14ac:dyDescent="0.25">
      <c r="A44" s="2733" t="s">
        <v>2613</v>
      </c>
    </row>
    <row r="45" spans="1:60" s="1428" customFormat="1" x14ac:dyDescent="0.25">
      <c r="A45" s="2734" t="s">
        <v>2614</v>
      </c>
    </row>
    <row r="46" spans="1:60" s="627" customFormat="1" ht="33" customHeight="1" x14ac:dyDescent="0.25">
      <c r="A46" s="3252" t="s">
        <v>2651</v>
      </c>
      <c r="B46" s="3252"/>
      <c r="C46" s="3252"/>
      <c r="D46" s="3252"/>
      <c r="E46" s="3252"/>
      <c r="F46" s="3252"/>
      <c r="G46" s="3252"/>
      <c r="H46" s="3252"/>
      <c r="I46" s="3252"/>
      <c r="J46" s="3252"/>
      <c r="K46" s="3252"/>
      <c r="L46" s="3252"/>
      <c r="M46" s="3252"/>
      <c r="N46" s="3252"/>
      <c r="O46" s="3252"/>
      <c r="P46" s="3252"/>
      <c r="Q46" s="3252"/>
      <c r="R46" s="3252"/>
      <c r="S46" s="3252"/>
      <c r="T46" s="3252"/>
      <c r="U46" s="3252"/>
      <c r="V46" s="3252"/>
      <c r="W46" s="3252"/>
      <c r="X46" s="3252"/>
      <c r="Y46" s="3252"/>
      <c r="Z46" s="3252"/>
      <c r="AA46" s="3252"/>
      <c r="AB46" s="3252"/>
      <c r="AC46" s="3252"/>
      <c r="AD46" s="3252"/>
      <c r="AE46" s="3252"/>
      <c r="AF46" s="3252"/>
      <c r="AG46" s="3252"/>
      <c r="AH46" s="3252"/>
      <c r="AI46" s="3252"/>
      <c r="AJ46" s="3252"/>
      <c r="AK46" s="3252"/>
      <c r="AL46" s="3252"/>
      <c r="AM46" s="3252"/>
      <c r="AN46" s="3252"/>
      <c r="AO46" s="3252"/>
      <c r="AP46" s="3252"/>
      <c r="AQ46" s="3252"/>
      <c r="AR46" s="3252"/>
      <c r="AS46" s="3252"/>
      <c r="AT46" s="3252"/>
      <c r="AU46" s="3252"/>
      <c r="AV46" s="3252"/>
      <c r="AW46" s="3252"/>
      <c r="AX46" s="3252"/>
      <c r="AY46" s="3252"/>
      <c r="AZ46" s="3252"/>
      <c r="BA46" s="3252"/>
      <c r="BB46" s="3252"/>
      <c r="BC46" s="3252"/>
      <c r="BD46" s="3252"/>
      <c r="BE46" s="3252"/>
      <c r="BF46" s="3252"/>
      <c r="BG46" s="3252"/>
      <c r="BH46" s="3252"/>
    </row>
    <row r="47" spans="1:60" s="627" customFormat="1" ht="32.25" customHeight="1" x14ac:dyDescent="0.25">
      <c r="A47" s="3252" t="s">
        <v>2652</v>
      </c>
      <c r="B47" s="3252"/>
      <c r="C47" s="3252"/>
      <c r="D47" s="3252"/>
      <c r="E47" s="3252"/>
      <c r="F47" s="3252"/>
      <c r="G47" s="3252"/>
      <c r="H47" s="3252"/>
      <c r="I47" s="3252"/>
      <c r="J47" s="3252"/>
      <c r="K47" s="3252"/>
      <c r="L47" s="3252"/>
      <c r="M47" s="3252"/>
      <c r="N47" s="3252"/>
      <c r="O47" s="3252"/>
      <c r="P47" s="3252"/>
      <c r="Q47" s="3252"/>
      <c r="R47" s="3252"/>
      <c r="S47" s="3252"/>
      <c r="T47" s="3252"/>
      <c r="U47" s="3252"/>
      <c r="V47" s="3252"/>
      <c r="W47" s="3252"/>
      <c r="X47" s="3252"/>
      <c r="Y47" s="3252"/>
      <c r="Z47" s="3252"/>
      <c r="AA47" s="3252"/>
      <c r="AB47" s="3252"/>
      <c r="AC47" s="3252"/>
      <c r="AD47" s="3252"/>
      <c r="AE47" s="3252"/>
      <c r="AF47" s="3252"/>
      <c r="AG47" s="3252"/>
      <c r="AH47" s="3252"/>
      <c r="AI47" s="3252"/>
      <c r="AJ47" s="3252"/>
      <c r="AK47" s="3252"/>
      <c r="AL47" s="3252"/>
      <c r="AM47" s="3252"/>
      <c r="AN47" s="3252"/>
      <c r="AO47" s="3252"/>
      <c r="AP47" s="3252"/>
      <c r="AQ47" s="3252"/>
      <c r="AR47" s="3252"/>
      <c r="AS47" s="3252"/>
      <c r="AT47" s="3252"/>
      <c r="AU47" s="3252"/>
      <c r="AV47" s="3252"/>
      <c r="AW47" s="3252"/>
      <c r="AX47" s="3252"/>
      <c r="AY47" s="3252"/>
      <c r="AZ47" s="3252"/>
      <c r="BA47" s="3252"/>
      <c r="BB47" s="3252"/>
      <c r="BC47" s="3252"/>
      <c r="BD47" s="3252"/>
      <c r="BE47" s="3252"/>
      <c r="BF47" s="3252"/>
      <c r="BG47" s="3252"/>
      <c r="BH47" s="3252"/>
    </row>
    <row r="48" spans="1:60" s="627" customFormat="1" ht="14.25" customHeight="1" x14ac:dyDescent="0.25">
      <c r="A48" s="3252" t="s">
        <v>2617</v>
      </c>
      <c r="B48" s="3252"/>
      <c r="C48" s="3252"/>
      <c r="D48" s="3252"/>
      <c r="E48" s="3252"/>
      <c r="F48" s="3252"/>
      <c r="G48" s="3252"/>
      <c r="H48" s="3252"/>
      <c r="I48" s="3252"/>
      <c r="J48" s="3252"/>
      <c r="K48" s="3252"/>
      <c r="L48" s="3252"/>
      <c r="M48" s="3252"/>
      <c r="N48" s="3252"/>
      <c r="O48" s="3252"/>
      <c r="P48" s="3252"/>
      <c r="Q48" s="3252"/>
      <c r="R48" s="3252"/>
      <c r="S48" s="3252"/>
      <c r="T48" s="3252"/>
      <c r="U48" s="3252"/>
      <c r="V48" s="3252"/>
      <c r="W48" s="3252"/>
      <c r="X48" s="3252"/>
      <c r="Y48" s="3252"/>
      <c r="Z48" s="3252"/>
      <c r="AA48" s="3252"/>
      <c r="AB48" s="3252"/>
      <c r="AC48" s="3252"/>
      <c r="AD48" s="3252"/>
      <c r="AE48" s="3252"/>
      <c r="AF48" s="3252"/>
      <c r="AG48" s="3252"/>
      <c r="AH48" s="3252"/>
      <c r="AI48" s="3252"/>
      <c r="AJ48" s="3252"/>
      <c r="AK48" s="3252"/>
      <c r="AL48" s="3252"/>
      <c r="AM48" s="3252"/>
      <c r="AN48" s="3252"/>
      <c r="AO48" s="3252"/>
      <c r="AP48" s="3252"/>
      <c r="AQ48" s="3252"/>
      <c r="AR48" s="3252"/>
      <c r="AS48" s="3252"/>
      <c r="AT48" s="3252"/>
      <c r="AU48" s="3252"/>
      <c r="AV48" s="3252"/>
      <c r="AW48" s="3252"/>
      <c r="AX48" s="3252"/>
      <c r="AY48" s="3252"/>
      <c r="AZ48" s="3252"/>
      <c r="BA48" s="3252"/>
      <c r="BB48" s="3252"/>
      <c r="BC48" s="3252"/>
      <c r="BD48" s="3252"/>
      <c r="BE48" s="3252"/>
      <c r="BF48" s="3252"/>
      <c r="BG48" s="3252"/>
      <c r="BH48" s="3252"/>
    </row>
    <row r="49" spans="1:1" s="2758" customFormat="1" ht="18" customHeight="1" x14ac:dyDescent="0.25">
      <c r="A49" s="2733" t="s">
        <v>290</v>
      </c>
    </row>
  </sheetData>
  <mergeCells count="3">
    <mergeCell ref="A46:BH46"/>
    <mergeCell ref="A47:BH47"/>
    <mergeCell ref="A48:BH48"/>
  </mergeCells>
  <hyperlinks>
    <hyperlink ref="A45" r:id="rId1" display="https://www.bom.mu/publications-statistics/statistics/monthly-statistical-bulletin/monthly-statistical-bulletin-february-2021" xr:uid="{00000000-0004-0000-0C00-000000000000}"/>
  </hyperlinks>
  <pageMargins left="0.75" right="0.75" top="0.75" bottom="0.75" header="0.3" footer="0"/>
  <pageSetup paperSize="9" scale="50" fitToHeight="0" orientation="landscape" r:id="rId2"/>
  <headerFooter alignWithMargins="0"/>
  <rowBreaks count="1" manualBreakCount="1">
    <brk id="49" max="1638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FK60"/>
  <sheetViews>
    <sheetView zoomScale="70" zoomScaleNormal="70" zoomScaleSheetLayoutView="90" workbookViewId="0">
      <pane xSplit="6" ySplit="3" topLeftCell="AV26" activePane="bottomRight" state="frozen"/>
      <selection activeCell="A38" sqref="A38"/>
      <selection pane="topRight" activeCell="A38" sqref="A38"/>
      <selection pane="bottomLeft" activeCell="A38" sqref="A38"/>
      <selection pane="bottomRight" activeCell="A38" sqref="A38"/>
    </sheetView>
  </sheetViews>
  <sheetFormatPr defaultColWidth="9.140625" defaultRowHeight="15.75" customHeight="1" x14ac:dyDescent="0.25"/>
  <cols>
    <col min="1" max="1" width="59" style="631" customWidth="1"/>
    <col min="2" max="7" width="12.7109375" style="631" hidden="1" customWidth="1"/>
    <col min="8" max="8" width="12.85546875" style="631" hidden="1" customWidth="1"/>
    <col min="9" max="34" width="12.7109375" style="631" hidden="1" customWidth="1"/>
    <col min="35" max="47" width="14" style="631" hidden="1" customWidth="1"/>
    <col min="48" max="60" width="14" style="631" customWidth="1"/>
    <col min="61" max="16384" width="9.140625" style="631"/>
  </cols>
  <sheetData>
    <row r="1" spans="1:60" s="624" customFormat="1" ht="24" customHeight="1" x14ac:dyDescent="0.3">
      <c r="A1" s="2673" t="s">
        <v>2653</v>
      </c>
    </row>
    <row r="2" spans="1:60" ht="13.5" customHeight="1" thickBot="1" x14ac:dyDescent="0.3">
      <c r="A2" s="2760"/>
      <c r="C2" s="1969"/>
      <c r="G2" s="1969"/>
      <c r="R2" s="1969"/>
      <c r="W2" s="1969"/>
      <c r="AB2" s="1969"/>
      <c r="AD2" s="1969"/>
      <c r="AQ2" s="1969"/>
      <c r="AR2" s="1969"/>
      <c r="AS2" s="1969"/>
      <c r="AT2" s="1969"/>
      <c r="AU2" s="1969"/>
      <c r="AV2" s="1969"/>
      <c r="AW2" s="1969"/>
      <c r="AX2" s="1969"/>
      <c r="AY2" s="1969"/>
      <c r="AZ2" s="1969"/>
      <c r="BA2" s="1969"/>
      <c r="BB2" s="1969"/>
      <c r="BC2" s="1969"/>
      <c r="BD2" s="1969"/>
      <c r="BE2" s="1969"/>
      <c r="BF2" s="1969"/>
      <c r="BG2" s="1969"/>
      <c r="BH2" s="1969" t="s">
        <v>281</v>
      </c>
    </row>
    <row r="3" spans="1:60" s="2201" customFormat="1" ht="21" customHeight="1" thickTop="1" thickBot="1" x14ac:dyDescent="0.35">
      <c r="A3" s="2761"/>
      <c r="B3" s="2743">
        <v>43374</v>
      </c>
      <c r="C3" s="2743">
        <v>43405</v>
      </c>
      <c r="D3" s="2743">
        <v>43435</v>
      </c>
      <c r="E3" s="2743">
        <v>43466</v>
      </c>
      <c r="F3" s="2743">
        <v>43497</v>
      </c>
      <c r="G3" s="2743">
        <v>43525</v>
      </c>
      <c r="H3" s="2743">
        <v>43556</v>
      </c>
      <c r="I3" s="2743">
        <v>43586</v>
      </c>
      <c r="J3" s="2743">
        <v>43617</v>
      </c>
      <c r="K3" s="2743">
        <v>43647</v>
      </c>
      <c r="L3" s="2743">
        <v>43678</v>
      </c>
      <c r="M3" s="2743">
        <v>43709</v>
      </c>
      <c r="N3" s="2743">
        <v>43739</v>
      </c>
      <c r="O3" s="2743">
        <v>43770</v>
      </c>
      <c r="P3" s="2743">
        <v>43800</v>
      </c>
      <c r="Q3" s="2743">
        <v>43831</v>
      </c>
      <c r="R3" s="2744" t="s">
        <v>2590</v>
      </c>
      <c r="S3" s="2744" t="s">
        <v>477</v>
      </c>
      <c r="T3" s="2652" t="s">
        <v>2591</v>
      </c>
      <c r="U3" s="2652" t="s">
        <v>2592</v>
      </c>
      <c r="V3" s="2652" t="s">
        <v>2619</v>
      </c>
      <c r="W3" s="2652" t="s">
        <v>314</v>
      </c>
      <c r="X3" s="2652" t="s">
        <v>315</v>
      </c>
      <c r="Y3" s="2652" t="s">
        <v>316</v>
      </c>
      <c r="Z3" s="2652" t="s">
        <v>317</v>
      </c>
      <c r="AA3" s="2652">
        <v>44136</v>
      </c>
      <c r="AB3" s="2652">
        <v>44166</v>
      </c>
      <c r="AC3" s="2652">
        <v>44197</v>
      </c>
      <c r="AD3" s="2652" t="s">
        <v>2593</v>
      </c>
      <c r="AE3" s="2652" t="s">
        <v>2594</v>
      </c>
      <c r="AF3" s="2652" t="s">
        <v>2620</v>
      </c>
      <c r="AG3" s="2652" t="s">
        <v>483</v>
      </c>
      <c r="AH3" s="2652" t="s">
        <v>484</v>
      </c>
      <c r="AI3" s="2652" t="s">
        <v>2596</v>
      </c>
      <c r="AJ3" s="2652" t="s">
        <v>2597</v>
      </c>
      <c r="AK3" s="2652" t="s">
        <v>2606</v>
      </c>
      <c r="AL3" s="2652" t="s">
        <v>485</v>
      </c>
      <c r="AM3" s="2652" t="s">
        <v>2625</v>
      </c>
      <c r="AN3" s="2652" t="s">
        <v>2626</v>
      </c>
      <c r="AO3" s="2652">
        <v>44562</v>
      </c>
      <c r="AP3" s="2652">
        <v>44593</v>
      </c>
      <c r="AQ3" s="2652">
        <v>44621</v>
      </c>
      <c r="AR3" s="2652">
        <v>44652</v>
      </c>
      <c r="AS3" s="2652">
        <v>44682</v>
      </c>
      <c r="AT3" s="2652">
        <v>44713</v>
      </c>
      <c r="AU3" s="2652">
        <v>44743</v>
      </c>
      <c r="AV3" s="2652">
        <v>44774</v>
      </c>
      <c r="AW3" s="2652">
        <v>44805</v>
      </c>
      <c r="AX3" s="2652">
        <v>44835</v>
      </c>
      <c r="AY3" s="2652">
        <v>44866</v>
      </c>
      <c r="AZ3" s="2652">
        <v>44896</v>
      </c>
      <c r="BA3" s="2652">
        <v>44927</v>
      </c>
      <c r="BB3" s="2652">
        <v>44958</v>
      </c>
      <c r="BC3" s="2652">
        <v>44986</v>
      </c>
      <c r="BD3" s="2652" t="s">
        <v>2599</v>
      </c>
      <c r="BE3" s="2652">
        <v>45047</v>
      </c>
      <c r="BF3" s="2652">
        <v>45078</v>
      </c>
      <c r="BG3" s="2652">
        <v>45108</v>
      </c>
      <c r="BH3" s="2652">
        <v>45139</v>
      </c>
    </row>
    <row r="4" spans="1:60" ht="15" customHeight="1" thickTop="1" x14ac:dyDescent="0.25">
      <c r="A4" s="2750"/>
      <c r="B4" s="2762"/>
      <c r="C4" s="2762"/>
      <c r="D4" s="2762"/>
      <c r="E4" s="2762"/>
      <c r="F4" s="2762"/>
      <c r="G4" s="2762"/>
      <c r="H4" s="2762"/>
      <c r="I4" s="2762"/>
      <c r="J4" s="2762"/>
      <c r="K4" s="2762"/>
      <c r="L4" s="2762"/>
      <c r="M4" s="2762"/>
      <c r="N4" s="2762"/>
      <c r="O4" s="2762"/>
      <c r="P4" s="2762"/>
      <c r="Q4" s="2762"/>
      <c r="R4" s="2762"/>
      <c r="S4" s="2762"/>
      <c r="T4" s="2762"/>
      <c r="U4" s="2762"/>
      <c r="V4" s="2762"/>
      <c r="W4" s="2762"/>
      <c r="X4" s="2762"/>
      <c r="Y4" s="2762"/>
      <c r="Z4" s="2762"/>
      <c r="AA4" s="2762"/>
      <c r="AB4" s="2762"/>
      <c r="AC4" s="2762"/>
      <c r="AD4" s="2762"/>
      <c r="AE4" s="2762"/>
      <c r="AF4" s="2762"/>
      <c r="AG4" s="2762"/>
      <c r="AH4" s="2762"/>
      <c r="AI4" s="2762"/>
      <c r="AJ4" s="2762"/>
      <c r="AK4" s="2762"/>
      <c r="AL4" s="2762"/>
      <c r="AM4" s="2762"/>
      <c r="AN4" s="2762"/>
      <c r="AO4" s="2762"/>
      <c r="AP4" s="2762"/>
      <c r="AQ4" s="2762"/>
      <c r="AR4" s="2762"/>
      <c r="AS4" s="2762"/>
      <c r="AT4" s="2762"/>
      <c r="AU4" s="2762"/>
      <c r="AV4" s="2762"/>
      <c r="AW4" s="2762"/>
      <c r="AX4" s="2762"/>
      <c r="AY4" s="2762"/>
      <c r="AZ4" s="2762"/>
      <c r="BA4" s="2762"/>
      <c r="BB4" s="2762"/>
      <c r="BC4" s="2762"/>
      <c r="BD4" s="2762"/>
      <c r="BE4" s="2762"/>
      <c r="BF4" s="2762"/>
      <c r="BG4" s="2762"/>
      <c r="BH4" s="2762"/>
    </row>
    <row r="5" spans="1:60" ht="22.5" customHeight="1" x14ac:dyDescent="0.25">
      <c r="A5" s="2749" t="s">
        <v>2567</v>
      </c>
      <c r="B5" s="2708">
        <v>603245.70985475881</v>
      </c>
      <c r="C5" s="2708">
        <v>578095.53196456493</v>
      </c>
      <c r="D5" s="2708">
        <v>570676.64685810125</v>
      </c>
      <c r="E5" s="2708">
        <v>555738.52165962593</v>
      </c>
      <c r="F5" s="2708">
        <v>612169.07425153302</v>
      </c>
      <c r="G5" s="2708">
        <v>580722.23639972229</v>
      </c>
      <c r="H5" s="2708">
        <v>601793.3831605739</v>
      </c>
      <c r="I5" s="2708">
        <v>587297.76118893118</v>
      </c>
      <c r="J5" s="2708">
        <v>592037.74036985345</v>
      </c>
      <c r="K5" s="2708">
        <v>631511.75170988846</v>
      </c>
      <c r="L5" s="2708">
        <v>604448.16456935892</v>
      </c>
      <c r="M5" s="2708">
        <v>614788.03581099678</v>
      </c>
      <c r="N5" s="2708">
        <v>636312.00008742744</v>
      </c>
      <c r="O5" s="2708">
        <v>694122.06739733275</v>
      </c>
      <c r="P5" s="2708">
        <v>647472.0633556376</v>
      </c>
      <c r="Q5" s="2708">
        <v>656936.82186131133</v>
      </c>
      <c r="R5" s="2708">
        <v>663250.26434066286</v>
      </c>
      <c r="S5" s="2708">
        <v>669451.75571228086</v>
      </c>
      <c r="T5" s="2708">
        <v>674018.17257455934</v>
      </c>
      <c r="U5" s="2708">
        <v>674698.84540283575</v>
      </c>
      <c r="V5" s="2708">
        <v>710010.22029280965</v>
      </c>
      <c r="W5" s="2708">
        <v>693282.2088749262</v>
      </c>
      <c r="X5" s="2708">
        <v>770270.23610633228</v>
      </c>
      <c r="Y5" s="2708">
        <v>783278.32101354213</v>
      </c>
      <c r="Z5" s="2708">
        <v>730816.51683918678</v>
      </c>
      <c r="AA5" s="2708">
        <v>745880.10079184012</v>
      </c>
      <c r="AB5" s="2708">
        <v>753659.20792943332</v>
      </c>
      <c r="AC5" s="2708">
        <v>758357.98090497137</v>
      </c>
      <c r="AD5" s="2708">
        <v>811243.01065622596</v>
      </c>
      <c r="AE5" s="2708">
        <v>844502.63762076199</v>
      </c>
      <c r="AF5" s="2708">
        <v>777736.63392093568</v>
      </c>
      <c r="AG5" s="2708">
        <v>828016.68544027291</v>
      </c>
      <c r="AH5" s="2708">
        <v>821955.15877083782</v>
      </c>
      <c r="AI5" s="2708">
        <v>806245.32175628049</v>
      </c>
      <c r="AJ5" s="2708">
        <v>863070.59250512987</v>
      </c>
      <c r="AK5" s="2708">
        <v>865509.92193587357</v>
      </c>
      <c r="AL5" s="2708">
        <v>837964.26125022909</v>
      </c>
      <c r="AM5" s="2708">
        <v>855118.47647410003</v>
      </c>
      <c r="AN5" s="2708">
        <v>894160.69636451278</v>
      </c>
      <c r="AO5" s="2708">
        <v>848315.89911536581</v>
      </c>
      <c r="AP5" s="2708">
        <v>857568.95140513126</v>
      </c>
      <c r="AQ5" s="2708">
        <v>869095.48218635691</v>
      </c>
      <c r="AR5" s="2708">
        <v>874241.74980364821</v>
      </c>
      <c r="AS5" s="2708">
        <v>846089.58571421052</v>
      </c>
      <c r="AT5" s="2708">
        <v>836190.12635940721</v>
      </c>
      <c r="AU5" s="2708">
        <v>840563.47748476407</v>
      </c>
      <c r="AV5" s="2708">
        <v>829814.47309917677</v>
      </c>
      <c r="AW5" s="2708">
        <v>854229.54157154576</v>
      </c>
      <c r="AX5" s="2708">
        <v>816775.11749198392</v>
      </c>
      <c r="AY5" s="2708">
        <v>913537.38241407718</v>
      </c>
      <c r="AZ5" s="2708">
        <v>862385.84511919285</v>
      </c>
      <c r="BA5" s="2708">
        <v>882608.78693624842</v>
      </c>
      <c r="BB5" s="2708">
        <v>880819.76548191567</v>
      </c>
      <c r="BC5" s="2708">
        <v>887432.34110069752</v>
      </c>
      <c r="BD5" s="2708">
        <v>902332.07845959195</v>
      </c>
      <c r="BE5" s="2708">
        <v>893679.00562713691</v>
      </c>
      <c r="BF5" s="2708">
        <v>864828.26545648219</v>
      </c>
      <c r="BG5" s="2708">
        <v>912877.48416654568</v>
      </c>
      <c r="BH5" s="2708">
        <v>865805.07702339871</v>
      </c>
    </row>
    <row r="6" spans="1:60" ht="22.5" customHeight="1" x14ac:dyDescent="0.25">
      <c r="A6" s="2750" t="s">
        <v>2654</v>
      </c>
      <c r="B6" s="2751">
        <v>896191.11415082228</v>
      </c>
      <c r="C6" s="2751">
        <v>876588.10035106866</v>
      </c>
      <c r="D6" s="2751">
        <v>880669.4843989436</v>
      </c>
      <c r="E6" s="2751">
        <v>867388.41003377514</v>
      </c>
      <c r="F6" s="2751">
        <v>923993.0794532852</v>
      </c>
      <c r="G6" s="2751">
        <v>902296.71547221811</v>
      </c>
      <c r="H6" s="2751">
        <v>913921.65625984012</v>
      </c>
      <c r="I6" s="2751">
        <v>909355.8619534215</v>
      </c>
      <c r="J6" s="2751">
        <v>926623.10344077705</v>
      </c>
      <c r="K6" s="2751">
        <v>970603.58319878997</v>
      </c>
      <c r="L6" s="2751">
        <v>947835.72570016305</v>
      </c>
      <c r="M6" s="2751">
        <v>964327.463522451</v>
      </c>
      <c r="N6" s="2751">
        <v>989884.53617529338</v>
      </c>
      <c r="O6" s="2751">
        <v>1056196.2182027367</v>
      </c>
      <c r="P6" s="2751">
        <v>1024420.1348020786</v>
      </c>
      <c r="Q6" s="2751">
        <v>1035432.7387717043</v>
      </c>
      <c r="R6" s="2751">
        <v>1051669.5278650182</v>
      </c>
      <c r="S6" s="2751">
        <v>1062328.6973418109</v>
      </c>
      <c r="T6" s="2751">
        <v>1087943.5535600239</v>
      </c>
      <c r="U6" s="2751">
        <v>1079551.4158543271</v>
      </c>
      <c r="V6" s="2751">
        <v>1121475.9017184153</v>
      </c>
      <c r="W6" s="2751">
        <v>1098950.6150285406</v>
      </c>
      <c r="X6" s="2751">
        <v>1184344.438216028</v>
      </c>
      <c r="Y6" s="2751">
        <v>1173343.7042032997</v>
      </c>
      <c r="Z6" s="2751">
        <v>1107728.9327450846</v>
      </c>
      <c r="AA6" s="2751">
        <v>1145991.8670518862</v>
      </c>
      <c r="AB6" s="2751">
        <v>1139657.3932159878</v>
      </c>
      <c r="AC6" s="2751">
        <v>1184473.452374368</v>
      </c>
      <c r="AD6" s="2751">
        <v>1229037.7751683218</v>
      </c>
      <c r="AE6" s="2751">
        <v>1266433.8128693639</v>
      </c>
      <c r="AF6" s="2751">
        <v>1205915.6741799323</v>
      </c>
      <c r="AG6" s="2751">
        <v>1270383.1437136787</v>
      </c>
      <c r="AH6" s="2751">
        <v>1298132.4789859958</v>
      </c>
      <c r="AI6" s="2751">
        <v>1274510.3748985457</v>
      </c>
      <c r="AJ6" s="2751">
        <v>1342598.8817183147</v>
      </c>
      <c r="AK6" s="2751">
        <v>1340626.7503102967</v>
      </c>
      <c r="AL6" s="2751">
        <v>1319590.0851701393</v>
      </c>
      <c r="AM6" s="2751">
        <v>1325535.4711283762</v>
      </c>
      <c r="AN6" s="2751">
        <v>1393063.4029228811</v>
      </c>
      <c r="AO6" s="2751">
        <v>1357807.2657560997</v>
      </c>
      <c r="AP6" s="2751">
        <v>1403852.1444337016</v>
      </c>
      <c r="AQ6" s="2751">
        <v>1436757.6135518893</v>
      </c>
      <c r="AR6" s="2751">
        <v>1409870.7208212444</v>
      </c>
      <c r="AS6" s="2751">
        <v>1398309.5993993073</v>
      </c>
      <c r="AT6" s="2751">
        <v>1432260.4502466724</v>
      </c>
      <c r="AU6" s="2751">
        <v>1442550.8399913113</v>
      </c>
      <c r="AV6" s="2751">
        <v>1449074.2304019863</v>
      </c>
      <c r="AW6" s="2751">
        <v>1488868.2653869474</v>
      </c>
      <c r="AX6" s="2751">
        <v>1473000.7210090118</v>
      </c>
      <c r="AY6" s="2751">
        <v>1530911.6439887884</v>
      </c>
      <c r="AZ6" s="2751">
        <v>1475875.2182050915</v>
      </c>
      <c r="BA6" s="2751">
        <v>1542338.1353873662</v>
      </c>
      <c r="BB6" s="2751">
        <v>1654634.5993317827</v>
      </c>
      <c r="BC6" s="2751">
        <v>1542715.0339981206</v>
      </c>
      <c r="BD6" s="2751">
        <v>1573117.6889396466</v>
      </c>
      <c r="BE6" s="2751">
        <v>1578652.712167141</v>
      </c>
      <c r="BF6" s="2751">
        <v>1556782.3705648377</v>
      </c>
      <c r="BG6" s="2751">
        <v>1616901.5998214385</v>
      </c>
      <c r="BH6" s="2751">
        <v>1565813.8469102657</v>
      </c>
    </row>
    <row r="7" spans="1:60" ht="22.5" customHeight="1" x14ac:dyDescent="0.25">
      <c r="A7" s="2750" t="s">
        <v>2655</v>
      </c>
      <c r="B7" s="2751">
        <v>-292945.40429606347</v>
      </c>
      <c r="C7" s="2751">
        <v>-298492.56838650367</v>
      </c>
      <c r="D7" s="2751">
        <v>-309992.83754084236</v>
      </c>
      <c r="E7" s="2751">
        <v>-311649.88837414928</v>
      </c>
      <c r="F7" s="2751">
        <v>-311824.00520175224</v>
      </c>
      <c r="G7" s="2751">
        <v>-321574.47907249589</v>
      </c>
      <c r="H7" s="2751">
        <v>-312128.27309926628</v>
      </c>
      <c r="I7" s="2751">
        <v>-322058.10076449031</v>
      </c>
      <c r="J7" s="2751">
        <v>-334585.3630709236</v>
      </c>
      <c r="K7" s="2751">
        <v>-339091.83148890157</v>
      </c>
      <c r="L7" s="2751">
        <v>-343387.56113080413</v>
      </c>
      <c r="M7" s="2751">
        <v>-349539.42771145422</v>
      </c>
      <c r="N7" s="2751">
        <v>-353572.53608786588</v>
      </c>
      <c r="O7" s="2751">
        <v>-362074.15080540394</v>
      </c>
      <c r="P7" s="2751">
        <v>-376948.071446441</v>
      </c>
      <c r="Q7" s="2751">
        <v>-378495.91691039287</v>
      </c>
      <c r="R7" s="2751">
        <v>-388419.26352435537</v>
      </c>
      <c r="S7" s="2751">
        <v>-392876.94162953005</v>
      </c>
      <c r="T7" s="2751">
        <v>-413925.38098546455</v>
      </c>
      <c r="U7" s="2751">
        <v>-404852.5704514914</v>
      </c>
      <c r="V7" s="2751">
        <v>-411465.68142560567</v>
      </c>
      <c r="W7" s="2751">
        <v>-405668.40615361446</v>
      </c>
      <c r="X7" s="2751">
        <v>-414074.20210969576</v>
      </c>
      <c r="Y7" s="2751">
        <v>-390065.38318975759</v>
      </c>
      <c r="Z7" s="2751">
        <v>-376912.41590589785</v>
      </c>
      <c r="AA7" s="2751">
        <v>-400111.7662600461</v>
      </c>
      <c r="AB7" s="2751">
        <v>-385998.18528655457</v>
      </c>
      <c r="AC7" s="2751">
        <v>-426115.47146939661</v>
      </c>
      <c r="AD7" s="2751">
        <v>-417794.76451209589</v>
      </c>
      <c r="AE7" s="2751">
        <v>-421931.17524860188</v>
      </c>
      <c r="AF7" s="2751">
        <v>-428179.04025899665</v>
      </c>
      <c r="AG7" s="2751">
        <v>-442366.45827340579</v>
      </c>
      <c r="AH7" s="2751">
        <v>-476177.32021515799</v>
      </c>
      <c r="AI7" s="2751">
        <v>-468265.05314226518</v>
      </c>
      <c r="AJ7" s="2751">
        <v>-479528.28921318485</v>
      </c>
      <c r="AK7" s="2751">
        <v>-475116.82837442314</v>
      </c>
      <c r="AL7" s="2751">
        <v>-481625.8239199103</v>
      </c>
      <c r="AM7" s="2751">
        <v>-470416.99465427618</v>
      </c>
      <c r="AN7" s="2751">
        <v>-498902.70655836829</v>
      </c>
      <c r="AO7" s="2751">
        <v>-509491.3666407339</v>
      </c>
      <c r="AP7" s="2751">
        <v>-546283.19302857039</v>
      </c>
      <c r="AQ7" s="2751">
        <v>-567662.1313655324</v>
      </c>
      <c r="AR7" s="2751">
        <v>-535628.9710175962</v>
      </c>
      <c r="AS7" s="2751">
        <v>-552220.01368509675</v>
      </c>
      <c r="AT7" s="2751">
        <v>-596070.32388726517</v>
      </c>
      <c r="AU7" s="2751">
        <v>-601987.36250654724</v>
      </c>
      <c r="AV7" s="2751">
        <v>-619259.75730280951</v>
      </c>
      <c r="AW7" s="2751">
        <v>-634638.72381540167</v>
      </c>
      <c r="AX7" s="2751">
        <v>-656225.60351702792</v>
      </c>
      <c r="AY7" s="2751">
        <v>-617374.26157471118</v>
      </c>
      <c r="AZ7" s="2751">
        <v>-613489.3730858987</v>
      </c>
      <c r="BA7" s="2751">
        <v>-659729.34845111775</v>
      </c>
      <c r="BB7" s="2751">
        <v>-773814.83384986699</v>
      </c>
      <c r="BC7" s="2751">
        <v>-655282.69289742305</v>
      </c>
      <c r="BD7" s="2751">
        <v>-670785.61048005463</v>
      </c>
      <c r="BE7" s="2751">
        <v>-684973.70654000412</v>
      </c>
      <c r="BF7" s="2751">
        <v>-691954.10510835552</v>
      </c>
      <c r="BG7" s="2751">
        <v>-704024.11565489287</v>
      </c>
      <c r="BH7" s="2751">
        <v>-700008.76988686703</v>
      </c>
    </row>
    <row r="8" spans="1:60" ht="13.5" customHeight="1" x14ac:dyDescent="0.25">
      <c r="A8" s="2750"/>
      <c r="B8" s="2751"/>
      <c r="C8" s="2751"/>
      <c r="D8" s="2751"/>
      <c r="E8" s="2751"/>
      <c r="F8" s="2751"/>
      <c r="G8" s="2751"/>
      <c r="H8" s="2751"/>
      <c r="I8" s="2751"/>
      <c r="J8" s="2751"/>
      <c r="K8" s="2751"/>
      <c r="L8" s="2751"/>
      <c r="M8" s="2751"/>
      <c r="N8" s="2751"/>
      <c r="O8" s="2751"/>
      <c r="P8" s="2751"/>
      <c r="Q8" s="2751"/>
      <c r="R8" s="2751"/>
      <c r="S8" s="2751"/>
      <c r="T8" s="2751"/>
      <c r="U8" s="2751"/>
      <c r="V8" s="2751"/>
      <c r="W8" s="2751"/>
      <c r="X8" s="2751"/>
      <c r="Y8" s="2751"/>
      <c r="Z8" s="2751"/>
      <c r="AA8" s="2751"/>
      <c r="AB8" s="2751"/>
      <c r="AC8" s="2751"/>
      <c r="AD8" s="2751"/>
      <c r="AE8" s="2751"/>
      <c r="AF8" s="2751"/>
      <c r="AG8" s="2751"/>
      <c r="AH8" s="2751"/>
      <c r="AI8" s="2751"/>
      <c r="AJ8" s="2751"/>
      <c r="AK8" s="2751"/>
      <c r="AL8" s="2751"/>
      <c r="AM8" s="2751"/>
      <c r="AN8" s="2751"/>
      <c r="AO8" s="2751"/>
      <c r="AP8" s="2751"/>
      <c r="AQ8" s="2751"/>
      <c r="AR8" s="2751"/>
      <c r="AS8" s="2751"/>
      <c r="AT8" s="2751"/>
      <c r="AU8" s="2751"/>
      <c r="AV8" s="2751"/>
      <c r="AW8" s="2751"/>
      <c r="AX8" s="2751"/>
      <c r="AY8" s="2751"/>
      <c r="AZ8" s="2751"/>
      <c r="BA8" s="2751"/>
      <c r="BB8" s="2751"/>
      <c r="BC8" s="2751"/>
      <c r="BD8" s="2751"/>
      <c r="BE8" s="2751"/>
      <c r="BF8" s="2751"/>
      <c r="BG8" s="2751"/>
      <c r="BH8" s="2751"/>
    </row>
    <row r="9" spans="1:60" ht="22.5" customHeight="1" x14ac:dyDescent="0.25">
      <c r="A9" s="2749" t="s">
        <v>2656</v>
      </c>
      <c r="B9" s="2708">
        <v>528507.15049697482</v>
      </c>
      <c r="C9" s="2708">
        <v>532504.71843454451</v>
      </c>
      <c r="D9" s="2708">
        <v>535595.34332503879</v>
      </c>
      <c r="E9" s="2708">
        <v>537435.03660130629</v>
      </c>
      <c r="F9" s="2708">
        <v>544408.05608472717</v>
      </c>
      <c r="G9" s="2708">
        <v>546452.15534119459</v>
      </c>
      <c r="H9" s="2708">
        <v>551405.17527963209</v>
      </c>
      <c r="I9" s="2708">
        <v>556514.24032124854</v>
      </c>
      <c r="J9" s="2708">
        <v>559315.16579802462</v>
      </c>
      <c r="K9" s="2708">
        <v>560316.61627336999</v>
      </c>
      <c r="L9" s="2708">
        <v>566314.99988263834</v>
      </c>
      <c r="M9" s="2708">
        <v>569585.84295182757</v>
      </c>
      <c r="N9" s="2708">
        <v>572947.61443394527</v>
      </c>
      <c r="O9" s="2708">
        <v>580946.77017233381</v>
      </c>
      <c r="P9" s="2708">
        <v>568231.20749208983</v>
      </c>
      <c r="Q9" s="2708">
        <v>577470.58963284642</v>
      </c>
      <c r="R9" s="2708">
        <v>579449.06567024486</v>
      </c>
      <c r="S9" s="2708">
        <v>590893.29062382143</v>
      </c>
      <c r="T9" s="2708">
        <v>606617.82903432159</v>
      </c>
      <c r="U9" s="2708">
        <v>618478.67383789143</v>
      </c>
      <c r="V9" s="2708">
        <v>615619.1752611004</v>
      </c>
      <c r="W9" s="2708">
        <v>612042.03886945278</v>
      </c>
      <c r="X9" s="2708">
        <v>575645.00194022548</v>
      </c>
      <c r="Y9" s="2708">
        <v>565342.6026336879</v>
      </c>
      <c r="Z9" s="2708">
        <v>601140.60929480777</v>
      </c>
      <c r="AA9" s="2708">
        <v>606637.00377823273</v>
      </c>
      <c r="AB9" s="2708">
        <v>612902.89043286897</v>
      </c>
      <c r="AC9" s="2708">
        <v>629590.50231638446</v>
      </c>
      <c r="AD9" s="2708">
        <v>624614.1777794204</v>
      </c>
      <c r="AE9" s="2708">
        <v>614101.8384886795</v>
      </c>
      <c r="AF9" s="2708">
        <v>678156.26882610796</v>
      </c>
      <c r="AG9" s="2708">
        <v>689030.49952952284</v>
      </c>
      <c r="AH9" s="2708">
        <v>697522.58294174669</v>
      </c>
      <c r="AI9" s="2708">
        <v>715773.64484589803</v>
      </c>
      <c r="AJ9" s="2708">
        <v>706260.48931452539</v>
      </c>
      <c r="AK9" s="2708">
        <v>711001.39696769684</v>
      </c>
      <c r="AL9" s="2708">
        <v>749938.52017115138</v>
      </c>
      <c r="AM9" s="2708">
        <v>739699.49542911584</v>
      </c>
      <c r="AN9" s="2708">
        <v>708301.53616024274</v>
      </c>
      <c r="AO9" s="2708">
        <v>709229.03826386749</v>
      </c>
      <c r="AP9" s="2708">
        <v>718205.54044132843</v>
      </c>
      <c r="AQ9" s="2708">
        <v>731238.29808637674</v>
      </c>
      <c r="AR9" s="2708">
        <v>727672.03734181053</v>
      </c>
      <c r="AS9" s="2708">
        <v>732642.85132082494</v>
      </c>
      <c r="AT9" s="2708">
        <v>759685.95649453043</v>
      </c>
      <c r="AU9" s="2708">
        <v>764555.93024367746</v>
      </c>
      <c r="AV9" s="2708">
        <v>774463.11261779058</v>
      </c>
      <c r="AW9" s="2708">
        <v>781000.34198305581</v>
      </c>
      <c r="AX9" s="2708">
        <v>789579.12987157889</v>
      </c>
      <c r="AY9" s="2708">
        <v>793801.97094227781</v>
      </c>
      <c r="AZ9" s="2708">
        <v>800789.85928399151</v>
      </c>
      <c r="BA9" s="2708">
        <v>802856.33344930946</v>
      </c>
      <c r="BB9" s="2708">
        <v>808794.59943991434</v>
      </c>
      <c r="BC9" s="2708">
        <v>808133.56980742305</v>
      </c>
      <c r="BD9" s="2708">
        <v>808041.17092648102</v>
      </c>
      <c r="BE9" s="2708">
        <v>807853.86473815958</v>
      </c>
      <c r="BF9" s="2708">
        <v>825729.17352858721</v>
      </c>
      <c r="BG9" s="2708">
        <v>835084.18721342925</v>
      </c>
      <c r="BH9" s="2708">
        <v>842845.78015039559</v>
      </c>
    </row>
    <row r="10" spans="1:60" ht="22.5" customHeight="1" x14ac:dyDescent="0.25">
      <c r="A10" s="2749" t="s">
        <v>2657</v>
      </c>
      <c r="B10" s="2708">
        <v>73521.73544106973</v>
      </c>
      <c r="C10" s="2708">
        <v>76710.534558027837</v>
      </c>
      <c r="D10" s="2708">
        <v>75333.36498810933</v>
      </c>
      <c r="E10" s="2708">
        <v>77577.83028939963</v>
      </c>
      <c r="F10" s="2708">
        <v>79130.052553158428</v>
      </c>
      <c r="G10" s="2708">
        <v>81328.105320117786</v>
      </c>
      <c r="H10" s="2708">
        <v>81462.347226139711</v>
      </c>
      <c r="I10" s="2708">
        <v>83756.258916353021</v>
      </c>
      <c r="J10" s="2708">
        <v>81157.434213993198</v>
      </c>
      <c r="K10" s="2708">
        <v>80769.930632950753</v>
      </c>
      <c r="L10" s="2708">
        <v>83083.676186016295</v>
      </c>
      <c r="M10" s="2708">
        <v>81688.577415032501</v>
      </c>
      <c r="N10" s="2708">
        <v>84532.691022840867</v>
      </c>
      <c r="O10" s="2708">
        <v>90520.634915157571</v>
      </c>
      <c r="P10" s="2708">
        <v>72506.872336634973</v>
      </c>
      <c r="Q10" s="2708">
        <v>80581.332171483809</v>
      </c>
      <c r="R10" s="2708">
        <v>86551.353297311303</v>
      </c>
      <c r="S10" s="2708">
        <v>93766.65130088247</v>
      </c>
      <c r="T10" s="2708">
        <v>102389.82691172507</v>
      </c>
      <c r="U10" s="2708">
        <v>114689.53232434727</v>
      </c>
      <c r="V10" s="2708">
        <v>108858.03239432072</v>
      </c>
      <c r="W10" s="2708">
        <v>102781.82188343778</v>
      </c>
      <c r="X10" s="2708">
        <v>68553.84791210563</v>
      </c>
      <c r="Y10" s="2708">
        <v>63587.994259148021</v>
      </c>
      <c r="Z10" s="2708">
        <v>67640.188858857393</v>
      </c>
      <c r="AA10" s="2708">
        <v>73793.763753036474</v>
      </c>
      <c r="AB10" s="2708">
        <v>78891.757295663585</v>
      </c>
      <c r="AC10" s="2708">
        <v>83951.434636307575</v>
      </c>
      <c r="AD10" s="2708">
        <v>88117.980086452633</v>
      </c>
      <c r="AE10" s="2708">
        <v>84218.039875542745</v>
      </c>
      <c r="AF10" s="2708">
        <v>91392.850719704235</v>
      </c>
      <c r="AG10" s="2708">
        <v>97199.326574077029</v>
      </c>
      <c r="AH10" s="2708">
        <v>104148.84429318221</v>
      </c>
      <c r="AI10" s="2708">
        <v>112870.52682081732</v>
      </c>
      <c r="AJ10" s="2708">
        <v>105115.47504876007</v>
      </c>
      <c r="AK10" s="2708">
        <v>109770.58718039122</v>
      </c>
      <c r="AL10" s="2708">
        <v>126576.27780357204</v>
      </c>
      <c r="AM10" s="2708">
        <v>127945.07973559224</v>
      </c>
      <c r="AN10" s="2708">
        <v>106364.81926206916</v>
      </c>
      <c r="AO10" s="2708">
        <v>105020.06423721707</v>
      </c>
      <c r="AP10" s="2708">
        <v>110562.98954058954</v>
      </c>
      <c r="AQ10" s="2708">
        <v>119473.29891093317</v>
      </c>
      <c r="AR10" s="2708">
        <v>119486.97101459934</v>
      </c>
      <c r="AS10" s="2708">
        <v>116806.72254627226</v>
      </c>
      <c r="AT10" s="2708">
        <v>122787.38017796796</v>
      </c>
      <c r="AU10" s="2708">
        <v>131973.5083362498</v>
      </c>
      <c r="AV10" s="2708">
        <v>136411.56507286397</v>
      </c>
      <c r="AW10" s="2708">
        <v>140657.91943377128</v>
      </c>
      <c r="AX10" s="2708">
        <v>139934.41389415017</v>
      </c>
      <c r="AY10" s="2708">
        <v>132986.23246049034</v>
      </c>
      <c r="AZ10" s="2708">
        <v>132506.98662919633</v>
      </c>
      <c r="BA10" s="2708">
        <v>131438.36171991393</v>
      </c>
      <c r="BB10" s="2708">
        <v>138261.28360140373</v>
      </c>
      <c r="BC10" s="2708">
        <v>140951.32705585702</v>
      </c>
      <c r="BD10" s="2708">
        <v>141973.56460546658</v>
      </c>
      <c r="BE10" s="2708">
        <v>138200.88188643235</v>
      </c>
      <c r="BF10" s="2708">
        <v>141385.25681095314</v>
      </c>
      <c r="BG10" s="2708">
        <v>147986.4902102729</v>
      </c>
      <c r="BH10" s="2708">
        <v>153076.76490681182</v>
      </c>
    </row>
    <row r="11" spans="1:60" ht="22.5" customHeight="1" x14ac:dyDescent="0.25">
      <c r="A11" s="2750" t="s">
        <v>2658</v>
      </c>
      <c r="B11" s="2751">
        <v>108562.61593662319</v>
      </c>
      <c r="C11" s="2751">
        <v>108923.96045578015</v>
      </c>
      <c r="D11" s="2751">
        <v>106522.54550469911</v>
      </c>
      <c r="E11" s="2751">
        <v>110891.83050453781</v>
      </c>
      <c r="F11" s="2751">
        <v>108916.8087983835</v>
      </c>
      <c r="G11" s="2751">
        <v>112107.7442829256</v>
      </c>
      <c r="H11" s="2751"/>
      <c r="I11" s="2751">
        <v>115890.98669991593</v>
      </c>
      <c r="J11" s="2751">
        <v>111312.03404918466</v>
      </c>
      <c r="K11" s="2751">
        <v>110419.95805792572</v>
      </c>
      <c r="L11" s="2751">
        <v>115601.73085135258</v>
      </c>
      <c r="M11" s="2751">
        <v>112474.58672580255</v>
      </c>
      <c r="N11" s="2751">
        <v>114928.57344395113</v>
      </c>
      <c r="O11" s="2751">
        <v>121374.08251778412</v>
      </c>
      <c r="P11" s="2751">
        <v>120575.18472203201</v>
      </c>
      <c r="Q11" s="2751">
        <v>121791.26959406733</v>
      </c>
      <c r="R11" s="2751">
        <v>122275.49144287358</v>
      </c>
      <c r="S11" s="2751">
        <v>129638.25732720213</v>
      </c>
      <c r="T11" s="2751">
        <v>153690.12734889146</v>
      </c>
      <c r="U11" s="2751">
        <v>153678.35557526001</v>
      </c>
      <c r="V11" s="2751">
        <v>168287.1343339812</v>
      </c>
      <c r="W11" s="2751">
        <v>158018.09263549742</v>
      </c>
      <c r="X11" s="2751">
        <v>149556.62306209799</v>
      </c>
      <c r="Y11" s="2751">
        <v>146628.42226156747</v>
      </c>
      <c r="Z11" s="2751">
        <v>139917.55576504051</v>
      </c>
      <c r="AA11" s="2751">
        <v>141755.63593183062</v>
      </c>
      <c r="AB11" s="2751">
        <v>146408.5262308176</v>
      </c>
      <c r="AC11" s="2751">
        <v>150826.24848758962</v>
      </c>
      <c r="AD11" s="2751">
        <v>158531.01076336461</v>
      </c>
      <c r="AE11" s="2751">
        <v>162723.36962497901</v>
      </c>
      <c r="AF11" s="2751">
        <v>165605.53635328053</v>
      </c>
      <c r="AG11" s="2751">
        <v>172559.18995670188</v>
      </c>
      <c r="AH11" s="2751">
        <v>188936.92518337848</v>
      </c>
      <c r="AI11" s="2751">
        <v>190764.5034953804</v>
      </c>
      <c r="AJ11" s="2751">
        <v>193220.71468804724</v>
      </c>
      <c r="AK11" s="2751">
        <v>195646.29722420429</v>
      </c>
      <c r="AL11" s="2751">
        <v>196603.87572591138</v>
      </c>
      <c r="AM11" s="2751">
        <v>198949.91612686933</v>
      </c>
      <c r="AN11" s="2751">
        <v>196815.31922782067</v>
      </c>
      <c r="AO11" s="2751">
        <v>198016.24479104247</v>
      </c>
      <c r="AP11" s="2751">
        <v>197266.32014458877</v>
      </c>
      <c r="AQ11" s="2751">
        <v>198210.96395153701</v>
      </c>
      <c r="AR11" s="2751">
        <v>195065.68513938968</v>
      </c>
      <c r="AS11" s="2751">
        <v>198952.75263767119</v>
      </c>
      <c r="AT11" s="2751">
        <v>193171.95729490824</v>
      </c>
      <c r="AU11" s="2751">
        <v>194264.76284137732</v>
      </c>
      <c r="AV11" s="2751">
        <v>202238.50245723114</v>
      </c>
      <c r="AW11" s="2751">
        <v>206065.81343439445</v>
      </c>
      <c r="AX11" s="2751">
        <v>199802.79401419131</v>
      </c>
      <c r="AY11" s="2751">
        <v>199976.08948002753</v>
      </c>
      <c r="AZ11" s="2751">
        <v>196011.48143275754</v>
      </c>
      <c r="BA11" s="2751">
        <v>196354.72445513343</v>
      </c>
      <c r="BB11" s="2751">
        <v>195712.97700571798</v>
      </c>
      <c r="BC11" s="2751">
        <v>199499.51728068577</v>
      </c>
      <c r="BD11" s="2751">
        <v>202122.46565930362</v>
      </c>
      <c r="BE11" s="2751">
        <v>205077.83079386238</v>
      </c>
      <c r="BF11" s="2751">
        <v>209851.01032032783</v>
      </c>
      <c r="BG11" s="2751">
        <v>212882.82389147664</v>
      </c>
      <c r="BH11" s="2751">
        <v>213481.70967478695</v>
      </c>
    </row>
    <row r="12" spans="1:60" ht="22.5" customHeight="1" x14ac:dyDescent="0.25">
      <c r="A12" s="2750" t="s">
        <v>2659</v>
      </c>
      <c r="B12" s="2751">
        <v>-35040.880495553465</v>
      </c>
      <c r="C12" s="2751">
        <v>-32213.425897752317</v>
      </c>
      <c r="D12" s="2751">
        <v>-31189.180516589779</v>
      </c>
      <c r="E12" s="2751">
        <v>-33314.000215138185</v>
      </c>
      <c r="F12" s="2751">
        <v>-29786.756245225064</v>
      </c>
      <c r="G12" s="2751">
        <v>-30779.63896280781</v>
      </c>
      <c r="H12" s="2763"/>
      <c r="I12" s="2751">
        <v>-32134.727783562914</v>
      </c>
      <c r="J12" s="2751">
        <v>-30154.59983519146</v>
      </c>
      <c r="K12" s="2751">
        <v>-29650.027424974964</v>
      </c>
      <c r="L12" s="2751">
        <v>-32518.054665336287</v>
      </c>
      <c r="M12" s="2751">
        <v>-30786.009310770052</v>
      </c>
      <c r="N12" s="2751">
        <v>-30395.882421110262</v>
      </c>
      <c r="O12" s="2751">
        <v>-30853.447602626547</v>
      </c>
      <c r="P12" s="2751">
        <v>-48068.312385397032</v>
      </c>
      <c r="Q12" s="2751">
        <v>-41209.93742258352</v>
      </c>
      <c r="R12" s="2751">
        <v>-35724.138145562276</v>
      </c>
      <c r="S12" s="2751">
        <v>-35871.606026319656</v>
      </c>
      <c r="T12" s="2751">
        <v>-51300.300437166385</v>
      </c>
      <c r="U12" s="2751">
        <v>-38988.823250912741</v>
      </c>
      <c r="V12" s="2751">
        <v>-59429.101939660482</v>
      </c>
      <c r="W12" s="2751">
        <v>-55236.270752059645</v>
      </c>
      <c r="X12" s="2751">
        <v>-81002.775149992362</v>
      </c>
      <c r="Y12" s="2751">
        <v>-83040.428002419445</v>
      </c>
      <c r="Z12" s="2751">
        <v>-72277.366906183117</v>
      </c>
      <c r="AA12" s="2751">
        <v>-67961.872178794147</v>
      </c>
      <c r="AB12" s="2751">
        <v>-67516.768935154018</v>
      </c>
      <c r="AC12" s="2751">
        <v>-66874.813851282044</v>
      </c>
      <c r="AD12" s="2751">
        <v>-70413.030676911978</v>
      </c>
      <c r="AE12" s="2751">
        <v>-78505.329749436263</v>
      </c>
      <c r="AF12" s="2751">
        <v>-74212.6856335763</v>
      </c>
      <c r="AG12" s="2751">
        <v>-75359.863382624855</v>
      </c>
      <c r="AH12" s="2751">
        <v>-84788.080890196274</v>
      </c>
      <c r="AI12" s="2751">
        <v>-77893.976674563077</v>
      </c>
      <c r="AJ12" s="2751">
        <v>-88105.239639287174</v>
      </c>
      <c r="AK12" s="2751">
        <v>-85875.710043813073</v>
      </c>
      <c r="AL12" s="2751">
        <v>-70027.597922339337</v>
      </c>
      <c r="AM12" s="2751">
        <v>-71004.836391277087</v>
      </c>
      <c r="AN12" s="2751">
        <v>-90450.499965751515</v>
      </c>
      <c r="AO12" s="2751">
        <v>-92996.180553825398</v>
      </c>
      <c r="AP12" s="2751">
        <v>-86703.330603999231</v>
      </c>
      <c r="AQ12" s="2751">
        <v>-78737.665040603839</v>
      </c>
      <c r="AR12" s="2751">
        <v>-75578.714124790335</v>
      </c>
      <c r="AS12" s="2751">
        <v>-82146.030091398934</v>
      </c>
      <c r="AT12" s="2751">
        <v>-70384.577116940272</v>
      </c>
      <c r="AU12" s="2751">
        <v>-62291.254505127508</v>
      </c>
      <c r="AV12" s="2751">
        <v>-65826.937384367164</v>
      </c>
      <c r="AW12" s="2751">
        <v>-65407.894000623157</v>
      </c>
      <c r="AX12" s="2751">
        <v>-59868.380120041147</v>
      </c>
      <c r="AY12" s="2751">
        <v>-66989.857019537187</v>
      </c>
      <c r="AZ12" s="2751">
        <v>-63504.494803561218</v>
      </c>
      <c r="BA12" s="2751">
        <v>-64916.362735219496</v>
      </c>
      <c r="BB12" s="2751">
        <v>-57451.693404314254</v>
      </c>
      <c r="BC12" s="2751">
        <v>-58548.190224828744</v>
      </c>
      <c r="BD12" s="2751">
        <v>-60148.901053837028</v>
      </c>
      <c r="BE12" s="2751">
        <v>-66876.948907430036</v>
      </c>
      <c r="BF12" s="2751">
        <v>-68465.75350937467</v>
      </c>
      <c r="BG12" s="2751">
        <v>-64896.333681203731</v>
      </c>
      <c r="BH12" s="2751">
        <v>-60404.944767975117</v>
      </c>
    </row>
    <row r="13" spans="1:60" ht="22.5" customHeight="1" x14ac:dyDescent="0.25">
      <c r="A13" s="2749" t="s">
        <v>2660</v>
      </c>
      <c r="B13" s="2708">
        <v>454985.41505590512</v>
      </c>
      <c r="C13" s="2708">
        <v>455794.18387651665</v>
      </c>
      <c r="D13" s="2708">
        <v>460261.97833692946</v>
      </c>
      <c r="E13" s="2708">
        <v>459857.20631190663</v>
      </c>
      <c r="F13" s="2708">
        <v>465278.00353156874</v>
      </c>
      <c r="G13" s="2708">
        <v>465124.05002107681</v>
      </c>
      <c r="H13" s="2708"/>
      <c r="I13" s="2708">
        <v>472757.98140489554</v>
      </c>
      <c r="J13" s="2708">
        <v>478157.73158403143</v>
      </c>
      <c r="K13" s="2708">
        <v>479546.68564041925</v>
      </c>
      <c r="L13" s="2708">
        <v>483231.32369662204</v>
      </c>
      <c r="M13" s="2708">
        <v>487897.26553679502</v>
      </c>
      <c r="N13" s="2708">
        <v>488414.92341110442</v>
      </c>
      <c r="O13" s="2708">
        <v>2.5</v>
      </c>
      <c r="P13" s="2708">
        <v>495724.33515545487</v>
      </c>
      <c r="Q13" s="2708">
        <v>496889.25746136258</v>
      </c>
      <c r="R13" s="2708">
        <v>492897.71237293351</v>
      </c>
      <c r="S13" s="2708">
        <v>497126.63932293892</v>
      </c>
      <c r="T13" s="2708">
        <v>504228.00212259649</v>
      </c>
      <c r="U13" s="2708">
        <v>503789.14151354413</v>
      </c>
      <c r="V13" s="2708">
        <v>506761.14286677964</v>
      </c>
      <c r="W13" s="2708">
        <v>509260.21698601497</v>
      </c>
      <c r="X13" s="2708">
        <v>507091.15402811987</v>
      </c>
      <c r="Y13" s="2708">
        <v>501754.60837453988</v>
      </c>
      <c r="Z13" s="2708">
        <v>533500.42043595039</v>
      </c>
      <c r="AA13" s="2708">
        <v>532843.24002519622</v>
      </c>
      <c r="AB13" s="2708">
        <v>534011.13313720538</v>
      </c>
      <c r="AC13" s="2708">
        <v>545639.06768007693</v>
      </c>
      <c r="AD13" s="2708">
        <v>536496.19769296772</v>
      </c>
      <c r="AE13" s="2708">
        <v>529883.79861313675</v>
      </c>
      <c r="AF13" s="2708">
        <v>586763.41810640378</v>
      </c>
      <c r="AG13" s="2708">
        <v>591831.17295544583</v>
      </c>
      <c r="AH13" s="2708">
        <v>593373.73864856444</v>
      </c>
      <c r="AI13" s="2708">
        <v>602903.11802508077</v>
      </c>
      <c r="AJ13" s="2708">
        <v>601145.01426576532</v>
      </c>
      <c r="AK13" s="2708">
        <v>601230.80978730565</v>
      </c>
      <c r="AL13" s="2708">
        <v>623362.24236757937</v>
      </c>
      <c r="AM13" s="2708">
        <v>611754.4156935236</v>
      </c>
      <c r="AN13" s="2708">
        <v>601936.71689817356</v>
      </c>
      <c r="AO13" s="2708">
        <v>604208.97402665042</v>
      </c>
      <c r="AP13" s="2708">
        <v>607642.55090073892</v>
      </c>
      <c r="AQ13" s="2708">
        <v>611764.99917544355</v>
      </c>
      <c r="AR13" s="2708">
        <v>608185.06632721121</v>
      </c>
      <c r="AS13" s="2708">
        <v>615836.12877455272</v>
      </c>
      <c r="AT13" s="2708">
        <v>636898.57631656248</v>
      </c>
      <c r="AU13" s="2708">
        <v>632582.4219074276</v>
      </c>
      <c r="AV13" s="2708">
        <v>638051.54754492664</v>
      </c>
      <c r="AW13" s="2708">
        <v>640342.42254928453</v>
      </c>
      <c r="AX13" s="2708">
        <v>649644.71597742871</v>
      </c>
      <c r="AY13" s="2708">
        <v>660815.7384817875</v>
      </c>
      <c r="AZ13" s="2708">
        <v>668282.87265479518</v>
      </c>
      <c r="BA13" s="2708">
        <v>671417.97172939556</v>
      </c>
      <c r="BB13" s="2708">
        <v>670533.31583851064</v>
      </c>
      <c r="BC13" s="2708">
        <v>667182.24275156599</v>
      </c>
      <c r="BD13" s="2708">
        <v>666067.60632101446</v>
      </c>
      <c r="BE13" s="2708">
        <v>669652.98285172728</v>
      </c>
      <c r="BF13" s="2708">
        <v>684343.91671763407</v>
      </c>
      <c r="BG13" s="2708">
        <v>687097.69700315641</v>
      </c>
      <c r="BH13" s="2708">
        <v>689769.01524358371</v>
      </c>
    </row>
    <row r="14" spans="1:60" ht="13.5" customHeight="1" x14ac:dyDescent="0.25">
      <c r="A14" s="2750"/>
      <c r="B14" s="2751"/>
      <c r="C14" s="2751"/>
      <c r="D14" s="2751"/>
      <c r="E14" s="2751"/>
      <c r="F14" s="2751"/>
      <c r="G14" s="2751"/>
      <c r="H14" s="2751"/>
      <c r="I14" s="2751"/>
      <c r="J14" s="2751"/>
      <c r="K14" s="2751"/>
      <c r="L14" s="2751"/>
      <c r="M14" s="2751"/>
      <c r="N14" s="2751"/>
      <c r="O14" s="2751"/>
      <c r="P14" s="2751"/>
      <c r="Q14" s="2751"/>
      <c r="R14" s="2751"/>
      <c r="S14" s="2751"/>
      <c r="T14" s="2751"/>
      <c r="U14" s="2751"/>
      <c r="V14" s="2751"/>
      <c r="W14" s="2751"/>
      <c r="X14" s="2751"/>
      <c r="Y14" s="2751"/>
      <c r="Z14" s="2751"/>
      <c r="AA14" s="2751"/>
      <c r="AB14" s="2751"/>
      <c r="AC14" s="2751"/>
      <c r="AD14" s="2751"/>
      <c r="AE14" s="2751"/>
      <c r="AF14" s="2751"/>
      <c r="AG14" s="2751"/>
      <c r="AH14" s="2751"/>
      <c r="AI14" s="2751"/>
      <c r="AJ14" s="2751"/>
      <c r="AK14" s="2751"/>
      <c r="AL14" s="2751"/>
      <c r="AM14" s="2751"/>
      <c r="AN14" s="2751"/>
      <c r="AO14" s="2751"/>
      <c r="AP14" s="2751"/>
      <c r="AQ14" s="2751"/>
      <c r="AR14" s="2751"/>
      <c r="AS14" s="2751"/>
      <c r="AT14" s="2751"/>
      <c r="AU14" s="2751"/>
      <c r="AV14" s="2751"/>
      <c r="AW14" s="2751"/>
      <c r="AX14" s="2751"/>
      <c r="AY14" s="2751"/>
      <c r="AZ14" s="2751"/>
      <c r="BA14" s="2751"/>
      <c r="BB14" s="2751"/>
      <c r="BC14" s="2751"/>
      <c r="BD14" s="2751"/>
      <c r="BE14" s="2751"/>
      <c r="BF14" s="2751"/>
      <c r="BG14" s="2751"/>
      <c r="BH14" s="2751"/>
    </row>
    <row r="15" spans="1:60" ht="22.5" customHeight="1" x14ac:dyDescent="0.25">
      <c r="A15" s="2749" t="s">
        <v>2661</v>
      </c>
      <c r="B15" s="2708">
        <v>544713.22111905226</v>
      </c>
      <c r="C15" s="2708">
        <v>547078.01010348124</v>
      </c>
      <c r="D15" s="2708">
        <v>554892.69632883591</v>
      </c>
      <c r="E15" s="2708">
        <v>554908.23577923037</v>
      </c>
      <c r="F15" s="2708">
        <v>559637.26738361537</v>
      </c>
      <c r="G15" s="2708">
        <v>562978.93241245963</v>
      </c>
      <c r="H15" s="2708">
        <v>565338.49062105222</v>
      </c>
      <c r="I15" s="2708">
        <v>564329.58136491175</v>
      </c>
      <c r="J15" s="2708">
        <v>571821.25441540603</v>
      </c>
      <c r="K15" s="2708">
        <v>574711.70473376976</v>
      </c>
      <c r="L15" s="2708">
        <v>573609.46124614414</v>
      </c>
      <c r="M15" s="2708">
        <v>576579.80937112006</v>
      </c>
      <c r="N15" s="2708">
        <v>586220.9455710582</v>
      </c>
      <c r="O15" s="2708">
        <v>592579.06939322897</v>
      </c>
      <c r="P15" s="2708">
        <v>601973.23458341032</v>
      </c>
      <c r="Q15" s="2708">
        <v>604264.38169844472</v>
      </c>
      <c r="R15" s="2708">
        <v>612966.7983084236</v>
      </c>
      <c r="S15" s="2708">
        <v>623487.74252911494</v>
      </c>
      <c r="T15" s="2708">
        <v>634874.85028223693</v>
      </c>
      <c r="U15" s="2708">
        <v>640638.5183000121</v>
      </c>
      <c r="V15" s="2708">
        <v>644329.59710239817</v>
      </c>
      <c r="W15" s="2708">
        <v>645173.52177810203</v>
      </c>
      <c r="X15" s="2708">
        <v>646149.29340344621</v>
      </c>
      <c r="Y15" s="2708">
        <v>655899.11789156613</v>
      </c>
      <c r="Z15" s="2708">
        <v>693565.16370723839</v>
      </c>
      <c r="AA15" s="2708">
        <v>694772.90107514313</v>
      </c>
      <c r="AB15" s="2708">
        <v>703592.72573349939</v>
      </c>
      <c r="AC15" s="2708">
        <v>708184.36570888828</v>
      </c>
      <c r="AD15" s="2708">
        <v>710613.30748368672</v>
      </c>
      <c r="AE15" s="2708">
        <v>710709.83976267208</v>
      </c>
      <c r="AF15" s="2708">
        <v>763284.38256650825</v>
      </c>
      <c r="AG15" s="2708">
        <v>765919.0235516103</v>
      </c>
      <c r="AH15" s="2708">
        <v>765365.56867240334</v>
      </c>
      <c r="AI15" s="2708">
        <v>773835.90685053158</v>
      </c>
      <c r="AJ15" s="2708">
        <v>769296.78973335284</v>
      </c>
      <c r="AK15" s="2708">
        <v>767716.76423805126</v>
      </c>
      <c r="AL15" s="2708">
        <v>782458.03764073062</v>
      </c>
      <c r="AM15" s="2708">
        <v>788282.67900455184</v>
      </c>
      <c r="AN15" s="2708">
        <v>765847.35978355154</v>
      </c>
      <c r="AO15" s="2708">
        <v>764204.14486669202</v>
      </c>
      <c r="AP15" s="2708">
        <v>768035.0242682941</v>
      </c>
      <c r="AQ15" s="2708">
        <v>775331.26731230051</v>
      </c>
      <c r="AR15" s="2708">
        <v>769858.87439460633</v>
      </c>
      <c r="AS15" s="2708">
        <v>763721.85087153711</v>
      </c>
      <c r="AT15" s="2708">
        <v>783584.47113963857</v>
      </c>
      <c r="AU15" s="2708">
        <v>789783.61028951243</v>
      </c>
      <c r="AV15" s="2708">
        <v>779201.14906607033</v>
      </c>
      <c r="AW15" s="2708">
        <v>782023.78613180737</v>
      </c>
      <c r="AX15" s="2708">
        <v>785082.11652708682</v>
      </c>
      <c r="AY15" s="2708">
        <v>794819.17949063075</v>
      </c>
      <c r="AZ15" s="2708">
        <v>806105.09928664903</v>
      </c>
      <c r="BA15" s="2708">
        <v>812542.30665421113</v>
      </c>
      <c r="BB15" s="2708">
        <v>823542.31480631744</v>
      </c>
      <c r="BC15" s="2708">
        <v>821910.22135618166</v>
      </c>
      <c r="BD15" s="2708">
        <v>812790.97896037728</v>
      </c>
      <c r="BE15" s="2708">
        <v>810594.25145861565</v>
      </c>
      <c r="BF15" s="2708">
        <v>825804.36065696448</v>
      </c>
      <c r="BG15" s="2708">
        <v>832338.27446425695</v>
      </c>
      <c r="BH15" s="2708">
        <v>834013.33256910997</v>
      </c>
    </row>
    <row r="16" spans="1:60" ht="22.5" customHeight="1" x14ac:dyDescent="0.25">
      <c r="A16" s="2750" t="s">
        <v>2662</v>
      </c>
      <c r="B16" s="2751">
        <v>29071.941947559819</v>
      </c>
      <c r="C16" s="2751">
        <v>29111.019947766225</v>
      </c>
      <c r="D16" s="2751">
        <v>31636.023138115845</v>
      </c>
      <c r="E16" s="2751">
        <v>29893.550483353891</v>
      </c>
      <c r="F16" s="2751">
        <v>29612.111529268681</v>
      </c>
      <c r="G16" s="2751">
        <v>29987.258875632728</v>
      </c>
      <c r="H16" s="2751">
        <v>29808.532092407655</v>
      </c>
      <c r="I16" s="2751">
        <v>29873.778942881614</v>
      </c>
      <c r="J16" s="2751">
        <v>30056.327956020566</v>
      </c>
      <c r="K16" s="2751">
        <v>30327.714046756177</v>
      </c>
      <c r="L16" s="2751">
        <v>30499.597336790979</v>
      </c>
      <c r="M16" s="2751">
        <v>30620.709542476052</v>
      </c>
      <c r="N16" s="2751">
        <v>31634.880380811912</v>
      </c>
      <c r="O16" s="2751">
        <v>31672.719324559101</v>
      </c>
      <c r="P16" s="2751">
        <v>35365.44116659162</v>
      </c>
      <c r="Q16" s="2751">
        <v>33646.968742174089</v>
      </c>
      <c r="R16" s="2751">
        <v>33729.331543131731</v>
      </c>
      <c r="S16" s="2751">
        <v>34041.210177219153</v>
      </c>
      <c r="T16" s="2751">
        <v>35441.178040064326</v>
      </c>
      <c r="U16" s="2751">
        <v>36965.41341447919</v>
      </c>
      <c r="V16" s="2751">
        <v>36133.21804392316</v>
      </c>
      <c r="W16" s="2751">
        <v>36349.4683146877</v>
      </c>
      <c r="X16" s="2751">
        <v>36481.794617266271</v>
      </c>
      <c r="Y16" s="2751">
        <v>36167.186899197026</v>
      </c>
      <c r="Z16" s="2751">
        <v>36623.820447114776</v>
      </c>
      <c r="AA16" s="2751">
        <v>36907.671134592551</v>
      </c>
      <c r="AB16" s="2751">
        <v>39610.504011841193</v>
      </c>
      <c r="AC16" s="2751">
        <v>38497.754583117094</v>
      </c>
      <c r="AD16" s="2751">
        <v>38230.063502696634</v>
      </c>
      <c r="AE16" s="2751">
        <v>38930.812688919905</v>
      </c>
      <c r="AF16" s="2751">
        <v>39704.961290793319</v>
      </c>
      <c r="AG16" s="2751">
        <v>39960.940228936379</v>
      </c>
      <c r="AH16" s="2751">
        <v>39426.331250734554</v>
      </c>
      <c r="AI16" s="2751">
        <v>39694.546839719958</v>
      </c>
      <c r="AJ16" s="2751">
        <v>39586.95230685253</v>
      </c>
      <c r="AK16" s="2751">
        <v>39355.655473794584</v>
      </c>
      <c r="AL16" s="2751">
        <v>40400.961629362821</v>
      </c>
      <c r="AM16" s="2751">
        <v>40632.814910755158</v>
      </c>
      <c r="AN16" s="2751">
        <v>43542.015341207203</v>
      </c>
      <c r="AO16" s="2751">
        <v>42546.18536786933</v>
      </c>
      <c r="AP16" s="2751">
        <v>42569.223344377846</v>
      </c>
      <c r="AQ16" s="2751">
        <v>42239.306684471616</v>
      </c>
      <c r="AR16" s="2751">
        <v>42882.579815164245</v>
      </c>
      <c r="AS16" s="2751">
        <v>42631.991765195919</v>
      </c>
      <c r="AT16" s="2751">
        <v>42461.138057696364</v>
      </c>
      <c r="AU16" s="2751">
        <v>43163.327203205139</v>
      </c>
      <c r="AV16" s="2751">
        <v>43096.278275516896</v>
      </c>
      <c r="AW16" s="2751">
        <v>43314.940585212935</v>
      </c>
      <c r="AX16" s="2751">
        <v>44004.969362828473</v>
      </c>
      <c r="AY16" s="2751">
        <v>43994.409553095829</v>
      </c>
      <c r="AZ16" s="2751">
        <v>47620.609747011054</v>
      </c>
      <c r="BA16" s="2751">
        <v>46297.765714723093</v>
      </c>
      <c r="BB16" s="2751">
        <v>46149.403663872981</v>
      </c>
      <c r="BC16" s="2751">
        <v>46211.170909433262</v>
      </c>
      <c r="BD16" s="2751">
        <v>46605.740991945291</v>
      </c>
      <c r="BE16" s="2751">
        <v>45982.351978401377</v>
      </c>
      <c r="BF16" s="2751">
        <v>46072.893384649302</v>
      </c>
      <c r="BG16" s="2751">
        <v>46615.630973537387</v>
      </c>
      <c r="BH16" s="2751">
        <v>46607.64282613252</v>
      </c>
    </row>
    <row r="17" spans="1:60" ht="22.5" customHeight="1" x14ac:dyDescent="0.25">
      <c r="A17" s="2750" t="s">
        <v>2663</v>
      </c>
      <c r="B17" s="2751">
        <v>349817.3692072588</v>
      </c>
      <c r="C17" s="2751">
        <v>354201.30768308928</v>
      </c>
      <c r="D17" s="2751">
        <v>357765.07698057732</v>
      </c>
      <c r="E17" s="2751">
        <v>357996.54613215395</v>
      </c>
      <c r="F17" s="2751">
        <v>360616.08258897066</v>
      </c>
      <c r="G17" s="2751">
        <v>363121.49049247528</v>
      </c>
      <c r="H17" s="2751">
        <v>364963.17042565683</v>
      </c>
      <c r="I17" s="2751">
        <v>366876.16172554885</v>
      </c>
      <c r="J17" s="2751">
        <v>372476.17302280985</v>
      </c>
      <c r="K17" s="2751">
        <v>371956.17727903632</v>
      </c>
      <c r="L17" s="2751">
        <v>370917.33419416589</v>
      </c>
      <c r="M17" s="2751">
        <v>372604.91621793649</v>
      </c>
      <c r="N17" s="2751">
        <v>379112.62310929457</v>
      </c>
      <c r="O17" s="2751">
        <v>385379.45376494777</v>
      </c>
      <c r="P17" s="2751">
        <v>393472.95413386746</v>
      </c>
      <c r="Q17" s="2751">
        <v>394025.78620856954</v>
      </c>
      <c r="R17" s="2751">
        <v>405010.9204585104</v>
      </c>
      <c r="S17" s="2751">
        <v>417207.36841667444</v>
      </c>
      <c r="T17" s="2751">
        <v>431884.0214971847</v>
      </c>
      <c r="U17" s="2751">
        <v>439214.34439756483</v>
      </c>
      <c r="V17" s="2751">
        <v>442993.63756981672</v>
      </c>
      <c r="W17" s="2751">
        <v>441891.34842852247</v>
      </c>
      <c r="X17" s="2751">
        <v>442286.64786667615</v>
      </c>
      <c r="Y17" s="2751">
        <v>451981.33376380499</v>
      </c>
      <c r="Z17" s="2751">
        <v>486714.30772278382</v>
      </c>
      <c r="AA17" s="2751">
        <v>485340.02046269918</v>
      </c>
      <c r="AB17" s="2751">
        <v>493926.79344369972</v>
      </c>
      <c r="AC17" s="2751">
        <v>499582.36185885279</v>
      </c>
      <c r="AD17" s="2751">
        <v>504343.96406380221</v>
      </c>
      <c r="AE17" s="2751">
        <v>511973.02573807631</v>
      </c>
      <c r="AF17" s="2751">
        <v>568689.48635028547</v>
      </c>
      <c r="AG17" s="2751">
        <v>570517.19365886296</v>
      </c>
      <c r="AH17" s="2751">
        <v>569547.83374324674</v>
      </c>
      <c r="AI17" s="2751">
        <v>577483.52843947883</v>
      </c>
      <c r="AJ17" s="2751">
        <v>572763.6313606716</v>
      </c>
      <c r="AK17" s="2751">
        <v>571594.39595028793</v>
      </c>
      <c r="AL17" s="2751">
        <v>585979.93287902314</v>
      </c>
      <c r="AM17" s="2751">
        <v>590267.04063663597</v>
      </c>
      <c r="AN17" s="2751">
        <v>566393.99963087426</v>
      </c>
      <c r="AO17" s="2751">
        <v>567102.50064335391</v>
      </c>
      <c r="AP17" s="2751">
        <v>569076.74046541308</v>
      </c>
      <c r="AQ17" s="2751">
        <v>575245.40118340217</v>
      </c>
      <c r="AR17" s="2751">
        <v>575740.60894816928</v>
      </c>
      <c r="AS17" s="2751">
        <v>571808.95382899512</v>
      </c>
      <c r="AT17" s="2751">
        <v>585848.79109616764</v>
      </c>
      <c r="AU17" s="2751">
        <v>590980.26184736902</v>
      </c>
      <c r="AV17" s="2751">
        <v>580327.06221045204</v>
      </c>
      <c r="AW17" s="2751">
        <v>582061.19776297116</v>
      </c>
      <c r="AX17" s="2751">
        <v>581607.32904408989</v>
      </c>
      <c r="AY17" s="2751">
        <v>585330.8837303787</v>
      </c>
      <c r="AZ17" s="2751">
        <v>586227.00938680582</v>
      </c>
      <c r="BA17" s="2751">
        <v>596988.40196349623</v>
      </c>
      <c r="BB17" s="2751">
        <v>600182.61891250592</v>
      </c>
      <c r="BC17" s="2751">
        <v>587247.20243426762</v>
      </c>
      <c r="BD17" s="2751">
        <v>580323.56295037491</v>
      </c>
      <c r="BE17" s="2751">
        <v>578629.65409317915</v>
      </c>
      <c r="BF17" s="2751">
        <v>588350.48451340944</v>
      </c>
      <c r="BG17" s="2751">
        <v>593487.89001516311</v>
      </c>
      <c r="BH17" s="2751">
        <v>594085.08152965154</v>
      </c>
    </row>
    <row r="18" spans="1:60" ht="22.5" customHeight="1" x14ac:dyDescent="0.25">
      <c r="A18" s="2750" t="s">
        <v>2664</v>
      </c>
      <c r="B18" s="2751">
        <v>144948.09209820529</v>
      </c>
      <c r="C18" s="2751">
        <v>143502.54002618886</v>
      </c>
      <c r="D18" s="2751">
        <v>143591.75394556049</v>
      </c>
      <c r="E18" s="2751">
        <v>145167.76914755409</v>
      </c>
      <c r="F18" s="2751">
        <v>146160.50104224373</v>
      </c>
      <c r="G18" s="2751">
        <v>145041.4055475583</v>
      </c>
      <c r="H18" s="2751">
        <v>145419.72368479954</v>
      </c>
      <c r="I18" s="2751">
        <v>142675.43303174363</v>
      </c>
      <c r="J18" s="2751">
        <v>142305.97178097413</v>
      </c>
      <c r="K18" s="2751">
        <v>145276.86816338875</v>
      </c>
      <c r="L18" s="2751">
        <v>145133.04978730206</v>
      </c>
      <c r="M18" s="2751">
        <v>147008.39646150314</v>
      </c>
      <c r="N18" s="2751">
        <v>148678.14615921731</v>
      </c>
      <c r="O18" s="2751">
        <v>149076.11817971867</v>
      </c>
      <c r="P18" s="2751">
        <v>146311.98532118497</v>
      </c>
      <c r="Q18" s="2751">
        <v>149732.40711379156</v>
      </c>
      <c r="R18" s="2751">
        <v>149590.31547323018</v>
      </c>
      <c r="S18" s="2751">
        <v>148814.45449413886</v>
      </c>
      <c r="T18" s="2751">
        <v>145371.78443962146</v>
      </c>
      <c r="U18" s="2751">
        <v>145231.1709535988</v>
      </c>
      <c r="V18" s="2751">
        <v>146359.36920270845</v>
      </c>
      <c r="W18" s="2751">
        <v>147731.5166022795</v>
      </c>
      <c r="X18" s="2751">
        <v>148643.92693014941</v>
      </c>
      <c r="Y18" s="2751">
        <v>148733.96141695153</v>
      </c>
      <c r="Z18" s="2751">
        <v>148776.37339146185</v>
      </c>
      <c r="AA18" s="2751">
        <v>150773.99329671604</v>
      </c>
      <c r="AB18" s="2751">
        <v>150023.86640949865</v>
      </c>
      <c r="AC18" s="2751">
        <v>149489.95006325806</v>
      </c>
      <c r="AD18" s="2751">
        <v>148159.36137781234</v>
      </c>
      <c r="AE18" s="2751">
        <v>143922.01373360475</v>
      </c>
      <c r="AF18" s="2751">
        <v>141332.03858743189</v>
      </c>
      <c r="AG18" s="2751">
        <v>142611.96901376377</v>
      </c>
      <c r="AH18" s="2751">
        <v>143737.48427063884</v>
      </c>
      <c r="AI18" s="2751">
        <v>144411.78692895081</v>
      </c>
      <c r="AJ18" s="2751">
        <v>144572.51039488416</v>
      </c>
      <c r="AK18" s="2751">
        <v>144955.18732009598</v>
      </c>
      <c r="AL18" s="2751">
        <v>144522.90579350753</v>
      </c>
      <c r="AM18" s="2751">
        <v>141913.70705970578</v>
      </c>
      <c r="AN18" s="2751">
        <v>140857.08230651257</v>
      </c>
      <c r="AO18" s="2751">
        <v>137808.60757889133</v>
      </c>
      <c r="AP18" s="2751">
        <v>140975.98418438493</v>
      </c>
      <c r="AQ18" s="2751">
        <v>142657.5973501179</v>
      </c>
      <c r="AR18" s="2751">
        <v>138443.99641782831</v>
      </c>
      <c r="AS18" s="2751">
        <v>136824.53371241607</v>
      </c>
      <c r="AT18" s="2751">
        <v>142830.22736783768</v>
      </c>
      <c r="AU18" s="2751">
        <v>144451.65765574001</v>
      </c>
      <c r="AV18" s="2751">
        <v>145106.70121517315</v>
      </c>
      <c r="AW18" s="2751">
        <v>149285.09576204285</v>
      </c>
      <c r="AX18" s="2751">
        <v>150205.1510615084</v>
      </c>
      <c r="AY18" s="2751">
        <v>153582.25267760098</v>
      </c>
      <c r="AZ18" s="2751">
        <v>160701.75284107169</v>
      </c>
      <c r="BA18" s="2751">
        <v>163515.98840334633</v>
      </c>
      <c r="BB18" s="2751">
        <v>171171.73673197755</v>
      </c>
      <c r="BC18" s="2751">
        <v>179557.37246380624</v>
      </c>
      <c r="BD18" s="2751">
        <v>176691.81012167362</v>
      </c>
      <c r="BE18" s="2751">
        <v>174700.92805779242</v>
      </c>
      <c r="BF18" s="2751">
        <v>178700.48802450989</v>
      </c>
      <c r="BG18" s="2751">
        <v>187976.80883700293</v>
      </c>
      <c r="BH18" s="2751">
        <v>188934.32097706848</v>
      </c>
    </row>
    <row r="19" spans="1:60" ht="22.5" customHeight="1" x14ac:dyDescent="0.25">
      <c r="A19" s="2750" t="s">
        <v>2665</v>
      </c>
      <c r="B19" s="2751">
        <v>20875.81786602833</v>
      </c>
      <c r="C19" s="2751">
        <v>20263.142446436872</v>
      </c>
      <c r="D19" s="2751">
        <v>21899.842264582279</v>
      </c>
      <c r="E19" s="2751">
        <v>21850.370016168483</v>
      </c>
      <c r="F19" s="2751">
        <v>23248.572223132323</v>
      </c>
      <c r="G19" s="2751">
        <v>24828.777496793307</v>
      </c>
      <c r="H19" s="2751">
        <v>25147.064418188154</v>
      </c>
      <c r="I19" s="2751">
        <v>24904.207664737729</v>
      </c>
      <c r="J19" s="2751">
        <v>26982.781655601539</v>
      </c>
      <c r="K19" s="2751">
        <v>27150.945244588522</v>
      </c>
      <c r="L19" s="2751">
        <v>27059.47992788527</v>
      </c>
      <c r="M19" s="2751">
        <v>26345.787149204461</v>
      </c>
      <c r="N19" s="2751">
        <v>26795.295921734403</v>
      </c>
      <c r="O19" s="2751">
        <v>26450.778124003409</v>
      </c>
      <c r="P19" s="2751">
        <v>26822.853961766399</v>
      </c>
      <c r="Q19" s="2751">
        <v>26859.219633909466</v>
      </c>
      <c r="R19" s="2751">
        <v>24636.230833551264</v>
      </c>
      <c r="S19" s="2751">
        <v>23424.709441082585</v>
      </c>
      <c r="T19" s="2751">
        <v>22177.866305366384</v>
      </c>
      <c r="U19" s="2751">
        <v>19227.589534369341</v>
      </c>
      <c r="V19" s="2751">
        <v>18843.372285949888</v>
      </c>
      <c r="W19" s="2751">
        <v>19201.188432612289</v>
      </c>
      <c r="X19" s="2751">
        <v>18736.923989354444</v>
      </c>
      <c r="Y19" s="2751">
        <v>19016.635811612556</v>
      </c>
      <c r="Z19" s="2751">
        <v>21450.662145877915</v>
      </c>
      <c r="AA19" s="2751">
        <v>21751.216181135442</v>
      </c>
      <c r="AB19" s="2751">
        <v>20031.561868459889</v>
      </c>
      <c r="AC19" s="2751">
        <v>20614.299203660394</v>
      </c>
      <c r="AD19" s="2751">
        <v>19879.918539375511</v>
      </c>
      <c r="AE19" s="2751">
        <v>15883.987602071098</v>
      </c>
      <c r="AF19" s="2751">
        <v>13557.896337997492</v>
      </c>
      <c r="AG19" s="2751">
        <v>12828.920650047221</v>
      </c>
      <c r="AH19" s="2751">
        <v>12653.919407783216</v>
      </c>
      <c r="AI19" s="2751">
        <v>12246.044642381974</v>
      </c>
      <c r="AJ19" s="2751">
        <v>12373.695670944551</v>
      </c>
      <c r="AK19" s="2751">
        <v>11811.525493872792</v>
      </c>
      <c r="AL19" s="2751">
        <v>11554.23733883728</v>
      </c>
      <c r="AM19" s="2751">
        <v>15469.11639745494</v>
      </c>
      <c r="AN19" s="2751">
        <v>15054.262504957507</v>
      </c>
      <c r="AO19" s="2751">
        <v>16746.851276577505</v>
      </c>
      <c r="AP19" s="2751">
        <v>15413.076274118244</v>
      </c>
      <c r="AQ19" s="2751">
        <v>15188.962094308787</v>
      </c>
      <c r="AR19" s="2751">
        <v>12791.689213444421</v>
      </c>
      <c r="AS19" s="2751">
        <v>12456.371564930005</v>
      </c>
      <c r="AT19" s="2751">
        <v>12444.314617936809</v>
      </c>
      <c r="AU19" s="2751">
        <v>11188.363583198265</v>
      </c>
      <c r="AV19" s="2751">
        <v>10671.107364928288</v>
      </c>
      <c r="AW19" s="2751">
        <v>7362.5520215804936</v>
      </c>
      <c r="AX19" s="2751">
        <v>9264.6670586601813</v>
      </c>
      <c r="AY19" s="2751">
        <v>11911.633529555258</v>
      </c>
      <c r="AZ19" s="2751">
        <v>11555.727311760435</v>
      </c>
      <c r="BA19" s="2751">
        <v>5740.1505726454398</v>
      </c>
      <c r="BB19" s="2751">
        <v>6038.5554979610215</v>
      </c>
      <c r="BC19" s="2751">
        <v>8894.4755486745689</v>
      </c>
      <c r="BD19" s="2751">
        <v>9169.8648963834821</v>
      </c>
      <c r="BE19" s="2751">
        <v>11281.317329242669</v>
      </c>
      <c r="BF19" s="2751">
        <v>12680.494734395881</v>
      </c>
      <c r="BG19" s="2751">
        <v>4257.9446385535812</v>
      </c>
      <c r="BH19" s="2751">
        <v>4386.2872362574544</v>
      </c>
    </row>
    <row r="20" spans="1:60" ht="13.5" customHeight="1" x14ac:dyDescent="0.25">
      <c r="A20" s="2750"/>
      <c r="B20" s="2751"/>
      <c r="C20" s="2751"/>
      <c r="D20" s="2751"/>
      <c r="E20" s="2751"/>
      <c r="F20" s="2751"/>
      <c r="G20" s="2751"/>
      <c r="H20" s="2751"/>
      <c r="I20" s="2751"/>
      <c r="J20" s="2764"/>
      <c r="K20" s="2751"/>
      <c r="L20" s="2751"/>
      <c r="M20" s="2751"/>
      <c r="N20" s="2751"/>
      <c r="O20" s="2751"/>
      <c r="P20" s="2751"/>
      <c r="Q20" s="2751"/>
      <c r="R20" s="2751"/>
      <c r="S20" s="2751"/>
      <c r="T20" s="2751"/>
      <c r="U20" s="2751"/>
      <c r="V20" s="2751"/>
      <c r="W20" s="2751"/>
      <c r="X20" s="2751"/>
      <c r="Y20" s="2751"/>
      <c r="Z20" s="2751"/>
      <c r="AA20" s="2751"/>
      <c r="AB20" s="2751"/>
      <c r="AC20" s="2751"/>
      <c r="AD20" s="2751"/>
      <c r="AE20" s="2751"/>
      <c r="AF20" s="2751"/>
      <c r="AG20" s="2751"/>
      <c r="AH20" s="2751"/>
      <c r="AI20" s="2751"/>
      <c r="AJ20" s="2751"/>
      <c r="AK20" s="2751"/>
      <c r="AL20" s="2751"/>
      <c r="AM20" s="2751"/>
      <c r="AN20" s="2751"/>
      <c r="AO20" s="2751"/>
      <c r="AP20" s="2751"/>
      <c r="AQ20" s="2751"/>
      <c r="AR20" s="2751"/>
      <c r="AS20" s="2751"/>
      <c r="AT20" s="2751"/>
      <c r="AU20" s="2751"/>
      <c r="AV20" s="2751"/>
      <c r="AW20" s="2751"/>
      <c r="AX20" s="2751"/>
      <c r="AY20" s="2751"/>
      <c r="AZ20" s="2751"/>
      <c r="BA20" s="2751"/>
      <c r="BB20" s="2751"/>
      <c r="BC20" s="2751"/>
      <c r="BD20" s="2751"/>
      <c r="BE20" s="2751"/>
      <c r="BF20" s="2751"/>
      <c r="BG20" s="2751"/>
      <c r="BH20" s="2751"/>
    </row>
    <row r="21" spans="1:60" ht="22.5" customHeight="1" x14ac:dyDescent="0.25">
      <c r="A21" s="2749" t="s">
        <v>2666</v>
      </c>
      <c r="B21" s="2708">
        <v>371878.45595635509</v>
      </c>
      <c r="C21" s="2708">
        <v>346036.16941205284</v>
      </c>
      <c r="D21" s="2708">
        <v>344650.97930155793</v>
      </c>
      <c r="E21" s="2708">
        <v>330354.33520094998</v>
      </c>
      <c r="F21" s="2708">
        <v>385506.07293973211</v>
      </c>
      <c r="G21" s="2708">
        <v>345697.81825509068</v>
      </c>
      <c r="H21" s="2708">
        <v>365764.10364658892</v>
      </c>
      <c r="I21" s="2708">
        <v>348376.75032607594</v>
      </c>
      <c r="J21" s="2708">
        <v>345817.18487131794</v>
      </c>
      <c r="K21" s="2708">
        <v>374586.35246465099</v>
      </c>
      <c r="L21" s="2708">
        <v>355009.47499842552</v>
      </c>
      <c r="M21" s="2708">
        <v>361007.5206149944</v>
      </c>
      <c r="N21" s="2708">
        <v>378607.80629883031</v>
      </c>
      <c r="O21" s="2708">
        <v>429500.64278508432</v>
      </c>
      <c r="P21" s="2708">
        <v>385115.21614873642</v>
      </c>
      <c r="Q21" s="2708">
        <v>396042.42421970447</v>
      </c>
      <c r="R21" s="2708">
        <v>395667.28414758405</v>
      </c>
      <c r="S21" s="2708">
        <v>392174.31633880443</v>
      </c>
      <c r="T21" s="2708">
        <v>388114.27289226383</v>
      </c>
      <c r="U21" s="2708">
        <v>390703.1851307</v>
      </c>
      <c r="V21" s="2708">
        <v>410138.5829340652</v>
      </c>
      <c r="W21" s="2708">
        <v>388600.37820618495</v>
      </c>
      <c r="X21" s="2708">
        <v>464168.91024537792</v>
      </c>
      <c r="Y21" s="2708">
        <v>473937.81387358392</v>
      </c>
      <c r="Z21" s="2708">
        <v>420078.83187052165</v>
      </c>
      <c r="AA21" s="2708">
        <v>432279.80504278961</v>
      </c>
      <c r="AB21" s="2708">
        <v>439105.94050059468</v>
      </c>
      <c r="AC21" s="2708">
        <v>454315.46180165303</v>
      </c>
      <c r="AD21" s="2708">
        <v>493198.26157522842</v>
      </c>
      <c r="AE21" s="2708">
        <v>516762.1957097351</v>
      </c>
      <c r="AF21" s="2708">
        <v>457300.35292725172</v>
      </c>
      <c r="AG21" s="2708">
        <v>510873.00672051957</v>
      </c>
      <c r="AH21" s="2708">
        <v>498732.14641922817</v>
      </c>
      <c r="AI21" s="2708">
        <v>489114.08709521993</v>
      </c>
      <c r="AJ21" s="2708">
        <v>540477.39033397392</v>
      </c>
      <c r="AK21" s="2708">
        <v>552766.19037356251</v>
      </c>
      <c r="AL21" s="2708">
        <v>542595.86405409651</v>
      </c>
      <c r="AM21" s="2708">
        <v>537589.60080151714</v>
      </c>
      <c r="AN21" s="2708">
        <v>572179.98057937121</v>
      </c>
      <c r="AO21" s="2708">
        <v>519955.40477709787</v>
      </c>
      <c r="AP21" s="2708">
        <v>539846.69278701674</v>
      </c>
      <c r="AQ21" s="2708">
        <v>553819.88169712957</v>
      </c>
      <c r="AR21" s="2708">
        <v>578679.02364160388</v>
      </c>
      <c r="AS21" s="2708">
        <v>555912.73657084571</v>
      </c>
      <c r="AT21" s="2708">
        <v>540162.02530137554</v>
      </c>
      <c r="AU21" s="2708">
        <v>538168.93896259321</v>
      </c>
      <c r="AV21" s="2708">
        <v>547748.21717554855</v>
      </c>
      <c r="AW21" s="2708">
        <v>574598.26033871307</v>
      </c>
      <c r="AX21" s="2708">
        <v>547959.94647340244</v>
      </c>
      <c r="AY21" s="2708">
        <v>619170.49451706186</v>
      </c>
      <c r="AZ21" s="2708">
        <v>580808.2228523891</v>
      </c>
      <c r="BA21" s="2708">
        <v>580020.20329340862</v>
      </c>
      <c r="BB21" s="2708">
        <v>564089.14280430367</v>
      </c>
      <c r="BC21" s="2708">
        <v>567688.91937796015</v>
      </c>
      <c r="BD21" s="2708">
        <v>589849.86642970343</v>
      </c>
      <c r="BE21" s="2708">
        <v>579154.46338025492</v>
      </c>
      <c r="BF21" s="2708">
        <v>550458.8792975595</v>
      </c>
      <c r="BG21" s="2708">
        <v>595301.90998120222</v>
      </c>
      <c r="BH21" s="2708">
        <v>539730.82928214199</v>
      </c>
    </row>
    <row r="22" spans="1:60" ht="13.5" customHeight="1" x14ac:dyDescent="0.25">
      <c r="A22" s="2750"/>
      <c r="B22" s="2751"/>
      <c r="C22" s="2751"/>
      <c r="D22" s="2751"/>
      <c r="E22" s="2751"/>
      <c r="F22" s="2751"/>
      <c r="G22" s="2751"/>
      <c r="H22" s="2751"/>
      <c r="I22" s="2751"/>
      <c r="J22" s="2751"/>
      <c r="K22" s="2751"/>
      <c r="L22" s="2751"/>
      <c r="M22" s="2751"/>
      <c r="N22" s="2751"/>
      <c r="O22" s="2751"/>
      <c r="P22" s="2751"/>
      <c r="Q22" s="2751"/>
      <c r="R22" s="2751"/>
      <c r="S22" s="2751"/>
      <c r="T22" s="2751"/>
      <c r="U22" s="2751"/>
      <c r="V22" s="2751"/>
      <c r="W22" s="2751"/>
      <c r="X22" s="2751"/>
      <c r="Y22" s="2751"/>
      <c r="Z22" s="2751"/>
      <c r="AA22" s="2751"/>
      <c r="AB22" s="2751"/>
      <c r="AC22" s="2751"/>
      <c r="AD22" s="2751"/>
      <c r="AE22" s="2751"/>
      <c r="AF22" s="2751"/>
      <c r="AG22" s="2751"/>
      <c r="AH22" s="2751"/>
      <c r="AI22" s="2751"/>
      <c r="AJ22" s="2751"/>
      <c r="AK22" s="2751"/>
      <c r="AL22" s="2751"/>
      <c r="AM22" s="2751"/>
      <c r="AN22" s="2751"/>
      <c r="AO22" s="2751"/>
      <c r="AP22" s="2751"/>
      <c r="AQ22" s="2751"/>
      <c r="AR22" s="2751"/>
      <c r="AS22" s="2751"/>
      <c r="AT22" s="2751"/>
      <c r="AU22" s="2751"/>
      <c r="AV22" s="2751"/>
      <c r="AW22" s="2751"/>
      <c r="AX22" s="2751"/>
      <c r="AY22" s="2751"/>
      <c r="AZ22" s="2751"/>
      <c r="BA22" s="2751"/>
      <c r="BB22" s="2751"/>
      <c r="BC22" s="2751"/>
      <c r="BD22" s="2751"/>
      <c r="BE22" s="2751"/>
      <c r="BF22" s="2751"/>
      <c r="BG22" s="2751"/>
      <c r="BH22" s="2751"/>
    </row>
    <row r="23" spans="1:60" ht="22.5" customHeight="1" x14ac:dyDescent="0.25">
      <c r="A23" s="2749" t="s">
        <v>2650</v>
      </c>
      <c r="B23" s="2708">
        <v>1624.2148832299999</v>
      </c>
      <c r="C23" s="2708">
        <v>1549.5089154100001</v>
      </c>
      <c r="D23" s="2708">
        <v>856.06608082999992</v>
      </c>
      <c r="E23" s="2708">
        <v>1276.3656250999998</v>
      </c>
      <c r="F23" s="2708">
        <v>1297.5461191700001</v>
      </c>
      <c r="G23" s="2708">
        <v>1323.6721660499998</v>
      </c>
      <c r="H23" s="2708">
        <v>1665.3537148</v>
      </c>
      <c r="I23" s="2708">
        <v>1731.7073177500001</v>
      </c>
      <c r="J23" s="2708">
        <v>1745.1016040000002</v>
      </c>
      <c r="K23" s="2708">
        <v>1270.4286849999999</v>
      </c>
      <c r="L23" s="2708">
        <v>1337.2616563700001</v>
      </c>
      <c r="M23" s="2708">
        <v>1432.01673962</v>
      </c>
      <c r="N23" s="2708">
        <v>1614.4807230399999</v>
      </c>
      <c r="O23" s="2708">
        <v>1698.3874377300003</v>
      </c>
      <c r="P23" s="2708">
        <v>1645.8600867999999</v>
      </c>
      <c r="Q23" s="2708">
        <v>1571.04019756</v>
      </c>
      <c r="R23" s="2708">
        <v>1515.4410619599996</v>
      </c>
      <c r="S23" s="2708">
        <v>1591.00610407</v>
      </c>
      <c r="T23" s="2708">
        <v>1402.85396128</v>
      </c>
      <c r="U23" s="2708">
        <v>1291.2186228800001</v>
      </c>
      <c r="V23" s="2708">
        <v>2054.9898269199998</v>
      </c>
      <c r="W23" s="2708">
        <v>2561.1279846699999</v>
      </c>
      <c r="X23" s="2708">
        <v>3037.2003470899999</v>
      </c>
      <c r="Y23" s="2708">
        <v>3242.8194992999997</v>
      </c>
      <c r="Z23" s="2708">
        <v>3321.13749422</v>
      </c>
      <c r="AA23" s="2708">
        <v>3509.1284145600002</v>
      </c>
      <c r="AB23" s="2708">
        <v>3573.3840891999998</v>
      </c>
      <c r="AC23" s="2708">
        <v>3781.9343671400002</v>
      </c>
      <c r="AD23" s="2708">
        <v>3801.0068398799995</v>
      </c>
      <c r="AE23" s="2708">
        <v>4048.8971004699997</v>
      </c>
      <c r="AF23" s="2708">
        <v>4047.7999850399992</v>
      </c>
      <c r="AG23" s="2708">
        <v>4266.4755032100002</v>
      </c>
      <c r="AH23" s="2708">
        <v>4917.7199097399998</v>
      </c>
      <c r="AI23" s="2708">
        <v>4850.8731661099991</v>
      </c>
      <c r="AJ23" s="2708">
        <v>4910.2085846399996</v>
      </c>
      <c r="AK23" s="2708">
        <v>4918.0536066199993</v>
      </c>
      <c r="AL23" s="2708">
        <v>4841.7011452799998</v>
      </c>
      <c r="AM23" s="2708">
        <v>4731.04789274</v>
      </c>
      <c r="AN23" s="2708">
        <v>4763.55032011</v>
      </c>
      <c r="AO23" s="2708">
        <v>5000.0374271399996</v>
      </c>
      <c r="AP23" s="2708">
        <v>5025.6701911299997</v>
      </c>
      <c r="AQ23" s="2708">
        <v>5161.6020442199997</v>
      </c>
      <c r="AR23" s="2708">
        <v>5038.4348275900002</v>
      </c>
      <c r="AS23" s="2708">
        <v>4996.4042535799999</v>
      </c>
      <c r="AT23" s="2708">
        <v>4476.9858330299994</v>
      </c>
      <c r="AU23" s="2708">
        <v>6304.8044047200001</v>
      </c>
      <c r="AV23" s="2708">
        <v>9231.9374770100003</v>
      </c>
      <c r="AW23" s="2708">
        <v>11682.35043567</v>
      </c>
      <c r="AX23" s="2708">
        <v>11701.091196339999</v>
      </c>
      <c r="AY23" s="2708">
        <v>11249.710842530001</v>
      </c>
      <c r="AZ23" s="2708">
        <v>10952.674427100001</v>
      </c>
      <c r="BA23" s="2708">
        <v>10753.03890689</v>
      </c>
      <c r="BB23" s="2708">
        <v>10712.944951039999</v>
      </c>
      <c r="BC23" s="2708">
        <v>10726.79362613</v>
      </c>
      <c r="BD23" s="2708">
        <v>13252.294281127506</v>
      </c>
      <c r="BE23" s="2708">
        <v>14432.771404565814</v>
      </c>
      <c r="BF23" s="2708">
        <v>13619.220138899258</v>
      </c>
      <c r="BG23" s="2708">
        <v>13136.503345611382</v>
      </c>
      <c r="BH23" s="2708">
        <v>13531.761728781312</v>
      </c>
    </row>
    <row r="24" spans="1:60" ht="13.5" customHeight="1" x14ac:dyDescent="0.25">
      <c r="A24" s="2750"/>
      <c r="B24" s="2751"/>
      <c r="C24" s="2751"/>
      <c r="D24" s="2751"/>
      <c r="E24" s="2751"/>
      <c r="F24" s="2751"/>
      <c r="G24" s="2751"/>
      <c r="H24" s="2751"/>
      <c r="I24" s="2751"/>
      <c r="J24" s="2751"/>
      <c r="K24" s="2751"/>
      <c r="L24" s="2751"/>
      <c r="M24" s="2751"/>
      <c r="N24" s="2751"/>
      <c r="O24" s="2751"/>
      <c r="P24" s="2751"/>
      <c r="Q24" s="2751"/>
      <c r="R24" s="2751"/>
      <c r="S24" s="2751"/>
      <c r="T24" s="2751"/>
      <c r="U24" s="2751"/>
      <c r="V24" s="2751"/>
      <c r="W24" s="2751"/>
      <c r="X24" s="2751"/>
      <c r="Y24" s="2751"/>
      <c r="Z24" s="2751"/>
      <c r="AA24" s="2751"/>
      <c r="AB24" s="2751"/>
      <c r="AC24" s="2751"/>
      <c r="AD24" s="2751"/>
      <c r="AE24" s="2751"/>
      <c r="AF24" s="2751"/>
      <c r="AG24" s="2751"/>
      <c r="AH24" s="2751"/>
      <c r="AI24" s="2751"/>
      <c r="AJ24" s="2751"/>
      <c r="AK24" s="2751"/>
      <c r="AL24" s="2751"/>
      <c r="AM24" s="2751"/>
      <c r="AN24" s="2751"/>
      <c r="AO24" s="2751"/>
      <c r="AP24" s="2751"/>
      <c r="AQ24" s="2751"/>
      <c r="AR24" s="2751"/>
      <c r="AS24" s="2751"/>
      <c r="AT24" s="2751"/>
      <c r="AU24" s="2751"/>
      <c r="AV24" s="2751"/>
      <c r="AW24" s="2751"/>
      <c r="AX24" s="2751"/>
      <c r="AY24" s="2751"/>
      <c r="AZ24" s="2751"/>
      <c r="BA24" s="2751"/>
      <c r="BB24" s="2751"/>
      <c r="BC24" s="2751"/>
      <c r="BD24" s="2751"/>
      <c r="BE24" s="2751"/>
      <c r="BF24" s="2751"/>
      <c r="BG24" s="2751"/>
      <c r="BH24" s="2751"/>
    </row>
    <row r="25" spans="1:60" ht="22.5" customHeight="1" x14ac:dyDescent="0.25">
      <c r="A25" s="2749" t="s">
        <v>1057</v>
      </c>
      <c r="B25" s="2708">
        <v>1632.4893438899999</v>
      </c>
      <c r="C25" s="2708">
        <v>1792.6862675599998</v>
      </c>
      <c r="D25" s="2708">
        <v>2003.9572564100004</v>
      </c>
      <c r="E25" s="2708">
        <v>2552.4010111900002</v>
      </c>
      <c r="F25" s="2708">
        <v>2499.3138635099999</v>
      </c>
      <c r="G25" s="2708">
        <v>2038.20702794</v>
      </c>
      <c r="H25" s="2708">
        <v>2539.0902784499999</v>
      </c>
      <c r="I25" s="2708">
        <v>3039.9506260800003</v>
      </c>
      <c r="J25" s="2708">
        <v>2805.1478813600002</v>
      </c>
      <c r="K25" s="2708">
        <v>2330.8089022000004</v>
      </c>
      <c r="L25" s="2708">
        <v>2798.3830364800001</v>
      </c>
      <c r="M25" s="2708">
        <v>3012.69729035</v>
      </c>
      <c r="N25" s="2708">
        <v>3265.6251120099996</v>
      </c>
      <c r="O25" s="2708">
        <v>3925.75648331</v>
      </c>
      <c r="P25" s="2708">
        <v>4599.7472379300016</v>
      </c>
      <c r="Q25" s="2708">
        <v>4238.9144227299994</v>
      </c>
      <c r="R25" s="2708">
        <v>57.091407879999998</v>
      </c>
      <c r="S25" s="2708">
        <v>55.851357880000002</v>
      </c>
      <c r="T25" s="2708">
        <v>55.869201259999997</v>
      </c>
      <c r="U25" s="2708">
        <v>54.111268260000003</v>
      </c>
      <c r="V25" s="2708">
        <v>54.130567880000001</v>
      </c>
      <c r="W25" s="2708">
        <v>67.366464649999998</v>
      </c>
      <c r="X25" s="2708">
        <v>91.748766759999995</v>
      </c>
      <c r="Y25" s="2708">
        <v>91.150441400000005</v>
      </c>
      <c r="Z25" s="2708">
        <v>104.49683879999999</v>
      </c>
      <c r="AA25" s="2708">
        <v>117.42358992</v>
      </c>
      <c r="AB25" s="2708">
        <v>123.24530838</v>
      </c>
      <c r="AC25" s="2708">
        <v>147.75145222</v>
      </c>
      <c r="AD25" s="2708">
        <v>151.36129400999999</v>
      </c>
      <c r="AE25" s="2708">
        <v>147.90856485</v>
      </c>
      <c r="AF25" s="2708">
        <v>150.14729041000001</v>
      </c>
      <c r="AG25" s="2708">
        <v>151.25828595999999</v>
      </c>
      <c r="AH25" s="2708">
        <v>159.86479464000001</v>
      </c>
      <c r="AI25" s="2708">
        <v>160.39223551000001</v>
      </c>
      <c r="AJ25" s="2708">
        <v>183.93797853999999</v>
      </c>
      <c r="AK25" s="2708">
        <v>182.36378815999998</v>
      </c>
      <c r="AL25" s="2708">
        <v>180.16772972999999</v>
      </c>
      <c r="AM25" s="2708">
        <v>151.24180635000002</v>
      </c>
      <c r="AN25" s="2708">
        <v>117.53975077000001</v>
      </c>
      <c r="AO25" s="2708">
        <v>140.08731355</v>
      </c>
      <c r="AP25" s="2708">
        <v>141.60201232000003</v>
      </c>
      <c r="AQ25" s="2708">
        <v>144.71281635000003</v>
      </c>
      <c r="AR25" s="2708">
        <v>116.99161011999999</v>
      </c>
      <c r="AS25" s="2708">
        <v>118.38786518999999</v>
      </c>
      <c r="AT25" s="2708">
        <v>133.12680392999999</v>
      </c>
      <c r="AU25" s="2708">
        <v>136.36762911000002</v>
      </c>
      <c r="AV25" s="2708">
        <v>133.04617832</v>
      </c>
      <c r="AW25" s="2708">
        <v>129.88698013000001</v>
      </c>
      <c r="AX25" s="2708">
        <v>126.88787929</v>
      </c>
      <c r="AY25" s="2708">
        <v>123.92231344999999</v>
      </c>
      <c r="AZ25" s="2708">
        <v>121.76930211000001</v>
      </c>
      <c r="BA25" s="2708">
        <v>118.72913075999999</v>
      </c>
      <c r="BB25" s="2708">
        <v>115.76691871000001</v>
      </c>
      <c r="BC25" s="2708">
        <v>115.47622507000001</v>
      </c>
      <c r="BD25" s="2708">
        <v>112.48000871000001</v>
      </c>
      <c r="BE25" s="2708">
        <v>109.4059427</v>
      </c>
      <c r="BF25" s="2708">
        <v>106.38058102999999</v>
      </c>
      <c r="BG25" s="2708">
        <v>102.90162153</v>
      </c>
      <c r="BH25" s="2708">
        <v>99.494669250000001</v>
      </c>
    </row>
    <row r="26" spans="1:60" ht="13.5" customHeight="1" x14ac:dyDescent="0.25">
      <c r="A26" s="2750"/>
      <c r="B26" s="2751"/>
      <c r="C26" s="2751"/>
      <c r="D26" s="2751"/>
      <c r="E26" s="2751"/>
      <c r="F26" s="2751"/>
      <c r="G26" s="2751"/>
      <c r="H26" s="2751"/>
      <c r="I26" s="2751"/>
      <c r="J26" s="2751"/>
      <c r="K26" s="2751"/>
      <c r="L26" s="2751"/>
      <c r="M26" s="2751"/>
      <c r="N26" s="2751"/>
      <c r="O26" s="2751"/>
      <c r="P26" s="2751"/>
      <c r="Q26" s="2751"/>
      <c r="R26" s="2751"/>
      <c r="S26" s="2751"/>
      <c r="T26" s="2751"/>
      <c r="U26" s="2751"/>
      <c r="V26" s="2751"/>
      <c r="W26" s="2751"/>
      <c r="X26" s="2751"/>
      <c r="Y26" s="2751"/>
      <c r="Z26" s="2751"/>
      <c r="AA26" s="2751"/>
      <c r="AB26" s="2751"/>
      <c r="AC26" s="2751"/>
      <c r="AD26" s="2751"/>
      <c r="AE26" s="2751"/>
      <c r="AF26" s="2751"/>
      <c r="AG26" s="2751"/>
      <c r="AH26" s="2751"/>
      <c r="AI26" s="2751"/>
      <c r="AJ26" s="2751"/>
      <c r="AK26" s="2751"/>
      <c r="AL26" s="2751"/>
      <c r="AM26" s="2751"/>
      <c r="AN26" s="2751"/>
      <c r="AO26" s="2751"/>
      <c r="AP26" s="2751"/>
      <c r="AQ26" s="2751"/>
      <c r="AR26" s="2751"/>
      <c r="AS26" s="2751"/>
      <c r="AT26" s="2751"/>
      <c r="AU26" s="2751"/>
      <c r="AV26" s="2751"/>
      <c r="AW26" s="2751"/>
      <c r="AX26" s="2751"/>
      <c r="AY26" s="2751"/>
      <c r="AZ26" s="2751"/>
      <c r="BA26" s="2751"/>
      <c r="BB26" s="2751"/>
      <c r="BC26" s="2751"/>
      <c r="BD26" s="2751"/>
      <c r="BE26" s="2751"/>
      <c r="BF26" s="2751"/>
      <c r="BG26" s="2751"/>
      <c r="BH26" s="2751"/>
    </row>
    <row r="27" spans="1:60" ht="22.5" customHeight="1" x14ac:dyDescent="0.25">
      <c r="A27" s="2749" t="s">
        <v>2612</v>
      </c>
      <c r="B27" s="2708">
        <v>725.5638831950298</v>
      </c>
      <c r="C27" s="2708">
        <v>682.56711189350335</v>
      </c>
      <c r="D27" s="2708">
        <v>721.26581348887601</v>
      </c>
      <c r="E27" s="2708">
        <v>793.48505532829211</v>
      </c>
      <c r="F27" s="2708">
        <v>845.2363743790977</v>
      </c>
      <c r="G27" s="2708">
        <v>973.05045557940718</v>
      </c>
      <c r="H27" s="2708">
        <v>883.02524867605166</v>
      </c>
      <c r="I27" s="2708">
        <v>855.93827996839514</v>
      </c>
      <c r="J27" s="2708">
        <v>682.47721434085372</v>
      </c>
      <c r="K27" s="2708">
        <v>1224.048572871633</v>
      </c>
      <c r="L27" s="2708">
        <v>1246.6045671305631</v>
      </c>
      <c r="M27" s="2708">
        <v>1494.9483908614461</v>
      </c>
      <c r="N27" s="2708">
        <v>1200.4160331051226</v>
      </c>
      <c r="O27" s="2708">
        <v>955.76363592580117</v>
      </c>
      <c r="P27" s="2708">
        <v>386.53557206151777</v>
      </c>
      <c r="Q27" s="2708">
        <v>517.60928102836704</v>
      </c>
      <c r="R27" s="2708">
        <v>807.8960421569227</v>
      </c>
      <c r="S27" s="2708">
        <v>1451.7716805643795</v>
      </c>
      <c r="T27" s="2708">
        <v>1616.2441390656709</v>
      </c>
      <c r="U27" s="2708">
        <v>1300.3614356249816</v>
      </c>
      <c r="V27" s="2708">
        <v>1000.7588714996272</v>
      </c>
      <c r="W27" s="2708">
        <v>907.81543222046503</v>
      </c>
      <c r="X27" s="2708">
        <v>1014.533581349178</v>
      </c>
      <c r="Y27" s="2708">
        <v>1467.2900490025236</v>
      </c>
      <c r="Z27" s="2708">
        <v>1443.3517260527958</v>
      </c>
      <c r="AA27" s="2708">
        <v>1146.3648273212923</v>
      </c>
      <c r="AB27" s="2708">
        <v>789.5229444521342</v>
      </c>
      <c r="AC27" s="2708">
        <v>607.31263338088661</v>
      </c>
      <c r="AD27" s="2708">
        <v>848.79643543092561</v>
      </c>
      <c r="AE27" s="2708">
        <v>1113.7266825691863</v>
      </c>
      <c r="AF27" s="2708">
        <v>874.73302784515079</v>
      </c>
      <c r="AG27" s="2708">
        <v>886.9074433463129</v>
      </c>
      <c r="AH27" s="2708">
        <v>1286.2339281879279</v>
      </c>
      <c r="AI27" s="2708">
        <v>1339.8417888524009</v>
      </c>
      <c r="AJ27" s="2708">
        <v>1048.0993338681974</v>
      </c>
      <c r="AK27" s="2708">
        <v>967.50555286146141</v>
      </c>
      <c r="AL27" s="2708">
        <v>952.75531967112329</v>
      </c>
      <c r="AM27" s="2708">
        <v>1039.9887518573607</v>
      </c>
      <c r="AN27" s="2708">
        <v>923.57327598547704</v>
      </c>
      <c r="AO27" s="2708">
        <v>959.1821560928596</v>
      </c>
      <c r="AP27" s="2708">
        <v>1503.904461644634</v>
      </c>
      <c r="AQ27" s="2708">
        <v>1355.6881966037868</v>
      </c>
      <c r="AR27" s="2708">
        <v>1581.0025099693316</v>
      </c>
      <c r="AS27" s="2708">
        <v>1565.5613092176807</v>
      </c>
      <c r="AT27" s="2708">
        <v>2537.012162902377</v>
      </c>
      <c r="AU27" s="2708">
        <v>1836.5287138171989</v>
      </c>
      <c r="AV27" s="2708">
        <v>2025.596511804893</v>
      </c>
      <c r="AW27" s="2708">
        <v>2390.2717276735839</v>
      </c>
      <c r="AX27" s="2708">
        <v>1796.0228268536791</v>
      </c>
      <c r="AY27" s="2708">
        <v>1704.0902506248135</v>
      </c>
      <c r="AZ27" s="2708">
        <v>1907.1787875530706</v>
      </c>
      <c r="BA27" s="2708">
        <v>2200.9060131691317</v>
      </c>
      <c r="BB27" s="2708">
        <v>2281.9711415249321</v>
      </c>
      <c r="BC27" s="2708">
        <v>2957.4840438663032</v>
      </c>
      <c r="BD27" s="2708">
        <v>3228.2135006091908</v>
      </c>
      <c r="BE27" s="2708">
        <v>2298.7105155484096</v>
      </c>
      <c r="BF27" s="2708">
        <v>3619.4224046276609</v>
      </c>
      <c r="BG27" s="2708">
        <v>3648.4325435741684</v>
      </c>
      <c r="BH27" s="2708">
        <v>3416.5017553620246</v>
      </c>
    </row>
    <row r="28" spans="1:60" ht="13.5" customHeight="1" x14ac:dyDescent="0.25">
      <c r="A28" s="2750"/>
      <c r="B28" s="2751"/>
      <c r="C28" s="2751"/>
      <c r="D28" s="2751"/>
      <c r="E28" s="2751"/>
      <c r="F28" s="2751"/>
      <c r="G28" s="2751"/>
      <c r="H28" s="2751"/>
      <c r="I28" s="2751"/>
      <c r="J28" s="2751"/>
      <c r="K28" s="2751"/>
      <c r="L28" s="2751"/>
      <c r="M28" s="2751"/>
      <c r="N28" s="2751"/>
      <c r="O28" s="2751"/>
      <c r="P28" s="2751"/>
      <c r="Q28" s="2751"/>
      <c r="R28" s="2751"/>
      <c r="S28" s="2751"/>
      <c r="T28" s="2751"/>
      <c r="U28" s="2751"/>
      <c r="V28" s="2751"/>
      <c r="W28" s="2751"/>
      <c r="X28" s="2751"/>
      <c r="Y28" s="2751"/>
      <c r="Z28" s="2751"/>
      <c r="AA28" s="2751"/>
      <c r="AB28" s="2751"/>
      <c r="AC28" s="2751"/>
      <c r="AD28" s="2751"/>
      <c r="AE28" s="2751"/>
      <c r="AF28" s="2751"/>
      <c r="AG28" s="2751"/>
      <c r="AH28" s="2751"/>
      <c r="AI28" s="2751"/>
      <c r="AJ28" s="2751"/>
      <c r="AK28" s="2751"/>
      <c r="AL28" s="2751"/>
      <c r="AM28" s="2751"/>
      <c r="AN28" s="2751"/>
      <c r="AO28" s="2751"/>
      <c r="AP28" s="2751"/>
      <c r="AQ28" s="2751"/>
      <c r="AR28" s="2751"/>
      <c r="AS28" s="2751"/>
      <c r="AT28" s="2751"/>
      <c r="AU28" s="2751"/>
      <c r="AV28" s="2751"/>
      <c r="AW28" s="2751"/>
      <c r="AX28" s="2751"/>
      <c r="AY28" s="2751"/>
      <c r="AZ28" s="2751"/>
      <c r="BA28" s="2751"/>
      <c r="BB28" s="2751"/>
      <c r="BC28" s="2751"/>
      <c r="BD28" s="2751"/>
      <c r="BE28" s="2751"/>
      <c r="BF28" s="2751"/>
      <c r="BG28" s="2751"/>
      <c r="BH28" s="2751"/>
    </row>
    <row r="29" spans="1:60" ht="22.5" customHeight="1" x14ac:dyDescent="0.25">
      <c r="A29" s="2749" t="s">
        <v>2526</v>
      </c>
      <c r="B29" s="2709">
        <v>0</v>
      </c>
      <c r="C29" s="2709">
        <v>0</v>
      </c>
      <c r="D29" s="2709">
        <v>0</v>
      </c>
      <c r="E29" s="2709">
        <v>0</v>
      </c>
      <c r="F29" s="2709">
        <v>0</v>
      </c>
      <c r="G29" s="2709">
        <v>0</v>
      </c>
      <c r="H29" s="2709">
        <v>0</v>
      </c>
      <c r="I29" s="2709">
        <v>0</v>
      </c>
      <c r="J29" s="2709">
        <v>0</v>
      </c>
      <c r="K29" s="2709">
        <v>0</v>
      </c>
      <c r="L29" s="2709">
        <v>0</v>
      </c>
      <c r="M29" s="2709">
        <v>0</v>
      </c>
      <c r="N29" s="2709">
        <v>0</v>
      </c>
      <c r="O29" s="2709">
        <v>0</v>
      </c>
      <c r="P29" s="2709">
        <v>0</v>
      </c>
      <c r="Q29" s="2709">
        <v>0</v>
      </c>
      <c r="R29" s="2709">
        <v>0</v>
      </c>
      <c r="S29" s="2709">
        <v>0</v>
      </c>
      <c r="T29" s="2709">
        <v>0</v>
      </c>
      <c r="U29" s="2709">
        <v>0</v>
      </c>
      <c r="V29" s="2709">
        <v>0</v>
      </c>
      <c r="W29" s="2709">
        <v>0</v>
      </c>
      <c r="X29" s="2709">
        <v>0</v>
      </c>
      <c r="Y29" s="2709">
        <v>0</v>
      </c>
      <c r="Z29" s="2709">
        <v>0</v>
      </c>
      <c r="AA29" s="2709">
        <v>0</v>
      </c>
      <c r="AB29" s="2709">
        <v>0</v>
      </c>
      <c r="AC29" s="2709">
        <v>0</v>
      </c>
      <c r="AD29" s="2709">
        <v>0</v>
      </c>
      <c r="AE29" s="2709">
        <v>0</v>
      </c>
      <c r="AF29" s="2709">
        <v>0</v>
      </c>
      <c r="AG29" s="2709">
        <v>0</v>
      </c>
      <c r="AH29" s="2709">
        <v>0</v>
      </c>
      <c r="AI29" s="2709">
        <v>0</v>
      </c>
      <c r="AJ29" s="2709">
        <v>0</v>
      </c>
      <c r="AK29" s="2709">
        <v>0</v>
      </c>
      <c r="AL29" s="2709">
        <v>0</v>
      </c>
      <c r="AM29" s="2709">
        <v>0</v>
      </c>
      <c r="AN29" s="2709">
        <v>0</v>
      </c>
      <c r="AO29" s="2709">
        <v>0</v>
      </c>
      <c r="AP29" s="2709">
        <v>0</v>
      </c>
      <c r="AQ29" s="2709">
        <v>0</v>
      </c>
      <c r="AR29" s="2709">
        <v>0</v>
      </c>
      <c r="AS29" s="2709">
        <v>0</v>
      </c>
      <c r="AT29" s="2709">
        <v>0</v>
      </c>
      <c r="AU29" s="2709">
        <v>0</v>
      </c>
      <c r="AV29" s="2709">
        <v>0</v>
      </c>
      <c r="AW29" s="2709">
        <v>0</v>
      </c>
      <c r="AX29" s="2709">
        <v>0</v>
      </c>
      <c r="AY29" s="2709">
        <v>0</v>
      </c>
      <c r="AZ29" s="2709">
        <v>0</v>
      </c>
      <c r="BA29" s="2709">
        <v>0</v>
      </c>
      <c r="BB29" s="2709">
        <v>0</v>
      </c>
      <c r="BC29" s="2709">
        <v>0</v>
      </c>
      <c r="BD29" s="2709">
        <v>0</v>
      </c>
      <c r="BE29" s="2709">
        <v>0</v>
      </c>
      <c r="BF29" s="2709">
        <v>0</v>
      </c>
      <c r="BG29" s="2709">
        <v>0</v>
      </c>
      <c r="BH29" s="2709">
        <v>0</v>
      </c>
    </row>
    <row r="30" spans="1:60" ht="13.5" customHeight="1" x14ac:dyDescent="0.25">
      <c r="A30" s="2749"/>
      <c r="B30" s="2751"/>
      <c r="C30" s="2751"/>
      <c r="D30" s="2751"/>
      <c r="E30" s="2751"/>
      <c r="F30" s="2751"/>
      <c r="G30" s="2751"/>
      <c r="H30" s="2751"/>
      <c r="I30" s="2751"/>
      <c r="J30" s="2751"/>
      <c r="K30" s="2751"/>
      <c r="L30" s="2751"/>
      <c r="M30" s="2751"/>
      <c r="N30" s="2751"/>
      <c r="O30" s="2751"/>
      <c r="P30" s="2751"/>
      <c r="Q30" s="2751"/>
      <c r="R30" s="2751"/>
      <c r="S30" s="2751"/>
      <c r="T30" s="2751"/>
      <c r="U30" s="2751"/>
      <c r="V30" s="2751"/>
      <c r="W30" s="2751"/>
      <c r="X30" s="2751"/>
      <c r="Y30" s="2751"/>
      <c r="Z30" s="2751"/>
      <c r="AA30" s="2751"/>
      <c r="AB30" s="2751"/>
      <c r="AC30" s="2751"/>
      <c r="AD30" s="2751"/>
      <c r="AE30" s="2751"/>
      <c r="AF30" s="2751"/>
      <c r="AG30" s="2751"/>
      <c r="AH30" s="2751"/>
      <c r="AI30" s="2751"/>
      <c r="AJ30" s="2751"/>
      <c r="AK30" s="2751"/>
      <c r="AL30" s="2751"/>
      <c r="AM30" s="2751"/>
      <c r="AN30" s="2751"/>
      <c r="AO30" s="2751"/>
      <c r="AP30" s="2751"/>
      <c r="AQ30" s="2751"/>
      <c r="AR30" s="2751"/>
      <c r="AS30" s="2751"/>
      <c r="AT30" s="2751"/>
      <c r="AU30" s="2751"/>
      <c r="AV30" s="2751"/>
      <c r="AW30" s="2751"/>
      <c r="AX30" s="2751"/>
      <c r="AY30" s="2751"/>
      <c r="AZ30" s="2751"/>
      <c r="BA30" s="2751"/>
      <c r="BB30" s="2751"/>
      <c r="BC30" s="2751"/>
      <c r="BD30" s="2751"/>
      <c r="BE30" s="2751"/>
      <c r="BF30" s="2751"/>
      <c r="BG30" s="2751"/>
      <c r="BH30" s="2751"/>
    </row>
    <row r="31" spans="1:60" ht="22.5" customHeight="1" x14ac:dyDescent="0.25">
      <c r="A31" s="2749" t="s">
        <v>2524</v>
      </c>
      <c r="B31" s="2708">
        <v>184560.96970361937</v>
      </c>
      <c r="C31" s="2708">
        <v>185634.10930544781</v>
      </c>
      <c r="D31" s="2708">
        <v>179789.45059458673</v>
      </c>
      <c r="E31" s="2708">
        <v>181584.39022957438</v>
      </c>
      <c r="F31" s="2708">
        <v>184348.49805244402</v>
      </c>
      <c r="G31" s="2708">
        <v>191580.51658052808</v>
      </c>
      <c r="H31" s="2708">
        <v>196348.37790652827</v>
      </c>
      <c r="I31" s="2708">
        <v>203059.44546283313</v>
      </c>
      <c r="J31" s="2708">
        <v>206939.94366730633</v>
      </c>
      <c r="K31" s="2708">
        <v>208628.49552108371</v>
      </c>
      <c r="L31" s="2708">
        <v>213530.47211507088</v>
      </c>
      <c r="M31" s="2708">
        <v>214015.83826313863</v>
      </c>
      <c r="N31" s="2708">
        <v>214897.29406523731</v>
      </c>
      <c r="O31" s="2708">
        <v>219063.34317591711</v>
      </c>
      <c r="P31" s="2708">
        <v>202909.76263088861</v>
      </c>
      <c r="Q31" s="2708">
        <v>207851.93480854982</v>
      </c>
      <c r="R31" s="2708">
        <v>213391.78002219409</v>
      </c>
      <c r="S31" s="2708">
        <v>219402.21658233705</v>
      </c>
      <c r="T31" s="2708">
        <v>231561.45596144948</v>
      </c>
      <c r="U31" s="2708">
        <v>235244.80914070798</v>
      </c>
      <c r="V31" s="2708">
        <v>240168.8175008744</v>
      </c>
      <c r="W31" s="2708">
        <v>239442.65778811579</v>
      </c>
      <c r="X31" s="2708">
        <v>239734.94097950388</v>
      </c>
      <c r="Y31" s="2708">
        <v>239173.75834845979</v>
      </c>
      <c r="Z31" s="2708">
        <v>240117.00027631735</v>
      </c>
      <c r="AA31" s="2708">
        <v>242333.71534306684</v>
      </c>
      <c r="AB31" s="2708">
        <v>243801.96936709742</v>
      </c>
      <c r="AC31" s="2708">
        <v>243961.5728057294</v>
      </c>
      <c r="AD31" s="2708">
        <v>245252.98143415523</v>
      </c>
      <c r="AE31" s="2708">
        <v>248521.26146194196</v>
      </c>
      <c r="AF31" s="2708">
        <v>221671.66760576807</v>
      </c>
      <c r="AG31" s="2708">
        <v>228165.70157461139</v>
      </c>
      <c r="AH31" s="2708">
        <v>240532.87219494893</v>
      </c>
      <c r="AI31" s="2708">
        <v>242891.17530799535</v>
      </c>
      <c r="AJ31" s="2708">
        <v>245868.45162969414</v>
      </c>
      <c r="AK31" s="2708">
        <v>242298.30674901401</v>
      </c>
      <c r="AL31" s="2708">
        <v>243432.5867130023</v>
      </c>
      <c r="AM31" s="2708">
        <v>223667.2256011272</v>
      </c>
      <c r="AN31" s="2708">
        <v>228979.76504292962</v>
      </c>
      <c r="AO31" s="2708">
        <v>226671.19767996235</v>
      </c>
      <c r="AP31" s="2708">
        <v>230727.49800471598</v>
      </c>
      <c r="AQ31" s="2708">
        <v>235066.92984033641</v>
      </c>
      <c r="AR31" s="2708">
        <v>222846.21480656488</v>
      </c>
      <c r="AS31" s="2708">
        <v>226626.32806095405</v>
      </c>
      <c r="AT31" s="2708">
        <v>229792.86537184496</v>
      </c>
      <c r="AU31" s="2708">
        <v>231496.09627727565</v>
      </c>
      <c r="AV31" s="2708">
        <v>228963.69345051411</v>
      </c>
      <c r="AW31" s="2708">
        <v>225148.14123323298</v>
      </c>
      <c r="AX31" s="2708">
        <v>219347.19456361912</v>
      </c>
      <c r="AY31" s="2708">
        <v>227043.92835335014</v>
      </c>
      <c r="AZ31" s="2708">
        <v>228961.69751442835</v>
      </c>
      <c r="BA31" s="2708">
        <v>242725.61619910394</v>
      </c>
      <c r="BB31" s="2708">
        <v>253019.22432742472</v>
      </c>
      <c r="BC31" s="2708">
        <v>259671.59764266477</v>
      </c>
      <c r="BD31" s="2708">
        <v>258523.11979760943</v>
      </c>
      <c r="BE31" s="2708">
        <v>261948.39205643977</v>
      </c>
      <c r="BF31" s="2708">
        <v>263677.44672088011</v>
      </c>
      <c r="BG31" s="2708">
        <v>266479.16948458634</v>
      </c>
      <c r="BH31" s="2708">
        <v>263507.73918918893</v>
      </c>
    </row>
    <row r="32" spans="1:60" ht="13.5" customHeight="1" x14ac:dyDescent="0.25">
      <c r="A32" s="2750"/>
      <c r="B32" s="2751"/>
      <c r="C32" s="2751"/>
      <c r="D32" s="2751"/>
      <c r="E32" s="2751"/>
      <c r="F32" s="2751"/>
      <c r="G32" s="2751"/>
      <c r="H32" s="2751"/>
      <c r="I32" s="2751"/>
      <c r="J32" s="2751"/>
      <c r="K32" s="2751"/>
      <c r="L32" s="2751"/>
      <c r="M32" s="2751"/>
      <c r="N32" s="2751"/>
      <c r="O32" s="2751"/>
      <c r="P32" s="2751"/>
      <c r="Q32" s="2751"/>
      <c r="R32" s="2751"/>
      <c r="S32" s="2751"/>
      <c r="T32" s="2751"/>
      <c r="U32" s="2751"/>
      <c r="V32" s="2751"/>
      <c r="W32" s="2751"/>
      <c r="X32" s="2751"/>
      <c r="Y32" s="2751"/>
      <c r="Z32" s="2751"/>
      <c r="AA32" s="2751"/>
      <c r="AB32" s="2751"/>
      <c r="AC32" s="2751"/>
      <c r="AD32" s="2751"/>
      <c r="AE32" s="2751"/>
      <c r="AF32" s="2751"/>
      <c r="AG32" s="2751"/>
      <c r="AH32" s="2751"/>
      <c r="AI32" s="2751"/>
      <c r="AJ32" s="2751"/>
      <c r="AK32" s="2751"/>
      <c r="AL32" s="2751"/>
      <c r="AM32" s="2751"/>
      <c r="AN32" s="2751"/>
      <c r="AO32" s="2751"/>
      <c r="AP32" s="2751"/>
      <c r="AQ32" s="2751"/>
      <c r="AR32" s="2751"/>
      <c r="AS32" s="2751"/>
      <c r="AT32" s="2751"/>
      <c r="AU32" s="2751"/>
      <c r="AV32" s="2751"/>
      <c r="AW32" s="2751"/>
      <c r="AX32" s="2751"/>
      <c r="AY32" s="2751"/>
      <c r="AZ32" s="2751"/>
      <c r="BA32" s="2751"/>
      <c r="BB32" s="2751"/>
      <c r="BC32" s="2751"/>
      <c r="BD32" s="2751"/>
      <c r="BE32" s="2751"/>
      <c r="BF32" s="2751"/>
      <c r="BG32" s="2751"/>
      <c r="BH32" s="2751"/>
    </row>
    <row r="33" spans="1:60" ht="22.5" customHeight="1" x14ac:dyDescent="0.25">
      <c r="A33" s="2749" t="s">
        <v>2585</v>
      </c>
      <c r="B33" s="2709">
        <v>26617.945462391956</v>
      </c>
      <c r="C33" s="2709">
        <v>27827.199283264174</v>
      </c>
      <c r="D33" s="2709">
        <v>23357.574807430465</v>
      </c>
      <c r="E33" s="2709">
        <v>21704.345359559138</v>
      </c>
      <c r="F33" s="2709">
        <v>22443.195603409276</v>
      </c>
      <c r="G33" s="2709">
        <v>22582.194843269004</v>
      </c>
      <c r="H33" s="2709">
        <v>20660.117024110368</v>
      </c>
      <c r="I33" s="2709">
        <v>22418.628132560669</v>
      </c>
      <c r="J33" s="2709">
        <v>21541.796514146852</v>
      </c>
      <c r="K33" s="2709">
        <v>29076.529103682446</v>
      </c>
      <c r="L33" s="2709">
        <v>23231.506832375955</v>
      </c>
      <c r="M33" s="2709">
        <v>26831.048092739558</v>
      </c>
      <c r="N33" s="2709">
        <v>23453.046718091926</v>
      </c>
      <c r="O33" s="2709">
        <v>27345.874658470031</v>
      </c>
      <c r="P33" s="2709">
        <v>19072.914587900203</v>
      </c>
      <c r="Q33" s="2709">
        <v>19921.106866140493</v>
      </c>
      <c r="R33" s="2709">
        <v>18293.039020708904</v>
      </c>
      <c r="S33" s="2709">
        <v>22182.141743331649</v>
      </c>
      <c r="T33" s="2709">
        <v>23010.455171324906</v>
      </c>
      <c r="U33" s="2709">
        <v>23945.315342544403</v>
      </c>
      <c r="V33" s="2709">
        <v>27882.518750275995</v>
      </c>
      <c r="W33" s="2709">
        <v>28571.380090245635</v>
      </c>
      <c r="X33" s="2709">
        <v>-8281.389277159411</v>
      </c>
      <c r="Y33" s="2709">
        <v>-25191.026456272048</v>
      </c>
      <c r="Z33" s="2709">
        <v>-26672.855779345526</v>
      </c>
      <c r="AA33" s="2709">
        <v>-21642.233722918427</v>
      </c>
      <c r="AB33" s="2709">
        <v>-24424.689581111343</v>
      </c>
      <c r="AC33" s="2709">
        <v>-23049.915547845856</v>
      </c>
      <c r="AD33" s="2709">
        <v>-18008.526626935411</v>
      </c>
      <c r="AE33" s="2709">
        <v>-22699.353172986783</v>
      </c>
      <c r="AF33" s="2709">
        <v>8563.8193440307041</v>
      </c>
      <c r="AG33" s="2709">
        <v>6784.811890348421</v>
      </c>
      <c r="AH33" s="2709">
        <v>8483.335793245762</v>
      </c>
      <c r="AI33" s="2709">
        <v>9826.6901577690769</v>
      </c>
      <c r="AJ33" s="2709">
        <v>7546.2042253959553</v>
      </c>
      <c r="AK33" s="2709">
        <v>7662.134595111278</v>
      </c>
      <c r="AL33" s="2709">
        <v>13441.668818869759</v>
      </c>
      <c r="AM33" s="2709">
        <v>39356.188045072748</v>
      </c>
      <c r="AN33" s="2709">
        <v>29650.463772037794</v>
      </c>
      <c r="AO33" s="2709">
        <v>40614.883158698394</v>
      </c>
      <c r="AP33" s="2709">
        <v>30494.100121338342</v>
      </c>
      <c r="AQ33" s="2709">
        <v>29453.698365793618</v>
      </c>
      <c r="AR33" s="2709">
        <v>23793.245355004514</v>
      </c>
      <c r="AS33" s="2709">
        <v>25791.168103710756</v>
      </c>
      <c r="AT33" s="2709">
        <v>35189.59624121643</v>
      </c>
      <c r="AU33" s="2709">
        <v>37393.061451412657</v>
      </c>
      <c r="AV33" s="2709">
        <v>36973.94585769956</v>
      </c>
      <c r="AW33" s="2709">
        <v>39257.186707374603</v>
      </c>
      <c r="AX33" s="2709">
        <v>40340.987896970502</v>
      </c>
      <c r="AY33" s="2709">
        <v>53228.027588707162</v>
      </c>
      <c r="AZ33" s="2709">
        <v>34319.062232954704</v>
      </c>
      <c r="BA33" s="2709">
        <v>37104.320188015459</v>
      </c>
      <c r="BB33" s="2709">
        <v>35852.999972519363</v>
      </c>
      <c r="BC33" s="2709">
        <v>32495.418636247356</v>
      </c>
      <c r="BD33" s="2709">
        <v>32616.296407936254</v>
      </c>
      <c r="BE33" s="2709">
        <v>32994.875607171867</v>
      </c>
      <c r="BF33" s="2709">
        <v>33271.72918511786</v>
      </c>
      <c r="BG33" s="2709">
        <v>36954.479939213619</v>
      </c>
      <c r="BH33" s="2709">
        <v>54351.197979970246</v>
      </c>
    </row>
    <row r="34" spans="1:60" ht="13.5" customHeight="1" thickBot="1" x14ac:dyDescent="0.3">
      <c r="A34" s="2756"/>
      <c r="B34" s="2757"/>
      <c r="C34" s="2757"/>
      <c r="D34" s="2757"/>
      <c r="E34" s="2757"/>
      <c r="F34" s="2757"/>
      <c r="G34" s="2757"/>
      <c r="H34" s="2757"/>
      <c r="I34" s="2757"/>
      <c r="J34" s="2757"/>
      <c r="K34" s="2757"/>
      <c r="L34" s="2757"/>
      <c r="M34" s="2757"/>
      <c r="N34" s="2757"/>
      <c r="O34" s="2757"/>
      <c r="P34" s="2757"/>
      <c r="Q34" s="2757"/>
      <c r="R34" s="2757"/>
      <c r="S34" s="2757"/>
      <c r="T34" s="2757"/>
      <c r="U34" s="2757"/>
      <c r="V34" s="2757"/>
      <c r="W34" s="2757"/>
      <c r="X34" s="2757"/>
      <c r="Y34" s="2757"/>
      <c r="Z34" s="2757"/>
      <c r="AA34" s="2757"/>
      <c r="AB34" s="2757"/>
      <c r="AC34" s="2757"/>
      <c r="AD34" s="2757"/>
      <c r="AE34" s="2757"/>
      <c r="AF34" s="2757"/>
      <c r="AG34" s="2757"/>
      <c r="AH34" s="2757"/>
      <c r="AI34" s="2757"/>
      <c r="AJ34" s="2757"/>
      <c r="AK34" s="2757"/>
      <c r="AL34" s="2757"/>
      <c r="AM34" s="2757"/>
      <c r="AN34" s="2757"/>
      <c r="AO34" s="2757"/>
      <c r="AP34" s="2757"/>
      <c r="AQ34" s="2757"/>
      <c r="AR34" s="2757"/>
      <c r="AS34" s="2757"/>
      <c r="AT34" s="2757"/>
      <c r="AU34" s="2757"/>
      <c r="AV34" s="2757"/>
      <c r="AW34" s="2757"/>
      <c r="AX34" s="2757"/>
      <c r="AY34" s="2757"/>
      <c r="AZ34" s="2757"/>
      <c r="BA34" s="2757"/>
      <c r="BB34" s="2757"/>
      <c r="BC34" s="2757"/>
      <c r="BD34" s="2757"/>
      <c r="BE34" s="2757"/>
      <c r="BF34" s="2757"/>
      <c r="BG34" s="2757"/>
      <c r="BH34" s="2757"/>
    </row>
    <row r="35" spans="1:60" s="2759" customFormat="1" ht="18.95" customHeight="1" thickTop="1" x14ac:dyDescent="0.25">
      <c r="A35" s="1428" t="s">
        <v>173</v>
      </c>
      <c r="B35" s="2758"/>
      <c r="C35" s="2758"/>
      <c r="D35" s="2758"/>
      <c r="E35" s="2758"/>
      <c r="F35" s="2758"/>
      <c r="G35" s="2758"/>
      <c r="H35" s="2758"/>
      <c r="I35" s="2758"/>
      <c r="J35" s="2758"/>
      <c r="K35" s="2758"/>
      <c r="L35" s="2758"/>
      <c r="M35" s="2758"/>
      <c r="N35" s="2758"/>
      <c r="O35" s="2758"/>
      <c r="P35" s="2758"/>
      <c r="Q35" s="2758"/>
      <c r="R35" s="2758"/>
      <c r="S35" s="2758"/>
      <c r="T35" s="2758"/>
      <c r="U35" s="2758"/>
      <c r="V35" s="2758"/>
      <c r="W35" s="2758"/>
      <c r="X35" s="2758"/>
      <c r="Y35" s="2758"/>
      <c r="Z35" s="2758"/>
      <c r="AA35" s="2758"/>
      <c r="AB35" s="2758"/>
      <c r="AC35" s="2758"/>
      <c r="AD35" s="2758"/>
      <c r="AE35" s="2758"/>
      <c r="AF35" s="2758"/>
      <c r="AG35" s="2758"/>
      <c r="AH35" s="2758"/>
      <c r="AI35" s="2758"/>
      <c r="AJ35" s="2758"/>
      <c r="AK35" s="2758"/>
      <c r="AL35" s="2758"/>
      <c r="AM35" s="2758"/>
      <c r="AN35" s="2758"/>
      <c r="AO35" s="2758"/>
      <c r="AP35" s="2758"/>
      <c r="AQ35" s="2758"/>
      <c r="AR35" s="2758"/>
      <c r="AS35" s="2758"/>
      <c r="AT35" s="2758"/>
      <c r="AU35" s="2758"/>
      <c r="AV35" s="2758"/>
      <c r="AW35" s="2758"/>
      <c r="AX35" s="2758"/>
      <c r="AY35" s="2758"/>
      <c r="AZ35" s="2758"/>
      <c r="BA35" s="2758"/>
      <c r="BB35" s="2758"/>
      <c r="BC35" s="2758"/>
      <c r="BD35" s="2758"/>
      <c r="BE35" s="2758"/>
      <c r="BF35" s="2758"/>
      <c r="BG35" s="2758"/>
      <c r="BH35" s="2758"/>
    </row>
    <row r="36" spans="1:60" s="627" customFormat="1" ht="18.95" customHeight="1" x14ac:dyDescent="0.25">
      <c r="A36" s="2733" t="s">
        <v>2613</v>
      </c>
    </row>
    <row r="37" spans="1:60" s="1428" customFormat="1" ht="18.95" customHeight="1" x14ac:dyDescent="0.25">
      <c r="A37" s="2734" t="s">
        <v>2614</v>
      </c>
    </row>
    <row r="38" spans="1:60" ht="18.95" customHeight="1" x14ac:dyDescent="0.25">
      <c r="A38" s="3253" t="s">
        <v>2667</v>
      </c>
      <c r="B38" s="3253"/>
      <c r="C38" s="3253"/>
      <c r="D38" s="3253"/>
      <c r="E38" s="3253"/>
      <c r="F38" s="3253"/>
      <c r="G38" s="3253"/>
      <c r="H38" s="3253"/>
      <c r="I38" s="3253"/>
      <c r="J38" s="3253"/>
      <c r="K38" s="3253"/>
      <c r="L38" s="3253"/>
      <c r="M38" s="3253"/>
      <c r="N38" s="3253"/>
      <c r="O38" s="3253"/>
      <c r="P38" s="3253"/>
      <c r="Q38" s="3253"/>
      <c r="R38" s="3253"/>
      <c r="S38" s="3253"/>
      <c r="T38" s="3253"/>
      <c r="U38" s="3253"/>
      <c r="V38" s="3253"/>
      <c r="W38" s="3253"/>
      <c r="X38" s="3253"/>
      <c r="Y38" s="3253"/>
      <c r="Z38" s="3253"/>
      <c r="AA38" s="3253"/>
      <c r="AB38" s="3253"/>
      <c r="AC38" s="3253"/>
      <c r="AD38" s="3253"/>
      <c r="AE38" s="3253"/>
      <c r="AF38" s="3253"/>
      <c r="AG38" s="3253"/>
      <c r="AH38" s="3253"/>
      <c r="AI38" s="3253"/>
      <c r="AJ38" s="3253"/>
      <c r="AK38" s="3253"/>
      <c r="AL38" s="3253"/>
      <c r="AM38" s="3253"/>
      <c r="AN38" s="3253"/>
      <c r="AO38" s="3253"/>
      <c r="AP38" s="3253"/>
      <c r="AQ38" s="3253"/>
      <c r="AR38" s="3253"/>
      <c r="AS38" s="3253"/>
      <c r="AT38" s="3253"/>
      <c r="AU38" s="3253"/>
      <c r="AV38" s="3253"/>
      <c r="AW38" s="3253"/>
      <c r="AX38" s="3253"/>
      <c r="AY38" s="3253"/>
      <c r="AZ38" s="3253"/>
      <c r="BA38" s="3253"/>
      <c r="BB38" s="3253"/>
      <c r="BC38" s="3253"/>
      <c r="BD38" s="3253"/>
      <c r="BE38" s="3253"/>
      <c r="BF38" s="3253"/>
      <c r="BG38" s="3253"/>
      <c r="BH38" s="3253"/>
    </row>
    <row r="39" spans="1:60" ht="33.75" customHeight="1" x14ac:dyDescent="0.25">
      <c r="A39" s="3254" t="s">
        <v>2668</v>
      </c>
      <c r="B39" s="3254"/>
      <c r="C39" s="3254"/>
      <c r="D39" s="3254"/>
      <c r="E39" s="3254"/>
      <c r="F39" s="3254"/>
      <c r="G39" s="3254"/>
      <c r="H39" s="3254"/>
      <c r="I39" s="3254"/>
      <c r="J39" s="3254"/>
      <c r="K39" s="3254"/>
      <c r="L39" s="3254"/>
      <c r="M39" s="3254"/>
      <c r="N39" s="3254"/>
      <c r="O39" s="3254"/>
      <c r="P39" s="3254"/>
      <c r="Q39" s="3254"/>
      <c r="R39" s="3254"/>
      <c r="S39" s="3254"/>
      <c r="T39" s="3254"/>
      <c r="U39" s="3254"/>
      <c r="V39" s="3254"/>
      <c r="W39" s="3254"/>
      <c r="X39" s="3254"/>
      <c r="Y39" s="3254"/>
      <c r="Z39" s="3254"/>
      <c r="AA39" s="3254"/>
      <c r="AB39" s="3254"/>
      <c r="AC39" s="3254"/>
      <c r="AD39" s="3254"/>
      <c r="AE39" s="3254"/>
      <c r="AF39" s="3254"/>
      <c r="AG39" s="3254"/>
      <c r="AH39" s="3254"/>
      <c r="AI39" s="3254"/>
      <c r="AJ39" s="3254"/>
      <c r="AK39" s="3254"/>
      <c r="AL39" s="3254"/>
      <c r="AM39" s="3254"/>
      <c r="AN39" s="3254"/>
      <c r="AO39" s="3254"/>
      <c r="AP39" s="3254"/>
      <c r="AQ39" s="3254"/>
      <c r="AR39" s="3254"/>
      <c r="AS39" s="3254"/>
      <c r="AT39" s="3254"/>
      <c r="AU39" s="3254"/>
      <c r="AV39" s="3254"/>
      <c r="AW39" s="3254"/>
      <c r="AX39" s="3254"/>
      <c r="AY39" s="3254"/>
      <c r="AZ39" s="3254"/>
      <c r="BA39" s="3254"/>
      <c r="BB39" s="3254"/>
      <c r="BC39" s="3254"/>
      <c r="BD39" s="3254"/>
      <c r="BE39" s="3254"/>
      <c r="BF39" s="3254"/>
      <c r="BG39" s="3254"/>
      <c r="BH39" s="3254"/>
    </row>
    <row r="40" spans="1:60" ht="18.75" customHeight="1" x14ac:dyDescent="0.25">
      <c r="A40" s="3255" t="s">
        <v>2617</v>
      </c>
      <c r="B40" s="3255"/>
      <c r="C40" s="3255"/>
      <c r="D40" s="3255"/>
      <c r="E40" s="3255"/>
      <c r="F40" s="3255"/>
      <c r="G40" s="3255"/>
      <c r="H40" s="3255"/>
      <c r="I40" s="3255"/>
      <c r="J40" s="3255"/>
      <c r="K40" s="3255"/>
      <c r="L40" s="3255"/>
      <c r="M40" s="3255"/>
      <c r="N40" s="3255"/>
      <c r="O40" s="3255"/>
      <c r="P40" s="3255"/>
      <c r="Q40" s="3255"/>
      <c r="R40" s="3255"/>
      <c r="S40" s="3255"/>
      <c r="T40" s="3255"/>
      <c r="U40" s="3255"/>
      <c r="V40" s="3255"/>
      <c r="W40" s="3255"/>
      <c r="X40" s="3255"/>
      <c r="Y40" s="3255"/>
      <c r="Z40" s="3255"/>
      <c r="AA40" s="3255"/>
      <c r="AB40" s="3255"/>
      <c r="AC40" s="3255"/>
      <c r="AD40" s="3255"/>
      <c r="AE40" s="3255"/>
      <c r="AF40" s="3255"/>
      <c r="AG40" s="3255"/>
      <c r="AH40" s="3255"/>
      <c r="AI40" s="3255"/>
      <c r="AJ40" s="3255"/>
      <c r="AK40" s="3255"/>
      <c r="AL40" s="3255"/>
      <c r="AM40" s="3255"/>
      <c r="AN40" s="3255"/>
      <c r="AO40" s="3255"/>
      <c r="AP40" s="3255"/>
      <c r="AQ40" s="3255"/>
      <c r="AR40" s="3255"/>
      <c r="AS40" s="3255"/>
      <c r="AT40" s="3255"/>
      <c r="AU40" s="3255"/>
      <c r="AV40" s="3255"/>
      <c r="AW40" s="3255"/>
      <c r="AX40" s="3255"/>
      <c r="AY40" s="3255"/>
      <c r="AZ40" s="3255"/>
      <c r="BA40" s="3255"/>
      <c r="BB40" s="3255"/>
      <c r="BC40" s="3255"/>
      <c r="BD40" s="3255"/>
      <c r="BE40" s="3255"/>
      <c r="BF40" s="3255"/>
      <c r="BG40" s="3255"/>
      <c r="BH40" s="3255"/>
    </row>
    <row r="41" spans="1:60" ht="21" customHeight="1" x14ac:dyDescent="0.25">
      <c r="A41" s="1427" t="s">
        <v>290</v>
      </c>
    </row>
    <row r="42" spans="1:60" ht="12.75" customHeight="1" x14ac:dyDescent="0.25"/>
    <row r="43" spans="1:60" ht="12.75" customHeight="1" x14ac:dyDescent="0.25"/>
    <row r="60" spans="167:167" ht="15.75" customHeight="1" x14ac:dyDescent="0.25">
      <c r="FK60" s="631" t="s">
        <v>306</v>
      </c>
    </row>
  </sheetData>
  <mergeCells count="3">
    <mergeCell ref="A38:BH38"/>
    <mergeCell ref="A39:BH39"/>
    <mergeCell ref="A40:BH40"/>
  </mergeCells>
  <hyperlinks>
    <hyperlink ref="A37" r:id="rId1" display="https://www.bom.mu/publications-statistics/statistics/monthly-statistical-bulletin/monthly-statistical-bulletin-february-2021" xr:uid="{00000000-0004-0000-0D00-000000000000}"/>
  </hyperlinks>
  <pageMargins left="0.75" right="0.75" top="0.75" bottom="0.75" header="0.3" footer="0"/>
  <pageSetup paperSize="9" scale="53" fitToHeight="0" orientation="landscape" r:id="rId2"/>
  <headerFooter scaleWithDoc="0"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WTD49"/>
  <sheetViews>
    <sheetView showGridLines="0" zoomScaleNormal="100" zoomScaleSheetLayoutView="90" workbookViewId="0">
      <pane xSplit="2" ySplit="5" topLeftCell="C34" activePane="bottomRight" state="frozen"/>
      <selection activeCell="A38" sqref="A38"/>
      <selection pane="topRight" activeCell="A38" sqref="A38"/>
      <selection pane="bottomLeft" activeCell="A38" sqref="A38"/>
      <selection pane="bottomRight" activeCell="A38" sqref="A38"/>
    </sheetView>
  </sheetViews>
  <sheetFormatPr defaultRowHeight="17.25" x14ac:dyDescent="0.3"/>
  <cols>
    <col min="1" max="1" width="7.140625" style="1692" customWidth="1"/>
    <col min="2" max="2" width="60.7109375" style="624" bestFit="1" customWidth="1"/>
    <col min="3" max="3" width="16.5703125" style="1692" bestFit="1" customWidth="1"/>
    <col min="4" max="105" width="9.140625" style="1692"/>
    <col min="106" max="106" width="5.85546875" style="1692" customWidth="1"/>
    <col min="107" max="107" width="55.42578125" style="1692" bestFit="1" customWidth="1"/>
    <col min="108" max="200" width="9.140625" style="1692" hidden="1" customWidth="1"/>
    <col min="201" max="211" width="10.7109375" style="1692" customWidth="1"/>
    <col min="212" max="212" width="10.85546875" style="1692" customWidth="1"/>
    <col min="213" max="213" width="10.7109375" style="1692" bestFit="1" customWidth="1"/>
    <col min="214" max="361" width="9.140625" style="1692"/>
    <col min="362" max="362" width="5.85546875" style="1692" customWidth="1"/>
    <col min="363" max="363" width="55.42578125" style="1692" bestFit="1" customWidth="1"/>
    <col min="364" max="456" width="9.140625" style="1692" hidden="1" customWidth="1"/>
    <col min="457" max="467" width="10.7109375" style="1692" customWidth="1"/>
    <col min="468" max="468" width="10.85546875" style="1692" customWidth="1"/>
    <col min="469" max="469" width="10.7109375" style="1692" bestFit="1" customWidth="1"/>
    <col min="470" max="617" width="9.140625" style="1692"/>
    <col min="618" max="618" width="5.85546875" style="1692" customWidth="1"/>
    <col min="619" max="619" width="55.42578125" style="1692" bestFit="1" customWidth="1"/>
    <col min="620" max="712" width="9.140625" style="1692" hidden="1" customWidth="1"/>
    <col min="713" max="723" width="10.7109375" style="1692" customWidth="1"/>
    <col min="724" max="724" width="10.85546875" style="1692" customWidth="1"/>
    <col min="725" max="725" width="10.7109375" style="1692" bestFit="1" customWidth="1"/>
    <col min="726" max="873" width="9.140625" style="1692"/>
    <col min="874" max="874" width="5.85546875" style="1692" customWidth="1"/>
    <col min="875" max="875" width="55.42578125" style="1692" bestFit="1" customWidth="1"/>
    <col min="876" max="968" width="9.140625" style="1692" hidden="1" customWidth="1"/>
    <col min="969" max="979" width="10.7109375" style="1692" customWidth="1"/>
    <col min="980" max="980" width="10.85546875" style="1692" customWidth="1"/>
    <col min="981" max="981" width="10.7109375" style="1692" bestFit="1" customWidth="1"/>
    <col min="982" max="1129" width="9.140625" style="1692"/>
    <col min="1130" max="1130" width="5.85546875" style="1692" customWidth="1"/>
    <col min="1131" max="1131" width="55.42578125" style="1692" bestFit="1" customWidth="1"/>
    <col min="1132" max="1224" width="9.140625" style="1692" hidden="1" customWidth="1"/>
    <col min="1225" max="1235" width="10.7109375" style="1692" customWidth="1"/>
    <col min="1236" max="1236" width="10.85546875" style="1692" customWidth="1"/>
    <col min="1237" max="1237" width="10.7109375" style="1692" bestFit="1" customWidth="1"/>
    <col min="1238" max="1385" width="9.140625" style="1692"/>
    <col min="1386" max="1386" width="5.85546875" style="1692" customWidth="1"/>
    <col min="1387" max="1387" width="55.42578125" style="1692" bestFit="1" customWidth="1"/>
    <col min="1388" max="1480" width="9.140625" style="1692" hidden="1" customWidth="1"/>
    <col min="1481" max="1491" width="10.7109375" style="1692" customWidth="1"/>
    <col min="1492" max="1492" width="10.85546875" style="1692" customWidth="1"/>
    <col min="1493" max="1493" width="10.7109375" style="1692" bestFit="1" customWidth="1"/>
    <col min="1494" max="1641" width="9.140625" style="1692"/>
    <col min="1642" max="1642" width="5.85546875" style="1692" customWidth="1"/>
    <col min="1643" max="1643" width="55.42578125" style="1692" bestFit="1" customWidth="1"/>
    <col min="1644" max="1736" width="9.140625" style="1692" hidden="1" customWidth="1"/>
    <col min="1737" max="1747" width="10.7109375" style="1692" customWidth="1"/>
    <col min="1748" max="1748" width="10.85546875" style="1692" customWidth="1"/>
    <col min="1749" max="1749" width="10.7109375" style="1692" bestFit="1" customWidth="1"/>
    <col min="1750" max="1897" width="9.140625" style="1692"/>
    <col min="1898" max="1898" width="5.85546875" style="1692" customWidth="1"/>
    <col min="1899" max="1899" width="55.42578125" style="1692" bestFit="1" customWidth="1"/>
    <col min="1900" max="1992" width="9.140625" style="1692" hidden="1" customWidth="1"/>
    <col min="1993" max="2003" width="10.7109375" style="1692" customWidth="1"/>
    <col min="2004" max="2004" width="10.85546875" style="1692" customWidth="1"/>
    <col min="2005" max="2005" width="10.7109375" style="1692" bestFit="1" customWidth="1"/>
    <col min="2006" max="2153" width="9.140625" style="1692"/>
    <col min="2154" max="2154" width="5.85546875" style="1692" customWidth="1"/>
    <col min="2155" max="2155" width="55.42578125" style="1692" bestFit="1" customWidth="1"/>
    <col min="2156" max="2248" width="9.140625" style="1692" hidden="1" customWidth="1"/>
    <col min="2249" max="2259" width="10.7109375" style="1692" customWidth="1"/>
    <col min="2260" max="2260" width="10.85546875" style="1692" customWidth="1"/>
    <col min="2261" max="2261" width="10.7109375" style="1692" bestFit="1" customWidth="1"/>
    <col min="2262" max="2409" width="9.140625" style="1692"/>
    <col min="2410" max="2410" width="5.85546875" style="1692" customWidth="1"/>
    <col min="2411" max="2411" width="55.42578125" style="1692" bestFit="1" customWidth="1"/>
    <col min="2412" max="2504" width="9.140625" style="1692" hidden="1" customWidth="1"/>
    <col min="2505" max="2515" width="10.7109375" style="1692" customWidth="1"/>
    <col min="2516" max="2516" width="10.85546875" style="1692" customWidth="1"/>
    <col min="2517" max="2517" width="10.7109375" style="1692" bestFit="1" customWidth="1"/>
    <col min="2518" max="2665" width="9.140625" style="1692"/>
    <col min="2666" max="2666" width="5.85546875" style="1692" customWidth="1"/>
    <col min="2667" max="2667" width="55.42578125" style="1692" bestFit="1" customWidth="1"/>
    <col min="2668" max="2760" width="9.140625" style="1692" hidden="1" customWidth="1"/>
    <col min="2761" max="2771" width="10.7109375" style="1692" customWidth="1"/>
    <col min="2772" max="2772" width="10.85546875" style="1692" customWidth="1"/>
    <col min="2773" max="2773" width="10.7109375" style="1692" bestFit="1" customWidth="1"/>
    <col min="2774" max="2921" width="9.140625" style="1692"/>
    <col min="2922" max="2922" width="5.85546875" style="1692" customWidth="1"/>
    <col min="2923" max="2923" width="55.42578125" style="1692" bestFit="1" customWidth="1"/>
    <col min="2924" max="3016" width="9.140625" style="1692" hidden="1" customWidth="1"/>
    <col min="3017" max="3027" width="10.7109375" style="1692" customWidth="1"/>
    <col min="3028" max="3028" width="10.85546875" style="1692" customWidth="1"/>
    <col min="3029" max="3029" width="10.7109375" style="1692" bestFit="1" customWidth="1"/>
    <col min="3030" max="3177" width="9.140625" style="1692"/>
    <col min="3178" max="3178" width="5.85546875" style="1692" customWidth="1"/>
    <col min="3179" max="3179" width="55.42578125" style="1692" bestFit="1" customWidth="1"/>
    <col min="3180" max="3272" width="9.140625" style="1692" hidden="1" customWidth="1"/>
    <col min="3273" max="3283" width="10.7109375" style="1692" customWidth="1"/>
    <col min="3284" max="3284" width="10.85546875" style="1692" customWidth="1"/>
    <col min="3285" max="3285" width="10.7109375" style="1692" bestFit="1" customWidth="1"/>
    <col min="3286" max="3433" width="9.140625" style="1692"/>
    <col min="3434" max="3434" width="5.85546875" style="1692" customWidth="1"/>
    <col min="3435" max="3435" width="55.42578125" style="1692" bestFit="1" customWidth="1"/>
    <col min="3436" max="3528" width="9.140625" style="1692" hidden="1" customWidth="1"/>
    <col min="3529" max="3539" width="10.7109375" style="1692" customWidth="1"/>
    <col min="3540" max="3540" width="10.85546875" style="1692" customWidth="1"/>
    <col min="3541" max="3541" width="10.7109375" style="1692" bestFit="1" customWidth="1"/>
    <col min="3542" max="3689" width="9.140625" style="1692"/>
    <col min="3690" max="3690" width="5.85546875" style="1692" customWidth="1"/>
    <col min="3691" max="3691" width="55.42578125" style="1692" bestFit="1" customWidth="1"/>
    <col min="3692" max="3784" width="9.140625" style="1692" hidden="1" customWidth="1"/>
    <col min="3785" max="3795" width="10.7109375" style="1692" customWidth="1"/>
    <col min="3796" max="3796" width="10.85546875" style="1692" customWidth="1"/>
    <col min="3797" max="3797" width="10.7109375" style="1692" bestFit="1" customWidth="1"/>
    <col min="3798" max="3945" width="9.140625" style="1692"/>
    <col min="3946" max="3946" width="5.85546875" style="1692" customWidth="1"/>
    <col min="3947" max="3947" width="55.42578125" style="1692" bestFit="1" customWidth="1"/>
    <col min="3948" max="4040" width="9.140625" style="1692" hidden="1" customWidth="1"/>
    <col min="4041" max="4051" width="10.7109375" style="1692" customWidth="1"/>
    <col min="4052" max="4052" width="10.85546875" style="1692" customWidth="1"/>
    <col min="4053" max="4053" width="10.7109375" style="1692" bestFit="1" customWidth="1"/>
    <col min="4054" max="4201" width="9.140625" style="1692"/>
    <col min="4202" max="4202" width="5.85546875" style="1692" customWidth="1"/>
    <col min="4203" max="4203" width="55.42578125" style="1692" bestFit="1" customWidth="1"/>
    <col min="4204" max="4296" width="9.140625" style="1692" hidden="1" customWidth="1"/>
    <col min="4297" max="4307" width="10.7109375" style="1692" customWidth="1"/>
    <col min="4308" max="4308" width="10.85546875" style="1692" customWidth="1"/>
    <col min="4309" max="4309" width="10.7109375" style="1692" bestFit="1" customWidth="1"/>
    <col min="4310" max="4457" width="9.140625" style="1692"/>
    <col min="4458" max="4458" width="5.85546875" style="1692" customWidth="1"/>
    <col min="4459" max="4459" width="55.42578125" style="1692" bestFit="1" customWidth="1"/>
    <col min="4460" max="4552" width="9.140625" style="1692" hidden="1" customWidth="1"/>
    <col min="4553" max="4563" width="10.7109375" style="1692" customWidth="1"/>
    <col min="4564" max="4564" width="10.85546875" style="1692" customWidth="1"/>
    <col min="4565" max="4565" width="10.7109375" style="1692" bestFit="1" customWidth="1"/>
    <col min="4566" max="4713" width="9.140625" style="1692"/>
    <col min="4714" max="4714" width="5.85546875" style="1692" customWidth="1"/>
    <col min="4715" max="4715" width="55.42578125" style="1692" bestFit="1" customWidth="1"/>
    <col min="4716" max="4808" width="9.140625" style="1692" hidden="1" customWidth="1"/>
    <col min="4809" max="4819" width="10.7109375" style="1692" customWidth="1"/>
    <col min="4820" max="4820" width="10.85546875" style="1692" customWidth="1"/>
    <col min="4821" max="4821" width="10.7109375" style="1692" bestFit="1" customWidth="1"/>
    <col min="4822" max="4969" width="9.140625" style="1692"/>
    <col min="4970" max="4970" width="5.85546875" style="1692" customWidth="1"/>
    <col min="4971" max="4971" width="55.42578125" style="1692" bestFit="1" customWidth="1"/>
    <col min="4972" max="5064" width="9.140625" style="1692" hidden="1" customWidth="1"/>
    <col min="5065" max="5075" width="10.7109375" style="1692" customWidth="1"/>
    <col min="5076" max="5076" width="10.85546875" style="1692" customWidth="1"/>
    <col min="5077" max="5077" width="10.7109375" style="1692" bestFit="1" customWidth="1"/>
    <col min="5078" max="5225" width="9.140625" style="1692"/>
    <col min="5226" max="5226" width="5.85546875" style="1692" customWidth="1"/>
    <col min="5227" max="5227" width="55.42578125" style="1692" bestFit="1" customWidth="1"/>
    <col min="5228" max="5320" width="9.140625" style="1692" hidden="1" customWidth="1"/>
    <col min="5321" max="5331" width="10.7109375" style="1692" customWidth="1"/>
    <col min="5332" max="5332" width="10.85546875" style="1692" customWidth="1"/>
    <col min="5333" max="5333" width="10.7109375" style="1692" bestFit="1" customWidth="1"/>
    <col min="5334" max="5481" width="9.140625" style="1692"/>
    <col min="5482" max="5482" width="5.85546875" style="1692" customWidth="1"/>
    <col min="5483" max="5483" width="55.42578125" style="1692" bestFit="1" customWidth="1"/>
    <col min="5484" max="5576" width="9.140625" style="1692" hidden="1" customWidth="1"/>
    <col min="5577" max="5587" width="10.7109375" style="1692" customWidth="1"/>
    <col min="5588" max="5588" width="10.85546875" style="1692" customWidth="1"/>
    <col min="5589" max="5589" width="10.7109375" style="1692" bestFit="1" customWidth="1"/>
    <col min="5590" max="5737" width="9.140625" style="1692"/>
    <col min="5738" max="5738" width="5.85546875" style="1692" customWidth="1"/>
    <col min="5739" max="5739" width="55.42578125" style="1692" bestFit="1" customWidth="1"/>
    <col min="5740" max="5832" width="9.140625" style="1692" hidden="1" customWidth="1"/>
    <col min="5833" max="5843" width="10.7109375" style="1692" customWidth="1"/>
    <col min="5844" max="5844" width="10.85546875" style="1692" customWidth="1"/>
    <col min="5845" max="5845" width="10.7109375" style="1692" bestFit="1" customWidth="1"/>
    <col min="5846" max="5993" width="9.140625" style="1692"/>
    <col min="5994" max="5994" width="5.85546875" style="1692" customWidth="1"/>
    <col min="5995" max="5995" width="55.42578125" style="1692" bestFit="1" customWidth="1"/>
    <col min="5996" max="6088" width="9.140625" style="1692" hidden="1" customWidth="1"/>
    <col min="6089" max="6099" width="10.7109375" style="1692" customWidth="1"/>
    <col min="6100" max="6100" width="10.85546875" style="1692" customWidth="1"/>
    <col min="6101" max="6101" width="10.7109375" style="1692" bestFit="1" customWidth="1"/>
    <col min="6102" max="6249" width="9.140625" style="1692"/>
    <col min="6250" max="6250" width="5.85546875" style="1692" customWidth="1"/>
    <col min="6251" max="6251" width="55.42578125" style="1692" bestFit="1" customWidth="1"/>
    <col min="6252" max="6344" width="9.140625" style="1692" hidden="1" customWidth="1"/>
    <col min="6345" max="6355" width="10.7109375" style="1692" customWidth="1"/>
    <col min="6356" max="6356" width="10.85546875" style="1692" customWidth="1"/>
    <col min="6357" max="6357" width="10.7109375" style="1692" bestFit="1" customWidth="1"/>
    <col min="6358" max="6505" width="9.140625" style="1692"/>
    <col min="6506" max="6506" width="5.85546875" style="1692" customWidth="1"/>
    <col min="6507" max="6507" width="55.42578125" style="1692" bestFit="1" customWidth="1"/>
    <col min="6508" max="6600" width="9.140625" style="1692" hidden="1" customWidth="1"/>
    <col min="6601" max="6611" width="10.7109375" style="1692" customWidth="1"/>
    <col min="6612" max="6612" width="10.85546875" style="1692" customWidth="1"/>
    <col min="6613" max="6613" width="10.7109375" style="1692" bestFit="1" customWidth="1"/>
    <col min="6614" max="6761" width="9.140625" style="1692"/>
    <col min="6762" max="6762" width="5.85546875" style="1692" customWidth="1"/>
    <col min="6763" max="6763" width="55.42578125" style="1692" bestFit="1" customWidth="1"/>
    <col min="6764" max="6856" width="9.140625" style="1692" hidden="1" customWidth="1"/>
    <col min="6857" max="6867" width="10.7109375" style="1692" customWidth="1"/>
    <col min="6868" max="6868" width="10.85546875" style="1692" customWidth="1"/>
    <col min="6869" max="6869" width="10.7109375" style="1692" bestFit="1" customWidth="1"/>
    <col min="6870" max="7017" width="9.140625" style="1692"/>
    <col min="7018" max="7018" width="5.85546875" style="1692" customWidth="1"/>
    <col min="7019" max="7019" width="55.42578125" style="1692" bestFit="1" customWidth="1"/>
    <col min="7020" max="7112" width="9.140625" style="1692" hidden="1" customWidth="1"/>
    <col min="7113" max="7123" width="10.7109375" style="1692" customWidth="1"/>
    <col min="7124" max="7124" width="10.85546875" style="1692" customWidth="1"/>
    <col min="7125" max="7125" width="10.7109375" style="1692" bestFit="1" customWidth="1"/>
    <col min="7126" max="7273" width="9.140625" style="1692"/>
    <col min="7274" max="7274" width="5.85546875" style="1692" customWidth="1"/>
    <col min="7275" max="7275" width="55.42578125" style="1692" bestFit="1" customWidth="1"/>
    <col min="7276" max="7368" width="9.140625" style="1692" hidden="1" customWidth="1"/>
    <col min="7369" max="7379" width="10.7109375" style="1692" customWidth="1"/>
    <col min="7380" max="7380" width="10.85546875" style="1692" customWidth="1"/>
    <col min="7381" max="7381" width="10.7109375" style="1692" bestFit="1" customWidth="1"/>
    <col min="7382" max="7529" width="9.140625" style="1692"/>
    <col min="7530" max="7530" width="5.85546875" style="1692" customWidth="1"/>
    <col min="7531" max="7531" width="55.42578125" style="1692" bestFit="1" customWidth="1"/>
    <col min="7532" max="7624" width="9.140625" style="1692" hidden="1" customWidth="1"/>
    <col min="7625" max="7635" width="10.7109375" style="1692" customWidth="1"/>
    <col min="7636" max="7636" width="10.85546875" style="1692" customWidth="1"/>
    <col min="7637" max="7637" width="10.7109375" style="1692" bestFit="1" customWidth="1"/>
    <col min="7638" max="7785" width="9.140625" style="1692"/>
    <col min="7786" max="7786" width="5.85546875" style="1692" customWidth="1"/>
    <col min="7787" max="7787" width="55.42578125" style="1692" bestFit="1" customWidth="1"/>
    <col min="7788" max="7880" width="9.140625" style="1692" hidden="1" customWidth="1"/>
    <col min="7881" max="7891" width="10.7109375" style="1692" customWidth="1"/>
    <col min="7892" max="7892" width="10.85546875" style="1692" customWidth="1"/>
    <col min="7893" max="7893" width="10.7109375" style="1692" bestFit="1" customWidth="1"/>
    <col min="7894" max="8041" width="9.140625" style="1692"/>
    <col min="8042" max="8042" width="5.85546875" style="1692" customWidth="1"/>
    <col min="8043" max="8043" width="55.42578125" style="1692" bestFit="1" customWidth="1"/>
    <col min="8044" max="8136" width="9.140625" style="1692" hidden="1" customWidth="1"/>
    <col min="8137" max="8147" width="10.7109375" style="1692" customWidth="1"/>
    <col min="8148" max="8148" width="10.85546875" style="1692" customWidth="1"/>
    <col min="8149" max="8149" width="10.7109375" style="1692" bestFit="1" customWidth="1"/>
    <col min="8150" max="8297" width="9.140625" style="1692"/>
    <col min="8298" max="8298" width="5.85546875" style="1692" customWidth="1"/>
    <col min="8299" max="8299" width="55.42578125" style="1692" bestFit="1" customWidth="1"/>
    <col min="8300" max="8392" width="9.140625" style="1692" hidden="1" customWidth="1"/>
    <col min="8393" max="8403" width="10.7109375" style="1692" customWidth="1"/>
    <col min="8404" max="8404" width="10.85546875" style="1692" customWidth="1"/>
    <col min="8405" max="8405" width="10.7109375" style="1692" bestFit="1" customWidth="1"/>
    <col min="8406" max="8553" width="9.140625" style="1692"/>
    <col min="8554" max="8554" width="5.85546875" style="1692" customWidth="1"/>
    <col min="8555" max="8555" width="55.42578125" style="1692" bestFit="1" customWidth="1"/>
    <col min="8556" max="8648" width="9.140625" style="1692" hidden="1" customWidth="1"/>
    <col min="8649" max="8659" width="10.7109375" style="1692" customWidth="1"/>
    <col min="8660" max="8660" width="10.85546875" style="1692" customWidth="1"/>
    <col min="8661" max="8661" width="10.7109375" style="1692" bestFit="1" customWidth="1"/>
    <col min="8662" max="8809" width="9.140625" style="1692"/>
    <col min="8810" max="8810" width="5.85546875" style="1692" customWidth="1"/>
    <col min="8811" max="8811" width="55.42578125" style="1692" bestFit="1" customWidth="1"/>
    <col min="8812" max="8904" width="9.140625" style="1692" hidden="1" customWidth="1"/>
    <col min="8905" max="8915" width="10.7109375" style="1692" customWidth="1"/>
    <col min="8916" max="8916" width="10.85546875" style="1692" customWidth="1"/>
    <col min="8917" max="8917" width="10.7109375" style="1692" bestFit="1" customWidth="1"/>
    <col min="8918" max="9065" width="9.140625" style="1692"/>
    <col min="9066" max="9066" width="5.85546875" style="1692" customWidth="1"/>
    <col min="9067" max="9067" width="55.42578125" style="1692" bestFit="1" customWidth="1"/>
    <col min="9068" max="9160" width="9.140625" style="1692" hidden="1" customWidth="1"/>
    <col min="9161" max="9171" width="10.7109375" style="1692" customWidth="1"/>
    <col min="9172" max="9172" width="10.85546875" style="1692" customWidth="1"/>
    <col min="9173" max="9173" width="10.7109375" style="1692" bestFit="1" customWidth="1"/>
    <col min="9174" max="9321" width="9.140625" style="1692"/>
    <col min="9322" max="9322" width="5.85546875" style="1692" customWidth="1"/>
    <col min="9323" max="9323" width="55.42578125" style="1692" bestFit="1" customWidth="1"/>
    <col min="9324" max="9416" width="9.140625" style="1692" hidden="1" customWidth="1"/>
    <col min="9417" max="9427" width="10.7109375" style="1692" customWidth="1"/>
    <col min="9428" max="9428" width="10.85546875" style="1692" customWidth="1"/>
    <col min="9429" max="9429" width="10.7109375" style="1692" bestFit="1" customWidth="1"/>
    <col min="9430" max="9577" width="9.140625" style="1692"/>
    <col min="9578" max="9578" width="5.85546875" style="1692" customWidth="1"/>
    <col min="9579" max="9579" width="55.42578125" style="1692" bestFit="1" customWidth="1"/>
    <col min="9580" max="9672" width="9.140625" style="1692" hidden="1" customWidth="1"/>
    <col min="9673" max="9683" width="10.7109375" style="1692" customWidth="1"/>
    <col min="9684" max="9684" width="10.85546875" style="1692" customWidth="1"/>
    <col min="9685" max="9685" width="10.7109375" style="1692" bestFit="1" customWidth="1"/>
    <col min="9686" max="9833" width="9.140625" style="1692"/>
    <col min="9834" max="9834" width="5.85546875" style="1692" customWidth="1"/>
    <col min="9835" max="9835" width="55.42578125" style="1692" bestFit="1" customWidth="1"/>
    <col min="9836" max="9928" width="9.140625" style="1692" hidden="1" customWidth="1"/>
    <col min="9929" max="9939" width="10.7109375" style="1692" customWidth="1"/>
    <col min="9940" max="9940" width="10.85546875" style="1692" customWidth="1"/>
    <col min="9941" max="9941" width="10.7109375" style="1692" bestFit="1" customWidth="1"/>
    <col min="9942" max="10089" width="9.140625" style="1692"/>
    <col min="10090" max="10090" width="5.85546875" style="1692" customWidth="1"/>
    <col min="10091" max="10091" width="55.42578125" style="1692" bestFit="1" customWidth="1"/>
    <col min="10092" max="10184" width="9.140625" style="1692" hidden="1" customWidth="1"/>
    <col min="10185" max="10195" width="10.7109375" style="1692" customWidth="1"/>
    <col min="10196" max="10196" width="10.85546875" style="1692" customWidth="1"/>
    <col min="10197" max="10197" width="10.7109375" style="1692" bestFit="1" customWidth="1"/>
    <col min="10198" max="10345" width="9.140625" style="1692"/>
    <col min="10346" max="10346" width="5.85546875" style="1692" customWidth="1"/>
    <col min="10347" max="10347" width="55.42578125" style="1692" bestFit="1" customWidth="1"/>
    <col min="10348" max="10440" width="9.140625" style="1692" hidden="1" customWidth="1"/>
    <col min="10441" max="10451" width="10.7109375" style="1692" customWidth="1"/>
    <col min="10452" max="10452" width="10.85546875" style="1692" customWidth="1"/>
    <col min="10453" max="10453" width="10.7109375" style="1692" bestFit="1" customWidth="1"/>
    <col min="10454" max="10601" width="9.140625" style="1692"/>
    <col min="10602" max="10602" width="5.85546875" style="1692" customWidth="1"/>
    <col min="10603" max="10603" width="55.42578125" style="1692" bestFit="1" customWidth="1"/>
    <col min="10604" max="10696" width="9.140625" style="1692" hidden="1" customWidth="1"/>
    <col min="10697" max="10707" width="10.7109375" style="1692" customWidth="1"/>
    <col min="10708" max="10708" width="10.85546875" style="1692" customWidth="1"/>
    <col min="10709" max="10709" width="10.7109375" style="1692" bestFit="1" customWidth="1"/>
    <col min="10710" max="10857" width="9.140625" style="1692"/>
    <col min="10858" max="10858" width="5.85546875" style="1692" customWidth="1"/>
    <col min="10859" max="10859" width="55.42578125" style="1692" bestFit="1" customWidth="1"/>
    <col min="10860" max="10952" width="9.140625" style="1692" hidden="1" customWidth="1"/>
    <col min="10953" max="10963" width="10.7109375" style="1692" customWidth="1"/>
    <col min="10964" max="10964" width="10.85546875" style="1692" customWidth="1"/>
    <col min="10965" max="10965" width="10.7109375" style="1692" bestFit="1" customWidth="1"/>
    <col min="10966" max="11113" width="9.140625" style="1692"/>
    <col min="11114" max="11114" width="5.85546875" style="1692" customWidth="1"/>
    <col min="11115" max="11115" width="55.42578125" style="1692" bestFit="1" customWidth="1"/>
    <col min="11116" max="11208" width="9.140625" style="1692" hidden="1" customWidth="1"/>
    <col min="11209" max="11219" width="10.7109375" style="1692" customWidth="1"/>
    <col min="11220" max="11220" width="10.85546875" style="1692" customWidth="1"/>
    <col min="11221" max="11221" width="10.7109375" style="1692" bestFit="1" customWidth="1"/>
    <col min="11222" max="11369" width="9.140625" style="1692"/>
    <col min="11370" max="11370" width="5.85546875" style="1692" customWidth="1"/>
    <col min="11371" max="11371" width="55.42578125" style="1692" bestFit="1" customWidth="1"/>
    <col min="11372" max="11464" width="9.140625" style="1692" hidden="1" customWidth="1"/>
    <col min="11465" max="11475" width="10.7109375" style="1692" customWidth="1"/>
    <col min="11476" max="11476" width="10.85546875" style="1692" customWidth="1"/>
    <col min="11477" max="11477" width="10.7109375" style="1692" bestFit="1" customWidth="1"/>
    <col min="11478" max="11625" width="9.140625" style="1692"/>
    <col min="11626" max="11626" width="5.85546875" style="1692" customWidth="1"/>
    <col min="11627" max="11627" width="55.42578125" style="1692" bestFit="1" customWidth="1"/>
    <col min="11628" max="11720" width="9.140625" style="1692" hidden="1" customWidth="1"/>
    <col min="11721" max="11731" width="10.7109375" style="1692" customWidth="1"/>
    <col min="11732" max="11732" width="10.85546875" style="1692" customWidth="1"/>
    <col min="11733" max="11733" width="10.7109375" style="1692" bestFit="1" customWidth="1"/>
    <col min="11734" max="11881" width="9.140625" style="1692"/>
    <col min="11882" max="11882" width="5.85546875" style="1692" customWidth="1"/>
    <col min="11883" max="11883" width="55.42578125" style="1692" bestFit="1" customWidth="1"/>
    <col min="11884" max="11976" width="9.140625" style="1692" hidden="1" customWidth="1"/>
    <col min="11977" max="11987" width="10.7109375" style="1692" customWidth="1"/>
    <col min="11988" max="11988" width="10.85546875" style="1692" customWidth="1"/>
    <col min="11989" max="11989" width="10.7109375" style="1692" bestFit="1" customWidth="1"/>
    <col min="11990" max="12137" width="9.140625" style="1692"/>
    <col min="12138" max="12138" width="5.85546875" style="1692" customWidth="1"/>
    <col min="12139" max="12139" width="55.42578125" style="1692" bestFit="1" customWidth="1"/>
    <col min="12140" max="12232" width="9.140625" style="1692" hidden="1" customWidth="1"/>
    <col min="12233" max="12243" width="10.7109375" style="1692" customWidth="1"/>
    <col min="12244" max="12244" width="10.85546875" style="1692" customWidth="1"/>
    <col min="12245" max="12245" width="10.7109375" style="1692" bestFit="1" customWidth="1"/>
    <col min="12246" max="12393" width="9.140625" style="1692"/>
    <col min="12394" max="12394" width="5.85546875" style="1692" customWidth="1"/>
    <col min="12395" max="12395" width="55.42578125" style="1692" bestFit="1" customWidth="1"/>
    <col min="12396" max="12488" width="9.140625" style="1692" hidden="1" customWidth="1"/>
    <col min="12489" max="12499" width="10.7109375" style="1692" customWidth="1"/>
    <col min="12500" max="12500" width="10.85546875" style="1692" customWidth="1"/>
    <col min="12501" max="12501" width="10.7109375" style="1692" bestFit="1" customWidth="1"/>
    <col min="12502" max="12649" width="9.140625" style="1692"/>
    <col min="12650" max="12650" width="5.85546875" style="1692" customWidth="1"/>
    <col min="12651" max="12651" width="55.42578125" style="1692" bestFit="1" customWidth="1"/>
    <col min="12652" max="12744" width="9.140625" style="1692" hidden="1" customWidth="1"/>
    <col min="12745" max="12755" width="10.7109375" style="1692" customWidth="1"/>
    <col min="12756" max="12756" width="10.85546875" style="1692" customWidth="1"/>
    <col min="12757" max="12757" width="10.7109375" style="1692" bestFit="1" customWidth="1"/>
    <col min="12758" max="12905" width="9.140625" style="1692"/>
    <col min="12906" max="12906" width="5.85546875" style="1692" customWidth="1"/>
    <col min="12907" max="12907" width="55.42578125" style="1692" bestFit="1" customWidth="1"/>
    <col min="12908" max="13000" width="9.140625" style="1692" hidden="1" customWidth="1"/>
    <col min="13001" max="13011" width="10.7109375" style="1692" customWidth="1"/>
    <col min="13012" max="13012" width="10.85546875" style="1692" customWidth="1"/>
    <col min="13013" max="13013" width="10.7109375" style="1692" bestFit="1" customWidth="1"/>
    <col min="13014" max="13161" width="9.140625" style="1692"/>
    <col min="13162" max="13162" width="5.85546875" style="1692" customWidth="1"/>
    <col min="13163" max="13163" width="55.42578125" style="1692" bestFit="1" customWidth="1"/>
    <col min="13164" max="13256" width="9.140625" style="1692" hidden="1" customWidth="1"/>
    <col min="13257" max="13267" width="10.7109375" style="1692" customWidth="1"/>
    <col min="13268" max="13268" width="10.85546875" style="1692" customWidth="1"/>
    <col min="13269" max="13269" width="10.7109375" style="1692" bestFit="1" customWidth="1"/>
    <col min="13270" max="13417" width="9.140625" style="1692"/>
    <col min="13418" max="13418" width="5.85546875" style="1692" customWidth="1"/>
    <col min="13419" max="13419" width="55.42578125" style="1692" bestFit="1" customWidth="1"/>
    <col min="13420" max="13512" width="9.140625" style="1692" hidden="1" customWidth="1"/>
    <col min="13513" max="13523" width="10.7109375" style="1692" customWidth="1"/>
    <col min="13524" max="13524" width="10.85546875" style="1692" customWidth="1"/>
    <col min="13525" max="13525" width="10.7109375" style="1692" bestFit="1" customWidth="1"/>
    <col min="13526" max="13673" width="9.140625" style="1692"/>
    <col min="13674" max="13674" width="5.85546875" style="1692" customWidth="1"/>
    <col min="13675" max="13675" width="55.42578125" style="1692" bestFit="1" customWidth="1"/>
    <col min="13676" max="13768" width="9.140625" style="1692" hidden="1" customWidth="1"/>
    <col min="13769" max="13779" width="10.7109375" style="1692" customWidth="1"/>
    <col min="13780" max="13780" width="10.85546875" style="1692" customWidth="1"/>
    <col min="13781" max="13781" width="10.7109375" style="1692" bestFit="1" customWidth="1"/>
    <col min="13782" max="13929" width="9.140625" style="1692"/>
    <col min="13930" max="13930" width="5.85546875" style="1692" customWidth="1"/>
    <col min="13931" max="13931" width="55.42578125" style="1692" bestFit="1" customWidth="1"/>
    <col min="13932" max="14024" width="9.140625" style="1692" hidden="1" customWidth="1"/>
    <col min="14025" max="14035" width="10.7109375" style="1692" customWidth="1"/>
    <col min="14036" max="14036" width="10.85546875" style="1692" customWidth="1"/>
    <col min="14037" max="14037" width="10.7109375" style="1692" bestFit="1" customWidth="1"/>
    <col min="14038" max="14185" width="9.140625" style="1692"/>
    <col min="14186" max="14186" width="5.85546875" style="1692" customWidth="1"/>
    <col min="14187" max="14187" width="55.42578125" style="1692" bestFit="1" customWidth="1"/>
    <col min="14188" max="14280" width="9.140625" style="1692" hidden="1" customWidth="1"/>
    <col min="14281" max="14291" width="10.7109375" style="1692" customWidth="1"/>
    <col min="14292" max="14292" width="10.85546875" style="1692" customWidth="1"/>
    <col min="14293" max="14293" width="10.7109375" style="1692" bestFit="1" customWidth="1"/>
    <col min="14294" max="14441" width="9.140625" style="1692"/>
    <col min="14442" max="14442" width="5.85546875" style="1692" customWidth="1"/>
    <col min="14443" max="14443" width="55.42578125" style="1692" bestFit="1" customWidth="1"/>
    <col min="14444" max="14536" width="9.140625" style="1692" hidden="1" customWidth="1"/>
    <col min="14537" max="14547" width="10.7109375" style="1692" customWidth="1"/>
    <col min="14548" max="14548" width="10.85546875" style="1692" customWidth="1"/>
    <col min="14549" max="14549" width="10.7109375" style="1692" bestFit="1" customWidth="1"/>
    <col min="14550" max="14697" width="9.140625" style="1692"/>
    <col min="14698" max="14698" width="5.85546875" style="1692" customWidth="1"/>
    <col min="14699" max="14699" width="55.42578125" style="1692" bestFit="1" customWidth="1"/>
    <col min="14700" max="14792" width="9.140625" style="1692" hidden="1" customWidth="1"/>
    <col min="14793" max="14803" width="10.7109375" style="1692" customWidth="1"/>
    <col min="14804" max="14804" width="10.85546875" style="1692" customWidth="1"/>
    <col min="14805" max="14805" width="10.7109375" style="1692" bestFit="1" customWidth="1"/>
    <col min="14806" max="14953" width="9.140625" style="1692"/>
    <col min="14954" max="14954" width="5.85546875" style="1692" customWidth="1"/>
    <col min="14955" max="14955" width="55.42578125" style="1692" bestFit="1" customWidth="1"/>
    <col min="14956" max="15048" width="9.140625" style="1692" hidden="1" customWidth="1"/>
    <col min="15049" max="15059" width="10.7109375" style="1692" customWidth="1"/>
    <col min="15060" max="15060" width="10.85546875" style="1692" customWidth="1"/>
    <col min="15061" max="15061" width="10.7109375" style="1692" bestFit="1" customWidth="1"/>
    <col min="15062" max="15209" width="9.140625" style="1692"/>
    <col min="15210" max="15210" width="5.85546875" style="1692" customWidth="1"/>
    <col min="15211" max="15211" width="55.42578125" style="1692" bestFit="1" customWidth="1"/>
    <col min="15212" max="15304" width="9.140625" style="1692" hidden="1" customWidth="1"/>
    <col min="15305" max="15315" width="10.7109375" style="1692" customWidth="1"/>
    <col min="15316" max="15316" width="10.85546875" style="1692" customWidth="1"/>
    <col min="15317" max="15317" width="10.7109375" style="1692" bestFit="1" customWidth="1"/>
    <col min="15318" max="15465" width="9.140625" style="1692"/>
    <col min="15466" max="15466" width="5.85546875" style="1692" customWidth="1"/>
    <col min="15467" max="15467" width="55.42578125" style="1692" bestFit="1" customWidth="1"/>
    <col min="15468" max="15560" width="9.140625" style="1692" hidden="1" customWidth="1"/>
    <col min="15561" max="15571" width="10.7109375" style="1692" customWidth="1"/>
    <col min="15572" max="15572" width="10.85546875" style="1692" customWidth="1"/>
    <col min="15573" max="15573" width="10.7109375" style="1692" bestFit="1" customWidth="1"/>
    <col min="15574" max="15721" width="9.140625" style="1692"/>
    <col min="15722" max="15722" width="5.85546875" style="1692" customWidth="1"/>
    <col min="15723" max="15723" width="55.42578125" style="1692" bestFit="1" customWidth="1"/>
    <col min="15724" max="15816" width="9.140625" style="1692" hidden="1" customWidth="1"/>
    <col min="15817" max="15827" width="10.7109375" style="1692" customWidth="1"/>
    <col min="15828" max="15828" width="10.85546875" style="1692" customWidth="1"/>
    <col min="15829" max="15829" width="10.7109375" style="1692" bestFit="1" customWidth="1"/>
    <col min="15830" max="15977" width="9.140625" style="1692"/>
    <col min="15978" max="15978" width="5.85546875" style="1692" customWidth="1"/>
    <col min="15979" max="15979" width="55.42578125" style="1692" bestFit="1" customWidth="1"/>
    <col min="15980" max="16072" width="9.140625" style="1692" hidden="1" customWidth="1"/>
    <col min="16073" max="16083" width="10.7109375" style="1692" customWidth="1"/>
    <col min="16084" max="16084" width="10.85546875" style="1692" customWidth="1"/>
    <col min="16085" max="16085" width="10.7109375" style="1692" bestFit="1" customWidth="1"/>
    <col min="16086" max="16384" width="9.140625" style="1692"/>
  </cols>
  <sheetData>
    <row r="1" spans="1:3" ht="19.5" customHeight="1" x14ac:dyDescent="0.3">
      <c r="A1" s="2765" t="s">
        <v>2669</v>
      </c>
      <c r="B1" s="2766"/>
    </row>
    <row r="2" spans="1:3" hidden="1" x14ac:dyDescent="0.3">
      <c r="A2" s="2767"/>
      <c r="B2" s="2768"/>
    </row>
    <row r="3" spans="1:3" ht="18" thickBot="1" x14ac:dyDescent="0.35">
      <c r="A3" s="2769"/>
      <c r="B3" s="2770"/>
      <c r="C3" s="2771" t="s">
        <v>281</v>
      </c>
    </row>
    <row r="4" spans="1:3" ht="24" customHeight="1" thickTop="1" thickBot="1" x14ac:dyDescent="0.35">
      <c r="A4" s="2651" t="s">
        <v>2502</v>
      </c>
      <c r="B4" s="2651" t="s">
        <v>773</v>
      </c>
      <c r="C4" s="2723" t="s">
        <v>614</v>
      </c>
    </row>
    <row r="5" spans="1:3" ht="18" customHeight="1" thickTop="1" x14ac:dyDescent="0.3">
      <c r="A5" s="2653"/>
      <c r="B5" s="2653"/>
      <c r="C5" s="2654"/>
    </row>
    <row r="6" spans="1:3" ht="18" customHeight="1" x14ac:dyDescent="0.3">
      <c r="A6" s="2655" t="s">
        <v>2508</v>
      </c>
      <c r="B6" s="2655" t="s">
        <v>2511</v>
      </c>
      <c r="C6" s="2687">
        <v>953358.62328999746</v>
      </c>
    </row>
    <row r="7" spans="1:3" ht="18" customHeight="1" x14ac:dyDescent="0.3">
      <c r="A7" s="2658" t="s">
        <v>2600</v>
      </c>
      <c r="B7" s="2662" t="s">
        <v>965</v>
      </c>
      <c r="C7" s="2693">
        <v>320.37205552703381</v>
      </c>
    </row>
    <row r="8" spans="1:3" ht="18" customHeight="1" x14ac:dyDescent="0.3">
      <c r="A8" s="2658" t="s">
        <v>2601</v>
      </c>
      <c r="B8" s="2662" t="s">
        <v>2670</v>
      </c>
      <c r="C8" s="2693">
        <v>698448.00023851462</v>
      </c>
    </row>
    <row r="9" spans="1:3" ht="18" customHeight="1" x14ac:dyDescent="0.3">
      <c r="A9" s="2658" t="s">
        <v>2603</v>
      </c>
      <c r="B9" s="2662" t="s">
        <v>2671</v>
      </c>
      <c r="C9" s="2693">
        <v>254590.25099595575</v>
      </c>
    </row>
    <row r="10" spans="1:3" ht="18" customHeight="1" x14ac:dyDescent="0.3">
      <c r="A10" s="2658"/>
      <c r="B10" s="2658"/>
      <c r="C10" s="2724"/>
    </row>
    <row r="11" spans="1:3" ht="18" customHeight="1" x14ac:dyDescent="0.3">
      <c r="A11" s="2655" t="s">
        <v>2510</v>
      </c>
      <c r="B11" s="2655" t="s">
        <v>2521</v>
      </c>
      <c r="C11" s="2687">
        <v>987366.94638602494</v>
      </c>
    </row>
    <row r="12" spans="1:3" ht="18" customHeight="1" x14ac:dyDescent="0.3">
      <c r="A12" s="2658"/>
      <c r="B12" s="2658"/>
      <c r="C12" s="2724"/>
    </row>
    <row r="13" spans="1:3" ht="18" customHeight="1" x14ac:dyDescent="0.3">
      <c r="A13" s="2655" t="s">
        <v>2520</v>
      </c>
      <c r="B13" s="2655" t="s">
        <v>1057</v>
      </c>
      <c r="C13" s="2687">
        <v>3709205.2407009867</v>
      </c>
    </row>
    <row r="14" spans="1:3" ht="18" customHeight="1" x14ac:dyDescent="0.3">
      <c r="A14" s="2658"/>
      <c r="B14" s="2658"/>
      <c r="C14" s="2724"/>
    </row>
    <row r="15" spans="1:3" ht="18" customHeight="1" x14ac:dyDescent="0.3">
      <c r="A15" s="2655" t="s">
        <v>2522</v>
      </c>
      <c r="B15" s="2655" t="s">
        <v>2524</v>
      </c>
      <c r="C15" s="2687">
        <v>23541269.071957812</v>
      </c>
    </row>
    <row r="16" spans="1:3" ht="18" customHeight="1" x14ac:dyDescent="0.3">
      <c r="A16" s="2658"/>
      <c r="B16" s="2662"/>
      <c r="C16" s="2724"/>
    </row>
    <row r="17" spans="1:3" ht="18" customHeight="1" x14ac:dyDescent="0.3">
      <c r="A17" s="2655" t="s">
        <v>2523</v>
      </c>
      <c r="B17" s="2655" t="s">
        <v>2526</v>
      </c>
      <c r="C17" s="2687">
        <v>8572.9000224046558</v>
      </c>
    </row>
    <row r="18" spans="1:3" ht="18" customHeight="1" x14ac:dyDescent="0.3">
      <c r="A18" s="2658"/>
      <c r="B18" s="2658"/>
      <c r="C18" s="2724"/>
    </row>
    <row r="19" spans="1:3" ht="18" customHeight="1" x14ac:dyDescent="0.3">
      <c r="A19" s="2655" t="s">
        <v>2525</v>
      </c>
      <c r="B19" s="2655" t="s">
        <v>2605</v>
      </c>
      <c r="C19" s="2687">
        <v>118649.42563101076</v>
      </c>
    </row>
    <row r="20" spans="1:3" ht="18" customHeight="1" x14ac:dyDescent="0.3">
      <c r="A20" s="2658"/>
      <c r="B20" s="2658"/>
      <c r="C20" s="2724"/>
    </row>
    <row r="21" spans="1:3" ht="18" customHeight="1" x14ac:dyDescent="0.3">
      <c r="A21" s="2655" t="s">
        <v>2527</v>
      </c>
      <c r="B21" s="2655" t="s">
        <v>2530</v>
      </c>
      <c r="C21" s="2687">
        <v>2148104.0925352261</v>
      </c>
    </row>
    <row r="22" spans="1:3" ht="18" customHeight="1" x14ac:dyDescent="0.3">
      <c r="A22" s="2658"/>
      <c r="B22" s="2658"/>
      <c r="C22" s="2724"/>
    </row>
    <row r="23" spans="1:3" ht="18" customHeight="1" x14ac:dyDescent="0.3">
      <c r="A23" s="2655" t="s">
        <v>2529</v>
      </c>
      <c r="B23" s="2655" t="s">
        <v>2532</v>
      </c>
      <c r="C23" s="2687">
        <v>522354.17694450554</v>
      </c>
    </row>
    <row r="24" spans="1:3" ht="18" customHeight="1" x14ac:dyDescent="0.3">
      <c r="A24" s="2658"/>
      <c r="B24" s="2658"/>
      <c r="C24" s="2693"/>
    </row>
    <row r="25" spans="1:3" ht="18" customHeight="1" x14ac:dyDescent="0.3">
      <c r="A25" s="2655"/>
      <c r="B25" s="2655" t="s">
        <v>1060</v>
      </c>
      <c r="C25" s="2687">
        <v>31988880.477467969</v>
      </c>
    </row>
    <row r="26" spans="1:3" thickBot="1" x14ac:dyDescent="0.35">
      <c r="A26" s="2663"/>
      <c r="B26" s="2663"/>
      <c r="C26" s="2727"/>
    </row>
    <row r="27" spans="1:3" ht="18" hidden="1" thickTop="1" x14ac:dyDescent="0.3">
      <c r="A27" s="2728"/>
      <c r="B27" s="2728"/>
      <c r="C27" s="2729"/>
    </row>
    <row r="28" spans="1:3" thickTop="1" x14ac:dyDescent="0.3">
      <c r="A28" s="2649"/>
      <c r="B28" s="2649"/>
      <c r="C28" s="2772"/>
    </row>
    <row r="29" spans="1:3" thickBot="1" x14ac:dyDescent="0.35">
      <c r="A29" s="2773"/>
      <c r="B29" s="2773"/>
      <c r="C29" s="2771" t="s">
        <v>281</v>
      </c>
    </row>
    <row r="30" spans="1:3" ht="24" customHeight="1" thickTop="1" thickBot="1" x14ac:dyDescent="0.35">
      <c r="A30" s="2651" t="s">
        <v>2502</v>
      </c>
      <c r="B30" s="2651" t="s">
        <v>791</v>
      </c>
      <c r="C30" s="2723" t="str">
        <f>C4</f>
        <v>2023Q1</v>
      </c>
    </row>
    <row r="31" spans="1:3" ht="18" customHeight="1" thickTop="1" x14ac:dyDescent="0.3">
      <c r="A31" s="2658"/>
      <c r="B31" s="2667"/>
      <c r="C31" s="2693"/>
    </row>
    <row r="32" spans="1:3" ht="18" customHeight="1" x14ac:dyDescent="0.3">
      <c r="A32" s="2655" t="s">
        <v>2533</v>
      </c>
      <c r="B32" s="2655" t="s">
        <v>2521</v>
      </c>
      <c r="C32" s="2687">
        <v>577061.32447530294</v>
      </c>
    </row>
    <row r="33" spans="1:77" ht="18" customHeight="1" x14ac:dyDescent="0.3">
      <c r="A33" s="2658"/>
      <c r="B33" s="2658"/>
      <c r="C33" s="2732"/>
    </row>
    <row r="34" spans="1:77" ht="18" customHeight="1" x14ac:dyDescent="0.3">
      <c r="A34" s="2655" t="s">
        <v>2534</v>
      </c>
      <c r="B34" s="2655" t="s">
        <v>1057</v>
      </c>
      <c r="C34" s="2687">
        <v>7134871.8688525129</v>
      </c>
    </row>
    <row r="35" spans="1:77" ht="18" customHeight="1" x14ac:dyDescent="0.3">
      <c r="A35" s="2658"/>
      <c r="B35" s="2668"/>
      <c r="C35" s="2732"/>
    </row>
    <row r="36" spans="1:77" ht="18" customHeight="1" x14ac:dyDescent="0.3">
      <c r="A36" s="2655" t="s">
        <v>2542</v>
      </c>
      <c r="B36" s="2655" t="s">
        <v>2526</v>
      </c>
      <c r="C36" s="2687">
        <v>208119.85193241091</v>
      </c>
    </row>
    <row r="37" spans="1:77" ht="18" customHeight="1" x14ac:dyDescent="0.3">
      <c r="A37" s="2658"/>
      <c r="B37" s="2658"/>
      <c r="C37" s="2732"/>
    </row>
    <row r="38" spans="1:77" ht="18" customHeight="1" x14ac:dyDescent="0.3">
      <c r="A38" s="2655" t="s">
        <v>2547</v>
      </c>
      <c r="B38" s="2655" t="s">
        <v>2612</v>
      </c>
      <c r="C38" s="2687">
        <v>36432.413408472574</v>
      </c>
    </row>
    <row r="39" spans="1:77" ht="18" customHeight="1" x14ac:dyDescent="0.3">
      <c r="A39" s="2658"/>
      <c r="B39" s="2658"/>
      <c r="C39" s="2732"/>
    </row>
    <row r="40" spans="1:77" ht="18" customHeight="1" x14ac:dyDescent="0.3">
      <c r="A40" s="2655" t="s">
        <v>2549</v>
      </c>
      <c r="B40" s="2655" t="s">
        <v>2555</v>
      </c>
      <c r="C40" s="2687">
        <v>2662458.9289903869</v>
      </c>
    </row>
    <row r="41" spans="1:77" ht="18" customHeight="1" x14ac:dyDescent="0.3">
      <c r="A41" s="2658"/>
      <c r="B41" s="2658"/>
      <c r="C41" s="2732"/>
    </row>
    <row r="42" spans="1:77" ht="18" customHeight="1" x14ac:dyDescent="0.3">
      <c r="A42" s="2655" t="s">
        <v>2551</v>
      </c>
      <c r="B42" s="2655" t="s">
        <v>2524</v>
      </c>
      <c r="C42" s="2687">
        <v>21369936.089808885</v>
      </c>
    </row>
    <row r="43" spans="1:77" ht="16.5" x14ac:dyDescent="0.3">
      <c r="A43" s="2658"/>
      <c r="B43" s="2658"/>
      <c r="C43" s="2693"/>
    </row>
    <row r="44" spans="1:77" ht="16.5" x14ac:dyDescent="0.3">
      <c r="A44" s="2655"/>
      <c r="B44" s="2655" t="s">
        <v>1071</v>
      </c>
      <c r="C44" s="2687">
        <v>31988880.477467969</v>
      </c>
    </row>
    <row r="45" spans="1:77" thickBot="1" x14ac:dyDescent="0.35">
      <c r="A45" s="2669"/>
      <c r="B45" s="2669"/>
      <c r="C45" s="2714"/>
    </row>
    <row r="46" spans="1:77" s="2776" customFormat="1" ht="15" customHeight="1" thickTop="1" x14ac:dyDescent="0.2">
      <c r="A46" s="2774" t="s">
        <v>173</v>
      </c>
      <c r="B46" s="2775"/>
      <c r="M46" s="2777"/>
      <c r="N46" s="2777"/>
      <c r="O46" s="2777"/>
      <c r="P46" s="2777"/>
      <c r="Q46" s="2777"/>
      <c r="R46" s="2777"/>
      <c r="S46" s="2777"/>
      <c r="T46" s="2777"/>
      <c r="U46" s="2777"/>
      <c r="V46" s="2777"/>
      <c r="W46" s="2777"/>
      <c r="X46" s="2777"/>
      <c r="Y46" s="2777"/>
      <c r="Z46" s="2777"/>
      <c r="AA46" s="2777"/>
      <c r="AB46" s="2777"/>
      <c r="AC46" s="2777"/>
      <c r="AD46" s="2777"/>
      <c r="AE46" s="2777"/>
      <c r="AF46" s="2777"/>
      <c r="AG46" s="2777"/>
      <c r="AH46" s="2777"/>
      <c r="AI46" s="2777"/>
      <c r="AJ46" s="2777"/>
      <c r="AK46" s="2777"/>
      <c r="AL46" s="2777"/>
      <c r="AM46" s="2777"/>
      <c r="AN46" s="2777"/>
      <c r="AO46" s="2777"/>
      <c r="AP46" s="2777"/>
      <c r="AQ46" s="2777"/>
      <c r="AR46" s="2777"/>
      <c r="AS46" s="2777"/>
      <c r="AT46" s="2777"/>
      <c r="AU46" s="2777"/>
      <c r="AV46" s="2777"/>
      <c r="AW46" s="2777"/>
      <c r="AX46" s="2777"/>
      <c r="AY46" s="2777"/>
      <c r="AZ46" s="2777"/>
      <c r="BA46" s="2777"/>
      <c r="BB46" s="2777"/>
      <c r="BC46" s="2777"/>
      <c r="BD46" s="2777"/>
      <c r="BE46" s="2777"/>
      <c r="BF46" s="2777"/>
      <c r="BG46" s="2777"/>
      <c r="BH46" s="2777"/>
      <c r="BI46" s="2777"/>
      <c r="BJ46" s="2777"/>
      <c r="BK46" s="2777"/>
      <c r="BL46" s="2777"/>
      <c r="BM46" s="2777"/>
      <c r="BN46" s="2777"/>
      <c r="BO46" s="2777"/>
      <c r="BP46" s="2777"/>
      <c r="BQ46" s="2777"/>
      <c r="BR46" s="2777"/>
      <c r="BS46" s="2777"/>
      <c r="BT46" s="2777"/>
      <c r="BU46" s="2777"/>
      <c r="BV46" s="2777"/>
      <c r="BW46" s="2777"/>
      <c r="BX46" s="2777"/>
      <c r="BY46" s="2777"/>
    </row>
    <row r="47" spans="1:77" s="2776" customFormat="1" ht="15" customHeight="1" x14ac:dyDescent="0.2">
      <c r="A47" s="2774" t="s">
        <v>2672</v>
      </c>
      <c r="B47" s="2775"/>
      <c r="M47" s="2777"/>
      <c r="N47" s="2777"/>
      <c r="O47" s="2777"/>
      <c r="P47" s="2777"/>
      <c r="Q47" s="2777"/>
      <c r="R47" s="2777"/>
      <c r="S47" s="2777"/>
      <c r="T47" s="2777"/>
      <c r="U47" s="2777"/>
      <c r="V47" s="2777"/>
      <c r="W47" s="2777"/>
      <c r="X47" s="2777"/>
      <c r="Y47" s="2777"/>
      <c r="Z47" s="2777"/>
      <c r="AA47" s="2777"/>
      <c r="AB47" s="2777"/>
      <c r="AC47" s="2777"/>
      <c r="AD47" s="2777"/>
      <c r="AE47" s="2777"/>
      <c r="AF47" s="2777"/>
      <c r="AG47" s="2777"/>
      <c r="AH47" s="2777"/>
      <c r="AI47" s="2777"/>
      <c r="AJ47" s="2777"/>
      <c r="AK47" s="2777"/>
      <c r="AL47" s="2777"/>
      <c r="AM47" s="2777"/>
      <c r="AN47" s="2777"/>
      <c r="AO47" s="2777"/>
      <c r="AP47" s="2777"/>
      <c r="AQ47" s="2777"/>
      <c r="AR47" s="2777"/>
      <c r="AS47" s="2777"/>
      <c r="AT47" s="2777"/>
      <c r="AU47" s="2777"/>
      <c r="AV47" s="2777"/>
      <c r="AW47" s="2777"/>
      <c r="AX47" s="2777"/>
      <c r="AY47" s="2777"/>
      <c r="AZ47" s="2777"/>
      <c r="BA47" s="2777"/>
      <c r="BB47" s="2777"/>
      <c r="BC47" s="2777"/>
      <c r="BD47" s="2777"/>
      <c r="BE47" s="2777"/>
      <c r="BF47" s="2777"/>
      <c r="BG47" s="2777"/>
      <c r="BH47" s="2777"/>
      <c r="BI47" s="2777"/>
      <c r="BJ47" s="2777"/>
      <c r="BK47" s="2777"/>
      <c r="BL47" s="2777"/>
      <c r="BM47" s="2777"/>
      <c r="BN47" s="2777"/>
      <c r="BO47" s="2777"/>
      <c r="BP47" s="2777"/>
      <c r="BQ47" s="2777"/>
      <c r="BR47" s="2777"/>
      <c r="BS47" s="2777"/>
      <c r="BT47" s="2777"/>
      <c r="BU47" s="2777"/>
      <c r="BV47" s="2777"/>
      <c r="BW47" s="2777"/>
      <c r="BX47" s="2777"/>
      <c r="BY47" s="2777"/>
    </row>
    <row r="48" spans="1:77" s="2776" customFormat="1" ht="15" customHeight="1" x14ac:dyDescent="0.2">
      <c r="A48" s="2774" t="s">
        <v>2673</v>
      </c>
      <c r="B48" s="2775"/>
      <c r="M48" s="2777"/>
      <c r="N48" s="2777"/>
      <c r="O48" s="2777"/>
      <c r="P48" s="2777"/>
      <c r="Q48" s="2777"/>
      <c r="R48" s="2777"/>
      <c r="S48" s="2777"/>
      <c r="T48" s="2777"/>
      <c r="U48" s="2777"/>
      <c r="V48" s="2777"/>
      <c r="W48" s="2777"/>
      <c r="X48" s="2777"/>
      <c r="Y48" s="2777"/>
      <c r="Z48" s="2777"/>
      <c r="AA48" s="2777"/>
      <c r="AB48" s="2777"/>
      <c r="AC48" s="2777"/>
      <c r="AD48" s="2777"/>
      <c r="AE48" s="2777"/>
      <c r="AF48" s="2777"/>
      <c r="AG48" s="2777"/>
      <c r="AH48" s="2777"/>
      <c r="AI48" s="2777"/>
      <c r="AJ48" s="2777"/>
      <c r="AK48" s="2777"/>
      <c r="AL48" s="2777"/>
      <c r="AM48" s="2777"/>
      <c r="AN48" s="2777"/>
      <c r="AO48" s="2777"/>
      <c r="AP48" s="2777"/>
      <c r="AQ48" s="2777"/>
      <c r="AR48" s="2777"/>
      <c r="AS48" s="2777"/>
      <c r="AT48" s="2777"/>
      <c r="AU48" s="2777"/>
      <c r="AV48" s="2777"/>
      <c r="AW48" s="2777"/>
      <c r="AX48" s="2777"/>
      <c r="AY48" s="2777"/>
      <c r="AZ48" s="2777"/>
      <c r="BA48" s="2777"/>
      <c r="BB48" s="2777"/>
      <c r="BC48" s="2777"/>
      <c r="BD48" s="2777"/>
      <c r="BE48" s="2777"/>
      <c r="BF48" s="2777"/>
      <c r="BG48" s="2777"/>
      <c r="BH48" s="2777"/>
      <c r="BI48" s="2777"/>
      <c r="BJ48" s="2777"/>
      <c r="BK48" s="2777"/>
      <c r="BL48" s="2777"/>
      <c r="BM48" s="2777"/>
      <c r="BN48" s="2777"/>
      <c r="BO48" s="2777"/>
      <c r="BP48" s="2777"/>
      <c r="BQ48" s="2777"/>
      <c r="BR48" s="2777"/>
      <c r="BS48" s="2777"/>
      <c r="BT48" s="2777"/>
      <c r="BU48" s="2777"/>
      <c r="BV48" s="2777"/>
      <c r="BW48" s="2777"/>
      <c r="BX48" s="2777"/>
      <c r="BY48" s="2777"/>
    </row>
    <row r="49" spans="1:2" s="2776" customFormat="1" ht="15" customHeight="1" x14ac:dyDescent="0.2">
      <c r="A49" s="2774" t="s">
        <v>2674</v>
      </c>
      <c r="B49" s="2775"/>
    </row>
  </sheetData>
  <pageMargins left="0.75" right="0.7" top="0.75" bottom="0.75" header="0.3" footer="0.3"/>
  <pageSetup paperSize="9" scale="8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WTD48"/>
  <sheetViews>
    <sheetView showGridLines="0" zoomScaleNormal="100" zoomScaleSheetLayoutView="100" workbookViewId="0">
      <pane xSplit="2" ySplit="5" topLeftCell="C31" activePane="bottomRight" state="frozen"/>
      <selection activeCell="A38" sqref="A38"/>
      <selection pane="topRight" activeCell="A38" sqref="A38"/>
      <selection pane="bottomLeft" activeCell="A38" sqref="A38"/>
      <selection pane="bottomRight" activeCell="A38" sqref="A38"/>
    </sheetView>
  </sheetViews>
  <sheetFormatPr defaultRowHeight="17.25" x14ac:dyDescent="0.3"/>
  <cols>
    <col min="1" max="1" width="7.140625" style="1692" customWidth="1"/>
    <col min="2" max="2" width="60.7109375" style="624" bestFit="1" customWidth="1"/>
    <col min="3" max="3" width="15.140625" style="1692" customWidth="1"/>
    <col min="4" max="105" width="9.140625" style="1692"/>
    <col min="106" max="106" width="5.85546875" style="1692" customWidth="1"/>
    <col min="107" max="107" width="55.42578125" style="1692" bestFit="1" customWidth="1"/>
    <col min="108" max="200" width="9.140625" style="1692" hidden="1" customWidth="1"/>
    <col min="201" max="211" width="10.7109375" style="1692" customWidth="1"/>
    <col min="212" max="212" width="10.85546875" style="1692" customWidth="1"/>
    <col min="213" max="213" width="10.7109375" style="1692" bestFit="1" customWidth="1"/>
    <col min="214" max="361" width="9.140625" style="1692"/>
    <col min="362" max="362" width="5.85546875" style="1692" customWidth="1"/>
    <col min="363" max="363" width="55.42578125" style="1692" bestFit="1" customWidth="1"/>
    <col min="364" max="456" width="9.140625" style="1692" hidden="1" customWidth="1"/>
    <col min="457" max="467" width="10.7109375" style="1692" customWidth="1"/>
    <col min="468" max="468" width="10.85546875" style="1692" customWidth="1"/>
    <col min="469" max="469" width="10.7109375" style="1692" bestFit="1" customWidth="1"/>
    <col min="470" max="617" width="9.140625" style="1692"/>
    <col min="618" max="618" width="5.85546875" style="1692" customWidth="1"/>
    <col min="619" max="619" width="55.42578125" style="1692" bestFit="1" customWidth="1"/>
    <col min="620" max="712" width="9.140625" style="1692" hidden="1" customWidth="1"/>
    <col min="713" max="723" width="10.7109375" style="1692" customWidth="1"/>
    <col min="724" max="724" width="10.85546875" style="1692" customWidth="1"/>
    <col min="725" max="725" width="10.7109375" style="1692" bestFit="1" customWidth="1"/>
    <col min="726" max="873" width="9.140625" style="1692"/>
    <col min="874" max="874" width="5.85546875" style="1692" customWidth="1"/>
    <col min="875" max="875" width="55.42578125" style="1692" bestFit="1" customWidth="1"/>
    <col min="876" max="968" width="9.140625" style="1692" hidden="1" customWidth="1"/>
    <col min="969" max="979" width="10.7109375" style="1692" customWidth="1"/>
    <col min="980" max="980" width="10.85546875" style="1692" customWidth="1"/>
    <col min="981" max="981" width="10.7109375" style="1692" bestFit="1" customWidth="1"/>
    <col min="982" max="1129" width="9.140625" style="1692"/>
    <col min="1130" max="1130" width="5.85546875" style="1692" customWidth="1"/>
    <col min="1131" max="1131" width="55.42578125" style="1692" bestFit="1" customWidth="1"/>
    <col min="1132" max="1224" width="9.140625" style="1692" hidden="1" customWidth="1"/>
    <col min="1225" max="1235" width="10.7109375" style="1692" customWidth="1"/>
    <col min="1236" max="1236" width="10.85546875" style="1692" customWidth="1"/>
    <col min="1237" max="1237" width="10.7109375" style="1692" bestFit="1" customWidth="1"/>
    <col min="1238" max="1385" width="9.140625" style="1692"/>
    <col min="1386" max="1386" width="5.85546875" style="1692" customWidth="1"/>
    <col min="1387" max="1387" width="55.42578125" style="1692" bestFit="1" customWidth="1"/>
    <col min="1388" max="1480" width="9.140625" style="1692" hidden="1" customWidth="1"/>
    <col min="1481" max="1491" width="10.7109375" style="1692" customWidth="1"/>
    <col min="1492" max="1492" width="10.85546875" style="1692" customWidth="1"/>
    <col min="1493" max="1493" width="10.7109375" style="1692" bestFit="1" customWidth="1"/>
    <col min="1494" max="1641" width="9.140625" style="1692"/>
    <col min="1642" max="1642" width="5.85546875" style="1692" customWidth="1"/>
    <col min="1643" max="1643" width="55.42578125" style="1692" bestFit="1" customWidth="1"/>
    <col min="1644" max="1736" width="9.140625" style="1692" hidden="1" customWidth="1"/>
    <col min="1737" max="1747" width="10.7109375" style="1692" customWidth="1"/>
    <col min="1748" max="1748" width="10.85546875" style="1692" customWidth="1"/>
    <col min="1749" max="1749" width="10.7109375" style="1692" bestFit="1" customWidth="1"/>
    <col min="1750" max="1897" width="9.140625" style="1692"/>
    <col min="1898" max="1898" width="5.85546875" style="1692" customWidth="1"/>
    <col min="1899" max="1899" width="55.42578125" style="1692" bestFit="1" customWidth="1"/>
    <col min="1900" max="1992" width="9.140625" style="1692" hidden="1" customWidth="1"/>
    <col min="1993" max="2003" width="10.7109375" style="1692" customWidth="1"/>
    <col min="2004" max="2004" width="10.85546875" style="1692" customWidth="1"/>
    <col min="2005" max="2005" width="10.7109375" style="1692" bestFit="1" customWidth="1"/>
    <col min="2006" max="2153" width="9.140625" style="1692"/>
    <col min="2154" max="2154" width="5.85546875" style="1692" customWidth="1"/>
    <col min="2155" max="2155" width="55.42578125" style="1692" bestFit="1" customWidth="1"/>
    <col min="2156" max="2248" width="9.140625" style="1692" hidden="1" customWidth="1"/>
    <col min="2249" max="2259" width="10.7109375" style="1692" customWidth="1"/>
    <col min="2260" max="2260" width="10.85546875" style="1692" customWidth="1"/>
    <col min="2261" max="2261" width="10.7109375" style="1692" bestFit="1" customWidth="1"/>
    <col min="2262" max="2409" width="9.140625" style="1692"/>
    <col min="2410" max="2410" width="5.85546875" style="1692" customWidth="1"/>
    <col min="2411" max="2411" width="55.42578125" style="1692" bestFit="1" customWidth="1"/>
    <col min="2412" max="2504" width="9.140625" style="1692" hidden="1" customWidth="1"/>
    <col min="2505" max="2515" width="10.7109375" style="1692" customWidth="1"/>
    <col min="2516" max="2516" width="10.85546875" style="1692" customWidth="1"/>
    <col min="2517" max="2517" width="10.7109375" style="1692" bestFit="1" customWidth="1"/>
    <col min="2518" max="2665" width="9.140625" style="1692"/>
    <col min="2666" max="2666" width="5.85546875" style="1692" customWidth="1"/>
    <col min="2667" max="2667" width="55.42578125" style="1692" bestFit="1" customWidth="1"/>
    <col min="2668" max="2760" width="9.140625" style="1692" hidden="1" customWidth="1"/>
    <col min="2761" max="2771" width="10.7109375" style="1692" customWidth="1"/>
    <col min="2772" max="2772" width="10.85546875" style="1692" customWidth="1"/>
    <col min="2773" max="2773" width="10.7109375" style="1692" bestFit="1" customWidth="1"/>
    <col min="2774" max="2921" width="9.140625" style="1692"/>
    <col min="2922" max="2922" width="5.85546875" style="1692" customWidth="1"/>
    <col min="2923" max="2923" width="55.42578125" style="1692" bestFit="1" customWidth="1"/>
    <col min="2924" max="3016" width="9.140625" style="1692" hidden="1" customWidth="1"/>
    <col min="3017" max="3027" width="10.7109375" style="1692" customWidth="1"/>
    <col min="3028" max="3028" width="10.85546875" style="1692" customWidth="1"/>
    <col min="3029" max="3029" width="10.7109375" style="1692" bestFit="1" customWidth="1"/>
    <col min="3030" max="3177" width="9.140625" style="1692"/>
    <col min="3178" max="3178" width="5.85546875" style="1692" customWidth="1"/>
    <col min="3179" max="3179" width="55.42578125" style="1692" bestFit="1" customWidth="1"/>
    <col min="3180" max="3272" width="9.140625" style="1692" hidden="1" customWidth="1"/>
    <col min="3273" max="3283" width="10.7109375" style="1692" customWidth="1"/>
    <col min="3284" max="3284" width="10.85546875" style="1692" customWidth="1"/>
    <col min="3285" max="3285" width="10.7109375" style="1692" bestFit="1" customWidth="1"/>
    <col min="3286" max="3433" width="9.140625" style="1692"/>
    <col min="3434" max="3434" width="5.85546875" style="1692" customWidth="1"/>
    <col min="3435" max="3435" width="55.42578125" style="1692" bestFit="1" customWidth="1"/>
    <col min="3436" max="3528" width="9.140625" style="1692" hidden="1" customWidth="1"/>
    <col min="3529" max="3539" width="10.7109375" style="1692" customWidth="1"/>
    <col min="3540" max="3540" width="10.85546875" style="1692" customWidth="1"/>
    <col min="3541" max="3541" width="10.7109375" style="1692" bestFit="1" customWidth="1"/>
    <col min="3542" max="3689" width="9.140625" style="1692"/>
    <col min="3690" max="3690" width="5.85546875" style="1692" customWidth="1"/>
    <col min="3691" max="3691" width="55.42578125" style="1692" bestFit="1" customWidth="1"/>
    <col min="3692" max="3784" width="9.140625" style="1692" hidden="1" customWidth="1"/>
    <col min="3785" max="3795" width="10.7109375" style="1692" customWidth="1"/>
    <col min="3796" max="3796" width="10.85546875" style="1692" customWidth="1"/>
    <col min="3797" max="3797" width="10.7109375" style="1692" bestFit="1" customWidth="1"/>
    <col min="3798" max="3945" width="9.140625" style="1692"/>
    <col min="3946" max="3946" width="5.85546875" style="1692" customWidth="1"/>
    <col min="3947" max="3947" width="55.42578125" style="1692" bestFit="1" customWidth="1"/>
    <col min="3948" max="4040" width="9.140625" style="1692" hidden="1" customWidth="1"/>
    <col min="4041" max="4051" width="10.7109375" style="1692" customWidth="1"/>
    <col min="4052" max="4052" width="10.85546875" style="1692" customWidth="1"/>
    <col min="4053" max="4053" width="10.7109375" style="1692" bestFit="1" customWidth="1"/>
    <col min="4054" max="4201" width="9.140625" style="1692"/>
    <col min="4202" max="4202" width="5.85546875" style="1692" customWidth="1"/>
    <col min="4203" max="4203" width="55.42578125" style="1692" bestFit="1" customWidth="1"/>
    <col min="4204" max="4296" width="9.140625" style="1692" hidden="1" customWidth="1"/>
    <col min="4297" max="4307" width="10.7109375" style="1692" customWidth="1"/>
    <col min="4308" max="4308" width="10.85546875" style="1692" customWidth="1"/>
    <col min="4309" max="4309" width="10.7109375" style="1692" bestFit="1" customWidth="1"/>
    <col min="4310" max="4457" width="9.140625" style="1692"/>
    <col min="4458" max="4458" width="5.85546875" style="1692" customWidth="1"/>
    <col min="4459" max="4459" width="55.42578125" style="1692" bestFit="1" customWidth="1"/>
    <col min="4460" max="4552" width="9.140625" style="1692" hidden="1" customWidth="1"/>
    <col min="4553" max="4563" width="10.7109375" style="1692" customWidth="1"/>
    <col min="4564" max="4564" width="10.85546875" style="1692" customWidth="1"/>
    <col min="4565" max="4565" width="10.7109375" style="1692" bestFit="1" customWidth="1"/>
    <col min="4566" max="4713" width="9.140625" style="1692"/>
    <col min="4714" max="4714" width="5.85546875" style="1692" customWidth="1"/>
    <col min="4715" max="4715" width="55.42578125" style="1692" bestFit="1" customWidth="1"/>
    <col min="4716" max="4808" width="9.140625" style="1692" hidden="1" customWidth="1"/>
    <col min="4809" max="4819" width="10.7109375" style="1692" customWidth="1"/>
    <col min="4820" max="4820" width="10.85546875" style="1692" customWidth="1"/>
    <col min="4821" max="4821" width="10.7109375" style="1692" bestFit="1" customWidth="1"/>
    <col min="4822" max="4969" width="9.140625" style="1692"/>
    <col min="4970" max="4970" width="5.85546875" style="1692" customWidth="1"/>
    <col min="4971" max="4971" width="55.42578125" style="1692" bestFit="1" customWidth="1"/>
    <col min="4972" max="5064" width="9.140625" style="1692" hidden="1" customWidth="1"/>
    <col min="5065" max="5075" width="10.7109375" style="1692" customWidth="1"/>
    <col min="5076" max="5076" width="10.85546875" style="1692" customWidth="1"/>
    <col min="5077" max="5077" width="10.7109375" style="1692" bestFit="1" customWidth="1"/>
    <col min="5078" max="5225" width="9.140625" style="1692"/>
    <col min="5226" max="5226" width="5.85546875" style="1692" customWidth="1"/>
    <col min="5227" max="5227" width="55.42578125" style="1692" bestFit="1" customWidth="1"/>
    <col min="5228" max="5320" width="9.140625" style="1692" hidden="1" customWidth="1"/>
    <col min="5321" max="5331" width="10.7109375" style="1692" customWidth="1"/>
    <col min="5332" max="5332" width="10.85546875" style="1692" customWidth="1"/>
    <col min="5333" max="5333" width="10.7109375" style="1692" bestFit="1" customWidth="1"/>
    <col min="5334" max="5481" width="9.140625" style="1692"/>
    <col min="5482" max="5482" width="5.85546875" style="1692" customWidth="1"/>
    <col min="5483" max="5483" width="55.42578125" style="1692" bestFit="1" customWidth="1"/>
    <col min="5484" max="5576" width="9.140625" style="1692" hidden="1" customWidth="1"/>
    <col min="5577" max="5587" width="10.7109375" style="1692" customWidth="1"/>
    <col min="5588" max="5588" width="10.85546875" style="1692" customWidth="1"/>
    <col min="5589" max="5589" width="10.7109375" style="1692" bestFit="1" customWidth="1"/>
    <col min="5590" max="5737" width="9.140625" style="1692"/>
    <col min="5738" max="5738" width="5.85546875" style="1692" customWidth="1"/>
    <col min="5739" max="5739" width="55.42578125" style="1692" bestFit="1" customWidth="1"/>
    <col min="5740" max="5832" width="9.140625" style="1692" hidden="1" customWidth="1"/>
    <col min="5833" max="5843" width="10.7109375" style="1692" customWidth="1"/>
    <col min="5844" max="5844" width="10.85546875" style="1692" customWidth="1"/>
    <col min="5845" max="5845" width="10.7109375" style="1692" bestFit="1" customWidth="1"/>
    <col min="5846" max="5993" width="9.140625" style="1692"/>
    <col min="5994" max="5994" width="5.85546875" style="1692" customWidth="1"/>
    <col min="5995" max="5995" width="55.42578125" style="1692" bestFit="1" customWidth="1"/>
    <col min="5996" max="6088" width="9.140625" style="1692" hidden="1" customWidth="1"/>
    <col min="6089" max="6099" width="10.7109375" style="1692" customWidth="1"/>
    <col min="6100" max="6100" width="10.85546875" style="1692" customWidth="1"/>
    <col min="6101" max="6101" width="10.7109375" style="1692" bestFit="1" customWidth="1"/>
    <col min="6102" max="6249" width="9.140625" style="1692"/>
    <col min="6250" max="6250" width="5.85546875" style="1692" customWidth="1"/>
    <col min="6251" max="6251" width="55.42578125" style="1692" bestFit="1" customWidth="1"/>
    <col min="6252" max="6344" width="9.140625" style="1692" hidden="1" customWidth="1"/>
    <col min="6345" max="6355" width="10.7109375" style="1692" customWidth="1"/>
    <col min="6356" max="6356" width="10.85546875" style="1692" customWidth="1"/>
    <col min="6357" max="6357" width="10.7109375" style="1692" bestFit="1" customWidth="1"/>
    <col min="6358" max="6505" width="9.140625" style="1692"/>
    <col min="6506" max="6506" width="5.85546875" style="1692" customWidth="1"/>
    <col min="6507" max="6507" width="55.42578125" style="1692" bestFit="1" customWidth="1"/>
    <col min="6508" max="6600" width="9.140625" style="1692" hidden="1" customWidth="1"/>
    <col min="6601" max="6611" width="10.7109375" style="1692" customWidth="1"/>
    <col min="6612" max="6612" width="10.85546875" style="1692" customWidth="1"/>
    <col min="6613" max="6613" width="10.7109375" style="1692" bestFit="1" customWidth="1"/>
    <col min="6614" max="6761" width="9.140625" style="1692"/>
    <col min="6762" max="6762" width="5.85546875" style="1692" customWidth="1"/>
    <col min="6763" max="6763" width="55.42578125" style="1692" bestFit="1" customWidth="1"/>
    <col min="6764" max="6856" width="9.140625" style="1692" hidden="1" customWidth="1"/>
    <col min="6857" max="6867" width="10.7109375" style="1692" customWidth="1"/>
    <col min="6868" max="6868" width="10.85546875" style="1692" customWidth="1"/>
    <col min="6869" max="6869" width="10.7109375" style="1692" bestFit="1" customWidth="1"/>
    <col min="6870" max="7017" width="9.140625" style="1692"/>
    <col min="7018" max="7018" width="5.85546875" style="1692" customWidth="1"/>
    <col min="7019" max="7019" width="55.42578125" style="1692" bestFit="1" customWidth="1"/>
    <col min="7020" max="7112" width="9.140625" style="1692" hidden="1" customWidth="1"/>
    <col min="7113" max="7123" width="10.7109375" style="1692" customWidth="1"/>
    <col min="7124" max="7124" width="10.85546875" style="1692" customWidth="1"/>
    <col min="7125" max="7125" width="10.7109375" style="1692" bestFit="1" customWidth="1"/>
    <col min="7126" max="7273" width="9.140625" style="1692"/>
    <col min="7274" max="7274" width="5.85546875" style="1692" customWidth="1"/>
    <col min="7275" max="7275" width="55.42578125" style="1692" bestFit="1" customWidth="1"/>
    <col min="7276" max="7368" width="9.140625" style="1692" hidden="1" customWidth="1"/>
    <col min="7369" max="7379" width="10.7109375" style="1692" customWidth="1"/>
    <col min="7380" max="7380" width="10.85546875" style="1692" customWidth="1"/>
    <col min="7381" max="7381" width="10.7109375" style="1692" bestFit="1" customWidth="1"/>
    <col min="7382" max="7529" width="9.140625" style="1692"/>
    <col min="7530" max="7530" width="5.85546875" style="1692" customWidth="1"/>
    <col min="7531" max="7531" width="55.42578125" style="1692" bestFit="1" customWidth="1"/>
    <col min="7532" max="7624" width="9.140625" style="1692" hidden="1" customWidth="1"/>
    <col min="7625" max="7635" width="10.7109375" style="1692" customWidth="1"/>
    <col min="7636" max="7636" width="10.85546875" style="1692" customWidth="1"/>
    <col min="7637" max="7637" width="10.7109375" style="1692" bestFit="1" customWidth="1"/>
    <col min="7638" max="7785" width="9.140625" style="1692"/>
    <col min="7786" max="7786" width="5.85546875" style="1692" customWidth="1"/>
    <col min="7787" max="7787" width="55.42578125" style="1692" bestFit="1" customWidth="1"/>
    <col min="7788" max="7880" width="9.140625" style="1692" hidden="1" customWidth="1"/>
    <col min="7881" max="7891" width="10.7109375" style="1692" customWidth="1"/>
    <col min="7892" max="7892" width="10.85546875" style="1692" customWidth="1"/>
    <col min="7893" max="7893" width="10.7109375" style="1692" bestFit="1" customWidth="1"/>
    <col min="7894" max="8041" width="9.140625" style="1692"/>
    <col min="8042" max="8042" width="5.85546875" style="1692" customWidth="1"/>
    <col min="8043" max="8043" width="55.42578125" style="1692" bestFit="1" customWidth="1"/>
    <col min="8044" max="8136" width="9.140625" style="1692" hidden="1" customWidth="1"/>
    <col min="8137" max="8147" width="10.7109375" style="1692" customWidth="1"/>
    <col min="8148" max="8148" width="10.85546875" style="1692" customWidth="1"/>
    <col min="8149" max="8149" width="10.7109375" style="1692" bestFit="1" customWidth="1"/>
    <col min="8150" max="8297" width="9.140625" style="1692"/>
    <col min="8298" max="8298" width="5.85546875" style="1692" customWidth="1"/>
    <col min="8299" max="8299" width="55.42578125" style="1692" bestFit="1" customWidth="1"/>
    <col min="8300" max="8392" width="9.140625" style="1692" hidden="1" customWidth="1"/>
    <col min="8393" max="8403" width="10.7109375" style="1692" customWidth="1"/>
    <col min="8404" max="8404" width="10.85546875" style="1692" customWidth="1"/>
    <col min="8405" max="8405" width="10.7109375" style="1692" bestFit="1" customWidth="1"/>
    <col min="8406" max="8553" width="9.140625" style="1692"/>
    <col min="8554" max="8554" width="5.85546875" style="1692" customWidth="1"/>
    <col min="8555" max="8555" width="55.42578125" style="1692" bestFit="1" customWidth="1"/>
    <col min="8556" max="8648" width="9.140625" style="1692" hidden="1" customWidth="1"/>
    <col min="8649" max="8659" width="10.7109375" style="1692" customWidth="1"/>
    <col min="8660" max="8660" width="10.85546875" style="1692" customWidth="1"/>
    <col min="8661" max="8661" width="10.7109375" style="1692" bestFit="1" customWidth="1"/>
    <col min="8662" max="8809" width="9.140625" style="1692"/>
    <col min="8810" max="8810" width="5.85546875" style="1692" customWidth="1"/>
    <col min="8811" max="8811" width="55.42578125" style="1692" bestFit="1" customWidth="1"/>
    <col min="8812" max="8904" width="9.140625" style="1692" hidden="1" customWidth="1"/>
    <col min="8905" max="8915" width="10.7109375" style="1692" customWidth="1"/>
    <col min="8916" max="8916" width="10.85546875" style="1692" customWidth="1"/>
    <col min="8917" max="8917" width="10.7109375" style="1692" bestFit="1" customWidth="1"/>
    <col min="8918" max="9065" width="9.140625" style="1692"/>
    <col min="9066" max="9066" width="5.85546875" style="1692" customWidth="1"/>
    <col min="9067" max="9067" width="55.42578125" style="1692" bestFit="1" customWidth="1"/>
    <col min="9068" max="9160" width="9.140625" style="1692" hidden="1" customWidth="1"/>
    <col min="9161" max="9171" width="10.7109375" style="1692" customWidth="1"/>
    <col min="9172" max="9172" width="10.85546875" style="1692" customWidth="1"/>
    <col min="9173" max="9173" width="10.7109375" style="1692" bestFit="1" customWidth="1"/>
    <col min="9174" max="9321" width="9.140625" style="1692"/>
    <col min="9322" max="9322" width="5.85546875" style="1692" customWidth="1"/>
    <col min="9323" max="9323" width="55.42578125" style="1692" bestFit="1" customWidth="1"/>
    <col min="9324" max="9416" width="9.140625" style="1692" hidden="1" customWidth="1"/>
    <col min="9417" max="9427" width="10.7109375" style="1692" customWidth="1"/>
    <col min="9428" max="9428" width="10.85546875" style="1692" customWidth="1"/>
    <col min="9429" max="9429" width="10.7109375" style="1692" bestFit="1" customWidth="1"/>
    <col min="9430" max="9577" width="9.140625" style="1692"/>
    <col min="9578" max="9578" width="5.85546875" style="1692" customWidth="1"/>
    <col min="9579" max="9579" width="55.42578125" style="1692" bestFit="1" customWidth="1"/>
    <col min="9580" max="9672" width="9.140625" style="1692" hidden="1" customWidth="1"/>
    <col min="9673" max="9683" width="10.7109375" style="1692" customWidth="1"/>
    <col min="9684" max="9684" width="10.85546875" style="1692" customWidth="1"/>
    <col min="9685" max="9685" width="10.7109375" style="1692" bestFit="1" customWidth="1"/>
    <col min="9686" max="9833" width="9.140625" style="1692"/>
    <col min="9834" max="9834" width="5.85546875" style="1692" customWidth="1"/>
    <col min="9835" max="9835" width="55.42578125" style="1692" bestFit="1" customWidth="1"/>
    <col min="9836" max="9928" width="9.140625" style="1692" hidden="1" customWidth="1"/>
    <col min="9929" max="9939" width="10.7109375" style="1692" customWidth="1"/>
    <col min="9940" max="9940" width="10.85546875" style="1692" customWidth="1"/>
    <col min="9941" max="9941" width="10.7109375" style="1692" bestFit="1" customWidth="1"/>
    <col min="9942" max="10089" width="9.140625" style="1692"/>
    <col min="10090" max="10090" width="5.85546875" style="1692" customWidth="1"/>
    <col min="10091" max="10091" width="55.42578125" style="1692" bestFit="1" customWidth="1"/>
    <col min="10092" max="10184" width="9.140625" style="1692" hidden="1" customWidth="1"/>
    <col min="10185" max="10195" width="10.7109375" style="1692" customWidth="1"/>
    <col min="10196" max="10196" width="10.85546875" style="1692" customWidth="1"/>
    <col min="10197" max="10197" width="10.7109375" style="1692" bestFit="1" customWidth="1"/>
    <col min="10198" max="10345" width="9.140625" style="1692"/>
    <col min="10346" max="10346" width="5.85546875" style="1692" customWidth="1"/>
    <col min="10347" max="10347" width="55.42578125" style="1692" bestFit="1" customWidth="1"/>
    <col min="10348" max="10440" width="9.140625" style="1692" hidden="1" customWidth="1"/>
    <col min="10441" max="10451" width="10.7109375" style="1692" customWidth="1"/>
    <col min="10452" max="10452" width="10.85546875" style="1692" customWidth="1"/>
    <col min="10453" max="10453" width="10.7109375" style="1692" bestFit="1" customWidth="1"/>
    <col min="10454" max="10601" width="9.140625" style="1692"/>
    <col min="10602" max="10602" width="5.85546875" style="1692" customWidth="1"/>
    <col min="10603" max="10603" width="55.42578125" style="1692" bestFit="1" customWidth="1"/>
    <col min="10604" max="10696" width="9.140625" style="1692" hidden="1" customWidth="1"/>
    <col min="10697" max="10707" width="10.7109375" style="1692" customWidth="1"/>
    <col min="10708" max="10708" width="10.85546875" style="1692" customWidth="1"/>
    <col min="10709" max="10709" width="10.7109375" style="1692" bestFit="1" customWidth="1"/>
    <col min="10710" max="10857" width="9.140625" style="1692"/>
    <col min="10858" max="10858" width="5.85546875" style="1692" customWidth="1"/>
    <col min="10859" max="10859" width="55.42578125" style="1692" bestFit="1" customWidth="1"/>
    <col min="10860" max="10952" width="9.140625" style="1692" hidden="1" customWidth="1"/>
    <col min="10953" max="10963" width="10.7109375" style="1692" customWidth="1"/>
    <col min="10964" max="10964" width="10.85546875" style="1692" customWidth="1"/>
    <col min="10965" max="10965" width="10.7109375" style="1692" bestFit="1" customWidth="1"/>
    <col min="10966" max="11113" width="9.140625" style="1692"/>
    <col min="11114" max="11114" width="5.85546875" style="1692" customWidth="1"/>
    <col min="11115" max="11115" width="55.42578125" style="1692" bestFit="1" customWidth="1"/>
    <col min="11116" max="11208" width="9.140625" style="1692" hidden="1" customWidth="1"/>
    <col min="11209" max="11219" width="10.7109375" style="1692" customWidth="1"/>
    <col min="11220" max="11220" width="10.85546875" style="1692" customWidth="1"/>
    <col min="11221" max="11221" width="10.7109375" style="1692" bestFit="1" customWidth="1"/>
    <col min="11222" max="11369" width="9.140625" style="1692"/>
    <col min="11370" max="11370" width="5.85546875" style="1692" customWidth="1"/>
    <col min="11371" max="11371" width="55.42578125" style="1692" bestFit="1" customWidth="1"/>
    <col min="11372" max="11464" width="9.140625" style="1692" hidden="1" customWidth="1"/>
    <col min="11465" max="11475" width="10.7109375" style="1692" customWidth="1"/>
    <col min="11476" max="11476" width="10.85546875" style="1692" customWidth="1"/>
    <col min="11477" max="11477" width="10.7109375" style="1692" bestFit="1" customWidth="1"/>
    <col min="11478" max="11625" width="9.140625" style="1692"/>
    <col min="11626" max="11626" width="5.85546875" style="1692" customWidth="1"/>
    <col min="11627" max="11627" width="55.42578125" style="1692" bestFit="1" customWidth="1"/>
    <col min="11628" max="11720" width="9.140625" style="1692" hidden="1" customWidth="1"/>
    <col min="11721" max="11731" width="10.7109375" style="1692" customWidth="1"/>
    <col min="11732" max="11732" width="10.85546875" style="1692" customWidth="1"/>
    <col min="11733" max="11733" width="10.7109375" style="1692" bestFit="1" customWidth="1"/>
    <col min="11734" max="11881" width="9.140625" style="1692"/>
    <col min="11882" max="11882" width="5.85546875" style="1692" customWidth="1"/>
    <col min="11883" max="11883" width="55.42578125" style="1692" bestFit="1" customWidth="1"/>
    <col min="11884" max="11976" width="9.140625" style="1692" hidden="1" customWidth="1"/>
    <col min="11977" max="11987" width="10.7109375" style="1692" customWidth="1"/>
    <col min="11988" max="11988" width="10.85546875" style="1692" customWidth="1"/>
    <col min="11989" max="11989" width="10.7109375" style="1692" bestFit="1" customWidth="1"/>
    <col min="11990" max="12137" width="9.140625" style="1692"/>
    <col min="12138" max="12138" width="5.85546875" style="1692" customWidth="1"/>
    <col min="12139" max="12139" width="55.42578125" style="1692" bestFit="1" customWidth="1"/>
    <col min="12140" max="12232" width="9.140625" style="1692" hidden="1" customWidth="1"/>
    <col min="12233" max="12243" width="10.7109375" style="1692" customWidth="1"/>
    <col min="12244" max="12244" width="10.85546875" style="1692" customWidth="1"/>
    <col min="12245" max="12245" width="10.7109375" style="1692" bestFit="1" customWidth="1"/>
    <col min="12246" max="12393" width="9.140625" style="1692"/>
    <col min="12394" max="12394" width="5.85546875" style="1692" customWidth="1"/>
    <col min="12395" max="12395" width="55.42578125" style="1692" bestFit="1" customWidth="1"/>
    <col min="12396" max="12488" width="9.140625" style="1692" hidden="1" customWidth="1"/>
    <col min="12489" max="12499" width="10.7109375" style="1692" customWidth="1"/>
    <col min="12500" max="12500" width="10.85546875" style="1692" customWidth="1"/>
    <col min="12501" max="12501" width="10.7109375" style="1692" bestFit="1" customWidth="1"/>
    <col min="12502" max="12649" width="9.140625" style="1692"/>
    <col min="12650" max="12650" width="5.85546875" style="1692" customWidth="1"/>
    <col min="12651" max="12651" width="55.42578125" style="1692" bestFit="1" customWidth="1"/>
    <col min="12652" max="12744" width="9.140625" style="1692" hidden="1" customWidth="1"/>
    <col min="12745" max="12755" width="10.7109375" style="1692" customWidth="1"/>
    <col min="12756" max="12756" width="10.85546875" style="1692" customWidth="1"/>
    <col min="12757" max="12757" width="10.7109375" style="1692" bestFit="1" customWidth="1"/>
    <col min="12758" max="12905" width="9.140625" style="1692"/>
    <col min="12906" max="12906" width="5.85546875" style="1692" customWidth="1"/>
    <col min="12907" max="12907" width="55.42578125" style="1692" bestFit="1" customWidth="1"/>
    <col min="12908" max="13000" width="9.140625" style="1692" hidden="1" customWidth="1"/>
    <col min="13001" max="13011" width="10.7109375" style="1692" customWidth="1"/>
    <col min="13012" max="13012" width="10.85546875" style="1692" customWidth="1"/>
    <col min="13013" max="13013" width="10.7109375" style="1692" bestFit="1" customWidth="1"/>
    <col min="13014" max="13161" width="9.140625" style="1692"/>
    <col min="13162" max="13162" width="5.85546875" style="1692" customWidth="1"/>
    <col min="13163" max="13163" width="55.42578125" style="1692" bestFit="1" customWidth="1"/>
    <col min="13164" max="13256" width="9.140625" style="1692" hidden="1" customWidth="1"/>
    <col min="13257" max="13267" width="10.7109375" style="1692" customWidth="1"/>
    <col min="13268" max="13268" width="10.85546875" style="1692" customWidth="1"/>
    <col min="13269" max="13269" width="10.7109375" style="1692" bestFit="1" customWidth="1"/>
    <col min="13270" max="13417" width="9.140625" style="1692"/>
    <col min="13418" max="13418" width="5.85546875" style="1692" customWidth="1"/>
    <col min="13419" max="13419" width="55.42578125" style="1692" bestFit="1" customWidth="1"/>
    <col min="13420" max="13512" width="9.140625" style="1692" hidden="1" customWidth="1"/>
    <col min="13513" max="13523" width="10.7109375" style="1692" customWidth="1"/>
    <col min="13524" max="13524" width="10.85546875" style="1692" customWidth="1"/>
    <col min="13525" max="13525" width="10.7109375" style="1692" bestFit="1" customWidth="1"/>
    <col min="13526" max="13673" width="9.140625" style="1692"/>
    <col min="13674" max="13674" width="5.85546875" style="1692" customWidth="1"/>
    <col min="13675" max="13675" width="55.42578125" style="1692" bestFit="1" customWidth="1"/>
    <col min="13676" max="13768" width="9.140625" style="1692" hidden="1" customWidth="1"/>
    <col min="13769" max="13779" width="10.7109375" style="1692" customWidth="1"/>
    <col min="13780" max="13780" width="10.85546875" style="1692" customWidth="1"/>
    <col min="13781" max="13781" width="10.7109375" style="1692" bestFit="1" customWidth="1"/>
    <col min="13782" max="13929" width="9.140625" style="1692"/>
    <col min="13930" max="13930" width="5.85546875" style="1692" customWidth="1"/>
    <col min="13931" max="13931" width="55.42578125" style="1692" bestFit="1" customWidth="1"/>
    <col min="13932" max="14024" width="9.140625" style="1692" hidden="1" customWidth="1"/>
    <col min="14025" max="14035" width="10.7109375" style="1692" customWidth="1"/>
    <col min="14036" max="14036" width="10.85546875" style="1692" customWidth="1"/>
    <col min="14037" max="14037" width="10.7109375" style="1692" bestFit="1" customWidth="1"/>
    <col min="14038" max="14185" width="9.140625" style="1692"/>
    <col min="14186" max="14186" width="5.85546875" style="1692" customWidth="1"/>
    <col min="14187" max="14187" width="55.42578125" style="1692" bestFit="1" customWidth="1"/>
    <col min="14188" max="14280" width="9.140625" style="1692" hidden="1" customWidth="1"/>
    <col min="14281" max="14291" width="10.7109375" style="1692" customWidth="1"/>
    <col min="14292" max="14292" width="10.85546875" style="1692" customWidth="1"/>
    <col min="14293" max="14293" width="10.7109375" style="1692" bestFit="1" customWidth="1"/>
    <col min="14294" max="14441" width="9.140625" style="1692"/>
    <col min="14442" max="14442" width="5.85546875" style="1692" customWidth="1"/>
    <col min="14443" max="14443" width="55.42578125" style="1692" bestFit="1" customWidth="1"/>
    <col min="14444" max="14536" width="9.140625" style="1692" hidden="1" customWidth="1"/>
    <col min="14537" max="14547" width="10.7109375" style="1692" customWidth="1"/>
    <col min="14548" max="14548" width="10.85546875" style="1692" customWidth="1"/>
    <col min="14549" max="14549" width="10.7109375" style="1692" bestFit="1" customWidth="1"/>
    <col min="14550" max="14697" width="9.140625" style="1692"/>
    <col min="14698" max="14698" width="5.85546875" style="1692" customWidth="1"/>
    <col min="14699" max="14699" width="55.42578125" style="1692" bestFit="1" customWidth="1"/>
    <col min="14700" max="14792" width="9.140625" style="1692" hidden="1" customWidth="1"/>
    <col min="14793" max="14803" width="10.7109375" style="1692" customWidth="1"/>
    <col min="14804" max="14804" width="10.85546875" style="1692" customWidth="1"/>
    <col min="14805" max="14805" width="10.7109375" style="1692" bestFit="1" customWidth="1"/>
    <col min="14806" max="14953" width="9.140625" style="1692"/>
    <col min="14954" max="14954" width="5.85546875" style="1692" customWidth="1"/>
    <col min="14955" max="14955" width="55.42578125" style="1692" bestFit="1" customWidth="1"/>
    <col min="14956" max="15048" width="9.140625" style="1692" hidden="1" customWidth="1"/>
    <col min="15049" max="15059" width="10.7109375" style="1692" customWidth="1"/>
    <col min="15060" max="15060" width="10.85546875" style="1692" customWidth="1"/>
    <col min="15061" max="15061" width="10.7109375" style="1692" bestFit="1" customWidth="1"/>
    <col min="15062" max="15209" width="9.140625" style="1692"/>
    <col min="15210" max="15210" width="5.85546875" style="1692" customWidth="1"/>
    <col min="15211" max="15211" width="55.42578125" style="1692" bestFit="1" customWidth="1"/>
    <col min="15212" max="15304" width="9.140625" style="1692" hidden="1" customWidth="1"/>
    <col min="15305" max="15315" width="10.7109375" style="1692" customWidth="1"/>
    <col min="15316" max="15316" width="10.85546875" style="1692" customWidth="1"/>
    <col min="15317" max="15317" width="10.7109375" style="1692" bestFit="1" customWidth="1"/>
    <col min="15318" max="15465" width="9.140625" style="1692"/>
    <col min="15466" max="15466" width="5.85546875" style="1692" customWidth="1"/>
    <col min="15467" max="15467" width="55.42578125" style="1692" bestFit="1" customWidth="1"/>
    <col min="15468" max="15560" width="9.140625" style="1692" hidden="1" customWidth="1"/>
    <col min="15561" max="15571" width="10.7109375" style="1692" customWidth="1"/>
    <col min="15572" max="15572" width="10.85546875" style="1692" customWidth="1"/>
    <col min="15573" max="15573" width="10.7109375" style="1692" bestFit="1" customWidth="1"/>
    <col min="15574" max="15721" width="9.140625" style="1692"/>
    <col min="15722" max="15722" width="5.85546875" style="1692" customWidth="1"/>
    <col min="15723" max="15723" width="55.42578125" style="1692" bestFit="1" customWidth="1"/>
    <col min="15724" max="15816" width="9.140625" style="1692" hidden="1" customWidth="1"/>
    <col min="15817" max="15827" width="10.7109375" style="1692" customWidth="1"/>
    <col min="15828" max="15828" width="10.85546875" style="1692" customWidth="1"/>
    <col min="15829" max="15829" width="10.7109375" style="1692" bestFit="1" customWidth="1"/>
    <col min="15830" max="15977" width="9.140625" style="1692"/>
    <col min="15978" max="15978" width="5.85546875" style="1692" customWidth="1"/>
    <col min="15979" max="15979" width="55.42578125" style="1692" bestFit="1" customWidth="1"/>
    <col min="15980" max="16072" width="9.140625" style="1692" hidden="1" customWidth="1"/>
    <col min="16073" max="16083" width="10.7109375" style="1692" customWidth="1"/>
    <col min="16084" max="16084" width="10.85546875" style="1692" customWidth="1"/>
    <col min="16085" max="16085" width="10.7109375" style="1692" bestFit="1" customWidth="1"/>
    <col min="16086" max="16384" width="9.140625" style="1692"/>
  </cols>
  <sheetData>
    <row r="1" spans="1:3" ht="19.5" customHeight="1" x14ac:dyDescent="0.3">
      <c r="A1" s="2765" t="s">
        <v>2675</v>
      </c>
      <c r="B1" s="2766"/>
    </row>
    <row r="2" spans="1:3" hidden="1" x14ac:dyDescent="0.3">
      <c r="A2" s="2767"/>
      <c r="B2" s="2768"/>
    </row>
    <row r="3" spans="1:3" ht="18" thickBot="1" x14ac:dyDescent="0.35">
      <c r="A3" s="2769"/>
      <c r="B3" s="2770"/>
      <c r="C3" s="2771" t="s">
        <v>281</v>
      </c>
    </row>
    <row r="4" spans="1:3" ht="24" customHeight="1" thickTop="1" thickBot="1" x14ac:dyDescent="0.35">
      <c r="A4" s="2651" t="s">
        <v>2502</v>
      </c>
      <c r="B4" s="2651" t="s">
        <v>773</v>
      </c>
      <c r="C4" s="2723" t="s">
        <v>614</v>
      </c>
    </row>
    <row r="5" spans="1:3" ht="18" customHeight="1" thickTop="1" x14ac:dyDescent="0.3">
      <c r="A5" s="2653"/>
      <c r="B5" s="2653"/>
      <c r="C5" s="2654"/>
    </row>
    <row r="6" spans="1:3" ht="18" customHeight="1" x14ac:dyDescent="0.3">
      <c r="A6" s="2655" t="s">
        <v>2508</v>
      </c>
      <c r="B6" s="2655" t="s">
        <v>2511</v>
      </c>
      <c r="C6" s="2687">
        <v>25997.742353525689</v>
      </c>
    </row>
    <row r="7" spans="1:3" ht="18" customHeight="1" x14ac:dyDescent="0.3">
      <c r="A7" s="2658" t="s">
        <v>2600</v>
      </c>
      <c r="B7" s="2662" t="s">
        <v>965</v>
      </c>
      <c r="C7" s="2693">
        <v>139.43307941600926</v>
      </c>
    </row>
    <row r="8" spans="1:3" ht="18" customHeight="1" x14ac:dyDescent="0.3">
      <c r="A8" s="2658" t="s">
        <v>2601</v>
      </c>
      <c r="B8" s="2662" t="s">
        <v>2670</v>
      </c>
      <c r="C8" s="2693">
        <v>17293.581511028991</v>
      </c>
    </row>
    <row r="9" spans="1:3" ht="18" customHeight="1" x14ac:dyDescent="0.3">
      <c r="A9" s="2658" t="s">
        <v>2603</v>
      </c>
      <c r="B9" s="2662" t="s">
        <v>2671</v>
      </c>
      <c r="C9" s="2693">
        <v>8564.7277630806875</v>
      </c>
    </row>
    <row r="10" spans="1:3" ht="18" customHeight="1" x14ac:dyDescent="0.3">
      <c r="A10" s="2658"/>
      <c r="B10" s="2658"/>
      <c r="C10" s="2724"/>
    </row>
    <row r="11" spans="1:3" ht="18" customHeight="1" x14ac:dyDescent="0.3">
      <c r="A11" s="2655" t="s">
        <v>2510</v>
      </c>
      <c r="B11" s="2655" t="s">
        <v>2521</v>
      </c>
      <c r="C11" s="2687">
        <v>70389.985848000884</v>
      </c>
    </row>
    <row r="12" spans="1:3" ht="18" customHeight="1" x14ac:dyDescent="0.3">
      <c r="A12" s="2658"/>
      <c r="B12" s="2658"/>
      <c r="C12" s="2724"/>
    </row>
    <row r="13" spans="1:3" ht="18" customHeight="1" x14ac:dyDescent="0.3">
      <c r="A13" s="2655" t="s">
        <v>2520</v>
      </c>
      <c r="B13" s="2655" t="s">
        <v>1057</v>
      </c>
      <c r="C13" s="2687">
        <v>10433.687958655815</v>
      </c>
    </row>
    <row r="14" spans="1:3" ht="18" customHeight="1" x14ac:dyDescent="0.3">
      <c r="A14" s="2658"/>
      <c r="B14" s="2658"/>
      <c r="C14" s="2724"/>
    </row>
    <row r="15" spans="1:3" ht="18" customHeight="1" x14ac:dyDescent="0.3">
      <c r="A15" s="2655" t="s">
        <v>2522</v>
      </c>
      <c r="B15" s="2655" t="s">
        <v>2524</v>
      </c>
      <c r="C15" s="2687">
        <v>117939.42168139492</v>
      </c>
    </row>
    <row r="16" spans="1:3" ht="18" customHeight="1" x14ac:dyDescent="0.3">
      <c r="A16" s="2658"/>
      <c r="B16" s="2662"/>
      <c r="C16" s="2724"/>
    </row>
    <row r="17" spans="1:3" ht="18" customHeight="1" x14ac:dyDescent="0.3">
      <c r="A17" s="2655" t="s">
        <v>2523</v>
      </c>
      <c r="B17" s="2655" t="s">
        <v>2526</v>
      </c>
      <c r="C17" s="2687">
        <v>7832.6746480406173</v>
      </c>
    </row>
    <row r="18" spans="1:3" ht="18" customHeight="1" x14ac:dyDescent="0.3">
      <c r="A18" s="2658"/>
      <c r="B18" s="2658"/>
      <c r="C18" s="2724"/>
    </row>
    <row r="19" spans="1:3" ht="18" customHeight="1" x14ac:dyDescent="0.3">
      <c r="A19" s="2655" t="s">
        <v>2525</v>
      </c>
      <c r="B19" s="2655" t="s">
        <v>2605</v>
      </c>
      <c r="C19" s="2687">
        <v>0</v>
      </c>
    </row>
    <row r="20" spans="1:3" ht="18" customHeight="1" x14ac:dyDescent="0.3">
      <c r="A20" s="2658"/>
      <c r="B20" s="2658"/>
      <c r="C20" s="2724"/>
    </row>
    <row r="21" spans="1:3" ht="18" customHeight="1" x14ac:dyDescent="0.3">
      <c r="A21" s="2655" t="s">
        <v>2527</v>
      </c>
      <c r="B21" s="2655" t="s">
        <v>2530</v>
      </c>
      <c r="C21" s="2687">
        <v>9475.7309279401416</v>
      </c>
    </row>
    <row r="22" spans="1:3" ht="18" customHeight="1" x14ac:dyDescent="0.3">
      <c r="A22" s="2658"/>
      <c r="B22" s="2658"/>
      <c r="C22" s="2724"/>
    </row>
    <row r="23" spans="1:3" ht="18" customHeight="1" x14ac:dyDescent="0.3">
      <c r="A23" s="2655" t="s">
        <v>2529</v>
      </c>
      <c r="B23" s="2655" t="s">
        <v>2532</v>
      </c>
      <c r="C23" s="2687">
        <v>17274.871406486014</v>
      </c>
    </row>
    <row r="24" spans="1:3" ht="18" customHeight="1" x14ac:dyDescent="0.3">
      <c r="A24" s="2658"/>
      <c r="B24" s="2658"/>
      <c r="C24" s="2693"/>
    </row>
    <row r="25" spans="1:3" ht="18" customHeight="1" x14ac:dyDescent="0.3">
      <c r="A25" s="2655"/>
      <c r="B25" s="2655" t="s">
        <v>1060</v>
      </c>
      <c r="C25" s="2687">
        <v>259344.11482404408</v>
      </c>
    </row>
    <row r="26" spans="1:3" thickBot="1" x14ac:dyDescent="0.35">
      <c r="A26" s="2663"/>
      <c r="B26" s="2663"/>
      <c r="C26" s="2727"/>
    </row>
    <row r="27" spans="1:3" ht="18" hidden="1" thickTop="1" x14ac:dyDescent="0.3">
      <c r="A27" s="2728"/>
      <c r="B27" s="2728"/>
      <c r="C27" s="2729"/>
    </row>
    <row r="28" spans="1:3" thickTop="1" x14ac:dyDescent="0.3">
      <c r="A28" s="2649"/>
      <c r="B28" s="2649"/>
      <c r="C28" s="2772"/>
    </row>
    <row r="29" spans="1:3" thickBot="1" x14ac:dyDescent="0.35">
      <c r="A29" s="2773"/>
      <c r="B29" s="2773"/>
      <c r="C29" s="2771" t="s">
        <v>281</v>
      </c>
    </row>
    <row r="30" spans="1:3" ht="24" customHeight="1" thickTop="1" thickBot="1" x14ac:dyDescent="0.35">
      <c r="A30" s="2651" t="s">
        <v>2502</v>
      </c>
      <c r="B30" s="2651" t="s">
        <v>791</v>
      </c>
      <c r="C30" s="2723" t="str">
        <f>C4</f>
        <v>2023Q1</v>
      </c>
    </row>
    <row r="31" spans="1:3" ht="18" customHeight="1" thickTop="1" x14ac:dyDescent="0.3">
      <c r="A31" s="2658"/>
      <c r="B31" s="2667"/>
      <c r="C31" s="2693"/>
    </row>
    <row r="32" spans="1:3" ht="18" customHeight="1" x14ac:dyDescent="0.3">
      <c r="A32" s="2655" t="s">
        <v>2533</v>
      </c>
      <c r="B32" s="2655" t="s">
        <v>2521</v>
      </c>
      <c r="C32" s="2687">
        <v>757.56369304999998</v>
      </c>
    </row>
    <row r="33" spans="1:77" ht="18" customHeight="1" x14ac:dyDescent="0.3">
      <c r="A33" s="2658"/>
      <c r="B33" s="2658"/>
      <c r="C33" s="2732"/>
    </row>
    <row r="34" spans="1:77" ht="18" customHeight="1" x14ac:dyDescent="0.3">
      <c r="A34" s="2655" t="s">
        <v>2534</v>
      </c>
      <c r="B34" s="2655" t="s">
        <v>1057</v>
      </c>
      <c r="C34" s="2687">
        <v>299.11271998630099</v>
      </c>
    </row>
    <row r="35" spans="1:77" ht="18" customHeight="1" x14ac:dyDescent="0.3">
      <c r="A35" s="2658"/>
      <c r="B35" s="2668"/>
      <c r="C35" s="2732"/>
    </row>
    <row r="36" spans="1:77" ht="18" customHeight="1" x14ac:dyDescent="0.3">
      <c r="A36" s="2655" t="s">
        <v>2542</v>
      </c>
      <c r="B36" s="2655" t="s">
        <v>2526</v>
      </c>
      <c r="C36" s="2687">
        <v>175839.98444555083</v>
      </c>
    </row>
    <row r="37" spans="1:77" ht="18" customHeight="1" x14ac:dyDescent="0.3">
      <c r="A37" s="2658"/>
      <c r="B37" s="2658"/>
      <c r="C37" s="2732"/>
    </row>
    <row r="38" spans="1:77" ht="18" customHeight="1" x14ac:dyDescent="0.3">
      <c r="A38" s="2655" t="s">
        <v>2547</v>
      </c>
      <c r="B38" s="2655" t="s">
        <v>2612</v>
      </c>
      <c r="C38" s="2687">
        <v>2.6000001000000004E-7</v>
      </c>
    </row>
    <row r="39" spans="1:77" ht="18" customHeight="1" x14ac:dyDescent="0.3">
      <c r="A39" s="2658"/>
      <c r="B39" s="2658"/>
      <c r="C39" s="2732"/>
    </row>
    <row r="40" spans="1:77" ht="18" customHeight="1" x14ac:dyDescent="0.3">
      <c r="A40" s="2655" t="s">
        <v>2549</v>
      </c>
      <c r="B40" s="2655" t="s">
        <v>2555</v>
      </c>
      <c r="C40" s="2687">
        <v>8077.4267168267688</v>
      </c>
    </row>
    <row r="41" spans="1:77" ht="18" customHeight="1" x14ac:dyDescent="0.3">
      <c r="A41" s="2658"/>
      <c r="B41" s="2658"/>
      <c r="C41" s="2732"/>
    </row>
    <row r="42" spans="1:77" ht="18" customHeight="1" x14ac:dyDescent="0.3">
      <c r="A42" s="2655" t="s">
        <v>2551</v>
      </c>
      <c r="B42" s="2655" t="s">
        <v>2524</v>
      </c>
      <c r="C42" s="2687">
        <v>74370.027243888035</v>
      </c>
    </row>
    <row r="43" spans="1:77" ht="16.5" x14ac:dyDescent="0.3">
      <c r="A43" s="2658"/>
      <c r="B43" s="2658"/>
      <c r="C43" s="2693"/>
    </row>
    <row r="44" spans="1:77" ht="16.5" x14ac:dyDescent="0.3">
      <c r="A44" s="2655"/>
      <c r="B44" s="2655" t="s">
        <v>1071</v>
      </c>
      <c r="C44" s="2687">
        <v>259344.11481956195</v>
      </c>
    </row>
    <row r="45" spans="1:77" thickBot="1" x14ac:dyDescent="0.35">
      <c r="A45" s="2669"/>
      <c r="B45" s="2669"/>
      <c r="C45" s="2714"/>
    </row>
    <row r="46" spans="1:77" s="2776" customFormat="1" ht="15" customHeight="1" thickTop="1" x14ac:dyDescent="0.2">
      <c r="A46" s="2774" t="s">
        <v>173</v>
      </c>
      <c r="B46" s="2775"/>
      <c r="M46" s="2778"/>
      <c r="N46" s="2778"/>
      <c r="O46" s="2778"/>
      <c r="P46" s="2778"/>
      <c r="Q46" s="2778"/>
      <c r="R46" s="2778"/>
      <c r="S46" s="2778"/>
      <c r="T46" s="2778"/>
      <c r="U46" s="2778"/>
      <c r="V46" s="2778"/>
      <c r="W46" s="2778"/>
      <c r="X46" s="2778"/>
      <c r="Y46" s="2778"/>
      <c r="Z46" s="2778"/>
      <c r="AA46" s="2778"/>
      <c r="AB46" s="2778"/>
      <c r="AC46" s="2778"/>
      <c r="AD46" s="2778"/>
      <c r="AE46" s="2778"/>
      <c r="AF46" s="2778"/>
      <c r="AG46" s="2778"/>
      <c r="AH46" s="2778"/>
      <c r="AI46" s="2778"/>
      <c r="AJ46" s="2778"/>
      <c r="AK46" s="2778"/>
      <c r="AL46" s="2778"/>
      <c r="AM46" s="2778"/>
      <c r="AN46" s="2778"/>
      <c r="AO46" s="2778"/>
      <c r="AP46" s="2778"/>
      <c r="AQ46" s="2778"/>
      <c r="AR46" s="2778"/>
      <c r="AS46" s="2778"/>
      <c r="AT46" s="2778"/>
      <c r="AU46" s="2778"/>
      <c r="AV46" s="2778"/>
      <c r="AW46" s="2778"/>
      <c r="AX46" s="2778"/>
      <c r="AY46" s="2778"/>
      <c r="AZ46" s="2778"/>
      <c r="BA46" s="2778"/>
      <c r="BB46" s="2778"/>
      <c r="BC46" s="2778"/>
      <c r="BD46" s="2778"/>
      <c r="BE46" s="2778"/>
      <c r="BF46" s="2778"/>
      <c r="BG46" s="2778"/>
      <c r="BH46" s="2778"/>
      <c r="BI46" s="2778"/>
      <c r="BJ46" s="2777"/>
      <c r="BK46" s="2777"/>
      <c r="BL46" s="2777"/>
      <c r="BM46" s="2777"/>
      <c r="BN46" s="2777"/>
      <c r="BO46" s="2777"/>
      <c r="BP46" s="2777"/>
      <c r="BQ46" s="2777"/>
      <c r="BR46" s="2777"/>
      <c r="BS46" s="2777"/>
      <c r="BT46" s="2777"/>
      <c r="BU46" s="2777"/>
      <c r="BV46" s="2777"/>
      <c r="BW46" s="2777"/>
      <c r="BX46" s="2777"/>
      <c r="BY46" s="2777"/>
    </row>
    <row r="47" spans="1:77" s="2776" customFormat="1" ht="15" customHeight="1" x14ac:dyDescent="0.2">
      <c r="A47" s="2774" t="s">
        <v>2672</v>
      </c>
      <c r="B47" s="2775"/>
      <c r="M47" s="2777"/>
      <c r="N47" s="2777"/>
      <c r="O47" s="2777"/>
      <c r="P47" s="2777"/>
      <c r="Q47" s="2777"/>
      <c r="R47" s="2777"/>
      <c r="S47" s="2777"/>
      <c r="T47" s="2777"/>
      <c r="U47" s="2777"/>
      <c r="V47" s="2777"/>
      <c r="W47" s="2777"/>
      <c r="X47" s="2777"/>
      <c r="Y47" s="2777"/>
      <c r="Z47" s="2777"/>
      <c r="AA47" s="2777"/>
      <c r="AB47" s="2777"/>
      <c r="AC47" s="2777"/>
      <c r="AD47" s="2777"/>
      <c r="AE47" s="2777"/>
      <c r="AF47" s="2777"/>
      <c r="AG47" s="2777"/>
      <c r="AH47" s="2777"/>
      <c r="AI47" s="2777"/>
      <c r="AJ47" s="2777"/>
      <c r="AK47" s="2777"/>
      <c r="AL47" s="2777"/>
      <c r="AM47" s="2777"/>
      <c r="AN47" s="2777"/>
      <c r="AO47" s="2777"/>
      <c r="AP47" s="2777"/>
      <c r="AQ47" s="2777"/>
      <c r="AR47" s="2777"/>
      <c r="AS47" s="2777"/>
      <c r="AT47" s="2777"/>
      <c r="AU47" s="2777"/>
      <c r="AV47" s="2777"/>
      <c r="AW47" s="2777"/>
      <c r="AX47" s="2777"/>
      <c r="AY47" s="2777"/>
      <c r="AZ47" s="2777"/>
      <c r="BA47" s="2777"/>
      <c r="BB47" s="2777"/>
      <c r="BC47" s="2777"/>
      <c r="BD47" s="2777"/>
      <c r="BE47" s="2777"/>
      <c r="BF47" s="2777"/>
      <c r="BG47" s="2777"/>
      <c r="BH47" s="2777"/>
      <c r="BI47" s="2777"/>
      <c r="BJ47" s="2777"/>
      <c r="BK47" s="2777"/>
      <c r="BL47" s="2777"/>
      <c r="BM47" s="2777"/>
      <c r="BN47" s="2777"/>
      <c r="BO47" s="2777"/>
      <c r="BP47" s="2777"/>
      <c r="BQ47" s="2777"/>
      <c r="BR47" s="2777"/>
      <c r="BS47" s="2777"/>
      <c r="BT47" s="2777"/>
      <c r="BU47" s="2777"/>
      <c r="BV47" s="2777"/>
      <c r="BW47" s="2777"/>
      <c r="BX47" s="2777"/>
      <c r="BY47" s="2777"/>
    </row>
    <row r="48" spans="1:77" s="2776" customFormat="1" ht="15" customHeight="1" x14ac:dyDescent="0.2">
      <c r="A48" s="2774" t="s">
        <v>2674</v>
      </c>
    </row>
  </sheetData>
  <pageMargins left="0.75" right="0.7" top="0.75" bottom="0.75" header="0.3" footer="0.3"/>
  <pageSetup paperSize="9" scale="8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DE54"/>
  <sheetViews>
    <sheetView showGridLines="0" zoomScale="85" zoomScaleNormal="85" zoomScaleSheetLayoutView="90" workbookViewId="0">
      <pane xSplit="1" ySplit="3" topLeftCell="B10" activePane="bottomRight" state="frozen"/>
      <selection activeCell="A38" sqref="A38"/>
      <selection pane="topRight" activeCell="A38" sqref="A38"/>
      <selection pane="bottomLeft" activeCell="A38" sqref="A38"/>
      <selection pane="bottomRight" activeCell="A38" sqref="A38"/>
    </sheetView>
  </sheetViews>
  <sheetFormatPr defaultColWidth="9.140625" defaultRowHeight="15.75" customHeight="1" x14ac:dyDescent="0.25"/>
  <cols>
    <col min="1" max="1" width="59" style="631" customWidth="1"/>
    <col min="2" max="2" width="17.140625" style="631" bestFit="1" customWidth="1"/>
    <col min="3" max="16384" width="9.140625" style="631"/>
  </cols>
  <sheetData>
    <row r="1" spans="1:2" s="624" customFormat="1" ht="24" customHeight="1" x14ac:dyDescent="0.3">
      <c r="A1" s="2673" t="s">
        <v>2676</v>
      </c>
    </row>
    <row r="2" spans="1:2" ht="13.5" customHeight="1" thickBot="1" x14ac:dyDescent="0.3">
      <c r="A2" s="2760"/>
      <c r="B2" s="1969" t="s">
        <v>281</v>
      </c>
    </row>
    <row r="3" spans="1:2" s="2201" customFormat="1" ht="21" customHeight="1" thickTop="1" thickBot="1" x14ac:dyDescent="0.35">
      <c r="A3" s="2761"/>
      <c r="B3" s="2652" t="s">
        <v>614</v>
      </c>
    </row>
    <row r="4" spans="1:2" ht="15" customHeight="1" thickTop="1" x14ac:dyDescent="0.25">
      <c r="A4" s="2750"/>
      <c r="B4" s="2762"/>
    </row>
    <row r="5" spans="1:2" ht="22.5" customHeight="1" x14ac:dyDescent="0.25">
      <c r="A5" s="2749" t="s">
        <v>2567</v>
      </c>
      <c r="B5" s="2710">
        <v>440462.2868479453</v>
      </c>
    </row>
    <row r="6" spans="1:2" ht="22.5" customHeight="1" x14ac:dyDescent="0.25">
      <c r="A6" s="2779" t="s">
        <v>2677</v>
      </c>
      <c r="B6" s="2780">
        <v>22409745.937010631</v>
      </c>
    </row>
    <row r="7" spans="1:2" ht="22.5" customHeight="1" x14ac:dyDescent="0.25">
      <c r="A7" s="2779" t="s">
        <v>2678</v>
      </c>
      <c r="B7" s="2780">
        <v>-21969283.650162701</v>
      </c>
    </row>
    <row r="8" spans="1:2" ht="16.5" x14ac:dyDescent="0.25">
      <c r="A8" s="2750"/>
      <c r="B8" s="2751"/>
    </row>
    <row r="9" spans="1:2" ht="22.5" customHeight="1" x14ac:dyDescent="0.25">
      <c r="A9" s="2749" t="s">
        <v>2679</v>
      </c>
      <c r="B9" s="2708">
        <v>616946.47993419541</v>
      </c>
    </row>
    <row r="10" spans="1:2" ht="22.5" customHeight="1" x14ac:dyDescent="0.25">
      <c r="A10" s="2749"/>
      <c r="B10" s="2751"/>
    </row>
    <row r="11" spans="1:2" ht="22.5" customHeight="1" x14ac:dyDescent="0.25">
      <c r="A11" s="2749" t="s">
        <v>2640</v>
      </c>
      <c r="B11" s="2708">
        <v>44604.802144283349</v>
      </c>
    </row>
    <row r="12" spans="1:2" ht="22.5" customHeight="1" x14ac:dyDescent="0.25">
      <c r="A12" s="2779" t="s">
        <v>2680</v>
      </c>
      <c r="B12" s="2751">
        <v>44681.121395103102</v>
      </c>
    </row>
    <row r="13" spans="1:2" ht="22.5" customHeight="1" x14ac:dyDescent="0.25">
      <c r="A13" s="2779" t="s">
        <v>2681</v>
      </c>
      <c r="B13" s="2751">
        <v>-76.319250819752995</v>
      </c>
    </row>
    <row r="14" spans="1:2" ht="13.5" customHeight="1" x14ac:dyDescent="0.25">
      <c r="A14" s="2750"/>
      <c r="B14" s="2708"/>
    </row>
    <row r="15" spans="1:2" ht="22.5" customHeight="1" x14ac:dyDescent="0.25">
      <c r="A15" s="2749" t="s">
        <v>2643</v>
      </c>
      <c r="B15" s="2708">
        <v>216047.05801573352</v>
      </c>
    </row>
    <row r="16" spans="1:2" ht="22.5" customHeight="1" x14ac:dyDescent="0.25">
      <c r="A16" s="2750"/>
      <c r="B16" s="2751"/>
    </row>
    <row r="17" spans="1:6" ht="22.5" customHeight="1" x14ac:dyDescent="0.25">
      <c r="A17" s="2749" t="s">
        <v>2682</v>
      </c>
      <c r="B17" s="2708">
        <v>0</v>
      </c>
    </row>
    <row r="18" spans="1:6" ht="22.5" customHeight="1" x14ac:dyDescent="0.25">
      <c r="A18" s="2750"/>
      <c r="B18" s="2751"/>
    </row>
    <row r="19" spans="1:6" ht="22.5" customHeight="1" x14ac:dyDescent="0.25">
      <c r="A19" s="2749" t="s">
        <v>2683</v>
      </c>
      <c r="B19" s="2708">
        <v>1176.5056950206795</v>
      </c>
    </row>
    <row r="20" spans="1:6" ht="13.5" customHeight="1" x14ac:dyDescent="0.25">
      <c r="A20" s="2750"/>
      <c r="B20" s="2708"/>
    </row>
    <row r="21" spans="1:6" ht="22.5" customHeight="1" x14ac:dyDescent="0.25">
      <c r="A21" s="2749" t="s">
        <v>1057</v>
      </c>
      <c r="B21" s="2708">
        <v>140935.98983102525</v>
      </c>
    </row>
    <row r="22" spans="1:6" ht="13.5" customHeight="1" x14ac:dyDescent="0.25">
      <c r="A22" s="2750"/>
      <c r="B22" s="2751"/>
    </row>
    <row r="23" spans="1:6" ht="22.5" customHeight="1" x14ac:dyDescent="0.25">
      <c r="A23" s="2749" t="s">
        <v>2528</v>
      </c>
      <c r="B23" s="2708">
        <v>0.63447825198284991</v>
      </c>
    </row>
    <row r="24" spans="1:6" ht="13.5" customHeight="1" x14ac:dyDescent="0.25">
      <c r="A24" s="2750"/>
      <c r="B24" s="2751"/>
    </row>
    <row r="25" spans="1:6" ht="22.5" customHeight="1" x14ac:dyDescent="0.25">
      <c r="A25" s="2749" t="s">
        <v>2526</v>
      </c>
      <c r="B25" s="2708">
        <v>167827.45715178346</v>
      </c>
    </row>
    <row r="26" spans="1:6" ht="13.5" customHeight="1" x14ac:dyDescent="0.25">
      <c r="A26" s="2750"/>
      <c r="B26" s="2751"/>
    </row>
    <row r="27" spans="1:6" ht="22.5" customHeight="1" x14ac:dyDescent="0.25">
      <c r="A27" s="2749" t="s">
        <v>2524</v>
      </c>
      <c r="B27" s="2708">
        <v>7577823.3002170036</v>
      </c>
    </row>
    <row r="28" spans="1:6" ht="13.5" customHeight="1" x14ac:dyDescent="0.25">
      <c r="A28" s="2750"/>
      <c r="B28" s="2751"/>
    </row>
    <row r="29" spans="1:6" ht="22.5" customHeight="1" x14ac:dyDescent="0.25">
      <c r="A29" s="2749" t="s">
        <v>2585</v>
      </c>
      <c r="B29" s="2708">
        <v>-6569703.260430919</v>
      </c>
    </row>
    <row r="30" spans="1:6" ht="13.5" customHeight="1" thickBot="1" x14ac:dyDescent="0.3">
      <c r="A30" s="2756"/>
      <c r="B30" s="2757"/>
      <c r="C30" s="2781"/>
      <c r="D30" s="666"/>
      <c r="E30" s="666"/>
      <c r="F30" s="666"/>
    </row>
    <row r="31" spans="1:6" s="2782" customFormat="1" ht="37.5" customHeight="1" thickTop="1" x14ac:dyDescent="0.25">
      <c r="A31" s="3256" t="s">
        <v>2684</v>
      </c>
      <c r="B31" s="3256"/>
      <c r="C31" s="3257"/>
      <c r="D31" s="3257"/>
      <c r="E31" s="3257"/>
      <c r="F31" s="3257"/>
    </row>
    <row r="32" spans="1:6" s="2782" customFormat="1" x14ac:dyDescent="0.25">
      <c r="A32" s="3257" t="s">
        <v>2685</v>
      </c>
      <c r="B32" s="3257"/>
      <c r="C32" s="3257"/>
      <c r="D32" s="3257"/>
      <c r="E32" s="3257"/>
      <c r="F32" s="3257"/>
    </row>
    <row r="33" spans="1:2" s="2782" customFormat="1" ht="15.75" customHeight="1" x14ac:dyDescent="0.25">
      <c r="A33" s="2783" t="s">
        <v>173</v>
      </c>
    </row>
    <row r="34" spans="1:2" s="2782" customFormat="1" ht="18" customHeight="1" x14ac:dyDescent="0.25">
      <c r="A34" s="2783" t="s">
        <v>290</v>
      </c>
    </row>
    <row r="35" spans="1:2" s="2759" customFormat="1" ht="18.95" customHeight="1" x14ac:dyDescent="0.25">
      <c r="A35" s="1428"/>
      <c r="B35" s="2758"/>
    </row>
    <row r="36" spans="1:2" ht="12.75" customHeight="1" x14ac:dyDescent="0.25"/>
    <row r="37" spans="1:2" ht="12.75" customHeight="1" x14ac:dyDescent="0.25"/>
    <row r="54" spans="109:109" ht="15.75" customHeight="1" x14ac:dyDescent="0.25">
      <c r="DE54" s="631" t="s">
        <v>306</v>
      </c>
    </row>
  </sheetData>
  <mergeCells count="2">
    <mergeCell ref="A31:F31"/>
    <mergeCell ref="A32:F32"/>
  </mergeCells>
  <pageMargins left="0.75" right="0.75" top="0.75" bottom="0.75" header="0.3" footer="0"/>
  <pageSetup paperSize="9" scale="76" fitToHeight="0" orientation="portrait" r:id="rId1"/>
  <headerFooter scaleWithDoc="0"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DE54"/>
  <sheetViews>
    <sheetView showGridLines="0" zoomScale="85" zoomScaleNormal="85" zoomScaleSheetLayoutView="90" workbookViewId="0">
      <pane xSplit="1" ySplit="3" topLeftCell="B13" activePane="bottomRight" state="frozen"/>
      <selection activeCell="A38" sqref="A38"/>
      <selection pane="topRight" activeCell="A38" sqref="A38"/>
      <selection pane="bottomLeft" activeCell="A38" sqref="A38"/>
      <selection pane="bottomRight" activeCell="A38" sqref="A38"/>
    </sheetView>
  </sheetViews>
  <sheetFormatPr defaultColWidth="9.140625" defaultRowHeight="15.75" customHeight="1" x14ac:dyDescent="0.25"/>
  <cols>
    <col min="1" max="1" width="59" style="631" customWidth="1"/>
    <col min="2" max="2" width="16.7109375" style="631" bestFit="1" customWidth="1"/>
    <col min="3" max="16384" width="9.140625" style="631"/>
  </cols>
  <sheetData>
    <row r="1" spans="1:2" s="624" customFormat="1" ht="24" customHeight="1" x14ac:dyDescent="0.3">
      <c r="A1" s="2673" t="s">
        <v>2686</v>
      </c>
    </row>
    <row r="2" spans="1:2" ht="13.5" customHeight="1" thickBot="1" x14ac:dyDescent="0.3">
      <c r="A2" s="2760"/>
      <c r="B2" s="1969" t="s">
        <v>281</v>
      </c>
    </row>
    <row r="3" spans="1:2" s="2201" customFormat="1" ht="21" customHeight="1" thickTop="1" thickBot="1" x14ac:dyDescent="0.35">
      <c r="A3" s="2784"/>
      <c r="B3" s="2785" t="s">
        <v>614</v>
      </c>
    </row>
    <row r="4" spans="1:2" ht="15" customHeight="1" thickTop="1" x14ac:dyDescent="0.25">
      <c r="A4" s="2786"/>
      <c r="B4" s="2787"/>
    </row>
    <row r="5" spans="1:2" ht="22.5" customHeight="1" x14ac:dyDescent="0.25">
      <c r="A5" s="2788" t="s">
        <v>2567</v>
      </c>
      <c r="B5" s="2789">
        <v>1327894.6279486418</v>
      </c>
    </row>
    <row r="6" spans="1:2" ht="22.5" customHeight="1" x14ac:dyDescent="0.25">
      <c r="A6" s="2786" t="s">
        <v>2654</v>
      </c>
      <c r="B6" s="2790">
        <v>23952460.971008752</v>
      </c>
    </row>
    <row r="7" spans="1:2" ht="22.5" customHeight="1" x14ac:dyDescent="0.25">
      <c r="A7" s="2786" t="s">
        <v>2687</v>
      </c>
      <c r="B7" s="2790">
        <v>-22624566.34306011</v>
      </c>
    </row>
    <row r="8" spans="1:2" ht="16.5" x14ac:dyDescent="0.25">
      <c r="A8" s="2786"/>
      <c r="B8" s="2791"/>
    </row>
    <row r="9" spans="1:2" ht="22.5" customHeight="1" x14ac:dyDescent="0.25">
      <c r="A9" s="2788" t="s">
        <v>2688</v>
      </c>
      <c r="B9" s="2789">
        <v>872696.61737071199</v>
      </c>
    </row>
    <row r="10" spans="1:2" ht="22.5" customHeight="1" x14ac:dyDescent="0.25">
      <c r="A10" s="2792" t="s">
        <v>2689</v>
      </c>
      <c r="B10" s="2789">
        <v>185556.12920014039</v>
      </c>
    </row>
    <row r="11" spans="1:2" ht="22.5" customHeight="1" x14ac:dyDescent="0.25">
      <c r="A11" s="2793" t="s">
        <v>2690</v>
      </c>
      <c r="B11" s="2791">
        <v>244180.63867578888</v>
      </c>
    </row>
    <row r="12" spans="1:2" ht="22.5" customHeight="1" x14ac:dyDescent="0.25">
      <c r="A12" s="2793" t="s">
        <v>2691</v>
      </c>
      <c r="B12" s="2791">
        <v>-58624.509475648498</v>
      </c>
    </row>
    <row r="13" spans="1:2" s="1968" customFormat="1" ht="22.5" customHeight="1" x14ac:dyDescent="0.25">
      <c r="A13" s="2792" t="s">
        <v>2692</v>
      </c>
      <c r="B13" s="2789">
        <v>687140.48817057163</v>
      </c>
    </row>
    <row r="14" spans="1:2" ht="13.5" customHeight="1" x14ac:dyDescent="0.25">
      <c r="A14" s="2786"/>
      <c r="B14" s="2791"/>
    </row>
    <row r="15" spans="1:2" ht="22.5" customHeight="1" x14ac:dyDescent="0.25">
      <c r="A15" s="2788" t="s">
        <v>2693</v>
      </c>
      <c r="B15" s="2789">
        <v>46204.098503907</v>
      </c>
    </row>
    <row r="16" spans="1:2" ht="22.5" customHeight="1" x14ac:dyDescent="0.25">
      <c r="A16" s="2786"/>
      <c r="B16" s="2791"/>
    </row>
    <row r="17" spans="1:6" ht="22.5" customHeight="1" x14ac:dyDescent="0.25">
      <c r="A17" s="2788" t="s">
        <v>2682</v>
      </c>
      <c r="B17" s="2789">
        <v>931205.9444992661</v>
      </c>
    </row>
    <row r="18" spans="1:6" ht="22.5" customHeight="1" x14ac:dyDescent="0.25">
      <c r="A18" s="2786"/>
      <c r="B18" s="2791"/>
    </row>
    <row r="19" spans="1:6" ht="22.5" customHeight="1" x14ac:dyDescent="0.25">
      <c r="A19" s="2788" t="s">
        <v>2683</v>
      </c>
      <c r="B19" s="2789">
        <v>12057.517698632486</v>
      </c>
    </row>
    <row r="20" spans="1:6" ht="13.5" customHeight="1" x14ac:dyDescent="0.25">
      <c r="A20" s="2786"/>
      <c r="B20" s="2789"/>
    </row>
    <row r="21" spans="1:6" ht="22.5" customHeight="1" x14ac:dyDescent="0.25">
      <c r="A21" s="2788" t="s">
        <v>1057</v>
      </c>
      <c r="B21" s="2789">
        <v>21691.581114801662</v>
      </c>
    </row>
    <row r="22" spans="1:6" ht="13.5" customHeight="1" x14ac:dyDescent="0.25">
      <c r="A22" s="2786"/>
      <c r="B22" s="2789"/>
    </row>
    <row r="23" spans="1:6" ht="22.5" customHeight="1" x14ac:dyDescent="0.25">
      <c r="A23" s="2788" t="s">
        <v>2528</v>
      </c>
      <c r="B23" s="2789">
        <v>1969.641670148286</v>
      </c>
    </row>
    <row r="24" spans="1:6" ht="13.5" customHeight="1" x14ac:dyDescent="0.25">
      <c r="A24" s="2786"/>
      <c r="B24" s="2789"/>
    </row>
    <row r="25" spans="1:6" ht="22.5" customHeight="1" x14ac:dyDescent="0.25">
      <c r="A25" s="2788" t="s">
        <v>2526</v>
      </c>
      <c r="B25" s="2789">
        <v>167744.95530500499</v>
      </c>
    </row>
    <row r="26" spans="1:6" ht="13.5" customHeight="1" x14ac:dyDescent="0.25">
      <c r="A26" s="2786"/>
      <c r="B26" s="2789"/>
    </row>
    <row r="27" spans="1:6" ht="22.5" customHeight="1" x14ac:dyDescent="0.25">
      <c r="A27" s="2788" t="s">
        <v>2524</v>
      </c>
      <c r="B27" s="2789">
        <v>7837494.8978596684</v>
      </c>
    </row>
    <row r="28" spans="1:6" ht="13.5" customHeight="1" x14ac:dyDescent="0.25">
      <c r="A28" s="2786"/>
      <c r="B28" s="2789"/>
    </row>
    <row r="29" spans="1:6" ht="22.5" customHeight="1" x14ac:dyDescent="0.25">
      <c r="A29" s="2788" t="s">
        <v>2585</v>
      </c>
      <c r="B29" s="2789">
        <v>-6817777.3913320675</v>
      </c>
    </row>
    <row r="30" spans="1:6" ht="13.5" customHeight="1" thickBot="1" x14ac:dyDescent="0.3">
      <c r="A30" s="2794"/>
      <c r="B30" s="2795"/>
      <c r="C30" s="2781"/>
      <c r="D30" s="666"/>
      <c r="E30" s="666"/>
      <c r="F30" s="666"/>
    </row>
    <row r="31" spans="1:6" s="666" customFormat="1" ht="36" customHeight="1" thickTop="1" x14ac:dyDescent="0.25">
      <c r="A31" s="3258" t="s">
        <v>2694</v>
      </c>
      <c r="B31" s="3258"/>
      <c r="C31" s="3258"/>
      <c r="D31" s="3258"/>
      <c r="E31" s="3258"/>
      <c r="F31" s="3258"/>
    </row>
    <row r="32" spans="1:6" s="666" customFormat="1" x14ac:dyDescent="0.25">
      <c r="A32" s="3258" t="s">
        <v>2685</v>
      </c>
      <c r="B32" s="3258"/>
      <c r="C32" s="3258"/>
      <c r="D32" s="3258"/>
      <c r="E32" s="3258"/>
      <c r="F32" s="3258"/>
    </row>
    <row r="33" spans="1:6" s="666" customFormat="1" ht="16.5" customHeight="1" x14ac:dyDescent="0.25">
      <c r="A33" s="2783" t="s">
        <v>173</v>
      </c>
      <c r="B33" s="2796"/>
      <c r="C33" s="2796"/>
      <c r="D33" s="2796"/>
      <c r="E33" s="2796"/>
      <c r="F33" s="2796"/>
    </row>
    <row r="34" spans="1:6" s="666" customFormat="1" ht="14.25" x14ac:dyDescent="0.25">
      <c r="A34" s="2783" t="s">
        <v>290</v>
      </c>
      <c r="B34" s="2782"/>
      <c r="C34" s="2782"/>
      <c r="D34" s="2782"/>
      <c r="E34" s="2782"/>
      <c r="F34" s="2782"/>
    </row>
    <row r="35" spans="1:6" s="2759" customFormat="1" ht="18.95" customHeight="1" x14ac:dyDescent="0.25">
      <c r="A35" s="1428"/>
      <c r="B35" s="2758"/>
    </row>
    <row r="36" spans="1:6" ht="12.75" customHeight="1" x14ac:dyDescent="0.25"/>
    <row r="37" spans="1:6" ht="12.75" customHeight="1" x14ac:dyDescent="0.25"/>
    <row r="54" spans="109:109" ht="15.75" customHeight="1" x14ac:dyDescent="0.25">
      <c r="DE54" s="631" t="s">
        <v>306</v>
      </c>
    </row>
  </sheetData>
  <mergeCells count="2">
    <mergeCell ref="A31:F31"/>
    <mergeCell ref="A32:F32"/>
  </mergeCells>
  <pageMargins left="0.75" right="0.75" top="0.75" bottom="0.75" header="0.3" footer="0"/>
  <pageSetup paperSize="9" scale="76" fitToHeight="0" orientation="portrait" r:id="rId1"/>
  <headerFooter scaleWithDoc="0"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WZN64"/>
  <sheetViews>
    <sheetView showGridLines="0" zoomScale="70" zoomScaleNormal="70" zoomScaleSheetLayoutView="80" workbookViewId="0">
      <pane xSplit="1" ySplit="3" topLeftCell="EW43" activePane="bottomRight" state="frozen"/>
      <selection activeCell="A38" sqref="A38"/>
      <selection pane="topRight" activeCell="A38" sqref="A38"/>
      <selection pane="bottomLeft" activeCell="A38" sqref="A38"/>
      <selection pane="bottomRight" activeCell="A38" sqref="A38"/>
    </sheetView>
  </sheetViews>
  <sheetFormatPr defaultRowHeight="14.25" x14ac:dyDescent="0.25"/>
  <cols>
    <col min="1" max="1" width="60.28515625" style="2806" customWidth="1"/>
    <col min="2" max="7" width="12.7109375" style="2806" hidden="1" customWidth="1"/>
    <col min="8" max="8" width="12.85546875" style="2806" hidden="1" customWidth="1"/>
    <col min="9" max="139" width="12.7109375" style="2806" hidden="1" customWidth="1"/>
    <col min="140" max="152" width="13.7109375" style="2806" hidden="1" customWidth="1"/>
    <col min="153" max="165" width="13.7109375" style="2806" customWidth="1"/>
    <col min="166" max="327" width="9.140625" style="2806"/>
    <col min="328" max="328" width="54.140625" style="2806" customWidth="1"/>
    <col min="329" max="366" width="9.140625" style="2806" hidden="1" customWidth="1"/>
    <col min="367" max="379" width="8.7109375" style="2806" customWidth="1"/>
    <col min="380" max="583" width="9.140625" style="2806"/>
    <col min="584" max="584" width="54.140625" style="2806" customWidth="1"/>
    <col min="585" max="622" width="9.140625" style="2806" hidden="1" customWidth="1"/>
    <col min="623" max="635" width="8.7109375" style="2806" customWidth="1"/>
    <col min="636" max="839" width="9.140625" style="2806"/>
    <col min="840" max="840" width="54.140625" style="2806" customWidth="1"/>
    <col min="841" max="878" width="9.140625" style="2806" hidden="1" customWidth="1"/>
    <col min="879" max="891" width="8.7109375" style="2806" customWidth="1"/>
    <col min="892" max="1095" width="9.140625" style="2806"/>
    <col min="1096" max="1096" width="54.140625" style="2806" customWidth="1"/>
    <col min="1097" max="1134" width="9.140625" style="2806" hidden="1" customWidth="1"/>
    <col min="1135" max="1147" width="8.7109375" style="2806" customWidth="1"/>
    <col min="1148" max="1351" width="9.140625" style="2806"/>
    <col min="1352" max="1352" width="54.140625" style="2806" customWidth="1"/>
    <col min="1353" max="1390" width="9.140625" style="2806" hidden="1" customWidth="1"/>
    <col min="1391" max="1403" width="8.7109375" style="2806" customWidth="1"/>
    <col min="1404" max="1607" width="9.140625" style="2806"/>
    <col min="1608" max="1608" width="54.140625" style="2806" customWidth="1"/>
    <col min="1609" max="1646" width="9.140625" style="2806" hidden="1" customWidth="1"/>
    <col min="1647" max="1659" width="8.7109375" style="2806" customWidth="1"/>
    <col min="1660" max="1863" width="9.140625" style="2806"/>
    <col min="1864" max="1864" width="54.140625" style="2806" customWidth="1"/>
    <col min="1865" max="1902" width="9.140625" style="2806" hidden="1" customWidth="1"/>
    <col min="1903" max="1915" width="8.7109375" style="2806" customWidth="1"/>
    <col min="1916" max="2119" width="9.140625" style="2806"/>
    <col min="2120" max="2120" width="54.140625" style="2806" customWidth="1"/>
    <col min="2121" max="2158" width="9.140625" style="2806" hidden="1" customWidth="1"/>
    <col min="2159" max="2171" width="8.7109375" style="2806" customWidth="1"/>
    <col min="2172" max="2375" width="9.140625" style="2806"/>
    <col min="2376" max="2376" width="54.140625" style="2806" customWidth="1"/>
    <col min="2377" max="2414" width="9.140625" style="2806" hidden="1" customWidth="1"/>
    <col min="2415" max="2427" width="8.7109375" style="2806" customWidth="1"/>
    <col min="2428" max="2631" width="9.140625" style="2806"/>
    <col min="2632" max="2632" width="54.140625" style="2806" customWidth="1"/>
    <col min="2633" max="2670" width="9.140625" style="2806" hidden="1" customWidth="1"/>
    <col min="2671" max="2683" width="8.7109375" style="2806" customWidth="1"/>
    <col min="2684" max="2887" width="9.140625" style="2806"/>
    <col min="2888" max="2888" width="54.140625" style="2806" customWidth="1"/>
    <col min="2889" max="2926" width="9.140625" style="2806" hidden="1" customWidth="1"/>
    <col min="2927" max="2939" width="8.7109375" style="2806" customWidth="1"/>
    <col min="2940" max="3143" width="9.140625" style="2806"/>
    <col min="3144" max="3144" width="54.140625" style="2806" customWidth="1"/>
    <col min="3145" max="3182" width="9.140625" style="2806" hidden="1" customWidth="1"/>
    <col min="3183" max="3195" width="8.7109375" style="2806" customWidth="1"/>
    <col min="3196" max="3399" width="9.140625" style="2806"/>
    <col min="3400" max="3400" width="54.140625" style="2806" customWidth="1"/>
    <col min="3401" max="3438" width="9.140625" style="2806" hidden="1" customWidth="1"/>
    <col min="3439" max="3451" width="8.7109375" style="2806" customWidth="1"/>
    <col min="3452" max="3655" width="9.140625" style="2806"/>
    <col min="3656" max="3656" width="54.140625" style="2806" customWidth="1"/>
    <col min="3657" max="3694" width="9.140625" style="2806" hidden="1" customWidth="1"/>
    <col min="3695" max="3707" width="8.7109375" style="2806" customWidth="1"/>
    <col min="3708" max="3911" width="9.140625" style="2806"/>
    <col min="3912" max="3912" width="54.140625" style="2806" customWidth="1"/>
    <col min="3913" max="3950" width="9.140625" style="2806" hidden="1" customWidth="1"/>
    <col min="3951" max="3963" width="8.7109375" style="2806" customWidth="1"/>
    <col min="3964" max="4167" width="9.140625" style="2806"/>
    <col min="4168" max="4168" width="54.140625" style="2806" customWidth="1"/>
    <col min="4169" max="4206" width="9.140625" style="2806" hidden="1" customWidth="1"/>
    <col min="4207" max="4219" width="8.7109375" style="2806" customWidth="1"/>
    <col min="4220" max="4423" width="9.140625" style="2806"/>
    <col min="4424" max="4424" width="54.140625" style="2806" customWidth="1"/>
    <col min="4425" max="4462" width="9.140625" style="2806" hidden="1" customWidth="1"/>
    <col min="4463" max="4475" width="8.7109375" style="2806" customWidth="1"/>
    <col min="4476" max="4679" width="9.140625" style="2806"/>
    <col min="4680" max="4680" width="54.140625" style="2806" customWidth="1"/>
    <col min="4681" max="4718" width="9.140625" style="2806" hidden="1" customWidth="1"/>
    <col min="4719" max="4731" width="8.7109375" style="2806" customWidth="1"/>
    <col min="4732" max="4935" width="9.140625" style="2806"/>
    <col min="4936" max="4936" width="54.140625" style="2806" customWidth="1"/>
    <col min="4937" max="4974" width="9.140625" style="2806" hidden="1" customWidth="1"/>
    <col min="4975" max="4987" width="8.7109375" style="2806" customWidth="1"/>
    <col min="4988" max="5191" width="9.140625" style="2806"/>
    <col min="5192" max="5192" width="54.140625" style="2806" customWidth="1"/>
    <col min="5193" max="5230" width="9.140625" style="2806" hidden="1" customWidth="1"/>
    <col min="5231" max="5243" width="8.7109375" style="2806" customWidth="1"/>
    <col min="5244" max="5447" width="9.140625" style="2806"/>
    <col min="5448" max="5448" width="54.140625" style="2806" customWidth="1"/>
    <col min="5449" max="5486" width="9.140625" style="2806" hidden="1" customWidth="1"/>
    <col min="5487" max="5499" width="8.7109375" style="2806" customWidth="1"/>
    <col min="5500" max="5703" width="9.140625" style="2806"/>
    <col min="5704" max="5704" width="54.140625" style="2806" customWidth="1"/>
    <col min="5705" max="5742" width="9.140625" style="2806" hidden="1" customWidth="1"/>
    <col min="5743" max="5755" width="8.7109375" style="2806" customWidth="1"/>
    <col min="5756" max="5959" width="9.140625" style="2806"/>
    <col min="5960" max="5960" width="54.140625" style="2806" customWidth="1"/>
    <col min="5961" max="5998" width="9.140625" style="2806" hidden="1" customWidth="1"/>
    <col min="5999" max="6011" width="8.7109375" style="2806" customWidth="1"/>
    <col min="6012" max="6215" width="9.140625" style="2806"/>
    <col min="6216" max="6216" width="54.140625" style="2806" customWidth="1"/>
    <col min="6217" max="6254" width="9.140625" style="2806" hidden="1" customWidth="1"/>
    <col min="6255" max="6267" width="8.7109375" style="2806" customWidth="1"/>
    <col min="6268" max="6471" width="9.140625" style="2806"/>
    <col min="6472" max="6472" width="54.140625" style="2806" customWidth="1"/>
    <col min="6473" max="6510" width="9.140625" style="2806" hidden="1" customWidth="1"/>
    <col min="6511" max="6523" width="8.7109375" style="2806" customWidth="1"/>
    <col min="6524" max="6727" width="9.140625" style="2806"/>
    <col min="6728" max="6728" width="54.140625" style="2806" customWidth="1"/>
    <col min="6729" max="6766" width="9.140625" style="2806" hidden="1" customWidth="1"/>
    <col min="6767" max="6779" width="8.7109375" style="2806" customWidth="1"/>
    <col min="6780" max="6983" width="9.140625" style="2806"/>
    <col min="6984" max="6984" width="54.140625" style="2806" customWidth="1"/>
    <col min="6985" max="7022" width="9.140625" style="2806" hidden="1" customWidth="1"/>
    <col min="7023" max="7035" width="8.7109375" style="2806" customWidth="1"/>
    <col min="7036" max="7239" width="9.140625" style="2806"/>
    <col min="7240" max="7240" width="54.140625" style="2806" customWidth="1"/>
    <col min="7241" max="7278" width="9.140625" style="2806" hidden="1" customWidth="1"/>
    <col min="7279" max="7291" width="8.7109375" style="2806" customWidth="1"/>
    <col min="7292" max="7495" width="9.140625" style="2806"/>
    <col min="7496" max="7496" width="54.140625" style="2806" customWidth="1"/>
    <col min="7497" max="7534" width="9.140625" style="2806" hidden="1" customWidth="1"/>
    <col min="7535" max="7547" width="8.7109375" style="2806" customWidth="1"/>
    <col min="7548" max="7751" width="9.140625" style="2806"/>
    <col min="7752" max="7752" width="54.140625" style="2806" customWidth="1"/>
    <col min="7753" max="7790" width="9.140625" style="2806" hidden="1" customWidth="1"/>
    <col min="7791" max="7803" width="8.7109375" style="2806" customWidth="1"/>
    <col min="7804" max="8007" width="9.140625" style="2806"/>
    <col min="8008" max="8008" width="54.140625" style="2806" customWidth="1"/>
    <col min="8009" max="8046" width="9.140625" style="2806" hidden="1" customWidth="1"/>
    <col min="8047" max="8059" width="8.7109375" style="2806" customWidth="1"/>
    <col min="8060" max="8263" width="9.140625" style="2806"/>
    <col min="8264" max="8264" width="54.140625" style="2806" customWidth="1"/>
    <col min="8265" max="8302" width="9.140625" style="2806" hidden="1" customWidth="1"/>
    <col min="8303" max="8315" width="8.7109375" style="2806" customWidth="1"/>
    <col min="8316" max="8519" width="9.140625" style="2806"/>
    <col min="8520" max="8520" width="54.140625" style="2806" customWidth="1"/>
    <col min="8521" max="8558" width="9.140625" style="2806" hidden="1" customWidth="1"/>
    <col min="8559" max="8571" width="8.7109375" style="2806" customWidth="1"/>
    <col min="8572" max="8775" width="9.140625" style="2806"/>
    <col min="8776" max="8776" width="54.140625" style="2806" customWidth="1"/>
    <col min="8777" max="8814" width="9.140625" style="2806" hidden="1" customWidth="1"/>
    <col min="8815" max="8827" width="8.7109375" style="2806" customWidth="1"/>
    <col min="8828" max="9031" width="9.140625" style="2806"/>
    <col min="9032" max="9032" width="54.140625" style="2806" customWidth="1"/>
    <col min="9033" max="9070" width="9.140625" style="2806" hidden="1" customWidth="1"/>
    <col min="9071" max="9083" width="8.7109375" style="2806" customWidth="1"/>
    <col min="9084" max="9287" width="9.140625" style="2806"/>
    <col min="9288" max="9288" width="54.140625" style="2806" customWidth="1"/>
    <col min="9289" max="9326" width="9.140625" style="2806" hidden="1" customWidth="1"/>
    <col min="9327" max="9339" width="8.7109375" style="2806" customWidth="1"/>
    <col min="9340" max="9543" width="9.140625" style="2806"/>
    <col min="9544" max="9544" width="54.140625" style="2806" customWidth="1"/>
    <col min="9545" max="9582" width="9.140625" style="2806" hidden="1" customWidth="1"/>
    <col min="9583" max="9595" width="8.7109375" style="2806" customWidth="1"/>
    <col min="9596" max="9799" width="9.140625" style="2806"/>
    <col min="9800" max="9800" width="54.140625" style="2806" customWidth="1"/>
    <col min="9801" max="9838" width="9.140625" style="2806" hidden="1" customWidth="1"/>
    <col min="9839" max="9851" width="8.7109375" style="2806" customWidth="1"/>
    <col min="9852" max="10055" width="9.140625" style="2806"/>
    <col min="10056" max="10056" width="54.140625" style="2806" customWidth="1"/>
    <col min="10057" max="10094" width="9.140625" style="2806" hidden="1" customWidth="1"/>
    <col min="10095" max="10107" width="8.7109375" style="2806" customWidth="1"/>
    <col min="10108" max="10311" width="9.140625" style="2806"/>
    <col min="10312" max="10312" width="54.140625" style="2806" customWidth="1"/>
    <col min="10313" max="10350" width="9.140625" style="2806" hidden="1" customWidth="1"/>
    <col min="10351" max="10363" width="8.7109375" style="2806" customWidth="1"/>
    <col min="10364" max="10567" width="9.140625" style="2806"/>
    <col min="10568" max="10568" width="54.140625" style="2806" customWidth="1"/>
    <col min="10569" max="10606" width="9.140625" style="2806" hidden="1" customWidth="1"/>
    <col min="10607" max="10619" width="8.7109375" style="2806" customWidth="1"/>
    <col min="10620" max="10823" width="9.140625" style="2806"/>
    <col min="10824" max="10824" width="54.140625" style="2806" customWidth="1"/>
    <col min="10825" max="10862" width="9.140625" style="2806" hidden="1" customWidth="1"/>
    <col min="10863" max="10875" width="8.7109375" style="2806" customWidth="1"/>
    <col min="10876" max="11079" width="9.140625" style="2806"/>
    <col min="11080" max="11080" width="54.140625" style="2806" customWidth="1"/>
    <col min="11081" max="11118" width="9.140625" style="2806" hidden="1" customWidth="1"/>
    <col min="11119" max="11131" width="8.7109375" style="2806" customWidth="1"/>
    <col min="11132" max="11335" width="9.140625" style="2806"/>
    <col min="11336" max="11336" width="54.140625" style="2806" customWidth="1"/>
    <col min="11337" max="11374" width="9.140625" style="2806" hidden="1" customWidth="1"/>
    <col min="11375" max="11387" width="8.7109375" style="2806" customWidth="1"/>
    <col min="11388" max="11591" width="9.140625" style="2806"/>
    <col min="11592" max="11592" width="54.140625" style="2806" customWidth="1"/>
    <col min="11593" max="11630" width="9.140625" style="2806" hidden="1" customWidth="1"/>
    <col min="11631" max="11643" width="8.7109375" style="2806" customWidth="1"/>
    <col min="11644" max="11847" width="9.140625" style="2806"/>
    <col min="11848" max="11848" width="54.140625" style="2806" customWidth="1"/>
    <col min="11849" max="11886" width="9.140625" style="2806" hidden="1" customWidth="1"/>
    <col min="11887" max="11899" width="8.7109375" style="2806" customWidth="1"/>
    <col min="11900" max="12103" width="9.140625" style="2806"/>
    <col min="12104" max="12104" width="54.140625" style="2806" customWidth="1"/>
    <col min="12105" max="12142" width="9.140625" style="2806" hidden="1" customWidth="1"/>
    <col min="12143" max="12155" width="8.7109375" style="2806" customWidth="1"/>
    <col min="12156" max="12359" width="9.140625" style="2806"/>
    <col min="12360" max="12360" width="54.140625" style="2806" customWidth="1"/>
    <col min="12361" max="12398" width="9.140625" style="2806" hidden="1" customWidth="1"/>
    <col min="12399" max="12411" width="8.7109375" style="2806" customWidth="1"/>
    <col min="12412" max="12615" width="9.140625" style="2806"/>
    <col min="12616" max="12616" width="54.140625" style="2806" customWidth="1"/>
    <col min="12617" max="12654" width="9.140625" style="2806" hidden="1" customWidth="1"/>
    <col min="12655" max="12667" width="8.7109375" style="2806" customWidth="1"/>
    <col min="12668" max="12871" width="9.140625" style="2806"/>
    <col min="12872" max="12872" width="54.140625" style="2806" customWidth="1"/>
    <col min="12873" max="12910" width="9.140625" style="2806" hidden="1" customWidth="1"/>
    <col min="12911" max="12923" width="8.7109375" style="2806" customWidth="1"/>
    <col min="12924" max="13127" width="9.140625" style="2806"/>
    <col min="13128" max="13128" width="54.140625" style="2806" customWidth="1"/>
    <col min="13129" max="13166" width="9.140625" style="2806" hidden="1" customWidth="1"/>
    <col min="13167" max="13179" width="8.7109375" style="2806" customWidth="1"/>
    <col min="13180" max="13383" width="9.140625" style="2806"/>
    <col min="13384" max="13384" width="54.140625" style="2806" customWidth="1"/>
    <col min="13385" max="13422" width="9.140625" style="2806" hidden="1" customWidth="1"/>
    <col min="13423" max="13435" width="8.7109375" style="2806" customWidth="1"/>
    <col min="13436" max="13639" width="9.140625" style="2806"/>
    <col min="13640" max="13640" width="54.140625" style="2806" customWidth="1"/>
    <col min="13641" max="13678" width="9.140625" style="2806" hidden="1" customWidth="1"/>
    <col min="13679" max="13691" width="8.7109375" style="2806" customWidth="1"/>
    <col min="13692" max="13895" width="9.140625" style="2806"/>
    <col min="13896" max="13896" width="54.140625" style="2806" customWidth="1"/>
    <col min="13897" max="13934" width="9.140625" style="2806" hidden="1" customWidth="1"/>
    <col min="13935" max="13947" width="8.7109375" style="2806" customWidth="1"/>
    <col min="13948" max="14151" width="9.140625" style="2806"/>
    <col min="14152" max="14152" width="54.140625" style="2806" customWidth="1"/>
    <col min="14153" max="14190" width="9.140625" style="2806" hidden="1" customWidth="1"/>
    <col min="14191" max="14203" width="8.7109375" style="2806" customWidth="1"/>
    <col min="14204" max="14407" width="9.140625" style="2806"/>
    <col min="14408" max="14408" width="54.140625" style="2806" customWidth="1"/>
    <col min="14409" max="14446" width="9.140625" style="2806" hidden="1" customWidth="1"/>
    <col min="14447" max="14459" width="8.7109375" style="2806" customWidth="1"/>
    <col min="14460" max="14663" width="9.140625" style="2806"/>
    <col min="14664" max="14664" width="54.140625" style="2806" customWidth="1"/>
    <col min="14665" max="14702" width="9.140625" style="2806" hidden="1" customWidth="1"/>
    <col min="14703" max="14715" width="8.7109375" style="2806" customWidth="1"/>
    <col min="14716" max="14919" width="9.140625" style="2806"/>
    <col min="14920" max="14920" width="54.140625" style="2806" customWidth="1"/>
    <col min="14921" max="14958" width="9.140625" style="2806" hidden="1" customWidth="1"/>
    <col min="14959" max="14971" width="8.7109375" style="2806" customWidth="1"/>
    <col min="14972" max="15175" width="9.140625" style="2806"/>
    <col min="15176" max="15176" width="54.140625" style="2806" customWidth="1"/>
    <col min="15177" max="15214" width="9.140625" style="2806" hidden="1" customWidth="1"/>
    <col min="15215" max="15227" width="8.7109375" style="2806" customWidth="1"/>
    <col min="15228" max="15431" width="9.140625" style="2806"/>
    <col min="15432" max="15432" width="54.140625" style="2806" customWidth="1"/>
    <col min="15433" max="15470" width="9.140625" style="2806" hidden="1" customWidth="1"/>
    <col min="15471" max="15483" width="8.7109375" style="2806" customWidth="1"/>
    <col min="15484" max="15687" width="9.140625" style="2806"/>
    <col min="15688" max="15688" width="54.140625" style="2806" customWidth="1"/>
    <col min="15689" max="15726" width="9.140625" style="2806" hidden="1" customWidth="1"/>
    <col min="15727" max="15739" width="8.7109375" style="2806" customWidth="1"/>
    <col min="15740" max="15943" width="9.140625" style="2806"/>
    <col min="15944" max="15944" width="54.140625" style="2806" customWidth="1"/>
    <col min="15945" max="15982" width="9.140625" style="2806" hidden="1" customWidth="1"/>
    <col min="15983" max="15995" width="8.7109375" style="2806" customWidth="1"/>
    <col min="15996" max="16199" width="9.140625" style="2806"/>
    <col min="16200" max="16200" width="54.140625" style="2806" customWidth="1"/>
    <col min="16201" max="16238" width="9.140625" style="2806" hidden="1" customWidth="1"/>
    <col min="16239" max="16251" width="8.7109375" style="2806" customWidth="1"/>
    <col min="16252" max="16384" width="9.140625" style="2806"/>
  </cols>
  <sheetData>
    <row r="1" spans="1:165" s="2798" customFormat="1" ht="22.5" customHeight="1" x14ac:dyDescent="0.25">
      <c r="A1" s="2797" t="s">
        <v>2695</v>
      </c>
    </row>
    <row r="2" spans="1:165" s="2800" customFormat="1" ht="18.75" customHeight="1" thickBot="1" x14ac:dyDescent="0.3">
      <c r="A2" s="2799"/>
      <c r="DS2" s="2801"/>
      <c r="DX2" s="2801"/>
      <c r="EC2" s="2801"/>
      <c r="EE2" s="2801"/>
      <c r="ER2" s="2801"/>
      <c r="ES2" s="2801"/>
      <c r="ET2" s="2801"/>
      <c r="EU2" s="2801"/>
      <c r="EV2" s="2801"/>
      <c r="EW2" s="2801"/>
      <c r="EX2" s="2801"/>
      <c r="EY2" s="2801"/>
      <c r="EZ2" s="2801"/>
      <c r="FA2" s="2801"/>
      <c r="FB2" s="2801"/>
      <c r="FC2" s="2801"/>
      <c r="FD2" s="2801"/>
      <c r="FE2" s="2801"/>
      <c r="FF2" s="2801"/>
      <c r="FG2" s="2801"/>
      <c r="FH2" s="2801"/>
      <c r="FI2" s="2801" t="s">
        <v>281</v>
      </c>
    </row>
    <row r="3" spans="1:165" ht="21" customHeight="1" thickTop="1" thickBot="1" x14ac:dyDescent="0.35">
      <c r="A3" s="2802" t="s">
        <v>2696</v>
      </c>
      <c r="B3" s="2803">
        <v>40208</v>
      </c>
      <c r="C3" s="2804">
        <v>40237</v>
      </c>
      <c r="D3" s="2804">
        <v>40239</v>
      </c>
      <c r="E3" s="2804">
        <v>40270</v>
      </c>
      <c r="F3" s="2804">
        <v>40301</v>
      </c>
      <c r="G3" s="2804">
        <v>40332</v>
      </c>
      <c r="H3" s="2804">
        <v>40363</v>
      </c>
      <c r="I3" s="2804">
        <v>40394</v>
      </c>
      <c r="J3" s="2804">
        <v>40425</v>
      </c>
      <c r="K3" s="2804">
        <v>40456</v>
      </c>
      <c r="L3" s="2804">
        <v>40487</v>
      </c>
      <c r="M3" s="2804">
        <v>40518</v>
      </c>
      <c r="N3" s="2804">
        <v>40549</v>
      </c>
      <c r="O3" s="2804">
        <v>40580</v>
      </c>
      <c r="P3" s="2804">
        <v>40611</v>
      </c>
      <c r="Q3" s="2804">
        <v>40642</v>
      </c>
      <c r="R3" s="2804">
        <v>40673</v>
      </c>
      <c r="S3" s="2804">
        <v>40704</v>
      </c>
      <c r="T3" s="2804">
        <v>40735</v>
      </c>
      <c r="U3" s="2804">
        <v>40766</v>
      </c>
      <c r="V3" s="2804">
        <v>40797</v>
      </c>
      <c r="W3" s="2804">
        <v>40828</v>
      </c>
      <c r="X3" s="2804">
        <v>40859</v>
      </c>
      <c r="Y3" s="2804">
        <v>40890</v>
      </c>
      <c r="Z3" s="2804">
        <v>40921</v>
      </c>
      <c r="AA3" s="2804">
        <v>40952</v>
      </c>
      <c r="AB3" s="2804">
        <v>40983</v>
      </c>
      <c r="AC3" s="2804">
        <v>41014</v>
      </c>
      <c r="AD3" s="2804">
        <v>41045</v>
      </c>
      <c r="AE3" s="2804">
        <v>41076</v>
      </c>
      <c r="AF3" s="2804">
        <v>41107</v>
      </c>
      <c r="AG3" s="2804">
        <v>41138</v>
      </c>
      <c r="AH3" s="2804">
        <v>41169</v>
      </c>
      <c r="AI3" s="2804">
        <v>41200</v>
      </c>
      <c r="AJ3" s="2804">
        <v>41231</v>
      </c>
      <c r="AK3" s="2804">
        <v>41262</v>
      </c>
      <c r="AL3" s="2804">
        <v>41293</v>
      </c>
      <c r="AM3" s="2804">
        <v>41324</v>
      </c>
      <c r="AN3" s="2804">
        <v>41355</v>
      </c>
      <c r="AO3" s="2804">
        <v>41386</v>
      </c>
      <c r="AP3" s="2804">
        <v>41417</v>
      </c>
      <c r="AQ3" s="2804">
        <v>41448</v>
      </c>
      <c r="AR3" s="2804">
        <v>41479</v>
      </c>
      <c r="AS3" s="2804">
        <v>41510</v>
      </c>
      <c r="AT3" s="2804">
        <v>41541</v>
      </c>
      <c r="AU3" s="2804">
        <v>41572</v>
      </c>
      <c r="AV3" s="2804">
        <v>41603</v>
      </c>
      <c r="AW3" s="2804">
        <v>41634</v>
      </c>
      <c r="AX3" s="2804">
        <v>41665</v>
      </c>
      <c r="AY3" s="2804">
        <v>41696</v>
      </c>
      <c r="AZ3" s="2804">
        <v>41727</v>
      </c>
      <c r="BA3" s="2804">
        <v>41758</v>
      </c>
      <c r="BB3" s="2804">
        <v>41789</v>
      </c>
      <c r="BC3" s="2804">
        <v>41820</v>
      </c>
      <c r="BD3" s="2804">
        <v>41851</v>
      </c>
      <c r="BE3" s="2804">
        <v>41882</v>
      </c>
      <c r="BF3" s="2804">
        <v>41912</v>
      </c>
      <c r="BG3" s="2804">
        <v>41913</v>
      </c>
      <c r="BH3" s="2804">
        <v>41944</v>
      </c>
      <c r="BI3" s="2804">
        <v>41975</v>
      </c>
      <c r="BJ3" s="2804">
        <v>42006</v>
      </c>
      <c r="BK3" s="2804">
        <v>42037</v>
      </c>
      <c r="BL3" s="2804">
        <v>42068</v>
      </c>
      <c r="BM3" s="2804">
        <v>42099</v>
      </c>
      <c r="BN3" s="2804">
        <v>42130</v>
      </c>
      <c r="BO3" s="2804">
        <v>42161</v>
      </c>
      <c r="BP3" s="2804">
        <v>42192</v>
      </c>
      <c r="BQ3" s="2804">
        <v>42223</v>
      </c>
      <c r="BR3" s="2804">
        <v>42254</v>
      </c>
      <c r="BS3" s="2804">
        <v>42285</v>
      </c>
      <c r="BT3" s="2804">
        <v>42316</v>
      </c>
      <c r="BU3" s="2804">
        <v>42347</v>
      </c>
      <c r="BV3" s="2804">
        <v>42378</v>
      </c>
      <c r="BW3" s="2804">
        <v>42409</v>
      </c>
      <c r="BX3" s="2804">
        <v>42440</v>
      </c>
      <c r="BY3" s="2804">
        <v>42471</v>
      </c>
      <c r="BZ3" s="2804">
        <v>42502</v>
      </c>
      <c r="CA3" s="2804">
        <v>42533</v>
      </c>
      <c r="CB3" s="2804">
        <v>42564</v>
      </c>
      <c r="CC3" s="2804">
        <v>42595</v>
      </c>
      <c r="CD3" s="2804">
        <v>42626</v>
      </c>
      <c r="CE3" s="2804">
        <v>42657</v>
      </c>
      <c r="CF3" s="2804">
        <v>42688</v>
      </c>
      <c r="CG3" s="2804">
        <v>42719</v>
      </c>
      <c r="CH3" s="2804">
        <v>42750</v>
      </c>
      <c r="CI3" s="2804">
        <v>42781</v>
      </c>
      <c r="CJ3" s="2804">
        <v>42812</v>
      </c>
      <c r="CK3" s="2804">
        <v>42843</v>
      </c>
      <c r="CL3" s="2804">
        <v>42874</v>
      </c>
      <c r="CM3" s="2804">
        <v>42905</v>
      </c>
      <c r="CN3" s="2804">
        <v>42936</v>
      </c>
      <c r="CO3" s="2804">
        <v>42967</v>
      </c>
      <c r="CP3" s="2804">
        <v>42998</v>
      </c>
      <c r="CQ3" s="2804">
        <v>43029</v>
      </c>
      <c r="CR3" s="2804">
        <v>43060</v>
      </c>
      <c r="CS3" s="2804">
        <v>43091</v>
      </c>
      <c r="CT3" s="2804">
        <v>43122</v>
      </c>
      <c r="CU3" s="2804">
        <v>43153</v>
      </c>
      <c r="CV3" s="2804">
        <v>43184</v>
      </c>
      <c r="CW3" s="2804">
        <v>43215</v>
      </c>
      <c r="CX3" s="2804">
        <v>43246</v>
      </c>
      <c r="CY3" s="2804">
        <v>43277</v>
      </c>
      <c r="CZ3" s="2804">
        <v>43308</v>
      </c>
      <c r="DA3" s="2804">
        <v>43339</v>
      </c>
      <c r="DB3" s="2804">
        <v>43370</v>
      </c>
      <c r="DC3" s="2804">
        <v>43401</v>
      </c>
      <c r="DD3" s="2804">
        <v>43432</v>
      </c>
      <c r="DE3" s="2804">
        <v>43462</v>
      </c>
      <c r="DF3" s="2804">
        <v>43493</v>
      </c>
      <c r="DG3" s="2804">
        <v>43524</v>
      </c>
      <c r="DH3" s="2804">
        <v>43552</v>
      </c>
      <c r="DI3" s="2804">
        <v>43583</v>
      </c>
      <c r="DJ3" s="2804">
        <v>43613</v>
      </c>
      <c r="DK3" s="2804">
        <v>43644</v>
      </c>
      <c r="DL3" s="2804">
        <v>43674</v>
      </c>
      <c r="DM3" s="2804">
        <v>43705</v>
      </c>
      <c r="DN3" s="2804">
        <v>43736</v>
      </c>
      <c r="DO3" s="2804">
        <v>43766</v>
      </c>
      <c r="DP3" s="2804">
        <v>43797</v>
      </c>
      <c r="DQ3" s="2804">
        <v>43827</v>
      </c>
      <c r="DR3" s="2804">
        <v>43858</v>
      </c>
      <c r="DS3" s="2805" t="s">
        <v>2590</v>
      </c>
      <c r="DT3" s="2805" t="s">
        <v>477</v>
      </c>
      <c r="DU3" s="2652" t="s">
        <v>2591</v>
      </c>
      <c r="DV3" s="2652" t="s">
        <v>2504</v>
      </c>
      <c r="DW3" s="2652" t="s">
        <v>313</v>
      </c>
      <c r="DX3" s="2652" t="s">
        <v>314</v>
      </c>
      <c r="DY3" s="2652" t="s">
        <v>315</v>
      </c>
      <c r="DZ3" s="2652" t="s">
        <v>316</v>
      </c>
      <c r="EA3" s="2652" t="s">
        <v>317</v>
      </c>
      <c r="EB3" s="2652">
        <v>44136</v>
      </c>
      <c r="EC3" s="2652">
        <v>44166</v>
      </c>
      <c r="ED3" s="2652">
        <v>44197</v>
      </c>
      <c r="EE3" s="2652" t="s">
        <v>2593</v>
      </c>
      <c r="EF3" s="2652" t="s">
        <v>2594</v>
      </c>
      <c r="EG3" s="2652" t="s">
        <v>2620</v>
      </c>
      <c r="EH3" s="2652" t="s">
        <v>483</v>
      </c>
      <c r="EI3" s="2652" t="s">
        <v>484</v>
      </c>
      <c r="EJ3" s="2652" t="s">
        <v>2596</v>
      </c>
      <c r="EK3" s="2652" t="s">
        <v>2597</v>
      </c>
      <c r="EL3" s="2652" t="s">
        <v>328</v>
      </c>
      <c r="EM3" s="2652" t="s">
        <v>485</v>
      </c>
      <c r="EN3" s="2652" t="s">
        <v>2625</v>
      </c>
      <c r="EO3" s="2652" t="s">
        <v>2626</v>
      </c>
      <c r="EP3" s="2652">
        <v>44562</v>
      </c>
      <c r="EQ3" s="2652">
        <v>44593</v>
      </c>
      <c r="ER3" s="2652">
        <v>44621</v>
      </c>
      <c r="ES3" s="2652">
        <v>44652</v>
      </c>
      <c r="ET3" s="2652">
        <v>44682</v>
      </c>
      <c r="EU3" s="2652">
        <v>44713</v>
      </c>
      <c r="EV3" s="2652">
        <v>44743</v>
      </c>
      <c r="EW3" s="2652">
        <v>44774</v>
      </c>
      <c r="EX3" s="2652">
        <v>44805</v>
      </c>
      <c r="EY3" s="2652">
        <v>44835</v>
      </c>
      <c r="EZ3" s="2652">
        <v>44866</v>
      </c>
      <c r="FA3" s="2652">
        <v>44896</v>
      </c>
      <c r="FB3" s="2652">
        <v>44927</v>
      </c>
      <c r="FC3" s="2652">
        <v>44958</v>
      </c>
      <c r="FD3" s="2652">
        <v>44986</v>
      </c>
      <c r="FE3" s="2652">
        <v>45017</v>
      </c>
      <c r="FF3" s="2652">
        <v>45047</v>
      </c>
      <c r="FG3" s="2652">
        <v>45078</v>
      </c>
      <c r="FH3" s="2652">
        <v>45108</v>
      </c>
      <c r="FI3" s="2652">
        <v>45139</v>
      </c>
    </row>
    <row r="4" spans="1:165" ht="17.100000000000001" customHeight="1" thickTop="1" x14ac:dyDescent="0.25">
      <c r="A4" s="2807"/>
      <c r="B4" s="2808"/>
      <c r="C4" s="2808"/>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2808"/>
      <c r="AF4" s="2808"/>
      <c r="AG4" s="2808"/>
      <c r="AH4" s="2808"/>
      <c r="AI4" s="2808"/>
      <c r="AJ4" s="2808"/>
      <c r="AK4" s="2808"/>
      <c r="AL4" s="2808"/>
      <c r="AM4" s="2808"/>
      <c r="AN4" s="2808"/>
      <c r="AO4" s="2808"/>
      <c r="AP4" s="2808"/>
      <c r="AQ4" s="2808"/>
      <c r="AR4" s="2808"/>
      <c r="AS4" s="2808"/>
      <c r="AT4" s="2808"/>
      <c r="AU4" s="2808"/>
      <c r="AV4" s="2808"/>
      <c r="AW4" s="2808"/>
      <c r="AX4" s="2808"/>
      <c r="AY4" s="2808"/>
      <c r="AZ4" s="2808"/>
      <c r="BA4" s="2808"/>
      <c r="BB4" s="2808"/>
      <c r="BC4" s="2808"/>
      <c r="BD4" s="2808"/>
      <c r="BE4" s="2808"/>
      <c r="BF4" s="2808"/>
      <c r="BG4" s="2808"/>
      <c r="BH4" s="2808"/>
      <c r="BI4" s="2808"/>
      <c r="BJ4" s="2808"/>
      <c r="BK4" s="2808"/>
      <c r="BL4" s="2808"/>
      <c r="BM4" s="2808"/>
      <c r="BN4" s="2808"/>
      <c r="BO4" s="2808"/>
      <c r="BP4" s="2808"/>
      <c r="BQ4" s="2808"/>
      <c r="BR4" s="2808"/>
      <c r="BS4" s="2808"/>
      <c r="BT4" s="2808"/>
      <c r="BU4" s="2808"/>
      <c r="BV4" s="2808"/>
      <c r="BW4" s="2808"/>
      <c r="BX4" s="2808"/>
      <c r="BY4" s="2808"/>
      <c r="BZ4" s="2808"/>
      <c r="CA4" s="2808"/>
      <c r="CB4" s="2808"/>
      <c r="CC4" s="2808"/>
      <c r="CD4" s="2808"/>
      <c r="CE4" s="2808"/>
      <c r="CF4" s="2808"/>
      <c r="CG4" s="2808"/>
      <c r="CH4" s="2808"/>
      <c r="CI4" s="2808"/>
      <c r="CJ4" s="2808"/>
      <c r="CK4" s="2808"/>
      <c r="CL4" s="2808"/>
      <c r="CM4" s="2808"/>
      <c r="CN4" s="2808"/>
      <c r="CO4" s="2808"/>
      <c r="CP4" s="2808"/>
      <c r="CQ4" s="2808"/>
      <c r="CR4" s="2808"/>
      <c r="CS4" s="2808"/>
      <c r="CT4" s="2808"/>
      <c r="CU4" s="2808"/>
      <c r="CV4" s="2808"/>
      <c r="CW4" s="2808"/>
      <c r="CX4" s="2808"/>
      <c r="CY4" s="2808"/>
      <c r="CZ4" s="2808"/>
      <c r="DA4" s="2808"/>
      <c r="DB4" s="2808"/>
      <c r="DC4" s="2808"/>
      <c r="DD4" s="2808"/>
      <c r="DE4" s="2808"/>
      <c r="DF4" s="2808"/>
      <c r="DG4" s="2808"/>
      <c r="DH4" s="2808"/>
      <c r="DI4" s="2808"/>
      <c r="DJ4" s="2808"/>
      <c r="DK4" s="2808"/>
      <c r="DL4" s="2808"/>
      <c r="DM4" s="2808"/>
      <c r="DN4" s="2808"/>
      <c r="DO4" s="2808"/>
      <c r="DP4" s="2808"/>
      <c r="DQ4" s="2808"/>
      <c r="DR4" s="2808"/>
      <c r="DS4" s="2808"/>
      <c r="DT4" s="2808"/>
      <c r="DU4" s="2808"/>
      <c r="DV4" s="2808"/>
      <c r="DW4" s="2808"/>
      <c r="DX4" s="2808"/>
      <c r="DY4" s="2808"/>
      <c r="DZ4" s="2808"/>
      <c r="EA4" s="2808"/>
      <c r="EB4" s="2808"/>
      <c r="EC4" s="2808"/>
      <c r="ED4" s="2808"/>
      <c r="EE4" s="2808"/>
      <c r="EF4" s="2808"/>
      <c r="EG4" s="2808"/>
      <c r="EH4" s="2808"/>
      <c r="EI4" s="2808"/>
      <c r="EJ4" s="2808"/>
      <c r="EK4" s="2808"/>
      <c r="EL4" s="2808"/>
      <c r="EM4" s="2808"/>
      <c r="EN4" s="2808"/>
      <c r="EO4" s="2808"/>
      <c r="EP4" s="2808"/>
      <c r="EQ4" s="2808"/>
      <c r="ER4" s="2808"/>
      <c r="ES4" s="2808"/>
      <c r="ET4" s="2808"/>
      <c r="EU4" s="2808"/>
      <c r="EV4" s="2808"/>
      <c r="EW4" s="2808"/>
      <c r="EX4" s="2808"/>
      <c r="EY4" s="2808"/>
      <c r="EZ4" s="2808"/>
      <c r="FA4" s="2808"/>
      <c r="FB4" s="2808"/>
      <c r="FC4" s="2808"/>
      <c r="FD4" s="2808"/>
      <c r="FE4" s="2808"/>
      <c r="FF4" s="2808"/>
      <c r="FG4" s="2808"/>
      <c r="FH4" s="2808"/>
      <c r="FI4" s="2808"/>
    </row>
    <row r="5" spans="1:165" ht="17.100000000000001" customHeight="1" x14ac:dyDescent="0.25">
      <c r="A5" s="2807" t="s">
        <v>2697</v>
      </c>
      <c r="B5" s="2809">
        <v>16171.960026841443</v>
      </c>
      <c r="C5" s="2809">
        <v>15979.918504390556</v>
      </c>
      <c r="D5" s="2809">
        <v>15845.174678718537</v>
      </c>
      <c r="E5" s="2809">
        <v>16036.327574022573</v>
      </c>
      <c r="F5" s="2809">
        <v>16227.254416493004</v>
      </c>
      <c r="G5" s="2809">
        <v>15904.557043885216</v>
      </c>
      <c r="H5" s="2809">
        <v>16369.721227265134</v>
      </c>
      <c r="I5" s="2809">
        <v>16281.24484228429</v>
      </c>
      <c r="J5" s="2809">
        <v>16241.980758452173</v>
      </c>
      <c r="K5" s="2809">
        <v>16473.996105313156</v>
      </c>
      <c r="L5" s="2809">
        <v>16722.43897559122</v>
      </c>
      <c r="M5" s="2809">
        <v>18975.006270668913</v>
      </c>
      <c r="N5" s="2809">
        <v>18010.593082900665</v>
      </c>
      <c r="O5" s="2809">
        <v>17749.329653375997</v>
      </c>
      <c r="P5" s="2809">
        <v>17492.407133231845</v>
      </c>
      <c r="Q5" s="2809">
        <v>17646.497592686108</v>
      </c>
      <c r="R5" s="2809">
        <v>17594.772439179418</v>
      </c>
      <c r="S5" s="2809">
        <v>17516.570954198032</v>
      </c>
      <c r="T5" s="2809">
        <v>18045.280669068587</v>
      </c>
      <c r="U5" s="2809">
        <v>18269.489570318754</v>
      </c>
      <c r="V5" s="2809">
        <v>17957.873646394448</v>
      </c>
      <c r="W5" s="2809">
        <v>18294.304306683174</v>
      </c>
      <c r="X5" s="2809">
        <v>17891.407119467123</v>
      </c>
      <c r="Y5" s="2809">
        <v>20307.786446312803</v>
      </c>
      <c r="Z5" s="2809">
        <v>19209.573208944614</v>
      </c>
      <c r="AA5" s="2809">
        <v>18923.022119759324</v>
      </c>
      <c r="AB5" s="2809">
        <v>18978.695497382185</v>
      </c>
      <c r="AC5" s="2809">
        <v>18961.549992068223</v>
      </c>
      <c r="AD5" s="2809">
        <v>18678.032246711129</v>
      </c>
      <c r="AE5" s="2809">
        <v>19013.633662171222</v>
      </c>
      <c r="AF5" s="2809">
        <v>19228.031835841684</v>
      </c>
      <c r="AG5" s="2809">
        <v>19287.1599017013</v>
      </c>
      <c r="AH5" s="2809">
        <v>19233.798105900336</v>
      </c>
      <c r="AI5" s="2809">
        <v>19257.554559318654</v>
      </c>
      <c r="AJ5" s="2809">
        <v>19629.552590686864</v>
      </c>
      <c r="AK5" s="2809">
        <v>22169.717386902448</v>
      </c>
      <c r="AL5" s="2809">
        <v>20964.304899561892</v>
      </c>
      <c r="AM5" s="2809">
        <v>20780.286985424955</v>
      </c>
      <c r="AN5" s="2809">
        <v>20987.016268127656</v>
      </c>
      <c r="AO5" s="2809">
        <v>20656.089712851328</v>
      </c>
      <c r="AP5" s="2809">
        <v>20557.306859228109</v>
      </c>
      <c r="AQ5" s="2809">
        <v>20523.48661882988</v>
      </c>
      <c r="AR5" s="2809">
        <v>20820.159883091204</v>
      </c>
      <c r="AS5" s="2809">
        <v>20987.512445111654</v>
      </c>
      <c r="AT5" s="2809">
        <v>20664.185177378316</v>
      </c>
      <c r="AU5" s="2809">
        <v>20702.891560809614</v>
      </c>
      <c r="AV5" s="2809">
        <v>20888.105552438185</v>
      </c>
      <c r="AW5" s="2809">
        <v>23316.684992015878</v>
      </c>
      <c r="AX5" s="2809">
        <v>22265.883860057205</v>
      </c>
      <c r="AY5" s="2809">
        <v>22077.566872167037</v>
      </c>
      <c r="AZ5" s="2809">
        <v>22090.400144122301</v>
      </c>
      <c r="BA5" s="2809">
        <v>21718.536421617555</v>
      </c>
      <c r="BB5" s="2809">
        <v>21737.2264592838</v>
      </c>
      <c r="BC5" s="2809">
        <v>21684.992832060678</v>
      </c>
      <c r="BD5" s="2809">
        <v>22175.789473345048</v>
      </c>
      <c r="BE5" s="2809">
        <v>22196.112731025903</v>
      </c>
      <c r="BF5" s="2809">
        <v>21848.23998536943</v>
      </c>
      <c r="BG5" s="2809">
        <v>22102.50724703589</v>
      </c>
      <c r="BH5" s="2809">
        <v>22503.624769895934</v>
      </c>
      <c r="BI5" s="2809">
        <v>25391.16857677501</v>
      </c>
      <c r="BJ5" s="2809">
        <v>24029.803890028252</v>
      </c>
      <c r="BK5" s="2809">
        <v>24013.562842210038</v>
      </c>
      <c r="BL5" s="2809">
        <v>23784.870318967191</v>
      </c>
      <c r="BM5" s="2809">
        <v>23912.218911613985</v>
      </c>
      <c r="BN5" s="2809">
        <v>24220.596316528303</v>
      </c>
      <c r="BO5" s="2809">
        <v>24017.50101763201</v>
      </c>
      <c r="BP5" s="2809">
        <v>24588.241511306522</v>
      </c>
      <c r="BQ5" s="2809">
        <v>24794.334919669374</v>
      </c>
      <c r="BR5" s="2809">
        <v>24354.580198828076</v>
      </c>
      <c r="BS5" s="2809">
        <v>24815.527936131883</v>
      </c>
      <c r="BT5" s="2809">
        <v>25002.24008601328</v>
      </c>
      <c r="BU5" s="2809">
        <v>27638</v>
      </c>
      <c r="BV5" s="2809">
        <v>26531.097152112925</v>
      </c>
      <c r="BW5" s="2809">
        <v>26526.899703812975</v>
      </c>
      <c r="BX5" s="2809">
        <v>26183.738862633141</v>
      </c>
      <c r="BY5" s="2809">
        <v>26254.514732054799</v>
      </c>
      <c r="BZ5" s="2809">
        <v>26173.261525868962</v>
      </c>
      <c r="CA5" s="2809">
        <v>26253.964140184591</v>
      </c>
      <c r="CB5" s="2809">
        <v>26762.160082529066</v>
      </c>
      <c r="CC5" s="2809">
        <v>26565.777695196768</v>
      </c>
      <c r="CD5" s="2809">
        <v>26679.574401556256</v>
      </c>
      <c r="CE5" s="2809">
        <v>27085.920970584004</v>
      </c>
      <c r="CF5" s="2809">
        <v>26977.870846605641</v>
      </c>
      <c r="CG5" s="2809">
        <v>29731.251114000625</v>
      </c>
      <c r="CH5" s="2809">
        <v>28503.782930543362</v>
      </c>
      <c r="CI5" s="2809">
        <v>28353.789284723396</v>
      </c>
      <c r="CJ5" s="2809">
        <v>28226.794639748969</v>
      </c>
      <c r="CK5" s="2809">
        <v>28264.118735730339</v>
      </c>
      <c r="CL5" s="2809">
        <v>28038.109877324951</v>
      </c>
      <c r="CM5" s="2809">
        <v>28460.470012456764</v>
      </c>
      <c r="CN5" s="2809">
        <v>28732.075101738672</v>
      </c>
      <c r="CO5" s="2809">
        <v>28547.538359344486</v>
      </c>
      <c r="CP5" s="2809">
        <v>28558.473586083212</v>
      </c>
      <c r="CQ5" s="2809">
        <v>28844.392046574456</v>
      </c>
      <c r="CR5" s="2809">
        <v>29119.574478804388</v>
      </c>
      <c r="CS5" s="2809">
        <v>32218.438809848714</v>
      </c>
      <c r="CT5" s="2809">
        <v>30902.666062600962</v>
      </c>
      <c r="CU5" s="2809">
        <v>30604.554093916278</v>
      </c>
      <c r="CV5" s="2809">
        <v>29949.46705897844</v>
      </c>
      <c r="CW5" s="2809">
        <v>29305.442108130697</v>
      </c>
      <c r="CX5" s="2809">
        <v>28891.577411526578</v>
      </c>
      <c r="CY5" s="2809">
        <v>29087.652257059555</v>
      </c>
      <c r="CZ5" s="2809">
        <v>29217.356379832076</v>
      </c>
      <c r="DA5" s="2809">
        <v>29104.323065575794</v>
      </c>
      <c r="DB5" s="2809">
        <v>29000.117582687668</v>
      </c>
      <c r="DC5" s="2809">
        <v>29071.941947559819</v>
      </c>
      <c r="DD5" s="2809">
        <v>29111.019947766225</v>
      </c>
      <c r="DE5" s="2809">
        <v>31636.023138115845</v>
      </c>
      <c r="DF5" s="2809">
        <v>29893.550483353891</v>
      </c>
      <c r="DG5" s="2809">
        <v>29612.111529268681</v>
      </c>
      <c r="DH5" s="2809">
        <v>29987.258875632728</v>
      </c>
      <c r="DI5" s="2809">
        <v>29808.532092407655</v>
      </c>
      <c r="DJ5" s="2809">
        <v>29873.778942881614</v>
      </c>
      <c r="DK5" s="2809">
        <v>30056.327956020566</v>
      </c>
      <c r="DL5" s="2809">
        <v>30327.714046756177</v>
      </c>
      <c r="DM5" s="2809">
        <v>30499.597336790979</v>
      </c>
      <c r="DN5" s="2809">
        <v>30620.709542476052</v>
      </c>
      <c r="DO5" s="2809">
        <v>31634.880380811912</v>
      </c>
      <c r="DP5" s="2809">
        <v>31672.719324559101</v>
      </c>
      <c r="DQ5" s="2809">
        <v>35365.44116659162</v>
      </c>
      <c r="DR5" s="2809">
        <v>33646.968742174089</v>
      </c>
      <c r="DS5" s="2809">
        <v>33729.331543131731</v>
      </c>
      <c r="DT5" s="2809">
        <v>34041.210177219153</v>
      </c>
      <c r="DU5" s="2809">
        <v>35441.178040064326</v>
      </c>
      <c r="DV5" s="2809">
        <v>36965.41341447919</v>
      </c>
      <c r="DW5" s="2809">
        <v>36133.21804392316</v>
      </c>
      <c r="DX5" s="2809">
        <v>36349.4683146877</v>
      </c>
      <c r="DY5" s="2809">
        <v>36481.794617266271</v>
      </c>
      <c r="DZ5" s="2809">
        <v>36167.186899197026</v>
      </c>
      <c r="EA5" s="2809">
        <v>36623.820447114776</v>
      </c>
      <c r="EB5" s="2809">
        <v>36907.671134592551</v>
      </c>
      <c r="EC5" s="2809">
        <v>39610.504011841193</v>
      </c>
      <c r="ED5" s="2809">
        <v>38497.754583117094</v>
      </c>
      <c r="EE5" s="2809">
        <v>38230.063502696634</v>
      </c>
      <c r="EF5" s="2809">
        <v>38930.812688919905</v>
      </c>
      <c r="EG5" s="2809">
        <v>39704.961290793319</v>
      </c>
      <c r="EH5" s="2809">
        <v>39960.940228936379</v>
      </c>
      <c r="EI5" s="2809">
        <v>39426.331250734554</v>
      </c>
      <c r="EJ5" s="2809">
        <v>39694.546839719958</v>
      </c>
      <c r="EK5" s="2809">
        <v>39586.95230685253</v>
      </c>
      <c r="EL5" s="2809">
        <v>39355.655473794584</v>
      </c>
      <c r="EM5" s="2809">
        <v>40400.961629362821</v>
      </c>
      <c r="EN5" s="2809">
        <v>40632.814910755158</v>
      </c>
      <c r="EO5" s="2809">
        <v>43542.015341207203</v>
      </c>
      <c r="EP5" s="2809">
        <v>42546.18536786933</v>
      </c>
      <c r="EQ5" s="2809">
        <v>42569.223344377846</v>
      </c>
      <c r="ER5" s="2809">
        <v>42239.306684471616</v>
      </c>
      <c r="ES5" s="2809">
        <v>42882.579815164245</v>
      </c>
      <c r="ET5" s="2809">
        <v>42631.991765195919</v>
      </c>
      <c r="EU5" s="2809">
        <v>42461.138057696364</v>
      </c>
      <c r="EV5" s="2809">
        <v>43163.327203205139</v>
      </c>
      <c r="EW5" s="2809">
        <v>43096.278275516896</v>
      </c>
      <c r="EX5" s="2809">
        <v>43314.940585212935</v>
      </c>
      <c r="EY5" s="2809">
        <v>44004.969362828473</v>
      </c>
      <c r="EZ5" s="2809">
        <v>43994.409553095829</v>
      </c>
      <c r="FA5" s="2809">
        <v>47620.609747011054</v>
      </c>
      <c r="FB5" s="2809">
        <v>46297.765714723093</v>
      </c>
      <c r="FC5" s="2809">
        <v>46149.403663872981</v>
      </c>
      <c r="FD5" s="2809">
        <v>46211.170909433262</v>
      </c>
      <c r="FE5" s="2809">
        <v>46605.740991945291</v>
      </c>
      <c r="FF5" s="2809">
        <v>45982.351978401377</v>
      </c>
      <c r="FG5" s="2809">
        <v>46072.893384649302</v>
      </c>
      <c r="FH5" s="2809">
        <v>46615.630973537387</v>
      </c>
      <c r="FI5" s="2809">
        <v>46607.64282613252</v>
      </c>
    </row>
    <row r="6" spans="1:165" ht="17.100000000000001" customHeight="1" x14ac:dyDescent="0.25">
      <c r="A6" s="2807" t="s">
        <v>2698</v>
      </c>
      <c r="B6" s="2809">
        <v>2780.4818602185578</v>
      </c>
      <c r="C6" s="2809">
        <v>2661.1428895894414</v>
      </c>
      <c r="D6" s="2809">
        <v>2898.1288821314602</v>
      </c>
      <c r="E6" s="2809">
        <v>2715.3582111474238</v>
      </c>
      <c r="F6" s="2809">
        <v>2684.0971327969955</v>
      </c>
      <c r="G6" s="2809">
        <v>2744.9043118847831</v>
      </c>
      <c r="H6" s="2809">
        <v>2589.750992474867</v>
      </c>
      <c r="I6" s="2809">
        <v>2818.4901145357067</v>
      </c>
      <c r="J6" s="2809">
        <v>2854.1944993078255</v>
      </c>
      <c r="K6" s="2809">
        <v>2652.7364417868403</v>
      </c>
      <c r="L6" s="2809">
        <v>2792.7197988087805</v>
      </c>
      <c r="M6" s="2809">
        <v>3616.7552011710859</v>
      </c>
      <c r="N6" s="2809">
        <v>3226.065290569335</v>
      </c>
      <c r="O6" s="2809">
        <v>2789.5613597740057</v>
      </c>
      <c r="P6" s="2809">
        <v>3064.4438332881532</v>
      </c>
      <c r="Q6" s="2809">
        <v>2706.3366797338899</v>
      </c>
      <c r="R6" s="2809">
        <v>3000.4766235805801</v>
      </c>
      <c r="S6" s="2809">
        <v>2937.2266495119648</v>
      </c>
      <c r="T6" s="2809">
        <v>2860.3833820514105</v>
      </c>
      <c r="U6" s="2809">
        <v>3375.9320411612475</v>
      </c>
      <c r="V6" s="2809">
        <v>3198.9278438555507</v>
      </c>
      <c r="W6" s="2809">
        <v>3543.8328578868231</v>
      </c>
      <c r="X6" s="2809">
        <v>3523.5380632228726</v>
      </c>
      <c r="Y6" s="2809">
        <v>4161.9693968671954</v>
      </c>
      <c r="Z6" s="2809">
        <v>3378.484805855383</v>
      </c>
      <c r="AA6" s="2809">
        <v>3248.2380390606745</v>
      </c>
      <c r="AB6" s="2809">
        <v>2883.3512458578157</v>
      </c>
      <c r="AC6" s="2809">
        <v>2977.8079643617739</v>
      </c>
      <c r="AD6" s="2809">
        <v>3403.9576576288719</v>
      </c>
      <c r="AE6" s="2809">
        <v>2731.8580123987772</v>
      </c>
      <c r="AF6" s="2809">
        <v>2921.5951604483175</v>
      </c>
      <c r="AG6" s="2809">
        <v>3285.2655863486962</v>
      </c>
      <c r="AH6" s="2809">
        <v>3218.9780038196668</v>
      </c>
      <c r="AI6" s="2809">
        <v>3775.3428060113479</v>
      </c>
      <c r="AJ6" s="2809">
        <v>3586.6000795631339</v>
      </c>
      <c r="AK6" s="2809">
        <v>4791.5966149175529</v>
      </c>
      <c r="AL6" s="2809">
        <v>4198.8004375281098</v>
      </c>
      <c r="AM6" s="2809">
        <v>3718.4681231650479</v>
      </c>
      <c r="AN6" s="2809">
        <v>3968.0071440123438</v>
      </c>
      <c r="AO6" s="2809">
        <v>4263.4817446186689</v>
      </c>
      <c r="AP6" s="2809">
        <v>4030.7237780018918</v>
      </c>
      <c r="AQ6" s="2809">
        <v>3881.5519780801178</v>
      </c>
      <c r="AR6" s="2809">
        <v>4400.6176584587956</v>
      </c>
      <c r="AS6" s="2809">
        <v>4329.7500811983455</v>
      </c>
      <c r="AT6" s="2809">
        <v>4242.0866869116808</v>
      </c>
      <c r="AU6" s="2809">
        <v>4812.0552422003866</v>
      </c>
      <c r="AV6" s="2809">
        <v>4467.8940639118146</v>
      </c>
      <c r="AW6" s="2809">
        <v>6810.9656838341225</v>
      </c>
      <c r="AX6" s="2809">
        <v>5069.9095430427915</v>
      </c>
      <c r="AY6" s="2809">
        <v>4859.8693030329596</v>
      </c>
      <c r="AZ6" s="2809">
        <v>4678.5999159676958</v>
      </c>
      <c r="BA6" s="2809">
        <v>5002.6420686924439</v>
      </c>
      <c r="BB6" s="2809">
        <v>4285.1118852461977</v>
      </c>
      <c r="BC6" s="2809">
        <v>4659.9065244093199</v>
      </c>
      <c r="BD6" s="2809">
        <v>5162.9735006449473</v>
      </c>
      <c r="BE6" s="2809">
        <v>4784.119899514094</v>
      </c>
      <c r="BF6" s="2809">
        <v>4722.670419430573</v>
      </c>
      <c r="BG6" s="2809">
        <v>4493.5170977541047</v>
      </c>
      <c r="BH6" s="2809">
        <v>4728.3325385640619</v>
      </c>
      <c r="BI6" s="2809">
        <v>7139.7543311749869</v>
      </c>
      <c r="BJ6" s="2809">
        <v>4663.7387838217473</v>
      </c>
      <c r="BK6" s="2809">
        <v>4523.7478623699599</v>
      </c>
      <c r="BL6" s="2809">
        <v>4450.9223558028089</v>
      </c>
      <c r="BM6" s="2809">
        <v>4979.4203134760128</v>
      </c>
      <c r="BN6" s="2809">
        <v>4161.0018502116955</v>
      </c>
      <c r="BO6" s="2809">
        <v>4383.6580079079868</v>
      </c>
      <c r="BP6" s="2809">
        <v>4496.3473000134763</v>
      </c>
      <c r="BQ6" s="2809">
        <v>3994.4044263306255</v>
      </c>
      <c r="BR6" s="2809">
        <v>4461.7785986819208</v>
      </c>
      <c r="BS6" s="2809">
        <v>4318.628638748115</v>
      </c>
      <c r="BT6" s="2809">
        <v>4136.1890971867178</v>
      </c>
      <c r="BU6" s="2809">
        <v>5700</v>
      </c>
      <c r="BV6" s="2809">
        <v>4639.9123097070715</v>
      </c>
      <c r="BW6" s="2809">
        <v>4120.3852649670216</v>
      </c>
      <c r="BX6" s="2809">
        <v>4559.5574301768565</v>
      </c>
      <c r="BY6" s="2809">
        <v>4193.0783909652037</v>
      </c>
      <c r="BZ6" s="2809">
        <v>4398.2989610010391</v>
      </c>
      <c r="CA6" s="2809">
        <v>4326.8833435254101</v>
      </c>
      <c r="CB6" s="2809">
        <v>4260.7877591309334</v>
      </c>
      <c r="CC6" s="2809">
        <v>4589.0046524532281</v>
      </c>
      <c r="CD6" s="2809">
        <v>4732.6255099037444</v>
      </c>
      <c r="CE6" s="2809">
        <v>4727.9586299159955</v>
      </c>
      <c r="CF6" s="2809">
        <v>5014.1771895143556</v>
      </c>
      <c r="CG6" s="2809">
        <v>6187.1460565193684</v>
      </c>
      <c r="CH6" s="2809">
        <v>5518.0582707766389</v>
      </c>
      <c r="CI6" s="2809">
        <v>5086.7802471466075</v>
      </c>
      <c r="CJ6" s="2809">
        <v>5413.5634866610299</v>
      </c>
      <c r="CK6" s="2809">
        <v>4919.5590877596596</v>
      </c>
      <c r="CL6" s="2809">
        <v>4519.4033162250489</v>
      </c>
      <c r="CM6" s="2809">
        <v>5103.3417168232363</v>
      </c>
      <c r="CN6" s="2809">
        <v>4617.9956123513275</v>
      </c>
      <c r="CO6" s="2809">
        <v>4377.7882468055095</v>
      </c>
      <c r="CP6" s="2809">
        <v>4636.5514420067884</v>
      </c>
      <c r="CQ6" s="2809">
        <v>5956.1293232755443</v>
      </c>
      <c r="CR6" s="2809">
        <v>5488.725887875612</v>
      </c>
      <c r="CS6" s="2809">
        <v>6493.0487123812809</v>
      </c>
      <c r="CT6" s="2809">
        <v>6233.4020422090307</v>
      </c>
      <c r="CU6" s="2809">
        <v>5547.9557401637248</v>
      </c>
      <c r="CV6" s="2809">
        <v>5202.3559418015602</v>
      </c>
      <c r="CW6" s="2809">
        <v>5160.4314191792973</v>
      </c>
      <c r="CX6" s="2809">
        <v>5317.7048001934272</v>
      </c>
      <c r="CY6" s="2809">
        <v>4753.28732685045</v>
      </c>
      <c r="CZ6" s="2809">
        <v>5137.0804043879234</v>
      </c>
      <c r="DA6" s="2809">
        <v>4877.3073580142081</v>
      </c>
      <c r="DB6" s="2809">
        <v>4489.8915086023289</v>
      </c>
      <c r="DC6" s="2809">
        <v>5441.6693809101835</v>
      </c>
      <c r="DD6" s="2809">
        <v>5638.6729159237802</v>
      </c>
      <c r="DE6" s="2809">
        <v>7704.4489917341543</v>
      </c>
      <c r="DF6" s="2809">
        <v>7354.9369597161085</v>
      </c>
      <c r="DG6" s="2809">
        <v>6057.7412150413129</v>
      </c>
      <c r="DH6" s="2809">
        <v>6188.3169892272736</v>
      </c>
      <c r="DI6" s="2809">
        <v>6526.4704679423421</v>
      </c>
      <c r="DJ6" s="2809">
        <v>6456.2028305483882</v>
      </c>
      <c r="DK6" s="2809">
        <v>5837.0643281894327</v>
      </c>
      <c r="DL6" s="2809">
        <v>6124.8075236438253</v>
      </c>
      <c r="DM6" s="2809">
        <v>5972.4088819290218</v>
      </c>
      <c r="DN6" s="2809">
        <v>5242.610979963948</v>
      </c>
      <c r="DO6" s="2809">
        <v>6250.6338458380906</v>
      </c>
      <c r="DP6" s="2809">
        <v>5814.1562041309053</v>
      </c>
      <c r="DQ6" s="2809">
        <v>7543.713894688377</v>
      </c>
      <c r="DR6" s="2809">
        <v>6263.8035133059066</v>
      </c>
      <c r="DS6" s="2809">
        <v>5655.1840796482666</v>
      </c>
      <c r="DT6" s="2809">
        <v>6490.3051716908449</v>
      </c>
      <c r="DU6" s="2809">
        <v>6930.7378024656709</v>
      </c>
      <c r="DV6" s="2809">
        <v>5586.7797979408087</v>
      </c>
      <c r="DW6" s="2809">
        <v>5722.302474896841</v>
      </c>
      <c r="DX6" s="2809">
        <v>5767.0276340122928</v>
      </c>
      <c r="DY6" s="2809">
        <v>5098.575338673737</v>
      </c>
      <c r="DZ6" s="2809">
        <v>5599.5383830129713</v>
      </c>
      <c r="EA6" s="2809">
        <v>5477.2437161352191</v>
      </c>
      <c r="EB6" s="2809">
        <v>5394.0144405774463</v>
      </c>
      <c r="EC6" s="2809">
        <v>6950.9651418888052</v>
      </c>
      <c r="ED6" s="2809">
        <v>6011.4850225429063</v>
      </c>
      <c r="EE6" s="2809">
        <v>5340.56838381337</v>
      </c>
      <c r="EF6" s="2809">
        <v>5928.2086155700936</v>
      </c>
      <c r="EG6" s="2809">
        <v>5770.0358313166835</v>
      </c>
      <c r="EH6" s="2809">
        <v>5691.350409953624</v>
      </c>
      <c r="EI6" s="2809">
        <v>5827.0871118054465</v>
      </c>
      <c r="EJ6" s="2809">
        <v>5701.5120236500361</v>
      </c>
      <c r="EK6" s="2809">
        <v>5898.6733748374745</v>
      </c>
      <c r="EL6" s="2809">
        <v>5848.1588981454179</v>
      </c>
      <c r="EM6" s="2809">
        <v>6200.9903362771829</v>
      </c>
      <c r="EN6" s="2809">
        <v>6174.9756292848388</v>
      </c>
      <c r="EO6" s="2809">
        <v>6658.4163965527987</v>
      </c>
      <c r="EP6" s="2809">
        <v>6093.529433580672</v>
      </c>
      <c r="EQ6" s="2809">
        <v>6042.0403755521538</v>
      </c>
      <c r="ER6" s="2809">
        <v>6302.4203345383849</v>
      </c>
      <c r="ES6" s="2809">
        <v>5806.7671158457588</v>
      </c>
      <c r="ET6" s="2809">
        <v>6199.1420801840804</v>
      </c>
      <c r="EU6" s="2809">
        <v>6226.0034153836359</v>
      </c>
      <c r="EV6" s="2809">
        <v>5852.8333855448573</v>
      </c>
      <c r="EW6" s="2809">
        <v>6188.2348218031029</v>
      </c>
      <c r="EX6" s="2809">
        <v>5945.0316045670652</v>
      </c>
      <c r="EY6" s="2809">
        <v>5600.8444229015204</v>
      </c>
      <c r="EZ6" s="2809">
        <v>5676.8441473441744</v>
      </c>
      <c r="FA6" s="2809">
        <v>7021.1141858289448</v>
      </c>
      <c r="FB6" s="2809">
        <v>6362.8260449469017</v>
      </c>
      <c r="FC6" s="2809">
        <v>6294.0120372970223</v>
      </c>
      <c r="FD6" s="2809">
        <v>6157.0350029967358</v>
      </c>
      <c r="FE6" s="2809">
        <v>5773.5440817647068</v>
      </c>
      <c r="FF6" s="2809">
        <v>6288.5177023886208</v>
      </c>
      <c r="FG6" s="2809">
        <v>6153.4373551306962</v>
      </c>
      <c r="FH6" s="2809">
        <v>5754.6709943726119</v>
      </c>
      <c r="FI6" s="2809">
        <v>6196.3994764574736</v>
      </c>
    </row>
    <row r="7" spans="1:165" ht="17.100000000000001" customHeight="1" x14ac:dyDescent="0.25">
      <c r="A7" s="2807" t="s">
        <v>2699</v>
      </c>
      <c r="B7" s="2809">
        <v>13354.1369304</v>
      </c>
      <c r="C7" s="2809">
        <v>15547.269751184082</v>
      </c>
      <c r="D7" s="2809">
        <v>16275.622386438796</v>
      </c>
      <c r="E7" s="2809">
        <v>15221.23032284</v>
      </c>
      <c r="F7" s="2809">
        <v>16093.601333399249</v>
      </c>
      <c r="G7" s="2809">
        <v>16999.361531195795</v>
      </c>
      <c r="H7" s="2809">
        <v>19152.045058170501</v>
      </c>
      <c r="I7" s="2809">
        <v>17322.563515917751</v>
      </c>
      <c r="J7" s="2809">
        <v>17348.093718887878</v>
      </c>
      <c r="K7" s="2809">
        <v>19741.48304675605</v>
      </c>
      <c r="L7" s="2809">
        <v>20508.300298751532</v>
      </c>
      <c r="M7" s="2809">
        <v>22343.765787940167</v>
      </c>
      <c r="N7" s="2809">
        <v>22984.200542913426</v>
      </c>
      <c r="O7" s="2809">
        <v>22919.075251580765</v>
      </c>
      <c r="P7" s="2809">
        <v>22059.179417132509</v>
      </c>
      <c r="Q7" s="2809">
        <v>23166.702863040875</v>
      </c>
      <c r="R7" s="2809">
        <v>20938.908755252636</v>
      </c>
      <c r="S7" s="2809">
        <v>21782.913917106107</v>
      </c>
      <c r="T7" s="2809">
        <v>21168.268613999975</v>
      </c>
      <c r="U7" s="2809">
        <v>22548.75644605832</v>
      </c>
      <c r="V7" s="2809">
        <v>21135.314750968126</v>
      </c>
      <c r="W7" s="2809">
        <v>20621.053342979791</v>
      </c>
      <c r="X7" s="2809">
        <v>20552.26384958261</v>
      </c>
      <c r="Y7" s="2809">
        <v>23811.115484457412</v>
      </c>
      <c r="Z7" s="2809">
        <v>21262.747211979215</v>
      </c>
      <c r="AA7" s="2809">
        <v>22729.78389618911</v>
      </c>
      <c r="AB7" s="2809">
        <v>22777.196732427616</v>
      </c>
      <c r="AC7" s="2809">
        <v>22587.705621703659</v>
      </c>
      <c r="AD7" s="2809">
        <v>22581.00185845033</v>
      </c>
      <c r="AE7" s="2809">
        <v>24165.476965627764</v>
      </c>
      <c r="AF7" s="2809">
        <v>23900.002767059999</v>
      </c>
      <c r="AG7" s="2809">
        <v>23612.924114190002</v>
      </c>
      <c r="AH7" s="2809">
        <v>24815.184473119996</v>
      </c>
      <c r="AI7" s="2809">
        <v>23406.22358813</v>
      </c>
      <c r="AJ7" s="2809">
        <v>22282.956181639998</v>
      </c>
      <c r="AK7" s="2809">
        <v>25661.61601234</v>
      </c>
      <c r="AL7" s="2809">
        <v>24923.575304820002</v>
      </c>
      <c r="AM7" s="2809">
        <v>27863.721685230001</v>
      </c>
      <c r="AN7" s="2809">
        <v>27008.273728829998</v>
      </c>
      <c r="AO7" s="2809">
        <v>23896.042957950001</v>
      </c>
      <c r="AP7" s="2809">
        <v>28157.483017939998</v>
      </c>
      <c r="AQ7" s="2809">
        <v>28688.974320559999</v>
      </c>
      <c r="AR7" s="2809">
        <v>28935.587960119999</v>
      </c>
      <c r="AS7" s="2809">
        <v>26134.653011400002</v>
      </c>
      <c r="AT7" s="2809">
        <v>25278.962214350006</v>
      </c>
      <c r="AU7" s="2809">
        <v>26462.917852329996</v>
      </c>
      <c r="AV7" s="2809">
        <v>28401.248003600002</v>
      </c>
      <c r="AW7" s="2809">
        <v>32222.361538929999</v>
      </c>
      <c r="AX7" s="2809">
        <v>31332.858156099996</v>
      </c>
      <c r="AY7" s="2809">
        <v>37154.273890489996</v>
      </c>
      <c r="AZ7" s="2809">
        <v>35714.452707160002</v>
      </c>
      <c r="BA7" s="2809">
        <v>35349.192402590001</v>
      </c>
      <c r="BB7" s="2809">
        <v>36559.695734500005</v>
      </c>
      <c r="BC7" s="2809">
        <v>35792.13994986</v>
      </c>
      <c r="BD7" s="2809">
        <v>37463.480514460003</v>
      </c>
      <c r="BE7" s="2809">
        <v>39541.545096289999</v>
      </c>
      <c r="BF7" s="2809">
        <v>37218.004232480009</v>
      </c>
      <c r="BG7" s="2809">
        <v>38604.992392180007</v>
      </c>
      <c r="BH7" s="2809">
        <v>36126.117609040004</v>
      </c>
      <c r="BI7" s="2809">
        <v>35402.665723730002</v>
      </c>
      <c r="BJ7" s="2809">
        <v>40194.553121159995</v>
      </c>
      <c r="BK7" s="2809">
        <v>41903.326050510004</v>
      </c>
      <c r="BL7" s="2809">
        <v>45342.041259387093</v>
      </c>
      <c r="BM7" s="2809">
        <v>46268.043769730008</v>
      </c>
      <c r="BN7" s="2809">
        <v>42422.148787660008</v>
      </c>
      <c r="BO7" s="2809">
        <v>43192.988507800001</v>
      </c>
      <c r="BP7" s="2809">
        <v>39688.594744379996</v>
      </c>
      <c r="BQ7" s="2809">
        <v>37781.122630039994</v>
      </c>
      <c r="BR7" s="2809">
        <v>38130.92308647</v>
      </c>
      <c r="BS7" s="2809">
        <v>42033.614138259996</v>
      </c>
      <c r="BT7" s="2809">
        <v>41357.989154869996</v>
      </c>
      <c r="BU7" s="2809">
        <v>40232</v>
      </c>
      <c r="BV7" s="2809">
        <v>43327.37065099</v>
      </c>
      <c r="BW7" s="2809">
        <v>42270.242217110004</v>
      </c>
      <c r="BX7" s="2809">
        <v>38702.747159840001</v>
      </c>
      <c r="BY7" s="2809">
        <v>36966.402783769998</v>
      </c>
      <c r="BZ7" s="2809">
        <v>45500.998912250005</v>
      </c>
      <c r="CA7" s="2809">
        <v>39838.989369879993</v>
      </c>
      <c r="CB7" s="2809">
        <v>40788.16046508</v>
      </c>
      <c r="CC7" s="2809">
        <v>41119.640720480005</v>
      </c>
      <c r="CD7" s="2809">
        <v>41671.594240912294</v>
      </c>
      <c r="CE7" s="2809">
        <v>39342.389224932289</v>
      </c>
      <c r="CF7" s="2809">
        <v>43057.980335112297</v>
      </c>
      <c r="CG7" s="2809">
        <v>46144.057143852289</v>
      </c>
      <c r="CH7" s="2809">
        <v>49052.035099962297</v>
      </c>
      <c r="CI7" s="2809">
        <v>46447.503736152299</v>
      </c>
      <c r="CJ7" s="2809">
        <v>42630.130434432293</v>
      </c>
      <c r="CK7" s="2809">
        <v>50649.058355552283</v>
      </c>
      <c r="CL7" s="2809">
        <v>51387.394905092289</v>
      </c>
      <c r="CM7" s="2809">
        <v>47138.658829172295</v>
      </c>
      <c r="CN7" s="2809">
        <v>48911.241085272297</v>
      </c>
      <c r="CO7" s="2809">
        <v>46142.886787152289</v>
      </c>
      <c r="CP7" s="2809">
        <v>52734.662568232292</v>
      </c>
      <c r="CQ7" s="2809">
        <v>47975.549305722285</v>
      </c>
      <c r="CR7" s="2809">
        <v>55447.42017634229</v>
      </c>
      <c r="CS7" s="2809">
        <v>63436.593504842291</v>
      </c>
      <c r="CT7" s="2809">
        <v>64010.385101322288</v>
      </c>
      <c r="CU7" s="2809">
        <v>64691.880049190004</v>
      </c>
      <c r="CV7" s="2809">
        <v>61775.648335420003</v>
      </c>
      <c r="CW7" s="2809">
        <v>62298.683299819997</v>
      </c>
      <c r="CX7" s="2809">
        <v>65146.519412010006</v>
      </c>
      <c r="CY7" s="2809">
        <v>75207.92356529001</v>
      </c>
      <c r="CZ7" s="2809">
        <v>66305.61094092</v>
      </c>
      <c r="DA7" s="2809">
        <v>78975.213065695003</v>
      </c>
      <c r="DB7" s="2809">
        <v>66270.398734379996</v>
      </c>
      <c r="DC7" s="2809">
        <v>63583.843827479999</v>
      </c>
      <c r="DD7" s="2809">
        <v>68343.119430899998</v>
      </c>
      <c r="DE7" s="2809">
        <v>61526.639409400006</v>
      </c>
      <c r="DF7" s="2809">
        <v>65569.821188270012</v>
      </c>
      <c r="DG7" s="2809">
        <v>67814.736733609985</v>
      </c>
      <c r="DH7" s="2809">
        <v>65703.469429789999</v>
      </c>
      <c r="DI7" s="2809">
        <v>67220.293253249998</v>
      </c>
      <c r="DJ7" s="2809">
        <v>72201.11818676001</v>
      </c>
      <c r="DK7" s="2809">
        <v>69836.564613819995</v>
      </c>
      <c r="DL7" s="2809">
        <v>73400.208292349998</v>
      </c>
      <c r="DM7" s="2809">
        <v>68249.798498079996</v>
      </c>
      <c r="DN7" s="2809">
        <v>69874.510723400002</v>
      </c>
      <c r="DO7" s="2809">
        <v>66725.449632139993</v>
      </c>
      <c r="DP7" s="2809">
        <v>73298.830747629996</v>
      </c>
      <c r="DQ7" s="2809">
        <v>80442.341112480019</v>
      </c>
      <c r="DR7" s="2809">
        <v>77776.282186179989</v>
      </c>
      <c r="DS7" s="2809">
        <v>82662.719124980009</v>
      </c>
      <c r="DT7" s="2809">
        <v>85871.212860280008</v>
      </c>
      <c r="DU7" s="2809">
        <v>90023.860949669994</v>
      </c>
      <c r="DV7" s="2809">
        <v>114298.81100968999</v>
      </c>
      <c r="DW7" s="2809">
        <v>106491.25758024</v>
      </c>
      <c r="DX7" s="2809">
        <v>111756.76418896001</v>
      </c>
      <c r="DY7" s="2809">
        <v>95879.586515479998</v>
      </c>
      <c r="DZ7" s="2809">
        <v>94156.614546609999</v>
      </c>
      <c r="EA7" s="2809">
        <v>135936.18902791</v>
      </c>
      <c r="EB7" s="2809">
        <v>141911.90418340999</v>
      </c>
      <c r="EC7" s="2809">
        <v>148154.26381224999</v>
      </c>
      <c r="ED7" s="2809">
        <v>169642.08276880998</v>
      </c>
      <c r="EE7" s="2809">
        <v>152420.99205742002</v>
      </c>
      <c r="EF7" s="2809">
        <v>151391.00562089001</v>
      </c>
      <c r="EG7" s="2809">
        <v>189957.66987225</v>
      </c>
      <c r="EH7" s="2809">
        <v>196874.81280272</v>
      </c>
      <c r="EI7" s="2809">
        <v>193686.90778528</v>
      </c>
      <c r="EJ7" s="2809">
        <v>197714.66126118999</v>
      </c>
      <c r="EK7" s="2809">
        <v>196203.01546696998</v>
      </c>
      <c r="EL7" s="2809">
        <v>214274.5363721631</v>
      </c>
      <c r="EM7" s="2809">
        <v>201453.09286102001</v>
      </c>
      <c r="EN7" s="2809">
        <v>203237.78405341</v>
      </c>
      <c r="EO7" s="2809">
        <v>213383.47801433003</v>
      </c>
      <c r="EP7" s="2809">
        <v>186304.21512650562</v>
      </c>
      <c r="EQ7" s="2809">
        <v>179928.35477308003</v>
      </c>
      <c r="ER7" s="2809">
        <v>199622.36885690561</v>
      </c>
      <c r="ES7" s="2809">
        <v>166994.84911850002</v>
      </c>
      <c r="ET7" s="2809">
        <v>156460.99029684003</v>
      </c>
      <c r="EU7" s="2809">
        <v>198544.82558916</v>
      </c>
      <c r="EV7" s="2809">
        <v>166258.45192773</v>
      </c>
      <c r="EW7" s="2809">
        <v>167466.13715378</v>
      </c>
      <c r="EX7" s="2809">
        <v>181291.88351693808</v>
      </c>
      <c r="EY7" s="2809">
        <v>139322.66750867001</v>
      </c>
      <c r="EZ7" s="2809">
        <v>128094.17056266</v>
      </c>
      <c r="FA7" s="2809">
        <v>193522.35737054999</v>
      </c>
      <c r="FB7" s="2809">
        <v>130641.93175998001</v>
      </c>
      <c r="FC7" s="2809">
        <v>133876.20709624002</v>
      </c>
      <c r="FD7" s="2809">
        <v>122458.70037833002</v>
      </c>
      <c r="FE7" s="2809">
        <v>116254.48663532001</v>
      </c>
      <c r="FF7" s="2809">
        <v>110877.31303014999</v>
      </c>
      <c r="FG7" s="2809">
        <v>109114.09315536999</v>
      </c>
      <c r="FH7" s="2809">
        <v>110214.03023131</v>
      </c>
      <c r="FI7" s="2809">
        <v>109470.79083412999</v>
      </c>
    </row>
    <row r="8" spans="1:165" ht="17.100000000000001" customHeight="1" x14ac:dyDescent="0.25">
      <c r="A8" s="2807" t="s">
        <v>2700</v>
      </c>
      <c r="B8" s="2809"/>
      <c r="C8" s="2809"/>
      <c r="D8" s="2809"/>
      <c r="E8" s="2809"/>
      <c r="F8" s="2809"/>
      <c r="G8" s="2809"/>
      <c r="H8" s="2809"/>
      <c r="I8" s="2809"/>
      <c r="J8" s="2809"/>
      <c r="K8" s="2809"/>
      <c r="L8" s="2809"/>
      <c r="M8" s="2809"/>
      <c r="N8" s="2809"/>
      <c r="O8" s="2809"/>
      <c r="P8" s="2809"/>
      <c r="Q8" s="2809"/>
      <c r="R8" s="2809"/>
      <c r="S8" s="2809"/>
      <c r="T8" s="2809"/>
      <c r="U8" s="2809"/>
      <c r="V8" s="2809"/>
      <c r="W8" s="2809"/>
      <c r="X8" s="2809"/>
      <c r="Y8" s="2809"/>
      <c r="Z8" s="2809"/>
      <c r="AA8" s="2809"/>
      <c r="AB8" s="2809"/>
      <c r="AC8" s="2809"/>
      <c r="AD8" s="2809"/>
      <c r="AE8" s="2809"/>
      <c r="AF8" s="2809"/>
      <c r="AG8" s="2809"/>
      <c r="AH8" s="2809"/>
      <c r="AI8" s="2809"/>
      <c r="AJ8" s="2809"/>
      <c r="AK8" s="2809"/>
      <c r="AL8" s="2809"/>
      <c r="AM8" s="2809"/>
      <c r="AN8" s="2809"/>
      <c r="AO8" s="2809"/>
      <c r="AP8" s="2809"/>
      <c r="AQ8" s="2809"/>
      <c r="AR8" s="2809"/>
      <c r="AS8" s="2809"/>
      <c r="AT8" s="2809"/>
      <c r="AU8" s="2809"/>
      <c r="AV8" s="2809"/>
      <c r="AW8" s="2809"/>
      <c r="AX8" s="2809"/>
      <c r="AY8" s="2809"/>
      <c r="AZ8" s="2809"/>
      <c r="BA8" s="2809"/>
      <c r="BB8" s="2809"/>
      <c r="BC8" s="2809"/>
      <c r="BD8" s="2809"/>
      <c r="BE8" s="2809"/>
      <c r="BF8" s="2809"/>
      <c r="BG8" s="2809"/>
      <c r="BH8" s="2809"/>
      <c r="BI8" s="2809"/>
      <c r="BJ8" s="2809"/>
      <c r="BK8" s="2809"/>
      <c r="BL8" s="2809"/>
      <c r="BM8" s="2809"/>
      <c r="BN8" s="2809"/>
      <c r="BO8" s="2809"/>
      <c r="BP8" s="2809"/>
      <c r="BQ8" s="2809"/>
      <c r="BR8" s="2809"/>
      <c r="BS8" s="2809"/>
      <c r="BT8" s="2809"/>
      <c r="BU8" s="2809"/>
      <c r="BV8" s="2809"/>
      <c r="BW8" s="2809"/>
      <c r="BX8" s="2809"/>
      <c r="BY8" s="2809"/>
      <c r="BZ8" s="2809"/>
      <c r="CA8" s="2809"/>
      <c r="CB8" s="2809"/>
      <c r="CC8" s="2809"/>
      <c r="CD8" s="2809"/>
      <c r="CE8" s="2809"/>
      <c r="CF8" s="2809"/>
      <c r="CG8" s="2809"/>
      <c r="CH8" s="2809"/>
      <c r="CI8" s="2809"/>
      <c r="CJ8" s="2809"/>
      <c r="CK8" s="2809"/>
      <c r="CL8" s="2809"/>
      <c r="CM8" s="2809"/>
      <c r="CN8" s="2809"/>
      <c r="CO8" s="2809"/>
      <c r="CP8" s="2809"/>
      <c r="CQ8" s="2809"/>
      <c r="CR8" s="2809"/>
      <c r="CS8" s="2809"/>
      <c r="CT8" s="2809"/>
      <c r="CU8" s="2809"/>
      <c r="CV8" s="2809"/>
      <c r="CW8" s="2809"/>
      <c r="CX8" s="2809"/>
      <c r="CY8" s="2809"/>
      <c r="CZ8" s="2809"/>
      <c r="DA8" s="2809"/>
      <c r="DB8" s="2809"/>
      <c r="DC8" s="2809"/>
      <c r="DD8" s="2809"/>
      <c r="DE8" s="2809"/>
      <c r="DF8" s="2809"/>
      <c r="DG8" s="2809"/>
      <c r="DH8" s="2809"/>
      <c r="DI8" s="2809"/>
      <c r="DJ8" s="2809"/>
      <c r="DK8" s="2809"/>
      <c r="DL8" s="2809"/>
      <c r="DM8" s="2809"/>
      <c r="DN8" s="2809"/>
      <c r="DO8" s="2809"/>
      <c r="DP8" s="2809"/>
      <c r="DQ8" s="2809"/>
      <c r="DR8" s="2809"/>
      <c r="DS8" s="2809"/>
      <c r="DT8" s="2809"/>
      <c r="DU8" s="2809"/>
      <c r="DV8" s="2809"/>
      <c r="DW8" s="2809"/>
      <c r="DX8" s="2809"/>
      <c r="DY8" s="2809"/>
      <c r="DZ8" s="2809"/>
      <c r="EA8" s="2809"/>
      <c r="EB8" s="2809"/>
      <c r="EC8" s="2809"/>
      <c r="ED8" s="2809"/>
      <c r="EE8" s="2809"/>
      <c r="EF8" s="2809"/>
      <c r="EG8" s="2809"/>
      <c r="EH8" s="2809"/>
      <c r="EI8" s="2809"/>
      <c r="EJ8" s="2809"/>
      <c r="EK8" s="2809"/>
      <c r="EL8" s="2809"/>
      <c r="EM8" s="2809"/>
      <c r="EN8" s="2809"/>
      <c r="EO8" s="2809"/>
      <c r="EP8" s="2809"/>
      <c r="EQ8" s="2809"/>
      <c r="ER8" s="2809"/>
      <c r="ES8" s="2809"/>
      <c r="ET8" s="2809"/>
      <c r="EU8" s="2809"/>
      <c r="EV8" s="2809"/>
      <c r="EW8" s="2809"/>
      <c r="EX8" s="2809"/>
      <c r="EY8" s="2809"/>
      <c r="EZ8" s="2809"/>
      <c r="FA8" s="2809"/>
      <c r="FB8" s="2809"/>
      <c r="FC8" s="2809"/>
      <c r="FD8" s="2809"/>
      <c r="FE8" s="2809"/>
      <c r="FF8" s="2809"/>
      <c r="FG8" s="2809"/>
      <c r="FH8" s="2809"/>
      <c r="FI8" s="2809"/>
    </row>
    <row r="9" spans="1:165" s="2330" customFormat="1" ht="17.100000000000001" customHeight="1" x14ac:dyDescent="0.25">
      <c r="A9" s="2810" t="s">
        <v>2701</v>
      </c>
      <c r="B9" s="2811">
        <v>13180.361091909999</v>
      </c>
      <c r="C9" s="2811">
        <v>15445.119449369999</v>
      </c>
      <c r="D9" s="2811">
        <v>16168.046902009999</v>
      </c>
      <c r="E9" s="2811">
        <v>15124.25977701</v>
      </c>
      <c r="F9" s="2811">
        <v>16001.144004809998</v>
      </c>
      <c r="G9" s="2811">
        <v>16558.544007380002</v>
      </c>
      <c r="H9" s="2811">
        <v>19007.349950509997</v>
      </c>
      <c r="I9" s="2811">
        <v>17182.945034510001</v>
      </c>
      <c r="J9" s="2811">
        <v>17080.954378169998</v>
      </c>
      <c r="K9" s="2811">
        <v>19601.086913409999</v>
      </c>
      <c r="L9" s="2811">
        <v>20360.644917080001</v>
      </c>
      <c r="M9" s="2811">
        <v>22187.582204819999</v>
      </c>
      <c r="N9" s="2811">
        <v>22842.828379009999</v>
      </c>
      <c r="O9" s="2811">
        <v>22753.930035100002</v>
      </c>
      <c r="P9" s="2811">
        <v>21902.896262459999</v>
      </c>
      <c r="Q9" s="2811">
        <v>22996.164349359999</v>
      </c>
      <c r="R9" s="2811">
        <v>20819.986171249999</v>
      </c>
      <c r="S9" s="2811">
        <v>21555.850004669999</v>
      </c>
      <c r="T9" s="2811">
        <v>21020.661866890001</v>
      </c>
      <c r="U9" s="2811">
        <v>22403.703741509999</v>
      </c>
      <c r="V9" s="2811">
        <v>20956.707757559998</v>
      </c>
      <c r="W9" s="2811">
        <v>20392.186258429996</v>
      </c>
      <c r="X9" s="2811">
        <v>20406.316159820002</v>
      </c>
      <c r="Y9" s="2811">
        <v>23666.373667289998</v>
      </c>
      <c r="Z9" s="2811">
        <v>21128.55688815</v>
      </c>
      <c r="AA9" s="2811">
        <v>22606.986195919999</v>
      </c>
      <c r="AB9" s="2811">
        <v>22648.888231509998</v>
      </c>
      <c r="AC9" s="2811">
        <v>22462.387835019999</v>
      </c>
      <c r="AD9" s="2811">
        <v>22476.149191739998</v>
      </c>
      <c r="AE9" s="2811">
        <v>23977.369481069996</v>
      </c>
      <c r="AF9" s="2811">
        <v>23701.931139239998</v>
      </c>
      <c r="AG9" s="2811">
        <v>23541.113787940001</v>
      </c>
      <c r="AH9" s="2811">
        <v>24591.544820159997</v>
      </c>
      <c r="AI9" s="2811">
        <v>23167.60481945</v>
      </c>
      <c r="AJ9" s="2811">
        <v>22131.482146099999</v>
      </c>
      <c r="AK9" s="2811">
        <v>25515.138641540001</v>
      </c>
      <c r="AL9" s="2811">
        <v>24854.226564650002</v>
      </c>
      <c r="AM9" s="2811">
        <v>27797.761466790002</v>
      </c>
      <c r="AN9" s="2811">
        <v>26943.295328619999</v>
      </c>
      <c r="AO9" s="2811">
        <v>23830.458748830002</v>
      </c>
      <c r="AP9" s="2811">
        <v>28088.96964996</v>
      </c>
      <c r="AQ9" s="2811">
        <v>28377.491470929999</v>
      </c>
      <c r="AR9" s="2811">
        <v>28845.220740209999</v>
      </c>
      <c r="AS9" s="2811">
        <v>26045.912519270001</v>
      </c>
      <c r="AT9" s="2811">
        <v>25113.663529400004</v>
      </c>
      <c r="AU9" s="2811">
        <v>26366.097784619997</v>
      </c>
      <c r="AV9" s="2811">
        <v>28225.168882770002</v>
      </c>
      <c r="AW9" s="2811">
        <v>31894.798558349998</v>
      </c>
      <c r="AX9" s="2811">
        <v>31263.989790459997</v>
      </c>
      <c r="AY9" s="2811">
        <v>37062.201626349997</v>
      </c>
      <c r="AZ9" s="2811">
        <v>35626.74721275</v>
      </c>
      <c r="BA9" s="2811">
        <v>35263.900715039999</v>
      </c>
      <c r="BB9" s="2811">
        <v>36480.672927440006</v>
      </c>
      <c r="BC9" s="2811">
        <v>35505.536266570001</v>
      </c>
      <c r="BD9" s="2811">
        <v>37346.30601778</v>
      </c>
      <c r="BE9" s="2811">
        <v>39447.964838309999</v>
      </c>
      <c r="BF9" s="2811">
        <v>37043.045730330006</v>
      </c>
      <c r="BG9" s="2811">
        <v>38406.794046370007</v>
      </c>
      <c r="BH9" s="2811">
        <v>36009.536248050004</v>
      </c>
      <c r="BI9" s="2811">
        <v>35269.696321449999</v>
      </c>
      <c r="BJ9" s="2811">
        <v>40104.413002199995</v>
      </c>
      <c r="BK9" s="2811">
        <v>41805.112039910004</v>
      </c>
      <c r="BL9" s="2811">
        <v>45054.548004237091</v>
      </c>
      <c r="BM9" s="2811">
        <v>46161.870899910005</v>
      </c>
      <c r="BN9" s="2811">
        <v>42302.540231880004</v>
      </c>
      <c r="BO9" s="2811">
        <v>42987.27696255</v>
      </c>
      <c r="BP9" s="2811">
        <v>39385.219822699997</v>
      </c>
      <c r="BQ9" s="2811">
        <v>36807.436373129996</v>
      </c>
      <c r="BR9" s="2811">
        <v>37970.221436699998</v>
      </c>
      <c r="BS9" s="2811">
        <v>41922.34927662</v>
      </c>
      <c r="BT9" s="2811">
        <v>41263.81340811</v>
      </c>
      <c r="BU9" s="2811">
        <v>39962</v>
      </c>
      <c r="BV9" s="2811">
        <v>43239.512165820001</v>
      </c>
      <c r="BW9" s="2811">
        <v>42176.046251020001</v>
      </c>
      <c r="BX9" s="2811">
        <v>38608.694038940004</v>
      </c>
      <c r="BY9" s="2811">
        <v>36805.113869389999</v>
      </c>
      <c r="BZ9" s="2811">
        <v>45411.241120620005</v>
      </c>
      <c r="CA9" s="2811">
        <v>39659.050252699992</v>
      </c>
      <c r="CB9" s="2811">
        <v>40641.943913030002</v>
      </c>
      <c r="CC9" s="2811">
        <v>40847.126320720003</v>
      </c>
      <c r="CD9" s="2811">
        <v>41470.56727</v>
      </c>
      <c r="CE9" s="2811">
        <v>39234.331478</v>
      </c>
      <c r="CF9" s="2811">
        <v>42934.689576000004</v>
      </c>
      <c r="CG9" s="2811">
        <v>45642.115197769999</v>
      </c>
      <c r="CH9" s="2811">
        <v>48951.913890610005</v>
      </c>
      <c r="CI9" s="2811">
        <v>46324.269419410004</v>
      </c>
      <c r="CJ9" s="2811">
        <v>42441.435363860001</v>
      </c>
      <c r="CK9" s="2811">
        <v>50524.902447699991</v>
      </c>
      <c r="CL9" s="2811">
        <v>51270.683553429997</v>
      </c>
      <c r="CM9" s="2811">
        <v>46984.148916220001</v>
      </c>
      <c r="CN9" s="2811">
        <v>48775.635459120007</v>
      </c>
      <c r="CO9" s="2811">
        <v>46023.509124389995</v>
      </c>
      <c r="CP9" s="2811">
        <v>52573.411807529999</v>
      </c>
      <c r="CQ9" s="2811">
        <v>47851.757256239995</v>
      </c>
      <c r="CR9" s="2811">
        <v>55350.635036970001</v>
      </c>
      <c r="CS9" s="2811">
        <v>63319.442593779997</v>
      </c>
      <c r="CT9" s="2811">
        <v>63907.960726270678</v>
      </c>
      <c r="CU9" s="2811">
        <v>64589.194299900002</v>
      </c>
      <c r="CV9" s="2811">
        <v>61684.655452080005</v>
      </c>
      <c r="CW9" s="2811">
        <v>62161.711645019997</v>
      </c>
      <c r="CX9" s="2811">
        <v>65056.358257800006</v>
      </c>
      <c r="CY9" s="2811">
        <v>75026.109037970004</v>
      </c>
      <c r="CZ9" s="2811">
        <v>66061.261849009999</v>
      </c>
      <c r="DA9" s="2811">
        <v>78886.824107995009</v>
      </c>
      <c r="DB9" s="2811">
        <v>66111.966410969995</v>
      </c>
      <c r="DC9" s="2811">
        <v>63491.167822060001</v>
      </c>
      <c r="DD9" s="2811">
        <v>68248.702641269992</v>
      </c>
      <c r="DE9" s="2811">
        <v>61401.321099070003</v>
      </c>
      <c r="DF9" s="2811">
        <v>65474.932045410009</v>
      </c>
      <c r="DG9" s="2811">
        <v>67717.134163858689</v>
      </c>
      <c r="DH9" s="2811">
        <v>65531.594309039996</v>
      </c>
      <c r="DI9" s="2811">
        <v>67107.099646510003</v>
      </c>
      <c r="DJ9" s="2811">
        <v>72113.999596050009</v>
      </c>
      <c r="DK9" s="2811">
        <v>69662.272514149998</v>
      </c>
      <c r="DL9" s="2811">
        <v>73260.279537859999</v>
      </c>
      <c r="DM9" s="2811">
        <v>68096.729228600001</v>
      </c>
      <c r="DN9" s="2811">
        <v>69723.013958799478</v>
      </c>
      <c r="DO9" s="2811">
        <v>66601.074179229996</v>
      </c>
      <c r="DP9" s="2811">
        <v>73118.439982059994</v>
      </c>
      <c r="DQ9" s="2811">
        <v>80233.224526130012</v>
      </c>
      <c r="DR9" s="2811">
        <v>77664.276133166772</v>
      </c>
      <c r="DS9" s="2811">
        <v>82527.919000330003</v>
      </c>
      <c r="DT9" s="2811">
        <v>85741.699121390004</v>
      </c>
      <c r="DU9" s="2811">
        <v>89819.763154839995</v>
      </c>
      <c r="DV9" s="2811">
        <v>114146.32523480999</v>
      </c>
      <c r="DW9" s="2811">
        <v>106333.6766491</v>
      </c>
      <c r="DX9" s="2811">
        <v>110725.45381096001</v>
      </c>
      <c r="DY9" s="2811">
        <v>94847.223145479991</v>
      </c>
      <c r="DZ9" s="2811">
        <v>93124.633783609999</v>
      </c>
      <c r="EA9" s="2811">
        <v>102102.07600891001</v>
      </c>
      <c r="EB9" s="2811">
        <v>108077.88781541001</v>
      </c>
      <c r="EC9" s="2811">
        <v>114822.24273725</v>
      </c>
      <c r="ED9" s="2811">
        <v>136395.09296280998</v>
      </c>
      <c r="EE9" s="2811">
        <v>119235.86102542</v>
      </c>
      <c r="EF9" s="2811">
        <v>119481.94308589</v>
      </c>
      <c r="EG9" s="2811">
        <v>111250.85803824999</v>
      </c>
      <c r="EH9" s="2811">
        <v>119047.64699972</v>
      </c>
      <c r="EI9" s="2811">
        <v>121752.69274627999</v>
      </c>
      <c r="EJ9" s="2811">
        <v>126917.80414119</v>
      </c>
      <c r="EK9" s="2811">
        <v>126033.27442997</v>
      </c>
      <c r="EL9" s="2811">
        <v>145435.1557261631</v>
      </c>
      <c r="EM9" s="2811">
        <v>132929.18596902001</v>
      </c>
      <c r="EN9" s="2811">
        <v>136076.72523841</v>
      </c>
      <c r="EO9" s="2811">
        <v>173544.46406533002</v>
      </c>
      <c r="EP9" s="2811">
        <v>146823.25957450562</v>
      </c>
      <c r="EQ9" s="2811">
        <v>142817.57007008002</v>
      </c>
      <c r="ER9" s="2811">
        <v>162972.30456390561</v>
      </c>
      <c r="ES9" s="2811">
        <v>130814.6745275</v>
      </c>
      <c r="ET9" s="2811">
        <v>120546.86218584001</v>
      </c>
      <c r="EU9" s="2811">
        <v>163512.81723715999</v>
      </c>
      <c r="EV9" s="2811">
        <v>131013.45033473001</v>
      </c>
      <c r="EW9" s="2811">
        <v>132814.72532778</v>
      </c>
      <c r="EX9" s="2811">
        <v>146767.71965893809</v>
      </c>
      <c r="EY9" s="2811">
        <v>105340.12706767001</v>
      </c>
      <c r="EZ9" s="2811">
        <v>94663.518157660001</v>
      </c>
      <c r="FA9" s="2811">
        <v>160738.11890554999</v>
      </c>
      <c r="FB9" s="2811">
        <v>97771.032146980011</v>
      </c>
      <c r="FC9" s="2811">
        <v>101088.43005724001</v>
      </c>
      <c r="FD9" s="2811">
        <v>89897.901281330007</v>
      </c>
      <c r="FE9" s="2811">
        <v>83961.675615320011</v>
      </c>
      <c r="FF9" s="2811">
        <v>78690.537324149991</v>
      </c>
      <c r="FG9" s="2811">
        <v>77510.39230236999</v>
      </c>
      <c r="FH9" s="2811">
        <v>78708.848941310003</v>
      </c>
      <c r="FI9" s="2811">
        <v>78240.908420129999</v>
      </c>
    </row>
    <row r="10" spans="1:165" s="2330" customFormat="1" ht="17.100000000000001" customHeight="1" x14ac:dyDescent="0.25">
      <c r="A10" s="2810" t="s">
        <v>2702</v>
      </c>
      <c r="B10" s="2811">
        <v>173.77583848999998</v>
      </c>
      <c r="C10" s="2811">
        <v>102.15030181408299</v>
      </c>
      <c r="D10" s="2811">
        <v>107.57548442879599</v>
      </c>
      <c r="E10" s="2811">
        <v>96.970545829999992</v>
      </c>
      <c r="F10" s="2811">
        <v>92.457328589252</v>
      </c>
      <c r="G10" s="2811">
        <v>440.817523815794</v>
      </c>
      <c r="H10" s="2811">
        <v>144.695107660503</v>
      </c>
      <c r="I10" s="2811">
        <v>139.61848140775101</v>
      </c>
      <c r="J10" s="2811">
        <v>267.13934071788196</v>
      </c>
      <c r="K10" s="2811">
        <v>140.39613334605099</v>
      </c>
      <c r="L10" s="2811">
        <v>147.65538167153198</v>
      </c>
      <c r="M10" s="2811">
        <v>156.18358312016798</v>
      </c>
      <c r="N10" s="2811">
        <v>141.37216390342701</v>
      </c>
      <c r="O10" s="2811">
        <v>165.14521648076197</v>
      </c>
      <c r="P10" s="2811">
        <v>156.283154672509</v>
      </c>
      <c r="Q10" s="2811">
        <v>170.538513680878</v>
      </c>
      <c r="R10" s="2811">
        <v>118.92258400263799</v>
      </c>
      <c r="S10" s="2811">
        <v>227.06391243610898</v>
      </c>
      <c r="T10" s="2811">
        <v>147.606747109975</v>
      </c>
      <c r="U10" s="2811">
        <v>145.05270454831998</v>
      </c>
      <c r="V10" s="2811">
        <v>178.60699340812801</v>
      </c>
      <c r="W10" s="2811">
        <v>228.86708454979401</v>
      </c>
      <c r="X10" s="2811">
        <v>145.94768976260698</v>
      </c>
      <c r="Y10" s="2811">
        <v>144.74181716741302</v>
      </c>
      <c r="Z10" s="2811">
        <v>134.190323829216</v>
      </c>
      <c r="AA10" s="2811">
        <v>122.79770026911299</v>
      </c>
      <c r="AB10" s="2811">
        <v>128.30850091761698</v>
      </c>
      <c r="AC10" s="2811">
        <v>125.31778668365899</v>
      </c>
      <c r="AD10" s="2811">
        <v>104.85266671033099</v>
      </c>
      <c r="AE10" s="2811">
        <v>188.10748455776599</v>
      </c>
      <c r="AF10" s="2811">
        <v>198.07162782</v>
      </c>
      <c r="AG10" s="2811">
        <v>71.810326250000003</v>
      </c>
      <c r="AH10" s="2811">
        <v>223.63965296000001</v>
      </c>
      <c r="AI10" s="2811">
        <v>238.61876867999996</v>
      </c>
      <c r="AJ10" s="2811">
        <v>151.47403553999999</v>
      </c>
      <c r="AK10" s="2811">
        <v>146.47737080000002</v>
      </c>
      <c r="AL10" s="2811">
        <v>69.348740169999985</v>
      </c>
      <c r="AM10" s="2811">
        <v>65.960218440000006</v>
      </c>
      <c r="AN10" s="2811">
        <v>64.97840020999999</v>
      </c>
      <c r="AO10" s="2811">
        <v>65.584209119999997</v>
      </c>
      <c r="AP10" s="2811">
        <v>68.513367979999998</v>
      </c>
      <c r="AQ10" s="2811">
        <v>311.48284962999998</v>
      </c>
      <c r="AR10" s="2811">
        <v>90.367219909999989</v>
      </c>
      <c r="AS10" s="2811">
        <v>88.740492129999993</v>
      </c>
      <c r="AT10" s="2811">
        <v>165.29868494999999</v>
      </c>
      <c r="AU10" s="2811">
        <v>96.820067709999989</v>
      </c>
      <c r="AV10" s="2811">
        <v>176.07912083000002</v>
      </c>
      <c r="AW10" s="2811">
        <v>327.56298057999999</v>
      </c>
      <c r="AX10" s="2811">
        <v>68.868365640000007</v>
      </c>
      <c r="AY10" s="2811">
        <v>92.072264139999987</v>
      </c>
      <c r="AZ10" s="2811">
        <v>87.70549441</v>
      </c>
      <c r="BA10" s="2811">
        <v>85.291687549999992</v>
      </c>
      <c r="BB10" s="2811">
        <v>79.022807060000005</v>
      </c>
      <c r="BC10" s="2811">
        <v>286.60368328999999</v>
      </c>
      <c r="BD10" s="2811">
        <v>117.17449668</v>
      </c>
      <c r="BE10" s="2811">
        <v>93.580257980000013</v>
      </c>
      <c r="BF10" s="2811">
        <v>174.95850214999999</v>
      </c>
      <c r="BG10" s="2811">
        <v>198.19834580999998</v>
      </c>
      <c r="BH10" s="2811">
        <v>116.58136098999999</v>
      </c>
      <c r="BI10" s="2811">
        <v>132.96940228</v>
      </c>
      <c r="BJ10" s="2811">
        <v>90.140118959999995</v>
      </c>
      <c r="BK10" s="2811">
        <v>98.214010599999995</v>
      </c>
      <c r="BL10" s="2811">
        <v>287.49325514999998</v>
      </c>
      <c r="BM10" s="2811">
        <v>106.17286981999999</v>
      </c>
      <c r="BN10" s="2811">
        <v>119.60855578000002</v>
      </c>
      <c r="BO10" s="2811">
        <v>205.71154525</v>
      </c>
      <c r="BP10" s="2811">
        <v>303.37492168</v>
      </c>
      <c r="BQ10" s="2811">
        <v>973.68625691</v>
      </c>
      <c r="BR10" s="2811">
        <v>160.70164977000002</v>
      </c>
      <c r="BS10" s="2811">
        <v>111.26486164000001</v>
      </c>
      <c r="BT10" s="2811">
        <v>94.175746759999996</v>
      </c>
      <c r="BU10" s="2811">
        <v>269</v>
      </c>
      <c r="BV10" s="2811">
        <v>87.858485169999994</v>
      </c>
      <c r="BW10" s="2811">
        <v>94.195966089999999</v>
      </c>
      <c r="BX10" s="2811">
        <v>94.053120899999996</v>
      </c>
      <c r="BY10" s="2811">
        <v>161.28891437999999</v>
      </c>
      <c r="BZ10" s="2811">
        <v>89.757791629999986</v>
      </c>
      <c r="CA10" s="2811">
        <v>179.93911718000001</v>
      </c>
      <c r="CB10" s="2811">
        <v>146.21655204999999</v>
      </c>
      <c r="CC10" s="2811">
        <v>272.51439976</v>
      </c>
      <c r="CD10" s="2811">
        <v>201.026970912292</v>
      </c>
      <c r="CE10" s="2811">
        <v>108.05774693229202</v>
      </c>
      <c r="CF10" s="2811">
        <v>123.29075911229199</v>
      </c>
      <c r="CG10" s="2811">
        <v>501.94194608229202</v>
      </c>
      <c r="CH10" s="2811">
        <v>100.121209352292</v>
      </c>
      <c r="CI10" s="2811">
        <v>123.23431674229201</v>
      </c>
      <c r="CJ10" s="2811">
        <v>188.695070572292</v>
      </c>
      <c r="CK10" s="2811">
        <v>124.155907852292</v>
      </c>
      <c r="CL10" s="2811">
        <v>116.71135166229199</v>
      </c>
      <c r="CM10" s="2811">
        <v>154.50991295229201</v>
      </c>
      <c r="CN10" s="2811">
        <v>135.60562615229202</v>
      </c>
      <c r="CO10" s="2811">
        <v>119.37766276229199</v>
      </c>
      <c r="CP10" s="2811">
        <v>161.25076070229198</v>
      </c>
      <c r="CQ10" s="2811">
        <v>123.792049482292</v>
      </c>
      <c r="CR10" s="2811">
        <v>96.785139372292008</v>
      </c>
      <c r="CS10" s="2811">
        <v>117.1509110622919</v>
      </c>
      <c r="CT10" s="2811">
        <v>102.42437505161277</v>
      </c>
      <c r="CU10" s="2811">
        <v>102.68574928999996</v>
      </c>
      <c r="CV10" s="2811">
        <v>90.992883340000006</v>
      </c>
      <c r="CW10" s="2811">
        <v>136.97165480000001</v>
      </c>
      <c r="CX10" s="2811">
        <v>90.161154210000007</v>
      </c>
      <c r="CY10" s="2811">
        <v>181.81452732</v>
      </c>
      <c r="CZ10" s="2811">
        <v>244.34909191</v>
      </c>
      <c r="DA10" s="2811">
        <v>88.388957700000006</v>
      </c>
      <c r="DB10" s="2811">
        <v>158.43232340999998</v>
      </c>
      <c r="DC10" s="2811">
        <v>92.67600542000001</v>
      </c>
      <c r="DD10" s="2811">
        <v>94.416789629999997</v>
      </c>
      <c r="DE10" s="2811">
        <v>125.31831032999997</v>
      </c>
      <c r="DF10" s="2811">
        <v>94.889142859999993</v>
      </c>
      <c r="DG10" s="2811">
        <v>97.602569751300095</v>
      </c>
      <c r="DH10" s="2811">
        <v>171.87512075000001</v>
      </c>
      <c r="DI10" s="2811">
        <v>113.19360673999999</v>
      </c>
      <c r="DJ10" s="2811">
        <v>87.118590710000007</v>
      </c>
      <c r="DK10" s="2811">
        <v>174.29209967000003</v>
      </c>
      <c r="DL10" s="2811">
        <v>139.92875448999999</v>
      </c>
      <c r="DM10" s="2811">
        <v>153.06926948</v>
      </c>
      <c r="DN10" s="2811">
        <v>151.49676460052194</v>
      </c>
      <c r="DO10" s="2811">
        <v>124.37545290999998</v>
      </c>
      <c r="DP10" s="2811">
        <v>180.39076556999999</v>
      </c>
      <c r="DQ10" s="2811">
        <v>209.11658635000001</v>
      </c>
      <c r="DR10" s="2811">
        <v>112.00605301321792</v>
      </c>
      <c r="DS10" s="2811">
        <v>134.80012464999999</v>
      </c>
      <c r="DT10" s="2811">
        <v>129.51373888999998</v>
      </c>
      <c r="DU10" s="2811">
        <v>204.09779483000003</v>
      </c>
      <c r="DV10" s="2811">
        <v>152.48577488000001</v>
      </c>
      <c r="DW10" s="2811">
        <v>157.5809311400001</v>
      </c>
      <c r="DX10" s="2811">
        <v>1031.3103779999999</v>
      </c>
      <c r="DY10" s="2811">
        <v>1032.36337</v>
      </c>
      <c r="DZ10" s="2811">
        <v>1031.980763</v>
      </c>
      <c r="EA10" s="2811">
        <v>33834.113019000004</v>
      </c>
      <c r="EB10" s="2811">
        <v>33834.016367999997</v>
      </c>
      <c r="EC10" s="2811">
        <v>33332.021075000004</v>
      </c>
      <c r="ED10" s="2811">
        <v>33246.989805999998</v>
      </c>
      <c r="EE10" s="2811">
        <v>33185.131032000005</v>
      </c>
      <c r="EF10" s="2811">
        <v>31909.062534999997</v>
      </c>
      <c r="EG10" s="2811">
        <v>78706.811833999993</v>
      </c>
      <c r="EH10" s="2811">
        <v>77827.165803000011</v>
      </c>
      <c r="EI10" s="2811">
        <v>71934.215039000002</v>
      </c>
      <c r="EJ10" s="2811">
        <v>70796.857119999986</v>
      </c>
      <c r="EK10" s="2811">
        <v>70169.741037</v>
      </c>
      <c r="EL10" s="2811">
        <v>68839.380646000005</v>
      </c>
      <c r="EM10" s="2811">
        <v>68523.906892000014</v>
      </c>
      <c r="EN10" s="2811">
        <v>67161.058815000011</v>
      </c>
      <c r="EO10" s="2811">
        <v>39839.013949</v>
      </c>
      <c r="EP10" s="2811">
        <v>39480.955552000007</v>
      </c>
      <c r="EQ10" s="2811">
        <v>37110.784702999998</v>
      </c>
      <c r="ER10" s="2811">
        <v>36650.064293000003</v>
      </c>
      <c r="ES10" s="2811">
        <v>36180.174591000003</v>
      </c>
      <c r="ET10" s="2811">
        <v>35914.128110999998</v>
      </c>
      <c r="EU10" s="2811">
        <v>35032.008352000004</v>
      </c>
      <c r="EV10" s="2811">
        <v>35245.001592999994</v>
      </c>
      <c r="EW10" s="2811">
        <v>34651.411825999996</v>
      </c>
      <c r="EX10" s="2811">
        <v>34524.163858</v>
      </c>
      <c r="EY10" s="2811">
        <v>33982.540440999997</v>
      </c>
      <c r="EZ10" s="2811">
        <v>33430.652405000001</v>
      </c>
      <c r="FA10" s="2811">
        <v>32784.238464999995</v>
      </c>
      <c r="FB10" s="2811">
        <v>32870.899613000001</v>
      </c>
      <c r="FC10" s="2811">
        <v>32787.777039000001</v>
      </c>
      <c r="FD10" s="2811">
        <v>32560.799097000003</v>
      </c>
      <c r="FE10" s="2811">
        <v>32292.811020000001</v>
      </c>
      <c r="FF10" s="2811">
        <v>32186.775706</v>
      </c>
      <c r="FG10" s="2811">
        <v>31603.700853000002</v>
      </c>
      <c r="FH10" s="2811">
        <v>31505.18129</v>
      </c>
      <c r="FI10" s="2811">
        <v>31229.882414</v>
      </c>
    </row>
    <row r="11" spans="1:165" ht="17.100000000000001" customHeight="1" x14ac:dyDescent="0.25">
      <c r="A11" s="2807"/>
      <c r="B11" s="2809"/>
      <c r="C11" s="2809"/>
      <c r="D11" s="2809"/>
      <c r="E11" s="2809"/>
      <c r="F11" s="2809"/>
      <c r="G11" s="2809"/>
      <c r="H11" s="2809"/>
      <c r="I11" s="2809"/>
      <c r="J11" s="2809"/>
      <c r="K11" s="2809"/>
      <c r="L11" s="2809"/>
      <c r="M11" s="2809"/>
      <c r="N11" s="2809"/>
      <c r="O11" s="2809"/>
      <c r="P11" s="2809"/>
      <c r="Q11" s="2809"/>
      <c r="R11" s="2809"/>
      <c r="S11" s="2809"/>
      <c r="T11" s="2809"/>
      <c r="U11" s="2809"/>
      <c r="V11" s="2809"/>
      <c r="W11" s="2809"/>
      <c r="X11" s="2809"/>
      <c r="Y11" s="2809"/>
      <c r="Z11" s="2809"/>
      <c r="AA11" s="2809"/>
      <c r="AB11" s="2809"/>
      <c r="AC11" s="2809"/>
      <c r="AD11" s="2809"/>
      <c r="AE11" s="2809"/>
      <c r="AF11" s="2809"/>
      <c r="AG11" s="2809"/>
      <c r="AH11" s="2809"/>
      <c r="AI11" s="2809"/>
      <c r="AJ11" s="2809"/>
      <c r="AK11" s="2809"/>
      <c r="AL11" s="2809"/>
      <c r="AM11" s="2809"/>
      <c r="AN11" s="2809"/>
      <c r="AO11" s="2809"/>
      <c r="AP11" s="2809"/>
      <c r="AQ11" s="2809"/>
      <c r="AR11" s="2809"/>
      <c r="AS11" s="2809"/>
      <c r="AT11" s="2809"/>
      <c r="AU11" s="2809"/>
      <c r="AV11" s="2809"/>
      <c r="AW11" s="2809"/>
      <c r="AX11" s="2809"/>
      <c r="AY11" s="2809"/>
      <c r="AZ11" s="2809"/>
      <c r="BA11" s="2809"/>
      <c r="BB11" s="2809"/>
      <c r="BC11" s="2809"/>
      <c r="BD11" s="2809"/>
      <c r="BE11" s="2809"/>
      <c r="BF11" s="2809"/>
      <c r="BG11" s="2809"/>
      <c r="BH11" s="2809"/>
      <c r="BI11" s="2809"/>
      <c r="BJ11" s="2809"/>
      <c r="BK11" s="2809"/>
      <c r="BL11" s="2809"/>
      <c r="BM11" s="2809"/>
      <c r="BN11" s="2809"/>
      <c r="BO11" s="2809"/>
      <c r="BP11" s="2809"/>
      <c r="BQ11" s="2809"/>
      <c r="BR11" s="2809"/>
      <c r="BS11" s="2809"/>
      <c r="BT11" s="2809"/>
      <c r="BU11" s="2809"/>
      <c r="BV11" s="2809"/>
      <c r="BW11" s="2809"/>
      <c r="BX11" s="2809"/>
      <c r="BY11" s="2809"/>
      <c r="BZ11" s="2809"/>
      <c r="CA11" s="2809"/>
      <c r="CB11" s="2809"/>
      <c r="CC11" s="2809"/>
      <c r="CD11" s="2809"/>
      <c r="CE11" s="2809"/>
      <c r="CF11" s="2809"/>
      <c r="CG11" s="2809"/>
      <c r="CH11" s="2809"/>
      <c r="CI11" s="2809"/>
      <c r="CJ11" s="2809"/>
      <c r="CK11" s="2809"/>
      <c r="CL11" s="2809"/>
      <c r="CM11" s="2809"/>
      <c r="CN11" s="2809"/>
      <c r="CO11" s="2809"/>
      <c r="CP11" s="2809"/>
      <c r="CQ11" s="2809"/>
      <c r="CR11" s="2809"/>
      <c r="CS11" s="2809"/>
      <c r="CT11" s="2809"/>
      <c r="CU11" s="2809"/>
      <c r="CV11" s="2809"/>
      <c r="CW11" s="2809"/>
      <c r="CX11" s="2809"/>
      <c r="CY11" s="2809"/>
      <c r="CZ11" s="2809"/>
      <c r="DA11" s="2809"/>
      <c r="DB11" s="2809"/>
      <c r="DC11" s="2809"/>
      <c r="DD11" s="2809"/>
      <c r="DE11" s="2809"/>
      <c r="DF11" s="2809"/>
      <c r="DG11" s="2809"/>
      <c r="DH11" s="2809"/>
      <c r="DI11" s="2809"/>
      <c r="DJ11" s="2809"/>
      <c r="DK11" s="2809"/>
      <c r="DL11" s="2809"/>
      <c r="DM11" s="2809"/>
      <c r="DN11" s="2809"/>
      <c r="DO11" s="2809"/>
      <c r="DP11" s="2809"/>
      <c r="DQ11" s="2809"/>
      <c r="DR11" s="2809"/>
      <c r="DS11" s="2809"/>
      <c r="DT11" s="2809"/>
      <c r="DU11" s="2809"/>
      <c r="DV11" s="2809"/>
      <c r="DW11" s="2809"/>
      <c r="DX11" s="2809"/>
      <c r="DY11" s="2809"/>
      <c r="DZ11" s="2809"/>
      <c r="EA11" s="2809"/>
      <c r="EB11" s="2809"/>
      <c r="EC11" s="2809"/>
      <c r="ED11" s="2809"/>
      <c r="EE11" s="2809"/>
      <c r="EF11" s="2809"/>
      <c r="EG11" s="2809"/>
      <c r="EH11" s="2809"/>
      <c r="EI11" s="2809"/>
      <c r="EJ11" s="2809"/>
      <c r="EK11" s="2809"/>
      <c r="EL11" s="2809"/>
      <c r="EM11" s="2809"/>
      <c r="EN11" s="2809"/>
      <c r="EO11" s="2809"/>
      <c r="EP11" s="2809"/>
      <c r="EQ11" s="2809"/>
      <c r="ER11" s="2809"/>
      <c r="ES11" s="2809"/>
      <c r="ET11" s="2809"/>
      <c r="EU11" s="2809"/>
      <c r="EV11" s="2809"/>
      <c r="EW11" s="2809"/>
      <c r="EX11" s="2809"/>
      <c r="EY11" s="2809"/>
      <c r="EZ11" s="2809"/>
      <c r="FA11" s="2809"/>
      <c r="FB11" s="2809"/>
      <c r="FC11" s="2809"/>
      <c r="FD11" s="2809"/>
      <c r="FE11" s="2809"/>
      <c r="FF11" s="2809"/>
      <c r="FG11" s="2809"/>
      <c r="FH11" s="2809"/>
      <c r="FI11" s="2809"/>
    </row>
    <row r="12" spans="1:165" s="2815" customFormat="1" ht="17.100000000000001" customHeight="1" x14ac:dyDescent="0.25">
      <c r="A12" s="2812" t="s">
        <v>2703</v>
      </c>
      <c r="B12" s="2813">
        <v>32306.578817460002</v>
      </c>
      <c r="C12" s="2813">
        <v>34188.331145164077</v>
      </c>
      <c r="D12" s="2813">
        <v>35018.925947288793</v>
      </c>
      <c r="E12" s="2813">
        <v>33972.916108009995</v>
      </c>
      <c r="F12" s="2813">
        <v>35004.952882689249</v>
      </c>
      <c r="G12" s="2813">
        <v>35648.822886965791</v>
      </c>
      <c r="H12" s="2814"/>
      <c r="I12" s="2813">
        <v>36422.298472737748</v>
      </c>
      <c r="J12" s="2813">
        <v>36444.268976647872</v>
      </c>
      <c r="K12" s="2813">
        <v>38868.215593856046</v>
      </c>
      <c r="L12" s="2813">
        <v>40023.459073151535</v>
      </c>
      <c r="M12" s="2813">
        <v>44935.527259780167</v>
      </c>
      <c r="N12" s="2813">
        <v>44220.858916383426</v>
      </c>
      <c r="O12" s="2813">
        <v>43457.96626473077</v>
      </c>
      <c r="P12" s="2813">
        <v>42616.030383652513</v>
      </c>
      <c r="Q12" s="2813">
        <v>43519.537135460872</v>
      </c>
      <c r="R12" s="2813">
        <v>41534.157818012638</v>
      </c>
      <c r="S12" s="2813">
        <v>42236.711520816105</v>
      </c>
      <c r="T12" s="2813">
        <v>42073.932665119974</v>
      </c>
      <c r="U12" s="2813">
        <v>44194.178057538316</v>
      </c>
      <c r="V12" s="2813">
        <v>42292.116241218129</v>
      </c>
      <c r="W12" s="2813">
        <v>42459.190507549793</v>
      </c>
      <c r="X12" s="2813">
        <v>41967.209032272607</v>
      </c>
      <c r="Y12" s="2813">
        <v>48280.871327637411</v>
      </c>
      <c r="Z12" s="2813">
        <v>43850.805226779208</v>
      </c>
      <c r="AA12" s="2813">
        <v>44901.044055009108</v>
      </c>
      <c r="AB12" s="2813">
        <v>44639.243475667616</v>
      </c>
      <c r="AC12" s="2813">
        <v>44527.06357813366</v>
      </c>
      <c r="AD12" s="2813">
        <v>44662.991762790334</v>
      </c>
      <c r="AE12" s="2813">
        <v>45910.968640197767</v>
      </c>
      <c r="AF12" s="2813">
        <v>46049.62976335</v>
      </c>
      <c r="AG12" s="2813">
        <v>46185.349602239992</v>
      </c>
      <c r="AH12" s="2813">
        <v>47267.960582839994</v>
      </c>
      <c r="AI12" s="2813">
        <v>46439.120953460006</v>
      </c>
      <c r="AJ12" s="2813">
        <v>45499.108851889992</v>
      </c>
      <c r="AK12" s="2813">
        <v>52622.930014159996</v>
      </c>
      <c r="AL12" s="2813">
        <v>50086.680641910003</v>
      </c>
      <c r="AM12" s="2813">
        <v>52362.476793820002</v>
      </c>
      <c r="AN12" s="2813">
        <v>51963.297140969997</v>
      </c>
      <c r="AO12" s="2813">
        <v>48815.614415420001</v>
      </c>
      <c r="AP12" s="2813">
        <v>52745.513655169998</v>
      </c>
      <c r="AQ12" s="2813">
        <v>53094.012917469998</v>
      </c>
      <c r="AR12" s="2813">
        <v>54156.36550167</v>
      </c>
      <c r="AS12" s="2813">
        <v>51451.915537709996</v>
      </c>
      <c r="AT12" s="2813">
        <v>50185.234078640002</v>
      </c>
      <c r="AU12" s="2813">
        <v>51977.864655339996</v>
      </c>
      <c r="AV12" s="2813">
        <v>53757.247619950002</v>
      </c>
      <c r="AW12" s="2813">
        <v>62350.012214779999</v>
      </c>
      <c r="AX12" s="2813">
        <v>58668.651559199992</v>
      </c>
      <c r="AY12" s="2813">
        <v>64091.710065689993</v>
      </c>
      <c r="AZ12" s="2813">
        <v>62483.452767249997</v>
      </c>
      <c r="BA12" s="2813">
        <v>62070.370892899999</v>
      </c>
      <c r="BB12" s="2813">
        <v>62582.034079030003</v>
      </c>
      <c r="BC12" s="2813">
        <v>62137.03930633</v>
      </c>
      <c r="BD12" s="2813">
        <v>64802.243488449996</v>
      </c>
      <c r="BE12" s="2813">
        <v>66521.777726829998</v>
      </c>
      <c r="BF12" s="2813">
        <v>63788.91463728001</v>
      </c>
      <c r="BG12" s="2813">
        <v>65201.016736970007</v>
      </c>
      <c r="BH12" s="2813">
        <v>63358.074917500002</v>
      </c>
      <c r="BI12" s="2813">
        <v>67933.588631680002</v>
      </c>
      <c r="BJ12" s="2813">
        <v>68888.095795009998</v>
      </c>
      <c r="BK12" s="2813">
        <v>70440.636755090003</v>
      </c>
      <c r="BL12" s="2813">
        <v>73577.833934157097</v>
      </c>
      <c r="BM12" s="2813">
        <v>75159.682994820003</v>
      </c>
      <c r="BN12" s="2813">
        <v>70803.746954400005</v>
      </c>
      <c r="BO12" s="2813">
        <v>71594.147533340001</v>
      </c>
      <c r="BP12" s="2813">
        <v>68773.183555700001</v>
      </c>
      <c r="BQ12" s="2813">
        <v>66569.861976039989</v>
      </c>
      <c r="BR12" s="2813">
        <v>66947.281883980002</v>
      </c>
      <c r="BS12" s="2813">
        <v>71167.770713139995</v>
      </c>
      <c r="BT12" s="2813">
        <v>70496.418338069998</v>
      </c>
      <c r="BU12" s="2813">
        <v>73569</v>
      </c>
      <c r="BV12" s="2813">
        <v>74498.380112810002</v>
      </c>
      <c r="BW12" s="2813">
        <v>72917.527185890009</v>
      </c>
      <c r="BX12" s="2813">
        <v>69446.043452650003</v>
      </c>
      <c r="BY12" s="2813">
        <v>67413.995906789991</v>
      </c>
      <c r="BZ12" s="2813">
        <v>76072.559399120015</v>
      </c>
      <c r="CA12" s="2813">
        <v>70419.836853589994</v>
      </c>
      <c r="CB12" s="2813">
        <v>71811.108306740003</v>
      </c>
      <c r="CC12" s="2813">
        <v>72274.423068130011</v>
      </c>
      <c r="CD12" s="2813">
        <v>73083.794152372298</v>
      </c>
      <c r="CE12" s="2813">
        <v>71156.268825432286</v>
      </c>
      <c r="CF12" s="2813">
        <v>75050.0283712323</v>
      </c>
      <c r="CG12" s="2813">
        <v>82062.454314372284</v>
      </c>
      <c r="CH12" s="2813">
        <v>83073.876301282289</v>
      </c>
      <c r="CI12" s="2813">
        <v>79888.073268022301</v>
      </c>
      <c r="CJ12" s="2813">
        <v>76270.488560842292</v>
      </c>
      <c r="CK12" s="2813">
        <v>83832.736179042287</v>
      </c>
      <c r="CL12" s="2813">
        <v>83944.908098642292</v>
      </c>
      <c r="CM12" s="2813">
        <v>80702.470558452304</v>
      </c>
      <c r="CN12" s="2813">
        <v>82261.311799362302</v>
      </c>
      <c r="CO12" s="2813">
        <v>79068.213393302285</v>
      </c>
      <c r="CP12" s="2813">
        <v>85929.687596322299</v>
      </c>
      <c r="CQ12" s="2813">
        <v>82776.070675572293</v>
      </c>
      <c r="CR12" s="2813">
        <v>90055.720543022297</v>
      </c>
      <c r="CS12" s="2813">
        <v>102148.08102707229</v>
      </c>
      <c r="CT12" s="2813">
        <v>101146.45320613228</v>
      </c>
      <c r="CU12" s="2813">
        <v>100844.38988327001</v>
      </c>
      <c r="CV12" s="2813">
        <v>96927.471336200004</v>
      </c>
      <c r="CW12" s="2813">
        <v>96764.55682713</v>
      </c>
      <c r="CX12" s="2813">
        <v>99355.801623730018</v>
      </c>
      <c r="CY12" s="2813">
        <v>109048.86314920001</v>
      </c>
      <c r="CZ12" s="2813">
        <v>100660.04772514</v>
      </c>
      <c r="DA12" s="2813">
        <v>112956.84348928501</v>
      </c>
      <c r="DB12" s="2813">
        <v>99760.407825670001</v>
      </c>
      <c r="DC12" s="2813">
        <v>98097.455155950011</v>
      </c>
      <c r="DD12" s="2813">
        <v>103092.81229459</v>
      </c>
      <c r="DE12" s="2813">
        <v>100867.11153925001</v>
      </c>
      <c r="DF12" s="2813">
        <v>102818.30863134001</v>
      </c>
      <c r="DG12" s="2813">
        <v>103484.58947791997</v>
      </c>
      <c r="DH12" s="2813">
        <v>101879.04529465</v>
      </c>
      <c r="DI12" s="2813">
        <v>103555.29581359999</v>
      </c>
      <c r="DJ12" s="2813">
        <v>108531.09996019001</v>
      </c>
      <c r="DK12" s="2813">
        <v>105729.95689803</v>
      </c>
      <c r="DL12" s="2813">
        <v>109852.72986275</v>
      </c>
      <c r="DM12" s="2813">
        <v>104721.80471679999</v>
      </c>
      <c r="DN12" s="2813">
        <v>105737.83124584</v>
      </c>
      <c r="DO12" s="2813">
        <v>104610.96385879</v>
      </c>
      <c r="DP12" s="2813">
        <v>110785.70627632001</v>
      </c>
      <c r="DQ12" s="2813">
        <v>123351.49617376001</v>
      </c>
      <c r="DR12" s="2813">
        <v>117687.05444165999</v>
      </c>
      <c r="DS12" s="2813">
        <v>122047.23474776</v>
      </c>
      <c r="DT12" s="2813">
        <v>126402.72820919001</v>
      </c>
      <c r="DU12" s="2813">
        <v>132395.77679219999</v>
      </c>
      <c r="DV12" s="2813">
        <v>156851.00422210997</v>
      </c>
      <c r="DW12" s="2813">
        <v>148346.77809906</v>
      </c>
      <c r="DX12" s="2813">
        <v>153873.26013765999</v>
      </c>
      <c r="DY12" s="2813">
        <v>137459.95647142001</v>
      </c>
      <c r="DZ12" s="2813">
        <v>135923.33982882</v>
      </c>
      <c r="EA12" s="2813">
        <v>178037.25319116001</v>
      </c>
      <c r="EB12" s="2813">
        <v>184213.58975858</v>
      </c>
      <c r="EC12" s="2813">
        <v>194715.73296597999</v>
      </c>
      <c r="ED12" s="2813">
        <v>214151.32237446998</v>
      </c>
      <c r="EE12" s="2813">
        <v>195991.62394393003</v>
      </c>
      <c r="EF12" s="2813">
        <v>196250.02692537999</v>
      </c>
      <c r="EG12" s="2813">
        <v>235432.66699435998</v>
      </c>
      <c r="EH12" s="2813">
        <v>242527.10344161</v>
      </c>
      <c r="EI12" s="2813">
        <v>238940.32614781999</v>
      </c>
      <c r="EJ12" s="2813">
        <v>243110.72012456</v>
      </c>
      <c r="EK12" s="2813">
        <v>241688.64114865998</v>
      </c>
      <c r="EL12" s="2813">
        <v>259478.35074410311</v>
      </c>
      <c r="EM12" s="2813">
        <v>248055.04482666001</v>
      </c>
      <c r="EN12" s="2813">
        <v>250045.57459345</v>
      </c>
      <c r="EO12" s="2813">
        <v>263583.90975209005</v>
      </c>
      <c r="EP12" s="2813">
        <v>234943.92992795561</v>
      </c>
      <c r="EQ12" s="2813">
        <v>228539.61849301003</v>
      </c>
      <c r="ER12" s="2813">
        <v>248164.09587591561</v>
      </c>
      <c r="ES12" s="2813">
        <v>215684.19604951004</v>
      </c>
      <c r="ET12" s="2813">
        <v>205292.12414222001</v>
      </c>
      <c r="EU12" s="2813">
        <v>247231.96706224</v>
      </c>
      <c r="EV12" s="2813">
        <v>215274.61251648</v>
      </c>
      <c r="EW12" s="2813">
        <v>216750.65025110001</v>
      </c>
      <c r="EX12" s="2813">
        <v>230551.85570671808</v>
      </c>
      <c r="EY12" s="2813">
        <v>188928.4812944</v>
      </c>
      <c r="EZ12" s="2813">
        <v>177765.42426310002</v>
      </c>
      <c r="FA12" s="2813">
        <v>248164.08130338998</v>
      </c>
      <c r="FB12" s="2813">
        <v>183302.52351965001</v>
      </c>
      <c r="FC12" s="2813">
        <v>186319.62279741</v>
      </c>
      <c r="FD12" s="2813">
        <v>174826.90629076003</v>
      </c>
      <c r="FE12" s="2813">
        <v>168633.77170903</v>
      </c>
      <c r="FF12" s="2813">
        <v>163148.18271093999</v>
      </c>
      <c r="FG12" s="2813">
        <v>161340.42389514999</v>
      </c>
      <c r="FH12" s="2813">
        <v>162584.33219921999</v>
      </c>
      <c r="FI12" s="2813">
        <v>162274.83313672</v>
      </c>
    </row>
    <row r="13" spans="1:165" ht="17.100000000000001" customHeight="1" thickBot="1" x14ac:dyDescent="0.3">
      <c r="A13" s="2807"/>
      <c r="B13" s="2809"/>
      <c r="C13" s="2809"/>
      <c r="D13" s="2809"/>
      <c r="E13" s="2809"/>
      <c r="F13" s="2809"/>
      <c r="G13" s="2809"/>
      <c r="H13" s="2809"/>
      <c r="I13" s="2809"/>
      <c r="J13" s="2809"/>
      <c r="K13" s="2809"/>
      <c r="L13" s="2809"/>
      <c r="M13" s="2809"/>
      <c r="N13" s="2809"/>
      <c r="O13" s="2809">
        <v>2.5</v>
      </c>
      <c r="P13" s="2809"/>
      <c r="Q13" s="2809"/>
      <c r="R13" s="2809"/>
      <c r="S13" s="2809"/>
      <c r="T13" s="2809"/>
      <c r="U13" s="2809"/>
      <c r="V13" s="2809"/>
      <c r="W13" s="2809"/>
      <c r="X13" s="2809"/>
      <c r="Y13" s="2809"/>
      <c r="Z13" s="2809"/>
      <c r="AA13" s="2809"/>
      <c r="AB13" s="2809"/>
      <c r="AC13" s="2809"/>
      <c r="AD13" s="2809"/>
      <c r="AE13" s="2809"/>
      <c r="AF13" s="2809"/>
      <c r="AG13" s="2809"/>
      <c r="AH13" s="2809"/>
      <c r="AI13" s="2809"/>
      <c r="AJ13" s="2809"/>
      <c r="AK13" s="2809"/>
      <c r="AL13" s="2809"/>
      <c r="AM13" s="2809"/>
      <c r="AN13" s="2809"/>
      <c r="AO13" s="2809"/>
      <c r="AP13" s="2809"/>
      <c r="AQ13" s="2809"/>
      <c r="AR13" s="2809"/>
      <c r="AS13" s="2809"/>
      <c r="AT13" s="2809"/>
      <c r="AU13" s="2809"/>
      <c r="AV13" s="2809"/>
      <c r="AW13" s="2809"/>
      <c r="AX13" s="2809"/>
      <c r="AY13" s="2809"/>
      <c r="AZ13" s="2809"/>
      <c r="BA13" s="2809"/>
      <c r="BB13" s="2809"/>
      <c r="BC13" s="2809"/>
      <c r="BD13" s="2809"/>
      <c r="BE13" s="2809"/>
      <c r="BF13" s="2809"/>
      <c r="BG13" s="2809"/>
      <c r="BH13" s="2809"/>
      <c r="BI13" s="2809"/>
      <c r="BJ13" s="2809"/>
      <c r="BK13" s="2809"/>
      <c r="BL13" s="2809"/>
      <c r="BM13" s="2809"/>
      <c r="BN13" s="2809"/>
      <c r="BO13" s="2809"/>
      <c r="BP13" s="2809"/>
      <c r="BQ13" s="2809"/>
      <c r="BR13" s="2809"/>
      <c r="BS13" s="2809"/>
      <c r="BT13" s="2809"/>
      <c r="BU13" s="2809"/>
      <c r="BV13" s="2809"/>
      <c r="BW13" s="2809"/>
      <c r="BX13" s="2809"/>
      <c r="BY13" s="2809"/>
      <c r="BZ13" s="2809"/>
      <c r="CA13" s="2809"/>
      <c r="CB13" s="2809"/>
      <c r="CC13" s="2809"/>
      <c r="CD13" s="2809"/>
      <c r="CE13" s="2809"/>
      <c r="CF13" s="2809"/>
      <c r="CG13" s="2809"/>
      <c r="CH13" s="2809"/>
      <c r="CI13" s="2809"/>
      <c r="CJ13" s="2809"/>
      <c r="CK13" s="2809"/>
      <c r="CL13" s="2809"/>
      <c r="CM13" s="2809"/>
      <c r="CN13" s="2809"/>
      <c r="CO13" s="2809"/>
      <c r="CP13" s="2809"/>
      <c r="CQ13" s="2809"/>
      <c r="CR13" s="2809"/>
      <c r="CS13" s="2809"/>
      <c r="CT13" s="2809"/>
      <c r="CU13" s="2809"/>
      <c r="CV13" s="2809"/>
      <c r="CW13" s="2809"/>
      <c r="CX13" s="2809"/>
      <c r="CY13" s="2809"/>
      <c r="CZ13" s="2809"/>
      <c r="DA13" s="2809"/>
      <c r="DB13" s="2809"/>
      <c r="DC13" s="2809"/>
      <c r="DD13" s="2809"/>
      <c r="DE13" s="2809"/>
      <c r="DF13" s="2809"/>
      <c r="DG13" s="2809"/>
      <c r="DH13" s="2809"/>
      <c r="DI13" s="2809"/>
      <c r="DJ13" s="2809"/>
      <c r="DK13" s="2809"/>
      <c r="DL13" s="2809"/>
      <c r="DM13" s="2809"/>
      <c r="DN13" s="2809"/>
      <c r="DO13" s="2809"/>
      <c r="DP13" s="2809"/>
      <c r="DQ13" s="2809"/>
      <c r="DR13" s="2809"/>
      <c r="DS13" s="2809"/>
      <c r="DT13" s="2809"/>
      <c r="DU13" s="2809"/>
      <c r="DV13" s="2809"/>
      <c r="DW13" s="2809"/>
      <c r="DX13" s="2809"/>
      <c r="DY13" s="2809"/>
      <c r="DZ13" s="2809"/>
      <c r="EA13" s="2809"/>
      <c r="EB13" s="2809"/>
      <c r="EC13" s="2809"/>
      <c r="ED13" s="2809"/>
      <c r="EE13" s="2809"/>
      <c r="EF13" s="2809"/>
      <c r="EG13" s="2809"/>
      <c r="EH13" s="2809"/>
      <c r="EI13" s="2809"/>
      <c r="EJ13" s="2809"/>
      <c r="EK13" s="2809"/>
      <c r="EL13" s="2809"/>
      <c r="EM13" s="2809"/>
      <c r="EN13" s="2809"/>
      <c r="EO13" s="2809"/>
      <c r="EP13" s="2809"/>
      <c r="EQ13" s="2809"/>
      <c r="ER13" s="2809"/>
      <c r="ES13" s="2809"/>
      <c r="ET13" s="2809"/>
      <c r="EU13" s="2809"/>
      <c r="EV13" s="2809"/>
      <c r="EW13" s="2809"/>
      <c r="EX13" s="2809"/>
      <c r="EY13" s="2809"/>
      <c r="EZ13" s="2809"/>
      <c r="FA13" s="2809"/>
      <c r="FB13" s="2809"/>
      <c r="FC13" s="2809"/>
      <c r="FD13" s="2809"/>
      <c r="FE13" s="2809"/>
      <c r="FF13" s="2809"/>
      <c r="FG13" s="2809"/>
      <c r="FH13" s="2809"/>
      <c r="FI13" s="2809"/>
    </row>
    <row r="14" spans="1:165" ht="17.100000000000001" customHeight="1" thickTop="1" thickBot="1" x14ac:dyDescent="0.3">
      <c r="A14" s="2816" t="s">
        <v>2704</v>
      </c>
      <c r="B14" s="2817"/>
      <c r="C14" s="2817"/>
      <c r="D14" s="2817"/>
      <c r="E14" s="2817"/>
      <c r="F14" s="2817"/>
      <c r="G14" s="2817"/>
      <c r="H14" s="2817"/>
      <c r="I14" s="2817"/>
      <c r="J14" s="2817"/>
      <c r="K14" s="2817"/>
      <c r="L14" s="2817"/>
      <c r="M14" s="2817"/>
      <c r="N14" s="2817"/>
      <c r="O14" s="2817"/>
      <c r="P14" s="2817"/>
      <c r="Q14" s="2817"/>
      <c r="R14" s="2817"/>
      <c r="S14" s="2817"/>
      <c r="T14" s="2817"/>
      <c r="U14" s="2817"/>
      <c r="V14" s="2817"/>
      <c r="W14" s="2817"/>
      <c r="X14" s="2817"/>
      <c r="Y14" s="2817"/>
      <c r="Z14" s="2817"/>
      <c r="AA14" s="2817"/>
      <c r="AB14" s="2817"/>
      <c r="AC14" s="2817"/>
      <c r="AD14" s="2817"/>
      <c r="AE14" s="2817"/>
      <c r="AF14" s="2817"/>
      <c r="AG14" s="2817"/>
      <c r="AH14" s="2817"/>
      <c r="AI14" s="2817"/>
      <c r="AJ14" s="2817"/>
      <c r="AK14" s="2817"/>
      <c r="AL14" s="2817"/>
      <c r="AM14" s="2817"/>
      <c r="AN14" s="2817"/>
      <c r="AO14" s="2817"/>
      <c r="AP14" s="2817"/>
      <c r="AQ14" s="2817"/>
      <c r="AR14" s="2817"/>
      <c r="AS14" s="2817"/>
      <c r="AT14" s="2817"/>
      <c r="AU14" s="2817"/>
      <c r="AV14" s="2817"/>
      <c r="AW14" s="2817"/>
      <c r="AX14" s="2817"/>
      <c r="AY14" s="2817"/>
      <c r="AZ14" s="2817"/>
      <c r="BA14" s="2817"/>
      <c r="BB14" s="2817"/>
      <c r="BC14" s="2817"/>
      <c r="BD14" s="2817"/>
      <c r="BE14" s="2817"/>
      <c r="BF14" s="2817"/>
      <c r="BG14" s="2817"/>
      <c r="BH14" s="2817"/>
      <c r="BI14" s="2817"/>
      <c r="BJ14" s="2817"/>
      <c r="BK14" s="2817"/>
      <c r="BL14" s="2817"/>
      <c r="BM14" s="2817"/>
      <c r="BN14" s="2817"/>
      <c r="BO14" s="2817"/>
      <c r="BP14" s="2817"/>
      <c r="BQ14" s="2817"/>
      <c r="BR14" s="2817"/>
      <c r="BS14" s="2817"/>
      <c r="BT14" s="2817"/>
      <c r="BU14" s="2817"/>
      <c r="BV14" s="2817"/>
      <c r="BW14" s="2817"/>
      <c r="BX14" s="2817"/>
      <c r="BY14" s="2817"/>
      <c r="BZ14" s="2817"/>
      <c r="CA14" s="2817"/>
      <c r="CB14" s="2817"/>
      <c r="CC14" s="2817"/>
      <c r="CD14" s="2817"/>
      <c r="CE14" s="2817"/>
      <c r="CF14" s="2817"/>
      <c r="CG14" s="2817"/>
      <c r="CH14" s="2817"/>
      <c r="CI14" s="2817"/>
      <c r="CJ14" s="2817"/>
      <c r="CK14" s="2817"/>
      <c r="CL14" s="2817"/>
      <c r="CM14" s="2817"/>
      <c r="CN14" s="2817"/>
      <c r="CO14" s="2817"/>
      <c r="CP14" s="2817"/>
      <c r="CQ14" s="2817"/>
      <c r="CR14" s="2817"/>
      <c r="CS14" s="2817"/>
      <c r="CT14" s="2817"/>
      <c r="CU14" s="2817"/>
      <c r="CV14" s="2817"/>
      <c r="CW14" s="2817"/>
      <c r="CX14" s="2817"/>
      <c r="CY14" s="2817"/>
      <c r="CZ14" s="2817"/>
      <c r="DA14" s="2817"/>
      <c r="DB14" s="2817"/>
      <c r="DC14" s="2817"/>
      <c r="DD14" s="2817"/>
      <c r="DE14" s="2817"/>
      <c r="DF14" s="2817"/>
      <c r="DG14" s="2817"/>
      <c r="DH14" s="2817"/>
      <c r="DI14" s="2817"/>
      <c r="DJ14" s="2817"/>
      <c r="DK14" s="2817"/>
      <c r="DL14" s="2817"/>
      <c r="DM14" s="2817"/>
      <c r="DN14" s="2817"/>
      <c r="DO14" s="2817"/>
      <c r="DP14" s="2817"/>
      <c r="DQ14" s="2817"/>
      <c r="DR14" s="2817"/>
      <c r="DS14" s="2817"/>
      <c r="DT14" s="2817"/>
      <c r="DU14" s="2817"/>
      <c r="DV14" s="2817"/>
      <c r="DW14" s="2817"/>
      <c r="DX14" s="2817"/>
      <c r="DY14" s="2817"/>
      <c r="DZ14" s="2817"/>
      <c r="EA14" s="2817"/>
      <c r="EB14" s="2817"/>
      <c r="EC14" s="2817"/>
      <c r="ED14" s="2817"/>
      <c r="EE14" s="2817"/>
      <c r="EF14" s="2817"/>
      <c r="EG14" s="2817"/>
      <c r="EH14" s="2817"/>
      <c r="EI14" s="2817"/>
      <c r="EJ14" s="2817"/>
      <c r="EK14" s="2817"/>
      <c r="EL14" s="2817"/>
      <c r="EM14" s="2817"/>
      <c r="EN14" s="2817"/>
      <c r="EO14" s="2817"/>
      <c r="EP14" s="2817"/>
      <c r="EQ14" s="2817"/>
      <c r="ER14" s="2817"/>
      <c r="ES14" s="2817"/>
      <c r="ET14" s="2817"/>
      <c r="EU14" s="2817"/>
      <c r="EV14" s="2817"/>
      <c r="EW14" s="2817"/>
      <c r="EX14" s="2817"/>
      <c r="EY14" s="2817"/>
      <c r="EZ14" s="2817"/>
      <c r="FA14" s="2817"/>
      <c r="FB14" s="2817"/>
      <c r="FC14" s="2817"/>
      <c r="FD14" s="2817"/>
      <c r="FE14" s="2817"/>
      <c r="FF14" s="2817"/>
      <c r="FG14" s="2817"/>
      <c r="FH14" s="2817"/>
      <c r="FI14" s="2817"/>
    </row>
    <row r="15" spans="1:165" ht="17.100000000000001" customHeight="1" thickTop="1" x14ac:dyDescent="0.25">
      <c r="A15" s="2807"/>
      <c r="B15" s="2809"/>
      <c r="C15" s="2809"/>
      <c r="D15" s="2809"/>
      <c r="E15" s="2809"/>
      <c r="F15" s="2809"/>
      <c r="G15" s="2809"/>
      <c r="H15" s="2809"/>
      <c r="I15" s="2809"/>
      <c r="J15" s="2809"/>
      <c r="K15" s="2809"/>
      <c r="L15" s="2809"/>
      <c r="M15" s="2809"/>
      <c r="N15" s="2809"/>
      <c r="O15" s="2809"/>
      <c r="P15" s="2809"/>
      <c r="Q15" s="2809"/>
      <c r="R15" s="2809"/>
      <c r="S15" s="2809"/>
      <c r="T15" s="2809"/>
      <c r="U15" s="2809"/>
      <c r="V15" s="2809"/>
      <c r="W15" s="2809"/>
      <c r="X15" s="2809"/>
      <c r="Y15" s="2809"/>
      <c r="Z15" s="2809"/>
      <c r="AA15" s="2809"/>
      <c r="AB15" s="2809"/>
      <c r="AC15" s="2809"/>
      <c r="AD15" s="2809"/>
      <c r="AE15" s="2809"/>
      <c r="AF15" s="2809"/>
      <c r="AG15" s="2809"/>
      <c r="AH15" s="2809"/>
      <c r="AI15" s="2809"/>
      <c r="AJ15" s="2809"/>
      <c r="AK15" s="2809"/>
      <c r="AL15" s="2809"/>
      <c r="AM15" s="2809"/>
      <c r="AN15" s="2809"/>
      <c r="AO15" s="2809"/>
      <c r="AP15" s="2809"/>
      <c r="AQ15" s="2809"/>
      <c r="AR15" s="2809"/>
      <c r="AS15" s="2809"/>
      <c r="AT15" s="2809"/>
      <c r="AU15" s="2809"/>
      <c r="AV15" s="2809"/>
      <c r="AW15" s="2809"/>
      <c r="AX15" s="2809"/>
      <c r="AY15" s="2809"/>
      <c r="AZ15" s="2809"/>
      <c r="BA15" s="2809"/>
      <c r="BB15" s="2809"/>
      <c r="BC15" s="2809"/>
      <c r="BD15" s="2809"/>
      <c r="BE15" s="2809"/>
      <c r="BF15" s="2809"/>
      <c r="BG15" s="2809"/>
      <c r="BH15" s="2809"/>
      <c r="BI15" s="2809"/>
      <c r="BJ15" s="2809"/>
      <c r="BK15" s="2809"/>
      <c r="BL15" s="2809"/>
      <c r="BM15" s="2809"/>
      <c r="BN15" s="2809"/>
      <c r="BO15" s="2809"/>
      <c r="BP15" s="2809"/>
      <c r="BQ15" s="2809"/>
      <c r="BR15" s="2809"/>
      <c r="BS15" s="2809"/>
      <c r="BT15" s="2809"/>
      <c r="BU15" s="2809"/>
      <c r="BV15" s="2809"/>
      <c r="BW15" s="2809"/>
      <c r="BX15" s="2809"/>
      <c r="BY15" s="2809"/>
      <c r="BZ15" s="2809"/>
      <c r="CA15" s="2809"/>
      <c r="CB15" s="2809"/>
      <c r="CC15" s="2809"/>
      <c r="CD15" s="2809"/>
      <c r="CE15" s="2809"/>
      <c r="CF15" s="2809"/>
      <c r="CG15" s="2809"/>
      <c r="CH15" s="2809"/>
      <c r="CI15" s="2809"/>
      <c r="CJ15" s="2809"/>
      <c r="CK15" s="2809"/>
      <c r="CL15" s="2809"/>
      <c r="CM15" s="2809"/>
      <c r="CN15" s="2809"/>
      <c r="CO15" s="2809"/>
      <c r="CP15" s="2809"/>
      <c r="CQ15" s="2809"/>
      <c r="CR15" s="2809"/>
      <c r="CS15" s="2809"/>
      <c r="CT15" s="2809"/>
      <c r="CU15" s="2809"/>
      <c r="CV15" s="2809"/>
      <c r="CW15" s="2809"/>
      <c r="CX15" s="2809"/>
      <c r="CY15" s="2809"/>
      <c r="CZ15" s="2809"/>
      <c r="DA15" s="2809"/>
      <c r="DB15" s="2809"/>
      <c r="DC15" s="2809"/>
      <c r="DD15" s="2809"/>
      <c r="DE15" s="2809"/>
      <c r="DF15" s="2809"/>
      <c r="DG15" s="2809"/>
      <c r="DH15" s="2809"/>
      <c r="DI15" s="2809"/>
      <c r="DJ15" s="2809"/>
      <c r="DK15" s="2809"/>
      <c r="DL15" s="2809"/>
      <c r="DM15" s="2809"/>
      <c r="DN15" s="2809"/>
      <c r="DO15" s="2809"/>
      <c r="DP15" s="2809"/>
      <c r="DQ15" s="2809"/>
      <c r="DR15" s="2809"/>
      <c r="DS15" s="2809"/>
      <c r="DT15" s="2809"/>
      <c r="DU15" s="2809"/>
      <c r="DV15" s="2809"/>
      <c r="DW15" s="2809"/>
      <c r="DX15" s="2809"/>
      <c r="DY15" s="2809"/>
      <c r="DZ15" s="2809"/>
      <c r="EA15" s="2809"/>
      <c r="EB15" s="2809"/>
      <c r="EC15" s="2809"/>
      <c r="ED15" s="2809"/>
      <c r="EE15" s="2809"/>
      <c r="EF15" s="2809"/>
      <c r="EG15" s="2809"/>
      <c r="EH15" s="2809"/>
      <c r="EI15" s="2809"/>
      <c r="EJ15" s="2809"/>
      <c r="EK15" s="2809"/>
      <c r="EL15" s="2809"/>
      <c r="EM15" s="2809"/>
      <c r="EN15" s="2809"/>
      <c r="EO15" s="2809"/>
      <c r="EP15" s="2809"/>
      <c r="EQ15" s="2809"/>
      <c r="ER15" s="2809"/>
      <c r="ES15" s="2809"/>
      <c r="ET15" s="2809"/>
      <c r="EU15" s="2809"/>
      <c r="EV15" s="2809"/>
      <c r="EW15" s="2809"/>
      <c r="EX15" s="2809"/>
      <c r="EY15" s="2809"/>
      <c r="EZ15" s="2809"/>
      <c r="FA15" s="2809"/>
      <c r="FB15" s="2809"/>
      <c r="FC15" s="2809"/>
      <c r="FD15" s="2809"/>
      <c r="FE15" s="2809"/>
      <c r="FF15" s="2809"/>
      <c r="FG15" s="2809"/>
      <c r="FH15" s="2809"/>
      <c r="FI15" s="2809"/>
    </row>
    <row r="16" spans="1:165" ht="17.100000000000001" customHeight="1" x14ac:dyDescent="0.25">
      <c r="A16" s="2807" t="s">
        <v>2705</v>
      </c>
      <c r="B16" s="2809">
        <v>66426.303235972882</v>
      </c>
      <c r="C16" s="2809">
        <v>67813.347178623269</v>
      </c>
      <c r="D16" s="2809">
        <v>67350.55298928589</v>
      </c>
      <c r="E16" s="2809">
        <v>67898.424276395206</v>
      </c>
      <c r="F16" s="2809">
        <v>70563.533940011592</v>
      </c>
      <c r="G16" s="2809">
        <v>69029.206086238628</v>
      </c>
      <c r="H16" s="2809">
        <v>69173.827566074178</v>
      </c>
      <c r="I16" s="2809">
        <v>70109.753901685341</v>
      </c>
      <c r="J16" s="2809">
        <v>73222.669057128718</v>
      </c>
      <c r="K16" s="2809">
        <v>72628.910586909114</v>
      </c>
      <c r="L16" s="2809">
        <v>74948.541309052278</v>
      </c>
      <c r="M16" s="2809">
        <v>77907.26620021234</v>
      </c>
      <c r="N16" s="2809">
        <v>74640.649942564065</v>
      </c>
      <c r="O16" s="2809">
        <v>74618.615312754191</v>
      </c>
      <c r="P16" s="2809">
        <v>76376.735414886105</v>
      </c>
      <c r="Q16" s="2809">
        <v>75700.789623743025</v>
      </c>
      <c r="R16" s="2809">
        <v>77269.692369705648</v>
      </c>
      <c r="S16" s="2809">
        <v>79953.017943437662</v>
      </c>
      <c r="T16" s="2809">
        <v>79074.75525046949</v>
      </c>
      <c r="U16" s="2809">
        <v>79520.667822633579</v>
      </c>
      <c r="V16" s="2809">
        <v>78671.260029511788</v>
      </c>
      <c r="W16" s="2809">
        <v>81199.667306703283</v>
      </c>
      <c r="X16" s="2809">
        <v>77556.049942866448</v>
      </c>
      <c r="Y16" s="2809">
        <v>80100.875885288551</v>
      </c>
      <c r="Z16" s="2809">
        <v>80040.746933815622</v>
      </c>
      <c r="AA16" s="2809">
        <v>79939.581236785903</v>
      </c>
      <c r="AB16" s="2809">
        <v>79411.668224062698</v>
      </c>
      <c r="AC16" s="2809">
        <v>79032.748513622151</v>
      </c>
      <c r="AD16" s="2809">
        <v>78098.527743300889</v>
      </c>
      <c r="AE16" s="2809">
        <v>85159.248901662751</v>
      </c>
      <c r="AF16" s="2809">
        <v>86394.874568552084</v>
      </c>
      <c r="AG16" s="2809">
        <v>86880.112743733043</v>
      </c>
      <c r="AH16" s="2809">
        <v>87928.224802783152</v>
      </c>
      <c r="AI16" s="2809">
        <v>88106.871545446251</v>
      </c>
      <c r="AJ16" s="2809">
        <v>90488.3945909303</v>
      </c>
      <c r="AK16" s="2809">
        <v>91559.825805914632</v>
      </c>
      <c r="AL16" s="2809">
        <v>94098.106945505308</v>
      </c>
      <c r="AM16" s="2809">
        <v>93549.31388682939</v>
      </c>
      <c r="AN16" s="2809">
        <v>96754.802980609718</v>
      </c>
      <c r="AO16" s="2809">
        <v>95870.007278678371</v>
      </c>
      <c r="AP16" s="2809">
        <v>104072.51915873688</v>
      </c>
      <c r="AQ16" s="2809">
        <v>103579.9323233067</v>
      </c>
      <c r="AR16" s="2809">
        <v>100694.20800170788</v>
      </c>
      <c r="AS16" s="2809">
        <v>99291.769986535714</v>
      </c>
      <c r="AT16" s="2809">
        <v>100933.44968334469</v>
      </c>
      <c r="AU16" s="2809">
        <v>100229.18125081969</v>
      </c>
      <c r="AV16" s="2809">
        <v>99261.274187500021</v>
      </c>
      <c r="AW16" s="2809">
        <v>103497.94482550361</v>
      </c>
      <c r="AX16" s="2809">
        <v>102921.43799632388</v>
      </c>
      <c r="AY16" s="2809">
        <v>108544.33997084292</v>
      </c>
      <c r="AZ16" s="2809">
        <v>110343.08859754098</v>
      </c>
      <c r="BA16" s="2809">
        <v>114721.20755311572</v>
      </c>
      <c r="BB16" s="2809">
        <v>117055.21513527753</v>
      </c>
      <c r="BC16" s="2809">
        <v>119619.60702976644</v>
      </c>
      <c r="BD16" s="2809">
        <v>121075.74227892855</v>
      </c>
      <c r="BE16" s="2809">
        <v>123260.36938210644</v>
      </c>
      <c r="BF16" s="2809">
        <v>120752.98616916555</v>
      </c>
      <c r="BG16" s="2809">
        <v>119694.92564294937</v>
      </c>
      <c r="BH16" s="2809">
        <v>117838.97237219621</v>
      </c>
      <c r="BI16" s="2809">
        <v>122735.45625949455</v>
      </c>
      <c r="BJ16" s="2809">
        <v>120049.19112513392</v>
      </c>
      <c r="BK16" s="2809">
        <v>126047.57279302411</v>
      </c>
      <c r="BL16" s="2809">
        <v>139062.48919025276</v>
      </c>
      <c r="BM16" s="2809">
        <v>137586.09214340354</v>
      </c>
      <c r="BN16" s="2809">
        <v>138175.21268258648</v>
      </c>
      <c r="BO16" s="2809">
        <v>138628.47666558527</v>
      </c>
      <c r="BP16" s="2809">
        <v>142104.72795610214</v>
      </c>
      <c r="BQ16" s="2809">
        <v>142278.28919419972</v>
      </c>
      <c r="BR16" s="2809">
        <v>144450.61180768846</v>
      </c>
      <c r="BS16" s="2809">
        <v>148534.72719634642</v>
      </c>
      <c r="BT16" s="2809">
        <v>150438.85095480151</v>
      </c>
      <c r="BU16" s="2809">
        <v>151519.5</v>
      </c>
      <c r="BV16" s="2809">
        <v>153595.05761268668</v>
      </c>
      <c r="BW16" s="2809">
        <v>156324.69065769573</v>
      </c>
      <c r="BX16" s="2809">
        <v>157406.6914241621</v>
      </c>
      <c r="BY16" s="2809">
        <v>156600.80811839449</v>
      </c>
      <c r="BZ16" s="2809">
        <v>159897.71195550862</v>
      </c>
      <c r="CA16" s="2809">
        <v>166725.92581236121</v>
      </c>
      <c r="CB16" s="2809">
        <v>166910.92624923383</v>
      </c>
      <c r="CC16" s="2809">
        <v>166395.73053723547</v>
      </c>
      <c r="CD16" s="2809">
        <v>169580.80563689113</v>
      </c>
      <c r="CE16" s="2809">
        <v>171298.85641524161</v>
      </c>
      <c r="CF16" s="2809">
        <v>173801.30735711419</v>
      </c>
      <c r="CG16" s="2809">
        <v>177668.55562032614</v>
      </c>
      <c r="CH16" s="2809">
        <v>174394.86292201749</v>
      </c>
      <c r="CI16" s="2809">
        <v>174924.25180757011</v>
      </c>
      <c r="CJ16" s="2809">
        <v>175637.22381427392</v>
      </c>
      <c r="CK16" s="2809">
        <v>179152.63008492597</v>
      </c>
      <c r="CL16" s="2809">
        <v>178461.27118693173</v>
      </c>
      <c r="CM16" s="2809">
        <v>180437.56616006474</v>
      </c>
      <c r="CN16" s="2809">
        <v>176191.51600309185</v>
      </c>
      <c r="CO16" s="2809">
        <v>175785.32195359335</v>
      </c>
      <c r="CP16" s="2809">
        <v>185058.20583007197</v>
      </c>
      <c r="CQ16" s="2809">
        <v>188375.48139406703</v>
      </c>
      <c r="CR16" s="2809">
        <v>191339.81988459302</v>
      </c>
      <c r="CS16" s="2809">
        <v>200039.4517179582</v>
      </c>
      <c r="CT16" s="2809">
        <v>196835.78700488887</v>
      </c>
      <c r="CU16" s="2809">
        <v>202954.33186410007</v>
      </c>
      <c r="CV16" s="2809">
        <v>207215.69517574867</v>
      </c>
      <c r="CW16" s="2809">
        <v>214373.48147916992</v>
      </c>
      <c r="CX16" s="2809">
        <v>221942.12390585776</v>
      </c>
      <c r="CY16" s="2809">
        <v>230238.77583979841</v>
      </c>
      <c r="CZ16" s="2809">
        <v>221922.20800793669</v>
      </c>
      <c r="DA16" s="2809">
        <v>225940.38191798772</v>
      </c>
      <c r="DB16" s="2809">
        <v>218871.25093894106</v>
      </c>
      <c r="DC16" s="2809">
        <v>217596.3036255289</v>
      </c>
      <c r="DD16" s="2809">
        <v>214815.73631158541</v>
      </c>
      <c r="DE16" s="2809">
        <v>217004.41993496372</v>
      </c>
      <c r="DF16" s="2809">
        <v>218846.8952504606</v>
      </c>
      <c r="DG16" s="2809">
        <v>219966.96050391931</v>
      </c>
      <c r="DH16" s="2809">
        <v>226576.71631358506</v>
      </c>
      <c r="DI16" s="2809">
        <v>229226.42152050519</v>
      </c>
      <c r="DJ16" s="2809">
        <v>240408.08847555952</v>
      </c>
      <c r="DK16" s="2809">
        <v>252957.68400993009</v>
      </c>
      <c r="DL16" s="2809">
        <v>258964.54538824756</v>
      </c>
      <c r="DM16" s="2809">
        <v>259427.82324653002</v>
      </c>
      <c r="DN16" s="2809">
        <v>262761.86596508219</v>
      </c>
      <c r="DO16" s="2809">
        <v>263442.84530936059</v>
      </c>
      <c r="DP16" s="2809">
        <v>268691.24890248722</v>
      </c>
      <c r="DQ16" s="2809">
        <v>269147.02911251434</v>
      </c>
      <c r="DR16" s="2809">
        <v>278812.67778411362</v>
      </c>
      <c r="DS16" s="2809">
        <v>273904.52688807907</v>
      </c>
      <c r="DT16" s="2809">
        <v>276298.97259022022</v>
      </c>
      <c r="DU16" s="2809">
        <v>280218.67607955547</v>
      </c>
      <c r="DV16" s="2809">
        <v>275540.36607464025</v>
      </c>
      <c r="DW16" s="2809">
        <v>278884.25604416308</v>
      </c>
      <c r="DX16" s="2809">
        <v>295596.05314703286</v>
      </c>
      <c r="DY16" s="2809">
        <v>278825.85957494081</v>
      </c>
      <c r="DZ16" s="2809">
        <v>277995.11736622191</v>
      </c>
      <c r="EA16" s="2809">
        <v>269143.13557219441</v>
      </c>
      <c r="EB16" s="2809">
        <v>268344.11662117584</v>
      </c>
      <c r="EC16" s="2809">
        <v>284981.4928212621</v>
      </c>
      <c r="ED16" s="2809">
        <v>305406.72245056508</v>
      </c>
      <c r="EE16" s="2809">
        <v>286606.10411991918</v>
      </c>
      <c r="EF16" s="2809">
        <v>292769.16974273225</v>
      </c>
      <c r="EG16" s="2809">
        <v>296822.91944970074</v>
      </c>
      <c r="EH16" s="2809">
        <v>304286.70241272327</v>
      </c>
      <c r="EI16" s="2809">
        <v>304753.51439039694</v>
      </c>
      <c r="EJ16" s="2809">
        <v>306320.93923338183</v>
      </c>
      <c r="EK16" s="2809">
        <v>311055.09824585548</v>
      </c>
      <c r="EL16" s="2809">
        <v>313224.63939457148</v>
      </c>
      <c r="EM16" s="2809">
        <v>298725.71976760373</v>
      </c>
      <c r="EN16" s="2809">
        <v>300724.80520937481</v>
      </c>
      <c r="EO16" s="2809">
        <v>337063.73363615904</v>
      </c>
      <c r="EP16" s="2809">
        <v>309649.12609856523</v>
      </c>
      <c r="EQ16" s="2809">
        <v>300516.18910170294</v>
      </c>
      <c r="ER16" s="2809">
        <v>320279.27609864151</v>
      </c>
      <c r="ES16" s="2809">
        <v>263897.34971547523</v>
      </c>
      <c r="ET16" s="2809">
        <v>256550.39193265548</v>
      </c>
      <c r="EU16" s="2809">
        <v>293075.70323235187</v>
      </c>
      <c r="EV16" s="2809">
        <v>264076.9690177234</v>
      </c>
      <c r="EW16" s="2809">
        <v>264594.23080340581</v>
      </c>
      <c r="EX16" s="2809">
        <v>276648.9412771822</v>
      </c>
      <c r="EY16" s="2809">
        <v>235415.07056458096</v>
      </c>
      <c r="EZ16" s="2809">
        <v>243314.95652343554</v>
      </c>
      <c r="FA16" s="2809">
        <v>290734.2678265954</v>
      </c>
      <c r="FB16" s="2809">
        <v>251591.0464090583</v>
      </c>
      <c r="FC16" s="2809">
        <v>251345.52869773973</v>
      </c>
      <c r="FD16" s="2809">
        <v>252715.58270936389</v>
      </c>
      <c r="FE16" s="2809">
        <v>238065.41002667538</v>
      </c>
      <c r="FF16" s="2809">
        <v>238131.47230902113</v>
      </c>
      <c r="FG16" s="2809">
        <v>242383.41958415843</v>
      </c>
      <c r="FH16" s="2809">
        <v>243012.7153590807</v>
      </c>
      <c r="FI16" s="2809">
        <v>253005.19533452089</v>
      </c>
    </row>
    <row r="17" spans="1:166" ht="17.100000000000001" customHeight="1" x14ac:dyDescent="0.25">
      <c r="A17" s="2807" t="s">
        <v>2706</v>
      </c>
      <c r="B17" s="2809">
        <v>-16094.591653099998</v>
      </c>
      <c r="C17" s="2809">
        <v>-15133.990915980001</v>
      </c>
      <c r="D17" s="2809">
        <v>-10574.257390679999</v>
      </c>
      <c r="E17" s="2809">
        <v>-13160.13132181</v>
      </c>
      <c r="F17" s="2809">
        <v>-13184.197336680001</v>
      </c>
      <c r="G17" s="2809">
        <v>-12603.214470860001</v>
      </c>
      <c r="H17" s="2809">
        <v>-12649.402737140001</v>
      </c>
      <c r="I17" s="2809">
        <v>-13999.36386032</v>
      </c>
      <c r="J17" s="2809">
        <v>-12309.791425859999</v>
      </c>
      <c r="K17" s="2809">
        <v>-9506.4930552200003</v>
      </c>
      <c r="L17" s="2809">
        <v>-11316.247423609999</v>
      </c>
      <c r="M17" s="2809">
        <v>-9687.6799926800013</v>
      </c>
      <c r="N17" s="2809">
        <v>-8384.2803368000004</v>
      </c>
      <c r="O17" s="2809">
        <v>-7735.6408573600002</v>
      </c>
      <c r="P17" s="2809">
        <v>-11176.693028849997</v>
      </c>
      <c r="Q17" s="2809">
        <v>-9606.6951597400002</v>
      </c>
      <c r="R17" s="2809">
        <v>-11320.184787369999</v>
      </c>
      <c r="S17" s="2809">
        <v>-10168.74607549</v>
      </c>
      <c r="T17" s="2809">
        <v>-11201.799995440004</v>
      </c>
      <c r="U17" s="2809">
        <v>-8361.1217992800011</v>
      </c>
      <c r="V17" s="2809">
        <v>-10561.849022570001</v>
      </c>
      <c r="W17" s="2809">
        <v>-11253.339342660001</v>
      </c>
      <c r="X17" s="2809">
        <v>-9436.6171233200002</v>
      </c>
      <c r="Y17" s="2809">
        <v>-7837.3001372700001</v>
      </c>
      <c r="Z17" s="2809">
        <v>-10079.960773000003</v>
      </c>
      <c r="AA17" s="2809">
        <v>-8692.3302772299994</v>
      </c>
      <c r="AB17" s="2809">
        <v>-9372.881900270002</v>
      </c>
      <c r="AC17" s="2809">
        <v>-8880.1699302400029</v>
      </c>
      <c r="AD17" s="2809">
        <v>-8780.1530179400033</v>
      </c>
      <c r="AE17" s="2809">
        <v>-11179.910112040001</v>
      </c>
      <c r="AF17" s="2809">
        <v>-11456.030725809998</v>
      </c>
      <c r="AG17" s="2809">
        <v>-13179.341982179998</v>
      </c>
      <c r="AH17" s="2809">
        <v>-11879.09227354</v>
      </c>
      <c r="AI17" s="2809">
        <v>-13350.546611650003</v>
      </c>
      <c r="AJ17" s="2809">
        <v>-16898.939951499997</v>
      </c>
      <c r="AK17" s="2809">
        <v>-11466.967172649998</v>
      </c>
      <c r="AL17" s="2809">
        <v>-13650.276193949998</v>
      </c>
      <c r="AM17" s="2809">
        <v>-12018.874950829999</v>
      </c>
      <c r="AN17" s="2809">
        <v>-12476.195903029999</v>
      </c>
      <c r="AO17" s="2809">
        <v>-14313.36957282</v>
      </c>
      <c r="AP17" s="2809">
        <v>-17374.062681929754</v>
      </c>
      <c r="AQ17" s="2809">
        <v>-18112.053482993684</v>
      </c>
      <c r="AR17" s="2809">
        <v>-14044.60487612374</v>
      </c>
      <c r="AS17" s="2809">
        <v>-13816.06028582856</v>
      </c>
      <c r="AT17" s="2809">
        <v>-17341.511666418828</v>
      </c>
      <c r="AU17" s="2809">
        <v>-15217.901120033093</v>
      </c>
      <c r="AV17" s="2809">
        <v>-13552.266238281474</v>
      </c>
      <c r="AW17" s="2809">
        <v>-10932.694839660657</v>
      </c>
      <c r="AX17" s="2809">
        <v>-13197.887711877294</v>
      </c>
      <c r="AY17" s="2809">
        <v>-12463.583303451964</v>
      </c>
      <c r="AZ17" s="2809">
        <v>-13387.690245879574</v>
      </c>
      <c r="BA17" s="2809">
        <v>-17897.114501728862</v>
      </c>
      <c r="BB17" s="2809">
        <v>-16472.475734490621</v>
      </c>
      <c r="BC17" s="2809">
        <v>-18912.303265928196</v>
      </c>
      <c r="BD17" s="2809">
        <v>-19181.228839505362</v>
      </c>
      <c r="BE17" s="2809">
        <v>-20865.026249724659</v>
      </c>
      <c r="BF17" s="2809">
        <v>-24581.233548614022</v>
      </c>
      <c r="BG17" s="2809">
        <v>-22626.159615587952</v>
      </c>
      <c r="BH17" s="2809">
        <v>-19870.683686191223</v>
      </c>
      <c r="BI17" s="2809">
        <v>-20743.429970004472</v>
      </c>
      <c r="BJ17" s="2809">
        <v>-19352.681883520723</v>
      </c>
      <c r="BK17" s="2809">
        <v>-22349.474304150681</v>
      </c>
      <c r="BL17" s="2809">
        <v>-23502.995871067244</v>
      </c>
      <c r="BM17" s="2809">
        <v>-22661.474497705807</v>
      </c>
      <c r="BN17" s="2809">
        <v>-22878.465939326445</v>
      </c>
      <c r="BO17" s="2809">
        <v>-21714.827886328236</v>
      </c>
      <c r="BP17" s="2809">
        <v>-26328.382232080454</v>
      </c>
      <c r="BQ17" s="2809">
        <v>-25956.873075779848</v>
      </c>
      <c r="BR17" s="2809">
        <v>-26828.959248950447</v>
      </c>
      <c r="BS17" s="2809">
        <v>-25650.317494534476</v>
      </c>
      <c r="BT17" s="2809">
        <v>-29430.173450514856</v>
      </c>
      <c r="BU17" s="2809">
        <v>-28634.9</v>
      </c>
      <c r="BV17" s="2809">
        <v>-26971.136303966399</v>
      </c>
      <c r="BW17" s="2809">
        <v>-29312.760556908066</v>
      </c>
      <c r="BX17" s="2809">
        <v>-31958.729724419147</v>
      </c>
      <c r="BY17" s="2809">
        <v>-34518.630189887648</v>
      </c>
      <c r="BZ17" s="2809">
        <v>-29765.040157252177</v>
      </c>
      <c r="CA17" s="2809">
        <v>-35913.45428410665</v>
      </c>
      <c r="CB17" s="2809">
        <v>-35783.323356305329</v>
      </c>
      <c r="CC17" s="2809">
        <v>-37224.626337385162</v>
      </c>
      <c r="CD17" s="2809">
        <v>-37942.026526596077</v>
      </c>
      <c r="CE17" s="2809">
        <v>-41152.21912881577</v>
      </c>
      <c r="CF17" s="2809">
        <v>-41550.868337346699</v>
      </c>
      <c r="CG17" s="2809">
        <v>-38386.59096716639</v>
      </c>
      <c r="CH17" s="2809">
        <v>-32405.033911957518</v>
      </c>
      <c r="CI17" s="2809">
        <v>-35191.526846515859</v>
      </c>
      <c r="CJ17" s="2809">
        <v>-40506.141151634103</v>
      </c>
      <c r="CK17" s="2809">
        <v>-39546.197622725238</v>
      </c>
      <c r="CL17" s="2809">
        <v>-35351.569054948355</v>
      </c>
      <c r="CM17" s="2809">
        <v>-34907.183384128431</v>
      </c>
      <c r="CN17" s="2809">
        <v>-27481.992926843894</v>
      </c>
      <c r="CO17" s="2809">
        <v>-28939.114406344157</v>
      </c>
      <c r="CP17" s="2809">
        <v>-26135.339736256545</v>
      </c>
      <c r="CQ17" s="2809">
        <v>-29274.277120821997</v>
      </c>
      <c r="CR17" s="2809">
        <v>-29484.768431556058</v>
      </c>
      <c r="CS17" s="2809">
        <v>-24932.121414385856</v>
      </c>
      <c r="CT17" s="2809">
        <v>-23701.260518967501</v>
      </c>
      <c r="CU17" s="2809">
        <v>-19829.780191346192</v>
      </c>
      <c r="CV17" s="2809">
        <v>-18394.546459666919</v>
      </c>
      <c r="CW17" s="2809">
        <v>-17571.779205522427</v>
      </c>
      <c r="CX17" s="2809">
        <v>-18573.606077410073</v>
      </c>
      <c r="CY17" s="2809">
        <v>-22246.375063844021</v>
      </c>
      <c r="CZ17" s="2809">
        <v>-25283.029247717244</v>
      </c>
      <c r="DA17" s="2809">
        <v>-21010.18099120606</v>
      </c>
      <c r="DB17" s="2809">
        <v>-22958.469095949196</v>
      </c>
      <c r="DC17" s="2809">
        <v>-22390.423569186998</v>
      </c>
      <c r="DD17" s="2809">
        <v>-19647.914046480033</v>
      </c>
      <c r="DE17" s="2809">
        <v>-19273.09610646783</v>
      </c>
      <c r="DF17" s="2809">
        <v>-20935.306592958881</v>
      </c>
      <c r="DG17" s="2809">
        <v>-19289.037028424798</v>
      </c>
      <c r="DH17" s="2809">
        <v>-20772.733527978315</v>
      </c>
      <c r="DI17" s="2809">
        <v>-18967.234455908358</v>
      </c>
      <c r="DJ17" s="2809">
        <v>-21200.26106011423</v>
      </c>
      <c r="DK17" s="2809">
        <v>-18445.956216161783</v>
      </c>
      <c r="DL17" s="2809">
        <v>-18377.2636097016</v>
      </c>
      <c r="DM17" s="2809">
        <v>-21627.090344343022</v>
      </c>
      <c r="DN17" s="2809">
        <v>-19402.232828217911</v>
      </c>
      <c r="DO17" s="2809">
        <v>-18081.413977269593</v>
      </c>
      <c r="DP17" s="2809">
        <v>-19279.206900320001</v>
      </c>
      <c r="DQ17" s="2809">
        <v>-23863.349618259625</v>
      </c>
      <c r="DR17" s="2809">
        <v>-24211.561883350314</v>
      </c>
      <c r="DS17" s="2809">
        <v>-13684.554506002109</v>
      </c>
      <c r="DT17" s="2809">
        <v>-13755.411136558921</v>
      </c>
      <c r="DU17" s="2809">
        <v>-12727.236643302333</v>
      </c>
      <c r="DV17" s="2809">
        <v>1025.7089805331761</v>
      </c>
      <c r="DW17" s="2809">
        <v>-22127.335113032943</v>
      </c>
      <c r="DX17" s="2809">
        <v>-21088.749873838813</v>
      </c>
      <c r="DY17" s="2809">
        <v>-49104.374233031187</v>
      </c>
      <c r="DZ17" s="2809">
        <v>-51513.327108830243</v>
      </c>
      <c r="EA17" s="2809">
        <v>-42431.598791852331</v>
      </c>
      <c r="EB17" s="2809">
        <v>-34259.903045684754</v>
      </c>
      <c r="EC17" s="2809">
        <v>-27032.858213989537</v>
      </c>
      <c r="ED17" s="2809">
        <v>-29267.717830482128</v>
      </c>
      <c r="EE17" s="2809">
        <v>-30965.464448109906</v>
      </c>
      <c r="EF17" s="2809">
        <v>-40247.084593347718</v>
      </c>
      <c r="EG17" s="2809">
        <v>-36882.971087025631</v>
      </c>
      <c r="EH17" s="2809">
        <v>-34161.745417146652</v>
      </c>
      <c r="EI17" s="2809">
        <v>-39984.162914329703</v>
      </c>
      <c r="EJ17" s="2809">
        <v>-31392.598979757619</v>
      </c>
      <c r="EK17" s="2809">
        <v>-41795.13414492146</v>
      </c>
      <c r="EL17" s="2809">
        <v>-39463.641038158414</v>
      </c>
      <c r="EM17" s="2809">
        <v>-19113.246569812924</v>
      </c>
      <c r="EN17" s="2809">
        <v>-21043.5530357916</v>
      </c>
      <c r="EO17" s="2809">
        <v>-32086.843034149988</v>
      </c>
      <c r="EP17" s="2809">
        <v>-47002.342001991929</v>
      </c>
      <c r="EQ17" s="2809">
        <v>-37952.780247631221</v>
      </c>
      <c r="ER17" s="2809">
        <v>-36581.001777217738</v>
      </c>
      <c r="ES17" s="2809">
        <v>-33834.173461812607</v>
      </c>
      <c r="ET17" s="2809">
        <v>-38432.212985026483</v>
      </c>
      <c r="EU17" s="2809">
        <v>-27357.031242339341</v>
      </c>
      <c r="EV17" s="2809">
        <v>-20514.277846540346</v>
      </c>
      <c r="EW17" s="2809">
        <v>-22145.320971511253</v>
      </c>
      <c r="EX17" s="2809">
        <v>-19017.166652724962</v>
      </c>
      <c r="EY17" s="2809">
        <v>-18782.588282115576</v>
      </c>
      <c r="EZ17" s="2809">
        <v>-25346.792344075191</v>
      </c>
      <c r="FA17" s="2809">
        <v>-18478.342559409499</v>
      </c>
      <c r="FB17" s="2809">
        <v>-18001.313390165986</v>
      </c>
      <c r="FC17" s="2809">
        <v>-10767.515470433402</v>
      </c>
      <c r="FD17" s="2809">
        <v>-15230.131451164722</v>
      </c>
      <c r="FE17" s="2809">
        <v>-16464.269159245589</v>
      </c>
      <c r="FF17" s="2809">
        <v>-21193.5904879882</v>
      </c>
      <c r="FG17" s="2809">
        <v>-19694.61550680381</v>
      </c>
      <c r="FH17" s="2809">
        <v>-15493.845913593652</v>
      </c>
      <c r="FI17" s="2809">
        <v>-11659.828165529691</v>
      </c>
    </row>
    <row r="18" spans="1:166" ht="17.100000000000001" customHeight="1" x14ac:dyDescent="0.25">
      <c r="A18" s="2807" t="s">
        <v>2707</v>
      </c>
      <c r="B18" s="2809">
        <v>416.39877228</v>
      </c>
      <c r="C18" s="2809">
        <v>398.98351687999997</v>
      </c>
      <c r="D18" s="2809">
        <v>464.59303090000003</v>
      </c>
      <c r="E18" s="2809">
        <v>369.60301450999998</v>
      </c>
      <c r="F18" s="2809">
        <v>408.48481404999995</v>
      </c>
      <c r="G18" s="2809">
        <v>451.59551101999995</v>
      </c>
      <c r="H18" s="2809">
        <v>445.53247376000002</v>
      </c>
      <c r="I18" s="2809">
        <v>375.32156171000003</v>
      </c>
      <c r="J18" s="2809">
        <v>729.0334312199999</v>
      </c>
      <c r="K18" s="2809">
        <v>725.01450312999987</v>
      </c>
      <c r="L18" s="2809">
        <v>1098.9094759899999</v>
      </c>
      <c r="M18" s="2809">
        <v>992.11887309000008</v>
      </c>
      <c r="N18" s="2809">
        <v>1201.4398751599999</v>
      </c>
      <c r="O18" s="2809">
        <v>986.17518556999994</v>
      </c>
      <c r="P18" s="2809">
        <v>242.02596110999997</v>
      </c>
      <c r="Q18" s="2809">
        <v>265.07175250999995</v>
      </c>
      <c r="R18" s="2809">
        <v>629.2786777099999</v>
      </c>
      <c r="S18" s="2809">
        <v>246.32987396999999</v>
      </c>
      <c r="T18" s="2809">
        <v>1772.48621953</v>
      </c>
      <c r="U18" s="2809">
        <v>1112.8485640200001</v>
      </c>
      <c r="V18" s="2809">
        <v>719.99327042000004</v>
      </c>
      <c r="W18" s="2809">
        <v>955.00277437</v>
      </c>
      <c r="X18" s="2809">
        <v>1127.9270470100003</v>
      </c>
      <c r="Y18" s="2809">
        <v>1138.7372729100002</v>
      </c>
      <c r="Z18" s="2809">
        <v>1211.1530704200002</v>
      </c>
      <c r="AA18" s="2809">
        <v>1131.4411226499999</v>
      </c>
      <c r="AB18" s="2809">
        <v>1179.4819348599999</v>
      </c>
      <c r="AC18" s="2809">
        <v>1157.8965479799999</v>
      </c>
      <c r="AD18" s="2809">
        <v>218.86825797</v>
      </c>
      <c r="AE18" s="2809">
        <v>450.09873363999998</v>
      </c>
      <c r="AF18" s="2809">
        <v>152.5676181</v>
      </c>
      <c r="AG18" s="2809">
        <v>445.32254952000005</v>
      </c>
      <c r="AH18" s="2809">
        <v>763.68187892000003</v>
      </c>
      <c r="AI18" s="2809">
        <v>1163.6323081500002</v>
      </c>
      <c r="AJ18" s="2809">
        <v>1325.8463739199999</v>
      </c>
      <c r="AK18" s="2809">
        <v>1804.5649623700001</v>
      </c>
      <c r="AL18" s="2809">
        <v>2146.9082228399998</v>
      </c>
      <c r="AM18" s="2809">
        <v>2114.7532336799995</v>
      </c>
      <c r="AN18" s="2809">
        <v>2108.0848065299997</v>
      </c>
      <c r="AO18" s="2809">
        <v>2342.2126538799998</v>
      </c>
      <c r="AP18" s="2809">
        <v>1233.3859579699999</v>
      </c>
      <c r="AQ18" s="2809">
        <v>1546.1322582800001</v>
      </c>
      <c r="AR18" s="2809">
        <v>1729.84466681</v>
      </c>
      <c r="AS18" s="2809">
        <v>2100.3866184399999</v>
      </c>
      <c r="AT18" s="2809">
        <v>2973.8737531799998</v>
      </c>
      <c r="AU18" s="2809">
        <v>2466.6333634100001</v>
      </c>
      <c r="AV18" s="2809">
        <v>2627.7498871299995</v>
      </c>
      <c r="AW18" s="2809">
        <v>2715.6635386299995</v>
      </c>
      <c r="AX18" s="2809">
        <v>3505.64319918</v>
      </c>
      <c r="AY18" s="2809">
        <v>3459.2269215600004</v>
      </c>
      <c r="AZ18" s="2809">
        <v>3529.4347085599993</v>
      </c>
      <c r="BA18" s="2809">
        <v>3453.8968748400002</v>
      </c>
      <c r="BB18" s="2809">
        <v>2412.4059201499999</v>
      </c>
      <c r="BC18" s="2809">
        <v>2414.3403686699999</v>
      </c>
      <c r="BD18" s="2809">
        <v>1784.51822917</v>
      </c>
      <c r="BE18" s="2809">
        <v>2049.3917820399997</v>
      </c>
      <c r="BF18" s="2809">
        <v>2089.3361430999998</v>
      </c>
      <c r="BG18" s="2809">
        <v>2102.1365570700004</v>
      </c>
      <c r="BH18" s="2809">
        <v>2294.0404291999994</v>
      </c>
      <c r="BI18" s="2809">
        <v>2467.8894129999999</v>
      </c>
      <c r="BJ18" s="2809">
        <v>2207.8287976499996</v>
      </c>
      <c r="BK18" s="2809">
        <v>2382.2947444899996</v>
      </c>
      <c r="BL18" s="2809">
        <v>2443.1738772899998</v>
      </c>
      <c r="BM18" s="2809">
        <v>2611.5448260100006</v>
      </c>
      <c r="BN18" s="2809">
        <v>2007.7485255200002</v>
      </c>
      <c r="BO18" s="2809">
        <v>2027.59553033</v>
      </c>
      <c r="BP18" s="2809">
        <v>1574.8875632300001</v>
      </c>
      <c r="BQ18" s="2809">
        <v>1242.43514559</v>
      </c>
      <c r="BR18" s="2809">
        <v>1307.1408722699998</v>
      </c>
      <c r="BS18" s="2809">
        <v>1065.56092048</v>
      </c>
      <c r="BT18" s="2809">
        <v>1057.6542133000003</v>
      </c>
      <c r="BU18" s="2809">
        <v>1056.7</v>
      </c>
      <c r="BV18" s="2809">
        <v>996.92193865999991</v>
      </c>
      <c r="BW18" s="2809">
        <v>1008.8143971</v>
      </c>
      <c r="BX18" s="2809">
        <v>1011.9442757100001</v>
      </c>
      <c r="BY18" s="2809">
        <v>1066.7009175000001</v>
      </c>
      <c r="BZ18" s="2809">
        <v>1016.77921311</v>
      </c>
      <c r="CA18" s="2809">
        <v>866.98502473000008</v>
      </c>
      <c r="CB18" s="2809">
        <v>1356.7076687000001</v>
      </c>
      <c r="CC18" s="2809">
        <v>876.30193002999999</v>
      </c>
      <c r="CD18" s="2809">
        <v>902.85366694000004</v>
      </c>
      <c r="CE18" s="2809">
        <v>874.22326047999991</v>
      </c>
      <c r="CF18" s="2809">
        <v>871.67880075999994</v>
      </c>
      <c r="CG18" s="2809">
        <v>884.54086482000002</v>
      </c>
      <c r="CH18" s="2809">
        <v>764.88943096000003</v>
      </c>
      <c r="CI18" s="2809">
        <v>759.47528250999994</v>
      </c>
      <c r="CJ18" s="2809">
        <v>783.26216117999991</v>
      </c>
      <c r="CK18" s="2809">
        <v>777.68830327000012</v>
      </c>
      <c r="CL18" s="2809">
        <v>780.34392504000004</v>
      </c>
      <c r="CM18" s="2809">
        <v>666.0651149900001</v>
      </c>
      <c r="CN18" s="2809">
        <v>663.17858106999995</v>
      </c>
      <c r="CO18" s="2809">
        <v>662.97412502999987</v>
      </c>
      <c r="CP18" s="2809">
        <v>679.88341018999995</v>
      </c>
      <c r="CQ18" s="2809">
        <v>680.51631947999999</v>
      </c>
      <c r="CR18" s="2809">
        <v>686.30011655999999</v>
      </c>
      <c r="CS18" s="2809">
        <v>675.2423620400001</v>
      </c>
      <c r="CT18" s="2809">
        <v>728.38201835000007</v>
      </c>
      <c r="CU18" s="2809">
        <v>618.91564277000009</v>
      </c>
      <c r="CV18" s="2809">
        <v>647.7223449899999</v>
      </c>
      <c r="CW18" s="2809">
        <v>619.35890265</v>
      </c>
      <c r="CX18" s="2809">
        <v>615.95369096000013</v>
      </c>
      <c r="CY18" s="2809">
        <v>532.94062998999993</v>
      </c>
      <c r="CZ18" s="2809">
        <v>486.13695540999993</v>
      </c>
      <c r="DA18" s="2809">
        <v>504.09098372999995</v>
      </c>
      <c r="DB18" s="2809">
        <v>490.31621081999998</v>
      </c>
      <c r="DC18" s="2809">
        <v>486.93154324999995</v>
      </c>
      <c r="DD18" s="2809">
        <v>505.02529141000002</v>
      </c>
      <c r="DE18" s="2809">
        <v>448.45071628999995</v>
      </c>
      <c r="DF18" s="2809">
        <v>424.32515734000003</v>
      </c>
      <c r="DG18" s="2809">
        <v>415.21715676999997</v>
      </c>
      <c r="DH18" s="2809">
        <v>425.40114375000002</v>
      </c>
      <c r="DI18" s="2809">
        <v>408.29458506000003</v>
      </c>
      <c r="DJ18" s="2809">
        <v>436.04864189999995</v>
      </c>
      <c r="DK18" s="2809">
        <v>290.27401915000002</v>
      </c>
      <c r="DL18" s="2809">
        <v>262.41021176999999</v>
      </c>
      <c r="DM18" s="2809">
        <v>270.84950722999997</v>
      </c>
      <c r="DN18" s="2809">
        <v>162.27015924</v>
      </c>
      <c r="DO18" s="2809">
        <v>117.93738719999999</v>
      </c>
      <c r="DP18" s="2809">
        <v>136.1017042</v>
      </c>
      <c r="DQ18" s="2809">
        <v>22.977313389999999</v>
      </c>
      <c r="DR18" s="2809">
        <v>55.86070909</v>
      </c>
      <c r="DS18" s="2809">
        <v>37.523696020000003</v>
      </c>
      <c r="DT18" s="2809">
        <v>581.83854550000001</v>
      </c>
      <c r="DU18" s="2809">
        <v>588.79924046999997</v>
      </c>
      <c r="DV18" s="2809">
        <v>595.43215739000004</v>
      </c>
      <c r="DW18" s="2809">
        <v>12103.041259670001</v>
      </c>
      <c r="DX18" s="2809">
        <v>12052.1134747</v>
      </c>
      <c r="DY18" s="2809">
        <v>12003.757200059999</v>
      </c>
      <c r="DZ18" s="2809">
        <v>10233.65064851</v>
      </c>
      <c r="EA18" s="2809">
        <v>10266.188454180001</v>
      </c>
      <c r="EB18" s="2809">
        <v>10257.780566359997</v>
      </c>
      <c r="EC18" s="2809">
        <v>2052.56562381</v>
      </c>
      <c r="ED18" s="2809">
        <v>2039.6351765099998</v>
      </c>
      <c r="EE18" s="2809">
        <v>2037.7262019</v>
      </c>
      <c r="EF18" s="2809">
        <v>14.186722280000001</v>
      </c>
      <c r="EG18" s="2809">
        <v>29.864407589999999</v>
      </c>
      <c r="EH18" s="2809">
        <v>44.455103069999993</v>
      </c>
      <c r="EI18" s="2809">
        <v>39.964073280000001</v>
      </c>
      <c r="EJ18" s="2809">
        <v>29.675978439999998</v>
      </c>
      <c r="EK18" s="2809">
        <v>29.392868370000002</v>
      </c>
      <c r="EL18" s="2809">
        <v>24.093481529999998</v>
      </c>
      <c r="EM18" s="2809">
        <v>36.022462339999997</v>
      </c>
      <c r="EN18" s="2809">
        <v>40.506287</v>
      </c>
      <c r="EO18" s="2809">
        <v>87.685474940000006</v>
      </c>
      <c r="EP18" s="2809">
        <v>382.11966597999992</v>
      </c>
      <c r="EQ18" s="2809">
        <v>21.566645510000001</v>
      </c>
      <c r="ER18" s="2809">
        <v>366.25647111000001</v>
      </c>
      <c r="ES18" s="2809">
        <v>63.03077588</v>
      </c>
      <c r="ET18" s="2809">
        <v>85.744150080000011</v>
      </c>
      <c r="EU18" s="2809">
        <v>94.462878439999997</v>
      </c>
      <c r="EV18" s="2809">
        <v>92.229600549999986</v>
      </c>
      <c r="EW18" s="2809">
        <v>78.0770421</v>
      </c>
      <c r="EX18" s="2809">
        <v>99.663914249999991</v>
      </c>
      <c r="EY18" s="2809">
        <v>103.01158890000001</v>
      </c>
      <c r="EZ18" s="2809">
        <v>75.501157660000004</v>
      </c>
      <c r="FA18" s="2809">
        <v>117.15816676</v>
      </c>
      <c r="FB18" s="2809">
        <v>70.924585960000002</v>
      </c>
      <c r="FC18" s="2809">
        <v>67.830474670000001</v>
      </c>
      <c r="FD18" s="2809">
        <v>70.638115349999993</v>
      </c>
      <c r="FE18" s="2809">
        <v>62.620718619999998</v>
      </c>
      <c r="FF18" s="2809">
        <v>72.036034169999994</v>
      </c>
      <c r="FG18" s="2809">
        <v>99.734679599999993</v>
      </c>
      <c r="FH18" s="2809">
        <v>91.83239451</v>
      </c>
      <c r="FI18" s="2809">
        <v>64.903832809999997</v>
      </c>
    </row>
    <row r="19" spans="1:166" ht="17.100000000000001" customHeight="1" x14ac:dyDescent="0.25">
      <c r="A19" s="2807" t="s">
        <v>2708</v>
      </c>
      <c r="B19" s="2809">
        <v>153.19780331999999</v>
      </c>
      <c r="C19" s="2809">
        <v>154.31596911</v>
      </c>
      <c r="D19" s="2809">
        <v>138.70587049999997</v>
      </c>
      <c r="E19" s="2809">
        <v>145.20146566999998</v>
      </c>
      <c r="F19" s="2809">
        <v>139.64907062999998</v>
      </c>
      <c r="G19" s="2809">
        <v>144.54348844999998</v>
      </c>
      <c r="H19" s="2809">
        <v>136.46690247999999</v>
      </c>
      <c r="I19" s="2809">
        <v>137.70103456999999</v>
      </c>
      <c r="J19" s="2809">
        <v>166.28222216</v>
      </c>
      <c r="K19" s="2809">
        <v>164.10271523999998</v>
      </c>
      <c r="L19" s="2809">
        <v>188.36966712999998</v>
      </c>
      <c r="M19" s="2809">
        <v>289.10614802999993</v>
      </c>
      <c r="N19" s="2809">
        <v>325.25928297999997</v>
      </c>
      <c r="O19" s="2809">
        <v>266.26099159999995</v>
      </c>
      <c r="P19" s="2809">
        <v>282.16233682000001</v>
      </c>
      <c r="Q19" s="2809">
        <v>326.19289162000001</v>
      </c>
      <c r="R19" s="2809">
        <v>355.96613649</v>
      </c>
      <c r="S19" s="2809">
        <v>144.95301177000002</v>
      </c>
      <c r="T19" s="2809">
        <v>145.04960496999999</v>
      </c>
      <c r="U19" s="2809">
        <v>146.18456738</v>
      </c>
      <c r="V19" s="2809">
        <v>147.98835771</v>
      </c>
      <c r="W19" s="2809">
        <v>189.87692557</v>
      </c>
      <c r="X19" s="2809">
        <v>188.68572480999998</v>
      </c>
      <c r="Y19" s="2809">
        <v>187.66180904000001</v>
      </c>
      <c r="Z19" s="2809">
        <v>184.76241243000001</v>
      </c>
      <c r="AA19" s="2809">
        <v>235.96431477000002</v>
      </c>
      <c r="AB19" s="2809">
        <v>228.80128807000003</v>
      </c>
      <c r="AC19" s="2809">
        <v>202.30284356000001</v>
      </c>
      <c r="AD19" s="2809">
        <v>207.31680611000002</v>
      </c>
      <c r="AE19" s="2809">
        <v>142.31707372000002</v>
      </c>
      <c r="AF19" s="2809">
        <v>246.29880878</v>
      </c>
      <c r="AG19" s="2809">
        <v>157.61338316000001</v>
      </c>
      <c r="AH19" s="2809">
        <v>186.53756657</v>
      </c>
      <c r="AI19" s="2809">
        <v>186.00266166</v>
      </c>
      <c r="AJ19" s="2809">
        <v>148.20166657000001</v>
      </c>
      <c r="AK19" s="2809">
        <v>184.47326498999999</v>
      </c>
      <c r="AL19" s="2809">
        <v>158.50110899000001</v>
      </c>
      <c r="AM19" s="2809">
        <v>151.81138362999999</v>
      </c>
      <c r="AN19" s="2809">
        <v>144.74117856000001</v>
      </c>
      <c r="AO19" s="2809">
        <v>154.39851223000002</v>
      </c>
      <c r="AP19" s="2809">
        <v>135.40763834000001</v>
      </c>
      <c r="AQ19" s="2809">
        <v>198.07188681</v>
      </c>
      <c r="AR19" s="2809">
        <v>126.59522910000001</v>
      </c>
      <c r="AS19" s="2809">
        <v>150.84449430999999</v>
      </c>
      <c r="AT19" s="2809">
        <v>162.74188365000003</v>
      </c>
      <c r="AU19" s="2809">
        <v>164.49673319999999</v>
      </c>
      <c r="AV19" s="2809">
        <v>163.62766462999997</v>
      </c>
      <c r="AW19" s="2809">
        <v>172.66457023999999</v>
      </c>
      <c r="AX19" s="2809">
        <v>134.78201322999996</v>
      </c>
      <c r="AY19" s="2809">
        <v>146.16603488000001</v>
      </c>
      <c r="AZ19" s="2809">
        <v>154.80724961999994</v>
      </c>
      <c r="BA19" s="2809">
        <v>158.50427366000002</v>
      </c>
      <c r="BB19" s="2809">
        <v>161.91662781999997</v>
      </c>
      <c r="BC19" s="2809">
        <v>159.59387422</v>
      </c>
      <c r="BD19" s="2809">
        <v>117.25199542000001</v>
      </c>
      <c r="BE19" s="2809">
        <v>129.45984655000001</v>
      </c>
      <c r="BF19" s="2809">
        <v>134.73078520999996</v>
      </c>
      <c r="BG19" s="2809">
        <v>140.02408560999999</v>
      </c>
      <c r="BH19" s="2809">
        <v>139.35857369000001</v>
      </c>
      <c r="BI19" s="2809">
        <v>152.22108252999999</v>
      </c>
      <c r="BJ19" s="2809">
        <v>115.15130846999999</v>
      </c>
      <c r="BK19" s="2809">
        <v>126.01319054</v>
      </c>
      <c r="BL19" s="2809">
        <v>127.1554088</v>
      </c>
      <c r="BM19" s="2809">
        <v>371.52363643000001</v>
      </c>
      <c r="BN19" s="2809">
        <v>379.96656151999991</v>
      </c>
      <c r="BO19" s="2809">
        <v>3704.0103747000003</v>
      </c>
      <c r="BP19" s="2809">
        <v>3664.27348949</v>
      </c>
      <c r="BQ19" s="2809">
        <v>3670.1731644900001</v>
      </c>
      <c r="BR19" s="2809">
        <v>3675.21057273</v>
      </c>
      <c r="BS19" s="2809">
        <v>3683.2173269999998</v>
      </c>
      <c r="BT19" s="2809">
        <v>3657.3844738899998</v>
      </c>
      <c r="BU19" s="2809">
        <v>3668.5</v>
      </c>
      <c r="BV19" s="2809">
        <v>3617.0592188099999</v>
      </c>
      <c r="BW19" s="2809">
        <v>3626.6453938499999</v>
      </c>
      <c r="BX19" s="2809">
        <v>3623.0380289999998</v>
      </c>
      <c r="BY19" s="2809">
        <v>3622.9704508099999</v>
      </c>
      <c r="BZ19" s="2809">
        <v>3621.55255085</v>
      </c>
      <c r="CA19" s="2809">
        <v>3760.6580941399998</v>
      </c>
      <c r="CB19" s="2809">
        <v>3749.1737147999997</v>
      </c>
      <c r="CC19" s="2809">
        <v>3761.8094959199998</v>
      </c>
      <c r="CD19" s="2809">
        <v>3762.2770625399999</v>
      </c>
      <c r="CE19" s="2809">
        <v>3758.5232117199998</v>
      </c>
      <c r="CF19" s="2809">
        <v>3767.8315939099998</v>
      </c>
      <c r="CG19" s="2809">
        <v>3786.0611617799996</v>
      </c>
      <c r="CH19" s="2809">
        <v>3776.0857908899998</v>
      </c>
      <c r="CI19" s="2809">
        <v>3765.93455279</v>
      </c>
      <c r="CJ19" s="2809">
        <v>3765.1976652000003</v>
      </c>
      <c r="CK19" s="2809">
        <v>3761.3297814900002</v>
      </c>
      <c r="CL19" s="2809">
        <v>3766.3030819800001</v>
      </c>
      <c r="CM19" s="2809">
        <v>3851.56925434</v>
      </c>
      <c r="CN19" s="2809">
        <v>3838.2095615300004</v>
      </c>
      <c r="CO19" s="2809">
        <v>3841.6459451600003</v>
      </c>
      <c r="CP19" s="2809">
        <v>3854.8684223200003</v>
      </c>
      <c r="CQ19" s="2809">
        <v>3851.2765629800001</v>
      </c>
      <c r="CR19" s="2809">
        <v>3841.4149903800003</v>
      </c>
      <c r="CS19" s="2809">
        <v>3843.0021967400003</v>
      </c>
      <c r="CT19" s="2809">
        <v>3829.80791262</v>
      </c>
      <c r="CU19" s="2809">
        <v>3850.1254325200002</v>
      </c>
      <c r="CV19" s="2809">
        <v>3837.4422250600001</v>
      </c>
      <c r="CW19" s="2809">
        <v>3832.0039649100004</v>
      </c>
      <c r="CX19" s="2809">
        <v>3838.5214351200002</v>
      </c>
      <c r="CY19" s="2809">
        <v>3939.3595319200003</v>
      </c>
      <c r="CZ19" s="2809">
        <v>3924.4904188699998</v>
      </c>
      <c r="DA19" s="2809">
        <v>3928.2821452100002</v>
      </c>
      <c r="DB19" s="2809">
        <v>3940.63574281</v>
      </c>
      <c r="DC19" s="2809">
        <v>3911.6779075099998</v>
      </c>
      <c r="DD19" s="2809">
        <v>3916.1275332999999</v>
      </c>
      <c r="DE19" s="2809">
        <v>3927.1168639899997</v>
      </c>
      <c r="DF19" s="2809">
        <v>3915.7525036699999</v>
      </c>
      <c r="DG19" s="2809">
        <v>3920.3112408100001</v>
      </c>
      <c r="DH19" s="2809">
        <v>3923.40452461</v>
      </c>
      <c r="DI19" s="2809">
        <v>3926.9384735599997</v>
      </c>
      <c r="DJ19" s="2809">
        <v>3935.6997193899997</v>
      </c>
      <c r="DK19" s="2809">
        <v>4040.11773928</v>
      </c>
      <c r="DL19" s="2809">
        <v>4022.36362465</v>
      </c>
      <c r="DM19" s="2809">
        <v>4023.9363366299999</v>
      </c>
      <c r="DN19" s="2809">
        <v>4030.76345545</v>
      </c>
      <c r="DO19" s="2809">
        <v>4034.9671928500002</v>
      </c>
      <c r="DP19" s="2809">
        <v>4030.7474261400002</v>
      </c>
      <c r="DQ19" s="2809">
        <v>4032.3685415700002</v>
      </c>
      <c r="DR19" s="2809">
        <v>4021.3580319799999</v>
      </c>
      <c r="DS19" s="2809">
        <v>4031.9189057100002</v>
      </c>
      <c r="DT19" s="2809">
        <v>4036.5619587200003</v>
      </c>
      <c r="DU19" s="2809">
        <v>4021.3721522400001</v>
      </c>
      <c r="DV19" s="2809">
        <v>4021.8372684700003</v>
      </c>
      <c r="DW19" s="2809">
        <v>4119.7111005500001</v>
      </c>
      <c r="DX19" s="2809">
        <v>5379.726790910001</v>
      </c>
      <c r="DY19" s="2809">
        <v>5489.9843629499983</v>
      </c>
      <c r="DZ19" s="2809">
        <v>5645.9314230800037</v>
      </c>
      <c r="EA19" s="2809">
        <v>38584.592081740004</v>
      </c>
      <c r="EB19" s="2809">
        <v>38698.5757381</v>
      </c>
      <c r="EC19" s="2809">
        <v>40100.677529779998</v>
      </c>
      <c r="ED19" s="2809">
        <v>40111.402101599997</v>
      </c>
      <c r="EE19" s="2809">
        <v>40256.463010569998</v>
      </c>
      <c r="EF19" s="2809">
        <v>40239.019081019993</v>
      </c>
      <c r="EG19" s="2809">
        <v>87597.159286900001</v>
      </c>
      <c r="EH19" s="2809">
        <v>87788.728449970004</v>
      </c>
      <c r="EI19" s="2809">
        <v>88054.309445469989</v>
      </c>
      <c r="EJ19" s="2809">
        <v>88057.297381139986</v>
      </c>
      <c r="EK19" s="2809">
        <v>88081.807422400001</v>
      </c>
      <c r="EL19" s="2809">
        <v>88889.634003129991</v>
      </c>
      <c r="EM19" s="2809">
        <v>89198.525933700002</v>
      </c>
      <c r="EN19" s="2809">
        <v>89507.860202960001</v>
      </c>
      <c r="EO19" s="2809">
        <v>89508.707200350007</v>
      </c>
      <c r="EP19" s="2809">
        <v>89826.16432228082</v>
      </c>
      <c r="EQ19" s="2809">
        <v>89829.787301900811</v>
      </c>
      <c r="ER19" s="2809">
        <v>89837.325174030819</v>
      </c>
      <c r="ES19" s="2809">
        <v>89868.21609728082</v>
      </c>
      <c r="ET19" s="2809">
        <v>90181.337959100812</v>
      </c>
      <c r="EU19" s="2809">
        <v>91958.455836370835</v>
      </c>
      <c r="EV19" s="2809">
        <v>91927.333663390818</v>
      </c>
      <c r="EW19" s="2809">
        <v>91403.723144600823</v>
      </c>
      <c r="EX19" s="2809">
        <v>91935.046033320818</v>
      </c>
      <c r="EY19" s="2809">
        <v>89904.214665480831</v>
      </c>
      <c r="EZ19" s="2809">
        <v>90329.781715560806</v>
      </c>
      <c r="FA19" s="2809">
        <v>90348.303897829988</v>
      </c>
      <c r="FB19" s="2809">
        <v>90298.761010880815</v>
      </c>
      <c r="FC19" s="2809">
        <v>90312.291817090823</v>
      </c>
      <c r="FD19" s="2809">
        <v>90318.32576011082</v>
      </c>
      <c r="FE19" s="2809">
        <v>90297.466251250808</v>
      </c>
      <c r="FF19" s="2809">
        <v>90603.791025100814</v>
      </c>
      <c r="FG19" s="2809">
        <v>90515.911626740824</v>
      </c>
      <c r="FH19" s="2809">
        <v>90910.892294140824</v>
      </c>
      <c r="FI19" s="2809">
        <v>90908.854385790808</v>
      </c>
    </row>
    <row r="20" spans="1:166" ht="17.100000000000001" customHeight="1" x14ac:dyDescent="0.25">
      <c r="A20" s="2807" t="s">
        <v>2709</v>
      </c>
      <c r="B20" s="2809">
        <v>18594.729341072874</v>
      </c>
      <c r="C20" s="2809">
        <v>19044.324603401274</v>
      </c>
      <c r="D20" s="2809">
        <v>22360.668552649873</v>
      </c>
      <c r="E20" s="2809">
        <v>21280.181327235212</v>
      </c>
      <c r="F20" s="2809">
        <v>22922.517605351597</v>
      </c>
      <c r="G20" s="2809">
        <v>21373.307422236627</v>
      </c>
      <c r="H20" s="2809">
        <v>18994.907343880179</v>
      </c>
      <c r="I20" s="2809">
        <v>20201.11458074515</v>
      </c>
      <c r="J20" s="2809">
        <v>25363.924309142734</v>
      </c>
      <c r="K20" s="2809">
        <v>25143.319156730104</v>
      </c>
      <c r="L20" s="2809">
        <v>24896.11395498427</v>
      </c>
      <c r="M20" s="2809">
        <v>24565.283968943342</v>
      </c>
      <c r="N20" s="2809">
        <v>23562.209847259786</v>
      </c>
      <c r="O20" s="2809">
        <v>24677.444186577806</v>
      </c>
      <c r="P20" s="2809">
        <v>23108.200299823584</v>
      </c>
      <c r="Q20" s="2809">
        <v>23165.82197285549</v>
      </c>
      <c r="R20" s="2809">
        <v>25400.594578360418</v>
      </c>
      <c r="S20" s="2809">
        <v>27938.843234947642</v>
      </c>
      <c r="T20" s="2809">
        <v>27716.558216280049</v>
      </c>
      <c r="U20" s="2809">
        <v>28224.401098000351</v>
      </c>
      <c r="V20" s="2809">
        <v>26685.276395961795</v>
      </c>
      <c r="W20" s="2809">
        <v>28632.017156241829</v>
      </c>
      <c r="X20" s="2809">
        <v>27468.836560251591</v>
      </c>
      <c r="Y20" s="2809">
        <v>25309.103500960551</v>
      </c>
      <c r="Z20" s="2809">
        <v>27505.896416856463</v>
      </c>
      <c r="AA20" s="2809">
        <v>27713.612342122353</v>
      </c>
      <c r="AB20" s="2809">
        <v>26807.826071009738</v>
      </c>
      <c r="AC20" s="2809">
        <v>26985.714396542317</v>
      </c>
      <c r="AD20" s="2809">
        <v>25081.56802680812</v>
      </c>
      <c r="AE20" s="2809">
        <v>28660.785956678155</v>
      </c>
      <c r="AF20" s="2809">
        <v>29288.080506300139</v>
      </c>
      <c r="AG20" s="2809">
        <v>28118.357092553313</v>
      </c>
      <c r="AH20" s="2809">
        <v>29731.391392921221</v>
      </c>
      <c r="AI20" s="2809">
        <v>29666.838950144462</v>
      </c>
      <c r="AJ20" s="2809">
        <v>29564.39343112606</v>
      </c>
      <c r="AK20" s="2809">
        <v>29458.966505068092</v>
      </c>
      <c r="AL20" s="2809">
        <v>32666.559441311121</v>
      </c>
      <c r="AM20" s="2809">
        <v>31434.526478312724</v>
      </c>
      <c r="AN20" s="2809">
        <v>34568.136052714675</v>
      </c>
      <c r="AO20" s="2809">
        <v>35237.634672762681</v>
      </c>
      <c r="AP20" s="2809">
        <v>35321.736417755252</v>
      </c>
      <c r="AQ20" s="2809">
        <v>34118.070068315443</v>
      </c>
      <c r="AR20" s="2809">
        <v>34349.677520039455</v>
      </c>
      <c r="AS20" s="2809">
        <v>36275.025275776556</v>
      </c>
      <c r="AT20" s="2809">
        <v>36543.319575843278</v>
      </c>
      <c r="AU20" s="2809">
        <v>35664.545571807263</v>
      </c>
      <c r="AV20" s="2809">
        <v>34743.13788053047</v>
      </c>
      <c r="AW20" s="2809">
        <v>33103.565879656737</v>
      </c>
      <c r="AX20" s="2809">
        <v>34695.323937723748</v>
      </c>
      <c r="AY20" s="2809">
        <v>35594.439558382459</v>
      </c>
      <c r="AZ20" s="2809">
        <v>38156.187542883796</v>
      </c>
      <c r="BA20" s="2809">
        <v>38366.123306714959</v>
      </c>
      <c r="BB20" s="2809">
        <v>40575.027869459576</v>
      </c>
      <c r="BC20" s="2809">
        <v>41144.198700293819</v>
      </c>
      <c r="BD20" s="2809">
        <v>38994.040175877031</v>
      </c>
      <c r="BE20" s="2809">
        <v>38052.417033983897</v>
      </c>
      <c r="BF20" s="2809">
        <v>34606.904911888341</v>
      </c>
      <c r="BG20" s="2809">
        <v>34109.909932740469</v>
      </c>
      <c r="BH20" s="2809">
        <v>37043.612771806722</v>
      </c>
      <c r="BI20" s="2809">
        <v>36678.548153023294</v>
      </c>
      <c r="BJ20" s="2809">
        <v>34131.393553218462</v>
      </c>
      <c r="BK20" s="2809">
        <v>35765.769668424458</v>
      </c>
      <c r="BL20" s="2809">
        <v>44551.988671439511</v>
      </c>
      <c r="BM20" s="2809">
        <v>42748.003113312807</v>
      </c>
      <c r="BN20" s="2809">
        <v>46880.714875900085</v>
      </c>
      <c r="BO20" s="2809">
        <v>51051.107150947049</v>
      </c>
      <c r="BP20" s="2809">
        <v>52242.323221041683</v>
      </c>
      <c r="BQ20" s="2809">
        <v>54664.162452459925</v>
      </c>
      <c r="BR20" s="2809">
        <v>55656.722119757993</v>
      </c>
      <c r="BS20" s="2809">
        <v>56465.417236151901</v>
      </c>
      <c r="BT20" s="2809">
        <v>55227.297853406679</v>
      </c>
      <c r="BU20" s="2809">
        <v>54040.800000000003</v>
      </c>
      <c r="BV20" s="2809">
        <v>56739.522353380264</v>
      </c>
      <c r="BW20" s="2809">
        <v>58729.86270584767</v>
      </c>
      <c r="BX20" s="2809">
        <v>60636.900551802959</v>
      </c>
      <c r="BY20" s="2809">
        <v>59357.853390026838</v>
      </c>
      <c r="BZ20" s="2809">
        <v>58698.444163096399</v>
      </c>
      <c r="CA20" s="2809">
        <v>65020.277793534573</v>
      </c>
      <c r="CB20" s="2809">
        <v>64422.375969688524</v>
      </c>
      <c r="CC20" s="2809">
        <v>61534.792557670284</v>
      </c>
      <c r="CD20" s="2809">
        <v>63220.115687402707</v>
      </c>
      <c r="CE20" s="2809">
        <v>63623.114933193639</v>
      </c>
      <c r="CF20" s="2809">
        <v>61839.921043205184</v>
      </c>
      <c r="CG20" s="2809">
        <v>61890.112365387526</v>
      </c>
      <c r="CH20" s="2809">
        <v>63456.927930627688</v>
      </c>
      <c r="CI20" s="2809">
        <v>64370.061528331978</v>
      </c>
      <c r="CJ20" s="2809">
        <v>63409.053928177484</v>
      </c>
      <c r="CK20" s="2809">
        <v>60312.714367918365</v>
      </c>
      <c r="CL20" s="2809">
        <v>63711.441040361075</v>
      </c>
      <c r="CM20" s="2809">
        <v>69345.546586814031</v>
      </c>
      <c r="CN20" s="2809">
        <v>70949.599419485647</v>
      </c>
      <c r="CO20" s="2809">
        <v>72282.614224136923</v>
      </c>
      <c r="CP20" s="2809">
        <v>77527.930330003146</v>
      </c>
      <c r="CQ20" s="2809">
        <v>80856.926480132723</v>
      </c>
      <c r="CR20" s="2809">
        <v>76327.046016954657</v>
      </c>
      <c r="CS20" s="2809">
        <v>77477.493835279631</v>
      </c>
      <c r="CT20" s="2809">
        <v>76546.263210759076</v>
      </c>
      <c r="CU20" s="2809">
        <v>86749.20286477395</v>
      </c>
      <c r="CV20" s="2809">
        <v>96378.841949931724</v>
      </c>
      <c r="CW20" s="2809">
        <v>104488.50831407748</v>
      </c>
      <c r="CX20" s="2809">
        <v>108467.19133079766</v>
      </c>
      <c r="CY20" s="2809">
        <v>103415.83778866437</v>
      </c>
      <c r="CZ20" s="2809">
        <v>100389.75840935941</v>
      </c>
      <c r="DA20" s="2809">
        <v>96405.730566441547</v>
      </c>
      <c r="DB20" s="2809">
        <v>100583.32597095185</v>
      </c>
      <c r="DC20" s="2809">
        <v>101507.03435115184</v>
      </c>
      <c r="DD20" s="2809">
        <v>96496.162795225304</v>
      </c>
      <c r="DE20" s="2809">
        <v>101239.7798695259</v>
      </c>
      <c r="DF20" s="2809">
        <v>99433.357687171723</v>
      </c>
      <c r="DG20" s="2809">
        <v>101528.86239515475</v>
      </c>
      <c r="DH20" s="2809">
        <v>108273.74315931668</v>
      </c>
      <c r="DI20" s="2809">
        <v>111039.12430961682</v>
      </c>
      <c r="DJ20" s="2809">
        <v>115048.47581654516</v>
      </c>
      <c r="DK20" s="2809">
        <v>133112.16265416832</v>
      </c>
      <c r="DL20" s="2809">
        <v>135019.32575221598</v>
      </c>
      <c r="DM20" s="2809">
        <v>137373.71402924694</v>
      </c>
      <c r="DN20" s="2809">
        <v>141814.83550571432</v>
      </c>
      <c r="DO20" s="2809">
        <v>144903.37205335102</v>
      </c>
      <c r="DP20" s="2809">
        <v>142793.18485618688</v>
      </c>
      <c r="DQ20" s="2809">
        <v>125987.52917545472</v>
      </c>
      <c r="DR20" s="2809">
        <v>140991.28020017332</v>
      </c>
      <c r="DS20" s="2809">
        <v>142242.18023604696</v>
      </c>
      <c r="DT20" s="2809">
        <v>140759.2337486913</v>
      </c>
      <c r="DU20" s="2809">
        <v>139705.83403676309</v>
      </c>
      <c r="DV20" s="2809">
        <v>124332.3402589262</v>
      </c>
      <c r="DW20" s="2809">
        <v>124632.89519229365</v>
      </c>
      <c r="DX20" s="2809">
        <v>138065.88340095407</v>
      </c>
      <c r="DY20" s="2809">
        <v>109755.27043330966</v>
      </c>
      <c r="DZ20" s="2809">
        <v>106438.03249997162</v>
      </c>
      <c r="EA20" s="2809">
        <v>97525.064124912169</v>
      </c>
      <c r="EB20" s="2809">
        <v>98826.98012118107</v>
      </c>
      <c r="EC20" s="2809">
        <v>105386.14479469259</v>
      </c>
      <c r="ED20" s="2809">
        <v>104138.71952353296</v>
      </c>
      <c r="EE20" s="2809">
        <v>101943.20494015915</v>
      </c>
      <c r="EF20" s="2809">
        <v>96525.264027114521</v>
      </c>
      <c r="EG20" s="2809">
        <v>112134.30506261507</v>
      </c>
      <c r="EH20" s="2809">
        <v>115431.03710681672</v>
      </c>
      <c r="EI20" s="2809">
        <v>113923.29884680705</v>
      </c>
      <c r="EJ20" s="2809">
        <v>119904.59348845421</v>
      </c>
      <c r="EK20" s="2809">
        <v>115682.52324285393</v>
      </c>
      <c r="EL20" s="2809">
        <v>103196.37509677996</v>
      </c>
      <c r="EM20" s="2809">
        <v>120791.97676717066</v>
      </c>
      <c r="EN20" s="2809">
        <v>119184.04407009316</v>
      </c>
      <c r="EO20" s="2809">
        <v>130989.37352520897</v>
      </c>
      <c r="EP20" s="2809">
        <v>117911.13815687853</v>
      </c>
      <c r="EQ20" s="2809">
        <v>123875.14430847249</v>
      </c>
      <c r="ER20" s="2809">
        <v>125737.760090649</v>
      </c>
      <c r="ES20" s="2809">
        <v>104310.2270773135</v>
      </c>
      <c r="ET20" s="2809">
        <v>103093.13691458991</v>
      </c>
      <c r="EU20" s="2809">
        <v>110539.62364258346</v>
      </c>
      <c r="EV20" s="2809">
        <v>120307.64191864379</v>
      </c>
      <c r="EW20" s="2809">
        <v>117180.05976749532</v>
      </c>
      <c r="EX20" s="2809">
        <v>119114.62886531001</v>
      </c>
      <c r="EY20" s="2809">
        <v>117711.22724244633</v>
      </c>
      <c r="EZ20" s="2809">
        <v>130608.02278948118</v>
      </c>
      <c r="FA20" s="2809">
        <v>114557.30602838591</v>
      </c>
      <c r="FB20" s="2809">
        <v>140656.89509608314</v>
      </c>
      <c r="FC20" s="2809">
        <v>144638.51272165714</v>
      </c>
      <c r="FD20" s="2809">
        <v>153047.5088429001</v>
      </c>
      <c r="FE20" s="2809">
        <v>143327.4561282706</v>
      </c>
      <c r="FF20" s="2809">
        <v>144465.52616936376</v>
      </c>
      <c r="FG20" s="2809">
        <v>151964.02648854538</v>
      </c>
      <c r="FH20" s="2809">
        <v>155937.26193491777</v>
      </c>
      <c r="FI20" s="2809">
        <v>170044.29225087215</v>
      </c>
    </row>
    <row r="21" spans="1:166" ht="17.100000000000001" customHeight="1" x14ac:dyDescent="0.25">
      <c r="A21" s="2807"/>
      <c r="B21" s="2809"/>
      <c r="C21" s="2809"/>
      <c r="D21" s="2809"/>
      <c r="E21" s="2809"/>
      <c r="F21" s="2809"/>
      <c r="G21" s="2809"/>
      <c r="H21" s="2809"/>
      <c r="I21" s="2809"/>
      <c r="J21" s="2809"/>
      <c r="K21" s="2809"/>
      <c r="L21" s="2809"/>
      <c r="M21" s="2809"/>
      <c r="N21" s="2809"/>
      <c r="O21" s="2809"/>
      <c r="P21" s="2809"/>
      <c r="Q21" s="2809"/>
      <c r="R21" s="2809"/>
      <c r="S21" s="2809"/>
      <c r="T21" s="2809"/>
      <c r="U21" s="2809"/>
      <c r="V21" s="2809"/>
      <c r="W21" s="2809"/>
      <c r="X21" s="2809"/>
      <c r="Y21" s="2809"/>
      <c r="Z21" s="2809"/>
      <c r="AA21" s="2809"/>
      <c r="AB21" s="2809"/>
      <c r="AC21" s="2809"/>
      <c r="AD21" s="2809"/>
      <c r="AE21" s="2809"/>
      <c r="AF21" s="2809"/>
      <c r="AG21" s="2809"/>
      <c r="AH21" s="2809"/>
      <c r="AI21" s="2809"/>
      <c r="AJ21" s="2809"/>
      <c r="AK21" s="2809"/>
      <c r="AL21" s="2809"/>
      <c r="AM21" s="2809"/>
      <c r="AN21" s="2809"/>
      <c r="AO21" s="2809"/>
      <c r="AP21" s="2809"/>
      <c r="AQ21" s="2809"/>
      <c r="AR21" s="2809"/>
      <c r="AS21" s="2809"/>
      <c r="AT21" s="2809"/>
      <c r="AU21" s="2809"/>
      <c r="AV21" s="2809"/>
      <c r="AW21" s="2809"/>
      <c r="AX21" s="2809"/>
      <c r="AY21" s="2809"/>
      <c r="AZ21" s="2809"/>
      <c r="BA21" s="2809"/>
      <c r="BB21" s="2809"/>
      <c r="BC21" s="2809"/>
      <c r="BD21" s="2809"/>
      <c r="BE21" s="2809"/>
      <c r="BF21" s="2809"/>
      <c r="BG21" s="2809"/>
      <c r="BH21" s="2809"/>
      <c r="BI21" s="2809"/>
      <c r="BJ21" s="2809"/>
      <c r="BK21" s="2809"/>
      <c r="BL21" s="2809"/>
      <c r="BM21" s="2809"/>
      <c r="BN21" s="2809"/>
      <c r="BO21" s="2809"/>
      <c r="BP21" s="2809"/>
      <c r="BQ21" s="2809"/>
      <c r="BR21" s="2809"/>
      <c r="BS21" s="2809"/>
      <c r="BT21" s="2809"/>
      <c r="BU21" s="2809"/>
      <c r="BV21" s="2809"/>
      <c r="BW21" s="2809"/>
      <c r="BX21" s="2809"/>
      <c r="BY21" s="2809"/>
      <c r="BZ21" s="2809"/>
      <c r="CA21" s="2809"/>
      <c r="CB21" s="2809"/>
      <c r="CC21" s="2809"/>
      <c r="CD21" s="2809"/>
      <c r="CE21" s="2809"/>
      <c r="CF21" s="2809"/>
      <c r="CG21" s="2809"/>
      <c r="CH21" s="2809"/>
      <c r="CI21" s="2809"/>
      <c r="CJ21" s="2809"/>
      <c r="CK21" s="2809"/>
      <c r="CL21" s="2809"/>
      <c r="CM21" s="2809"/>
      <c r="CN21" s="2809"/>
      <c r="CO21" s="2809"/>
      <c r="CP21" s="2809"/>
      <c r="CQ21" s="2809"/>
      <c r="CR21" s="2809"/>
      <c r="CS21" s="2809"/>
      <c r="CT21" s="2809"/>
      <c r="CU21" s="2809"/>
      <c r="CV21" s="2809"/>
      <c r="CW21" s="2809"/>
      <c r="CX21" s="2809"/>
      <c r="CY21" s="2809"/>
      <c r="CZ21" s="2809"/>
      <c r="DA21" s="2809"/>
      <c r="DB21" s="2809"/>
      <c r="DC21" s="2809"/>
      <c r="DD21" s="2809"/>
      <c r="DE21" s="2809"/>
      <c r="DF21" s="2809"/>
      <c r="DG21" s="2809"/>
      <c r="DH21" s="2809"/>
      <c r="DI21" s="2809"/>
      <c r="DJ21" s="2809"/>
      <c r="DK21" s="2809"/>
      <c r="DL21" s="2809"/>
      <c r="DM21" s="2809"/>
      <c r="DN21" s="2809"/>
      <c r="DO21" s="2809"/>
      <c r="DP21" s="2809"/>
      <c r="DQ21" s="2809"/>
      <c r="DR21" s="2809"/>
      <c r="DS21" s="2809"/>
      <c r="DT21" s="2809"/>
      <c r="DU21" s="2809"/>
      <c r="DV21" s="2809"/>
      <c r="DW21" s="2809"/>
      <c r="DX21" s="2809"/>
      <c r="DY21" s="2809"/>
      <c r="DZ21" s="2809"/>
      <c r="EA21" s="2809"/>
      <c r="EB21" s="2809"/>
      <c r="EC21" s="2809"/>
      <c r="ED21" s="2809"/>
      <c r="EE21" s="2809"/>
      <c r="EF21" s="2809"/>
      <c r="EG21" s="2809"/>
      <c r="EH21" s="2809"/>
      <c r="EI21" s="2809"/>
      <c r="EJ21" s="2809"/>
      <c r="EK21" s="2809"/>
      <c r="EL21" s="2809"/>
      <c r="EM21" s="2809"/>
      <c r="EN21" s="2809"/>
      <c r="EO21" s="2809"/>
      <c r="EP21" s="2809"/>
      <c r="EQ21" s="2809"/>
      <c r="ER21" s="2809"/>
      <c r="ES21" s="2809"/>
      <c r="ET21" s="2809"/>
      <c r="EU21" s="2809"/>
      <c r="EV21" s="2809"/>
      <c r="EW21" s="2809"/>
      <c r="EX21" s="2809"/>
      <c r="EY21" s="2809"/>
      <c r="EZ21" s="2809"/>
      <c r="FA21" s="2809"/>
      <c r="FB21" s="2809"/>
      <c r="FC21" s="2809"/>
      <c r="FD21" s="2809"/>
      <c r="FE21" s="2809"/>
      <c r="FF21" s="2809"/>
      <c r="FG21" s="2809"/>
      <c r="FH21" s="2809"/>
      <c r="FI21" s="2809"/>
    </row>
    <row r="22" spans="1:166" s="2815" customFormat="1" ht="17.100000000000001" customHeight="1" x14ac:dyDescent="0.25">
      <c r="A22" s="2812" t="s">
        <v>2710</v>
      </c>
      <c r="B22" s="2813">
        <v>32306.578817400012</v>
      </c>
      <c r="C22" s="2813">
        <v>34188.33114523199</v>
      </c>
      <c r="D22" s="2813">
        <v>35018.925947356023</v>
      </c>
      <c r="E22" s="2813">
        <v>33972.916107529993</v>
      </c>
      <c r="F22" s="2813">
        <v>35004.95288266</v>
      </c>
      <c r="G22" s="2813">
        <v>35648.823192611999</v>
      </c>
      <c r="H22" s="2813">
        <v>38111.516861294003</v>
      </c>
      <c r="I22" s="2813">
        <v>36422.298056900181</v>
      </c>
      <c r="J22" s="2813">
        <v>36444.268975505984</v>
      </c>
      <c r="K22" s="2813">
        <v>38868.215593329005</v>
      </c>
      <c r="L22" s="2813">
        <v>40023.459073578015</v>
      </c>
      <c r="M22" s="2813">
        <v>44935.527259708993</v>
      </c>
      <c r="N22" s="2813">
        <v>44220.858916644269</v>
      </c>
      <c r="O22" s="2813">
        <v>43457.966445986371</v>
      </c>
      <c r="P22" s="2813">
        <v>42616.030384142519</v>
      </c>
      <c r="Q22" s="2813">
        <v>43519.537135277533</v>
      </c>
      <c r="R22" s="2813">
        <v>41534.157818175219</v>
      </c>
      <c r="S22" s="2813">
        <v>42236.711518740027</v>
      </c>
      <c r="T22" s="2813">
        <v>42073.932863249436</v>
      </c>
      <c r="U22" s="2813">
        <v>44194.178056753226</v>
      </c>
      <c r="V22" s="2813">
        <v>42292.116239109986</v>
      </c>
      <c r="W22" s="2813">
        <v>42459.190507741456</v>
      </c>
      <c r="X22" s="2813">
        <v>41967.209031114857</v>
      </c>
      <c r="Y22" s="2813">
        <v>48280.871329008005</v>
      </c>
      <c r="Z22" s="2813">
        <v>43850.805226809163</v>
      </c>
      <c r="AA22" s="2813">
        <v>44901.044054853548</v>
      </c>
      <c r="AB22" s="2813">
        <v>44639.243475712952</v>
      </c>
      <c r="AC22" s="2813">
        <v>44527.063578379821</v>
      </c>
      <c r="AD22" s="2813">
        <v>44662.991762632766</v>
      </c>
      <c r="AE22" s="2813">
        <v>45910.968640304593</v>
      </c>
      <c r="AF22" s="2813">
        <v>46049.629763321958</v>
      </c>
      <c r="AG22" s="2813">
        <v>46185.349601679744</v>
      </c>
      <c r="AH22" s="2813">
        <v>47267.960581811938</v>
      </c>
      <c r="AI22" s="2813">
        <v>46439.120953461781</v>
      </c>
      <c r="AJ22" s="2813">
        <v>45499.109248794244</v>
      </c>
      <c r="AK22" s="2813">
        <v>52622.930355556542</v>
      </c>
      <c r="AL22" s="2813">
        <v>50086.680642074178</v>
      </c>
      <c r="AM22" s="2813">
        <v>52362.47707499667</v>
      </c>
      <c r="AN22" s="2813">
        <v>51963.297009955029</v>
      </c>
      <c r="AO22" s="2813">
        <v>48815.61419920568</v>
      </c>
      <c r="AP22" s="2813">
        <v>52745.513655361865</v>
      </c>
      <c r="AQ22" s="2813">
        <v>53094.012917087573</v>
      </c>
      <c r="AR22" s="2813">
        <v>54156.365501454675</v>
      </c>
      <c r="AS22" s="2813">
        <v>51451.915537680601</v>
      </c>
      <c r="AT22" s="2813">
        <v>50185.234077912588</v>
      </c>
      <c r="AU22" s="2813">
        <v>51977.864655589321</v>
      </c>
      <c r="AV22" s="2813">
        <v>53757.247620448077</v>
      </c>
      <c r="AW22" s="2813">
        <v>62350.012215056217</v>
      </c>
      <c r="AX22" s="2813">
        <v>58668.651559132835</v>
      </c>
      <c r="AY22" s="2813">
        <v>64091.710065448504</v>
      </c>
      <c r="AZ22" s="2813">
        <v>62483.452766957605</v>
      </c>
      <c r="BA22" s="2813">
        <v>62070.370893171887</v>
      </c>
      <c r="BB22" s="2813">
        <v>62582.034079297329</v>
      </c>
      <c r="BC22" s="2813">
        <v>62137.039306434432</v>
      </c>
      <c r="BD22" s="2813">
        <v>64802.243488136155</v>
      </c>
      <c r="BE22" s="2813">
        <v>66521.777726987872</v>
      </c>
      <c r="BF22" s="2813">
        <v>63788.91463697319</v>
      </c>
      <c r="BG22" s="2813">
        <v>65201.016737300946</v>
      </c>
      <c r="BH22" s="2813">
        <v>63358.07491708827</v>
      </c>
      <c r="BI22" s="2813">
        <v>67933.588631996783</v>
      </c>
      <c r="BJ22" s="2813">
        <v>68888.095794514724</v>
      </c>
      <c r="BK22" s="2813">
        <v>70440.636755478976</v>
      </c>
      <c r="BL22" s="2813">
        <v>73577.833933835995</v>
      </c>
      <c r="BM22" s="2813">
        <v>75159.682994824921</v>
      </c>
      <c r="BN22" s="2813">
        <v>70803.746954399961</v>
      </c>
      <c r="BO22" s="2813">
        <v>71594.147533339987</v>
      </c>
      <c r="BP22" s="2813">
        <v>68773.18355570003</v>
      </c>
      <c r="BQ22" s="2813">
        <v>66569.861976039945</v>
      </c>
      <c r="BR22" s="2813">
        <v>66947.281883980017</v>
      </c>
      <c r="BS22" s="2813">
        <v>71167.770713140038</v>
      </c>
      <c r="BT22" s="2813">
        <v>70496.418338069983</v>
      </c>
      <c r="BU22" s="2813">
        <v>73569</v>
      </c>
      <c r="BV22" s="2813">
        <v>74498.380112810017</v>
      </c>
      <c r="BW22" s="2813">
        <v>72917.527185889994</v>
      </c>
      <c r="BX22" s="2813">
        <v>69446.043452650003</v>
      </c>
      <c r="BY22" s="2813">
        <v>67413.995906789991</v>
      </c>
      <c r="BZ22" s="2813">
        <v>76072.559399120044</v>
      </c>
      <c r="CA22" s="2813">
        <v>70419.836853590008</v>
      </c>
      <c r="CB22" s="2813">
        <v>71811.108306739974</v>
      </c>
      <c r="CC22" s="2813">
        <v>72274.423068130025</v>
      </c>
      <c r="CD22" s="2813">
        <v>73083.794152372357</v>
      </c>
      <c r="CE22" s="2813">
        <v>71156.268825432198</v>
      </c>
      <c r="CF22" s="2813">
        <v>75050.0283712323</v>
      </c>
      <c r="CG22" s="2813">
        <v>82062.45431437224</v>
      </c>
      <c r="CH22" s="2813">
        <v>83073.876301282289</v>
      </c>
      <c r="CI22" s="2813">
        <v>79888.073268022243</v>
      </c>
      <c r="CJ22" s="2813">
        <v>76270.488560842321</v>
      </c>
      <c r="CK22" s="2813">
        <v>83832.73617904236</v>
      </c>
      <c r="CL22" s="2813">
        <v>83944.908098642307</v>
      </c>
      <c r="CM22" s="2813">
        <v>80702.47055845226</v>
      </c>
      <c r="CN22" s="2813">
        <v>82261.311799362316</v>
      </c>
      <c r="CO22" s="2813">
        <v>79068.213393302285</v>
      </c>
      <c r="CP22" s="2813">
        <v>85929.68759632227</v>
      </c>
      <c r="CQ22" s="2813">
        <v>82776.070675572308</v>
      </c>
      <c r="CR22" s="2813">
        <v>90055.720543022311</v>
      </c>
      <c r="CS22" s="2813">
        <v>102148.08102707274</v>
      </c>
      <c r="CT22" s="2813">
        <v>101146.4532061323</v>
      </c>
      <c r="CU22" s="2813">
        <v>100844.38988326993</v>
      </c>
      <c r="CV22" s="2813">
        <v>96927.471336200018</v>
      </c>
      <c r="CW22" s="2813">
        <v>96764.55682713</v>
      </c>
      <c r="CX22" s="2813">
        <v>99355.801623730033</v>
      </c>
      <c r="CY22" s="2813">
        <v>109048.8631492</v>
      </c>
      <c r="CZ22" s="2813">
        <v>100660.04772514006</v>
      </c>
      <c r="DA22" s="2813">
        <v>112956.84348928012</v>
      </c>
      <c r="DB22" s="2813">
        <v>99760.407825670001</v>
      </c>
      <c r="DC22" s="2813">
        <v>98097.45515595004</v>
      </c>
      <c r="DD22" s="2813">
        <v>103092.81229459008</v>
      </c>
      <c r="DE22" s="2813">
        <v>100867.11153925001</v>
      </c>
      <c r="DF22" s="2813">
        <v>102818.30863133998</v>
      </c>
      <c r="DG22" s="2813">
        <v>103484.58947791977</v>
      </c>
      <c r="DH22" s="2813">
        <v>101879.04529465007</v>
      </c>
      <c r="DI22" s="2813">
        <v>103555.29581360002</v>
      </c>
      <c r="DJ22" s="2813">
        <v>108531.09996019013</v>
      </c>
      <c r="DK22" s="2813">
        <v>105729.95689802998</v>
      </c>
      <c r="DL22" s="2813">
        <v>109852.72986274998</v>
      </c>
      <c r="DM22" s="2813">
        <v>104721.80471680008</v>
      </c>
      <c r="DN22" s="2813">
        <v>105737.83124583997</v>
      </c>
      <c r="DO22" s="2813">
        <v>104610.96385878997</v>
      </c>
      <c r="DP22" s="2813">
        <v>110785.70627632033</v>
      </c>
      <c r="DQ22" s="2813">
        <v>123351.49617376001</v>
      </c>
      <c r="DR22" s="2813">
        <v>117687.05444165997</v>
      </c>
      <c r="DS22" s="2813">
        <v>122047.23474776</v>
      </c>
      <c r="DT22" s="2813">
        <v>126402.72820918998</v>
      </c>
      <c r="DU22" s="2813">
        <v>132395.77679220008</v>
      </c>
      <c r="DV22" s="2813">
        <v>156851.00422210718</v>
      </c>
      <c r="DW22" s="2813">
        <v>148346.77809905648</v>
      </c>
      <c r="DX22" s="2813">
        <v>153873.26013785001</v>
      </c>
      <c r="DY22" s="2813">
        <v>137459.95647160997</v>
      </c>
      <c r="DZ22" s="2813">
        <v>135923.33982901004</v>
      </c>
      <c r="EA22" s="2813">
        <v>178037.25319134988</v>
      </c>
      <c r="EB22" s="2813">
        <v>184213.58975877002</v>
      </c>
      <c r="EC22" s="2813">
        <v>194715.73296617001</v>
      </c>
      <c r="ED22" s="2813">
        <v>214151.32237466006</v>
      </c>
      <c r="EE22" s="2813">
        <v>195991.62394412007</v>
      </c>
      <c r="EF22" s="2813">
        <v>196250.02692557001</v>
      </c>
      <c r="EG22" s="2813">
        <v>235432.66699455003</v>
      </c>
      <c r="EH22" s="2813">
        <v>242527.10344179993</v>
      </c>
      <c r="EI22" s="2813">
        <v>238940.32614801015</v>
      </c>
      <c r="EJ22" s="2813">
        <v>243110.72012474996</v>
      </c>
      <c r="EK22" s="2813">
        <v>241688.64114885009</v>
      </c>
      <c r="EL22" s="2813">
        <v>259478.35074429313</v>
      </c>
      <c r="EM22" s="2813">
        <v>248055.04482666013</v>
      </c>
      <c r="EN22" s="2813">
        <v>250045.57459345009</v>
      </c>
      <c r="EO22" s="2813">
        <v>263583.90975209011</v>
      </c>
      <c r="EP22" s="2813">
        <v>234943.92992795561</v>
      </c>
      <c r="EQ22" s="2813">
        <v>228539.61849301009</v>
      </c>
      <c r="ER22" s="2813">
        <v>248164.09587591561</v>
      </c>
      <c r="ES22" s="2813">
        <v>215684.19604950995</v>
      </c>
      <c r="ET22" s="2813">
        <v>205292.12414221989</v>
      </c>
      <c r="EU22" s="2813">
        <v>247231.96706223986</v>
      </c>
      <c r="EV22" s="2813">
        <v>215274.61251648009</v>
      </c>
      <c r="EW22" s="2813">
        <v>216750.65025110007</v>
      </c>
      <c r="EX22" s="2813">
        <v>230551.85570671805</v>
      </c>
      <c r="EY22" s="2813">
        <v>188928.48129439988</v>
      </c>
      <c r="EZ22" s="2813">
        <v>177765.42426309999</v>
      </c>
      <c r="FA22" s="2813">
        <v>248164.08130338995</v>
      </c>
      <c r="FB22" s="2813">
        <v>183302.52351965001</v>
      </c>
      <c r="FC22" s="2813">
        <v>186319.62279741003</v>
      </c>
      <c r="FD22" s="2813">
        <v>174826.90629075991</v>
      </c>
      <c r="FE22" s="2813">
        <v>168633.77170902997</v>
      </c>
      <c r="FF22" s="2813">
        <v>163148.18271094002</v>
      </c>
      <c r="FG22" s="2813">
        <v>161340.42389515004</v>
      </c>
      <c r="FH22" s="2813">
        <v>162584.33219922008</v>
      </c>
      <c r="FI22" s="2813">
        <v>162274.83313671986</v>
      </c>
    </row>
    <row r="23" spans="1:166" ht="15.6" customHeight="1" thickBot="1" x14ac:dyDescent="0.3">
      <c r="A23" s="2818"/>
      <c r="B23" s="2819"/>
      <c r="C23" s="2819"/>
      <c r="D23" s="2819"/>
      <c r="E23" s="2819"/>
      <c r="F23" s="2819"/>
      <c r="G23" s="2819"/>
      <c r="H23" s="2819"/>
      <c r="I23" s="2819"/>
      <c r="J23" s="2819"/>
      <c r="K23" s="2819"/>
      <c r="L23" s="2819"/>
      <c r="M23" s="2819"/>
      <c r="N23" s="2819"/>
      <c r="O23" s="2819"/>
      <c r="P23" s="2819"/>
      <c r="Q23" s="2819"/>
      <c r="R23" s="2819"/>
      <c r="S23" s="2819"/>
      <c r="T23" s="2819"/>
      <c r="U23" s="2819"/>
      <c r="V23" s="2819"/>
      <c r="W23" s="2819"/>
      <c r="X23" s="2819"/>
      <c r="Y23" s="2819"/>
      <c r="Z23" s="2819"/>
      <c r="AA23" s="2819"/>
      <c r="AB23" s="2819"/>
      <c r="AC23" s="2819"/>
      <c r="AD23" s="2819"/>
      <c r="AE23" s="2819"/>
      <c r="AF23" s="2819"/>
      <c r="AG23" s="2819"/>
      <c r="AH23" s="2819"/>
      <c r="AI23" s="2819"/>
      <c r="AJ23" s="2819"/>
      <c r="AK23" s="2819"/>
      <c r="AL23" s="2819"/>
      <c r="AM23" s="2819"/>
      <c r="AN23" s="2819"/>
      <c r="AO23" s="2819"/>
      <c r="AP23" s="2819"/>
      <c r="AQ23" s="2819"/>
      <c r="AR23" s="2819"/>
      <c r="AS23" s="2819"/>
      <c r="AT23" s="2819"/>
      <c r="AU23" s="2819"/>
      <c r="AV23" s="2819"/>
      <c r="AW23" s="2819"/>
      <c r="AX23" s="2819"/>
      <c r="AY23" s="2819"/>
      <c r="AZ23" s="2819"/>
      <c r="BA23" s="2819"/>
      <c r="BB23" s="2819"/>
      <c r="BC23" s="2819"/>
      <c r="BD23" s="2819"/>
      <c r="BE23" s="2819"/>
      <c r="BF23" s="2819"/>
      <c r="BG23" s="2819"/>
      <c r="BH23" s="2819"/>
      <c r="BI23" s="2819"/>
      <c r="BJ23" s="2819"/>
      <c r="BK23" s="2819"/>
      <c r="BL23" s="2819"/>
      <c r="BM23" s="2819"/>
      <c r="BN23" s="2819"/>
      <c r="BO23" s="2819"/>
      <c r="BP23" s="2819"/>
      <c r="BQ23" s="2819"/>
      <c r="BR23" s="2819"/>
      <c r="BS23" s="2819"/>
      <c r="BT23" s="2819"/>
      <c r="BU23" s="2819"/>
      <c r="BV23" s="2819"/>
      <c r="BW23" s="2819"/>
      <c r="BX23" s="2819"/>
      <c r="BY23" s="2819"/>
      <c r="BZ23" s="2819"/>
      <c r="CA23" s="2819"/>
      <c r="CB23" s="2819"/>
      <c r="CC23" s="2819"/>
      <c r="CD23" s="2819"/>
      <c r="CE23" s="2819"/>
      <c r="CF23" s="2819"/>
      <c r="CG23" s="2819"/>
      <c r="CH23" s="2819"/>
      <c r="CI23" s="2819"/>
      <c r="CJ23" s="2819"/>
      <c r="CK23" s="2819"/>
      <c r="CL23" s="2819"/>
      <c r="CM23" s="2819"/>
      <c r="CN23" s="2819"/>
      <c r="CO23" s="2819"/>
      <c r="CP23" s="2819"/>
      <c r="CQ23" s="2819"/>
      <c r="CR23" s="2819"/>
      <c r="CS23" s="2819"/>
      <c r="CT23" s="2819"/>
      <c r="CU23" s="2819"/>
      <c r="CV23" s="2819"/>
      <c r="CW23" s="2819"/>
      <c r="CX23" s="2819"/>
      <c r="CY23" s="2819"/>
      <c r="CZ23" s="2819"/>
      <c r="DA23" s="2819"/>
      <c r="DB23" s="2819"/>
      <c r="DC23" s="2819"/>
      <c r="DD23" s="2819"/>
      <c r="DE23" s="2819"/>
      <c r="DF23" s="2819"/>
      <c r="DG23" s="2819"/>
      <c r="DH23" s="2819"/>
      <c r="DI23" s="2819"/>
      <c r="DJ23" s="2819"/>
      <c r="DK23" s="2819"/>
      <c r="DL23" s="2819"/>
      <c r="DM23" s="2819"/>
      <c r="DN23" s="2819"/>
      <c r="DO23" s="2819"/>
      <c r="DP23" s="2819"/>
      <c r="DQ23" s="2819"/>
      <c r="DR23" s="2819"/>
      <c r="DS23" s="2819"/>
      <c r="DT23" s="2819"/>
      <c r="DU23" s="2819"/>
      <c r="DV23" s="2819"/>
      <c r="DW23" s="2819"/>
      <c r="DX23" s="2819"/>
      <c r="DY23" s="2819"/>
      <c r="DZ23" s="2819"/>
      <c r="EA23" s="2819"/>
      <c r="EB23" s="2819"/>
      <c r="EC23" s="2819"/>
      <c r="ED23" s="2819"/>
      <c r="EE23" s="2819"/>
      <c r="EF23" s="2819"/>
      <c r="EG23" s="2819"/>
      <c r="EH23" s="2819"/>
      <c r="EI23" s="2819"/>
      <c r="EJ23" s="2819"/>
      <c r="EK23" s="2819"/>
      <c r="EL23" s="2819"/>
      <c r="EM23" s="2819"/>
      <c r="EN23" s="2819"/>
      <c r="EO23" s="2819"/>
      <c r="EP23" s="2819"/>
      <c r="EQ23" s="2819"/>
      <c r="ER23" s="2819"/>
      <c r="ES23" s="2819"/>
      <c r="ET23" s="2819"/>
      <c r="EU23" s="2819"/>
      <c r="EV23" s="2819"/>
      <c r="EW23" s="2819"/>
      <c r="EX23" s="2819"/>
      <c r="EY23" s="2819"/>
      <c r="EZ23" s="2819"/>
      <c r="FA23" s="2819"/>
      <c r="FB23" s="2819"/>
      <c r="FC23" s="2819"/>
      <c r="FD23" s="2819"/>
      <c r="FE23" s="2819"/>
      <c r="FF23" s="2819"/>
      <c r="FG23" s="2819"/>
      <c r="FH23" s="2819"/>
      <c r="FI23" s="2819"/>
    </row>
    <row r="24" spans="1:166" ht="15" thickTop="1" x14ac:dyDescent="0.25">
      <c r="A24" s="2330" t="s">
        <v>173</v>
      </c>
    </row>
    <row r="26" spans="1:166" ht="25.5" customHeight="1" x14ac:dyDescent="0.25">
      <c r="A26" s="2797" t="s">
        <v>2711</v>
      </c>
    </row>
    <row r="27" spans="1:166" s="798" customFormat="1" ht="18.75" customHeight="1" thickBot="1" x14ac:dyDescent="0.3">
      <c r="A27" s="2800"/>
      <c r="DS27" s="2801"/>
      <c r="DX27" s="2801"/>
      <c r="EE27" s="2801"/>
      <c r="ER27" s="2801"/>
      <c r="ES27" s="2801"/>
      <c r="ET27" s="2801"/>
      <c r="EU27" s="2801"/>
      <c r="EV27" s="2801"/>
      <c r="EW27" s="2801"/>
      <c r="EX27" s="2801"/>
      <c r="EY27" s="2801"/>
      <c r="EZ27" s="2801"/>
      <c r="FA27" s="2801"/>
      <c r="FB27" s="2801"/>
      <c r="FC27" s="2801"/>
      <c r="FD27" s="2801"/>
      <c r="FE27" s="2801"/>
      <c r="FF27" s="2801"/>
      <c r="FG27" s="2801"/>
      <c r="FH27" s="2801"/>
      <c r="FI27" s="2801" t="s">
        <v>281</v>
      </c>
    </row>
    <row r="28" spans="1:166" ht="18.75" thickTop="1" thickBot="1" x14ac:dyDescent="0.35">
      <c r="A28" s="2802" t="s">
        <v>2712</v>
      </c>
      <c r="B28" s="2804">
        <f t="shared" ref="B28:BM28" si="0">B3</f>
        <v>40208</v>
      </c>
      <c r="C28" s="2804">
        <f t="shared" si="0"/>
        <v>40237</v>
      </c>
      <c r="D28" s="2804">
        <f t="shared" si="0"/>
        <v>40239</v>
      </c>
      <c r="E28" s="2804">
        <f t="shared" si="0"/>
        <v>40270</v>
      </c>
      <c r="F28" s="2804">
        <f t="shared" si="0"/>
        <v>40301</v>
      </c>
      <c r="G28" s="2804">
        <f t="shared" si="0"/>
        <v>40332</v>
      </c>
      <c r="H28" s="2804">
        <f t="shared" si="0"/>
        <v>40363</v>
      </c>
      <c r="I28" s="2804">
        <f t="shared" si="0"/>
        <v>40394</v>
      </c>
      <c r="J28" s="2804">
        <f t="shared" si="0"/>
        <v>40425</v>
      </c>
      <c r="K28" s="2804">
        <f t="shared" si="0"/>
        <v>40456</v>
      </c>
      <c r="L28" s="2804">
        <f t="shared" si="0"/>
        <v>40487</v>
      </c>
      <c r="M28" s="2804">
        <f t="shared" si="0"/>
        <v>40518</v>
      </c>
      <c r="N28" s="2804">
        <f t="shared" si="0"/>
        <v>40549</v>
      </c>
      <c r="O28" s="2804">
        <f t="shared" si="0"/>
        <v>40580</v>
      </c>
      <c r="P28" s="2804">
        <f t="shared" si="0"/>
        <v>40611</v>
      </c>
      <c r="Q28" s="2804">
        <f t="shared" si="0"/>
        <v>40642</v>
      </c>
      <c r="R28" s="2804">
        <f t="shared" si="0"/>
        <v>40673</v>
      </c>
      <c r="S28" s="2804">
        <f t="shared" si="0"/>
        <v>40704</v>
      </c>
      <c r="T28" s="2804">
        <f t="shared" si="0"/>
        <v>40735</v>
      </c>
      <c r="U28" s="2804">
        <f t="shared" si="0"/>
        <v>40766</v>
      </c>
      <c r="V28" s="2804">
        <f t="shared" si="0"/>
        <v>40797</v>
      </c>
      <c r="W28" s="2804">
        <f t="shared" si="0"/>
        <v>40828</v>
      </c>
      <c r="X28" s="2804">
        <f t="shared" si="0"/>
        <v>40859</v>
      </c>
      <c r="Y28" s="2804">
        <f t="shared" si="0"/>
        <v>40890</v>
      </c>
      <c r="Z28" s="2804">
        <f t="shared" si="0"/>
        <v>40921</v>
      </c>
      <c r="AA28" s="2804">
        <f t="shared" si="0"/>
        <v>40952</v>
      </c>
      <c r="AB28" s="2804">
        <f t="shared" si="0"/>
        <v>40983</v>
      </c>
      <c r="AC28" s="2804">
        <f t="shared" si="0"/>
        <v>41014</v>
      </c>
      <c r="AD28" s="2804">
        <f t="shared" si="0"/>
        <v>41045</v>
      </c>
      <c r="AE28" s="2804">
        <f t="shared" si="0"/>
        <v>41076</v>
      </c>
      <c r="AF28" s="2804">
        <f t="shared" si="0"/>
        <v>41107</v>
      </c>
      <c r="AG28" s="2804">
        <f t="shared" si="0"/>
        <v>41138</v>
      </c>
      <c r="AH28" s="2804">
        <f t="shared" si="0"/>
        <v>41169</v>
      </c>
      <c r="AI28" s="2804">
        <f t="shared" si="0"/>
        <v>41200</v>
      </c>
      <c r="AJ28" s="2804">
        <f t="shared" si="0"/>
        <v>41231</v>
      </c>
      <c r="AK28" s="2804">
        <f t="shared" si="0"/>
        <v>41262</v>
      </c>
      <c r="AL28" s="2804">
        <f t="shared" si="0"/>
        <v>41293</v>
      </c>
      <c r="AM28" s="2804">
        <f t="shared" si="0"/>
        <v>41324</v>
      </c>
      <c r="AN28" s="2804">
        <f t="shared" si="0"/>
        <v>41355</v>
      </c>
      <c r="AO28" s="2804">
        <f t="shared" si="0"/>
        <v>41386</v>
      </c>
      <c r="AP28" s="2804">
        <f t="shared" si="0"/>
        <v>41417</v>
      </c>
      <c r="AQ28" s="2804">
        <f t="shared" si="0"/>
        <v>41448</v>
      </c>
      <c r="AR28" s="2804">
        <f t="shared" si="0"/>
        <v>41479</v>
      </c>
      <c r="AS28" s="2804">
        <f t="shared" si="0"/>
        <v>41510</v>
      </c>
      <c r="AT28" s="2804">
        <f t="shared" si="0"/>
        <v>41541</v>
      </c>
      <c r="AU28" s="2804">
        <f t="shared" si="0"/>
        <v>41572</v>
      </c>
      <c r="AV28" s="2804">
        <f t="shared" si="0"/>
        <v>41603</v>
      </c>
      <c r="AW28" s="2804">
        <f t="shared" si="0"/>
        <v>41634</v>
      </c>
      <c r="AX28" s="2804">
        <f t="shared" si="0"/>
        <v>41665</v>
      </c>
      <c r="AY28" s="2804">
        <f t="shared" si="0"/>
        <v>41696</v>
      </c>
      <c r="AZ28" s="2804">
        <f t="shared" si="0"/>
        <v>41727</v>
      </c>
      <c r="BA28" s="2804">
        <f t="shared" si="0"/>
        <v>41758</v>
      </c>
      <c r="BB28" s="2804">
        <f t="shared" si="0"/>
        <v>41789</v>
      </c>
      <c r="BC28" s="2804">
        <f t="shared" si="0"/>
        <v>41820</v>
      </c>
      <c r="BD28" s="2804">
        <f t="shared" si="0"/>
        <v>41851</v>
      </c>
      <c r="BE28" s="2804">
        <f t="shared" si="0"/>
        <v>41882</v>
      </c>
      <c r="BF28" s="2804">
        <f t="shared" si="0"/>
        <v>41912</v>
      </c>
      <c r="BG28" s="2804">
        <f t="shared" si="0"/>
        <v>41913</v>
      </c>
      <c r="BH28" s="2804">
        <f t="shared" si="0"/>
        <v>41944</v>
      </c>
      <c r="BI28" s="2804">
        <f t="shared" si="0"/>
        <v>41975</v>
      </c>
      <c r="BJ28" s="2804">
        <f t="shared" si="0"/>
        <v>42006</v>
      </c>
      <c r="BK28" s="2804">
        <f t="shared" si="0"/>
        <v>42037</v>
      </c>
      <c r="BL28" s="2804">
        <f t="shared" si="0"/>
        <v>42068</v>
      </c>
      <c r="BM28" s="2804">
        <f t="shared" si="0"/>
        <v>42099</v>
      </c>
      <c r="BN28" s="2804">
        <f t="shared" ref="BN28:DR28" si="1">BN3</f>
        <v>42130</v>
      </c>
      <c r="BO28" s="2804">
        <f t="shared" si="1"/>
        <v>42161</v>
      </c>
      <c r="BP28" s="2804">
        <f t="shared" si="1"/>
        <v>42192</v>
      </c>
      <c r="BQ28" s="2804">
        <f t="shared" si="1"/>
        <v>42223</v>
      </c>
      <c r="BR28" s="2804">
        <f t="shared" si="1"/>
        <v>42254</v>
      </c>
      <c r="BS28" s="2804">
        <f t="shared" si="1"/>
        <v>42285</v>
      </c>
      <c r="BT28" s="2804">
        <f t="shared" si="1"/>
        <v>42316</v>
      </c>
      <c r="BU28" s="2804">
        <f t="shared" si="1"/>
        <v>42347</v>
      </c>
      <c r="BV28" s="2804">
        <f t="shared" si="1"/>
        <v>42378</v>
      </c>
      <c r="BW28" s="2804">
        <f t="shared" si="1"/>
        <v>42409</v>
      </c>
      <c r="BX28" s="2804">
        <f t="shared" si="1"/>
        <v>42440</v>
      </c>
      <c r="BY28" s="2804">
        <f t="shared" si="1"/>
        <v>42471</v>
      </c>
      <c r="BZ28" s="2804">
        <f t="shared" si="1"/>
        <v>42502</v>
      </c>
      <c r="CA28" s="2804">
        <f t="shared" si="1"/>
        <v>42533</v>
      </c>
      <c r="CB28" s="2804">
        <f t="shared" si="1"/>
        <v>42564</v>
      </c>
      <c r="CC28" s="2804">
        <f t="shared" si="1"/>
        <v>42595</v>
      </c>
      <c r="CD28" s="2804">
        <f t="shared" si="1"/>
        <v>42626</v>
      </c>
      <c r="CE28" s="2804">
        <f t="shared" si="1"/>
        <v>42657</v>
      </c>
      <c r="CF28" s="2804">
        <f t="shared" si="1"/>
        <v>42688</v>
      </c>
      <c r="CG28" s="2804">
        <f t="shared" si="1"/>
        <v>42719</v>
      </c>
      <c r="CH28" s="2804">
        <f t="shared" si="1"/>
        <v>42750</v>
      </c>
      <c r="CI28" s="2804">
        <f t="shared" si="1"/>
        <v>42781</v>
      </c>
      <c r="CJ28" s="2804">
        <f t="shared" si="1"/>
        <v>42812</v>
      </c>
      <c r="CK28" s="2804">
        <f t="shared" si="1"/>
        <v>42843</v>
      </c>
      <c r="CL28" s="2804">
        <f t="shared" si="1"/>
        <v>42874</v>
      </c>
      <c r="CM28" s="2804">
        <f t="shared" si="1"/>
        <v>42905</v>
      </c>
      <c r="CN28" s="2804">
        <f t="shared" si="1"/>
        <v>42936</v>
      </c>
      <c r="CO28" s="2804">
        <f t="shared" si="1"/>
        <v>42967</v>
      </c>
      <c r="CP28" s="2804">
        <f t="shared" si="1"/>
        <v>42998</v>
      </c>
      <c r="CQ28" s="2804">
        <f t="shared" si="1"/>
        <v>43029</v>
      </c>
      <c r="CR28" s="2804">
        <f t="shared" si="1"/>
        <v>43060</v>
      </c>
      <c r="CS28" s="2804">
        <f t="shared" si="1"/>
        <v>43091</v>
      </c>
      <c r="CT28" s="2804">
        <f t="shared" si="1"/>
        <v>43122</v>
      </c>
      <c r="CU28" s="2804">
        <f t="shared" si="1"/>
        <v>43153</v>
      </c>
      <c r="CV28" s="2804">
        <f t="shared" si="1"/>
        <v>43184</v>
      </c>
      <c r="CW28" s="2804">
        <f t="shared" si="1"/>
        <v>43215</v>
      </c>
      <c r="CX28" s="2804">
        <f t="shared" si="1"/>
        <v>43246</v>
      </c>
      <c r="CY28" s="2804">
        <f t="shared" si="1"/>
        <v>43277</v>
      </c>
      <c r="CZ28" s="2804">
        <f t="shared" si="1"/>
        <v>43308</v>
      </c>
      <c r="DA28" s="2804">
        <f t="shared" si="1"/>
        <v>43339</v>
      </c>
      <c r="DB28" s="2804">
        <f t="shared" si="1"/>
        <v>43370</v>
      </c>
      <c r="DC28" s="2804">
        <f t="shared" si="1"/>
        <v>43401</v>
      </c>
      <c r="DD28" s="2804">
        <f t="shared" si="1"/>
        <v>43432</v>
      </c>
      <c r="DE28" s="2804">
        <f t="shared" si="1"/>
        <v>43462</v>
      </c>
      <c r="DF28" s="2804">
        <f t="shared" si="1"/>
        <v>43493</v>
      </c>
      <c r="DG28" s="2804">
        <f t="shared" si="1"/>
        <v>43524</v>
      </c>
      <c r="DH28" s="2804">
        <f t="shared" si="1"/>
        <v>43552</v>
      </c>
      <c r="DI28" s="2804">
        <f t="shared" si="1"/>
        <v>43583</v>
      </c>
      <c r="DJ28" s="2804">
        <f t="shared" si="1"/>
        <v>43613</v>
      </c>
      <c r="DK28" s="2804">
        <f t="shared" si="1"/>
        <v>43644</v>
      </c>
      <c r="DL28" s="2804">
        <f t="shared" si="1"/>
        <v>43674</v>
      </c>
      <c r="DM28" s="2804">
        <f t="shared" si="1"/>
        <v>43705</v>
      </c>
      <c r="DN28" s="2804">
        <f t="shared" si="1"/>
        <v>43736</v>
      </c>
      <c r="DO28" s="2804">
        <f t="shared" si="1"/>
        <v>43766</v>
      </c>
      <c r="DP28" s="2804">
        <f t="shared" si="1"/>
        <v>43797</v>
      </c>
      <c r="DQ28" s="2804">
        <f t="shared" si="1"/>
        <v>43827</v>
      </c>
      <c r="DR28" s="2804">
        <f t="shared" si="1"/>
        <v>43858</v>
      </c>
      <c r="DS28" s="2805" t="s">
        <v>2590</v>
      </c>
      <c r="DT28" s="2805" t="s">
        <v>477</v>
      </c>
      <c r="DU28" s="2652" t="s">
        <v>2591</v>
      </c>
      <c r="DV28" s="2652" t="s">
        <v>2504</v>
      </c>
      <c r="DW28" s="2652" t="s">
        <v>313</v>
      </c>
      <c r="DX28" s="2652" t="s">
        <v>314</v>
      </c>
      <c r="DY28" s="2652" t="s">
        <v>315</v>
      </c>
      <c r="DZ28" s="2652" t="s">
        <v>316</v>
      </c>
      <c r="EA28" s="2652" t="s">
        <v>317</v>
      </c>
      <c r="EB28" s="2652">
        <v>44136</v>
      </c>
      <c r="EC28" s="2652">
        <v>44166</v>
      </c>
      <c r="ED28" s="2652">
        <v>44197</v>
      </c>
      <c r="EE28" s="2652" t="s">
        <v>2593</v>
      </c>
      <c r="EF28" s="2652" t="s">
        <v>2594</v>
      </c>
      <c r="EG28" s="2652" t="s">
        <v>2620</v>
      </c>
      <c r="EH28" s="2652" t="s">
        <v>483</v>
      </c>
      <c r="EI28" s="2652" t="s">
        <v>484</v>
      </c>
      <c r="EJ28" s="2652" t="s">
        <v>2596</v>
      </c>
      <c r="EK28" s="2652" t="s">
        <v>2597</v>
      </c>
      <c r="EL28" s="2652" t="s">
        <v>328</v>
      </c>
      <c r="EM28" s="2652" t="s">
        <v>485</v>
      </c>
      <c r="EN28" s="2652" t="s">
        <v>2625</v>
      </c>
      <c r="EO28" s="2652" t="s">
        <v>2626</v>
      </c>
      <c r="EP28" s="2652">
        <v>44562</v>
      </c>
      <c r="EQ28" s="2652">
        <v>44593</v>
      </c>
      <c r="ER28" s="2652">
        <v>44621</v>
      </c>
      <c r="ES28" s="2652">
        <v>44652</v>
      </c>
      <c r="ET28" s="2652">
        <v>44682</v>
      </c>
      <c r="EU28" s="2652">
        <v>44713</v>
      </c>
      <c r="EV28" s="2652">
        <v>44743</v>
      </c>
      <c r="EW28" s="2652">
        <v>44774</v>
      </c>
      <c r="EX28" s="2652">
        <v>44805</v>
      </c>
      <c r="EY28" s="2652">
        <v>44835</v>
      </c>
      <c r="EZ28" s="2652">
        <v>44866</v>
      </c>
      <c r="FA28" s="2652">
        <v>44896</v>
      </c>
      <c r="FB28" s="2652">
        <v>44927</v>
      </c>
      <c r="FC28" s="2652">
        <v>44958</v>
      </c>
      <c r="FD28" s="2652">
        <v>44986</v>
      </c>
      <c r="FE28" s="2652" t="s">
        <v>2599</v>
      </c>
      <c r="FF28" s="2652">
        <v>45047</v>
      </c>
      <c r="FG28" s="2652">
        <v>45078</v>
      </c>
      <c r="FH28" s="2652">
        <v>45108</v>
      </c>
      <c r="FI28" s="2652">
        <v>45139</v>
      </c>
    </row>
    <row r="29" spans="1:166" ht="17.100000000000001" customHeight="1" thickTop="1" x14ac:dyDescent="0.25">
      <c r="A29" s="2807"/>
      <c r="B29" s="2808"/>
      <c r="C29" s="2808"/>
      <c r="D29" s="2808"/>
      <c r="E29" s="2808"/>
      <c r="F29" s="2808"/>
      <c r="G29" s="2808"/>
      <c r="H29" s="2808"/>
      <c r="I29" s="2808"/>
      <c r="J29" s="2808"/>
      <c r="K29" s="2808"/>
      <c r="L29" s="2808"/>
      <c r="M29" s="2808"/>
      <c r="N29" s="2808"/>
      <c r="O29" s="2808"/>
      <c r="P29" s="2808"/>
      <c r="Q29" s="2808"/>
      <c r="R29" s="2808"/>
      <c r="S29" s="2808"/>
      <c r="T29" s="2808"/>
      <c r="U29" s="2808"/>
      <c r="V29" s="2808"/>
      <c r="W29" s="2808"/>
      <c r="X29" s="2808"/>
      <c r="Y29" s="2808"/>
      <c r="Z29" s="2808"/>
      <c r="AA29" s="2808"/>
      <c r="AB29" s="2808"/>
      <c r="AC29" s="2808"/>
      <c r="AD29" s="2808"/>
      <c r="AE29" s="2808"/>
      <c r="AF29" s="2808"/>
      <c r="AG29" s="2808"/>
      <c r="AH29" s="2808"/>
      <c r="AI29" s="2808"/>
      <c r="AJ29" s="2808"/>
      <c r="AK29" s="2808"/>
      <c r="AL29" s="2808"/>
      <c r="AM29" s="2808"/>
      <c r="AN29" s="2808"/>
      <c r="AO29" s="2808"/>
      <c r="AP29" s="2808"/>
      <c r="AQ29" s="2808"/>
      <c r="AR29" s="2808"/>
      <c r="AS29" s="2808"/>
      <c r="AT29" s="2808"/>
      <c r="AU29" s="2808"/>
      <c r="AV29" s="2808"/>
      <c r="AW29" s="2808"/>
      <c r="AX29" s="2808"/>
      <c r="AY29" s="2808"/>
      <c r="AZ29" s="2808"/>
      <c r="BA29" s="2808"/>
      <c r="BB29" s="2808"/>
      <c r="BC29" s="2808"/>
      <c r="BD29" s="2808"/>
      <c r="BE29" s="2808"/>
      <c r="BF29" s="2808"/>
      <c r="BG29" s="2808"/>
      <c r="BH29" s="2808"/>
      <c r="BI29" s="2808"/>
      <c r="BJ29" s="2808"/>
      <c r="BK29" s="2808"/>
      <c r="BL29" s="2808"/>
      <c r="BM29" s="2808"/>
      <c r="BN29" s="2808"/>
      <c r="BO29" s="2808"/>
      <c r="BP29" s="2808"/>
      <c r="BQ29" s="2808"/>
      <c r="BR29" s="2808"/>
      <c r="BS29" s="2808"/>
      <c r="BT29" s="2808"/>
      <c r="BU29" s="2808"/>
      <c r="BV29" s="2808"/>
      <c r="BW29" s="2808"/>
      <c r="BX29" s="2808"/>
      <c r="BY29" s="2808"/>
      <c r="BZ29" s="2808"/>
      <c r="CA29" s="2808"/>
      <c r="CB29" s="2808"/>
      <c r="CC29" s="2808"/>
      <c r="CD29" s="2808"/>
      <c r="CE29" s="2808"/>
      <c r="CF29" s="2808"/>
      <c r="CG29" s="2808"/>
      <c r="CH29" s="2808"/>
      <c r="CI29" s="2808"/>
      <c r="CJ29" s="2808"/>
      <c r="CK29" s="2808"/>
      <c r="CL29" s="2808"/>
      <c r="CM29" s="2808"/>
      <c r="CN29" s="2808"/>
      <c r="CO29" s="2808"/>
      <c r="CP29" s="2808"/>
      <c r="CQ29" s="2808"/>
      <c r="CR29" s="2808"/>
      <c r="CS29" s="2808"/>
      <c r="CT29" s="2808"/>
      <c r="CU29" s="2808"/>
      <c r="CV29" s="2808"/>
      <c r="CW29" s="2808"/>
      <c r="CX29" s="2808"/>
      <c r="CY29" s="2808"/>
      <c r="CZ29" s="2808"/>
      <c r="DA29" s="2808"/>
      <c r="DB29" s="2808"/>
      <c r="DC29" s="2808"/>
      <c r="DD29" s="2808"/>
      <c r="DE29" s="2808"/>
      <c r="DF29" s="2808"/>
      <c r="DG29" s="2808"/>
      <c r="DH29" s="2808"/>
      <c r="DI29" s="2808"/>
      <c r="DJ29" s="2808"/>
      <c r="DK29" s="2808"/>
      <c r="DL29" s="2808"/>
      <c r="DM29" s="2808"/>
      <c r="DN29" s="2808"/>
      <c r="DO29" s="2808"/>
      <c r="DP29" s="2808"/>
      <c r="DQ29" s="2808"/>
      <c r="DR29" s="2808"/>
      <c r="DS29" s="2808"/>
      <c r="DT29" s="2808"/>
      <c r="DU29" s="2808"/>
      <c r="DV29" s="2808"/>
      <c r="DW29" s="2808"/>
      <c r="DX29" s="2808"/>
      <c r="DY29" s="2808"/>
      <c r="DZ29" s="2808"/>
      <c r="EA29" s="2808"/>
      <c r="EB29" s="2808"/>
      <c r="EC29" s="2808"/>
      <c r="ED29" s="2808"/>
      <c r="EE29" s="2808"/>
      <c r="EF29" s="2808"/>
      <c r="EG29" s="2808"/>
      <c r="EH29" s="2808"/>
      <c r="EI29" s="2808"/>
      <c r="EJ29" s="2808"/>
      <c r="EK29" s="2808"/>
      <c r="EL29" s="2808"/>
      <c r="EM29" s="2808"/>
      <c r="EN29" s="2808"/>
      <c r="EO29" s="2808"/>
      <c r="EP29" s="2808"/>
      <c r="EQ29" s="2808"/>
      <c r="ER29" s="2808"/>
      <c r="ES29" s="2808"/>
      <c r="ET29" s="2808"/>
      <c r="EU29" s="2808"/>
      <c r="EV29" s="2808"/>
      <c r="EW29" s="2808"/>
      <c r="EX29" s="2808"/>
      <c r="EY29" s="2808"/>
      <c r="EZ29" s="2808"/>
      <c r="FA29" s="2808"/>
      <c r="FB29" s="2808"/>
      <c r="FC29" s="2808"/>
      <c r="FD29" s="2808"/>
      <c r="FE29" s="2808"/>
      <c r="FF29" s="2808"/>
      <c r="FG29" s="2808"/>
      <c r="FH29" s="2808"/>
      <c r="FI29" s="2808"/>
    </row>
    <row r="30" spans="1:166" ht="17.100000000000001" customHeight="1" x14ac:dyDescent="0.25">
      <c r="A30" s="2812" t="s">
        <v>2713</v>
      </c>
      <c r="B30" s="2813">
        <v>16171.960026841443</v>
      </c>
      <c r="C30" s="2813">
        <v>15979.918504390556</v>
      </c>
      <c r="D30" s="2813">
        <v>15845.174678718537</v>
      </c>
      <c r="E30" s="2813">
        <v>16036.327574022573</v>
      </c>
      <c r="F30" s="2813">
        <v>16227.254416493004</v>
      </c>
      <c r="G30" s="2813">
        <v>15904.557043885216</v>
      </c>
      <c r="H30" s="2813">
        <v>16369.721227265134</v>
      </c>
      <c r="I30" s="2813">
        <v>16281.24484228429</v>
      </c>
      <c r="J30" s="2813">
        <v>16241.980758452173</v>
      </c>
      <c r="K30" s="2813">
        <v>16473.996105313156</v>
      </c>
      <c r="L30" s="2813">
        <v>16722.43897559122</v>
      </c>
      <c r="M30" s="2813">
        <v>18975.006270668913</v>
      </c>
      <c r="N30" s="2813">
        <v>18010.593082900665</v>
      </c>
      <c r="O30" s="2813">
        <v>17749.329653375997</v>
      </c>
      <c r="P30" s="2813">
        <v>17492.407133231845</v>
      </c>
      <c r="Q30" s="2813">
        <v>17646.497592686108</v>
      </c>
      <c r="R30" s="2813">
        <v>17594.772439179418</v>
      </c>
      <c r="S30" s="2813">
        <v>17516.570954198032</v>
      </c>
      <c r="T30" s="2813">
        <v>18045.280669068587</v>
      </c>
      <c r="U30" s="2813">
        <v>18269.489570318754</v>
      </c>
      <c r="V30" s="2813">
        <v>17957.873646394448</v>
      </c>
      <c r="W30" s="2813">
        <v>18294.304306683174</v>
      </c>
      <c r="X30" s="2813">
        <v>17891.407119467123</v>
      </c>
      <c r="Y30" s="2813">
        <v>20307.786446312803</v>
      </c>
      <c r="Z30" s="2813">
        <v>19209.573208944614</v>
      </c>
      <c r="AA30" s="2813">
        <v>18923.022119759324</v>
      </c>
      <c r="AB30" s="2813">
        <v>18978.695497382185</v>
      </c>
      <c r="AC30" s="2813">
        <v>18961.549992068223</v>
      </c>
      <c r="AD30" s="2813">
        <v>18678.032246711129</v>
      </c>
      <c r="AE30" s="2813">
        <v>19013.633662171222</v>
      </c>
      <c r="AF30" s="2813">
        <v>19228.031835841684</v>
      </c>
      <c r="AG30" s="2813">
        <v>19287.1599017013</v>
      </c>
      <c r="AH30" s="2813">
        <v>19233.798105900336</v>
      </c>
      <c r="AI30" s="2813">
        <v>19257.554559318654</v>
      </c>
      <c r="AJ30" s="2813">
        <v>19629.552590686864</v>
      </c>
      <c r="AK30" s="2813">
        <v>22169.717386902448</v>
      </c>
      <c r="AL30" s="2813">
        <v>20964.304899561892</v>
      </c>
      <c r="AM30" s="2813">
        <v>20780.286985424955</v>
      </c>
      <c r="AN30" s="2813">
        <v>20987.016268127656</v>
      </c>
      <c r="AO30" s="2813">
        <v>20656.089712851328</v>
      </c>
      <c r="AP30" s="2813">
        <v>20557.306859228109</v>
      </c>
      <c r="AQ30" s="2813">
        <v>20523.48661882988</v>
      </c>
      <c r="AR30" s="2813">
        <v>20820.159883091204</v>
      </c>
      <c r="AS30" s="2813">
        <v>20987.512445111654</v>
      </c>
      <c r="AT30" s="2813">
        <v>20664.185177378316</v>
      </c>
      <c r="AU30" s="2813">
        <v>20702.891560809614</v>
      </c>
      <c r="AV30" s="2813">
        <v>20888.105552438185</v>
      </c>
      <c r="AW30" s="2813">
        <v>23316.684992015878</v>
      </c>
      <c r="AX30" s="2813">
        <v>22265.883860057205</v>
      </c>
      <c r="AY30" s="2813">
        <v>22077.566872167037</v>
      </c>
      <c r="AZ30" s="2813">
        <v>22090.400144122301</v>
      </c>
      <c r="BA30" s="2813">
        <v>21718.536421617555</v>
      </c>
      <c r="BB30" s="2813">
        <v>21737.2264592838</v>
      </c>
      <c r="BC30" s="2813">
        <v>21684.992832060678</v>
      </c>
      <c r="BD30" s="2813">
        <v>22175.789473345048</v>
      </c>
      <c r="BE30" s="2813">
        <v>22196.112731025903</v>
      </c>
      <c r="BF30" s="2813">
        <v>21848.23998536943</v>
      </c>
      <c r="BG30" s="2813">
        <v>22102.50724703589</v>
      </c>
      <c r="BH30" s="2813">
        <v>22503.624769895934</v>
      </c>
      <c r="BI30" s="2813">
        <v>25391.16857677501</v>
      </c>
      <c r="BJ30" s="2813">
        <v>24029.803890028252</v>
      </c>
      <c r="BK30" s="2813">
        <v>24013.562842210038</v>
      </c>
      <c r="BL30" s="2813">
        <v>23784.870318967191</v>
      </c>
      <c r="BM30" s="2813">
        <v>23912.218911613985</v>
      </c>
      <c r="BN30" s="2813">
        <v>24220.596316528303</v>
      </c>
      <c r="BO30" s="2813">
        <v>24017.50101763201</v>
      </c>
      <c r="BP30" s="2813">
        <v>24588.241511306522</v>
      </c>
      <c r="BQ30" s="2813">
        <v>24794.334919669374</v>
      </c>
      <c r="BR30" s="2813">
        <v>24354.580198828076</v>
      </c>
      <c r="BS30" s="2813">
        <v>24815.527936131883</v>
      </c>
      <c r="BT30" s="2813">
        <v>25002.24008601328</v>
      </c>
      <c r="BU30" s="2813">
        <v>27638</v>
      </c>
      <c r="BV30" s="2813">
        <v>26531.097152112925</v>
      </c>
      <c r="BW30" s="2813">
        <v>26526.899703812975</v>
      </c>
      <c r="BX30" s="2813">
        <v>26183.738862633141</v>
      </c>
      <c r="BY30" s="2813">
        <v>26254.514732054799</v>
      </c>
      <c r="BZ30" s="2813">
        <v>26173.261525868962</v>
      </c>
      <c r="CA30" s="2813">
        <v>26253.964140184591</v>
      </c>
      <c r="CB30" s="2813">
        <v>26762.160082529066</v>
      </c>
      <c r="CC30" s="2813">
        <v>26565.777695196768</v>
      </c>
      <c r="CD30" s="2813">
        <v>26679.574401556256</v>
      </c>
      <c r="CE30" s="2813">
        <v>27085.920970584004</v>
      </c>
      <c r="CF30" s="2813">
        <v>26977.870846605641</v>
      </c>
      <c r="CG30" s="2813">
        <v>29731.251114000625</v>
      </c>
      <c r="CH30" s="2813">
        <v>28503.782930543362</v>
      </c>
      <c r="CI30" s="2813">
        <v>28353.789284723396</v>
      </c>
      <c r="CJ30" s="2813">
        <v>28226.794639748969</v>
      </c>
      <c r="CK30" s="2813">
        <v>28264.118735730339</v>
      </c>
      <c r="CL30" s="2813">
        <v>28038.109877324951</v>
      </c>
      <c r="CM30" s="2813">
        <v>28460.470012456764</v>
      </c>
      <c r="CN30" s="2813">
        <v>28732.075101738672</v>
      </c>
      <c r="CO30" s="2813">
        <v>28547.538359344486</v>
      </c>
      <c r="CP30" s="2813">
        <v>28558.473586083212</v>
      </c>
      <c r="CQ30" s="2813">
        <v>28844.392046574456</v>
      </c>
      <c r="CR30" s="2813">
        <v>29119.574478804388</v>
      </c>
      <c r="CS30" s="2813">
        <v>32218.438809848714</v>
      </c>
      <c r="CT30" s="2813">
        <v>30902.666062600962</v>
      </c>
      <c r="CU30" s="2813">
        <v>30604.554093916278</v>
      </c>
      <c r="CV30" s="2813">
        <v>29949.46705897844</v>
      </c>
      <c r="CW30" s="2813">
        <v>29305.442108130697</v>
      </c>
      <c r="CX30" s="2813">
        <v>28891.577411526578</v>
      </c>
      <c r="CY30" s="2813">
        <v>29087.652257059555</v>
      </c>
      <c r="CZ30" s="2813">
        <v>29217.356379832076</v>
      </c>
      <c r="DA30" s="2813">
        <v>29104.323065575794</v>
      </c>
      <c r="DB30" s="2813">
        <v>29000.117582687668</v>
      </c>
      <c r="DC30" s="2813">
        <v>29071.941947559819</v>
      </c>
      <c r="DD30" s="2813">
        <v>29111.019947766225</v>
      </c>
      <c r="DE30" s="2813">
        <v>31636.023138115845</v>
      </c>
      <c r="DF30" s="2813">
        <v>29893.550483353891</v>
      </c>
      <c r="DG30" s="2813">
        <v>29612.111529268681</v>
      </c>
      <c r="DH30" s="2813">
        <v>29987.258875632728</v>
      </c>
      <c r="DI30" s="2813">
        <v>29808.532092407655</v>
      </c>
      <c r="DJ30" s="2813">
        <v>29873.778942881614</v>
      </c>
      <c r="DK30" s="2813">
        <v>30056.327956020566</v>
      </c>
      <c r="DL30" s="2813">
        <v>30327.714046756177</v>
      </c>
      <c r="DM30" s="2813">
        <v>30499.597336790979</v>
      </c>
      <c r="DN30" s="2813">
        <v>30620.709542476052</v>
      </c>
      <c r="DO30" s="2813">
        <v>31634.880380811912</v>
      </c>
      <c r="DP30" s="2813">
        <v>31672.719324559101</v>
      </c>
      <c r="DQ30" s="2813">
        <v>35365.44116659162</v>
      </c>
      <c r="DR30" s="2813">
        <v>33646.968742174089</v>
      </c>
      <c r="DS30" s="2813">
        <v>33729.331543131731</v>
      </c>
      <c r="DT30" s="2813">
        <v>34041.210177219153</v>
      </c>
      <c r="DU30" s="2813">
        <v>35441.178040064326</v>
      </c>
      <c r="DV30" s="2813">
        <v>36965.41341447919</v>
      </c>
      <c r="DW30" s="2813">
        <v>36133.21804392316</v>
      </c>
      <c r="DX30" s="2813">
        <v>36349.4683146877</v>
      </c>
      <c r="DY30" s="2813">
        <v>36481.794617266271</v>
      </c>
      <c r="DZ30" s="2813">
        <v>36167.186899197026</v>
      </c>
      <c r="EA30" s="2813">
        <v>36623.820447114776</v>
      </c>
      <c r="EB30" s="2813">
        <v>36907.671134592551</v>
      </c>
      <c r="EC30" s="2813">
        <v>39610.504011841193</v>
      </c>
      <c r="ED30" s="2813">
        <v>38497.754583117094</v>
      </c>
      <c r="EE30" s="2813">
        <v>38230.063502696634</v>
      </c>
      <c r="EF30" s="2813">
        <v>38930.812688919905</v>
      </c>
      <c r="EG30" s="2813">
        <v>39704.961290793319</v>
      </c>
      <c r="EH30" s="2813">
        <v>39960.940228936379</v>
      </c>
      <c r="EI30" s="2813">
        <v>39426.331250734554</v>
      </c>
      <c r="EJ30" s="2813">
        <v>39694.546839719958</v>
      </c>
      <c r="EK30" s="2813">
        <v>39586.95230685253</v>
      </c>
      <c r="EL30" s="2813">
        <v>39355.655473794584</v>
      </c>
      <c r="EM30" s="2813">
        <v>40400.961629362821</v>
      </c>
      <c r="EN30" s="2813">
        <v>40632.814910755158</v>
      </c>
      <c r="EO30" s="2813">
        <v>43542.015341207203</v>
      </c>
      <c r="EP30" s="2813">
        <v>42546.18536786933</v>
      </c>
      <c r="EQ30" s="2813">
        <v>42569.223344377846</v>
      </c>
      <c r="ER30" s="2813">
        <v>42239.306684471616</v>
      </c>
      <c r="ES30" s="2813">
        <v>42882.579815164245</v>
      </c>
      <c r="ET30" s="2813">
        <v>42631.991765195919</v>
      </c>
      <c r="EU30" s="2813">
        <v>42461.138057696364</v>
      </c>
      <c r="EV30" s="2813">
        <v>43163.327203205139</v>
      </c>
      <c r="EW30" s="2813">
        <v>43096.278275516896</v>
      </c>
      <c r="EX30" s="2813">
        <v>43314.940585212935</v>
      </c>
      <c r="EY30" s="2813">
        <v>44004.969362828473</v>
      </c>
      <c r="EZ30" s="2813">
        <v>43994.409553095829</v>
      </c>
      <c r="FA30" s="2813">
        <v>47620.609747011054</v>
      </c>
      <c r="FB30" s="2813">
        <v>46297.765714723093</v>
      </c>
      <c r="FC30" s="2813">
        <v>46149.403663872981</v>
      </c>
      <c r="FD30" s="2813">
        <v>46211.170909433262</v>
      </c>
      <c r="FE30" s="2813">
        <v>46605.740991945291</v>
      </c>
      <c r="FF30" s="2813">
        <v>45982.351978401377</v>
      </c>
      <c r="FG30" s="2813">
        <v>46072.893384649302</v>
      </c>
      <c r="FH30" s="2813">
        <v>46615.630973537387</v>
      </c>
      <c r="FI30" s="2813">
        <v>46607.64282613252</v>
      </c>
      <c r="FJ30" s="2820"/>
    </row>
    <row r="31" spans="1:166" ht="17.100000000000001" customHeight="1" x14ac:dyDescent="0.25">
      <c r="A31" s="2807"/>
      <c r="B31" s="2809"/>
      <c r="C31" s="2809"/>
      <c r="D31" s="2809"/>
      <c r="E31" s="2809"/>
      <c r="F31" s="2809"/>
      <c r="G31" s="2809"/>
      <c r="H31" s="2809"/>
      <c r="I31" s="2809"/>
      <c r="J31" s="2809"/>
      <c r="K31" s="2809"/>
      <c r="L31" s="2809"/>
      <c r="M31" s="2809"/>
      <c r="N31" s="2809"/>
      <c r="O31" s="2809"/>
      <c r="P31" s="2809"/>
      <c r="Q31" s="2809"/>
      <c r="R31" s="2809"/>
      <c r="S31" s="2809"/>
      <c r="T31" s="2809"/>
      <c r="U31" s="2809"/>
      <c r="V31" s="2809"/>
      <c r="W31" s="2809"/>
      <c r="X31" s="2809"/>
      <c r="Y31" s="2809"/>
      <c r="Z31" s="2809"/>
      <c r="AA31" s="2809"/>
      <c r="AB31" s="2809"/>
      <c r="AC31" s="2809"/>
      <c r="AD31" s="2809"/>
      <c r="AE31" s="2809"/>
      <c r="AF31" s="2809"/>
      <c r="AG31" s="2809"/>
      <c r="AH31" s="2809"/>
      <c r="AI31" s="2809"/>
      <c r="AJ31" s="2809"/>
      <c r="AK31" s="2809"/>
      <c r="AL31" s="2809"/>
      <c r="AM31" s="2809"/>
      <c r="AN31" s="2809"/>
      <c r="AO31" s="2809"/>
      <c r="AP31" s="2809"/>
      <c r="AQ31" s="2809"/>
      <c r="AR31" s="2809"/>
      <c r="AS31" s="2809"/>
      <c r="AT31" s="2809"/>
      <c r="AU31" s="2809"/>
      <c r="AV31" s="2809"/>
      <c r="AW31" s="2809"/>
      <c r="AX31" s="2809"/>
      <c r="AY31" s="2809"/>
      <c r="AZ31" s="2809"/>
      <c r="BA31" s="2809"/>
      <c r="BB31" s="2809"/>
      <c r="BC31" s="2809"/>
      <c r="BD31" s="2809"/>
      <c r="BE31" s="2809"/>
      <c r="BF31" s="2809"/>
      <c r="BG31" s="2809"/>
      <c r="BH31" s="2809"/>
      <c r="BI31" s="2809"/>
      <c r="BJ31" s="2809"/>
      <c r="BK31" s="2809"/>
      <c r="BL31" s="2809"/>
      <c r="BM31" s="2809"/>
      <c r="BN31" s="2809"/>
      <c r="BO31" s="2809"/>
      <c r="BP31" s="2809"/>
      <c r="BQ31" s="2809"/>
      <c r="BR31" s="2809"/>
      <c r="BS31" s="2809"/>
      <c r="BT31" s="2809"/>
      <c r="BU31" s="2809"/>
      <c r="BV31" s="2809"/>
      <c r="BW31" s="2809"/>
      <c r="BX31" s="2809"/>
      <c r="BY31" s="2809"/>
      <c r="BZ31" s="2809"/>
      <c r="CA31" s="2809"/>
      <c r="CB31" s="2809"/>
      <c r="CC31" s="2809"/>
      <c r="CD31" s="2809"/>
      <c r="CE31" s="2809"/>
      <c r="CF31" s="2809"/>
      <c r="CG31" s="2809"/>
      <c r="CH31" s="2809"/>
      <c r="CI31" s="2809"/>
      <c r="CJ31" s="2809"/>
      <c r="CK31" s="2809"/>
      <c r="CL31" s="2809"/>
      <c r="CM31" s="2809"/>
      <c r="CN31" s="2809"/>
      <c r="CO31" s="2809"/>
      <c r="CP31" s="2809"/>
      <c r="CQ31" s="2809"/>
      <c r="CR31" s="2809"/>
      <c r="CS31" s="2809"/>
      <c r="CT31" s="2809"/>
      <c r="CU31" s="2809"/>
      <c r="CV31" s="2809"/>
      <c r="CW31" s="2809"/>
      <c r="CX31" s="2809"/>
      <c r="CY31" s="2809"/>
      <c r="CZ31" s="2809"/>
      <c r="DA31" s="2809"/>
      <c r="DB31" s="2809"/>
      <c r="DC31" s="2809"/>
      <c r="DD31" s="2809"/>
      <c r="DE31" s="2809"/>
      <c r="DF31" s="2809"/>
      <c r="DG31" s="2809"/>
      <c r="DH31" s="2809"/>
      <c r="DI31" s="2809"/>
      <c r="DJ31" s="2809"/>
      <c r="DK31" s="2809"/>
      <c r="DL31" s="2809"/>
      <c r="DM31" s="2809"/>
      <c r="DN31" s="2809"/>
      <c r="DO31" s="2809"/>
      <c r="DP31" s="2809"/>
      <c r="DQ31" s="2809"/>
      <c r="DR31" s="2809"/>
      <c r="DS31" s="2809"/>
      <c r="DT31" s="2809"/>
      <c r="DU31" s="2809"/>
      <c r="DV31" s="2809"/>
      <c r="DW31" s="2809"/>
      <c r="DX31" s="2809"/>
      <c r="DY31" s="2809"/>
      <c r="DZ31" s="2809"/>
      <c r="EA31" s="2809"/>
      <c r="EB31" s="2809"/>
      <c r="EC31" s="2809"/>
      <c r="ED31" s="2809"/>
      <c r="EE31" s="2809"/>
      <c r="EF31" s="2809"/>
      <c r="EG31" s="2809"/>
      <c r="EH31" s="2809"/>
      <c r="EI31" s="2809"/>
      <c r="EJ31" s="2809"/>
      <c r="EK31" s="2809"/>
      <c r="EL31" s="2809"/>
      <c r="EM31" s="2809"/>
      <c r="EN31" s="2809"/>
      <c r="EO31" s="2809"/>
      <c r="EP31" s="2809"/>
      <c r="EQ31" s="2809"/>
      <c r="ER31" s="2809"/>
      <c r="ES31" s="2809"/>
      <c r="ET31" s="2809"/>
      <c r="EU31" s="2809"/>
      <c r="EV31" s="2809"/>
      <c r="EW31" s="2809"/>
      <c r="EX31" s="2809"/>
      <c r="EY31" s="2809"/>
      <c r="EZ31" s="2809"/>
      <c r="FA31" s="2809"/>
      <c r="FB31" s="2809"/>
      <c r="FC31" s="2809"/>
      <c r="FD31" s="2809"/>
      <c r="FE31" s="2809"/>
      <c r="FF31" s="2809"/>
      <c r="FG31" s="2809"/>
      <c r="FH31" s="2809"/>
      <c r="FI31" s="2809"/>
      <c r="FJ31" s="2820"/>
    </row>
    <row r="32" spans="1:166" s="2822" customFormat="1" ht="17.100000000000001" customHeight="1" x14ac:dyDescent="0.25">
      <c r="A32" s="2812" t="s">
        <v>2714</v>
      </c>
      <c r="B32" s="2821">
        <v>262779.5015632147</v>
      </c>
      <c r="C32" s="2821">
        <v>264057.76339828677</v>
      </c>
      <c r="D32" s="2821">
        <v>264776.04770116782</v>
      </c>
      <c r="E32" s="2821">
        <v>265200.44039999519</v>
      </c>
      <c r="F32" s="2821">
        <v>269104.80540743779</v>
      </c>
      <c r="G32" s="2821">
        <v>270106.42494520359</v>
      </c>
      <c r="H32" s="2821">
        <v>264769.68598999013</v>
      </c>
      <c r="I32" s="2821">
        <v>264669.62046290125</v>
      </c>
      <c r="J32" s="2821">
        <v>265976.39699568599</v>
      </c>
      <c r="K32" s="2821">
        <v>269571.33023849851</v>
      </c>
      <c r="L32" s="2821">
        <v>270029.13039542979</v>
      </c>
      <c r="M32" s="2821">
        <v>279886.99483961938</v>
      </c>
      <c r="N32" s="2821">
        <v>279119.75838825299</v>
      </c>
      <c r="O32" s="2821">
        <v>279143.96090258844</v>
      </c>
      <c r="P32" s="2821">
        <v>279033.05188559968</v>
      </c>
      <c r="Q32" s="2821">
        <v>279723.28703053849</v>
      </c>
      <c r="R32" s="2821">
        <v>280000.01104516501</v>
      </c>
      <c r="S32" s="2821">
        <v>286647.83603887563</v>
      </c>
      <c r="T32" s="2821">
        <v>284975.68760065449</v>
      </c>
      <c r="U32" s="2821">
        <v>288194.10910637275</v>
      </c>
      <c r="V32" s="2821">
        <v>289106.27921217348</v>
      </c>
      <c r="W32" s="2821">
        <v>289175.53447019449</v>
      </c>
      <c r="X32" s="2821">
        <v>292816.04205141065</v>
      </c>
      <c r="Y32" s="2821">
        <v>297267.0356254995</v>
      </c>
      <c r="Z32" s="2821">
        <v>296980.53648144862</v>
      </c>
      <c r="AA32" s="2821">
        <v>297392.54275508103</v>
      </c>
      <c r="AB32" s="2821">
        <v>300043.49338473415</v>
      </c>
      <c r="AC32" s="2821">
        <v>300289.76140986924</v>
      </c>
      <c r="AD32" s="2821">
        <v>303466.85046386882</v>
      </c>
      <c r="AE32" s="2821">
        <v>306962.05544932105</v>
      </c>
      <c r="AF32" s="2821">
        <v>307708.81543507014</v>
      </c>
      <c r="AG32" s="2821">
        <v>308071.75529019051</v>
      </c>
      <c r="AH32" s="2821">
        <v>310215.23095012933</v>
      </c>
      <c r="AI32" s="2821">
        <v>313379.31191915669</v>
      </c>
      <c r="AJ32" s="2821">
        <v>315137.22430656629</v>
      </c>
      <c r="AK32" s="2821">
        <v>321473.1614820658</v>
      </c>
      <c r="AL32" s="2821">
        <v>317682.17211174121</v>
      </c>
      <c r="AM32" s="2821">
        <v>321694.93921399117</v>
      </c>
      <c r="AN32" s="2821">
        <v>323809.9441676701</v>
      </c>
      <c r="AO32" s="2821">
        <v>322165.43226985569</v>
      </c>
      <c r="AP32" s="2821">
        <v>322155.49817562092</v>
      </c>
      <c r="AQ32" s="2821">
        <v>326886.59317617537</v>
      </c>
      <c r="AR32" s="2821">
        <v>328319.31068521115</v>
      </c>
      <c r="AS32" s="2821">
        <v>326233.81419469474</v>
      </c>
      <c r="AT32" s="2821">
        <v>325961.08539955295</v>
      </c>
      <c r="AU32" s="2821">
        <v>325273.5265156586</v>
      </c>
      <c r="AV32" s="2821">
        <v>329997.05301319313</v>
      </c>
      <c r="AW32" s="2821">
        <v>339223.05653291399</v>
      </c>
      <c r="AX32" s="2821">
        <v>339885.00907691423</v>
      </c>
      <c r="AY32" s="2821">
        <v>344194.73731778259</v>
      </c>
      <c r="AZ32" s="2821">
        <v>346774.53440549463</v>
      </c>
      <c r="BA32" s="2821">
        <v>348117.7985624203</v>
      </c>
      <c r="BB32" s="2821">
        <v>349455.69587364286</v>
      </c>
      <c r="BC32" s="2821">
        <v>353543.85195621575</v>
      </c>
      <c r="BD32" s="2821">
        <v>352288.15233182034</v>
      </c>
      <c r="BE32" s="2821">
        <v>353822.35197988013</v>
      </c>
      <c r="BF32" s="2821">
        <v>354525.56261211832</v>
      </c>
      <c r="BG32" s="2821">
        <v>360738.60955280316</v>
      </c>
      <c r="BH32" s="2821">
        <v>363488.5939377285</v>
      </c>
      <c r="BI32" s="2821">
        <v>368807.39966870245</v>
      </c>
      <c r="BJ32" s="2821">
        <v>371339.34610959678</v>
      </c>
      <c r="BK32" s="2821">
        <v>375903.78862909717</v>
      </c>
      <c r="BL32" s="2821">
        <v>382688.10021914449</v>
      </c>
      <c r="BM32" s="2821">
        <v>382541.94092201203</v>
      </c>
      <c r="BN32" s="2821">
        <v>384214.44659292855</v>
      </c>
      <c r="BO32" s="2821">
        <v>390950.69252831343</v>
      </c>
      <c r="BP32" s="2821">
        <v>391937.41968210641</v>
      </c>
      <c r="BQ32" s="2821">
        <v>396664.11114246375</v>
      </c>
      <c r="BR32" s="2821">
        <v>395207.15163287392</v>
      </c>
      <c r="BS32" s="2821">
        <v>399456.09791243402</v>
      </c>
      <c r="BT32" s="2821">
        <v>402314.58556001104</v>
      </c>
      <c r="BU32" s="2821">
        <v>405833.20807412814</v>
      </c>
      <c r="BV32" s="2821">
        <v>410894.74005079851</v>
      </c>
      <c r="BW32" s="2821">
        <v>411062.4337523788</v>
      </c>
      <c r="BX32" s="2821">
        <v>411003.53531777876</v>
      </c>
      <c r="BY32" s="2821">
        <v>415303.89044441318</v>
      </c>
      <c r="BZ32" s="2821">
        <v>418219.55332661653</v>
      </c>
      <c r="CA32" s="2821">
        <v>423303.51975117775</v>
      </c>
      <c r="CB32" s="2821">
        <v>428864.33145541447</v>
      </c>
      <c r="CC32" s="2821">
        <v>429428.36075120146</v>
      </c>
      <c r="CD32" s="2821">
        <v>429496.01749830076</v>
      </c>
      <c r="CE32" s="2821">
        <v>434988.71208623721</v>
      </c>
      <c r="CF32" s="2821">
        <v>433639.22775976022</v>
      </c>
      <c r="CG32" s="2821">
        <v>442364.44616217952</v>
      </c>
      <c r="CH32" s="2821">
        <v>448499.33825286059</v>
      </c>
      <c r="CI32" s="2821">
        <v>450716.43873719231</v>
      </c>
      <c r="CJ32" s="2821">
        <v>450990.02541797649</v>
      </c>
      <c r="CK32" s="2821">
        <v>452343.40161049931</v>
      </c>
      <c r="CL32" s="2821">
        <v>459250.08892718429</v>
      </c>
      <c r="CM32" s="2821">
        <v>456427.19202104118</v>
      </c>
      <c r="CN32" s="2821">
        <v>459067.44018989836</v>
      </c>
      <c r="CO32" s="2821">
        <v>461030.86411248631</v>
      </c>
      <c r="CP32" s="2821">
        <v>479119.89097030851</v>
      </c>
      <c r="CQ32" s="2821">
        <v>472736.14482511242</v>
      </c>
      <c r="CR32" s="2821">
        <v>472409.0927920519</v>
      </c>
      <c r="CS32" s="2821">
        <v>482667.74237499374</v>
      </c>
      <c r="CT32" s="2821">
        <v>479564.60623322381</v>
      </c>
      <c r="CU32" s="2821">
        <v>485263.4403891979</v>
      </c>
      <c r="CV32" s="2821">
        <v>484935.02354812616</v>
      </c>
      <c r="CW32" s="2821">
        <v>486766.53321843152</v>
      </c>
      <c r="CX32" s="2821">
        <v>484396.28383912839</v>
      </c>
      <c r="CY32" s="2821">
        <v>488646.41254468495</v>
      </c>
      <c r="CZ32" s="2821">
        <v>482974.75570640434</v>
      </c>
      <c r="DA32" s="2821">
        <v>486271.87387543957</v>
      </c>
      <c r="DB32" s="2821">
        <v>486063.92147704825</v>
      </c>
      <c r="DC32" s="2821">
        <v>494765.46130546415</v>
      </c>
      <c r="DD32" s="2821">
        <v>497703.84770927817</v>
      </c>
      <c r="DE32" s="2821">
        <v>501356.83092613786</v>
      </c>
      <c r="DF32" s="2821">
        <v>503164.31527970801</v>
      </c>
      <c r="DG32" s="2821">
        <v>506776.58363121439</v>
      </c>
      <c r="DH32" s="2821">
        <v>508162.89604003355</v>
      </c>
      <c r="DI32" s="2821">
        <v>510382.89411045646</v>
      </c>
      <c r="DJ32" s="2821">
        <v>509551.59475729236</v>
      </c>
      <c r="DK32" s="2821">
        <v>514782.14480378397</v>
      </c>
      <c r="DL32" s="2821">
        <v>517233.04544242506</v>
      </c>
      <c r="DM32" s="2821">
        <v>516050.38398146792</v>
      </c>
      <c r="DN32" s="2821">
        <v>519613.31267943967</v>
      </c>
      <c r="DO32" s="2821">
        <v>527790.76926851191</v>
      </c>
      <c r="DP32" s="2821">
        <v>534455.57194466633</v>
      </c>
      <c r="DQ32" s="2821">
        <v>539784.93945505237</v>
      </c>
      <c r="DR32" s="2821">
        <v>543758.1933223611</v>
      </c>
      <c r="DS32" s="2821">
        <v>554601.23593174061</v>
      </c>
      <c r="DT32" s="2821">
        <v>566021.82291081338</v>
      </c>
      <c r="DU32" s="2821">
        <v>577255.80593680614</v>
      </c>
      <c r="DV32" s="2821">
        <v>584445.51535116357</v>
      </c>
      <c r="DW32" s="2821">
        <v>589353.00677252514</v>
      </c>
      <c r="DX32" s="2821">
        <v>589622.86503080209</v>
      </c>
      <c r="DY32" s="2821">
        <v>590930.57479682565</v>
      </c>
      <c r="DZ32" s="2821">
        <v>600715.29518075648</v>
      </c>
      <c r="EA32" s="2821">
        <v>635490.68111424567</v>
      </c>
      <c r="EB32" s="2821">
        <v>636114.01375941525</v>
      </c>
      <c r="EC32" s="2821">
        <v>643950.65985319833</v>
      </c>
      <c r="ED32" s="2821">
        <v>649072.31192211073</v>
      </c>
      <c r="EE32" s="2821">
        <v>652503.32544161461</v>
      </c>
      <c r="EF32" s="2821">
        <v>655895.039471681</v>
      </c>
      <c r="EG32" s="2821">
        <v>710021.52493771736</v>
      </c>
      <c r="EH32" s="2821">
        <v>713129.16267262667</v>
      </c>
      <c r="EI32" s="2821">
        <v>713285.31801388564</v>
      </c>
      <c r="EJ32" s="2821">
        <v>721895.31536842976</v>
      </c>
      <c r="EK32" s="2821">
        <v>717336.14175555576</v>
      </c>
      <c r="EL32" s="2821">
        <v>716549.583270384</v>
      </c>
      <c r="EM32" s="2821">
        <v>730502.8386725306</v>
      </c>
      <c r="EN32" s="2821">
        <v>732180.74769634171</v>
      </c>
      <c r="EO32" s="2821">
        <v>707251.08193738665</v>
      </c>
      <c r="EP32" s="2821">
        <v>704911.10822224524</v>
      </c>
      <c r="EQ32" s="2821">
        <v>710052.72464979789</v>
      </c>
      <c r="ER32" s="2821">
        <v>717902.99853352003</v>
      </c>
      <c r="ES32" s="2821">
        <v>714184.60536599765</v>
      </c>
      <c r="ET32" s="2821">
        <v>708633.48754141119</v>
      </c>
      <c r="EU32" s="2821">
        <v>728679.01846400532</v>
      </c>
      <c r="EV32" s="2821">
        <v>735431.91950310906</v>
      </c>
      <c r="EW32" s="2821">
        <v>725433.76342562516</v>
      </c>
      <c r="EX32" s="2821">
        <v>731346.29352501407</v>
      </c>
      <c r="EY32" s="2821">
        <v>731812.48010559834</v>
      </c>
      <c r="EZ32" s="2821">
        <v>738913.13640797953</v>
      </c>
      <c r="FA32" s="2821">
        <v>746928.76222787751</v>
      </c>
      <c r="FB32" s="2821">
        <v>760504.39036684262</v>
      </c>
      <c r="FC32" s="2821">
        <v>771354.35564448358</v>
      </c>
      <c r="FD32" s="2821">
        <v>766804.5748980738</v>
      </c>
      <c r="FE32" s="2821">
        <v>757015.37307204865</v>
      </c>
      <c r="FF32" s="2821">
        <v>753330.58215097152</v>
      </c>
      <c r="FG32" s="2821">
        <v>767050.97253791941</v>
      </c>
      <c r="FH32" s="2821">
        <v>781464.69885216607</v>
      </c>
      <c r="FI32" s="2821">
        <v>783019.40250671993</v>
      </c>
      <c r="FJ32" s="2820"/>
    </row>
    <row r="33" spans="1:166" ht="17.100000000000001" customHeight="1" x14ac:dyDescent="0.25">
      <c r="A33" s="2807" t="s">
        <v>2715</v>
      </c>
      <c r="B33" s="2809">
        <v>213521.08369421167</v>
      </c>
      <c r="C33" s="2809">
        <v>214152.52219590041</v>
      </c>
      <c r="D33" s="2809">
        <v>214996.89740597483</v>
      </c>
      <c r="E33" s="2809">
        <v>216068.66031839768</v>
      </c>
      <c r="F33" s="2809">
        <v>218565.43243162055</v>
      </c>
      <c r="G33" s="2809">
        <v>219744.42829505008</v>
      </c>
      <c r="H33" s="2809">
        <v>220026.54403680007</v>
      </c>
      <c r="I33" s="2809">
        <v>219522.36123575034</v>
      </c>
      <c r="J33" s="2809">
        <v>223006.83569222022</v>
      </c>
      <c r="K33" s="2809">
        <v>224565.69035535166</v>
      </c>
      <c r="L33" s="2809">
        <v>227322.56248384828</v>
      </c>
      <c r="M33" s="2809">
        <v>233793.48419983912</v>
      </c>
      <c r="N33" s="2809">
        <v>232896.93570251323</v>
      </c>
      <c r="O33" s="2809">
        <v>233587.29308369145</v>
      </c>
      <c r="P33" s="2809">
        <v>233430.08036890274</v>
      </c>
      <c r="Q33" s="2809">
        <v>235733.74221987731</v>
      </c>
      <c r="R33" s="2809">
        <v>235292.93225596426</v>
      </c>
      <c r="S33" s="2809">
        <v>239285.97167290945</v>
      </c>
      <c r="T33" s="2809">
        <v>239686.7516539924</v>
      </c>
      <c r="U33" s="2809">
        <v>241762.08585902042</v>
      </c>
      <c r="V33" s="2809">
        <v>243785.04594335333</v>
      </c>
      <c r="W33" s="2809">
        <v>244785.86623858049</v>
      </c>
      <c r="X33" s="2809">
        <v>246774.50444475445</v>
      </c>
      <c r="Y33" s="2809">
        <v>252351.37967126927</v>
      </c>
      <c r="Z33" s="2809">
        <v>251074.05522328083</v>
      </c>
      <c r="AA33" s="2809">
        <v>251274.87608042461</v>
      </c>
      <c r="AB33" s="2809">
        <v>254185.33444486526</v>
      </c>
      <c r="AC33" s="2809">
        <v>253833.36365588987</v>
      </c>
      <c r="AD33" s="2809">
        <v>255425.76570462392</v>
      </c>
      <c r="AE33" s="2809">
        <v>257808.53456294621</v>
      </c>
      <c r="AF33" s="2809">
        <v>259251.55818388495</v>
      </c>
      <c r="AG33" s="2809">
        <v>260172.38056515891</v>
      </c>
      <c r="AH33" s="2809">
        <v>262817.61866149365</v>
      </c>
      <c r="AI33" s="2809">
        <v>265685.06515032356</v>
      </c>
      <c r="AJ33" s="2809">
        <v>266845.83043018705</v>
      </c>
      <c r="AK33" s="2809">
        <v>273700.65408594679</v>
      </c>
      <c r="AL33" s="2809">
        <v>272175.75214871624</v>
      </c>
      <c r="AM33" s="2809">
        <v>275407.04238395503</v>
      </c>
      <c r="AN33" s="2809">
        <v>277346.35851650289</v>
      </c>
      <c r="AO33" s="2809">
        <v>275625.55968584697</v>
      </c>
      <c r="AP33" s="2809">
        <v>275817.62297859474</v>
      </c>
      <c r="AQ33" s="2809">
        <v>279725.38262216351</v>
      </c>
      <c r="AR33" s="2809">
        <v>281168.70816883206</v>
      </c>
      <c r="AS33" s="2809">
        <v>279220.67769182712</v>
      </c>
      <c r="AT33" s="2809">
        <v>278938.85514650441</v>
      </c>
      <c r="AU33" s="2809">
        <v>281126.22713029268</v>
      </c>
      <c r="AV33" s="2809">
        <v>284577.17221535498</v>
      </c>
      <c r="AW33" s="2809">
        <v>292239.93514942372</v>
      </c>
      <c r="AX33" s="2809">
        <v>293301.91346407199</v>
      </c>
      <c r="AY33" s="2809">
        <v>296922.706717967</v>
      </c>
      <c r="AZ33" s="2809">
        <v>297774.71599538618</v>
      </c>
      <c r="BA33" s="2809">
        <v>299610.84284902748</v>
      </c>
      <c r="BB33" s="2809">
        <v>300842.119230679</v>
      </c>
      <c r="BC33" s="2809">
        <v>304026.26109071745</v>
      </c>
      <c r="BD33" s="2809">
        <v>303694.53967249679</v>
      </c>
      <c r="BE33" s="2809">
        <v>304959.77667235408</v>
      </c>
      <c r="BF33" s="2809">
        <v>304788.46004529129</v>
      </c>
      <c r="BG33" s="2809">
        <v>309195.26034288359</v>
      </c>
      <c r="BH33" s="2809">
        <v>312595.0378667335</v>
      </c>
      <c r="BI33" s="2809">
        <v>315928.37547089229</v>
      </c>
      <c r="BJ33" s="2809">
        <v>317313.51560598653</v>
      </c>
      <c r="BK33" s="2809">
        <v>319149.10425981949</v>
      </c>
      <c r="BL33" s="2809">
        <v>321415.93491189805</v>
      </c>
      <c r="BM33" s="2809">
        <v>323925.42465895909</v>
      </c>
      <c r="BN33" s="2809">
        <v>327291.49538695271</v>
      </c>
      <c r="BO33" s="2809">
        <v>331546.6572541935</v>
      </c>
      <c r="BP33" s="2809">
        <v>331888.50616126024</v>
      </c>
      <c r="BQ33" s="2809">
        <v>333104.72531767166</v>
      </c>
      <c r="BR33" s="2809">
        <v>333950.8097552968</v>
      </c>
      <c r="BS33" s="2809">
        <v>336355.88035406766</v>
      </c>
      <c r="BT33" s="2809">
        <v>334947.85481433308</v>
      </c>
      <c r="BU33" s="2809">
        <v>340382.34104877291</v>
      </c>
      <c r="BV33" s="2809">
        <v>344561.44557284965</v>
      </c>
      <c r="BW33" s="2809">
        <v>344333.73861898226</v>
      </c>
      <c r="BX33" s="2809">
        <v>345155.05724248721</v>
      </c>
      <c r="BY33" s="2809">
        <v>348137.16686652356</v>
      </c>
      <c r="BZ33" s="2809">
        <v>349003.384800356</v>
      </c>
      <c r="CA33" s="2809">
        <v>354277.1888720229</v>
      </c>
      <c r="CB33" s="2809">
        <v>359250.40112428821</v>
      </c>
      <c r="CC33" s="2809">
        <v>358254.62756738212</v>
      </c>
      <c r="CD33" s="2809">
        <v>360409.1292259834</v>
      </c>
      <c r="CE33" s="2809">
        <v>362058.77726732404</v>
      </c>
      <c r="CF33" s="2809">
        <v>363418.64994330367</v>
      </c>
      <c r="CG33" s="2809">
        <v>370421.8685497737</v>
      </c>
      <c r="CH33" s="2809">
        <v>371795.26211189845</v>
      </c>
      <c r="CI33" s="2809">
        <v>375430.56392913277</v>
      </c>
      <c r="CJ33" s="2809">
        <v>374828.36321020662</v>
      </c>
      <c r="CK33" s="2809">
        <v>374963.7468177625</v>
      </c>
      <c r="CL33" s="2809">
        <v>376820.62604355684</v>
      </c>
      <c r="CM33" s="2809">
        <v>378235.04925993888</v>
      </c>
      <c r="CN33" s="2809">
        <v>381727.34615589271</v>
      </c>
      <c r="CO33" s="2809">
        <v>383297.05028324784</v>
      </c>
      <c r="CP33" s="2809">
        <v>393274.2198047163</v>
      </c>
      <c r="CQ33" s="2809">
        <v>392801.23869676382</v>
      </c>
      <c r="CR33" s="2809">
        <v>392498.83864456031</v>
      </c>
      <c r="CS33" s="2809">
        <v>402595.47519923234</v>
      </c>
      <c r="CT33" s="2809">
        <v>402068.72158102668</v>
      </c>
      <c r="CU33" s="2809">
        <v>404902.86070235434</v>
      </c>
      <c r="CV33" s="2809">
        <v>403892.89173214865</v>
      </c>
      <c r="CW33" s="2809">
        <v>403198.88798027206</v>
      </c>
      <c r="CX33" s="2809">
        <v>400170.78264582035</v>
      </c>
      <c r="CY33" s="2809">
        <v>402559.80232859822</v>
      </c>
      <c r="CZ33" s="2809">
        <v>398545.98182793421</v>
      </c>
      <c r="DA33" s="2809">
        <v>399885.37566679617</v>
      </c>
      <c r="DB33" s="2809">
        <v>401129.99403478671</v>
      </c>
      <c r="DC33" s="2809">
        <v>405909.8991193031</v>
      </c>
      <c r="DD33" s="2809">
        <v>409157.41910667333</v>
      </c>
      <c r="DE33" s="2809">
        <v>412277.16296210728</v>
      </c>
      <c r="DF33" s="2809">
        <v>413954.62327104452</v>
      </c>
      <c r="DG33" s="2809">
        <v>415347.72805608716</v>
      </c>
      <c r="DH33" s="2809">
        <v>416746.47042478342</v>
      </c>
      <c r="DI33" s="2809">
        <v>416905.59199882706</v>
      </c>
      <c r="DJ33" s="2809">
        <v>417016.23017847474</v>
      </c>
      <c r="DK33" s="2809">
        <v>421675.57124950312</v>
      </c>
      <c r="DL33" s="2809">
        <v>421609.68825040915</v>
      </c>
      <c r="DM33" s="2809">
        <v>420306.24850470253</v>
      </c>
      <c r="DN33" s="2809">
        <v>419950.11007934174</v>
      </c>
      <c r="DO33" s="2809">
        <v>424667.4332815705</v>
      </c>
      <c r="DP33" s="2809">
        <v>430092.00263252715</v>
      </c>
      <c r="DQ33" s="2809">
        <v>436287.2349872021</v>
      </c>
      <c r="DR33" s="2809">
        <v>439939.0333575845</v>
      </c>
      <c r="DS33" s="2809">
        <v>449251.6302752241</v>
      </c>
      <c r="DT33" s="2809">
        <v>452251.28667232883</v>
      </c>
      <c r="DU33" s="2809">
        <v>457571.28964476561</v>
      </c>
      <c r="DV33" s="2809">
        <v>464536.40528024867</v>
      </c>
      <c r="DW33" s="2809">
        <v>467655.95106603578</v>
      </c>
      <c r="DX33" s="2809">
        <v>471762.73893901333</v>
      </c>
      <c r="DY33" s="2809">
        <v>468424.93314883218</v>
      </c>
      <c r="DZ33" s="2809">
        <v>475307.92274957534</v>
      </c>
      <c r="EA33" s="2809">
        <v>508217.56825418083</v>
      </c>
      <c r="EB33" s="2809">
        <v>507835.76845324051</v>
      </c>
      <c r="EC33" s="2809">
        <v>515340.35422207887</v>
      </c>
      <c r="ED33" s="2809">
        <v>517343.49007352057</v>
      </c>
      <c r="EE33" s="2809">
        <v>519011.55036969681</v>
      </c>
      <c r="EF33" s="2809">
        <v>521879.12150753057</v>
      </c>
      <c r="EG33" s="2809">
        <v>563766.10044026328</v>
      </c>
      <c r="EH33" s="2809">
        <v>565151.15645439585</v>
      </c>
      <c r="EI33" s="2809">
        <v>572271.5668224328</v>
      </c>
      <c r="EJ33" s="2809">
        <v>579012.45981192379</v>
      </c>
      <c r="EK33" s="2809">
        <v>574533.12581408024</v>
      </c>
      <c r="EL33" s="2809">
        <v>573176.01392643247</v>
      </c>
      <c r="EM33" s="2809">
        <v>582976.67551263946</v>
      </c>
      <c r="EN33" s="2809">
        <v>581645.77694145474</v>
      </c>
      <c r="EO33" s="2809">
        <v>559288.5509709249</v>
      </c>
      <c r="EP33" s="2809">
        <v>557017.16494230332</v>
      </c>
      <c r="EQ33" s="2809">
        <v>559636.8794563968</v>
      </c>
      <c r="ER33" s="2809">
        <v>565917.97840020643</v>
      </c>
      <c r="ES33" s="2809">
        <v>559370.58168543025</v>
      </c>
      <c r="ET33" s="2809">
        <v>557321.00306165498</v>
      </c>
      <c r="EU33" s="2809">
        <v>570230.69140563498</v>
      </c>
      <c r="EV33" s="2809">
        <v>575453.32191149855</v>
      </c>
      <c r="EW33" s="2809">
        <v>570467.51922133763</v>
      </c>
      <c r="EX33" s="2809">
        <v>576368.22348355176</v>
      </c>
      <c r="EY33" s="2809">
        <v>573122.88307187951</v>
      </c>
      <c r="EZ33" s="2809">
        <v>572564.93016451783</v>
      </c>
      <c r="FA33" s="2809">
        <v>580126.74003432586</v>
      </c>
      <c r="FB33" s="2809">
        <v>585975.31417809753</v>
      </c>
      <c r="FC33" s="2809">
        <v>589546.0153705437</v>
      </c>
      <c r="FD33" s="2809">
        <v>588177.25472881587</v>
      </c>
      <c r="FE33" s="2809">
        <v>583159.12475819909</v>
      </c>
      <c r="FF33" s="2809">
        <v>578734.3941135233</v>
      </c>
      <c r="FG33" s="2809">
        <v>589200.86484235956</v>
      </c>
      <c r="FH33" s="2809">
        <v>601751.8585561259</v>
      </c>
      <c r="FI33" s="2809">
        <v>605271.90671055473</v>
      </c>
      <c r="FJ33" s="2820"/>
    </row>
    <row r="34" spans="1:166" ht="17.100000000000001" customHeight="1" x14ac:dyDescent="0.25">
      <c r="A34" s="2807" t="s">
        <v>2716</v>
      </c>
      <c r="B34" s="2809">
        <v>49258.417869002995</v>
      </c>
      <c r="C34" s="2809">
        <v>49905.241202386365</v>
      </c>
      <c r="D34" s="2809">
        <v>49779.150295192965</v>
      </c>
      <c r="E34" s="2809">
        <v>49131.780081597477</v>
      </c>
      <c r="F34" s="2809">
        <v>50539.372975817263</v>
      </c>
      <c r="G34" s="2809">
        <v>50361.996650153487</v>
      </c>
      <c r="H34" s="2809">
        <v>44743.141953190068</v>
      </c>
      <c r="I34" s="2809">
        <v>45147.25922715092</v>
      </c>
      <c r="J34" s="2809">
        <v>42969.561303465794</v>
      </c>
      <c r="K34" s="2809">
        <v>45005.639883146825</v>
      </c>
      <c r="L34" s="2809">
        <v>42706.567911581544</v>
      </c>
      <c r="M34" s="2809">
        <v>46093.510639780267</v>
      </c>
      <c r="N34" s="2809">
        <v>46222.822685739731</v>
      </c>
      <c r="O34" s="2809">
        <v>45556.667818897025</v>
      </c>
      <c r="P34" s="2809">
        <v>45602.971516696918</v>
      </c>
      <c r="Q34" s="2809">
        <v>43989.544810661188</v>
      </c>
      <c r="R34" s="2809">
        <v>44707.07878920075</v>
      </c>
      <c r="S34" s="2809">
        <v>47361.864365966161</v>
      </c>
      <c r="T34" s="2809">
        <v>45288.935946662117</v>
      </c>
      <c r="U34" s="2809">
        <v>46432.023247352321</v>
      </c>
      <c r="V34" s="2809">
        <v>45321.233268820164</v>
      </c>
      <c r="W34" s="2809">
        <v>44389.668231614007</v>
      </c>
      <c r="X34" s="2809">
        <v>46041.537606656202</v>
      </c>
      <c r="Y34" s="2809">
        <v>44915.655954230228</v>
      </c>
      <c r="Z34" s="2809">
        <v>45906.481258167805</v>
      </c>
      <c r="AA34" s="2809">
        <v>46117.66667465643</v>
      </c>
      <c r="AB34" s="2809">
        <v>45858.158939868867</v>
      </c>
      <c r="AC34" s="2809">
        <v>46456.39775397937</v>
      </c>
      <c r="AD34" s="2809">
        <v>48041.084759244921</v>
      </c>
      <c r="AE34" s="2809">
        <v>49153.52088637487</v>
      </c>
      <c r="AF34" s="2809">
        <v>48457.25725118519</v>
      </c>
      <c r="AG34" s="2809">
        <v>47899.374725031601</v>
      </c>
      <c r="AH34" s="2809">
        <v>47397.612288635704</v>
      </c>
      <c r="AI34" s="2809">
        <v>47694.246768833138</v>
      </c>
      <c r="AJ34" s="2809">
        <v>48291.393876379254</v>
      </c>
      <c r="AK34" s="2809">
        <v>47772.507396118992</v>
      </c>
      <c r="AL34" s="2809">
        <v>45506.419963024957</v>
      </c>
      <c r="AM34" s="2809">
        <v>46287.896830036152</v>
      </c>
      <c r="AN34" s="2809">
        <v>46463.585651167188</v>
      </c>
      <c r="AO34" s="2809">
        <v>46539.872584008735</v>
      </c>
      <c r="AP34" s="2809">
        <v>46337.875197026187</v>
      </c>
      <c r="AQ34" s="2809">
        <v>47161.210554011886</v>
      </c>
      <c r="AR34" s="2809">
        <v>47150.602516379113</v>
      </c>
      <c r="AS34" s="2809">
        <v>47013.13650286763</v>
      </c>
      <c r="AT34" s="2809">
        <v>47022.230253048561</v>
      </c>
      <c r="AU34" s="2809">
        <v>44147.299385365928</v>
      </c>
      <c r="AV34" s="2809">
        <v>45419.880797838174</v>
      </c>
      <c r="AW34" s="2809">
        <v>46983.121383490296</v>
      </c>
      <c r="AX34" s="2809">
        <v>46583.095612842248</v>
      </c>
      <c r="AY34" s="2809">
        <v>47272.030599815611</v>
      </c>
      <c r="AZ34" s="2809">
        <v>48999.81841010847</v>
      </c>
      <c r="BA34" s="2809">
        <v>48506.955713392825</v>
      </c>
      <c r="BB34" s="2809">
        <v>48613.576642963882</v>
      </c>
      <c r="BC34" s="2809">
        <v>49517.590865498278</v>
      </c>
      <c r="BD34" s="2809">
        <v>48593.612659323546</v>
      </c>
      <c r="BE34" s="2809">
        <v>48862.575307526073</v>
      </c>
      <c r="BF34" s="2809">
        <v>49737.102566827001</v>
      </c>
      <c r="BG34" s="2809">
        <v>51543.349209919579</v>
      </c>
      <c r="BH34" s="2809">
        <v>50893.556070995015</v>
      </c>
      <c r="BI34" s="2809">
        <v>52879.024197810155</v>
      </c>
      <c r="BJ34" s="2809">
        <v>54025.830503610283</v>
      </c>
      <c r="BK34" s="2809">
        <v>56754.684369277653</v>
      </c>
      <c r="BL34" s="2809">
        <v>61272.165307246447</v>
      </c>
      <c r="BM34" s="2809">
        <v>58616.516263052945</v>
      </c>
      <c r="BN34" s="2809">
        <v>56922.951205975849</v>
      </c>
      <c r="BO34" s="2809">
        <v>59404.035274119953</v>
      </c>
      <c r="BP34" s="2809">
        <v>60048.913520846174</v>
      </c>
      <c r="BQ34" s="2809">
        <v>63559.385824792058</v>
      </c>
      <c r="BR34" s="2809">
        <v>61256.341877577128</v>
      </c>
      <c r="BS34" s="2809">
        <v>63100.217558366363</v>
      </c>
      <c r="BT34" s="2809">
        <v>67366.730745677953</v>
      </c>
      <c r="BU34" s="2809">
        <v>65450.867025355248</v>
      </c>
      <c r="BV34" s="2809">
        <v>66333.29447794889</v>
      </c>
      <c r="BW34" s="2809">
        <v>66728.695133396541</v>
      </c>
      <c r="BX34" s="2809">
        <v>65848.478075291554</v>
      </c>
      <c r="BY34" s="2809">
        <v>67166.723577889585</v>
      </c>
      <c r="BZ34" s="2809">
        <v>69216.168526260561</v>
      </c>
      <c r="CA34" s="2809">
        <v>69026.330879154833</v>
      </c>
      <c r="CB34" s="2809">
        <v>69613.930331126248</v>
      </c>
      <c r="CC34" s="2809">
        <v>71173.73318381935</v>
      </c>
      <c r="CD34" s="2809">
        <v>69086.888272317388</v>
      </c>
      <c r="CE34" s="2809">
        <v>72929.934818913185</v>
      </c>
      <c r="CF34" s="2809">
        <v>70220.577816456527</v>
      </c>
      <c r="CG34" s="2809">
        <v>71942.577612405832</v>
      </c>
      <c r="CH34" s="2809">
        <v>76704.076140962148</v>
      </c>
      <c r="CI34" s="2809">
        <v>75285.874808059525</v>
      </c>
      <c r="CJ34" s="2809">
        <v>76161.66220776987</v>
      </c>
      <c r="CK34" s="2809">
        <v>77379.654792736823</v>
      </c>
      <c r="CL34" s="2809">
        <v>82429.462883627435</v>
      </c>
      <c r="CM34" s="2809">
        <v>78192.142761102295</v>
      </c>
      <c r="CN34" s="2809">
        <v>77340.09403400564</v>
      </c>
      <c r="CO34" s="2809">
        <v>77733.813829238454</v>
      </c>
      <c r="CP34" s="2809">
        <v>85845.671165592197</v>
      </c>
      <c r="CQ34" s="2809">
        <v>79934.906128348637</v>
      </c>
      <c r="CR34" s="2809">
        <v>79910.254147491592</v>
      </c>
      <c r="CS34" s="2809">
        <v>80072.267175761386</v>
      </c>
      <c r="CT34" s="2809">
        <v>77495.884652197128</v>
      </c>
      <c r="CU34" s="2809">
        <v>80360.579686843557</v>
      </c>
      <c r="CV34" s="2809">
        <v>81042.131815977496</v>
      </c>
      <c r="CW34" s="2809">
        <v>83567.645238159472</v>
      </c>
      <c r="CX34" s="2809">
        <v>84225.501193308024</v>
      </c>
      <c r="CY34" s="2809">
        <v>86086.610216086716</v>
      </c>
      <c r="CZ34" s="2809">
        <v>84428.773878470151</v>
      </c>
      <c r="DA34" s="2809">
        <v>86386.498208643417</v>
      </c>
      <c r="DB34" s="2809">
        <v>84933.927442261527</v>
      </c>
      <c r="DC34" s="2809">
        <v>88855.562186161042</v>
      </c>
      <c r="DD34" s="2809">
        <v>88546.428602604836</v>
      </c>
      <c r="DE34" s="2809">
        <v>89079.667964030567</v>
      </c>
      <c r="DF34" s="2809">
        <v>89209.692008663493</v>
      </c>
      <c r="DG34" s="2809">
        <v>91428.855575127222</v>
      </c>
      <c r="DH34" s="2809">
        <v>91416.425615250162</v>
      </c>
      <c r="DI34" s="2809">
        <v>93477.302111629368</v>
      </c>
      <c r="DJ34" s="2809">
        <v>92535.364578817622</v>
      </c>
      <c r="DK34" s="2809">
        <v>93106.573554280825</v>
      </c>
      <c r="DL34" s="2809">
        <v>95623.357192015887</v>
      </c>
      <c r="DM34" s="2809">
        <v>95744.135476765383</v>
      </c>
      <c r="DN34" s="2809">
        <v>99663.202600097924</v>
      </c>
      <c r="DO34" s="2809">
        <v>103123.3359869414</v>
      </c>
      <c r="DP34" s="2809">
        <v>104363.56931213924</v>
      </c>
      <c r="DQ34" s="2809">
        <v>103497.70446785023</v>
      </c>
      <c r="DR34" s="2809">
        <v>103819.15996477655</v>
      </c>
      <c r="DS34" s="2809">
        <v>105349.60565651649</v>
      </c>
      <c r="DT34" s="2809">
        <v>113770.53623848449</v>
      </c>
      <c r="DU34" s="2809">
        <v>119684.51629204056</v>
      </c>
      <c r="DV34" s="2809">
        <v>119909.11007091495</v>
      </c>
      <c r="DW34" s="2809">
        <v>121697.05570648938</v>
      </c>
      <c r="DX34" s="2809">
        <v>117860.12609178873</v>
      </c>
      <c r="DY34" s="2809">
        <v>122505.64164799343</v>
      </c>
      <c r="DZ34" s="2809">
        <v>125407.37243118114</v>
      </c>
      <c r="EA34" s="2809">
        <v>127273.11286006481</v>
      </c>
      <c r="EB34" s="2809">
        <v>128278.24530617477</v>
      </c>
      <c r="EC34" s="2809">
        <v>128610.30563111944</v>
      </c>
      <c r="ED34" s="2809">
        <v>131728.82184859013</v>
      </c>
      <c r="EE34" s="2809">
        <v>133491.7750719178</v>
      </c>
      <c r="EF34" s="2809">
        <v>134015.91796415037</v>
      </c>
      <c r="EG34" s="2809">
        <v>146255.42449745408</v>
      </c>
      <c r="EH34" s="2809">
        <v>147978.00621823082</v>
      </c>
      <c r="EI34" s="2809">
        <v>141013.75119145281</v>
      </c>
      <c r="EJ34" s="2809">
        <v>142882.85555650597</v>
      </c>
      <c r="EK34" s="2809">
        <v>142803.01594147558</v>
      </c>
      <c r="EL34" s="2809">
        <v>143373.56934395153</v>
      </c>
      <c r="EM34" s="2809">
        <v>147526.16315989112</v>
      </c>
      <c r="EN34" s="2809">
        <v>150534.97075488692</v>
      </c>
      <c r="EO34" s="2809">
        <v>147962.53096646181</v>
      </c>
      <c r="EP34" s="2809">
        <v>147893.94327994197</v>
      </c>
      <c r="EQ34" s="2809">
        <v>150415.84519340115</v>
      </c>
      <c r="ER34" s="2809">
        <v>151985.02013331364</v>
      </c>
      <c r="ES34" s="2809">
        <v>154814.02368056739</v>
      </c>
      <c r="ET34" s="2809">
        <v>151312.48447975624</v>
      </c>
      <c r="EU34" s="2809">
        <v>158448.3270583704</v>
      </c>
      <c r="EV34" s="2809">
        <v>159978.59759161054</v>
      </c>
      <c r="EW34" s="2809">
        <v>154966.24420428759</v>
      </c>
      <c r="EX34" s="2809">
        <v>154978.07004146234</v>
      </c>
      <c r="EY34" s="2809">
        <v>158689.59703371883</v>
      </c>
      <c r="EZ34" s="2809">
        <v>166348.20624346167</v>
      </c>
      <c r="FA34" s="2809">
        <v>166802.0221935517</v>
      </c>
      <c r="FB34" s="2809">
        <v>174529.07618874506</v>
      </c>
      <c r="FC34" s="2809">
        <v>181808.34027393983</v>
      </c>
      <c r="FD34" s="2809">
        <v>178627.32016925793</v>
      </c>
      <c r="FE34" s="2809">
        <v>173856.24831384953</v>
      </c>
      <c r="FF34" s="2809">
        <v>174596.18803744827</v>
      </c>
      <c r="FG34" s="2809">
        <v>177850.1076955598</v>
      </c>
      <c r="FH34" s="2809">
        <v>179712.84029604011</v>
      </c>
      <c r="FI34" s="2809">
        <v>177747.49579616523</v>
      </c>
      <c r="FJ34" s="2820"/>
    </row>
    <row r="35" spans="1:166" s="2822" customFormat="1" ht="17.100000000000001" customHeight="1" x14ac:dyDescent="0.25">
      <c r="A35" s="2812"/>
      <c r="B35" s="2821"/>
      <c r="C35" s="2821"/>
      <c r="D35" s="2821"/>
      <c r="E35" s="2821"/>
      <c r="F35" s="2821"/>
      <c r="G35" s="2821"/>
      <c r="H35" s="2821"/>
      <c r="I35" s="2821"/>
      <c r="J35" s="2821"/>
      <c r="K35" s="2821"/>
      <c r="L35" s="2821"/>
      <c r="M35" s="2821"/>
      <c r="N35" s="2821"/>
      <c r="O35" s="2821"/>
      <c r="P35" s="2821"/>
      <c r="Q35" s="2821"/>
      <c r="R35" s="2821"/>
      <c r="S35" s="2821"/>
      <c r="T35" s="2821"/>
      <c r="U35" s="2821"/>
      <c r="V35" s="2821"/>
      <c r="W35" s="2821"/>
      <c r="X35" s="2821"/>
      <c r="Y35" s="2821"/>
      <c r="Z35" s="2821"/>
      <c r="AA35" s="2821"/>
      <c r="AB35" s="2821"/>
      <c r="AC35" s="2821"/>
      <c r="AD35" s="2821"/>
      <c r="AE35" s="2821"/>
      <c r="AF35" s="2821"/>
      <c r="AG35" s="2821"/>
      <c r="AH35" s="2821"/>
      <c r="AI35" s="2821"/>
      <c r="AJ35" s="2821"/>
      <c r="AK35" s="2821"/>
      <c r="AL35" s="2821"/>
      <c r="AM35" s="2821"/>
      <c r="AN35" s="2821"/>
      <c r="AO35" s="2821"/>
      <c r="AP35" s="2821"/>
      <c r="AQ35" s="2821"/>
      <c r="AR35" s="2821"/>
      <c r="AS35" s="2821"/>
      <c r="AT35" s="2821"/>
      <c r="AU35" s="2821"/>
      <c r="AV35" s="2821"/>
      <c r="AW35" s="2821"/>
      <c r="AX35" s="2821"/>
      <c r="AY35" s="2821"/>
      <c r="AZ35" s="2821"/>
      <c r="BA35" s="2821"/>
      <c r="BB35" s="2821"/>
      <c r="BC35" s="2821"/>
      <c r="BD35" s="2821"/>
      <c r="BE35" s="2821"/>
      <c r="BF35" s="2821"/>
      <c r="BG35" s="2821"/>
      <c r="BH35" s="2821"/>
      <c r="BI35" s="2821"/>
      <c r="BJ35" s="2821"/>
      <c r="BK35" s="2821"/>
      <c r="BL35" s="2821"/>
      <c r="BM35" s="2821"/>
      <c r="BN35" s="2821"/>
      <c r="BO35" s="2821"/>
      <c r="BP35" s="2821"/>
      <c r="BQ35" s="2821"/>
      <c r="BR35" s="2821"/>
      <c r="BS35" s="2821"/>
      <c r="BT35" s="2821"/>
      <c r="BU35" s="2821"/>
      <c r="BV35" s="2821"/>
      <c r="BW35" s="2821"/>
      <c r="BX35" s="2821"/>
      <c r="BY35" s="2821"/>
      <c r="BZ35" s="2821"/>
      <c r="CA35" s="2821"/>
      <c r="CB35" s="2821"/>
      <c r="CC35" s="2821"/>
      <c r="CD35" s="2821"/>
      <c r="CE35" s="2821"/>
      <c r="CF35" s="2821"/>
      <c r="CG35" s="2821"/>
      <c r="CH35" s="2821"/>
      <c r="CI35" s="2821"/>
      <c r="CJ35" s="2821"/>
      <c r="CK35" s="2821"/>
      <c r="CL35" s="2821"/>
      <c r="CM35" s="2821"/>
      <c r="CN35" s="2821"/>
      <c r="CO35" s="2821"/>
      <c r="CP35" s="2821"/>
      <c r="CQ35" s="2821"/>
      <c r="CR35" s="2821"/>
      <c r="CS35" s="2821"/>
      <c r="CT35" s="2821"/>
      <c r="CU35" s="2821"/>
      <c r="CV35" s="2821"/>
      <c r="CW35" s="2821"/>
      <c r="CX35" s="2821"/>
      <c r="CY35" s="2821"/>
      <c r="CZ35" s="2821"/>
      <c r="DA35" s="2821"/>
      <c r="DB35" s="2821"/>
      <c r="DC35" s="2821"/>
      <c r="DD35" s="2821"/>
      <c r="DE35" s="2821"/>
      <c r="DF35" s="2821"/>
      <c r="DG35" s="2821"/>
      <c r="DH35" s="2821"/>
      <c r="DI35" s="2821"/>
      <c r="DJ35" s="2821"/>
      <c r="DK35" s="2821"/>
      <c r="DL35" s="2821"/>
      <c r="DM35" s="2821"/>
      <c r="DN35" s="2821"/>
      <c r="DO35" s="2821"/>
      <c r="DP35" s="2821"/>
      <c r="DQ35" s="2821"/>
      <c r="DR35" s="2821"/>
      <c r="DS35" s="2821"/>
      <c r="DT35" s="2821"/>
      <c r="DU35" s="2821"/>
      <c r="DV35" s="2821"/>
      <c r="DW35" s="2821"/>
      <c r="DX35" s="2821"/>
      <c r="DY35" s="2821"/>
      <c r="DZ35" s="2821"/>
      <c r="EA35" s="2821"/>
      <c r="EB35" s="2821"/>
      <c r="EC35" s="2821"/>
      <c r="ED35" s="2821"/>
      <c r="EE35" s="2821"/>
      <c r="EF35" s="2821"/>
      <c r="EG35" s="2821"/>
      <c r="EH35" s="2821"/>
      <c r="EI35" s="2821"/>
      <c r="EJ35" s="2821"/>
      <c r="EK35" s="2821"/>
      <c r="EL35" s="2821"/>
      <c r="EM35" s="2821"/>
      <c r="EN35" s="2821"/>
      <c r="EO35" s="2821"/>
      <c r="EP35" s="2821"/>
      <c r="EQ35" s="2821"/>
      <c r="ER35" s="2821"/>
      <c r="ES35" s="2821"/>
      <c r="ET35" s="2821"/>
      <c r="EU35" s="2821"/>
      <c r="EV35" s="2821"/>
      <c r="EW35" s="2821"/>
      <c r="EX35" s="2821"/>
      <c r="EY35" s="2821"/>
      <c r="EZ35" s="2821"/>
      <c r="FA35" s="2821"/>
      <c r="FB35" s="2821"/>
      <c r="FC35" s="2821"/>
      <c r="FD35" s="2821"/>
      <c r="FE35" s="2821"/>
      <c r="FF35" s="2821"/>
      <c r="FG35" s="2821"/>
      <c r="FH35" s="2821"/>
      <c r="FI35" s="2821"/>
      <c r="FJ35" s="2820"/>
    </row>
    <row r="36" spans="1:166" ht="17.100000000000001" customHeight="1" x14ac:dyDescent="0.25">
      <c r="A36" s="2812" t="s">
        <v>2717</v>
      </c>
      <c r="B36" s="2813">
        <v>783.64372534999995</v>
      </c>
      <c r="C36" s="2813">
        <v>795.03426162999995</v>
      </c>
      <c r="D36" s="2813">
        <v>806.36142286999996</v>
      </c>
      <c r="E36" s="2813">
        <v>817.11920386999998</v>
      </c>
      <c r="F36" s="2813">
        <v>829.69099342999993</v>
      </c>
      <c r="G36" s="2813">
        <v>841.75958768999999</v>
      </c>
      <c r="H36" s="2813">
        <v>841.34192214999996</v>
      </c>
      <c r="I36" s="2813">
        <v>1154.4623700399998</v>
      </c>
      <c r="J36" s="2813">
        <v>1363.0654015</v>
      </c>
      <c r="K36" s="2813">
        <v>1373.6286405800001</v>
      </c>
      <c r="L36" s="2813">
        <v>1384.20574319</v>
      </c>
      <c r="M36" s="2813">
        <v>1369.3863073</v>
      </c>
      <c r="N36" s="2813">
        <v>1426.2743159300001</v>
      </c>
      <c r="O36" s="2813">
        <v>1476.03948885</v>
      </c>
      <c r="P36" s="2813">
        <v>1630.0385137999997</v>
      </c>
      <c r="Q36" s="2813">
        <v>1689.9994090199998</v>
      </c>
      <c r="R36" s="2813">
        <v>1899.85599727</v>
      </c>
      <c r="S36" s="2813">
        <v>2063.3104229999999</v>
      </c>
      <c r="T36" s="2813">
        <v>2372.3748750300001</v>
      </c>
      <c r="U36" s="2813">
        <v>2306.47121625</v>
      </c>
      <c r="V36" s="2813">
        <v>2056.6709448299998</v>
      </c>
      <c r="W36" s="2813">
        <v>2116.2009389599998</v>
      </c>
      <c r="X36" s="2813">
        <v>2051.2235128499997</v>
      </c>
      <c r="Y36" s="2813">
        <v>1961.8478761899999</v>
      </c>
      <c r="Z36" s="2813">
        <v>1984.6860037900001</v>
      </c>
      <c r="AA36" s="2813">
        <v>1995.9486257499998</v>
      </c>
      <c r="AB36" s="2813">
        <v>2005.9441404300003</v>
      </c>
      <c r="AC36" s="2813">
        <v>1992.1532479099997</v>
      </c>
      <c r="AD36" s="2813">
        <v>1849.5591248699998</v>
      </c>
      <c r="AE36" s="2813">
        <v>1875.3351060299997</v>
      </c>
      <c r="AF36" s="2813">
        <v>1936.5029719600002</v>
      </c>
      <c r="AG36" s="2813">
        <v>1851.673110803793</v>
      </c>
      <c r="AH36" s="2813">
        <v>1814.6462352099998</v>
      </c>
      <c r="AI36" s="2813">
        <v>1721.5765366799997</v>
      </c>
      <c r="AJ36" s="2813">
        <v>1805.74863611</v>
      </c>
      <c r="AK36" s="2813">
        <v>1974.3166444399999</v>
      </c>
      <c r="AL36" s="2813">
        <v>2262.4435178399999</v>
      </c>
      <c r="AM36" s="2813">
        <v>2351.3082030999999</v>
      </c>
      <c r="AN36" s="2813">
        <v>3448.7304686399993</v>
      </c>
      <c r="AO36" s="2813">
        <v>3743.5864957599997</v>
      </c>
      <c r="AP36" s="2813">
        <v>3999.3408676136651</v>
      </c>
      <c r="AQ36" s="2813">
        <v>3965.7390630241857</v>
      </c>
      <c r="AR36" s="2813">
        <v>3805.2291209016812</v>
      </c>
      <c r="AS36" s="2813">
        <v>4196.5119901589333</v>
      </c>
      <c r="AT36" s="2813">
        <v>3873.9655759735083</v>
      </c>
      <c r="AU36" s="2813">
        <v>3834.4420223342331</v>
      </c>
      <c r="AV36" s="2813">
        <v>3807.9246632170971</v>
      </c>
      <c r="AW36" s="2813">
        <v>3068.9962040941982</v>
      </c>
      <c r="AX36" s="2813">
        <v>2829.7994003941976</v>
      </c>
      <c r="AY36" s="2813">
        <v>2794.3926927264838</v>
      </c>
      <c r="AZ36" s="2813">
        <v>2913.4585715098992</v>
      </c>
      <c r="BA36" s="2813">
        <v>2839.1386935717792</v>
      </c>
      <c r="BB36" s="2813">
        <v>3255.5148564524297</v>
      </c>
      <c r="BC36" s="2813">
        <v>3227.4135863002011</v>
      </c>
      <c r="BD36" s="2813">
        <v>3261.284114974846</v>
      </c>
      <c r="BE36" s="2813">
        <v>3183.1414728874179</v>
      </c>
      <c r="BF36" s="2813">
        <v>3162.2660737335982</v>
      </c>
      <c r="BG36" s="2813">
        <v>3168.5560858585532</v>
      </c>
      <c r="BH36" s="2813">
        <v>3301.3535812006594</v>
      </c>
      <c r="BI36" s="2813">
        <v>3357.9791846648477</v>
      </c>
      <c r="BJ36" s="2813">
        <v>4496.627362015477</v>
      </c>
      <c r="BK36" s="2813">
        <v>4535.0995045407535</v>
      </c>
      <c r="BL36" s="2813">
        <v>4442.2773463772428</v>
      </c>
      <c r="BM36" s="2813">
        <v>3612.6871511249556</v>
      </c>
      <c r="BN36" s="2813">
        <v>3482.7200483611373</v>
      </c>
      <c r="BO36" s="2813">
        <v>3433.9104956339547</v>
      </c>
      <c r="BP36" s="2813">
        <v>3740.5348717135103</v>
      </c>
      <c r="BQ36" s="2813">
        <v>4282.2870050452148</v>
      </c>
      <c r="BR36" s="2813">
        <v>4240.0883480011971</v>
      </c>
      <c r="BS36" s="2813">
        <v>4097.1532527337404</v>
      </c>
      <c r="BT36" s="2813">
        <v>4311.319879260267</v>
      </c>
      <c r="BU36" s="2813">
        <v>4528</v>
      </c>
      <c r="BV36" s="2813">
        <v>4461.3404523252648</v>
      </c>
      <c r="BW36" s="2813">
        <v>5017.5877982776055</v>
      </c>
      <c r="BX36" s="2813">
        <v>5262.5803928261712</v>
      </c>
      <c r="BY36" s="2813">
        <v>5353.4526379026456</v>
      </c>
      <c r="BZ36" s="2813">
        <v>5256.0764080971458</v>
      </c>
      <c r="CA36" s="2813">
        <v>5408.7092345139299</v>
      </c>
      <c r="CB36" s="2813">
        <v>5491.2462259029944</v>
      </c>
      <c r="CC36" s="2813">
        <v>5436.6706351267985</v>
      </c>
      <c r="CD36" s="2813">
        <v>5544.8631686256003</v>
      </c>
      <c r="CE36" s="2813">
        <v>5553.879623126265</v>
      </c>
      <c r="CF36" s="2813">
        <v>5564.8910241680105</v>
      </c>
      <c r="CG36" s="2813">
        <v>5693.2150896204776</v>
      </c>
      <c r="CH36" s="2813">
        <v>5527.0617560315086</v>
      </c>
      <c r="CI36" s="2813">
        <v>5732.7160480058883</v>
      </c>
      <c r="CJ36" s="2813">
        <v>5853.7965146864262</v>
      </c>
      <c r="CK36" s="2813">
        <v>5815.0072680430085</v>
      </c>
      <c r="CL36" s="2813">
        <v>5734.4835843124411</v>
      </c>
      <c r="CM36" s="2813">
        <v>6609.3673211767855</v>
      </c>
      <c r="CN36" s="2813">
        <v>7072.2057372340641</v>
      </c>
      <c r="CO36" s="2813">
        <v>6686.930092383277</v>
      </c>
      <c r="CP36" s="2813">
        <v>6665.215872617171</v>
      </c>
      <c r="CQ36" s="2813">
        <v>7408.4961447948253</v>
      </c>
      <c r="CR36" s="2813">
        <v>7407.8599867863122</v>
      </c>
      <c r="CS36" s="2813">
        <v>7196.7073722327259</v>
      </c>
      <c r="CT36" s="2813">
        <v>7230.9232202344692</v>
      </c>
      <c r="CU36" s="2813">
        <v>9137.6931534317901</v>
      </c>
      <c r="CV36" s="2813">
        <v>14330.722787116316</v>
      </c>
      <c r="CW36" s="2813">
        <v>17249.681833727274</v>
      </c>
      <c r="CX36" s="2813">
        <v>19118.262837352169</v>
      </c>
      <c r="CY36" s="2813">
        <v>19903.838705227441</v>
      </c>
      <c r="CZ36" s="2813">
        <v>21538.073019094274</v>
      </c>
      <c r="DA36" s="2813">
        <v>20669.349258329887</v>
      </c>
      <c r="DB36" s="2813">
        <v>22012.365536176865</v>
      </c>
      <c r="DC36" s="2813">
        <v>20875.81786602833</v>
      </c>
      <c r="DD36" s="2813">
        <v>20263.142446436872</v>
      </c>
      <c r="DE36" s="2813">
        <v>21899.842264582279</v>
      </c>
      <c r="DF36" s="2813">
        <v>21850.370016168483</v>
      </c>
      <c r="DG36" s="2813">
        <v>23248.572223132323</v>
      </c>
      <c r="DH36" s="2813">
        <v>24828.777496793307</v>
      </c>
      <c r="DI36" s="2813">
        <v>25147.064418188154</v>
      </c>
      <c r="DJ36" s="2813">
        <v>24904.207664737729</v>
      </c>
      <c r="DK36" s="2813">
        <v>26982.781655601542</v>
      </c>
      <c r="DL36" s="2813">
        <v>27150.945244588518</v>
      </c>
      <c r="DM36" s="2813">
        <v>27059.47992788527</v>
      </c>
      <c r="DN36" s="2813">
        <v>26345.787149204461</v>
      </c>
      <c r="DO36" s="2813">
        <v>26795.295921734403</v>
      </c>
      <c r="DP36" s="2813">
        <v>26450.778124003409</v>
      </c>
      <c r="DQ36" s="2813">
        <v>26822.853961766399</v>
      </c>
      <c r="DR36" s="2813">
        <v>26859.219633909466</v>
      </c>
      <c r="DS36" s="2813">
        <v>24636.230833551264</v>
      </c>
      <c r="DT36" s="2813">
        <v>23424.709441082585</v>
      </c>
      <c r="DU36" s="2813">
        <v>22177.866305366384</v>
      </c>
      <c r="DV36" s="2813">
        <v>19227.589534369341</v>
      </c>
      <c r="DW36" s="2813">
        <v>18843.372285949888</v>
      </c>
      <c r="DX36" s="2813">
        <v>19201.188432612289</v>
      </c>
      <c r="DY36" s="2813">
        <v>18736.923989354444</v>
      </c>
      <c r="DZ36" s="2813">
        <v>19016.635811612556</v>
      </c>
      <c r="EA36" s="2813">
        <v>21450.662145877915</v>
      </c>
      <c r="EB36" s="2813">
        <v>21751.216181135442</v>
      </c>
      <c r="EC36" s="2813">
        <v>20031.561868459889</v>
      </c>
      <c r="ED36" s="2813">
        <v>20614.299203660394</v>
      </c>
      <c r="EE36" s="2813">
        <v>19879.918539375511</v>
      </c>
      <c r="EF36" s="2813">
        <v>15883.987602071098</v>
      </c>
      <c r="EG36" s="2813">
        <v>13557.896337997494</v>
      </c>
      <c r="EH36" s="2813">
        <v>12828.920650047221</v>
      </c>
      <c r="EI36" s="2813">
        <v>12653.919407783218</v>
      </c>
      <c r="EJ36" s="2813">
        <v>12246.044642381976</v>
      </c>
      <c r="EK36" s="2813">
        <v>12373.695670944551</v>
      </c>
      <c r="EL36" s="2813">
        <v>11811.52549387279</v>
      </c>
      <c r="EM36" s="2813">
        <v>11554.23733883728</v>
      </c>
      <c r="EN36" s="2813">
        <v>15469.11639745494</v>
      </c>
      <c r="EO36" s="2813">
        <v>15054.262504957507</v>
      </c>
      <c r="EP36" s="2813">
        <v>16746.851276577505</v>
      </c>
      <c r="EQ36" s="2813">
        <v>15413.076274118244</v>
      </c>
      <c r="ER36" s="2813">
        <v>15188.962094308788</v>
      </c>
      <c r="ES36" s="2813">
        <v>12791.689213444419</v>
      </c>
      <c r="ET36" s="2813">
        <v>12456.371564930005</v>
      </c>
      <c r="EU36" s="2813">
        <v>12444.314617936809</v>
      </c>
      <c r="EV36" s="2813">
        <v>11188.363583198265</v>
      </c>
      <c r="EW36" s="2813">
        <v>10671.107364928288</v>
      </c>
      <c r="EX36" s="2813">
        <v>7362.5520215804936</v>
      </c>
      <c r="EY36" s="2813">
        <v>9264.6670586601813</v>
      </c>
      <c r="EZ36" s="2813">
        <v>11911.633529555258</v>
      </c>
      <c r="FA36" s="2813">
        <v>11555.727311760433</v>
      </c>
      <c r="FB36" s="2813">
        <v>5740.1505726454407</v>
      </c>
      <c r="FC36" s="2813">
        <v>6038.5554979610215</v>
      </c>
      <c r="FD36" s="2813">
        <v>8894.4755486745689</v>
      </c>
      <c r="FE36" s="2813">
        <v>9169.8648963834821</v>
      </c>
      <c r="FF36" s="2813">
        <v>11281.317329242671</v>
      </c>
      <c r="FG36" s="2813">
        <v>12680.494734395881</v>
      </c>
      <c r="FH36" s="2813">
        <v>4257.9446385535803</v>
      </c>
      <c r="FI36" s="2813">
        <v>4386.2872362574544</v>
      </c>
      <c r="FJ36" s="2820"/>
    </row>
    <row r="37" spans="1:166" ht="17.100000000000001" customHeight="1" x14ac:dyDescent="0.25">
      <c r="A37" s="2807"/>
      <c r="B37" s="2809"/>
      <c r="C37" s="2809"/>
      <c r="D37" s="2809"/>
      <c r="E37" s="2809"/>
      <c r="F37" s="2809"/>
      <c r="G37" s="2809"/>
      <c r="H37" s="2809"/>
      <c r="I37" s="2809"/>
      <c r="J37" s="2809"/>
      <c r="K37" s="2809"/>
      <c r="L37" s="2809"/>
      <c r="M37" s="2809"/>
      <c r="N37" s="2809"/>
      <c r="O37" s="2809"/>
      <c r="P37" s="2809"/>
      <c r="Q37" s="2809"/>
      <c r="R37" s="2809"/>
      <c r="S37" s="2809"/>
      <c r="T37" s="2809"/>
      <c r="U37" s="2809"/>
      <c r="V37" s="2809"/>
      <c r="W37" s="2809"/>
      <c r="X37" s="2809"/>
      <c r="Y37" s="2809"/>
      <c r="Z37" s="2809"/>
      <c r="AA37" s="2809"/>
      <c r="AB37" s="2809"/>
      <c r="AC37" s="2809"/>
      <c r="AD37" s="2809"/>
      <c r="AE37" s="2809"/>
      <c r="AF37" s="2809"/>
      <c r="AG37" s="2809"/>
      <c r="AH37" s="2809"/>
      <c r="AI37" s="2809"/>
      <c r="AJ37" s="2809"/>
      <c r="AK37" s="2809"/>
      <c r="AL37" s="2809"/>
      <c r="AM37" s="2809"/>
      <c r="AN37" s="2809"/>
      <c r="AO37" s="2809"/>
      <c r="AP37" s="2809"/>
      <c r="AQ37" s="2809"/>
      <c r="AR37" s="2809"/>
      <c r="AS37" s="2809"/>
      <c r="AT37" s="2809"/>
      <c r="AU37" s="2809"/>
      <c r="AV37" s="2809"/>
      <c r="AW37" s="2809"/>
      <c r="AX37" s="2809"/>
      <c r="AY37" s="2809"/>
      <c r="AZ37" s="2809"/>
      <c r="BA37" s="2809"/>
      <c r="BB37" s="2809"/>
      <c r="BC37" s="2809"/>
      <c r="BD37" s="2809"/>
      <c r="BE37" s="2809"/>
      <c r="BF37" s="2809"/>
      <c r="BG37" s="2809"/>
      <c r="BH37" s="2809"/>
      <c r="BI37" s="2809"/>
      <c r="BJ37" s="2809"/>
      <c r="BK37" s="2809"/>
      <c r="BL37" s="2809"/>
      <c r="BM37" s="2809"/>
      <c r="BN37" s="2809"/>
      <c r="BO37" s="2809"/>
      <c r="BP37" s="2809"/>
      <c r="BQ37" s="2809"/>
      <c r="BR37" s="2809"/>
      <c r="BS37" s="2809"/>
      <c r="BT37" s="2809"/>
      <c r="BU37" s="2809"/>
      <c r="BV37" s="2809"/>
      <c r="BW37" s="2809"/>
      <c r="BX37" s="2809"/>
      <c r="BY37" s="2809"/>
      <c r="BZ37" s="2809"/>
      <c r="CA37" s="2809"/>
      <c r="CB37" s="2809"/>
      <c r="CC37" s="2809"/>
      <c r="CD37" s="2809"/>
      <c r="CE37" s="2809"/>
      <c r="CF37" s="2809"/>
      <c r="CG37" s="2809"/>
      <c r="CH37" s="2809"/>
      <c r="CI37" s="2809"/>
      <c r="CJ37" s="2809"/>
      <c r="CK37" s="2809"/>
      <c r="CL37" s="2809"/>
      <c r="CM37" s="2809"/>
      <c r="CN37" s="2809"/>
      <c r="CO37" s="2809"/>
      <c r="CP37" s="2809"/>
      <c r="CQ37" s="2809"/>
      <c r="CR37" s="2809"/>
      <c r="CS37" s="2809"/>
      <c r="CT37" s="2809"/>
      <c r="CU37" s="2809"/>
      <c r="CV37" s="2809"/>
      <c r="CW37" s="2809"/>
      <c r="CX37" s="2809"/>
      <c r="CY37" s="2809"/>
      <c r="CZ37" s="2809"/>
      <c r="DA37" s="2809"/>
      <c r="DB37" s="2809"/>
      <c r="DC37" s="2809"/>
      <c r="DD37" s="2809"/>
      <c r="DE37" s="2809"/>
      <c r="DF37" s="2809"/>
      <c r="DG37" s="2809"/>
      <c r="DH37" s="2809"/>
      <c r="DI37" s="2809"/>
      <c r="DJ37" s="2809"/>
      <c r="DK37" s="2809"/>
      <c r="DL37" s="2809"/>
      <c r="DM37" s="2809"/>
      <c r="DN37" s="2809"/>
      <c r="DO37" s="2809"/>
      <c r="DP37" s="2809"/>
      <c r="DQ37" s="2809"/>
      <c r="DR37" s="2809"/>
      <c r="DS37" s="2809"/>
      <c r="DT37" s="2809"/>
      <c r="DU37" s="2809"/>
      <c r="DV37" s="2809"/>
      <c r="DW37" s="2809"/>
      <c r="DX37" s="2809"/>
      <c r="DY37" s="2809"/>
      <c r="DZ37" s="2809"/>
      <c r="EA37" s="2809"/>
      <c r="EB37" s="2809"/>
      <c r="EC37" s="2809"/>
      <c r="ED37" s="2809"/>
      <c r="EE37" s="2809"/>
      <c r="EF37" s="2809"/>
      <c r="EG37" s="2809"/>
      <c r="EH37" s="2809"/>
      <c r="EI37" s="2809"/>
      <c r="EJ37" s="2809"/>
      <c r="EK37" s="2809"/>
      <c r="EL37" s="2809"/>
      <c r="EM37" s="2809"/>
      <c r="EN37" s="2809"/>
      <c r="EO37" s="2809"/>
      <c r="EP37" s="2809"/>
      <c r="EQ37" s="2809"/>
      <c r="ER37" s="2809"/>
      <c r="ES37" s="2809"/>
      <c r="ET37" s="2809"/>
      <c r="EU37" s="2809"/>
      <c r="EV37" s="2809"/>
      <c r="EW37" s="2809"/>
      <c r="EX37" s="2809"/>
      <c r="EY37" s="2809"/>
      <c r="EZ37" s="2809"/>
      <c r="FA37" s="2809"/>
      <c r="FB37" s="2809"/>
      <c r="FC37" s="2809"/>
      <c r="FD37" s="2809"/>
      <c r="FE37" s="2809"/>
      <c r="FF37" s="2809"/>
      <c r="FG37" s="2809"/>
      <c r="FH37" s="2809"/>
      <c r="FI37" s="2809"/>
      <c r="FJ37" s="2820"/>
    </row>
    <row r="38" spans="1:166" ht="17.100000000000001" customHeight="1" x14ac:dyDescent="0.25">
      <c r="A38" s="2812" t="s">
        <v>2718</v>
      </c>
      <c r="B38" s="2813">
        <v>279735.10531540611</v>
      </c>
      <c r="C38" s="2813">
        <v>280832.71616430732</v>
      </c>
      <c r="D38" s="2813">
        <v>281427.58380275639</v>
      </c>
      <c r="E38" s="2813">
        <v>282053.88717788778</v>
      </c>
      <c r="F38" s="2813">
        <v>286161.75081736076</v>
      </c>
      <c r="G38" s="2813">
        <v>286852.74157677882</v>
      </c>
      <c r="H38" s="2813">
        <v>281980.74913940526</v>
      </c>
      <c r="I38" s="2813">
        <v>282105.32767522556</v>
      </c>
      <c r="J38" s="2813">
        <v>283581.44315563812</v>
      </c>
      <c r="K38" s="2813">
        <v>287418.95498439169</v>
      </c>
      <c r="L38" s="2813">
        <v>288135.77511421102</v>
      </c>
      <c r="M38" s="2813">
        <v>300231.38741758832</v>
      </c>
      <c r="N38" s="2813">
        <v>298556.62578708364</v>
      </c>
      <c r="O38" s="2813">
        <v>298369.33004481444</v>
      </c>
      <c r="P38" s="2813">
        <v>298155.49753263156</v>
      </c>
      <c r="Q38" s="2813">
        <v>299059.78403224458</v>
      </c>
      <c r="R38" s="2813">
        <v>299494.6394816144</v>
      </c>
      <c r="S38" s="2813">
        <v>306227.71741607366</v>
      </c>
      <c r="T38" s="2813">
        <v>305393.34314475307</v>
      </c>
      <c r="U38" s="2813">
        <v>308770.06989294151</v>
      </c>
      <c r="V38" s="2813">
        <v>309120.82380339794</v>
      </c>
      <c r="W38" s="2813">
        <v>309586.03971583769</v>
      </c>
      <c r="X38" s="2813">
        <v>312758.67268372775</v>
      </c>
      <c r="Y38" s="2813">
        <v>319536.66994800227</v>
      </c>
      <c r="Z38" s="2813">
        <v>318174.79569418327</v>
      </c>
      <c r="AA38" s="2813">
        <v>318311.5135005904</v>
      </c>
      <c r="AB38" s="2813">
        <v>321028.13302254636</v>
      </c>
      <c r="AC38" s="2813">
        <v>321243.46464984748</v>
      </c>
      <c r="AD38" s="2813">
        <v>323994.44183544995</v>
      </c>
      <c r="AE38" s="2813">
        <v>327851.02421752224</v>
      </c>
      <c r="AF38" s="2813">
        <v>328873.35024287179</v>
      </c>
      <c r="AG38" s="2813">
        <v>329210.58830269566</v>
      </c>
      <c r="AH38" s="2813">
        <v>331263.67529123969</v>
      </c>
      <c r="AI38" s="2813">
        <v>334358.44301515532</v>
      </c>
      <c r="AJ38" s="2813">
        <v>336572.52553336316</v>
      </c>
      <c r="AK38" s="2813">
        <v>345617.19551340822</v>
      </c>
      <c r="AL38" s="2813">
        <v>340908.92052914313</v>
      </c>
      <c r="AM38" s="2813">
        <v>344826.53440251609</v>
      </c>
      <c r="AN38" s="2813">
        <v>348245.69090443774</v>
      </c>
      <c r="AO38" s="2813">
        <v>346565.10847846704</v>
      </c>
      <c r="AP38" s="2813">
        <v>346712.14590246271</v>
      </c>
      <c r="AQ38" s="2813">
        <v>351375.81885802944</v>
      </c>
      <c r="AR38" s="2813">
        <v>352944.69968920405</v>
      </c>
      <c r="AS38" s="2813">
        <v>351417.83862996532</v>
      </c>
      <c r="AT38" s="2813">
        <v>350499.23615290475</v>
      </c>
      <c r="AU38" s="2813">
        <v>349810.86009880248</v>
      </c>
      <c r="AV38" s="2813">
        <v>354693.08322884841</v>
      </c>
      <c r="AW38" s="2813">
        <v>365608.73772902408</v>
      </c>
      <c r="AX38" s="2813">
        <v>364980.69233736565</v>
      </c>
      <c r="AY38" s="2813">
        <v>369066.6968826761</v>
      </c>
      <c r="AZ38" s="2813">
        <v>371778.39312112686</v>
      </c>
      <c r="BA38" s="2813">
        <v>372675.47367760964</v>
      </c>
      <c r="BB38" s="2813">
        <v>374448.43718937907</v>
      </c>
      <c r="BC38" s="2813">
        <v>378456.25837457663</v>
      </c>
      <c r="BD38" s="2813">
        <v>377725.22592014022</v>
      </c>
      <c r="BE38" s="2813">
        <v>379201.60618379345</v>
      </c>
      <c r="BF38" s="2813">
        <v>379536.06867122138</v>
      </c>
      <c r="BG38" s="2813">
        <v>386009.67288569763</v>
      </c>
      <c r="BH38" s="2813">
        <v>389293.57228882506</v>
      </c>
      <c r="BI38" s="2813">
        <v>397556.54743014229</v>
      </c>
      <c r="BJ38" s="2813">
        <v>399865.77736164053</v>
      </c>
      <c r="BK38" s="2813">
        <v>404452.45097584795</v>
      </c>
      <c r="BL38" s="2813">
        <v>410915.24788448896</v>
      </c>
      <c r="BM38" s="2813">
        <v>410066.84698475094</v>
      </c>
      <c r="BN38" s="2813">
        <v>411917.76295781799</v>
      </c>
      <c r="BO38" s="2813">
        <v>418402.10404157941</v>
      </c>
      <c r="BP38" s="2813">
        <v>420266.19606512645</v>
      </c>
      <c r="BQ38" s="2813">
        <v>425740.73306717834</v>
      </c>
      <c r="BR38" s="2813">
        <v>423801.82017970318</v>
      </c>
      <c r="BS38" s="2813">
        <v>428368.77910129965</v>
      </c>
      <c r="BT38" s="2813">
        <v>431628.14552528458</v>
      </c>
      <c r="BU38" s="2813">
        <v>437999.20807412814</v>
      </c>
      <c r="BV38" s="2813">
        <v>441887.17765523668</v>
      </c>
      <c r="BW38" s="2813">
        <v>442606.92125446937</v>
      </c>
      <c r="BX38" s="2813">
        <v>442449.85457323806</v>
      </c>
      <c r="BY38" s="2813">
        <v>446911.8578143706</v>
      </c>
      <c r="BZ38" s="2813">
        <v>449648.89126058266</v>
      </c>
      <c r="CA38" s="2813">
        <v>454966.19312587625</v>
      </c>
      <c r="CB38" s="2813">
        <v>461117.73776384653</v>
      </c>
      <c r="CC38" s="2813">
        <v>461430.80908152502</v>
      </c>
      <c r="CD38" s="2813">
        <v>461720.45506848267</v>
      </c>
      <c r="CE38" s="2813">
        <v>467628.51267994742</v>
      </c>
      <c r="CF38" s="2813">
        <v>466181.98963053385</v>
      </c>
      <c r="CG38" s="2813">
        <v>477788.91236580064</v>
      </c>
      <c r="CH38" s="2813">
        <v>482530.18293943547</v>
      </c>
      <c r="CI38" s="2813">
        <v>484802.94406992162</v>
      </c>
      <c r="CJ38" s="2813">
        <v>485070.61657241191</v>
      </c>
      <c r="CK38" s="2813">
        <v>486422.52761427267</v>
      </c>
      <c r="CL38" s="2813">
        <v>493022.68238882167</v>
      </c>
      <c r="CM38" s="2813">
        <v>491497.02935467474</v>
      </c>
      <c r="CN38" s="2813">
        <v>494871.72102887114</v>
      </c>
      <c r="CO38" s="2813">
        <v>496265.33256421407</v>
      </c>
      <c r="CP38" s="2813">
        <v>514343.58042900887</v>
      </c>
      <c r="CQ38" s="2813">
        <v>508989.03301648167</v>
      </c>
      <c r="CR38" s="2813">
        <v>508936.52725764259</v>
      </c>
      <c r="CS38" s="2813">
        <v>522082.88855707523</v>
      </c>
      <c r="CT38" s="2813">
        <v>517698.19551605923</v>
      </c>
      <c r="CU38" s="2813">
        <v>525005.68763654598</v>
      </c>
      <c r="CV38" s="2813">
        <v>529215.21339422092</v>
      </c>
      <c r="CW38" s="2813">
        <v>533321.65716028947</v>
      </c>
      <c r="CX38" s="2813">
        <v>532406.12408800714</v>
      </c>
      <c r="CY38" s="2813">
        <v>537637.90350697201</v>
      </c>
      <c r="CZ38" s="2813">
        <v>533730.18510533066</v>
      </c>
      <c r="DA38" s="2813">
        <v>536045.54619934526</v>
      </c>
      <c r="DB38" s="2813">
        <v>537076.40459591278</v>
      </c>
      <c r="DC38" s="2813">
        <v>544713.22111905226</v>
      </c>
      <c r="DD38" s="2813">
        <v>547078.01010348136</v>
      </c>
      <c r="DE38" s="2813">
        <v>554892.69632883603</v>
      </c>
      <c r="DF38" s="2813">
        <v>554908.23577923037</v>
      </c>
      <c r="DG38" s="2813">
        <v>559637.26738361549</v>
      </c>
      <c r="DH38" s="2813">
        <v>562978.93241245963</v>
      </c>
      <c r="DI38" s="2813">
        <v>565338.49062105233</v>
      </c>
      <c r="DJ38" s="2813">
        <v>564329.58136491163</v>
      </c>
      <c r="DK38" s="2813">
        <v>571821.25441540615</v>
      </c>
      <c r="DL38" s="2813">
        <v>574711.70473376976</v>
      </c>
      <c r="DM38" s="2813">
        <v>573609.46124614414</v>
      </c>
      <c r="DN38" s="2813">
        <v>576579.80937112018</v>
      </c>
      <c r="DO38" s="2813">
        <v>586220.9455710582</v>
      </c>
      <c r="DP38" s="2813">
        <v>592579.06939322886</v>
      </c>
      <c r="DQ38" s="2813">
        <v>601973.23458341032</v>
      </c>
      <c r="DR38" s="2813">
        <v>604264.38169844472</v>
      </c>
      <c r="DS38" s="2813">
        <v>612966.7983084236</v>
      </c>
      <c r="DT38" s="2813">
        <v>623487.74252911506</v>
      </c>
      <c r="DU38" s="2813">
        <v>634874.85028223682</v>
      </c>
      <c r="DV38" s="2813">
        <v>640638.5183000121</v>
      </c>
      <c r="DW38" s="2813">
        <v>644329.59710239817</v>
      </c>
      <c r="DX38" s="2813">
        <v>645173.52177810215</v>
      </c>
      <c r="DY38" s="2813">
        <v>646149.29340344633</v>
      </c>
      <c r="DZ38" s="2813">
        <v>655899.11789156613</v>
      </c>
      <c r="EA38" s="2813">
        <v>693565.16370723839</v>
      </c>
      <c r="EB38" s="2813">
        <v>694772.90107514313</v>
      </c>
      <c r="EC38" s="2813">
        <v>703592.72573349939</v>
      </c>
      <c r="ED38" s="2813">
        <v>708184.36570888816</v>
      </c>
      <c r="EE38" s="2813">
        <v>710613.30748368683</v>
      </c>
      <c r="EF38" s="2813">
        <v>710709.83976267208</v>
      </c>
      <c r="EG38" s="2813">
        <v>763284.38256650825</v>
      </c>
      <c r="EH38" s="2813">
        <v>765919.0235516103</v>
      </c>
      <c r="EI38" s="2813">
        <v>765365.56867240334</v>
      </c>
      <c r="EJ38" s="2813">
        <v>773835.9068505317</v>
      </c>
      <c r="EK38" s="2813">
        <v>769296.78973335284</v>
      </c>
      <c r="EL38" s="2813">
        <v>767716.76423805137</v>
      </c>
      <c r="EM38" s="2813">
        <v>782458.03764073062</v>
      </c>
      <c r="EN38" s="2813">
        <v>788282.67900455184</v>
      </c>
      <c r="EO38" s="2813">
        <v>765847.35978355131</v>
      </c>
      <c r="EP38" s="2813">
        <v>764204.14486669202</v>
      </c>
      <c r="EQ38" s="2813">
        <v>768035.02426829399</v>
      </c>
      <c r="ER38" s="2813">
        <v>775331.26731230051</v>
      </c>
      <c r="ES38" s="2813">
        <v>769858.87439460622</v>
      </c>
      <c r="ET38" s="2813">
        <v>763721.85087153711</v>
      </c>
      <c r="EU38" s="2813">
        <v>783584.47113963857</v>
      </c>
      <c r="EV38" s="2813">
        <v>789783.61028951243</v>
      </c>
      <c r="EW38" s="2813">
        <v>779201.14906607033</v>
      </c>
      <c r="EX38" s="2813">
        <v>782023.78613180749</v>
      </c>
      <c r="EY38" s="2813">
        <v>785082.11652708706</v>
      </c>
      <c r="EZ38" s="2813">
        <v>794819.17949063063</v>
      </c>
      <c r="FA38" s="2813">
        <v>806105.09928664903</v>
      </c>
      <c r="FB38" s="2813">
        <v>812542.30665421113</v>
      </c>
      <c r="FC38" s="2813">
        <v>823542.31480631756</v>
      </c>
      <c r="FD38" s="2813">
        <v>821910.22135618166</v>
      </c>
      <c r="FE38" s="2813">
        <v>812790.9789603774</v>
      </c>
      <c r="FF38" s="2813">
        <v>810594.25145861565</v>
      </c>
      <c r="FG38" s="2813">
        <v>825804.36065696459</v>
      </c>
      <c r="FH38" s="2813">
        <v>832338.27446425695</v>
      </c>
      <c r="FI38" s="2813">
        <v>834013.33256910986</v>
      </c>
      <c r="FJ38" s="2820"/>
    </row>
    <row r="39" spans="1:166" ht="17.100000000000001" customHeight="1" thickBot="1" x14ac:dyDescent="0.3">
      <c r="A39" s="2807"/>
      <c r="B39" s="2823"/>
      <c r="C39" s="2823"/>
      <c r="D39" s="2823"/>
      <c r="E39" s="2823"/>
      <c r="F39" s="2823"/>
      <c r="G39" s="2823"/>
      <c r="H39" s="2823"/>
      <c r="I39" s="2823"/>
      <c r="J39" s="2823"/>
      <c r="K39" s="2823"/>
      <c r="L39" s="2823"/>
      <c r="M39" s="2823"/>
      <c r="N39" s="2823"/>
      <c r="O39" s="2823"/>
      <c r="P39" s="2823"/>
      <c r="Q39" s="2823"/>
      <c r="R39" s="2823"/>
      <c r="S39" s="2823"/>
      <c r="T39" s="2823"/>
      <c r="U39" s="2823"/>
      <c r="V39" s="2823"/>
      <c r="W39" s="2823"/>
      <c r="X39" s="2823"/>
      <c r="Y39" s="2823"/>
      <c r="Z39" s="2823"/>
      <c r="AA39" s="2823"/>
      <c r="AB39" s="2823"/>
      <c r="AC39" s="2823"/>
      <c r="AD39" s="2823"/>
      <c r="AE39" s="2823"/>
      <c r="AF39" s="2823"/>
      <c r="AG39" s="2823"/>
      <c r="AH39" s="2823"/>
      <c r="AI39" s="2823"/>
      <c r="AJ39" s="2823"/>
      <c r="AK39" s="2823"/>
      <c r="AL39" s="2823"/>
      <c r="AM39" s="2823"/>
      <c r="AN39" s="2823"/>
      <c r="AO39" s="2823"/>
      <c r="AP39" s="2823"/>
      <c r="AQ39" s="2823"/>
      <c r="AR39" s="2823"/>
      <c r="AS39" s="2823"/>
      <c r="AT39" s="2823"/>
      <c r="AU39" s="2823"/>
      <c r="AV39" s="2823"/>
      <c r="AW39" s="2823"/>
      <c r="AX39" s="2823"/>
      <c r="AY39" s="2823"/>
      <c r="AZ39" s="2823"/>
      <c r="BA39" s="2823"/>
      <c r="BB39" s="2823"/>
      <c r="BC39" s="2823"/>
      <c r="BD39" s="2823"/>
      <c r="BE39" s="2823"/>
      <c r="BF39" s="2823"/>
      <c r="BG39" s="2823"/>
      <c r="BH39" s="2823"/>
      <c r="BI39" s="2823"/>
      <c r="BJ39" s="2823"/>
      <c r="BK39" s="2823"/>
      <c r="BL39" s="2823"/>
      <c r="BM39" s="2823"/>
      <c r="BN39" s="2823"/>
      <c r="BO39" s="2823"/>
      <c r="BP39" s="2823"/>
      <c r="BQ39" s="2823"/>
      <c r="BR39" s="2823"/>
      <c r="BS39" s="2823"/>
      <c r="BT39" s="2823"/>
      <c r="BU39" s="2823"/>
      <c r="BV39" s="2823"/>
      <c r="BW39" s="2823"/>
      <c r="BX39" s="2823"/>
      <c r="BY39" s="2823"/>
      <c r="BZ39" s="2823"/>
      <c r="CA39" s="2823"/>
      <c r="CB39" s="2823"/>
      <c r="CC39" s="2823"/>
      <c r="CD39" s="2823"/>
      <c r="CE39" s="2823"/>
      <c r="CF39" s="2823"/>
      <c r="CG39" s="2823"/>
      <c r="CH39" s="2823"/>
      <c r="CI39" s="2823"/>
      <c r="CJ39" s="2823"/>
      <c r="CK39" s="2823"/>
      <c r="CL39" s="2823"/>
      <c r="CM39" s="2823"/>
      <c r="CN39" s="2823"/>
      <c r="CO39" s="2823"/>
      <c r="CP39" s="2823"/>
      <c r="CQ39" s="2823"/>
      <c r="CR39" s="2823"/>
      <c r="CS39" s="2823"/>
      <c r="CT39" s="2823"/>
      <c r="CU39" s="2823"/>
      <c r="CV39" s="2823"/>
      <c r="CW39" s="2823"/>
      <c r="CX39" s="2823"/>
      <c r="CY39" s="2823"/>
      <c r="CZ39" s="2823"/>
      <c r="DA39" s="2823"/>
      <c r="DB39" s="2823"/>
      <c r="DC39" s="2823"/>
      <c r="DD39" s="2823"/>
      <c r="DE39" s="2823"/>
      <c r="DF39" s="2823"/>
      <c r="DG39" s="2823"/>
      <c r="DH39" s="2823"/>
      <c r="DI39" s="2823"/>
      <c r="DJ39" s="2823"/>
      <c r="DK39" s="2823"/>
      <c r="DL39" s="2823"/>
      <c r="DM39" s="2823"/>
      <c r="DN39" s="2823"/>
      <c r="DO39" s="2823"/>
      <c r="DP39" s="2823"/>
      <c r="DQ39" s="2823"/>
      <c r="DR39" s="2823"/>
      <c r="DS39" s="2823"/>
      <c r="DT39" s="2823"/>
      <c r="DU39" s="2823"/>
      <c r="DV39" s="2823"/>
      <c r="DW39" s="2823"/>
      <c r="DX39" s="2823"/>
      <c r="DY39" s="2823"/>
      <c r="DZ39" s="2823"/>
      <c r="EA39" s="2823"/>
      <c r="EB39" s="2823"/>
      <c r="EC39" s="2823"/>
      <c r="ED39" s="2823"/>
      <c r="EE39" s="2823"/>
      <c r="EF39" s="2823"/>
      <c r="EG39" s="2823"/>
      <c r="EH39" s="2823"/>
      <c r="EI39" s="2823"/>
      <c r="EJ39" s="2823"/>
      <c r="EK39" s="2823"/>
      <c r="EL39" s="2823"/>
      <c r="EM39" s="2823"/>
      <c r="EN39" s="2823"/>
      <c r="EO39" s="2823"/>
      <c r="EP39" s="2823"/>
      <c r="EQ39" s="2823"/>
      <c r="ER39" s="2823"/>
      <c r="ES39" s="2823"/>
      <c r="ET39" s="2823"/>
      <c r="EU39" s="2823"/>
      <c r="EV39" s="2823"/>
      <c r="EW39" s="2823"/>
      <c r="EX39" s="2823"/>
      <c r="EY39" s="2823"/>
      <c r="EZ39" s="2823"/>
      <c r="FA39" s="2823"/>
      <c r="FB39" s="2823"/>
      <c r="FC39" s="2823"/>
      <c r="FD39" s="2823"/>
      <c r="FE39" s="2823"/>
      <c r="FF39" s="2823"/>
      <c r="FG39" s="2823"/>
      <c r="FH39" s="2823"/>
      <c r="FI39" s="2823"/>
      <c r="FJ39" s="2820"/>
    </row>
    <row r="40" spans="1:166" ht="17.100000000000001" customHeight="1" thickTop="1" thickBot="1" x14ac:dyDescent="0.3">
      <c r="A40" s="2816" t="s">
        <v>2719</v>
      </c>
      <c r="B40" s="2824"/>
      <c r="C40" s="2824"/>
      <c r="D40" s="2824"/>
      <c r="E40" s="2824"/>
      <c r="F40" s="2824"/>
      <c r="G40" s="2824"/>
      <c r="H40" s="2824"/>
      <c r="I40" s="2824"/>
      <c r="J40" s="2824"/>
      <c r="K40" s="2824"/>
      <c r="L40" s="2824"/>
      <c r="M40" s="2824"/>
      <c r="N40" s="2824"/>
      <c r="O40" s="2824"/>
      <c r="P40" s="2824"/>
      <c r="Q40" s="2824"/>
      <c r="R40" s="2824"/>
      <c r="S40" s="2824"/>
      <c r="T40" s="2824"/>
      <c r="U40" s="2824"/>
      <c r="V40" s="2824"/>
      <c r="W40" s="2824"/>
      <c r="X40" s="2824"/>
      <c r="Y40" s="2824"/>
      <c r="Z40" s="2824"/>
      <c r="AA40" s="2824"/>
      <c r="AB40" s="2824"/>
      <c r="AC40" s="2824"/>
      <c r="AD40" s="2824"/>
      <c r="AE40" s="2824"/>
      <c r="AF40" s="2824"/>
      <c r="AG40" s="2824"/>
      <c r="AH40" s="2824"/>
      <c r="AI40" s="2824"/>
      <c r="AJ40" s="2824"/>
      <c r="AK40" s="2824"/>
      <c r="AL40" s="2824"/>
      <c r="AM40" s="2824"/>
      <c r="AN40" s="2824"/>
      <c r="AO40" s="2824"/>
      <c r="AP40" s="2824"/>
      <c r="AQ40" s="2824"/>
      <c r="AR40" s="2824"/>
      <c r="AS40" s="2824"/>
      <c r="AT40" s="2824"/>
      <c r="AU40" s="2824"/>
      <c r="AV40" s="2824"/>
      <c r="AW40" s="2824"/>
      <c r="AX40" s="2824"/>
      <c r="AY40" s="2824"/>
      <c r="AZ40" s="2824"/>
      <c r="BA40" s="2824"/>
      <c r="BB40" s="2824"/>
      <c r="BC40" s="2824"/>
      <c r="BD40" s="2824"/>
      <c r="BE40" s="2824"/>
      <c r="BF40" s="2824"/>
      <c r="BG40" s="2824"/>
      <c r="BH40" s="2824"/>
      <c r="BI40" s="2824"/>
      <c r="BJ40" s="2824"/>
      <c r="BK40" s="2824"/>
      <c r="BL40" s="2824"/>
      <c r="BM40" s="2824"/>
      <c r="BN40" s="2824"/>
      <c r="BO40" s="2824"/>
      <c r="BP40" s="2824"/>
      <c r="BQ40" s="2824"/>
      <c r="BR40" s="2824"/>
      <c r="BS40" s="2824"/>
      <c r="BT40" s="2824"/>
      <c r="BU40" s="2824"/>
      <c r="BV40" s="2824"/>
      <c r="BW40" s="2824"/>
      <c r="BX40" s="2824"/>
      <c r="BY40" s="2824"/>
      <c r="BZ40" s="2824"/>
      <c r="CA40" s="2824"/>
      <c r="CB40" s="2824"/>
      <c r="CC40" s="2824"/>
      <c r="CD40" s="2824"/>
      <c r="CE40" s="2824"/>
      <c r="CF40" s="2824"/>
      <c r="CG40" s="2824"/>
      <c r="CH40" s="2824"/>
      <c r="CI40" s="2824"/>
      <c r="CJ40" s="2824"/>
      <c r="CK40" s="2824"/>
      <c r="CL40" s="2824"/>
      <c r="CM40" s="2824"/>
      <c r="CN40" s="2824"/>
      <c r="CO40" s="2824"/>
      <c r="CP40" s="2824"/>
      <c r="CQ40" s="2824"/>
      <c r="CR40" s="2824"/>
      <c r="CS40" s="2824"/>
      <c r="CT40" s="2824"/>
      <c r="CU40" s="2824"/>
      <c r="CV40" s="2824"/>
      <c r="CW40" s="2824"/>
      <c r="CX40" s="2824"/>
      <c r="CY40" s="2824"/>
      <c r="CZ40" s="2824"/>
      <c r="DA40" s="2824"/>
      <c r="DB40" s="2824"/>
      <c r="DC40" s="2824"/>
      <c r="DD40" s="2824"/>
      <c r="DE40" s="2824"/>
      <c r="DF40" s="2824"/>
      <c r="DG40" s="2824"/>
      <c r="DH40" s="2824"/>
      <c r="DI40" s="2824"/>
      <c r="DJ40" s="2824"/>
      <c r="DK40" s="2824"/>
      <c r="DL40" s="2824"/>
      <c r="DM40" s="2824"/>
      <c r="DN40" s="2824"/>
      <c r="DO40" s="2824"/>
      <c r="DP40" s="2824"/>
      <c r="DQ40" s="2824"/>
      <c r="DR40" s="2824"/>
      <c r="DS40" s="2824"/>
      <c r="DT40" s="2824"/>
      <c r="DU40" s="2824"/>
      <c r="DV40" s="2824"/>
      <c r="DW40" s="2824"/>
      <c r="DX40" s="2824"/>
      <c r="DY40" s="2824"/>
      <c r="DZ40" s="2824"/>
      <c r="EA40" s="2824"/>
      <c r="EB40" s="2824"/>
      <c r="EC40" s="2824"/>
      <c r="ED40" s="2824"/>
      <c r="EE40" s="2824"/>
      <c r="EF40" s="2824"/>
      <c r="EG40" s="2824"/>
      <c r="EH40" s="2824"/>
      <c r="EI40" s="2824"/>
      <c r="EJ40" s="2824"/>
      <c r="EK40" s="2824"/>
      <c r="EL40" s="2824"/>
      <c r="EM40" s="2824"/>
      <c r="EN40" s="2824"/>
      <c r="EO40" s="2824"/>
      <c r="EP40" s="2824"/>
      <c r="EQ40" s="2824"/>
      <c r="ER40" s="2824"/>
      <c r="ES40" s="2824"/>
      <c r="ET40" s="2824"/>
      <c r="EU40" s="2824"/>
      <c r="EV40" s="2824"/>
      <c r="EW40" s="2824"/>
      <c r="EX40" s="2824"/>
      <c r="EY40" s="2824"/>
      <c r="EZ40" s="2824"/>
      <c r="FA40" s="2824"/>
      <c r="FB40" s="2824"/>
      <c r="FC40" s="2824"/>
      <c r="FD40" s="2824"/>
      <c r="FE40" s="2824"/>
      <c r="FF40" s="2824"/>
      <c r="FG40" s="2824"/>
      <c r="FH40" s="2824"/>
      <c r="FI40" s="2824"/>
      <c r="FJ40" s="2820"/>
    </row>
    <row r="41" spans="1:166" ht="17.100000000000001" customHeight="1" thickTop="1" x14ac:dyDescent="0.25">
      <c r="A41" s="2807"/>
      <c r="B41" s="2823"/>
      <c r="C41" s="2823"/>
      <c r="D41" s="2823"/>
      <c r="E41" s="2823"/>
      <c r="F41" s="2823"/>
      <c r="G41" s="2823"/>
      <c r="H41" s="2823"/>
      <c r="I41" s="2823"/>
      <c r="J41" s="2823"/>
      <c r="K41" s="2823"/>
      <c r="L41" s="2823"/>
      <c r="M41" s="2823"/>
      <c r="N41" s="2823"/>
      <c r="O41" s="2823"/>
      <c r="P41" s="2823"/>
      <c r="Q41" s="2823"/>
      <c r="R41" s="2823"/>
      <c r="S41" s="2823"/>
      <c r="T41" s="2823"/>
      <c r="U41" s="2823"/>
      <c r="V41" s="2823"/>
      <c r="W41" s="2823"/>
      <c r="X41" s="2823"/>
      <c r="Y41" s="2823"/>
      <c r="Z41" s="2823"/>
      <c r="AA41" s="2823"/>
      <c r="AB41" s="2823"/>
      <c r="AC41" s="2823"/>
      <c r="AD41" s="2823"/>
      <c r="AE41" s="2823"/>
      <c r="AF41" s="2823"/>
      <c r="AG41" s="2823"/>
      <c r="AH41" s="2823"/>
      <c r="AI41" s="2823"/>
      <c r="AJ41" s="2823"/>
      <c r="AK41" s="2823"/>
      <c r="AL41" s="2823"/>
      <c r="AM41" s="2823"/>
      <c r="AN41" s="2823"/>
      <c r="AO41" s="2823"/>
      <c r="AP41" s="2823"/>
      <c r="AQ41" s="2823"/>
      <c r="AR41" s="2823"/>
      <c r="AS41" s="2823"/>
      <c r="AT41" s="2823"/>
      <c r="AU41" s="2823"/>
      <c r="AV41" s="2823"/>
      <c r="AW41" s="2823"/>
      <c r="AX41" s="2823"/>
      <c r="AY41" s="2823"/>
      <c r="AZ41" s="2823"/>
      <c r="BA41" s="2823"/>
      <c r="BB41" s="2823"/>
      <c r="BC41" s="2823"/>
      <c r="BD41" s="2823"/>
      <c r="BE41" s="2823"/>
      <c r="BF41" s="2823"/>
      <c r="BG41" s="2823"/>
      <c r="BH41" s="2823"/>
      <c r="BI41" s="2823"/>
      <c r="BJ41" s="2823"/>
      <c r="BK41" s="2823"/>
      <c r="BL41" s="2823"/>
      <c r="BM41" s="2823"/>
      <c r="BN41" s="2823"/>
      <c r="BO41" s="2823"/>
      <c r="BP41" s="2823"/>
      <c r="BQ41" s="2823"/>
      <c r="BR41" s="2823"/>
      <c r="BS41" s="2823"/>
      <c r="BT41" s="2823"/>
      <c r="BU41" s="2823"/>
      <c r="BV41" s="2823"/>
      <c r="BW41" s="2823"/>
      <c r="BX41" s="2823"/>
      <c r="BY41" s="2823"/>
      <c r="BZ41" s="2823"/>
      <c r="CA41" s="2823"/>
      <c r="CB41" s="2823"/>
      <c r="CC41" s="2823"/>
      <c r="CD41" s="2823"/>
      <c r="CE41" s="2823"/>
      <c r="CF41" s="2823"/>
      <c r="CG41" s="2823"/>
      <c r="CH41" s="2823"/>
      <c r="CI41" s="2823"/>
      <c r="CJ41" s="2823"/>
      <c r="CK41" s="2823"/>
      <c r="CL41" s="2823"/>
      <c r="CM41" s="2823"/>
      <c r="CN41" s="2823"/>
      <c r="CO41" s="2823"/>
      <c r="CP41" s="2823"/>
      <c r="CQ41" s="2823"/>
      <c r="CR41" s="2823"/>
      <c r="CS41" s="2823"/>
      <c r="CT41" s="2823"/>
      <c r="CU41" s="2823"/>
      <c r="CV41" s="2823"/>
      <c r="CW41" s="2823"/>
      <c r="CX41" s="2823"/>
      <c r="CY41" s="2823"/>
      <c r="CZ41" s="2823"/>
      <c r="DA41" s="2823"/>
      <c r="DB41" s="2823"/>
      <c r="DC41" s="2823"/>
      <c r="DD41" s="2823"/>
      <c r="DE41" s="2823"/>
      <c r="DF41" s="2823"/>
      <c r="DG41" s="2823"/>
      <c r="DH41" s="2823"/>
      <c r="DI41" s="2823"/>
      <c r="DJ41" s="2823"/>
      <c r="DK41" s="2823"/>
      <c r="DL41" s="2823"/>
      <c r="DM41" s="2823"/>
      <c r="DN41" s="2823"/>
      <c r="DO41" s="2823"/>
      <c r="DP41" s="2823"/>
      <c r="DQ41" s="2823"/>
      <c r="DR41" s="2823"/>
      <c r="DS41" s="2823"/>
      <c r="DT41" s="2823"/>
      <c r="DU41" s="2823"/>
      <c r="DV41" s="2823"/>
      <c r="DW41" s="2823"/>
      <c r="DX41" s="2823"/>
      <c r="DY41" s="2823"/>
      <c r="DZ41" s="2823"/>
      <c r="EA41" s="2823"/>
      <c r="EB41" s="2823"/>
      <c r="EC41" s="2823"/>
      <c r="ED41" s="2823"/>
      <c r="EE41" s="2823"/>
      <c r="EF41" s="2823"/>
      <c r="EG41" s="2823"/>
      <c r="EH41" s="2823"/>
      <c r="EI41" s="2823"/>
      <c r="EJ41" s="2823"/>
      <c r="EK41" s="2823"/>
      <c r="EL41" s="2823"/>
      <c r="EM41" s="2823"/>
      <c r="EN41" s="2823"/>
      <c r="EO41" s="2823"/>
      <c r="EP41" s="2823"/>
      <c r="EQ41" s="2823"/>
      <c r="ER41" s="2823"/>
      <c r="ES41" s="2823"/>
      <c r="ET41" s="2823"/>
      <c r="EU41" s="2823"/>
      <c r="EV41" s="2823"/>
      <c r="EW41" s="2823"/>
      <c r="EX41" s="2823"/>
      <c r="EY41" s="2823"/>
      <c r="EZ41" s="2823"/>
      <c r="FA41" s="2823"/>
      <c r="FB41" s="2823"/>
      <c r="FC41" s="2823"/>
      <c r="FD41" s="2823"/>
      <c r="FE41" s="2823"/>
      <c r="FF41" s="2823"/>
      <c r="FG41" s="2823"/>
      <c r="FH41" s="2823"/>
      <c r="FI41" s="2823"/>
      <c r="FJ41" s="2820"/>
    </row>
    <row r="42" spans="1:166" s="2815" customFormat="1" ht="17.100000000000001" customHeight="1" x14ac:dyDescent="0.25">
      <c r="A42" s="2812" t="s">
        <v>2720</v>
      </c>
      <c r="B42" s="2813">
        <v>355837.03116140142</v>
      </c>
      <c r="C42" s="2813">
        <v>360605.04953497002</v>
      </c>
      <c r="D42" s="2813">
        <v>364782.59790840576</v>
      </c>
      <c r="E42" s="2813">
        <v>347836.52930073522</v>
      </c>
      <c r="F42" s="2813">
        <v>398474.36596555047</v>
      </c>
      <c r="G42" s="2813">
        <v>389200.51288481901</v>
      </c>
      <c r="H42" s="2813">
        <v>349996.3624868911</v>
      </c>
      <c r="I42" s="2813">
        <v>374559.74357372645</v>
      </c>
      <c r="J42" s="2813">
        <v>374311.56619276927</v>
      </c>
      <c r="K42" s="2813">
        <v>375558.95299317496</v>
      </c>
      <c r="L42" s="2813">
        <v>387400.46029459569</v>
      </c>
      <c r="M42" s="2813">
        <v>396025.74941314518</v>
      </c>
      <c r="N42" s="2813">
        <v>397868.12297975575</v>
      </c>
      <c r="O42" s="2813">
        <v>391740.02392533398</v>
      </c>
      <c r="P42" s="2813">
        <v>362731.64003700012</v>
      </c>
      <c r="Q42" s="2813">
        <v>376961.4054074281</v>
      </c>
      <c r="R42" s="2813">
        <v>368985.7930979958</v>
      </c>
      <c r="S42" s="2813">
        <v>398640.04925210675</v>
      </c>
      <c r="T42" s="2813">
        <v>384262.82808588771</v>
      </c>
      <c r="U42" s="2813">
        <v>367127.2188200822</v>
      </c>
      <c r="V42" s="2813">
        <v>372146.50669052522</v>
      </c>
      <c r="W42" s="2813">
        <v>373804.4944400455</v>
      </c>
      <c r="X42" s="2813">
        <v>424939.29194978258</v>
      </c>
      <c r="Y42" s="2813">
        <v>370755.11539752875</v>
      </c>
      <c r="Z42" s="2813">
        <v>348029.36244730791</v>
      </c>
      <c r="AA42" s="2813">
        <v>354708.02445732517</v>
      </c>
      <c r="AB42" s="2813">
        <v>400460.72834256146</v>
      </c>
      <c r="AC42" s="2813">
        <v>400880.36506270594</v>
      </c>
      <c r="AD42" s="2813">
        <v>418934.88927327795</v>
      </c>
      <c r="AE42" s="2813">
        <v>358615.76786022121</v>
      </c>
      <c r="AF42" s="2813">
        <v>391317.48373264499</v>
      </c>
      <c r="AG42" s="2813">
        <v>349407.08494980849</v>
      </c>
      <c r="AH42" s="2813">
        <v>374495.66562962084</v>
      </c>
      <c r="AI42" s="2813">
        <v>394291.12349107303</v>
      </c>
      <c r="AJ42" s="2813">
        <v>396660.75575007964</v>
      </c>
      <c r="AK42" s="2813">
        <v>401320.90685726883</v>
      </c>
      <c r="AL42" s="2813">
        <v>425209.26168858795</v>
      </c>
      <c r="AM42" s="2813">
        <v>371958.7623117551</v>
      </c>
      <c r="AN42" s="2813">
        <v>396287.8725248843</v>
      </c>
      <c r="AO42" s="2813">
        <v>406538.14793432248</v>
      </c>
      <c r="AP42" s="2813">
        <v>439271.34989535093</v>
      </c>
      <c r="AQ42" s="2813">
        <v>394121.83621676941</v>
      </c>
      <c r="AR42" s="2813">
        <v>408187.61987977172</v>
      </c>
      <c r="AS42" s="2813">
        <v>388409.77044791594</v>
      </c>
      <c r="AT42" s="2813">
        <v>381997.94592616044</v>
      </c>
      <c r="AU42" s="2813">
        <v>372526.31475613813</v>
      </c>
      <c r="AV42" s="2813">
        <v>375922.76888081006</v>
      </c>
      <c r="AW42" s="2813">
        <v>396299.89658375003</v>
      </c>
      <c r="AX42" s="2813">
        <v>371419.29907392239</v>
      </c>
      <c r="AY42" s="2813">
        <v>374464.47402240866</v>
      </c>
      <c r="AZ42" s="2813">
        <v>371676.94106507872</v>
      </c>
      <c r="BA42" s="2813">
        <v>396120.44744818617</v>
      </c>
      <c r="BB42" s="2813">
        <v>383220.66580576624</v>
      </c>
      <c r="BC42" s="2813">
        <v>382241.50857958256</v>
      </c>
      <c r="BD42" s="2813">
        <v>392334.94110129168</v>
      </c>
      <c r="BE42" s="2813">
        <v>409256.21862257959</v>
      </c>
      <c r="BF42" s="2813">
        <v>440686.40925503476</v>
      </c>
      <c r="BG42" s="2813">
        <v>478691.88928722718</v>
      </c>
      <c r="BH42" s="2813">
        <v>440194.91016732709</v>
      </c>
      <c r="BI42" s="2813">
        <v>457823.19600778719</v>
      </c>
      <c r="BJ42" s="2813">
        <v>476038.28698620782</v>
      </c>
      <c r="BK42" s="2813">
        <v>485169.87018662738</v>
      </c>
      <c r="BL42" s="2813">
        <v>557980.5835344377</v>
      </c>
      <c r="BM42" s="2813">
        <v>567281.29490467894</v>
      </c>
      <c r="BN42" s="2813">
        <v>533346.63558336219</v>
      </c>
      <c r="BO42" s="2813">
        <v>519851.26260418026</v>
      </c>
      <c r="BP42" s="2813">
        <v>529873.89145630517</v>
      </c>
      <c r="BQ42" s="2813">
        <v>510245.61552506249</v>
      </c>
      <c r="BR42" s="2813">
        <v>505829.92519510188</v>
      </c>
      <c r="BS42" s="2813">
        <v>531278.38441134978</v>
      </c>
      <c r="BT42" s="2813">
        <v>512635.67167410499</v>
      </c>
      <c r="BU42" s="2813">
        <v>529026</v>
      </c>
      <c r="BV42" s="2813">
        <v>537501.79617460479</v>
      </c>
      <c r="BW42" s="2813">
        <v>535959.01879941381</v>
      </c>
      <c r="BX42" s="2813">
        <v>507495.62778716208</v>
      </c>
      <c r="BY42" s="2813">
        <v>525294.95739611925</v>
      </c>
      <c r="BZ42" s="2813">
        <v>518021.95943167125</v>
      </c>
      <c r="CA42" s="2813">
        <v>529764.93604130822</v>
      </c>
      <c r="CB42" s="2813">
        <v>536626.51856016926</v>
      </c>
      <c r="CC42" s="2813">
        <v>547521.43514884717</v>
      </c>
      <c r="CD42" s="2813">
        <v>541173.83052793902</v>
      </c>
      <c r="CE42" s="2813">
        <v>541487.57271531678</v>
      </c>
      <c r="CF42" s="2813">
        <v>576673.06690380152</v>
      </c>
      <c r="CG42" s="2813">
        <v>549150.67852010694</v>
      </c>
      <c r="CH42" s="2813">
        <v>552006.36508890952</v>
      </c>
      <c r="CI42" s="2813">
        <v>550124.7344342561</v>
      </c>
      <c r="CJ42" s="2813">
        <v>565446.81070961035</v>
      </c>
      <c r="CK42" s="2813">
        <v>551541.81471568416</v>
      </c>
      <c r="CL42" s="2813">
        <v>561428.59090975497</v>
      </c>
      <c r="CM42" s="2813">
        <v>577136.64347912977</v>
      </c>
      <c r="CN42" s="2813">
        <v>580170.7653518169</v>
      </c>
      <c r="CO42" s="2813">
        <v>540911.94800799026</v>
      </c>
      <c r="CP42" s="2813">
        <v>563666.52959597646</v>
      </c>
      <c r="CQ42" s="2813">
        <v>535212.04018846143</v>
      </c>
      <c r="CR42" s="2813">
        <v>569639.94483249891</v>
      </c>
      <c r="CS42" s="2813">
        <v>566912.84179853182</v>
      </c>
      <c r="CT42" s="2813">
        <v>549881.65774852363</v>
      </c>
      <c r="CU42" s="2813">
        <v>556282.08886925748</v>
      </c>
      <c r="CV42" s="2813">
        <v>582960.01031995635</v>
      </c>
      <c r="CW42" s="2813">
        <v>572820.86763924407</v>
      </c>
      <c r="CX42" s="2813">
        <v>601678.34298669721</v>
      </c>
      <c r="CY42" s="2813">
        <v>607621.19459096855</v>
      </c>
      <c r="CZ42" s="2813">
        <v>596736.62845357263</v>
      </c>
      <c r="DA42" s="2813">
        <v>598948.66485129017</v>
      </c>
      <c r="DB42" s="2813">
        <v>571629.67140376905</v>
      </c>
      <c r="DC42" s="2813">
        <v>603245.70985475881</v>
      </c>
      <c r="DD42" s="2813">
        <v>578095.53196456493</v>
      </c>
      <c r="DE42" s="2813">
        <v>570676.64685810125</v>
      </c>
      <c r="DF42" s="2813">
        <v>555738.52165962593</v>
      </c>
      <c r="DG42" s="2813">
        <v>612169.0742515329</v>
      </c>
      <c r="DH42" s="2813">
        <v>580722.23639972229</v>
      </c>
      <c r="DI42" s="2813">
        <v>601793.38316057378</v>
      </c>
      <c r="DJ42" s="2813">
        <v>587297.7611889313</v>
      </c>
      <c r="DK42" s="2813">
        <v>592037.74036985345</v>
      </c>
      <c r="DL42" s="2813">
        <v>631511.75170988834</v>
      </c>
      <c r="DM42" s="2813">
        <v>604448.16456935881</v>
      </c>
      <c r="DN42" s="2813">
        <v>614788.03581099678</v>
      </c>
      <c r="DO42" s="2813">
        <v>636312.00008742756</v>
      </c>
      <c r="DP42" s="2813">
        <v>694122.06739733263</v>
      </c>
      <c r="DQ42" s="2813">
        <v>647472.06335563748</v>
      </c>
      <c r="DR42" s="2813">
        <v>656936.82186131144</v>
      </c>
      <c r="DS42" s="2813">
        <v>663250.26434066286</v>
      </c>
      <c r="DT42" s="2813">
        <v>669451.75571228098</v>
      </c>
      <c r="DU42" s="2813">
        <v>674018.17257455923</v>
      </c>
      <c r="DV42" s="2813">
        <v>674698.84540283564</v>
      </c>
      <c r="DW42" s="2813">
        <v>710010.22029280965</v>
      </c>
      <c r="DX42" s="2813">
        <v>693282.2088749262</v>
      </c>
      <c r="DY42" s="2813">
        <v>770270.23610633216</v>
      </c>
      <c r="DZ42" s="2813">
        <v>783278.32101354224</v>
      </c>
      <c r="EA42" s="2813">
        <v>730816.51683918666</v>
      </c>
      <c r="EB42" s="2813">
        <v>745880.10079184012</v>
      </c>
      <c r="EC42" s="2813">
        <v>753659.20792943332</v>
      </c>
      <c r="ED42" s="2813">
        <v>758357.98090497125</v>
      </c>
      <c r="EE42" s="2813">
        <v>811243.01065622596</v>
      </c>
      <c r="EF42" s="2813">
        <v>844502.63762076222</v>
      </c>
      <c r="EG42" s="2813">
        <v>777736.63392093568</v>
      </c>
      <c r="EH42" s="2813">
        <v>828016.68544027302</v>
      </c>
      <c r="EI42" s="2813">
        <v>821955.15877083782</v>
      </c>
      <c r="EJ42" s="2813">
        <v>806245.32175628049</v>
      </c>
      <c r="EK42" s="2813">
        <v>863070.59250512999</v>
      </c>
      <c r="EL42" s="2813">
        <v>865509.92193587357</v>
      </c>
      <c r="EM42" s="2813">
        <v>837964.26125022909</v>
      </c>
      <c r="EN42" s="2813">
        <v>855118.47647410003</v>
      </c>
      <c r="EO42" s="2813">
        <v>894160.6963645129</v>
      </c>
      <c r="EP42" s="2813">
        <v>848315.89911536593</v>
      </c>
      <c r="EQ42" s="2813">
        <v>857568.95140513126</v>
      </c>
      <c r="ER42" s="2813">
        <v>869095.48218635679</v>
      </c>
      <c r="ES42" s="2813">
        <v>874241.74980364833</v>
      </c>
      <c r="ET42" s="2813">
        <v>846089.58571421041</v>
      </c>
      <c r="EU42" s="2813">
        <v>836190.12635940709</v>
      </c>
      <c r="EV42" s="2813">
        <v>840563.47748476407</v>
      </c>
      <c r="EW42" s="2813">
        <v>829814.47309917677</v>
      </c>
      <c r="EX42" s="2813">
        <v>854229.54157154565</v>
      </c>
      <c r="EY42" s="2813">
        <v>816775.11749198381</v>
      </c>
      <c r="EZ42" s="2813">
        <v>913537.38241407706</v>
      </c>
      <c r="FA42" s="2813">
        <v>862385.84511919273</v>
      </c>
      <c r="FB42" s="2813">
        <v>882608.78693624842</v>
      </c>
      <c r="FC42" s="2813">
        <v>880819.76548191579</v>
      </c>
      <c r="FD42" s="2813">
        <v>887432.34110069741</v>
      </c>
      <c r="FE42" s="2813">
        <v>902332.07845959207</v>
      </c>
      <c r="FF42" s="2813">
        <v>893679.00562713691</v>
      </c>
      <c r="FG42" s="2813">
        <v>864828.2654564823</v>
      </c>
      <c r="FH42" s="2813">
        <v>912877.48416654568</v>
      </c>
      <c r="FI42" s="2813">
        <v>865805.07702339871</v>
      </c>
      <c r="FJ42" s="2820"/>
    </row>
    <row r="43" spans="1:166" ht="17.100000000000001" customHeight="1" x14ac:dyDescent="0.25">
      <c r="A43" s="2807" t="s">
        <v>2721</v>
      </c>
      <c r="B43" s="2809">
        <v>66426.303235972882</v>
      </c>
      <c r="C43" s="2809">
        <v>67813.347178623269</v>
      </c>
      <c r="D43" s="2809">
        <v>67350.55298928589</v>
      </c>
      <c r="E43" s="2809">
        <v>67898.424276395206</v>
      </c>
      <c r="F43" s="2809">
        <v>70563.533940011592</v>
      </c>
      <c r="G43" s="2809">
        <v>69029.206086238628</v>
      </c>
      <c r="H43" s="2809">
        <v>69173.827566074178</v>
      </c>
      <c r="I43" s="2809">
        <v>70109.753901685341</v>
      </c>
      <c r="J43" s="2809">
        <v>73222.669057128718</v>
      </c>
      <c r="K43" s="2809">
        <v>72628.910586909114</v>
      </c>
      <c r="L43" s="2809">
        <v>74948.541309052278</v>
      </c>
      <c r="M43" s="2809">
        <v>77907.26620021234</v>
      </c>
      <c r="N43" s="2809">
        <v>74640.649942564065</v>
      </c>
      <c r="O43" s="2809">
        <v>74618.615312754191</v>
      </c>
      <c r="P43" s="2809">
        <v>76376.735414886105</v>
      </c>
      <c r="Q43" s="2809">
        <v>75700.789623743025</v>
      </c>
      <c r="R43" s="2809">
        <v>77269.692369705648</v>
      </c>
      <c r="S43" s="2809">
        <v>79953.017943437662</v>
      </c>
      <c r="T43" s="2809">
        <v>79074.75525046949</v>
      </c>
      <c r="U43" s="2809">
        <v>79520.667822633579</v>
      </c>
      <c r="V43" s="2809">
        <v>78671.260029511788</v>
      </c>
      <c r="W43" s="2809">
        <v>81199.667306703283</v>
      </c>
      <c r="X43" s="2809">
        <v>77556.049942866448</v>
      </c>
      <c r="Y43" s="2809">
        <v>80100.875885288551</v>
      </c>
      <c r="Z43" s="2809">
        <v>80040.746933815622</v>
      </c>
      <c r="AA43" s="2809">
        <v>79939.581236785903</v>
      </c>
      <c r="AB43" s="2809">
        <v>79411.668224062698</v>
      </c>
      <c r="AC43" s="2809">
        <v>79032.748513622151</v>
      </c>
      <c r="AD43" s="2809">
        <v>78098.527743300889</v>
      </c>
      <c r="AE43" s="2809">
        <v>85159.248901662751</v>
      </c>
      <c r="AF43" s="2809">
        <v>86394.874568552084</v>
      </c>
      <c r="AG43" s="2809">
        <v>86880.112743733043</v>
      </c>
      <c r="AH43" s="2809">
        <v>87928.224802783152</v>
      </c>
      <c r="AI43" s="2809">
        <v>88106.871545446251</v>
      </c>
      <c r="AJ43" s="2809">
        <v>90488.3945909303</v>
      </c>
      <c r="AK43" s="2809">
        <v>91559.825805914632</v>
      </c>
      <c r="AL43" s="2809">
        <v>94098.106945505308</v>
      </c>
      <c r="AM43" s="2809">
        <v>93549.31388682939</v>
      </c>
      <c r="AN43" s="2809">
        <v>96754.802980609718</v>
      </c>
      <c r="AO43" s="2809">
        <v>95870.007278678371</v>
      </c>
      <c r="AP43" s="2809">
        <v>104072.51915873688</v>
      </c>
      <c r="AQ43" s="2809">
        <v>103579.9323233067</v>
      </c>
      <c r="AR43" s="2809">
        <v>100694.20800170788</v>
      </c>
      <c r="AS43" s="2809">
        <v>99291.769986535714</v>
      </c>
      <c r="AT43" s="2809">
        <v>100933.44968334469</v>
      </c>
      <c r="AU43" s="2809">
        <v>100229.18125081969</v>
      </c>
      <c r="AV43" s="2809">
        <v>99261.274187500021</v>
      </c>
      <c r="AW43" s="2809">
        <v>103497.94482550361</v>
      </c>
      <c r="AX43" s="2809">
        <v>102921.43799632388</v>
      </c>
      <c r="AY43" s="2809">
        <v>108544.33997084292</v>
      </c>
      <c r="AZ43" s="2809">
        <v>110343.08859754098</v>
      </c>
      <c r="BA43" s="2809">
        <v>114721.20755311572</v>
      </c>
      <c r="BB43" s="2809">
        <v>117055.21513527753</v>
      </c>
      <c r="BC43" s="2809">
        <v>119619.60702976644</v>
      </c>
      <c r="BD43" s="2809">
        <v>121075.74227892855</v>
      </c>
      <c r="BE43" s="2809">
        <v>123260.36938210644</v>
      </c>
      <c r="BF43" s="2809">
        <v>120752.98616916555</v>
      </c>
      <c r="BG43" s="2809">
        <v>119694.92564294937</v>
      </c>
      <c r="BH43" s="2809">
        <v>117838.97237219621</v>
      </c>
      <c r="BI43" s="2809">
        <v>122735.45625949455</v>
      </c>
      <c r="BJ43" s="2809">
        <v>120049.19112513392</v>
      </c>
      <c r="BK43" s="2809">
        <v>126047.57279302411</v>
      </c>
      <c r="BL43" s="2809">
        <v>139062.48919025276</v>
      </c>
      <c r="BM43" s="2809">
        <v>137586.09214340354</v>
      </c>
      <c r="BN43" s="2809">
        <v>138175.21268258648</v>
      </c>
      <c r="BO43" s="2809">
        <v>138628.47666558527</v>
      </c>
      <c r="BP43" s="2809">
        <v>142104.72795610214</v>
      </c>
      <c r="BQ43" s="2809">
        <v>142278.28919419972</v>
      </c>
      <c r="BR43" s="2809">
        <v>144450.61180768846</v>
      </c>
      <c r="BS43" s="2809">
        <v>148534.72719634642</v>
      </c>
      <c r="BT43" s="2809">
        <v>150438.85095480151</v>
      </c>
      <c r="BU43" s="2809">
        <v>151519</v>
      </c>
      <c r="BV43" s="2809">
        <v>153595.05761268668</v>
      </c>
      <c r="BW43" s="2809">
        <v>156324.69065769573</v>
      </c>
      <c r="BX43" s="2809">
        <v>157406.6914241621</v>
      </c>
      <c r="BY43" s="2809">
        <v>156600.80811839449</v>
      </c>
      <c r="BZ43" s="2809">
        <v>159897.71195550862</v>
      </c>
      <c r="CA43" s="2809">
        <v>166725.92581236121</v>
      </c>
      <c r="CB43" s="2809">
        <v>166910.92624923383</v>
      </c>
      <c r="CC43" s="2809">
        <v>166395.73053723547</v>
      </c>
      <c r="CD43" s="2809">
        <v>169580.80563689113</v>
      </c>
      <c r="CE43" s="2809">
        <v>171298.85641524161</v>
      </c>
      <c r="CF43" s="2809">
        <v>173801.30735711419</v>
      </c>
      <c r="CG43" s="2809">
        <v>177668.55562032614</v>
      </c>
      <c r="CH43" s="2809">
        <v>174394.86292201749</v>
      </c>
      <c r="CI43" s="2809">
        <v>174924.25180757011</v>
      </c>
      <c r="CJ43" s="2809">
        <v>175637.22381427392</v>
      </c>
      <c r="CK43" s="2809">
        <v>179152.63008492597</v>
      </c>
      <c r="CL43" s="2809">
        <v>178461.27118693173</v>
      </c>
      <c r="CM43" s="2809">
        <v>180437.56616006474</v>
      </c>
      <c r="CN43" s="2809">
        <v>176191.51600309185</v>
      </c>
      <c r="CO43" s="2809">
        <v>175785.32195359335</v>
      </c>
      <c r="CP43" s="2809">
        <v>185058.20583007197</v>
      </c>
      <c r="CQ43" s="2809">
        <v>188375.48139406703</v>
      </c>
      <c r="CR43" s="2809">
        <v>191339.81988459302</v>
      </c>
      <c r="CS43" s="2809">
        <v>200039.4517179582</v>
      </c>
      <c r="CT43" s="2809">
        <v>196835.78700488887</v>
      </c>
      <c r="CU43" s="2809">
        <v>202954.33186410007</v>
      </c>
      <c r="CV43" s="2809">
        <v>207215.69517574867</v>
      </c>
      <c r="CW43" s="2809">
        <v>214373.48147916992</v>
      </c>
      <c r="CX43" s="2809">
        <v>221942.12390585776</v>
      </c>
      <c r="CY43" s="2809">
        <v>230238.77583979841</v>
      </c>
      <c r="CZ43" s="2809">
        <v>221922.20800793669</v>
      </c>
      <c r="DA43" s="2809">
        <v>225940.38191798772</v>
      </c>
      <c r="DB43" s="2809">
        <v>218871.25093894106</v>
      </c>
      <c r="DC43" s="2809">
        <v>217596.3036255289</v>
      </c>
      <c r="DD43" s="2809">
        <v>214815.73631158541</v>
      </c>
      <c r="DE43" s="2809">
        <v>217004.41993496372</v>
      </c>
      <c r="DF43" s="2809">
        <v>218846.8952504606</v>
      </c>
      <c r="DG43" s="2809">
        <v>219966.96050391931</v>
      </c>
      <c r="DH43" s="2809">
        <v>226576.71631358506</v>
      </c>
      <c r="DI43" s="2809">
        <v>229226.42152050519</v>
      </c>
      <c r="DJ43" s="2809">
        <v>240408.08847555952</v>
      </c>
      <c r="DK43" s="2809">
        <v>252957.68400993009</v>
      </c>
      <c r="DL43" s="2809">
        <v>258964.54538824756</v>
      </c>
      <c r="DM43" s="2809">
        <v>259427.82324653002</v>
      </c>
      <c r="DN43" s="2809">
        <v>262761.86596508219</v>
      </c>
      <c r="DO43" s="2809">
        <v>263442.84530936059</v>
      </c>
      <c r="DP43" s="2809">
        <v>268691.24890248722</v>
      </c>
      <c r="DQ43" s="2809">
        <v>269147.02911251434</v>
      </c>
      <c r="DR43" s="2809">
        <v>278812.67778411362</v>
      </c>
      <c r="DS43" s="2809">
        <v>273904.52688807907</v>
      </c>
      <c r="DT43" s="2809">
        <v>276298.97259022022</v>
      </c>
      <c r="DU43" s="2809">
        <v>280218.67607955547</v>
      </c>
      <c r="DV43" s="2809">
        <v>275540.36607464025</v>
      </c>
      <c r="DW43" s="2809">
        <v>278884.25604416308</v>
      </c>
      <c r="DX43" s="2809">
        <v>295596.05314703286</v>
      </c>
      <c r="DY43" s="2809">
        <v>278825.85957494081</v>
      </c>
      <c r="DZ43" s="2809">
        <v>277995.11736622191</v>
      </c>
      <c r="EA43" s="2809">
        <v>269143.13557219441</v>
      </c>
      <c r="EB43" s="2809">
        <v>268344.11662117584</v>
      </c>
      <c r="EC43" s="2809">
        <v>284981.4928212621</v>
      </c>
      <c r="ED43" s="2809">
        <v>305406.72245056508</v>
      </c>
      <c r="EE43" s="2809">
        <v>286606.10411991918</v>
      </c>
      <c r="EF43" s="2809">
        <v>292769.16974273225</v>
      </c>
      <c r="EG43" s="2809">
        <v>296822.91944970074</v>
      </c>
      <c r="EH43" s="2809">
        <v>304286.70241272327</v>
      </c>
      <c r="EI43" s="2809">
        <v>304753.51439039694</v>
      </c>
      <c r="EJ43" s="2809">
        <v>306320.93923338183</v>
      </c>
      <c r="EK43" s="2809">
        <v>311055.09824585548</v>
      </c>
      <c r="EL43" s="2809">
        <v>313224.63939457148</v>
      </c>
      <c r="EM43" s="2809">
        <v>298725.71976760373</v>
      </c>
      <c r="EN43" s="2809">
        <v>300724.80520937481</v>
      </c>
      <c r="EO43" s="2809">
        <v>337063.73363615904</v>
      </c>
      <c r="EP43" s="2809">
        <v>309649.12609856523</v>
      </c>
      <c r="EQ43" s="2809">
        <v>300516.18910170294</v>
      </c>
      <c r="ER43" s="2809">
        <v>320279.27609864151</v>
      </c>
      <c r="ES43" s="2809">
        <v>263897.34971547523</v>
      </c>
      <c r="ET43" s="2809">
        <v>256550.39193265548</v>
      </c>
      <c r="EU43" s="2809">
        <v>293075.70323235187</v>
      </c>
      <c r="EV43" s="2809">
        <v>264076.9690177234</v>
      </c>
      <c r="EW43" s="2809">
        <v>264594.23080340581</v>
      </c>
      <c r="EX43" s="2809">
        <v>276648.9412771822</v>
      </c>
      <c r="EY43" s="2809">
        <v>235415.07056458096</v>
      </c>
      <c r="EZ43" s="2809">
        <v>243314.95652343554</v>
      </c>
      <c r="FA43" s="2809">
        <v>290734.2678265954</v>
      </c>
      <c r="FB43" s="2809">
        <v>251591.0464090583</v>
      </c>
      <c r="FC43" s="2809">
        <v>251345.52869773973</v>
      </c>
      <c r="FD43" s="2809">
        <v>252715.58270936389</v>
      </c>
      <c r="FE43" s="2809">
        <v>238065.41002667538</v>
      </c>
      <c r="FF43" s="2809">
        <v>238131.47230902113</v>
      </c>
      <c r="FG43" s="2809">
        <v>242383.41958415843</v>
      </c>
      <c r="FH43" s="2809">
        <v>243012.7153590807</v>
      </c>
      <c r="FI43" s="2809">
        <v>253005.19533452089</v>
      </c>
      <c r="FJ43" s="2820"/>
    </row>
    <row r="44" spans="1:166" ht="17.100000000000001" customHeight="1" x14ac:dyDescent="0.25">
      <c r="A44" s="2807" t="s">
        <v>2722</v>
      </c>
      <c r="B44" s="2809">
        <v>289410.72792542854</v>
      </c>
      <c r="C44" s="2809">
        <v>292791.70235634677</v>
      </c>
      <c r="D44" s="2809">
        <v>297432.04491911986</v>
      </c>
      <c r="E44" s="2809">
        <v>279938.10502433998</v>
      </c>
      <c r="F44" s="2809">
        <v>327910.8320255389</v>
      </c>
      <c r="G44" s="2809">
        <v>320171.30679858039</v>
      </c>
      <c r="H44" s="2809">
        <v>280822.53492081689</v>
      </c>
      <c r="I44" s="2809">
        <v>304449.98967204109</v>
      </c>
      <c r="J44" s="2809">
        <v>301088.89713564055</v>
      </c>
      <c r="K44" s="2809">
        <v>302930.04240626586</v>
      </c>
      <c r="L44" s="2809">
        <v>312451.91898554342</v>
      </c>
      <c r="M44" s="2809">
        <v>318118.48321293283</v>
      </c>
      <c r="N44" s="2809">
        <v>323227.47303719167</v>
      </c>
      <c r="O44" s="2809">
        <v>317121.40861257981</v>
      </c>
      <c r="P44" s="2809">
        <v>286354.90462211403</v>
      </c>
      <c r="Q44" s="2809">
        <v>301260.61578368506</v>
      </c>
      <c r="R44" s="2809">
        <v>291716.10072829016</v>
      </c>
      <c r="S44" s="2809">
        <v>318687.03130866907</v>
      </c>
      <c r="T44" s="2809">
        <v>305188.07283541822</v>
      </c>
      <c r="U44" s="2809">
        <v>287606.55099744862</v>
      </c>
      <c r="V44" s="2809">
        <v>293475.2466610134</v>
      </c>
      <c r="W44" s="2809">
        <v>292604.82713334222</v>
      </c>
      <c r="X44" s="2809">
        <v>347383.24200691615</v>
      </c>
      <c r="Y44" s="2809">
        <v>290654.23951224022</v>
      </c>
      <c r="Z44" s="2809">
        <v>267988.61551349226</v>
      </c>
      <c r="AA44" s="2809">
        <v>274768.44322053925</v>
      </c>
      <c r="AB44" s="2809">
        <v>321049.06011849875</v>
      </c>
      <c r="AC44" s="2809">
        <v>321847.61654908379</v>
      </c>
      <c r="AD44" s="2809">
        <v>340836.36152997706</v>
      </c>
      <c r="AE44" s="2809">
        <v>273456.51895855844</v>
      </c>
      <c r="AF44" s="2809">
        <v>304922.60916409292</v>
      </c>
      <c r="AG44" s="2809">
        <v>262526.97220607544</v>
      </c>
      <c r="AH44" s="2809">
        <v>286567.44082683767</v>
      </c>
      <c r="AI44" s="2809">
        <v>306184.25194562681</v>
      </c>
      <c r="AJ44" s="2809">
        <v>306172.36115914932</v>
      </c>
      <c r="AK44" s="2809">
        <v>309761.08105135418</v>
      </c>
      <c r="AL44" s="2809">
        <v>331111.15474308265</v>
      </c>
      <c r="AM44" s="2809">
        <v>278409.44842492574</v>
      </c>
      <c r="AN44" s="2809">
        <v>299533.06954427459</v>
      </c>
      <c r="AO44" s="2809">
        <v>310668.14065564412</v>
      </c>
      <c r="AP44" s="2809">
        <v>335198.83073661407</v>
      </c>
      <c r="AQ44" s="2809">
        <v>290541.90389346273</v>
      </c>
      <c r="AR44" s="2809">
        <v>307493.41187806381</v>
      </c>
      <c r="AS44" s="2809">
        <v>289118.00046138023</v>
      </c>
      <c r="AT44" s="2809">
        <v>281064.49624281575</v>
      </c>
      <c r="AU44" s="2809">
        <v>272297.13350531843</v>
      </c>
      <c r="AV44" s="2809">
        <v>276661.49469331006</v>
      </c>
      <c r="AW44" s="2809">
        <v>292801.9517582464</v>
      </c>
      <c r="AX44" s="2809">
        <v>268497.86107759853</v>
      </c>
      <c r="AY44" s="2809">
        <v>265920.13405156572</v>
      </c>
      <c r="AZ44" s="2809">
        <v>261333.85246753774</v>
      </c>
      <c r="BA44" s="2809">
        <v>281399.23989507044</v>
      </c>
      <c r="BB44" s="2809">
        <v>266165.4506704887</v>
      </c>
      <c r="BC44" s="2809">
        <v>262621.90154981613</v>
      </c>
      <c r="BD44" s="2809">
        <v>271259.19882236311</v>
      </c>
      <c r="BE44" s="2809">
        <v>285995.84924047318</v>
      </c>
      <c r="BF44" s="2809">
        <v>319933.42308586923</v>
      </c>
      <c r="BG44" s="2809">
        <v>358996.96364427783</v>
      </c>
      <c r="BH44" s="2809">
        <v>322355.93779513089</v>
      </c>
      <c r="BI44" s="2809">
        <v>335087.73974829266</v>
      </c>
      <c r="BJ44" s="2809">
        <v>355989.09586107393</v>
      </c>
      <c r="BK44" s="2809">
        <v>359122.29739360325</v>
      </c>
      <c r="BL44" s="2809">
        <v>418918.09434418491</v>
      </c>
      <c r="BM44" s="2809">
        <v>429695.2027612754</v>
      </c>
      <c r="BN44" s="2809">
        <v>395171.42290077568</v>
      </c>
      <c r="BO44" s="2809">
        <v>381222.78593859496</v>
      </c>
      <c r="BP44" s="2809">
        <v>387769.16350020299</v>
      </c>
      <c r="BQ44" s="2809">
        <v>367967.32633086276</v>
      </c>
      <c r="BR44" s="2809">
        <v>361379.31338741345</v>
      </c>
      <c r="BS44" s="2809">
        <v>382743.65721500339</v>
      </c>
      <c r="BT44" s="2809">
        <v>362196.82071930351</v>
      </c>
      <c r="BU44" s="2809">
        <v>377506</v>
      </c>
      <c r="BV44" s="2809">
        <v>383906.73856191809</v>
      </c>
      <c r="BW44" s="2809">
        <v>379634.32814171806</v>
      </c>
      <c r="BX44" s="2809">
        <v>350088.93636299996</v>
      </c>
      <c r="BY44" s="2809">
        <v>368694.14927772473</v>
      </c>
      <c r="BZ44" s="2809">
        <v>358124.24747616262</v>
      </c>
      <c r="CA44" s="2809">
        <v>363039.01022894704</v>
      </c>
      <c r="CB44" s="2809">
        <v>369715.59231093543</v>
      </c>
      <c r="CC44" s="2809">
        <v>381125.70461161173</v>
      </c>
      <c r="CD44" s="2809">
        <v>371593.02489104785</v>
      </c>
      <c r="CE44" s="2809">
        <v>370188.71630007518</v>
      </c>
      <c r="CF44" s="2809">
        <v>402871.7595466873</v>
      </c>
      <c r="CG44" s="2809">
        <v>371482.12289978075</v>
      </c>
      <c r="CH44" s="2809">
        <v>377611.50216689205</v>
      </c>
      <c r="CI44" s="2809">
        <v>375200.48262668593</v>
      </c>
      <c r="CJ44" s="2809">
        <v>389809.58689533646</v>
      </c>
      <c r="CK44" s="2809">
        <v>372389.18463075813</v>
      </c>
      <c r="CL44" s="2809">
        <v>382967.31972282327</v>
      </c>
      <c r="CM44" s="2809">
        <v>396699.07731906505</v>
      </c>
      <c r="CN44" s="2809">
        <v>403979.24934872502</v>
      </c>
      <c r="CO44" s="2809">
        <v>365126.62605439691</v>
      </c>
      <c r="CP44" s="2809">
        <v>378608.32376590453</v>
      </c>
      <c r="CQ44" s="2809">
        <v>346836.55879439437</v>
      </c>
      <c r="CR44" s="2809">
        <v>378300.12494790595</v>
      </c>
      <c r="CS44" s="2809">
        <v>366873.39008057356</v>
      </c>
      <c r="CT44" s="2809">
        <v>353045.87074363476</v>
      </c>
      <c r="CU44" s="2809">
        <v>353327.75700515741</v>
      </c>
      <c r="CV44" s="2809">
        <v>375744.31514420774</v>
      </c>
      <c r="CW44" s="2809">
        <v>358447.38616007409</v>
      </c>
      <c r="CX44" s="2809">
        <v>379736.21908083942</v>
      </c>
      <c r="CY44" s="2809">
        <v>377382.4187511701</v>
      </c>
      <c r="CZ44" s="2809">
        <v>374814.42044563591</v>
      </c>
      <c r="DA44" s="2809">
        <v>373008.28293330251</v>
      </c>
      <c r="DB44" s="2809">
        <v>352758.42046482803</v>
      </c>
      <c r="DC44" s="2809">
        <v>385649.40622922993</v>
      </c>
      <c r="DD44" s="2809">
        <v>363279.79565297958</v>
      </c>
      <c r="DE44" s="2809">
        <v>353672.22692313755</v>
      </c>
      <c r="DF44" s="2809">
        <v>336891.62640916527</v>
      </c>
      <c r="DG44" s="2809">
        <v>392202.11374761362</v>
      </c>
      <c r="DH44" s="2809">
        <v>354145.52008613723</v>
      </c>
      <c r="DI44" s="2809">
        <v>372566.96164006862</v>
      </c>
      <c r="DJ44" s="2809">
        <v>346889.67271337175</v>
      </c>
      <c r="DK44" s="2809">
        <v>339080.05635992333</v>
      </c>
      <c r="DL44" s="2809">
        <v>372547.20632164081</v>
      </c>
      <c r="DM44" s="2809">
        <v>345020.34132282884</v>
      </c>
      <c r="DN44" s="2809">
        <v>352026.16984591458</v>
      </c>
      <c r="DO44" s="2809">
        <v>372869.15477806696</v>
      </c>
      <c r="DP44" s="2809">
        <v>425430.81849484541</v>
      </c>
      <c r="DQ44" s="2809">
        <v>378325.0342431232</v>
      </c>
      <c r="DR44" s="2809">
        <v>378124.14407719782</v>
      </c>
      <c r="DS44" s="2809">
        <v>389345.73745258374</v>
      </c>
      <c r="DT44" s="2809">
        <v>393152.78312206076</v>
      </c>
      <c r="DU44" s="2809">
        <v>393799.49649500381</v>
      </c>
      <c r="DV44" s="2809">
        <v>399158.47932819545</v>
      </c>
      <c r="DW44" s="2809">
        <v>431125.96424864652</v>
      </c>
      <c r="DX44" s="2809">
        <v>397686.15572789341</v>
      </c>
      <c r="DY44" s="2809">
        <v>491444.3765313914</v>
      </c>
      <c r="DZ44" s="2809">
        <v>505283.20364732033</v>
      </c>
      <c r="EA44" s="2809">
        <v>461673.38126699225</v>
      </c>
      <c r="EB44" s="2809">
        <v>477535.98417066422</v>
      </c>
      <c r="EC44" s="2809">
        <v>468677.71510817122</v>
      </c>
      <c r="ED44" s="2809">
        <v>452951.25845440623</v>
      </c>
      <c r="EE44" s="2809">
        <v>524636.90653630672</v>
      </c>
      <c r="EF44" s="2809">
        <v>551733.46787802991</v>
      </c>
      <c r="EG44" s="2809">
        <v>480913.714471235</v>
      </c>
      <c r="EH44" s="2809">
        <v>523729.98302754969</v>
      </c>
      <c r="EI44" s="2809">
        <v>517201.64438044082</v>
      </c>
      <c r="EJ44" s="2809">
        <v>499924.38252289861</v>
      </c>
      <c r="EK44" s="2809">
        <v>552015.49425927445</v>
      </c>
      <c r="EL44" s="2809">
        <v>552285.28254130215</v>
      </c>
      <c r="EM44" s="2809">
        <v>539238.5414826253</v>
      </c>
      <c r="EN44" s="2809">
        <v>554393.67126472527</v>
      </c>
      <c r="EO44" s="2809">
        <v>557096.9627283538</v>
      </c>
      <c r="EP44" s="2809">
        <v>538666.77301680064</v>
      </c>
      <c r="EQ44" s="2809">
        <v>557052.76230342826</v>
      </c>
      <c r="ER44" s="2809">
        <v>548816.20608771534</v>
      </c>
      <c r="ES44" s="2809">
        <v>610344.4000881731</v>
      </c>
      <c r="ET44" s="2809">
        <v>589539.19378155493</v>
      </c>
      <c r="EU44" s="2809">
        <v>543114.42312705528</v>
      </c>
      <c r="EV44" s="2809">
        <v>576486.50846704061</v>
      </c>
      <c r="EW44" s="2809">
        <v>565220.24229577091</v>
      </c>
      <c r="EX44" s="2809">
        <v>577580.60029436345</v>
      </c>
      <c r="EY44" s="2809">
        <v>581360.04692740284</v>
      </c>
      <c r="EZ44" s="2809">
        <v>670222.42589064152</v>
      </c>
      <c r="FA44" s="2809">
        <v>571651.57729259739</v>
      </c>
      <c r="FB44" s="2809">
        <v>631017.74052719015</v>
      </c>
      <c r="FC44" s="2809">
        <v>629474.23678417609</v>
      </c>
      <c r="FD44" s="2809">
        <v>634716.75839133351</v>
      </c>
      <c r="FE44" s="2809">
        <v>664266.66843291663</v>
      </c>
      <c r="FF44" s="2809">
        <v>655547.53331811575</v>
      </c>
      <c r="FG44" s="2809">
        <v>622444.84587232384</v>
      </c>
      <c r="FH44" s="2809">
        <v>669864.76880746498</v>
      </c>
      <c r="FI44" s="2809">
        <v>612799.88168887782</v>
      </c>
      <c r="FJ44" s="2820"/>
    </row>
    <row r="45" spans="1:166" s="2822" customFormat="1" ht="17.100000000000001" customHeight="1" x14ac:dyDescent="0.25">
      <c r="A45" s="2825" t="s">
        <v>2723</v>
      </c>
      <c r="B45" s="2821">
        <v>30107.789499937426</v>
      </c>
      <c r="C45" s="2821">
        <v>31094.415139565433</v>
      </c>
      <c r="D45" s="2821">
        <v>30962.734737710922</v>
      </c>
      <c r="E45" s="2821">
        <v>31722.669563358049</v>
      </c>
      <c r="F45" s="2821">
        <v>32291.245409282688</v>
      </c>
      <c r="G45" s="2821">
        <v>32190.982644318014</v>
      </c>
      <c r="H45" s="2821">
        <v>30094.231303218694</v>
      </c>
      <c r="I45" s="2821">
        <v>28685.302738552557</v>
      </c>
      <c r="J45" s="2821">
        <v>27202.292881792404</v>
      </c>
      <c r="K45" s="2821">
        <v>28366.741870910635</v>
      </c>
      <c r="L45" s="2821">
        <v>26731.42360877612</v>
      </c>
      <c r="M45" s="2821">
        <v>29842.888080704441</v>
      </c>
      <c r="N45" s="2821">
        <v>29586.633266821053</v>
      </c>
      <c r="O45" s="2821">
        <v>29891.802077865294</v>
      </c>
      <c r="P45" s="2821">
        <v>25947.623236333402</v>
      </c>
      <c r="Q45" s="2821">
        <v>27891.315556650738</v>
      </c>
      <c r="R45" s="2821">
        <v>27836.31586989648</v>
      </c>
      <c r="S45" s="2821">
        <v>29550.652640857741</v>
      </c>
      <c r="T45" s="2821">
        <v>28814.146909541629</v>
      </c>
      <c r="U45" s="2821">
        <v>29743.461993769037</v>
      </c>
      <c r="V45" s="2821">
        <v>28007.929026793463</v>
      </c>
      <c r="W45" s="2821">
        <v>27848.917471561232</v>
      </c>
      <c r="X45" s="2821">
        <v>30798.47857303136</v>
      </c>
      <c r="Y45" s="2821">
        <v>30173.425683765054</v>
      </c>
      <c r="Z45" s="2821">
        <v>27635.564013278305</v>
      </c>
      <c r="AA45" s="2821">
        <v>28505.675546840474</v>
      </c>
      <c r="AB45" s="2821">
        <v>30015.249470331852</v>
      </c>
      <c r="AC45" s="2821">
        <v>28849.601820639546</v>
      </c>
      <c r="AD45" s="2821">
        <v>29685.935308031254</v>
      </c>
      <c r="AE45" s="2821">
        <v>27434.626315896196</v>
      </c>
      <c r="AF45" s="2821">
        <v>24564.372512824601</v>
      </c>
      <c r="AG45" s="2821">
        <v>24843.929419416803</v>
      </c>
      <c r="AH45" s="2821">
        <v>26903.079659206087</v>
      </c>
      <c r="AI45" s="2821">
        <v>26692.130185590468</v>
      </c>
      <c r="AJ45" s="2821">
        <v>23489.867346898696</v>
      </c>
      <c r="AK45" s="2821">
        <v>26748.267328989143</v>
      </c>
      <c r="AL45" s="2821">
        <v>24970.557388426176</v>
      </c>
      <c r="AM45" s="2821">
        <v>27360.034197333964</v>
      </c>
      <c r="AN45" s="2821">
        <v>28048.947249844314</v>
      </c>
      <c r="AO45" s="2821">
        <v>27103.250200486156</v>
      </c>
      <c r="AP45" s="2821">
        <v>23704.250976455434</v>
      </c>
      <c r="AQ45" s="2821">
        <v>24490.234397729695</v>
      </c>
      <c r="AR45" s="2821">
        <v>29194.044954404722</v>
      </c>
      <c r="AS45" s="2821">
        <v>31589.148616054383</v>
      </c>
      <c r="AT45" s="2821">
        <v>28878.627380932823</v>
      </c>
      <c r="AU45" s="2821">
        <v>29438.984456836901</v>
      </c>
      <c r="AV45" s="2821">
        <v>32222.328507304621</v>
      </c>
      <c r="AW45" s="2821">
        <v>34759.046630821162</v>
      </c>
      <c r="AX45" s="2821">
        <v>34060.323408110286</v>
      </c>
      <c r="AY45" s="2821">
        <v>34817.59427536845</v>
      </c>
      <c r="AZ45" s="2821">
        <v>35853.595180281867</v>
      </c>
      <c r="BA45" s="2821">
        <v>32821.366597128304</v>
      </c>
      <c r="BB45" s="2821">
        <v>35817.305316602025</v>
      </c>
      <c r="BC45" s="2821">
        <v>34503.982019541341</v>
      </c>
      <c r="BD45" s="2821">
        <v>34366.650950250732</v>
      </c>
      <c r="BE45" s="2821">
        <v>33649.017850934637</v>
      </c>
      <c r="BF45" s="2821">
        <v>34106.491150883034</v>
      </c>
      <c r="BG45" s="2821">
        <v>38799.4385675999</v>
      </c>
      <c r="BH45" s="2821">
        <v>42147.93707209549</v>
      </c>
      <c r="BI45" s="2821">
        <v>44771.48306422789</v>
      </c>
      <c r="BJ45" s="2821">
        <v>45036.202349362306</v>
      </c>
      <c r="BK45" s="2821">
        <v>46331.067374710321</v>
      </c>
      <c r="BL45" s="2821">
        <v>41183.321744285538</v>
      </c>
      <c r="BM45" s="2821">
        <v>43101.216780224531</v>
      </c>
      <c r="BN45" s="2821">
        <v>45620.751845429142</v>
      </c>
      <c r="BO45" s="2821">
        <v>46467.822872853139</v>
      </c>
      <c r="BP45" s="2821">
        <v>41800.329991954648</v>
      </c>
      <c r="BQ45" s="2821">
        <v>43686.775365199937</v>
      </c>
      <c r="BR45" s="2821">
        <v>43681.973409324011</v>
      </c>
      <c r="BS45" s="2821">
        <v>44899.085888896501</v>
      </c>
      <c r="BT45" s="2821">
        <v>43210.837423796293</v>
      </c>
      <c r="BU45" s="2821">
        <v>41980</v>
      </c>
      <c r="BV45" s="2821">
        <v>45398.624617775524</v>
      </c>
      <c r="BW45" s="2821">
        <v>45850.184701248843</v>
      </c>
      <c r="BX45" s="2821">
        <v>47471.770916704685</v>
      </c>
      <c r="BY45" s="2821">
        <v>48841.163122945531</v>
      </c>
      <c r="BZ45" s="2821">
        <v>48939.061043156864</v>
      </c>
      <c r="CA45" s="2821">
        <v>48559.106785962656</v>
      </c>
      <c r="CB45" s="2821">
        <v>50347.187260151761</v>
      </c>
      <c r="CC45" s="2821">
        <v>51497.330629808996</v>
      </c>
      <c r="CD45" s="2821">
        <v>52695.083670413922</v>
      </c>
      <c r="CE45" s="2821">
        <v>51355.875816715743</v>
      </c>
      <c r="CF45" s="2821">
        <v>50543.252148329782</v>
      </c>
      <c r="CG45" s="2821">
        <v>54205.256048266332</v>
      </c>
      <c r="CH45" s="2821">
        <v>57786.276979130576</v>
      </c>
      <c r="CI45" s="2821">
        <v>60550.247691456199</v>
      </c>
      <c r="CJ45" s="2821">
        <v>58360.116763411352</v>
      </c>
      <c r="CK45" s="2821">
        <v>59555.127514303174</v>
      </c>
      <c r="CL45" s="2821">
        <v>60020.524952242806</v>
      </c>
      <c r="CM45" s="2821">
        <v>58184.085388191401</v>
      </c>
      <c r="CN45" s="2821">
        <v>60388.294788046122</v>
      </c>
      <c r="CO45" s="2821">
        <v>61673.068176989822</v>
      </c>
      <c r="CP45" s="2821">
        <v>68216.477835393627</v>
      </c>
      <c r="CQ45" s="2821">
        <v>65446.342275645453</v>
      </c>
      <c r="CR45" s="2821">
        <v>66975.754472175235</v>
      </c>
      <c r="CS45" s="2821">
        <v>69678.438954631318</v>
      </c>
      <c r="CT45" s="2821">
        <v>70026.805459254945</v>
      </c>
      <c r="CU45" s="2821">
        <v>74964.16579981595</v>
      </c>
      <c r="CV45" s="2821">
        <v>75603.222067292911</v>
      </c>
      <c r="CW45" s="2821">
        <v>74864.738460086723</v>
      </c>
      <c r="CX45" s="2821">
        <v>72846.78961780922</v>
      </c>
      <c r="CY45" s="2821">
        <v>70859.639008618862</v>
      </c>
      <c r="CZ45" s="2821">
        <v>68061.108631799856</v>
      </c>
      <c r="DA45" s="2821">
        <v>70572.590508300942</v>
      </c>
      <c r="DB45" s="2821">
        <v>71569.497963110611</v>
      </c>
      <c r="DC45" s="2821">
        <v>73521.73544106973</v>
      </c>
      <c r="DD45" s="2821">
        <v>76710.534558027837</v>
      </c>
      <c r="DE45" s="2821">
        <v>75333.36498810933</v>
      </c>
      <c r="DF45" s="2821">
        <v>77577.830289399615</v>
      </c>
      <c r="DG45" s="2821">
        <v>79130.052553158428</v>
      </c>
      <c r="DH45" s="2821">
        <v>81328.105320117786</v>
      </c>
      <c r="DI45" s="2821">
        <v>81462.347226139711</v>
      </c>
      <c r="DJ45" s="2821">
        <v>83756.258916353021</v>
      </c>
      <c r="DK45" s="2821">
        <v>81157.434213993198</v>
      </c>
      <c r="DL45" s="2821">
        <v>80769.930632950767</v>
      </c>
      <c r="DM45" s="2821">
        <v>83083.676186016295</v>
      </c>
      <c r="DN45" s="2821">
        <v>81688.577415032501</v>
      </c>
      <c r="DO45" s="2821">
        <v>84532.691022840867</v>
      </c>
      <c r="DP45" s="2821">
        <v>90520.634915157571</v>
      </c>
      <c r="DQ45" s="2821">
        <v>72506.872336634973</v>
      </c>
      <c r="DR45" s="2821">
        <v>80581.332171483809</v>
      </c>
      <c r="DS45" s="2821">
        <v>86551.353297311303</v>
      </c>
      <c r="DT45" s="2821">
        <v>93766.651300882455</v>
      </c>
      <c r="DU45" s="2821">
        <v>102389.82691172506</v>
      </c>
      <c r="DV45" s="2821">
        <v>114689.53232434727</v>
      </c>
      <c r="DW45" s="2821">
        <v>108858.03239432072</v>
      </c>
      <c r="DX45" s="2821">
        <v>102781.82188343776</v>
      </c>
      <c r="DY45" s="2821">
        <v>68553.847912105644</v>
      </c>
      <c r="DZ45" s="2821">
        <v>63587.99425914805</v>
      </c>
      <c r="EA45" s="2821">
        <v>67640.188858857407</v>
      </c>
      <c r="EB45" s="2821">
        <v>73793.763753036474</v>
      </c>
      <c r="EC45" s="2821">
        <v>78891.757295663585</v>
      </c>
      <c r="ED45" s="2821">
        <v>83951.434636307589</v>
      </c>
      <c r="EE45" s="2821">
        <v>88117.980086452633</v>
      </c>
      <c r="EF45" s="2821">
        <v>84218.039875542745</v>
      </c>
      <c r="EG45" s="2821">
        <v>91392.850719704264</v>
      </c>
      <c r="EH45" s="2821">
        <v>97199.326574077015</v>
      </c>
      <c r="EI45" s="2821">
        <v>104148.84429318219</v>
      </c>
      <c r="EJ45" s="2821">
        <v>112870.52682081731</v>
      </c>
      <c r="EK45" s="2821">
        <v>105115.47504876007</v>
      </c>
      <c r="EL45" s="2821">
        <v>109770.58718039122</v>
      </c>
      <c r="EM45" s="2821">
        <v>126576.27780357203</v>
      </c>
      <c r="EN45" s="2821">
        <v>127945.07973559226</v>
      </c>
      <c r="EO45" s="2821">
        <v>106364.81926206916</v>
      </c>
      <c r="EP45" s="2821">
        <v>105020.0642372171</v>
      </c>
      <c r="EQ45" s="2821">
        <v>110562.98954058954</v>
      </c>
      <c r="ER45" s="2821">
        <v>119473.29891093315</v>
      </c>
      <c r="ES45" s="2821">
        <v>119486.97101459934</v>
      </c>
      <c r="ET45" s="2821">
        <v>116806.72254627224</v>
      </c>
      <c r="EU45" s="2821">
        <v>122787.38017796798</v>
      </c>
      <c r="EV45" s="2821">
        <v>131973.5083362498</v>
      </c>
      <c r="EW45" s="2821">
        <v>136411.56507286397</v>
      </c>
      <c r="EX45" s="2821">
        <v>140657.91943377131</v>
      </c>
      <c r="EY45" s="2821">
        <v>139934.41389415014</v>
      </c>
      <c r="EZ45" s="2821">
        <v>132986.23246049034</v>
      </c>
      <c r="FA45" s="2821">
        <v>132506.98662919633</v>
      </c>
      <c r="FB45" s="2821">
        <v>131438.36171991396</v>
      </c>
      <c r="FC45" s="2821">
        <v>138261.28360140373</v>
      </c>
      <c r="FD45" s="2821">
        <v>140951.32705585702</v>
      </c>
      <c r="FE45" s="2821">
        <v>141973.56460546658</v>
      </c>
      <c r="FF45" s="2821">
        <v>138200.88188643233</v>
      </c>
      <c r="FG45" s="2821">
        <v>141385.25681095314</v>
      </c>
      <c r="FH45" s="2821">
        <v>147986.4902102729</v>
      </c>
      <c r="FI45" s="2821">
        <v>153076.76490681182</v>
      </c>
      <c r="FJ45" s="2820"/>
    </row>
    <row r="46" spans="1:166" ht="17.100000000000001" customHeight="1" x14ac:dyDescent="0.25">
      <c r="A46" s="2807" t="s">
        <v>2721</v>
      </c>
      <c r="B46" s="2809">
        <v>-16094.591653099998</v>
      </c>
      <c r="C46" s="2809">
        <v>-15133.990915980001</v>
      </c>
      <c r="D46" s="2809">
        <v>-10574.257390679999</v>
      </c>
      <c r="E46" s="2809">
        <v>-13160.13132181</v>
      </c>
      <c r="F46" s="2809">
        <v>-13184.197336680001</v>
      </c>
      <c r="G46" s="2809">
        <v>-12603.214470860001</v>
      </c>
      <c r="H46" s="2809">
        <v>-12649.402737140001</v>
      </c>
      <c r="I46" s="2809">
        <v>-13999.36386032</v>
      </c>
      <c r="J46" s="2809">
        <v>-12309.791425859999</v>
      </c>
      <c r="K46" s="2809">
        <v>-9506.4930552200003</v>
      </c>
      <c r="L46" s="2809">
        <v>-11316.247423609999</v>
      </c>
      <c r="M46" s="2809">
        <v>-9687.6799926800013</v>
      </c>
      <c r="N46" s="2809">
        <v>-8384.2803368000004</v>
      </c>
      <c r="O46" s="2809">
        <v>-7735.6408573600002</v>
      </c>
      <c r="P46" s="2809">
        <v>-11176.693028849997</v>
      </c>
      <c r="Q46" s="2809">
        <v>-9606.6951597400002</v>
      </c>
      <c r="R46" s="2809">
        <v>-11320.184787369999</v>
      </c>
      <c r="S46" s="2809">
        <v>-10168.74607549</v>
      </c>
      <c r="T46" s="2809">
        <v>-11201.799995440004</v>
      </c>
      <c r="U46" s="2809">
        <v>-8361.1217992800011</v>
      </c>
      <c r="V46" s="2809">
        <v>-10561.849022570001</v>
      </c>
      <c r="W46" s="2809">
        <v>-11253.339342660001</v>
      </c>
      <c r="X46" s="2809">
        <v>-9436.6171233200002</v>
      </c>
      <c r="Y46" s="2809">
        <v>-7837.3001372700001</v>
      </c>
      <c r="Z46" s="2809">
        <v>-10079.960773000003</v>
      </c>
      <c r="AA46" s="2809">
        <v>-8692.3302772299994</v>
      </c>
      <c r="AB46" s="2809">
        <v>-9372.881900270002</v>
      </c>
      <c r="AC46" s="2809">
        <v>-8880.1699302400029</v>
      </c>
      <c r="AD46" s="2809">
        <v>-8780.1530179400033</v>
      </c>
      <c r="AE46" s="2809">
        <v>-11179.910112040001</v>
      </c>
      <c r="AF46" s="2809">
        <v>-11456.030725809998</v>
      </c>
      <c r="AG46" s="2809">
        <v>-13179.341982179998</v>
      </c>
      <c r="AH46" s="2809">
        <v>-11879.09227354</v>
      </c>
      <c r="AI46" s="2809">
        <v>-13350.546611650003</v>
      </c>
      <c r="AJ46" s="2809">
        <v>-16898.939951499997</v>
      </c>
      <c r="AK46" s="2809">
        <v>-11466.967172649998</v>
      </c>
      <c r="AL46" s="2809">
        <v>-13650.276193949998</v>
      </c>
      <c r="AM46" s="2809">
        <v>-12018.874950829999</v>
      </c>
      <c r="AN46" s="2809">
        <v>-12476.195903029999</v>
      </c>
      <c r="AO46" s="2809">
        <v>-14313.36957282</v>
      </c>
      <c r="AP46" s="2809">
        <v>-17374.062681929754</v>
      </c>
      <c r="AQ46" s="2809">
        <v>-18112.053482993684</v>
      </c>
      <c r="AR46" s="2809">
        <v>-14044.60487612374</v>
      </c>
      <c r="AS46" s="2809">
        <v>-13816.06028582856</v>
      </c>
      <c r="AT46" s="2809">
        <v>-17341.511666418828</v>
      </c>
      <c r="AU46" s="2809">
        <v>-15217.901120033093</v>
      </c>
      <c r="AV46" s="2809">
        <v>-13552.266238281474</v>
      </c>
      <c r="AW46" s="2809">
        <v>-10932.694839660657</v>
      </c>
      <c r="AX46" s="2809">
        <v>-13197.887711877294</v>
      </c>
      <c r="AY46" s="2809">
        <v>-12463.583303451964</v>
      </c>
      <c r="AZ46" s="2809">
        <v>-13387.690245879574</v>
      </c>
      <c r="BA46" s="2809">
        <v>-17897.114501728862</v>
      </c>
      <c r="BB46" s="2809">
        <v>-16472.475734490621</v>
      </c>
      <c r="BC46" s="2809">
        <v>-18912.303265928196</v>
      </c>
      <c r="BD46" s="2809">
        <v>-19181.228839505362</v>
      </c>
      <c r="BE46" s="2809">
        <v>-20865.026249724659</v>
      </c>
      <c r="BF46" s="2809">
        <v>-24581.233548614022</v>
      </c>
      <c r="BG46" s="2809">
        <v>-22626.159615587952</v>
      </c>
      <c r="BH46" s="2809">
        <v>-19870.683686191223</v>
      </c>
      <c r="BI46" s="2809">
        <v>-20743.429970004472</v>
      </c>
      <c r="BJ46" s="2809">
        <v>-19352.681883520723</v>
      </c>
      <c r="BK46" s="2809">
        <v>-22349.474304150681</v>
      </c>
      <c r="BL46" s="2809">
        <v>-23502.995871067244</v>
      </c>
      <c r="BM46" s="2809">
        <v>-22661.474497705807</v>
      </c>
      <c r="BN46" s="2809">
        <v>-22878.465939326445</v>
      </c>
      <c r="BO46" s="2809">
        <v>-21714.827886328236</v>
      </c>
      <c r="BP46" s="2809">
        <v>-26328.382232080454</v>
      </c>
      <c r="BQ46" s="2809">
        <v>-25956.873075779848</v>
      </c>
      <c r="BR46" s="2809">
        <v>-26828.959248950447</v>
      </c>
      <c r="BS46" s="2809">
        <v>-25650.317494534476</v>
      </c>
      <c r="BT46" s="2809">
        <v>-29430.173450514856</v>
      </c>
      <c r="BU46" s="2809">
        <v>-28635</v>
      </c>
      <c r="BV46" s="2809">
        <v>-26971.136303966399</v>
      </c>
      <c r="BW46" s="2809">
        <v>-29312.760556908066</v>
      </c>
      <c r="BX46" s="2809">
        <v>-31958.729724419147</v>
      </c>
      <c r="BY46" s="2809">
        <v>-34518.630189887648</v>
      </c>
      <c r="BZ46" s="2809">
        <v>-29765.040157252177</v>
      </c>
      <c r="CA46" s="2809">
        <v>-35913.45428410665</v>
      </c>
      <c r="CB46" s="2809">
        <v>-35783.323356305329</v>
      </c>
      <c r="CC46" s="2809">
        <v>-37224.626337385162</v>
      </c>
      <c r="CD46" s="2809">
        <v>-37942.026526596077</v>
      </c>
      <c r="CE46" s="2809">
        <v>-41152.21912881577</v>
      </c>
      <c r="CF46" s="2809">
        <v>-41550.868337346699</v>
      </c>
      <c r="CG46" s="2809">
        <v>-38386.59096716639</v>
      </c>
      <c r="CH46" s="2809">
        <v>-32405.033911957518</v>
      </c>
      <c r="CI46" s="2809">
        <v>-35191.526846515859</v>
      </c>
      <c r="CJ46" s="2809">
        <v>-40506.141151634103</v>
      </c>
      <c r="CK46" s="2809">
        <v>-39546.197622725238</v>
      </c>
      <c r="CL46" s="2809">
        <v>-35351.569054948355</v>
      </c>
      <c r="CM46" s="2809">
        <v>-34907.183384128431</v>
      </c>
      <c r="CN46" s="2809">
        <v>-27481.992926843894</v>
      </c>
      <c r="CO46" s="2809">
        <v>-28939.114406344157</v>
      </c>
      <c r="CP46" s="2809">
        <v>-26135.339736256545</v>
      </c>
      <c r="CQ46" s="2809">
        <v>-29274.277120821997</v>
      </c>
      <c r="CR46" s="2809">
        <v>-29484.768431556058</v>
      </c>
      <c r="CS46" s="2809">
        <v>-24932.121414385856</v>
      </c>
      <c r="CT46" s="2809">
        <v>-23701.260518967501</v>
      </c>
      <c r="CU46" s="2809">
        <v>-19829.780191346192</v>
      </c>
      <c r="CV46" s="2809">
        <v>-18394.546459666919</v>
      </c>
      <c r="CW46" s="2809">
        <v>-17571.779205522427</v>
      </c>
      <c r="CX46" s="2809">
        <v>-18573.606077410073</v>
      </c>
      <c r="CY46" s="2809">
        <v>-22246.375063844021</v>
      </c>
      <c r="CZ46" s="2809">
        <v>-25283.029247717244</v>
      </c>
      <c r="DA46" s="2809">
        <v>-21010.18099120606</v>
      </c>
      <c r="DB46" s="2809">
        <v>-22958.469095949196</v>
      </c>
      <c r="DC46" s="2809">
        <v>-22390.423569186998</v>
      </c>
      <c r="DD46" s="2809">
        <v>-19647.914046480033</v>
      </c>
      <c r="DE46" s="2809">
        <v>-19273.09610646783</v>
      </c>
      <c r="DF46" s="2809">
        <v>-20935.306592958881</v>
      </c>
      <c r="DG46" s="2809">
        <v>-19289.037028424798</v>
      </c>
      <c r="DH46" s="2809">
        <v>-20772.733527978315</v>
      </c>
      <c r="DI46" s="2809">
        <v>-18967.234455908358</v>
      </c>
      <c r="DJ46" s="2809">
        <v>-21200.26106011423</v>
      </c>
      <c r="DK46" s="2809">
        <v>-18445.956216161783</v>
      </c>
      <c r="DL46" s="2809">
        <v>-18377.2636097016</v>
      </c>
      <c r="DM46" s="2809">
        <v>-21627.090344343022</v>
      </c>
      <c r="DN46" s="2809">
        <v>-19402.232828217911</v>
      </c>
      <c r="DO46" s="2809">
        <v>-18081.413977269593</v>
      </c>
      <c r="DP46" s="2809">
        <v>-19279.206900320001</v>
      </c>
      <c r="DQ46" s="2809">
        <v>-23863.349618259625</v>
      </c>
      <c r="DR46" s="2809">
        <v>-24211.561883350314</v>
      </c>
      <c r="DS46" s="2809">
        <v>-13684.554506002109</v>
      </c>
      <c r="DT46" s="2809">
        <v>-13755.411136558921</v>
      </c>
      <c r="DU46" s="2809">
        <v>-12727.236643302333</v>
      </c>
      <c r="DV46" s="2809">
        <v>1025.7089805331761</v>
      </c>
      <c r="DW46" s="2809">
        <v>-22127.335113032943</v>
      </c>
      <c r="DX46" s="2809">
        <v>-21088.749873838813</v>
      </c>
      <c r="DY46" s="2809">
        <v>-49104.374233031187</v>
      </c>
      <c r="DZ46" s="2809">
        <v>-51513.327108830243</v>
      </c>
      <c r="EA46" s="2809">
        <v>-42431.598791852331</v>
      </c>
      <c r="EB46" s="2809">
        <v>-34259.903045684754</v>
      </c>
      <c r="EC46" s="2809">
        <v>-27032.858213989537</v>
      </c>
      <c r="ED46" s="2809">
        <v>-29267.717830482128</v>
      </c>
      <c r="EE46" s="2809">
        <v>-30965.464448109906</v>
      </c>
      <c r="EF46" s="2809">
        <v>-40247.084593347718</v>
      </c>
      <c r="EG46" s="2809">
        <v>-36882.971087025631</v>
      </c>
      <c r="EH46" s="2809">
        <v>-34161.745417146652</v>
      </c>
      <c r="EI46" s="2809">
        <v>-39984.162914329703</v>
      </c>
      <c r="EJ46" s="2809">
        <v>-31392.598979757619</v>
      </c>
      <c r="EK46" s="2809">
        <v>-41795.13414492146</v>
      </c>
      <c r="EL46" s="2809">
        <v>-39463.641038158414</v>
      </c>
      <c r="EM46" s="2809">
        <v>-19113.246569812924</v>
      </c>
      <c r="EN46" s="2809">
        <v>-21043.5530357916</v>
      </c>
      <c r="EO46" s="2809">
        <v>-32086.843034149988</v>
      </c>
      <c r="EP46" s="2809">
        <v>-47002.342001991929</v>
      </c>
      <c r="EQ46" s="2809">
        <v>-37952.780247631221</v>
      </c>
      <c r="ER46" s="2809">
        <v>-36581.001777217738</v>
      </c>
      <c r="ES46" s="2809">
        <v>-33834.173461812607</v>
      </c>
      <c r="ET46" s="2809">
        <v>-38432.212985026483</v>
      </c>
      <c r="EU46" s="2809">
        <v>-27357.031242339341</v>
      </c>
      <c r="EV46" s="2809">
        <v>-20514.277846540346</v>
      </c>
      <c r="EW46" s="2809">
        <v>-22145.320971511253</v>
      </c>
      <c r="EX46" s="2809">
        <v>-19017.166652724962</v>
      </c>
      <c r="EY46" s="2809">
        <v>-18782.588282115576</v>
      </c>
      <c r="EZ46" s="2809">
        <v>-25346.792344075191</v>
      </c>
      <c r="FA46" s="2809">
        <v>-18478.342559409499</v>
      </c>
      <c r="FB46" s="2809">
        <v>-18001.313390165986</v>
      </c>
      <c r="FC46" s="2809">
        <v>-10767.515470433402</v>
      </c>
      <c r="FD46" s="2809">
        <v>-15230.131451164722</v>
      </c>
      <c r="FE46" s="2809">
        <v>-16464.269159245589</v>
      </c>
      <c r="FF46" s="2809">
        <v>-21193.5904879882</v>
      </c>
      <c r="FG46" s="2809">
        <v>-19694.61550680381</v>
      </c>
      <c r="FH46" s="2809">
        <v>-15493.845913593652</v>
      </c>
      <c r="FI46" s="2809">
        <v>-11659.828165529691</v>
      </c>
      <c r="FJ46" s="2820"/>
    </row>
    <row r="47" spans="1:166" ht="17.100000000000001" customHeight="1" x14ac:dyDescent="0.25">
      <c r="A47" s="2807" t="s">
        <v>2722</v>
      </c>
      <c r="B47" s="2809">
        <v>46202.381153037422</v>
      </c>
      <c r="C47" s="2809">
        <v>46228.406055545434</v>
      </c>
      <c r="D47" s="2809">
        <v>41536.992128390921</v>
      </c>
      <c r="E47" s="2809">
        <v>44882.80088516805</v>
      </c>
      <c r="F47" s="2809">
        <v>45475.44274596269</v>
      </c>
      <c r="G47" s="2809">
        <v>44794.197115178016</v>
      </c>
      <c r="H47" s="2809">
        <v>42743.634040358695</v>
      </c>
      <c r="I47" s="2809">
        <v>42684.666598872558</v>
      </c>
      <c r="J47" s="2809">
        <v>39512.084307652403</v>
      </c>
      <c r="K47" s="2809">
        <v>37873.234926130637</v>
      </c>
      <c r="L47" s="2809">
        <v>38047.671032386119</v>
      </c>
      <c r="M47" s="2809">
        <v>39530.568073384442</v>
      </c>
      <c r="N47" s="2809">
        <v>37970.913603621055</v>
      </c>
      <c r="O47" s="2809">
        <v>37627.442935225292</v>
      </c>
      <c r="P47" s="2809">
        <v>37124.316265183399</v>
      </c>
      <c r="Q47" s="2809">
        <v>37498.010716390738</v>
      </c>
      <c r="R47" s="2809">
        <v>39156.500657266479</v>
      </c>
      <c r="S47" s="2809">
        <v>39719.398716347743</v>
      </c>
      <c r="T47" s="2809">
        <v>40015.946904981633</v>
      </c>
      <c r="U47" s="2809">
        <v>38104.583793049038</v>
      </c>
      <c r="V47" s="2809">
        <v>38569.778049363464</v>
      </c>
      <c r="W47" s="2809">
        <v>39102.256814221233</v>
      </c>
      <c r="X47" s="2809">
        <v>40235.09569635136</v>
      </c>
      <c r="Y47" s="2809">
        <v>38010.725821035056</v>
      </c>
      <c r="Z47" s="2809">
        <v>37715.524786278307</v>
      </c>
      <c r="AA47" s="2809">
        <v>37198.005824070475</v>
      </c>
      <c r="AB47" s="2809">
        <v>39388.131370601855</v>
      </c>
      <c r="AC47" s="2809">
        <v>37729.771750879547</v>
      </c>
      <c r="AD47" s="2809">
        <v>38466.088325971257</v>
      </c>
      <c r="AE47" s="2809">
        <v>38614.536427936197</v>
      </c>
      <c r="AF47" s="2809">
        <v>36020.403238634601</v>
      </c>
      <c r="AG47" s="2809">
        <v>38023.271401596801</v>
      </c>
      <c r="AH47" s="2809">
        <v>38782.171932746089</v>
      </c>
      <c r="AI47" s="2809">
        <v>40042.67679724047</v>
      </c>
      <c r="AJ47" s="2809">
        <v>40388.807298398693</v>
      </c>
      <c r="AK47" s="2809">
        <v>38215.234501639141</v>
      </c>
      <c r="AL47" s="2809">
        <v>38620.833582376174</v>
      </c>
      <c r="AM47" s="2809">
        <v>39378.909148163963</v>
      </c>
      <c r="AN47" s="2809">
        <v>40525.143152874312</v>
      </c>
      <c r="AO47" s="2809">
        <v>41416.619773306156</v>
      </c>
      <c r="AP47" s="2809">
        <v>41078.313658385188</v>
      </c>
      <c r="AQ47" s="2809">
        <v>42602.287880723379</v>
      </c>
      <c r="AR47" s="2809">
        <v>43238.649830528462</v>
      </c>
      <c r="AS47" s="2809">
        <v>45405.208901882943</v>
      </c>
      <c r="AT47" s="2809">
        <v>46220.139047351651</v>
      </c>
      <c r="AU47" s="2809">
        <v>44656.885576869994</v>
      </c>
      <c r="AV47" s="2809">
        <v>45774.594745586095</v>
      </c>
      <c r="AW47" s="2809">
        <v>45691.741470481815</v>
      </c>
      <c r="AX47" s="2809">
        <v>47258.21111998758</v>
      </c>
      <c r="AY47" s="2809">
        <v>47281.17757882041</v>
      </c>
      <c r="AZ47" s="2809">
        <v>49241.285426161441</v>
      </c>
      <c r="BA47" s="2809">
        <v>50718.48109885717</v>
      </c>
      <c r="BB47" s="2809">
        <v>52289.78105109265</v>
      </c>
      <c r="BC47" s="2809">
        <v>53416.285285469537</v>
      </c>
      <c r="BD47" s="2809">
        <v>53547.879789756094</v>
      </c>
      <c r="BE47" s="2809">
        <v>54514.044100659296</v>
      </c>
      <c r="BF47" s="2809">
        <v>58687.724699497056</v>
      </c>
      <c r="BG47" s="2809">
        <v>61425.598183187853</v>
      </c>
      <c r="BH47" s="2809">
        <v>62018.620758286714</v>
      </c>
      <c r="BI47" s="2809">
        <v>65514.913034232362</v>
      </c>
      <c r="BJ47" s="2809">
        <v>64388.884232883029</v>
      </c>
      <c r="BK47" s="2809">
        <v>68680.541678861002</v>
      </c>
      <c r="BL47" s="2809">
        <v>64686.317615352782</v>
      </c>
      <c r="BM47" s="2809">
        <v>65762.691277930338</v>
      </c>
      <c r="BN47" s="2809">
        <v>68499.217784755587</v>
      </c>
      <c r="BO47" s="2809">
        <v>68182.650759181372</v>
      </c>
      <c r="BP47" s="2809">
        <v>68128.712224035102</v>
      </c>
      <c r="BQ47" s="2809">
        <v>69643.648440979785</v>
      </c>
      <c r="BR47" s="2809">
        <v>70510.932658274454</v>
      </c>
      <c r="BS47" s="2809">
        <v>70549.403383430981</v>
      </c>
      <c r="BT47" s="2809">
        <v>72641.010874311149</v>
      </c>
      <c r="BU47" s="2809">
        <v>70615</v>
      </c>
      <c r="BV47" s="2809">
        <v>72369.760921741923</v>
      </c>
      <c r="BW47" s="2809">
        <v>75162.945258156906</v>
      </c>
      <c r="BX47" s="2809">
        <v>79430.500641123828</v>
      </c>
      <c r="BY47" s="2809">
        <v>83359.793312833179</v>
      </c>
      <c r="BZ47" s="2809">
        <v>78704.101200409044</v>
      </c>
      <c r="CA47" s="2809">
        <v>84472.561070069307</v>
      </c>
      <c r="CB47" s="2809">
        <v>86130.51061645709</v>
      </c>
      <c r="CC47" s="2809">
        <v>88721.956967194157</v>
      </c>
      <c r="CD47" s="2809">
        <v>90637.110197009999</v>
      </c>
      <c r="CE47" s="2809">
        <v>92508.094945531513</v>
      </c>
      <c r="CF47" s="2809">
        <v>92094.120485676482</v>
      </c>
      <c r="CG47" s="2809">
        <v>92591.847015432722</v>
      </c>
      <c r="CH47" s="2809">
        <v>90191.310891088098</v>
      </c>
      <c r="CI47" s="2809">
        <v>95741.774537972058</v>
      </c>
      <c r="CJ47" s="2809">
        <v>98866.257915045455</v>
      </c>
      <c r="CK47" s="2809">
        <v>99101.325137028412</v>
      </c>
      <c r="CL47" s="2809">
        <v>95372.094007191161</v>
      </c>
      <c r="CM47" s="2809">
        <v>93091.268772319832</v>
      </c>
      <c r="CN47" s="2809">
        <v>87870.287714890015</v>
      </c>
      <c r="CO47" s="2809">
        <v>90612.182583333983</v>
      </c>
      <c r="CP47" s="2809">
        <v>94351.817571650172</v>
      </c>
      <c r="CQ47" s="2809">
        <v>94720.619396467446</v>
      </c>
      <c r="CR47" s="2809">
        <v>96460.522903731297</v>
      </c>
      <c r="CS47" s="2809">
        <v>94610.56036901717</v>
      </c>
      <c r="CT47" s="2809">
        <v>93728.065978222439</v>
      </c>
      <c r="CU47" s="2809">
        <v>94793.945991162138</v>
      </c>
      <c r="CV47" s="2809">
        <v>93997.76852695983</v>
      </c>
      <c r="CW47" s="2809">
        <v>92436.51766560915</v>
      </c>
      <c r="CX47" s="2809">
        <v>91420.395695219297</v>
      </c>
      <c r="CY47" s="2809">
        <v>93106.014072462887</v>
      </c>
      <c r="CZ47" s="2809">
        <v>93344.137879517104</v>
      </c>
      <c r="DA47" s="2809">
        <v>91582.771499506998</v>
      </c>
      <c r="DB47" s="2809">
        <v>94527.967059059811</v>
      </c>
      <c r="DC47" s="2809">
        <v>95912.159010256728</v>
      </c>
      <c r="DD47" s="2809">
        <v>96358.448604507867</v>
      </c>
      <c r="DE47" s="2809">
        <v>94606.461094577156</v>
      </c>
      <c r="DF47" s="2809">
        <v>98513.136882358493</v>
      </c>
      <c r="DG47" s="2809">
        <v>98419.089581583234</v>
      </c>
      <c r="DH47" s="2809">
        <v>102100.8388480961</v>
      </c>
      <c r="DI47" s="2809">
        <v>100429.58168204807</v>
      </c>
      <c r="DJ47" s="2809">
        <v>104956.51997646724</v>
      </c>
      <c r="DK47" s="2809">
        <v>99603.390430154977</v>
      </c>
      <c r="DL47" s="2809">
        <v>99147.19424265236</v>
      </c>
      <c r="DM47" s="2809">
        <v>104710.76653035931</v>
      </c>
      <c r="DN47" s="2809">
        <v>101090.81024325041</v>
      </c>
      <c r="DO47" s="2809">
        <v>102614.10500011046</v>
      </c>
      <c r="DP47" s="2809">
        <v>109799.84181547757</v>
      </c>
      <c r="DQ47" s="2809">
        <v>96370.221954894601</v>
      </c>
      <c r="DR47" s="2809">
        <v>104792.89405483412</v>
      </c>
      <c r="DS47" s="2809">
        <v>100235.90780331341</v>
      </c>
      <c r="DT47" s="2809">
        <v>107522.06243744137</v>
      </c>
      <c r="DU47" s="2809">
        <v>115117.06355502739</v>
      </c>
      <c r="DV47" s="2809">
        <v>113663.82334381409</v>
      </c>
      <c r="DW47" s="2809">
        <v>130985.36750735366</v>
      </c>
      <c r="DX47" s="2809">
        <v>123870.57175727657</v>
      </c>
      <c r="DY47" s="2809">
        <v>117658.22214513682</v>
      </c>
      <c r="DZ47" s="2809">
        <v>115101.32136797829</v>
      </c>
      <c r="EA47" s="2809">
        <v>110071.78765070974</v>
      </c>
      <c r="EB47" s="2809">
        <v>108053.66679872123</v>
      </c>
      <c r="EC47" s="2809">
        <v>105924.61550965313</v>
      </c>
      <c r="ED47" s="2809">
        <v>113219.15246678972</v>
      </c>
      <c r="EE47" s="2809">
        <v>119083.44453456254</v>
      </c>
      <c r="EF47" s="2809">
        <v>124465.12446889046</v>
      </c>
      <c r="EG47" s="2809">
        <v>128275.82180672989</v>
      </c>
      <c r="EH47" s="2809">
        <v>131361.07199122367</v>
      </c>
      <c r="EI47" s="2809">
        <v>144133.0072075119</v>
      </c>
      <c r="EJ47" s="2809">
        <v>144263.12580057493</v>
      </c>
      <c r="EK47" s="2809">
        <v>146910.60919368154</v>
      </c>
      <c r="EL47" s="2809">
        <v>149234.22821854963</v>
      </c>
      <c r="EM47" s="2809">
        <v>145689.52437338495</v>
      </c>
      <c r="EN47" s="2809">
        <v>148988.63277138385</v>
      </c>
      <c r="EO47" s="2809">
        <v>138451.66229621915</v>
      </c>
      <c r="EP47" s="2809">
        <v>152022.40623920903</v>
      </c>
      <c r="EQ47" s="2809">
        <v>148515.76978822076</v>
      </c>
      <c r="ER47" s="2809">
        <v>156054.30068815089</v>
      </c>
      <c r="ES47" s="2809">
        <v>153321.14447641195</v>
      </c>
      <c r="ET47" s="2809">
        <v>155238.93553129872</v>
      </c>
      <c r="EU47" s="2809">
        <v>150144.41142030733</v>
      </c>
      <c r="EV47" s="2809">
        <v>152487.78618279015</v>
      </c>
      <c r="EW47" s="2809">
        <v>158556.88604437522</v>
      </c>
      <c r="EX47" s="2809">
        <v>159675.08608649627</v>
      </c>
      <c r="EY47" s="2809">
        <v>158717.00217626573</v>
      </c>
      <c r="EZ47" s="2809">
        <v>158333.02480456553</v>
      </c>
      <c r="FA47" s="2809">
        <v>150985.32918860583</v>
      </c>
      <c r="FB47" s="2809">
        <v>149439.67511007993</v>
      </c>
      <c r="FC47" s="2809">
        <v>149028.79907183713</v>
      </c>
      <c r="FD47" s="2809">
        <v>156181.45850702174</v>
      </c>
      <c r="FE47" s="2809">
        <v>158437.83376471218</v>
      </c>
      <c r="FF47" s="2809">
        <v>159394.47237442053</v>
      </c>
      <c r="FG47" s="2809">
        <v>161079.87231775696</v>
      </c>
      <c r="FH47" s="2809">
        <v>163480.33612386655</v>
      </c>
      <c r="FI47" s="2809">
        <v>164736.59307234152</v>
      </c>
      <c r="FJ47" s="2820"/>
    </row>
    <row r="48" spans="1:166" s="2822" customFormat="1" ht="17.100000000000001" customHeight="1" x14ac:dyDescent="0.25">
      <c r="A48" s="2825" t="s">
        <v>2724</v>
      </c>
      <c r="B48" s="2821">
        <v>249049.6457634767</v>
      </c>
      <c r="C48" s="2821">
        <v>248807.77216519354</v>
      </c>
      <c r="D48" s="2821">
        <v>251216.34014935835</v>
      </c>
      <c r="E48" s="2821">
        <v>252571.14770766051</v>
      </c>
      <c r="F48" s="2821">
        <v>263772.26442897564</v>
      </c>
      <c r="G48" s="2821">
        <v>267573.77706727927</v>
      </c>
      <c r="H48" s="2821">
        <v>266546.19427709124</v>
      </c>
      <c r="I48" s="2821">
        <v>271927.19652940845</v>
      </c>
      <c r="J48" s="2821">
        <v>272605.20555799588</v>
      </c>
      <c r="K48" s="2821">
        <v>274950.37682160974</v>
      </c>
      <c r="L48" s="2821">
        <v>276946.48094082711</v>
      </c>
      <c r="M48" s="2821">
        <v>279011.9005774298</v>
      </c>
      <c r="N48" s="2821">
        <v>278925.50306887995</v>
      </c>
      <c r="O48" s="2821">
        <v>281794.30187684559</v>
      </c>
      <c r="P48" s="2821">
        <v>282552.45791129809</v>
      </c>
      <c r="Q48" s="2821">
        <v>286531.20071991388</v>
      </c>
      <c r="R48" s="2821">
        <v>288418.86245035374</v>
      </c>
      <c r="S48" s="2821">
        <v>292124.32001176995</v>
      </c>
      <c r="T48" s="2821">
        <v>295910.29042288021</v>
      </c>
      <c r="U48" s="2821">
        <v>298869.28538751893</v>
      </c>
      <c r="V48" s="2821">
        <v>304317.74497532001</v>
      </c>
      <c r="W48" s="2821">
        <v>313019.72673447238</v>
      </c>
      <c r="X48" s="2821">
        <v>311448.56077553553</v>
      </c>
      <c r="Y48" s="2821">
        <v>311128.60589472816</v>
      </c>
      <c r="Z48" s="2821">
        <v>311614.96213569335</v>
      </c>
      <c r="AA48" s="2821">
        <v>312053.74452528806</v>
      </c>
      <c r="AB48" s="2821">
        <v>316252.63222865068</v>
      </c>
      <c r="AC48" s="2821">
        <v>322237.36142590013</v>
      </c>
      <c r="AD48" s="2821">
        <v>328425.03858686506</v>
      </c>
      <c r="AE48" s="2821">
        <v>339992.21987458708</v>
      </c>
      <c r="AF48" s="2821">
        <v>344302.14351216564</v>
      </c>
      <c r="AG48" s="2821">
        <v>346757.92890193785</v>
      </c>
      <c r="AH48" s="2821">
        <v>349337.30424399534</v>
      </c>
      <c r="AI48" s="2821">
        <v>353848.92335604446</v>
      </c>
      <c r="AJ48" s="2821">
        <v>357405.85055804724</v>
      </c>
      <c r="AK48" s="2821">
        <v>364273.63872408587</v>
      </c>
      <c r="AL48" s="2821">
        <v>365700.0106858334</v>
      </c>
      <c r="AM48" s="2821">
        <v>372023.55270095076</v>
      </c>
      <c r="AN48" s="2821">
        <v>369763.25433820783</v>
      </c>
      <c r="AO48" s="2821">
        <v>373549.03799787484</v>
      </c>
      <c r="AP48" s="2821">
        <v>371865.91460924764</v>
      </c>
      <c r="AQ48" s="2821">
        <v>371452.23091788462</v>
      </c>
      <c r="AR48" s="2821">
        <v>381516.64452129649</v>
      </c>
      <c r="AS48" s="2821">
        <v>403214.62648758269</v>
      </c>
      <c r="AT48" s="2821">
        <v>409852.99746432231</v>
      </c>
      <c r="AU48" s="2821">
        <v>403332.10506721033</v>
      </c>
      <c r="AV48" s="2821">
        <v>406428.21979282878</v>
      </c>
      <c r="AW48" s="2821">
        <v>413415.51091962057</v>
      </c>
      <c r="AX48" s="2821">
        <v>398598.84518461517</v>
      </c>
      <c r="AY48" s="2821">
        <v>401054.46897641121</v>
      </c>
      <c r="AZ48" s="2821">
        <v>402940.77149325603</v>
      </c>
      <c r="BA48" s="2821">
        <v>403970.49852973624</v>
      </c>
      <c r="BB48" s="2821">
        <v>398087.2159975979</v>
      </c>
      <c r="BC48" s="2821">
        <v>391977.25670871098</v>
      </c>
      <c r="BD48" s="2821">
        <v>390386.78573823883</v>
      </c>
      <c r="BE48" s="2821">
        <v>389133.07236688567</v>
      </c>
      <c r="BF48" s="2821">
        <v>390326.26670956856</v>
      </c>
      <c r="BG48" s="2821">
        <v>394713.68888715311</v>
      </c>
      <c r="BH48" s="2821">
        <v>403626.6251230645</v>
      </c>
      <c r="BI48" s="2821">
        <v>402034.57576756674</v>
      </c>
      <c r="BJ48" s="2821">
        <v>403049.78413234965</v>
      </c>
      <c r="BK48" s="2821">
        <v>406708.58711020421</v>
      </c>
      <c r="BL48" s="2821">
        <v>420833.52840106795</v>
      </c>
      <c r="BM48" s="2821">
        <v>409999.09764211474</v>
      </c>
      <c r="BN48" s="2821">
        <v>410049.14788507775</v>
      </c>
      <c r="BO48" s="2821">
        <v>414496.77065093926</v>
      </c>
      <c r="BP48" s="2821">
        <v>415860.11372209055</v>
      </c>
      <c r="BQ48" s="2821">
        <v>424519.53156377701</v>
      </c>
      <c r="BR48" s="2821">
        <v>426617.64876020927</v>
      </c>
      <c r="BS48" s="2821">
        <v>427637.71890229994</v>
      </c>
      <c r="BT48" s="2821">
        <v>430810.36150097579</v>
      </c>
      <c r="BU48" s="2821">
        <v>434672</v>
      </c>
      <c r="BV48" s="2821">
        <v>439203.52930083545</v>
      </c>
      <c r="BW48" s="2821">
        <v>439359.98284018214</v>
      </c>
      <c r="BX48" s="2821">
        <v>435001.29686293373</v>
      </c>
      <c r="BY48" s="2821">
        <v>431098.67933808913</v>
      </c>
      <c r="BZ48" s="2821">
        <v>435339.36788126238</v>
      </c>
      <c r="CA48" s="2821">
        <v>437123.20882603136</v>
      </c>
      <c r="CB48" s="2821">
        <v>444612.80199413287</v>
      </c>
      <c r="CC48" s="2821">
        <v>439060.37191924034</v>
      </c>
      <c r="CD48" s="2821">
        <v>440061.58054031956</v>
      </c>
      <c r="CE48" s="2821">
        <v>447458.7780713992</v>
      </c>
      <c r="CF48" s="2821">
        <v>441429.38226082473</v>
      </c>
      <c r="CG48" s="2821">
        <v>439052.39421066613</v>
      </c>
      <c r="CH48" s="2821">
        <v>438225.26982365304</v>
      </c>
      <c r="CI48" s="2821">
        <v>453757.59330395272</v>
      </c>
      <c r="CJ48" s="2821">
        <v>466565.74806269351</v>
      </c>
      <c r="CK48" s="2821">
        <v>466979.72767845431</v>
      </c>
      <c r="CL48" s="2821">
        <v>471439.24873741303</v>
      </c>
      <c r="CM48" s="2821">
        <v>469475.22165179282</v>
      </c>
      <c r="CN48" s="2821">
        <v>477606.15503394004</v>
      </c>
      <c r="CO48" s="2821">
        <v>484031.97308948234</v>
      </c>
      <c r="CP48" s="2821">
        <v>499347.11667182925</v>
      </c>
      <c r="CQ48" s="2821">
        <v>508743.01371824613</v>
      </c>
      <c r="CR48" s="2821">
        <v>506885.11758552428</v>
      </c>
      <c r="CS48" s="2821">
        <v>504899.96303005406</v>
      </c>
      <c r="CT48" s="2821">
        <v>513653.74925429007</v>
      </c>
      <c r="CU48" s="2821">
        <v>508134.20288955612</v>
      </c>
      <c r="CV48" s="2821">
        <v>501638.0525921855</v>
      </c>
      <c r="CW48" s="2821">
        <v>503874.2544021557</v>
      </c>
      <c r="CX48" s="2821">
        <v>442037.41343123297</v>
      </c>
      <c r="CY48" s="2821">
        <v>449910.84770792403</v>
      </c>
      <c r="CZ48" s="2821">
        <v>457172.64846335299</v>
      </c>
      <c r="DA48" s="2821">
        <v>450663.51815579436</v>
      </c>
      <c r="DB48" s="2821">
        <v>454880.58753516397</v>
      </c>
      <c r="DC48" s="2821">
        <v>454985.41505590512</v>
      </c>
      <c r="DD48" s="2821">
        <v>455794.1838765167</v>
      </c>
      <c r="DE48" s="2821">
        <v>460261.97833692952</v>
      </c>
      <c r="DF48" s="2821">
        <v>459857.20631190663</v>
      </c>
      <c r="DG48" s="2821">
        <v>465278.00353156874</v>
      </c>
      <c r="DH48" s="2821">
        <v>465124.05002107681</v>
      </c>
      <c r="DI48" s="2821">
        <v>469942.82805349235</v>
      </c>
      <c r="DJ48" s="2821">
        <v>472757.9814048956</v>
      </c>
      <c r="DK48" s="2821">
        <v>478157.73158403148</v>
      </c>
      <c r="DL48" s="2821">
        <v>479546.68564041925</v>
      </c>
      <c r="DM48" s="2821">
        <v>483231.32369662204</v>
      </c>
      <c r="DN48" s="2821">
        <v>487897.26553679502</v>
      </c>
      <c r="DO48" s="2821">
        <v>488414.92341110448</v>
      </c>
      <c r="DP48" s="2821">
        <v>490426.1352571763</v>
      </c>
      <c r="DQ48" s="2821">
        <v>495724.33515545481</v>
      </c>
      <c r="DR48" s="2821">
        <v>496889.25746136258</v>
      </c>
      <c r="DS48" s="2821">
        <v>492897.71237293351</v>
      </c>
      <c r="DT48" s="2821">
        <v>497126.63932293892</v>
      </c>
      <c r="DU48" s="2821">
        <v>504228.00212259655</v>
      </c>
      <c r="DV48" s="2821">
        <v>503789.14151354413</v>
      </c>
      <c r="DW48" s="2821">
        <v>506761.14286677964</v>
      </c>
      <c r="DX48" s="2821">
        <v>509260.21698601503</v>
      </c>
      <c r="DY48" s="2821">
        <v>507091.15402811993</v>
      </c>
      <c r="DZ48" s="2821">
        <v>501754.60837453994</v>
      </c>
      <c r="EA48" s="2821">
        <v>533500.42043595039</v>
      </c>
      <c r="EB48" s="2821">
        <v>532843.24002519622</v>
      </c>
      <c r="EC48" s="2821">
        <v>534011.13313720538</v>
      </c>
      <c r="ED48" s="2821">
        <v>545639.06768007705</v>
      </c>
      <c r="EE48" s="2821">
        <v>536496.19769296783</v>
      </c>
      <c r="EF48" s="2821">
        <v>529883.79861313675</v>
      </c>
      <c r="EG48" s="2821">
        <v>586763.41810640378</v>
      </c>
      <c r="EH48" s="2821">
        <v>591831.17295544583</v>
      </c>
      <c r="EI48" s="2821">
        <v>593373.73864856444</v>
      </c>
      <c r="EJ48" s="2821">
        <v>602903.11802508077</v>
      </c>
      <c r="EK48" s="2821">
        <v>601145.01426576532</v>
      </c>
      <c r="EL48" s="2821">
        <v>601230.80978730565</v>
      </c>
      <c r="EM48" s="2821">
        <v>623362.24236757937</v>
      </c>
      <c r="EN48" s="2821">
        <v>611754.4156935236</v>
      </c>
      <c r="EO48" s="2821">
        <v>601936.71689817356</v>
      </c>
      <c r="EP48" s="2821">
        <v>604208.97402665042</v>
      </c>
      <c r="EQ48" s="2821">
        <v>607642.55090073904</v>
      </c>
      <c r="ER48" s="2821">
        <v>611764.99917544355</v>
      </c>
      <c r="ES48" s="2821">
        <v>608185.06632721121</v>
      </c>
      <c r="ET48" s="2821">
        <v>615836.12877455272</v>
      </c>
      <c r="EU48" s="2821">
        <v>636898.5763165626</v>
      </c>
      <c r="EV48" s="2821">
        <v>632582.42190742772</v>
      </c>
      <c r="EW48" s="2821">
        <v>638051.54754492675</v>
      </c>
      <c r="EX48" s="2821">
        <v>640342.42254928441</v>
      </c>
      <c r="EY48" s="2821">
        <v>649644.71597742871</v>
      </c>
      <c r="EZ48" s="2821">
        <v>660815.73848178762</v>
      </c>
      <c r="FA48" s="2821">
        <v>668282.87265479518</v>
      </c>
      <c r="FB48" s="2821">
        <v>671417.97172939568</v>
      </c>
      <c r="FC48" s="2821">
        <v>670533.31583851052</v>
      </c>
      <c r="FD48" s="2821">
        <v>667182.24275156599</v>
      </c>
      <c r="FE48" s="2821">
        <v>666067.60632101446</v>
      </c>
      <c r="FF48" s="2821">
        <v>669652.98285172752</v>
      </c>
      <c r="FG48" s="2821">
        <v>684343.91671763395</v>
      </c>
      <c r="FH48" s="2821">
        <v>687097.69700315641</v>
      </c>
      <c r="FI48" s="2821">
        <v>689769.01524358371</v>
      </c>
      <c r="FJ48" s="2820"/>
    </row>
    <row r="49" spans="1:166" ht="17.100000000000001" customHeight="1" x14ac:dyDescent="0.25">
      <c r="A49" s="2807" t="s">
        <v>2721</v>
      </c>
      <c r="B49" s="2809">
        <v>153.19780331999999</v>
      </c>
      <c r="C49" s="2809">
        <v>154.31596911</v>
      </c>
      <c r="D49" s="2809">
        <v>138.70587049999997</v>
      </c>
      <c r="E49" s="2809">
        <v>145.20146566999998</v>
      </c>
      <c r="F49" s="2809">
        <v>139.64907062999998</v>
      </c>
      <c r="G49" s="2809">
        <v>144.54348844999998</v>
      </c>
      <c r="H49" s="2809">
        <v>136.46690247999999</v>
      </c>
      <c r="I49" s="2809">
        <v>137.70103456999999</v>
      </c>
      <c r="J49" s="2809">
        <v>166.28222216</v>
      </c>
      <c r="K49" s="2809">
        <v>164.10271523999998</v>
      </c>
      <c r="L49" s="2809">
        <v>188.36966712999998</v>
      </c>
      <c r="M49" s="2809">
        <v>289.10614802999993</v>
      </c>
      <c r="N49" s="2809">
        <v>325.25928297999997</v>
      </c>
      <c r="O49" s="2809">
        <v>266.26099159999995</v>
      </c>
      <c r="P49" s="2809">
        <v>282.16233682000001</v>
      </c>
      <c r="Q49" s="2809">
        <v>326.19289162000001</v>
      </c>
      <c r="R49" s="2809">
        <v>355.96613649</v>
      </c>
      <c r="S49" s="2809">
        <v>144.95301177000002</v>
      </c>
      <c r="T49" s="2809">
        <v>145.04960496999999</v>
      </c>
      <c r="U49" s="2809">
        <v>146.18456738</v>
      </c>
      <c r="V49" s="2809">
        <v>147.98835771</v>
      </c>
      <c r="W49" s="2809">
        <v>189.87692557</v>
      </c>
      <c r="X49" s="2809">
        <v>188.68572480999998</v>
      </c>
      <c r="Y49" s="2809">
        <v>187.66180904000001</v>
      </c>
      <c r="Z49" s="2809">
        <v>184.76241243000001</v>
      </c>
      <c r="AA49" s="2809">
        <v>235.96431477000002</v>
      </c>
      <c r="AB49" s="2809">
        <v>228.80128807000003</v>
      </c>
      <c r="AC49" s="2809">
        <v>202.30284356000001</v>
      </c>
      <c r="AD49" s="2809">
        <v>207.31680611000002</v>
      </c>
      <c r="AE49" s="2809">
        <v>142.31707372000002</v>
      </c>
      <c r="AF49" s="2809">
        <v>246.29880878</v>
      </c>
      <c r="AG49" s="2809">
        <v>157.61338316000001</v>
      </c>
      <c r="AH49" s="2809">
        <v>186.53756657</v>
      </c>
      <c r="AI49" s="2809">
        <v>186.00266166</v>
      </c>
      <c r="AJ49" s="2809">
        <v>148.20166657000001</v>
      </c>
      <c r="AK49" s="2809">
        <v>184.47326498999999</v>
      </c>
      <c r="AL49" s="2809">
        <v>158.50110899000001</v>
      </c>
      <c r="AM49" s="2809">
        <v>151.81138362999999</v>
      </c>
      <c r="AN49" s="2809">
        <v>144.74117856000001</v>
      </c>
      <c r="AO49" s="2809">
        <v>154.39851223000002</v>
      </c>
      <c r="AP49" s="2809">
        <v>135.40763834000001</v>
      </c>
      <c r="AQ49" s="2809">
        <v>198.07188681</v>
      </c>
      <c r="AR49" s="2809">
        <v>126.59522910000001</v>
      </c>
      <c r="AS49" s="2809">
        <v>150.84449430999999</v>
      </c>
      <c r="AT49" s="2809">
        <v>162.74188365000003</v>
      </c>
      <c r="AU49" s="2809">
        <v>164.49673319999999</v>
      </c>
      <c r="AV49" s="2809">
        <v>163.62766462999997</v>
      </c>
      <c r="AW49" s="2809">
        <v>172.66457023999999</v>
      </c>
      <c r="AX49" s="2809">
        <v>134.78201322999996</v>
      </c>
      <c r="AY49" s="2809">
        <v>146.16603488000001</v>
      </c>
      <c r="AZ49" s="2809">
        <v>154.80724961999994</v>
      </c>
      <c r="BA49" s="2809">
        <v>158.50427366000002</v>
      </c>
      <c r="BB49" s="2809">
        <v>161.91662781999997</v>
      </c>
      <c r="BC49" s="2809">
        <v>159.59387422</v>
      </c>
      <c r="BD49" s="2809">
        <v>117.25199542000001</v>
      </c>
      <c r="BE49" s="2809">
        <v>129.45984655000001</v>
      </c>
      <c r="BF49" s="2809">
        <v>134.73078520999996</v>
      </c>
      <c r="BG49" s="2809">
        <v>140.02408560999999</v>
      </c>
      <c r="BH49" s="2809">
        <v>139.35857369000001</v>
      </c>
      <c r="BI49" s="2809">
        <v>152.22108252999999</v>
      </c>
      <c r="BJ49" s="2809">
        <v>115.15130846999999</v>
      </c>
      <c r="BK49" s="2809">
        <v>126.01319054</v>
      </c>
      <c r="BL49" s="2809">
        <v>127.1554088</v>
      </c>
      <c r="BM49" s="2809">
        <v>371.52363643000001</v>
      </c>
      <c r="BN49" s="2809">
        <v>379.96656151999991</v>
      </c>
      <c r="BO49" s="2809">
        <v>3704.0103747000003</v>
      </c>
      <c r="BP49" s="2809">
        <v>3664.27348949</v>
      </c>
      <c r="BQ49" s="2809">
        <v>3670.1731644900001</v>
      </c>
      <c r="BR49" s="2809">
        <v>3675.21057273</v>
      </c>
      <c r="BS49" s="2809">
        <v>3683.2173269999998</v>
      </c>
      <c r="BT49" s="2809">
        <v>3657.3844738899998</v>
      </c>
      <c r="BU49" s="2809">
        <v>3669</v>
      </c>
      <c r="BV49" s="2809">
        <v>3617.0592188099999</v>
      </c>
      <c r="BW49" s="2809">
        <v>3626.6453938499999</v>
      </c>
      <c r="BX49" s="2809">
        <v>3623.0380289999998</v>
      </c>
      <c r="BY49" s="2809">
        <v>3622.9704508099999</v>
      </c>
      <c r="BZ49" s="2809">
        <v>3621.55255085</v>
      </c>
      <c r="CA49" s="2809">
        <v>3760.6580941399998</v>
      </c>
      <c r="CB49" s="2809">
        <v>3749.1737147999997</v>
      </c>
      <c r="CC49" s="2809">
        <v>3761.8094959199998</v>
      </c>
      <c r="CD49" s="2809">
        <v>3762.2770625399999</v>
      </c>
      <c r="CE49" s="2809">
        <v>3758.5232117199998</v>
      </c>
      <c r="CF49" s="2809">
        <v>3767.8315939099998</v>
      </c>
      <c r="CG49" s="2809">
        <v>3786.0611617799996</v>
      </c>
      <c r="CH49" s="2809">
        <v>3776.0857908899998</v>
      </c>
      <c r="CI49" s="2809">
        <v>3765.93455279</v>
      </c>
      <c r="CJ49" s="2809">
        <v>3765.1976652000003</v>
      </c>
      <c r="CK49" s="2809">
        <v>3761.3297814900002</v>
      </c>
      <c r="CL49" s="2809">
        <v>3766.3030819800001</v>
      </c>
      <c r="CM49" s="2809">
        <v>3851.56925434</v>
      </c>
      <c r="CN49" s="2809">
        <v>3838.2095615300004</v>
      </c>
      <c r="CO49" s="2809">
        <v>3841.6459451600003</v>
      </c>
      <c r="CP49" s="2809">
        <v>3854.8684223200003</v>
      </c>
      <c r="CQ49" s="2809">
        <v>3851.2765629800001</v>
      </c>
      <c r="CR49" s="2809">
        <v>3841.4149903800003</v>
      </c>
      <c r="CS49" s="2809">
        <v>3843.0021967400003</v>
      </c>
      <c r="CT49" s="2809">
        <v>3829.80791262</v>
      </c>
      <c r="CU49" s="2809">
        <v>3850.1254325200002</v>
      </c>
      <c r="CV49" s="2809">
        <v>3837.4422250600001</v>
      </c>
      <c r="CW49" s="2809">
        <v>3832.0039649100004</v>
      </c>
      <c r="CX49" s="2809">
        <v>3838.5214351200002</v>
      </c>
      <c r="CY49" s="2809">
        <v>3939.3595319200003</v>
      </c>
      <c r="CZ49" s="2809">
        <v>3924.4904188699998</v>
      </c>
      <c r="DA49" s="2809">
        <v>3928.2821452100002</v>
      </c>
      <c r="DB49" s="2809">
        <v>3940.63574281</v>
      </c>
      <c r="DC49" s="2809">
        <v>3911.6779075099998</v>
      </c>
      <c r="DD49" s="2809">
        <v>3916.1275332999999</v>
      </c>
      <c r="DE49" s="2809">
        <v>3927.1168639899997</v>
      </c>
      <c r="DF49" s="2809">
        <v>3915.7525036699999</v>
      </c>
      <c r="DG49" s="2809">
        <v>3920.3112408100001</v>
      </c>
      <c r="DH49" s="2809">
        <v>3923.40452461</v>
      </c>
      <c r="DI49" s="2809">
        <v>3926.9384735599997</v>
      </c>
      <c r="DJ49" s="2809">
        <v>3935.6997193899997</v>
      </c>
      <c r="DK49" s="2809">
        <v>4040.11773928</v>
      </c>
      <c r="DL49" s="2809">
        <v>4022.36362465</v>
      </c>
      <c r="DM49" s="2809">
        <v>4023.9363366299999</v>
      </c>
      <c r="DN49" s="2809">
        <v>4030.76345545</v>
      </c>
      <c r="DO49" s="2809">
        <v>4034.9671928500002</v>
      </c>
      <c r="DP49" s="2809">
        <v>4030.7474261400002</v>
      </c>
      <c r="DQ49" s="2809">
        <v>4032.3685415700002</v>
      </c>
      <c r="DR49" s="2809">
        <v>4021.3580319799999</v>
      </c>
      <c r="DS49" s="2809">
        <v>4031.9189057100002</v>
      </c>
      <c r="DT49" s="2809">
        <v>4036.5619587200003</v>
      </c>
      <c r="DU49" s="2809">
        <v>4021.3721522400001</v>
      </c>
      <c r="DV49" s="2809">
        <v>4021.8372684700003</v>
      </c>
      <c r="DW49" s="2809">
        <v>4119.7111005500001</v>
      </c>
      <c r="DX49" s="2809">
        <v>5379.726790910001</v>
      </c>
      <c r="DY49" s="2809">
        <v>5489.9843629499983</v>
      </c>
      <c r="DZ49" s="2809">
        <v>5645.9314230800037</v>
      </c>
      <c r="EA49" s="2809">
        <v>38584.592081740004</v>
      </c>
      <c r="EB49" s="2809">
        <v>38698.5757381</v>
      </c>
      <c r="EC49" s="2809">
        <v>40100.677529779998</v>
      </c>
      <c r="ED49" s="2809">
        <v>40111.402101599997</v>
      </c>
      <c r="EE49" s="2809">
        <v>40256.463010569998</v>
      </c>
      <c r="EF49" s="2809">
        <v>40239.019081019993</v>
      </c>
      <c r="EG49" s="2809">
        <v>87597.159286900001</v>
      </c>
      <c r="EH49" s="2809">
        <v>87788.728449970004</v>
      </c>
      <c r="EI49" s="2809">
        <v>88054.309445469989</v>
      </c>
      <c r="EJ49" s="2809">
        <v>88057.297381139986</v>
      </c>
      <c r="EK49" s="2809">
        <v>88081.807422400001</v>
      </c>
      <c r="EL49" s="2809">
        <v>88889.634003129991</v>
      </c>
      <c r="EM49" s="2809">
        <v>89198.525933700002</v>
      </c>
      <c r="EN49" s="2809">
        <v>89507.860202960001</v>
      </c>
      <c r="EO49" s="2809">
        <v>89508.707200350007</v>
      </c>
      <c r="EP49" s="2809">
        <v>89826.16432228082</v>
      </c>
      <c r="EQ49" s="2809">
        <v>89829.787301900811</v>
      </c>
      <c r="ER49" s="2809">
        <v>89837.325174030819</v>
      </c>
      <c r="ES49" s="2809">
        <v>89868.21609728082</v>
      </c>
      <c r="ET49" s="2809">
        <v>90181.337959100812</v>
      </c>
      <c r="EU49" s="2809">
        <v>91958.455836370835</v>
      </c>
      <c r="EV49" s="2809">
        <v>91927.333663390818</v>
      </c>
      <c r="EW49" s="2809">
        <v>91403.723144600823</v>
      </c>
      <c r="EX49" s="2809">
        <v>91935.046033320818</v>
      </c>
      <c r="EY49" s="2809">
        <v>89904.214665480831</v>
      </c>
      <c r="EZ49" s="2809">
        <v>90329.781715560806</v>
      </c>
      <c r="FA49" s="2809">
        <v>90348.303897829988</v>
      </c>
      <c r="FB49" s="2809">
        <v>90298.761010880815</v>
      </c>
      <c r="FC49" s="2809">
        <v>90312.291817090823</v>
      </c>
      <c r="FD49" s="2809">
        <v>90318.32576011082</v>
      </c>
      <c r="FE49" s="2809">
        <v>90297.466251250808</v>
      </c>
      <c r="FF49" s="2809">
        <v>90603.791025100814</v>
      </c>
      <c r="FG49" s="2809">
        <v>90515.911626740824</v>
      </c>
      <c r="FH49" s="2809">
        <v>90910.892294140824</v>
      </c>
      <c r="FI49" s="2809">
        <v>90908.854385790808</v>
      </c>
      <c r="FJ49" s="2820"/>
    </row>
    <row r="50" spans="1:166" ht="17.100000000000001" customHeight="1" x14ac:dyDescent="0.25">
      <c r="A50" s="2807" t="s">
        <v>2725</v>
      </c>
      <c r="B50" s="2809">
        <v>248896.44796015669</v>
      </c>
      <c r="C50" s="2809">
        <v>248653.45619608354</v>
      </c>
      <c r="D50" s="2809">
        <v>251077.63427885834</v>
      </c>
      <c r="E50" s="2809">
        <v>252425.94624199052</v>
      </c>
      <c r="F50" s="2809">
        <v>263632.61535834562</v>
      </c>
      <c r="G50" s="2809">
        <v>267429.23357882927</v>
      </c>
      <c r="H50" s="2809">
        <v>266409.72737461125</v>
      </c>
      <c r="I50" s="2809">
        <v>271789.49549483845</v>
      </c>
      <c r="J50" s="2809">
        <v>272438.92333583586</v>
      </c>
      <c r="K50" s="2809">
        <v>274786.27410636976</v>
      </c>
      <c r="L50" s="2809">
        <v>276758.11127369711</v>
      </c>
      <c r="M50" s="2809">
        <v>278722.79442939977</v>
      </c>
      <c r="N50" s="2809">
        <v>278600.24378589995</v>
      </c>
      <c r="O50" s="2809">
        <v>281528.0408852456</v>
      </c>
      <c r="P50" s="2809">
        <v>282270.29557447811</v>
      </c>
      <c r="Q50" s="2809">
        <v>286205.00782829389</v>
      </c>
      <c r="R50" s="2809">
        <v>288062.89631386375</v>
      </c>
      <c r="S50" s="2809">
        <v>291979.36699999997</v>
      </c>
      <c r="T50" s="2809">
        <v>295765.24081791023</v>
      </c>
      <c r="U50" s="2809">
        <v>298723.10082013893</v>
      </c>
      <c r="V50" s="2809">
        <v>304169.75661760999</v>
      </c>
      <c r="W50" s="2809">
        <v>312829.84980890236</v>
      </c>
      <c r="X50" s="2809">
        <v>311259.87505072553</v>
      </c>
      <c r="Y50" s="2809">
        <v>310940.94408568816</v>
      </c>
      <c r="Z50" s="2809">
        <v>311430.19972326333</v>
      </c>
      <c r="AA50" s="2809">
        <v>311817.78021051805</v>
      </c>
      <c r="AB50" s="2809">
        <v>316023.83094058069</v>
      </c>
      <c r="AC50" s="2809">
        <v>322035.05858234013</v>
      </c>
      <c r="AD50" s="2809">
        <v>328217.72178075509</v>
      </c>
      <c r="AE50" s="2809">
        <v>339849.9028008671</v>
      </c>
      <c r="AF50" s="2809">
        <v>344055.84470338566</v>
      </c>
      <c r="AG50" s="2809">
        <v>346600.31551877788</v>
      </c>
      <c r="AH50" s="2809">
        <v>349150.76667742536</v>
      </c>
      <c r="AI50" s="2809">
        <v>353662.92069438443</v>
      </c>
      <c r="AJ50" s="2809">
        <v>357257.64889147726</v>
      </c>
      <c r="AK50" s="2809">
        <v>364089.16545909585</v>
      </c>
      <c r="AL50" s="2809">
        <v>365541.50957684341</v>
      </c>
      <c r="AM50" s="2809">
        <v>371871.74131732079</v>
      </c>
      <c r="AN50" s="2809">
        <v>369618.51315964782</v>
      </c>
      <c r="AO50" s="2809">
        <v>373394.63948564482</v>
      </c>
      <c r="AP50" s="2809">
        <v>371730.50697090762</v>
      </c>
      <c r="AQ50" s="2809">
        <v>371254.15903107461</v>
      </c>
      <c r="AR50" s="2809">
        <v>381390.04929219646</v>
      </c>
      <c r="AS50" s="2809">
        <v>403063.78199327271</v>
      </c>
      <c r="AT50" s="2809">
        <v>409690.2555806723</v>
      </c>
      <c r="AU50" s="2809">
        <v>403167.60833401035</v>
      </c>
      <c r="AV50" s="2809">
        <v>406264.59212819877</v>
      </c>
      <c r="AW50" s="2809">
        <v>413242.84634938056</v>
      </c>
      <c r="AX50" s="2809">
        <v>398464.06317138515</v>
      </c>
      <c r="AY50" s="2809">
        <v>400908.30294153123</v>
      </c>
      <c r="AZ50" s="2809">
        <v>402785.96424363606</v>
      </c>
      <c r="BA50" s="2809">
        <v>403811.99425607623</v>
      </c>
      <c r="BB50" s="2809">
        <v>397925.2993697779</v>
      </c>
      <c r="BC50" s="2809">
        <v>391817.662834491</v>
      </c>
      <c r="BD50" s="2809">
        <v>390269.53374281881</v>
      </c>
      <c r="BE50" s="2809">
        <v>389003.61252033565</v>
      </c>
      <c r="BF50" s="2809">
        <v>390191.53592435858</v>
      </c>
      <c r="BG50" s="2809">
        <v>394573.66480154311</v>
      </c>
      <c r="BH50" s="2809">
        <v>403487.2665493745</v>
      </c>
      <c r="BI50" s="2809">
        <v>401882.35468503676</v>
      </c>
      <c r="BJ50" s="2809">
        <v>402934.63282387966</v>
      </c>
      <c r="BK50" s="2809">
        <v>406582.5739196642</v>
      </c>
      <c r="BL50" s="2809">
        <v>420706.37299226795</v>
      </c>
      <c r="BM50" s="2809">
        <v>409627.57400568476</v>
      </c>
      <c r="BN50" s="2809">
        <v>409669.18132355774</v>
      </c>
      <c r="BO50" s="2809">
        <v>410792.76027623925</v>
      </c>
      <c r="BP50" s="2809">
        <v>412195.84023260057</v>
      </c>
      <c r="BQ50" s="2809">
        <v>420849.35839928698</v>
      </c>
      <c r="BR50" s="2809">
        <v>422942.43818747927</v>
      </c>
      <c r="BS50" s="2809">
        <v>423954.50157529995</v>
      </c>
      <c r="BT50" s="2809">
        <v>427152.97702708578</v>
      </c>
      <c r="BU50" s="2809">
        <v>431004</v>
      </c>
      <c r="BV50" s="2809">
        <v>435586.47008202545</v>
      </c>
      <c r="BW50" s="2809">
        <v>435733.33744633215</v>
      </c>
      <c r="BX50" s="2809">
        <v>431378.25883393374</v>
      </c>
      <c r="BY50" s="2809">
        <v>427475.70888727915</v>
      </c>
      <c r="BZ50" s="2809">
        <v>431717.81533041236</v>
      </c>
      <c r="CA50" s="2809">
        <v>433362.55073189136</v>
      </c>
      <c r="CB50" s="2809">
        <v>440863.62827933289</v>
      </c>
      <c r="CC50" s="2809">
        <v>435298.56242332031</v>
      </c>
      <c r="CD50" s="2809">
        <v>436299.30347777955</v>
      </c>
      <c r="CE50" s="2809">
        <v>443700.2548596792</v>
      </c>
      <c r="CF50" s="2809">
        <v>437661.55066691473</v>
      </c>
      <c r="CG50" s="2809">
        <v>435266.33304888615</v>
      </c>
      <c r="CH50" s="2809">
        <v>434449.18403276306</v>
      </c>
      <c r="CI50" s="2809">
        <v>449991.6587511627</v>
      </c>
      <c r="CJ50" s="2809">
        <v>462800.55039749353</v>
      </c>
      <c r="CK50" s="2809">
        <v>463218.39789696428</v>
      </c>
      <c r="CL50" s="2809">
        <v>467672.94565543305</v>
      </c>
      <c r="CM50" s="2809">
        <v>465623.6523974528</v>
      </c>
      <c r="CN50" s="2809">
        <v>473767.94547241007</v>
      </c>
      <c r="CO50" s="2809">
        <v>480190.32714432233</v>
      </c>
      <c r="CP50" s="2809">
        <v>495492.24824950926</v>
      </c>
      <c r="CQ50" s="2809">
        <v>504891.73715526611</v>
      </c>
      <c r="CR50" s="2809">
        <v>503043.70259514428</v>
      </c>
      <c r="CS50" s="2809">
        <v>501056.96083331405</v>
      </c>
      <c r="CT50" s="2809">
        <v>509823.94134167006</v>
      </c>
      <c r="CU50" s="2809">
        <v>504284.07745703612</v>
      </c>
      <c r="CV50" s="2809">
        <v>497800.61036712548</v>
      </c>
      <c r="CW50" s="2809">
        <v>500042.2504372457</v>
      </c>
      <c r="CX50" s="2809">
        <v>438198.89199611294</v>
      </c>
      <c r="CY50" s="2809">
        <v>445971.48817600403</v>
      </c>
      <c r="CZ50" s="2809">
        <v>453248.15804448299</v>
      </c>
      <c r="DA50" s="2809">
        <v>446735.23601058434</v>
      </c>
      <c r="DB50" s="2809">
        <v>450939.951792354</v>
      </c>
      <c r="DC50" s="2809">
        <v>451073.7371483951</v>
      </c>
      <c r="DD50" s="2809">
        <v>451878.05634321668</v>
      </c>
      <c r="DE50" s="2809">
        <v>456334.86147293949</v>
      </c>
      <c r="DF50" s="2809">
        <v>455941.45380823663</v>
      </c>
      <c r="DG50" s="2809">
        <v>461357.69229075871</v>
      </c>
      <c r="DH50" s="2809">
        <v>461200.64549646678</v>
      </c>
      <c r="DI50" s="2809">
        <v>466015.88957993238</v>
      </c>
      <c r="DJ50" s="2809">
        <v>468822.28168550559</v>
      </c>
      <c r="DK50" s="2809">
        <v>474117.6138447515</v>
      </c>
      <c r="DL50" s="2809">
        <v>475524.32201576926</v>
      </c>
      <c r="DM50" s="2809">
        <v>479207.38735999202</v>
      </c>
      <c r="DN50" s="2809">
        <v>483866.50208134501</v>
      </c>
      <c r="DO50" s="2809">
        <v>484379.95621825446</v>
      </c>
      <c r="DP50" s="2809">
        <v>486395.38783103629</v>
      </c>
      <c r="DQ50" s="2809">
        <v>491691.96661388484</v>
      </c>
      <c r="DR50" s="2809">
        <v>492867.89942938258</v>
      </c>
      <c r="DS50" s="2809">
        <v>488865.79346722353</v>
      </c>
      <c r="DT50" s="2809">
        <v>493090.07736421895</v>
      </c>
      <c r="DU50" s="2809">
        <v>500206.62997035653</v>
      </c>
      <c r="DV50" s="2809">
        <v>499767.30424507416</v>
      </c>
      <c r="DW50" s="2809">
        <v>502641.43176622962</v>
      </c>
      <c r="DX50" s="2809">
        <v>503880.49019510503</v>
      </c>
      <c r="DY50" s="2809">
        <v>501601.1696651699</v>
      </c>
      <c r="DZ50" s="2809">
        <v>496108.67695145996</v>
      </c>
      <c r="EA50" s="2809">
        <v>494915.82835421042</v>
      </c>
      <c r="EB50" s="2809">
        <v>494144.66428709624</v>
      </c>
      <c r="EC50" s="2809">
        <v>493910.45560742536</v>
      </c>
      <c r="ED50" s="2809">
        <v>505527.66557847703</v>
      </c>
      <c r="EE50" s="2809">
        <v>496239.7346823978</v>
      </c>
      <c r="EF50" s="2809">
        <v>489644.77953211672</v>
      </c>
      <c r="EG50" s="2809">
        <v>499166.25881950383</v>
      </c>
      <c r="EH50" s="2809">
        <v>504042.44450547587</v>
      </c>
      <c r="EI50" s="2809">
        <v>505319.42920309445</v>
      </c>
      <c r="EJ50" s="2809">
        <v>514845.82064394082</v>
      </c>
      <c r="EK50" s="2809">
        <v>513063.20684336533</v>
      </c>
      <c r="EL50" s="2809">
        <v>512341.17578417563</v>
      </c>
      <c r="EM50" s="2809">
        <v>534163.71643387934</v>
      </c>
      <c r="EN50" s="2809">
        <v>522246.55549056362</v>
      </c>
      <c r="EO50" s="2809">
        <v>512428.00969782355</v>
      </c>
      <c r="EP50" s="2809">
        <v>514382.80970436963</v>
      </c>
      <c r="EQ50" s="2809">
        <v>517812.76359883818</v>
      </c>
      <c r="ER50" s="2809">
        <v>521927.6740014127</v>
      </c>
      <c r="ES50" s="2809">
        <v>518316.85022993037</v>
      </c>
      <c r="ET50" s="2809">
        <v>525654.79081545188</v>
      </c>
      <c r="EU50" s="2809">
        <v>544940.12048019178</v>
      </c>
      <c r="EV50" s="2809">
        <v>540655.08824403689</v>
      </c>
      <c r="EW50" s="2809">
        <v>546647.82440032589</v>
      </c>
      <c r="EX50" s="2809">
        <v>548407.37651596358</v>
      </c>
      <c r="EY50" s="2809">
        <v>559740.50131194782</v>
      </c>
      <c r="EZ50" s="2809">
        <v>570485.95676622679</v>
      </c>
      <c r="FA50" s="2809">
        <v>577934.56875696522</v>
      </c>
      <c r="FB50" s="2809">
        <v>581119.21071851486</v>
      </c>
      <c r="FC50" s="2809">
        <v>580221.0240214197</v>
      </c>
      <c r="FD50" s="2809">
        <v>576863.91699145513</v>
      </c>
      <c r="FE50" s="2809">
        <v>575770.14006976364</v>
      </c>
      <c r="FF50" s="2809">
        <v>579049.19182662666</v>
      </c>
      <c r="FG50" s="2809">
        <v>593828.00509089313</v>
      </c>
      <c r="FH50" s="2809">
        <v>596186.80470901553</v>
      </c>
      <c r="FI50" s="2809">
        <v>598860.16085779294</v>
      </c>
      <c r="FJ50" s="2820"/>
    </row>
    <row r="51" spans="1:166" ht="6" customHeight="1" x14ac:dyDescent="0.25">
      <c r="A51" s="2807"/>
      <c r="B51" s="2809"/>
      <c r="C51" s="2809"/>
      <c r="D51" s="2809"/>
      <c r="E51" s="2809"/>
      <c r="F51" s="2809"/>
      <c r="G51" s="2809"/>
      <c r="H51" s="2809"/>
      <c r="I51" s="2809"/>
      <c r="J51" s="2809"/>
      <c r="K51" s="2809"/>
      <c r="L51" s="2809"/>
      <c r="M51" s="2809"/>
      <c r="N51" s="2809"/>
      <c r="O51" s="2809"/>
      <c r="P51" s="2809"/>
      <c r="Q51" s="2809"/>
      <c r="R51" s="2809"/>
      <c r="S51" s="2809"/>
      <c r="T51" s="2809"/>
      <c r="U51" s="2809"/>
      <c r="V51" s="2809"/>
      <c r="W51" s="2809"/>
      <c r="X51" s="2809"/>
      <c r="Y51" s="2809"/>
      <c r="Z51" s="2809"/>
      <c r="AA51" s="2809"/>
      <c r="AB51" s="2809"/>
      <c r="AC51" s="2809"/>
      <c r="AD51" s="2809"/>
      <c r="AE51" s="2809"/>
      <c r="AF51" s="2809"/>
      <c r="AG51" s="2809"/>
      <c r="AH51" s="2809"/>
      <c r="AI51" s="2809"/>
      <c r="AJ51" s="2809"/>
      <c r="AK51" s="2809"/>
      <c r="AL51" s="2809"/>
      <c r="AM51" s="2809"/>
      <c r="AN51" s="2809"/>
      <c r="AO51" s="2809"/>
      <c r="AP51" s="2809"/>
      <c r="AQ51" s="2809"/>
      <c r="AR51" s="2809"/>
      <c r="AS51" s="2809"/>
      <c r="AT51" s="2809"/>
      <c r="AU51" s="2809"/>
      <c r="AV51" s="2809"/>
      <c r="AW51" s="2809"/>
      <c r="AX51" s="2809"/>
      <c r="AY51" s="2809"/>
      <c r="AZ51" s="2809"/>
      <c r="BA51" s="2809"/>
      <c r="BB51" s="2809"/>
      <c r="BC51" s="2809"/>
      <c r="BD51" s="2809"/>
      <c r="BE51" s="2809"/>
      <c r="BF51" s="2809"/>
      <c r="BG51" s="2809"/>
      <c r="BH51" s="2809"/>
      <c r="BI51" s="2809"/>
      <c r="BJ51" s="2809"/>
      <c r="BK51" s="2809"/>
      <c r="BL51" s="2809"/>
      <c r="BM51" s="2809"/>
      <c r="BN51" s="2809"/>
      <c r="BO51" s="2809"/>
      <c r="BP51" s="2809"/>
      <c r="BQ51" s="2809"/>
      <c r="BR51" s="2809"/>
      <c r="BS51" s="2809"/>
      <c r="BT51" s="2809"/>
      <c r="BU51" s="2809"/>
      <c r="BV51" s="2809"/>
      <c r="BW51" s="2809"/>
      <c r="BX51" s="2809"/>
      <c r="BY51" s="2809"/>
      <c r="BZ51" s="2809"/>
      <c r="CA51" s="2809"/>
      <c r="CB51" s="2809"/>
      <c r="CC51" s="2809"/>
      <c r="CD51" s="2809"/>
      <c r="CE51" s="2809"/>
      <c r="CF51" s="2809"/>
      <c r="CG51" s="2809"/>
      <c r="CH51" s="2809"/>
      <c r="CI51" s="2809"/>
      <c r="CJ51" s="2809"/>
      <c r="CK51" s="2809"/>
      <c r="CL51" s="2809"/>
      <c r="CM51" s="2809"/>
      <c r="CN51" s="2809"/>
      <c r="CO51" s="2809"/>
      <c r="CP51" s="2809"/>
      <c r="CQ51" s="2809"/>
      <c r="CR51" s="2809"/>
      <c r="CS51" s="2809"/>
      <c r="CT51" s="2809"/>
      <c r="CU51" s="2809"/>
      <c r="CV51" s="2809"/>
      <c r="CW51" s="2809"/>
      <c r="CX51" s="2809"/>
      <c r="CY51" s="2809"/>
      <c r="CZ51" s="2809"/>
      <c r="DA51" s="2809"/>
      <c r="DB51" s="2809"/>
      <c r="DC51" s="2809"/>
      <c r="DD51" s="2809"/>
      <c r="DE51" s="2809"/>
      <c r="DF51" s="2809"/>
      <c r="DG51" s="2809"/>
      <c r="DH51" s="2809"/>
      <c r="DI51" s="2809"/>
      <c r="DJ51" s="2809"/>
      <c r="DK51" s="2809"/>
      <c r="DL51" s="2809"/>
      <c r="DM51" s="2809"/>
      <c r="DN51" s="2809"/>
      <c r="DO51" s="2809"/>
      <c r="DP51" s="2809"/>
      <c r="DQ51" s="2809"/>
      <c r="DR51" s="2809"/>
      <c r="DS51" s="2809"/>
      <c r="DT51" s="2809"/>
      <c r="DU51" s="2809"/>
      <c r="DV51" s="2809"/>
      <c r="DW51" s="2809"/>
      <c r="DX51" s="2809"/>
      <c r="DY51" s="2809"/>
      <c r="DZ51" s="2809"/>
      <c r="EA51" s="2809"/>
      <c r="EB51" s="2809"/>
      <c r="EC51" s="2809"/>
      <c r="ED51" s="2809"/>
      <c r="EE51" s="2809"/>
      <c r="EF51" s="2809"/>
      <c r="EG51" s="2809"/>
      <c r="EH51" s="2809"/>
      <c r="EI51" s="2809"/>
      <c r="EJ51" s="2809"/>
      <c r="EK51" s="2809"/>
      <c r="EL51" s="2809"/>
      <c r="EM51" s="2809"/>
      <c r="EN51" s="2809"/>
      <c r="EO51" s="2809"/>
      <c r="EP51" s="2809"/>
      <c r="EQ51" s="2809"/>
      <c r="ER51" s="2809"/>
      <c r="ES51" s="2809"/>
      <c r="ET51" s="2809"/>
      <c r="EU51" s="2809"/>
      <c r="EV51" s="2809"/>
      <c r="EW51" s="2809"/>
      <c r="EX51" s="2809"/>
      <c r="EY51" s="2809"/>
      <c r="EZ51" s="2809"/>
      <c r="FA51" s="2809"/>
      <c r="FB51" s="2809"/>
      <c r="FC51" s="2809"/>
      <c r="FD51" s="2809"/>
      <c r="FE51" s="2809"/>
      <c r="FF51" s="2809"/>
      <c r="FG51" s="2809"/>
      <c r="FH51" s="2809"/>
      <c r="FI51" s="2809"/>
      <c r="FJ51" s="2820"/>
    </row>
    <row r="52" spans="1:166" ht="18.75" customHeight="1" x14ac:dyDescent="0.25">
      <c r="A52" s="2826" t="s">
        <v>2726</v>
      </c>
      <c r="B52" s="2811">
        <v>242562.11196942668</v>
      </c>
      <c r="C52" s="2811">
        <v>243311.51183294356</v>
      </c>
      <c r="D52" s="2811">
        <v>245033.22232351839</v>
      </c>
      <c r="E52" s="2811">
        <v>244018.02989344046</v>
      </c>
      <c r="F52" s="2811">
        <v>250580.00481199563</v>
      </c>
      <c r="G52" s="2811">
        <v>254522.90055574928</v>
      </c>
      <c r="H52" s="2811">
        <v>253012.12550947376</v>
      </c>
      <c r="I52" s="2811">
        <v>257454.08719937806</v>
      </c>
      <c r="J52" s="2811">
        <v>259335.49789052695</v>
      </c>
      <c r="K52" s="2811">
        <v>261678.9711234938</v>
      </c>
      <c r="L52" s="2811">
        <v>263432.48575053358</v>
      </c>
      <c r="M52" s="2811">
        <v>269479.06372029684</v>
      </c>
      <c r="N52" s="2811">
        <v>268545.90110465075</v>
      </c>
      <c r="O52" s="2811">
        <v>270706.00045230635</v>
      </c>
      <c r="P52" s="2811">
        <v>271381.57843502238</v>
      </c>
      <c r="Q52" s="2811">
        <v>273618.81903622823</v>
      </c>
      <c r="R52" s="2811">
        <v>276101.33253532433</v>
      </c>
      <c r="S52" s="2811">
        <v>279636.03401176998</v>
      </c>
      <c r="T52" s="2811">
        <v>281649.19143097132</v>
      </c>
      <c r="U52" s="2811">
        <v>284773.79267272697</v>
      </c>
      <c r="V52" s="2811">
        <v>287793.6374971855</v>
      </c>
      <c r="W52" s="2811">
        <v>292660.7243567055</v>
      </c>
      <c r="X52" s="2811">
        <v>293820.32975756953</v>
      </c>
      <c r="Y52" s="2811">
        <v>293809.05868648255</v>
      </c>
      <c r="Z52" s="2811">
        <v>293787.48378060694</v>
      </c>
      <c r="AA52" s="2811">
        <v>293916.31173214311</v>
      </c>
      <c r="AB52" s="2811">
        <v>298362.30671179813</v>
      </c>
      <c r="AC52" s="2811">
        <v>301613.59854571871</v>
      </c>
      <c r="AD52" s="2811">
        <v>303907.25735931937</v>
      </c>
      <c r="AE52" s="2811">
        <v>312520.51665193163</v>
      </c>
      <c r="AF52" s="2811">
        <v>313073.27916318265</v>
      </c>
      <c r="AG52" s="2811">
        <v>316802.83527758741</v>
      </c>
      <c r="AH52" s="2811">
        <v>318570.33801969216</v>
      </c>
      <c r="AI52" s="2811">
        <v>321861.70005690499</v>
      </c>
      <c r="AJ52" s="2811">
        <v>325813.98861694545</v>
      </c>
      <c r="AK52" s="2811">
        <v>330304.64909046493</v>
      </c>
      <c r="AL52" s="2811">
        <v>328508.86187479884</v>
      </c>
      <c r="AM52" s="2811">
        <v>331788.19470645627</v>
      </c>
      <c r="AN52" s="2811">
        <v>333574.84401124058</v>
      </c>
      <c r="AO52" s="2811">
        <v>334073.21014901489</v>
      </c>
      <c r="AP52" s="2811">
        <v>334073.18083811045</v>
      </c>
      <c r="AQ52" s="2811">
        <v>339787.95809160796</v>
      </c>
      <c r="AR52" s="2811">
        <v>344071.85512530396</v>
      </c>
      <c r="AS52" s="2811">
        <v>348781.90767205984</v>
      </c>
      <c r="AT52" s="2811">
        <v>353373.48349503544</v>
      </c>
      <c r="AU52" s="2811">
        <v>352846.1219285758</v>
      </c>
      <c r="AV52" s="2811">
        <v>357507.50147930754</v>
      </c>
      <c r="AW52" s="2811">
        <v>364510.65586951422</v>
      </c>
      <c r="AX52" s="2811">
        <v>362518.7063858778</v>
      </c>
      <c r="AY52" s="2811">
        <v>362416.71640368144</v>
      </c>
      <c r="AZ52" s="2811">
        <v>362301.75205255731</v>
      </c>
      <c r="BA52" s="2811">
        <v>362647.74075911712</v>
      </c>
      <c r="BB52" s="2811">
        <v>364146.25827612425</v>
      </c>
      <c r="BC52" s="2811">
        <v>362461.78854091698</v>
      </c>
      <c r="BD52" s="2811">
        <v>363119.32068775996</v>
      </c>
      <c r="BE52" s="2811">
        <v>366256.70194460597</v>
      </c>
      <c r="BF52" s="2811">
        <v>366262.44414170802</v>
      </c>
      <c r="BG52" s="2811">
        <v>369036.43841667695</v>
      </c>
      <c r="BH52" s="2811">
        <v>376770.02295745182</v>
      </c>
      <c r="BI52" s="2811">
        <v>377115.52007397683</v>
      </c>
      <c r="BJ52" s="2811">
        <v>377415.83557693823</v>
      </c>
      <c r="BK52" s="2811">
        <v>379375.14075688412</v>
      </c>
      <c r="BL52" s="2811">
        <v>390489.03554982535</v>
      </c>
      <c r="BM52" s="2811">
        <v>383511.898432152</v>
      </c>
      <c r="BN52" s="2811">
        <v>382943.08865305979</v>
      </c>
      <c r="BO52" s="2811">
        <v>390091.30184545578</v>
      </c>
      <c r="BP52" s="2811">
        <v>392484.16284335993</v>
      </c>
      <c r="BQ52" s="2811">
        <v>399578.67107999191</v>
      </c>
      <c r="BR52" s="2811">
        <v>399596.71795572154</v>
      </c>
      <c r="BS52" s="2811">
        <v>399304.60391711706</v>
      </c>
      <c r="BT52" s="2811">
        <v>405934.2108810615</v>
      </c>
      <c r="BU52" s="2811">
        <v>408360.47241010662</v>
      </c>
      <c r="BV52" s="2811">
        <v>409901.54682423087</v>
      </c>
      <c r="BW52" s="2811">
        <v>411760.46212674555</v>
      </c>
      <c r="BX52" s="2811">
        <v>403618.5301601871</v>
      </c>
      <c r="BY52" s="2811">
        <v>404170.42852843145</v>
      </c>
      <c r="BZ52" s="2811">
        <v>406392.28219512198</v>
      </c>
      <c r="CA52" s="2811">
        <v>412858.33403765433</v>
      </c>
      <c r="CB52" s="2811">
        <v>418312.32298509002</v>
      </c>
      <c r="CC52" s="2811">
        <v>409810.2337848742</v>
      </c>
      <c r="CD52" s="2811">
        <v>411334.84280373016</v>
      </c>
      <c r="CE52" s="2811">
        <v>413118.726759037</v>
      </c>
      <c r="CF52" s="2811">
        <v>408284.7854693706</v>
      </c>
      <c r="CG52" s="2811">
        <v>408210.29552648833</v>
      </c>
      <c r="CH52" s="2811">
        <v>411355.22411205643</v>
      </c>
      <c r="CI52" s="2811">
        <v>414998.95588853676</v>
      </c>
      <c r="CJ52" s="2811">
        <v>420162.91707200051</v>
      </c>
      <c r="CK52" s="2811">
        <v>417861.6664119091</v>
      </c>
      <c r="CL52" s="2811">
        <v>417538.24736722454</v>
      </c>
      <c r="CM52" s="2811">
        <v>419501.26862938714</v>
      </c>
      <c r="CN52" s="2811">
        <v>422242.57889364951</v>
      </c>
      <c r="CO52" s="2811">
        <v>420659.44246949913</v>
      </c>
      <c r="CP52" s="2811">
        <v>431854.14441803261</v>
      </c>
      <c r="CQ52" s="2811">
        <v>437745.82835771621</v>
      </c>
      <c r="CR52" s="2811">
        <v>438085.45339373196</v>
      </c>
      <c r="CS52" s="2811">
        <v>435641.13726076647</v>
      </c>
      <c r="CT52" s="2811">
        <v>437543.56693863496</v>
      </c>
      <c r="CU52" s="2811">
        <v>434896.66525239084</v>
      </c>
      <c r="CV52" s="2811">
        <v>438645.79286807741</v>
      </c>
      <c r="CW52" s="2811">
        <v>445127.61354573042</v>
      </c>
      <c r="CX52" s="2811">
        <v>439151.8278160647</v>
      </c>
      <c r="CY52" s="2811">
        <v>447696.41991047864</v>
      </c>
      <c r="CZ52" s="2811">
        <v>455083.13499532134</v>
      </c>
      <c r="DA52" s="2811">
        <v>449977.45894831209</v>
      </c>
      <c r="DB52" s="2811">
        <v>454015.84530202148</v>
      </c>
      <c r="DC52" s="2811">
        <v>454190.78123609524</v>
      </c>
      <c r="DD52" s="2811">
        <v>454882.68842526473</v>
      </c>
      <c r="DE52" s="2811">
        <v>459351.36548958201</v>
      </c>
      <c r="DF52" s="2811">
        <v>458939.01248369756</v>
      </c>
      <c r="DG52" s="2811">
        <v>464527.96994986956</v>
      </c>
      <c r="DH52" s="2811">
        <v>464144.84813985118</v>
      </c>
      <c r="DI52" s="2811">
        <v>468965.47283334041</v>
      </c>
      <c r="DJ52" s="2811">
        <v>471681.55436881317</v>
      </c>
      <c r="DK52" s="2811">
        <v>477204.31823043991</v>
      </c>
      <c r="DL52" s="2811">
        <v>478400.86147888104</v>
      </c>
      <c r="DM52" s="2811">
        <v>481904.16058688215</v>
      </c>
      <c r="DN52" s="2811">
        <v>486149.80898323591</v>
      </c>
      <c r="DO52" s="2811">
        <v>486960.89213428122</v>
      </c>
      <c r="DP52" s="2811">
        <v>489426.76461272768</v>
      </c>
      <c r="DQ52" s="2811">
        <v>495280.55354361341</v>
      </c>
      <c r="DR52" s="2811">
        <v>496425.66980248305</v>
      </c>
      <c r="DS52" s="2811">
        <v>492212.07592749252</v>
      </c>
      <c r="DT52" s="2811">
        <v>495645.72407105454</v>
      </c>
      <c r="DU52" s="2811">
        <v>502644.42678486818</v>
      </c>
      <c r="DV52" s="2811">
        <v>502582.17119695008</v>
      </c>
      <c r="DW52" s="2811">
        <v>505830.46994406736</v>
      </c>
      <c r="DX52" s="2811">
        <v>507984.31835709297</v>
      </c>
      <c r="DY52" s="2811">
        <v>505871.6088069235</v>
      </c>
      <c r="DZ52" s="2811">
        <v>500395.58546714834</v>
      </c>
      <c r="EA52" s="2811">
        <v>532072.54937940149</v>
      </c>
      <c r="EB52" s="2811">
        <v>531744.1441203549</v>
      </c>
      <c r="EC52" s="2811">
        <v>533239.04807505291</v>
      </c>
      <c r="ED52" s="2811">
        <v>545224.34204658028</v>
      </c>
      <c r="EE52" s="2811">
        <v>535927.36758797616</v>
      </c>
      <c r="EF52" s="2811">
        <v>529364.44027006987</v>
      </c>
      <c r="EG52" s="2811">
        <v>573214.57786224014</v>
      </c>
      <c r="EH52" s="2811">
        <v>578157.13351260382</v>
      </c>
      <c r="EI52" s="2811">
        <v>592710.82865853282</v>
      </c>
      <c r="EJ52" s="2811">
        <v>602229.82194368646</v>
      </c>
      <c r="EK52" s="2811">
        <v>600807.04513432831</v>
      </c>
      <c r="EL52" s="2811">
        <v>601026.5157202828</v>
      </c>
      <c r="EM52" s="2811">
        <v>623159.09051204112</v>
      </c>
      <c r="EN52" s="2811">
        <v>611545.55747345125</v>
      </c>
      <c r="EO52" s="2811">
        <v>601799.93817351339</v>
      </c>
      <c r="EP52" s="2811">
        <v>604025.61790843029</v>
      </c>
      <c r="EQ52" s="2811">
        <v>606939.95584030566</v>
      </c>
      <c r="ER52" s="2811">
        <v>611143.19550844328</v>
      </c>
      <c r="ES52" s="2811">
        <v>607565.96478393895</v>
      </c>
      <c r="ET52" s="2811">
        <v>615306.93898014387</v>
      </c>
      <c r="EU52" s="2811">
        <v>636159.60536154709</v>
      </c>
      <c r="EV52" s="2811">
        <v>631900.52859239548</v>
      </c>
      <c r="EW52" s="2811">
        <v>637132.70510596933</v>
      </c>
      <c r="EX52" s="2811">
        <v>639026.11094019131</v>
      </c>
      <c r="EY52" s="2811">
        <v>648789.36285052821</v>
      </c>
      <c r="EZ52" s="2811">
        <v>659909.11178114743</v>
      </c>
      <c r="FA52" s="2811">
        <v>667380.32183451543</v>
      </c>
      <c r="FB52" s="2811">
        <v>670554.48699165287</v>
      </c>
      <c r="FC52" s="2811">
        <v>669549.77554185654</v>
      </c>
      <c r="FD52" s="2811">
        <v>665180.33355374844</v>
      </c>
      <c r="FE52" s="2811">
        <v>664220.31141625007</v>
      </c>
      <c r="FF52" s="2811">
        <v>668747.22792094667</v>
      </c>
      <c r="FG52" s="2811">
        <v>682417.93139193684</v>
      </c>
      <c r="FH52" s="2811">
        <v>685302.1947171418</v>
      </c>
      <c r="FI52" s="2811">
        <v>688410.41556337918</v>
      </c>
      <c r="FJ52" s="2820"/>
    </row>
    <row r="53" spans="1:166" s="2815" customFormat="1" ht="17.100000000000001" customHeight="1" x14ac:dyDescent="0.25">
      <c r="A53" s="2812" t="s">
        <v>2727</v>
      </c>
      <c r="B53" s="2813">
        <v>279157.43526341411</v>
      </c>
      <c r="C53" s="2813">
        <v>279902.18730475899</v>
      </c>
      <c r="D53" s="2813">
        <v>282179.07488706929</v>
      </c>
      <c r="E53" s="2813">
        <v>284293.81727101858</v>
      </c>
      <c r="F53" s="2813">
        <v>296063.50983825832</v>
      </c>
      <c r="G53" s="2813">
        <v>299764.75971159729</v>
      </c>
      <c r="H53" s="2813">
        <v>296640.42558030994</v>
      </c>
      <c r="I53" s="2813">
        <v>300612.49926796101</v>
      </c>
      <c r="J53" s="2813">
        <v>299807.49843978829</v>
      </c>
      <c r="K53" s="2813">
        <v>303317.11869252037</v>
      </c>
      <c r="L53" s="2813">
        <v>303677.90454960323</v>
      </c>
      <c r="M53" s="2813">
        <v>308854.78865813423</v>
      </c>
      <c r="N53" s="2813">
        <v>308512.13633570098</v>
      </c>
      <c r="O53" s="2813">
        <v>311686.10395471088</v>
      </c>
      <c r="P53" s="2813">
        <v>308500.08114763151</v>
      </c>
      <c r="Q53" s="2813">
        <v>314422.51627656462</v>
      </c>
      <c r="R53" s="2813">
        <v>316255.17832025024</v>
      </c>
      <c r="S53" s="2813">
        <v>321674.97265262768</v>
      </c>
      <c r="T53" s="2813">
        <v>324724.43733242183</v>
      </c>
      <c r="U53" s="2813">
        <v>328612.74738128798</v>
      </c>
      <c r="V53" s="2813">
        <v>332325.67400211346</v>
      </c>
      <c r="W53" s="2813">
        <v>340868.64420603361</v>
      </c>
      <c r="X53" s="2813">
        <v>342247.0393485669</v>
      </c>
      <c r="Y53" s="2813">
        <v>341302.03157849319</v>
      </c>
      <c r="Z53" s="2813">
        <v>339250.52614897164</v>
      </c>
      <c r="AA53" s="2813">
        <v>340559.42007212853</v>
      </c>
      <c r="AB53" s="2813">
        <v>346267.88169898256</v>
      </c>
      <c r="AC53" s="2813">
        <v>351086.9632465397</v>
      </c>
      <c r="AD53" s="2813">
        <v>358110.97389489633</v>
      </c>
      <c r="AE53" s="2813">
        <v>367426.84619048331</v>
      </c>
      <c r="AF53" s="2813">
        <v>368866.51602499024</v>
      </c>
      <c r="AG53" s="2813">
        <v>371601.85832135467</v>
      </c>
      <c r="AH53" s="2813">
        <v>376240.38390320144</v>
      </c>
      <c r="AI53" s="2813">
        <v>380541.05354163493</v>
      </c>
      <c r="AJ53" s="2813">
        <v>380895.71790494595</v>
      </c>
      <c r="AK53" s="2813">
        <v>391021.90605307504</v>
      </c>
      <c r="AL53" s="2813">
        <v>390670.56807425956</v>
      </c>
      <c r="AM53" s="2813">
        <v>399383.58689828473</v>
      </c>
      <c r="AN53" s="2813">
        <v>397812.20158805215</v>
      </c>
      <c r="AO53" s="2813">
        <v>400652.288198361</v>
      </c>
      <c r="AP53" s="2813">
        <v>395570.1655857031</v>
      </c>
      <c r="AQ53" s="2813">
        <v>395942.4653156143</v>
      </c>
      <c r="AR53" s="2813">
        <v>410710.68947570119</v>
      </c>
      <c r="AS53" s="2813">
        <v>434803.77510363708</v>
      </c>
      <c r="AT53" s="2813">
        <v>438731.62484525511</v>
      </c>
      <c r="AU53" s="2813">
        <v>432771.08952404722</v>
      </c>
      <c r="AV53" s="2813">
        <v>438650.54830013338</v>
      </c>
      <c r="AW53" s="2813">
        <v>448174.55755044171</v>
      </c>
      <c r="AX53" s="2813">
        <v>432659.16859272547</v>
      </c>
      <c r="AY53" s="2813">
        <v>435872.06325177965</v>
      </c>
      <c r="AZ53" s="2813">
        <v>438794.36667353788</v>
      </c>
      <c r="BA53" s="2813">
        <v>436791.86512686452</v>
      </c>
      <c r="BB53" s="2813">
        <v>433904.5213141999</v>
      </c>
      <c r="BC53" s="2813">
        <v>426481.2387282523</v>
      </c>
      <c r="BD53" s="2813">
        <v>424753.43668848957</v>
      </c>
      <c r="BE53" s="2813">
        <v>422782.09021782031</v>
      </c>
      <c r="BF53" s="2813">
        <v>424432.75786045159</v>
      </c>
      <c r="BG53" s="2813">
        <v>433513.12745475303</v>
      </c>
      <c r="BH53" s="2813">
        <v>445774.56219515996</v>
      </c>
      <c r="BI53" s="2813">
        <v>446806.05883179465</v>
      </c>
      <c r="BJ53" s="2813">
        <v>448085.98648171197</v>
      </c>
      <c r="BK53" s="2813">
        <v>453039.65448491456</v>
      </c>
      <c r="BL53" s="2813">
        <v>462016.85014535347</v>
      </c>
      <c r="BM53" s="2813">
        <v>453100.31442233926</v>
      </c>
      <c r="BN53" s="2813">
        <v>455669.89973050688</v>
      </c>
      <c r="BO53" s="2813">
        <v>460964.5935237924</v>
      </c>
      <c r="BP53" s="2813">
        <v>457660.44371404522</v>
      </c>
      <c r="BQ53" s="2813">
        <v>468206.30692897696</v>
      </c>
      <c r="BR53" s="2813">
        <v>470299.62216953328</v>
      </c>
      <c r="BS53" s="2813">
        <v>472536.80479119642</v>
      </c>
      <c r="BT53" s="2813">
        <v>474021.19892477209</v>
      </c>
      <c r="BU53" s="2813">
        <v>476653</v>
      </c>
      <c r="BV53" s="2813">
        <v>484602.153918611</v>
      </c>
      <c r="BW53" s="2813">
        <v>485210.16754143097</v>
      </c>
      <c r="BX53" s="2813">
        <v>482473.0677796384</v>
      </c>
      <c r="BY53" s="2813">
        <v>479939.84246103466</v>
      </c>
      <c r="BZ53" s="2813">
        <v>484278.42892441922</v>
      </c>
      <c r="CA53" s="2813">
        <v>485682.31561199401</v>
      </c>
      <c r="CB53" s="2813">
        <v>494959.98925428465</v>
      </c>
      <c r="CC53" s="2813">
        <v>490557.70254904934</v>
      </c>
      <c r="CD53" s="2813">
        <v>492756.66421073349</v>
      </c>
      <c r="CE53" s="2813">
        <v>498814.65388811496</v>
      </c>
      <c r="CF53" s="2813">
        <v>491972.63440915453</v>
      </c>
      <c r="CG53" s="2813">
        <v>493257.65025893244</v>
      </c>
      <c r="CH53" s="2813">
        <v>496011.54680278362</v>
      </c>
      <c r="CI53" s="2813">
        <v>514307.84099540894</v>
      </c>
      <c r="CJ53" s="2813">
        <v>524925.86482610484</v>
      </c>
      <c r="CK53" s="2813">
        <v>526534.85519275744</v>
      </c>
      <c r="CL53" s="2813">
        <v>531459.77368965582</v>
      </c>
      <c r="CM53" s="2813">
        <v>527659.30703998427</v>
      </c>
      <c r="CN53" s="2813">
        <v>537994.44982198614</v>
      </c>
      <c r="CO53" s="2813">
        <v>545705.0412664722</v>
      </c>
      <c r="CP53" s="2813">
        <v>567563.59450722288</v>
      </c>
      <c r="CQ53" s="2813">
        <v>574189.3559938916</v>
      </c>
      <c r="CR53" s="2813">
        <v>573860.87205769948</v>
      </c>
      <c r="CS53" s="2813">
        <v>574578.40198468533</v>
      </c>
      <c r="CT53" s="2813">
        <v>583680.55471354502</v>
      </c>
      <c r="CU53" s="2813">
        <v>583098.36868937209</v>
      </c>
      <c r="CV53" s="2813">
        <v>577241.27465947845</v>
      </c>
      <c r="CW53" s="2813">
        <v>578738.99286224239</v>
      </c>
      <c r="CX53" s="2813">
        <v>514884.2030490422</v>
      </c>
      <c r="CY53" s="2813">
        <v>520770.48671654286</v>
      </c>
      <c r="CZ53" s="2813">
        <v>525233.75709515286</v>
      </c>
      <c r="DA53" s="2813">
        <v>521236.10866409529</v>
      </c>
      <c r="DB53" s="2813">
        <v>526450.08549827454</v>
      </c>
      <c r="DC53" s="2813">
        <v>528507.15049697482</v>
      </c>
      <c r="DD53" s="2813">
        <v>532504.71843454451</v>
      </c>
      <c r="DE53" s="2813">
        <v>535595.34332503891</v>
      </c>
      <c r="DF53" s="2813">
        <v>537435.03660130629</v>
      </c>
      <c r="DG53" s="2813">
        <v>544408.05608472717</v>
      </c>
      <c r="DH53" s="2813">
        <v>546452.15534119459</v>
      </c>
      <c r="DI53" s="2813">
        <v>551405.17527963209</v>
      </c>
      <c r="DJ53" s="2813">
        <v>556514.24032124865</v>
      </c>
      <c r="DK53" s="2813">
        <v>559315.16579802474</v>
      </c>
      <c r="DL53" s="2813">
        <v>560316.61627336999</v>
      </c>
      <c r="DM53" s="2813">
        <v>566314.99988263834</v>
      </c>
      <c r="DN53" s="2813">
        <v>569585.84295182757</v>
      </c>
      <c r="DO53" s="2813">
        <v>572947.61443394539</v>
      </c>
      <c r="DP53" s="2813">
        <v>580946.77017233381</v>
      </c>
      <c r="DQ53" s="2813">
        <v>568231.20749208983</v>
      </c>
      <c r="DR53" s="2813">
        <v>577470.58963284642</v>
      </c>
      <c r="DS53" s="2813">
        <v>579449.06567024486</v>
      </c>
      <c r="DT53" s="2813">
        <v>590893.29062382132</v>
      </c>
      <c r="DU53" s="2813">
        <v>606617.82903432159</v>
      </c>
      <c r="DV53" s="2813">
        <v>618478.67383789143</v>
      </c>
      <c r="DW53" s="2813">
        <v>615619.1752611004</v>
      </c>
      <c r="DX53" s="2813">
        <v>612042.03886945278</v>
      </c>
      <c r="DY53" s="2813">
        <v>575645.0019402256</v>
      </c>
      <c r="DZ53" s="2813">
        <v>565342.60263368802</v>
      </c>
      <c r="EA53" s="2813">
        <v>601140.60929480777</v>
      </c>
      <c r="EB53" s="2813">
        <v>606637.00377823273</v>
      </c>
      <c r="EC53" s="2813">
        <v>612902.89043286897</v>
      </c>
      <c r="ED53" s="2813">
        <v>629590.50231638458</v>
      </c>
      <c r="EE53" s="2813">
        <v>624614.17777942051</v>
      </c>
      <c r="EF53" s="2813">
        <v>614101.8384886795</v>
      </c>
      <c r="EG53" s="2813">
        <v>678156.26882610808</v>
      </c>
      <c r="EH53" s="2813">
        <v>689030.49952952284</v>
      </c>
      <c r="EI53" s="2813">
        <v>697522.58294174657</v>
      </c>
      <c r="EJ53" s="2813">
        <v>715773.64484589803</v>
      </c>
      <c r="EK53" s="2813">
        <v>706260.48931452539</v>
      </c>
      <c r="EL53" s="2813">
        <v>711001.39696769684</v>
      </c>
      <c r="EM53" s="2813">
        <v>749938.52017115138</v>
      </c>
      <c r="EN53" s="2813">
        <v>739699.49542911584</v>
      </c>
      <c r="EO53" s="2813">
        <v>708301.53616024274</v>
      </c>
      <c r="EP53" s="2813">
        <v>709229.03826386749</v>
      </c>
      <c r="EQ53" s="2813">
        <v>718205.54044132854</v>
      </c>
      <c r="ER53" s="2813">
        <v>731238.29808637674</v>
      </c>
      <c r="ES53" s="2813">
        <v>727672.03734181053</v>
      </c>
      <c r="ET53" s="2813">
        <v>732642.85132082494</v>
      </c>
      <c r="EU53" s="2813">
        <v>759685.95649453055</v>
      </c>
      <c r="EV53" s="2813">
        <v>764555.93024367746</v>
      </c>
      <c r="EW53" s="2813">
        <v>774463.1126177907</v>
      </c>
      <c r="EX53" s="2813">
        <v>781000.3419830557</v>
      </c>
      <c r="EY53" s="2813">
        <v>789579.12987157889</v>
      </c>
      <c r="EZ53" s="2813">
        <v>793801.97094227793</v>
      </c>
      <c r="FA53" s="2813">
        <v>800789.85928399151</v>
      </c>
      <c r="FB53" s="2813">
        <v>802856.33344930969</v>
      </c>
      <c r="FC53" s="2813">
        <v>808794.59943991422</v>
      </c>
      <c r="FD53" s="2813">
        <v>808133.56980742305</v>
      </c>
      <c r="FE53" s="2813">
        <v>808041.17092648102</v>
      </c>
      <c r="FF53" s="2813">
        <v>807853.86473815981</v>
      </c>
      <c r="FG53" s="2813">
        <v>825729.1735285871</v>
      </c>
      <c r="FH53" s="2813">
        <v>835084.18721342925</v>
      </c>
      <c r="FI53" s="2813">
        <v>842845.78015039559</v>
      </c>
      <c r="FJ53" s="2820"/>
    </row>
    <row r="54" spans="1:166" s="2815" customFormat="1" ht="17.100000000000001" customHeight="1" x14ac:dyDescent="0.25">
      <c r="A54" s="2812" t="s">
        <v>2728</v>
      </c>
      <c r="B54" s="2813">
        <v>355259.36110940948</v>
      </c>
      <c r="C54" s="2813">
        <v>359674.52067542169</v>
      </c>
      <c r="D54" s="2813">
        <v>365534.08899271872</v>
      </c>
      <c r="E54" s="2813">
        <v>350076.45939386607</v>
      </c>
      <c r="F54" s="2813">
        <v>408376.12498644798</v>
      </c>
      <c r="G54" s="2813">
        <v>402112.53101963754</v>
      </c>
      <c r="H54" s="2813">
        <v>364656.03892779577</v>
      </c>
      <c r="I54" s="2813">
        <v>393066.9151664619</v>
      </c>
      <c r="J54" s="2813">
        <v>390537.62147691939</v>
      </c>
      <c r="K54" s="2813">
        <v>391457.11670130375</v>
      </c>
      <c r="L54" s="2813">
        <v>402942.5897299879</v>
      </c>
      <c r="M54" s="2813">
        <v>404649.15065369115</v>
      </c>
      <c r="N54" s="2813">
        <v>407823.63352837315</v>
      </c>
      <c r="O54" s="2813">
        <v>405056.79783523042</v>
      </c>
      <c r="P54" s="2813">
        <v>373076.22365200013</v>
      </c>
      <c r="Q54" s="2813">
        <v>392324.13765174814</v>
      </c>
      <c r="R54" s="2813">
        <v>385746.33193663164</v>
      </c>
      <c r="S54" s="2813">
        <v>414087.30448866077</v>
      </c>
      <c r="T54" s="2813">
        <v>403593.92227355641</v>
      </c>
      <c r="U54" s="2813">
        <v>386969.89630842878</v>
      </c>
      <c r="V54" s="2813">
        <v>395351.35688924079</v>
      </c>
      <c r="W54" s="2813">
        <v>405087.09893024142</v>
      </c>
      <c r="X54" s="2813">
        <v>454427.65861462167</v>
      </c>
      <c r="Y54" s="2813">
        <v>392520.47702801961</v>
      </c>
      <c r="Z54" s="2813">
        <v>369105.09290209634</v>
      </c>
      <c r="AA54" s="2813">
        <v>376955.9310288633</v>
      </c>
      <c r="AB54" s="2813">
        <v>425700.47701899771</v>
      </c>
      <c r="AC54" s="2813">
        <v>430723.86365939816</v>
      </c>
      <c r="AD54" s="2813">
        <v>453051.42133272428</v>
      </c>
      <c r="AE54" s="2813">
        <v>398191.58983318222</v>
      </c>
      <c r="AF54" s="2813">
        <v>431310.64951476338</v>
      </c>
      <c r="AG54" s="2813">
        <v>391798.35496846749</v>
      </c>
      <c r="AH54" s="2813">
        <v>419472.37424158253</v>
      </c>
      <c r="AI54" s="2813">
        <v>440473.73401755263</v>
      </c>
      <c r="AJ54" s="2813">
        <v>440983.94812166237</v>
      </c>
      <c r="AK54" s="2813">
        <v>446725.61739693565</v>
      </c>
      <c r="AL54" s="2813">
        <v>474970.90923370438</v>
      </c>
      <c r="AM54" s="2813">
        <v>426515.81480752374</v>
      </c>
      <c r="AN54" s="2813">
        <v>445854.38320849871</v>
      </c>
      <c r="AO54" s="2813">
        <v>460625.32765421644</v>
      </c>
      <c r="AP54" s="2813">
        <v>488129.86957859132</v>
      </c>
      <c r="AQ54" s="2813">
        <v>438688.48267435428</v>
      </c>
      <c r="AR54" s="2813">
        <v>465953.60966626892</v>
      </c>
      <c r="AS54" s="2813">
        <v>471795.70692158758</v>
      </c>
      <c r="AT54" s="2813">
        <v>470230.33461851074</v>
      </c>
      <c r="AU54" s="2813">
        <v>455486.54418138292</v>
      </c>
      <c r="AV54" s="2813">
        <v>459880.23395209498</v>
      </c>
      <c r="AW54" s="2813">
        <v>478865.71640516765</v>
      </c>
      <c r="AX54" s="2813">
        <v>439097.77532928227</v>
      </c>
      <c r="AY54" s="2813">
        <v>441269.8403915122</v>
      </c>
      <c r="AZ54" s="2813">
        <v>438692.91461748979</v>
      </c>
      <c r="BA54" s="2813">
        <v>460236.83889744111</v>
      </c>
      <c r="BB54" s="2813">
        <v>442676.74993058713</v>
      </c>
      <c r="BC54" s="2813">
        <v>430266.48893325822</v>
      </c>
      <c r="BD54" s="2813">
        <v>439363.15186964103</v>
      </c>
      <c r="BE54" s="2813">
        <v>452836.70265660645</v>
      </c>
      <c r="BF54" s="2813">
        <v>485583.09844426496</v>
      </c>
      <c r="BG54" s="2813">
        <v>526195.34385628253</v>
      </c>
      <c r="BH54" s="2813">
        <v>496675.90007366199</v>
      </c>
      <c r="BI54" s="2813">
        <v>507072.70740943949</v>
      </c>
      <c r="BJ54" s="2813">
        <v>524258.49610627926</v>
      </c>
      <c r="BK54" s="2813">
        <v>533757.07369569398</v>
      </c>
      <c r="BL54" s="2813">
        <v>609082.18579530215</v>
      </c>
      <c r="BM54" s="2813">
        <v>610314.7623422672</v>
      </c>
      <c r="BN54" s="2813">
        <v>577098.77235605102</v>
      </c>
      <c r="BO54" s="2813">
        <v>562413.7520863933</v>
      </c>
      <c r="BP54" s="2813">
        <v>567268.13910522393</v>
      </c>
      <c r="BQ54" s="2813">
        <v>552711.18938686117</v>
      </c>
      <c r="BR54" s="2813">
        <v>552327.72718493198</v>
      </c>
      <c r="BS54" s="2813">
        <v>575446.41010124655</v>
      </c>
      <c r="BT54" s="2813">
        <v>555028.7250735925</v>
      </c>
      <c r="BU54" s="2813">
        <v>567680</v>
      </c>
      <c r="BV54" s="2813">
        <v>580216.77243797912</v>
      </c>
      <c r="BW54" s="2813">
        <v>578562.26508637541</v>
      </c>
      <c r="BX54" s="2813">
        <v>547518.84099356248</v>
      </c>
      <c r="BY54" s="2813">
        <v>558322.94204278337</v>
      </c>
      <c r="BZ54" s="2813">
        <v>552651.4970955078</v>
      </c>
      <c r="CA54" s="2813">
        <v>560481.05852742586</v>
      </c>
      <c r="CB54" s="2813">
        <v>570468.77005060739</v>
      </c>
      <c r="CC54" s="2813">
        <v>576648.32861637149</v>
      </c>
      <c r="CD54" s="2813">
        <v>572210.03967018984</v>
      </c>
      <c r="CE54" s="2813">
        <v>572673.71392348432</v>
      </c>
      <c r="CF54" s="2813">
        <v>602463.71168242232</v>
      </c>
      <c r="CG54" s="2813">
        <v>564619.41641323874</v>
      </c>
      <c r="CH54" s="2813">
        <v>565487.72895225766</v>
      </c>
      <c r="CI54" s="2813">
        <v>579629.63135974342</v>
      </c>
      <c r="CJ54" s="2813">
        <v>605302.05896330334</v>
      </c>
      <c r="CK54" s="2813">
        <v>591654.14229416894</v>
      </c>
      <c r="CL54" s="2813">
        <v>599865.68221058906</v>
      </c>
      <c r="CM54" s="2813">
        <v>613298.92116443929</v>
      </c>
      <c r="CN54" s="2813">
        <v>623293.49414493178</v>
      </c>
      <c r="CO54" s="2813">
        <v>590351.65671024844</v>
      </c>
      <c r="CP54" s="2813">
        <v>616886.54367419053</v>
      </c>
      <c r="CQ54" s="2813">
        <v>600412.36316587124</v>
      </c>
      <c r="CR54" s="2813">
        <v>634564.2896325558</v>
      </c>
      <c r="CS54" s="2813">
        <v>619408.35522614198</v>
      </c>
      <c r="CT54" s="2813">
        <v>615864.01694600936</v>
      </c>
      <c r="CU54" s="2813">
        <v>614374.76992208359</v>
      </c>
      <c r="CV54" s="2813">
        <v>630986.07158521377</v>
      </c>
      <c r="CW54" s="2813">
        <v>618238.20334119699</v>
      </c>
      <c r="CX54" s="2813">
        <v>584156.42194773233</v>
      </c>
      <c r="CY54" s="2813">
        <v>590753.77780053939</v>
      </c>
      <c r="CZ54" s="2813">
        <v>588240.20044339471</v>
      </c>
      <c r="DA54" s="2813">
        <v>584139.2273160402</v>
      </c>
      <c r="DB54" s="2813">
        <v>561003.35230613092</v>
      </c>
      <c r="DC54" s="2813">
        <v>587039.63923268137</v>
      </c>
      <c r="DD54" s="2813">
        <v>563522.24029562809</v>
      </c>
      <c r="DE54" s="2813">
        <v>551379.29385430424</v>
      </c>
      <c r="DF54" s="2813">
        <v>538265.32248170185</v>
      </c>
      <c r="DG54" s="2813">
        <v>596939.8629526447</v>
      </c>
      <c r="DH54" s="2813">
        <v>564195.45932845725</v>
      </c>
      <c r="DI54" s="2813">
        <v>587860.06781915366</v>
      </c>
      <c r="DJ54" s="2813">
        <v>579482.4201452682</v>
      </c>
      <c r="DK54" s="2813">
        <v>579531.65175247216</v>
      </c>
      <c r="DL54" s="2813">
        <v>617116.66324948857</v>
      </c>
      <c r="DM54" s="2813">
        <v>597153.703205853</v>
      </c>
      <c r="DN54" s="2813">
        <v>607794.06939170428</v>
      </c>
      <c r="DO54" s="2813">
        <v>623038.66895031475</v>
      </c>
      <c r="DP54" s="2813">
        <v>682489.76817643747</v>
      </c>
      <c r="DQ54" s="2813">
        <v>613730.03626431699</v>
      </c>
      <c r="DR54" s="2813">
        <v>630143.02979571314</v>
      </c>
      <c r="DS54" s="2813">
        <v>629732.53170248412</v>
      </c>
      <c r="DT54" s="2813">
        <v>636857.30380698736</v>
      </c>
      <c r="DU54" s="2813">
        <v>645761.15132664389</v>
      </c>
      <c r="DV54" s="2813">
        <v>652539.00094071496</v>
      </c>
      <c r="DW54" s="2813">
        <v>681299.79845151189</v>
      </c>
      <c r="DX54" s="2813">
        <v>660150.72596627683</v>
      </c>
      <c r="DY54" s="2813">
        <v>699765.94464311143</v>
      </c>
      <c r="DZ54" s="2813">
        <v>692721.80575566413</v>
      </c>
      <c r="EA54" s="2813">
        <v>638391.96242675604</v>
      </c>
      <c r="EB54" s="2813">
        <v>657744.20349492971</v>
      </c>
      <c r="EC54" s="2813">
        <v>662969.3726288029</v>
      </c>
      <c r="ED54" s="2813">
        <v>679764.11751246767</v>
      </c>
      <c r="EE54" s="2813">
        <v>725243.88095195964</v>
      </c>
      <c r="EF54" s="2813">
        <v>747894.63634676964</v>
      </c>
      <c r="EG54" s="2813">
        <v>692608.52018053562</v>
      </c>
      <c r="EH54" s="2813">
        <v>751128.16141818557</v>
      </c>
      <c r="EI54" s="2813">
        <v>754112.17304018105</v>
      </c>
      <c r="EJ54" s="2813">
        <v>748183.05975164683</v>
      </c>
      <c r="EK54" s="2813">
        <v>800034.29208630242</v>
      </c>
      <c r="EL54" s="2813">
        <v>808794.55466551904</v>
      </c>
      <c r="EM54" s="2813">
        <v>805444.74378064985</v>
      </c>
      <c r="EN54" s="2813">
        <v>806535.29289866413</v>
      </c>
      <c r="EO54" s="2813">
        <v>836614.87274120434</v>
      </c>
      <c r="EP54" s="2813">
        <v>793340.79251254129</v>
      </c>
      <c r="EQ54" s="2813">
        <v>807739.4675781657</v>
      </c>
      <c r="ER54" s="2813">
        <v>825002.51296043303</v>
      </c>
      <c r="ES54" s="2813">
        <v>832054.91275085264</v>
      </c>
      <c r="ET54" s="2813">
        <v>815010.58616349823</v>
      </c>
      <c r="EU54" s="2813">
        <v>812291.61171429907</v>
      </c>
      <c r="EV54" s="2813">
        <v>815335.79743892909</v>
      </c>
      <c r="EW54" s="2813">
        <v>825076.43665089703</v>
      </c>
      <c r="EX54" s="2813">
        <v>853206.09742279386</v>
      </c>
      <c r="EY54" s="2813">
        <v>821272.13083647564</v>
      </c>
      <c r="EZ54" s="2813">
        <v>912520.17386572435</v>
      </c>
      <c r="FA54" s="2813">
        <v>857070.60511653509</v>
      </c>
      <c r="FB54" s="2813">
        <v>872922.81373134686</v>
      </c>
      <c r="FC54" s="2813">
        <v>866072.05011551245</v>
      </c>
      <c r="FD54" s="2813">
        <v>873655.68955193879</v>
      </c>
      <c r="FE54" s="2813">
        <v>897582.27042569569</v>
      </c>
      <c r="FF54" s="2813">
        <v>890938.61890668108</v>
      </c>
      <c r="FG54" s="2813">
        <v>864753.07832810492</v>
      </c>
      <c r="FH54" s="2813">
        <v>915623.3969157181</v>
      </c>
      <c r="FI54" s="2813">
        <v>874637.52460468444</v>
      </c>
      <c r="FJ54" s="2820"/>
    </row>
    <row r="55" spans="1:166" ht="16.5" customHeight="1" x14ac:dyDescent="0.25">
      <c r="A55" s="2807"/>
      <c r="B55" s="2809"/>
      <c r="C55" s="2809"/>
      <c r="D55" s="2809"/>
      <c r="E55" s="2809"/>
      <c r="F55" s="2809"/>
      <c r="G55" s="2809"/>
      <c r="H55" s="2809"/>
      <c r="I55" s="2809"/>
      <c r="J55" s="2809"/>
      <c r="K55" s="2809"/>
      <c r="L55" s="2809"/>
      <c r="M55" s="2809"/>
      <c r="N55" s="2809"/>
      <c r="O55" s="2809"/>
      <c r="P55" s="2809"/>
      <c r="Q55" s="2809"/>
      <c r="R55" s="2809"/>
      <c r="S55" s="2809"/>
      <c r="T55" s="2809"/>
      <c r="U55" s="2809"/>
      <c r="V55" s="2809"/>
      <c r="W55" s="2809"/>
      <c r="X55" s="2809"/>
      <c r="Y55" s="2809"/>
      <c r="Z55" s="2809"/>
      <c r="AA55" s="2809"/>
      <c r="AB55" s="2809"/>
      <c r="AC55" s="2809"/>
      <c r="AD55" s="2809"/>
      <c r="AE55" s="2809"/>
      <c r="AF55" s="2809"/>
      <c r="AG55" s="2809"/>
      <c r="AH55" s="2809"/>
      <c r="AI55" s="2809"/>
      <c r="AJ55" s="2809"/>
      <c r="AK55" s="2809"/>
      <c r="AL55" s="2809"/>
      <c r="AM55" s="2809"/>
      <c r="AN55" s="2809"/>
      <c r="AO55" s="2809"/>
      <c r="AP55" s="2809"/>
      <c r="AQ55" s="2809"/>
      <c r="AR55" s="2809"/>
      <c r="AS55" s="2809"/>
      <c r="AT55" s="2809"/>
      <c r="AU55" s="2809"/>
      <c r="AV55" s="2809"/>
      <c r="AW55" s="2809"/>
      <c r="AX55" s="2809"/>
      <c r="AY55" s="2809"/>
      <c r="AZ55" s="2809"/>
      <c r="BA55" s="2809"/>
      <c r="BB55" s="2809"/>
      <c r="BC55" s="2809"/>
      <c r="BD55" s="2809"/>
      <c r="BE55" s="2809"/>
      <c r="BF55" s="2809"/>
      <c r="BG55" s="2809"/>
      <c r="BH55" s="2809"/>
      <c r="BI55" s="2809"/>
      <c r="BJ55" s="2809"/>
      <c r="BK55" s="2809"/>
      <c r="BL55" s="2809"/>
      <c r="BM55" s="2809"/>
      <c r="BN55" s="2809"/>
      <c r="BO55" s="2809"/>
      <c r="BP55" s="2809"/>
      <c r="BQ55" s="2809"/>
      <c r="BR55" s="2809"/>
      <c r="BS55" s="2809"/>
      <c r="BT55" s="2809"/>
      <c r="BU55" s="2809"/>
      <c r="BV55" s="2809"/>
      <c r="BW55" s="2809"/>
      <c r="BX55" s="2809"/>
      <c r="BY55" s="2809"/>
      <c r="BZ55" s="2809"/>
      <c r="CA55" s="2809"/>
      <c r="CB55" s="2809"/>
      <c r="CC55" s="2809"/>
      <c r="CD55" s="2809"/>
      <c r="CE55" s="2809"/>
      <c r="CF55" s="2809"/>
      <c r="CG55" s="2809"/>
      <c r="CH55" s="2809"/>
      <c r="CI55" s="2809"/>
      <c r="CJ55" s="2809"/>
      <c r="CK55" s="2809"/>
      <c r="CL55" s="2809"/>
      <c r="CM55" s="2809"/>
      <c r="CN55" s="2809"/>
      <c r="CO55" s="2809"/>
      <c r="CP55" s="2809"/>
      <c r="CQ55" s="2809"/>
      <c r="CR55" s="2809"/>
      <c r="CS55" s="2809"/>
      <c r="CT55" s="2809"/>
      <c r="CU55" s="2809"/>
      <c r="CV55" s="2809"/>
      <c r="CW55" s="2809"/>
      <c r="CX55" s="2809"/>
      <c r="CY55" s="2809"/>
      <c r="CZ55" s="2809"/>
      <c r="DA55" s="2809"/>
      <c r="DB55" s="2809"/>
      <c r="DC55" s="2809"/>
      <c r="DD55" s="2809"/>
      <c r="DE55" s="2809"/>
      <c r="DF55" s="2809"/>
      <c r="DG55" s="2809"/>
      <c r="DH55" s="2809"/>
      <c r="DI55" s="2809"/>
      <c r="DJ55" s="2809"/>
      <c r="DK55" s="2809"/>
      <c r="DL55" s="2809"/>
      <c r="DM55" s="2809"/>
      <c r="DN55" s="2809"/>
      <c r="DO55" s="2809"/>
      <c r="DP55" s="2809"/>
      <c r="DQ55" s="2809"/>
      <c r="DR55" s="2809"/>
      <c r="DS55" s="2809"/>
      <c r="DT55" s="2809"/>
      <c r="DU55" s="2809"/>
      <c r="DV55" s="2809"/>
      <c r="DW55" s="2809"/>
      <c r="DX55" s="2809"/>
      <c r="DY55" s="2809"/>
      <c r="DZ55" s="2809"/>
      <c r="EA55" s="2809"/>
      <c r="EB55" s="2809"/>
      <c r="EC55" s="2809"/>
      <c r="ED55" s="2809"/>
      <c r="EE55" s="2809"/>
      <c r="EF55" s="2809"/>
      <c r="EG55" s="2809"/>
      <c r="EH55" s="2809"/>
      <c r="EI55" s="2809"/>
      <c r="EJ55" s="2809"/>
      <c r="EK55" s="2809"/>
      <c r="EL55" s="2809"/>
      <c r="EM55" s="2809"/>
      <c r="EN55" s="2809"/>
      <c r="EO55" s="2809"/>
      <c r="EP55" s="2809"/>
      <c r="EQ55" s="2809"/>
      <c r="ER55" s="2809"/>
      <c r="ES55" s="2809"/>
      <c r="ET55" s="2809"/>
      <c r="EU55" s="2809"/>
      <c r="EV55" s="2809"/>
      <c r="EW55" s="2809"/>
      <c r="EX55" s="2809"/>
      <c r="EY55" s="2809"/>
      <c r="EZ55" s="2809"/>
      <c r="FA55" s="2809"/>
      <c r="FB55" s="2809"/>
      <c r="FC55" s="2809"/>
      <c r="FD55" s="2809"/>
      <c r="FE55" s="2809"/>
      <c r="FF55" s="2809"/>
      <c r="FG55" s="2809"/>
      <c r="FH55" s="2809"/>
      <c r="FI55" s="2809"/>
      <c r="FJ55" s="2820"/>
    </row>
    <row r="56" spans="1:166" ht="16.5" customHeight="1" x14ac:dyDescent="0.25">
      <c r="A56" s="2812" t="s">
        <v>2729</v>
      </c>
      <c r="B56" s="2813">
        <v>279735.10531540611</v>
      </c>
      <c r="C56" s="2813">
        <v>280832.71616430732</v>
      </c>
      <c r="D56" s="2813">
        <v>281427.58380275627</v>
      </c>
      <c r="E56" s="2813">
        <v>282053.88717788766</v>
      </c>
      <c r="F56" s="2813">
        <v>286161.75081736082</v>
      </c>
      <c r="G56" s="2813">
        <v>286852.74157677876</v>
      </c>
      <c r="H56" s="2813">
        <v>281980.74913940526</v>
      </c>
      <c r="I56" s="2813">
        <v>282105.32767522562</v>
      </c>
      <c r="J56" s="2813">
        <v>283581.44315563818</v>
      </c>
      <c r="K56" s="2813">
        <v>287418.95498439157</v>
      </c>
      <c r="L56" s="2813">
        <v>288135.77511421102</v>
      </c>
      <c r="M56" s="2813">
        <v>300231.38741758827</v>
      </c>
      <c r="N56" s="2813">
        <v>298556.62578708358</v>
      </c>
      <c r="O56" s="2813">
        <v>298369.33004481444</v>
      </c>
      <c r="P56" s="2813">
        <v>298155.49753263145</v>
      </c>
      <c r="Q56" s="2813">
        <v>299059.78403224458</v>
      </c>
      <c r="R56" s="2813">
        <v>299494.6394816144</v>
      </c>
      <c r="S56" s="2813">
        <v>306227.71741607366</v>
      </c>
      <c r="T56" s="2813">
        <v>305393.34314475307</v>
      </c>
      <c r="U56" s="2813">
        <v>308770.06989294133</v>
      </c>
      <c r="V56" s="2813">
        <v>309120.82380339794</v>
      </c>
      <c r="W56" s="2813">
        <v>309586.03971583769</v>
      </c>
      <c r="X56" s="2813">
        <v>312758.67268372775</v>
      </c>
      <c r="Y56" s="2813">
        <v>319536.66994800232</v>
      </c>
      <c r="Z56" s="2813">
        <v>318174.79569418321</v>
      </c>
      <c r="AA56" s="2813">
        <v>318311.51350059046</v>
      </c>
      <c r="AB56" s="2813">
        <v>321028.13302254636</v>
      </c>
      <c r="AC56" s="2813">
        <v>321243.46464984748</v>
      </c>
      <c r="AD56" s="2813">
        <v>323994.44183545001</v>
      </c>
      <c r="AE56" s="2813">
        <v>327851.0242175223</v>
      </c>
      <c r="AF56" s="2813">
        <v>328873.35024287179</v>
      </c>
      <c r="AG56" s="2813">
        <v>329210.58830269566</v>
      </c>
      <c r="AH56" s="2813">
        <v>331263.67529123981</v>
      </c>
      <c r="AI56" s="2813">
        <v>334358.44301515532</v>
      </c>
      <c r="AJ56" s="2813">
        <v>336572.52553336322</v>
      </c>
      <c r="AK56" s="2813">
        <v>345617.19551340822</v>
      </c>
      <c r="AL56" s="2813">
        <v>340908.92052914313</v>
      </c>
      <c r="AM56" s="2813">
        <v>344826.53440251609</v>
      </c>
      <c r="AN56" s="2813">
        <v>348245.69090443768</v>
      </c>
      <c r="AO56" s="2813">
        <v>346565.10847846698</v>
      </c>
      <c r="AP56" s="2813">
        <v>346711.64590246277</v>
      </c>
      <c r="AQ56" s="2813">
        <v>351375.8188580295</v>
      </c>
      <c r="AR56" s="2813">
        <v>352944.69968920399</v>
      </c>
      <c r="AS56" s="2813">
        <v>351417.83862996544</v>
      </c>
      <c r="AT56" s="2813">
        <v>350499.23615290475</v>
      </c>
      <c r="AU56" s="2813">
        <v>349810.86009880243</v>
      </c>
      <c r="AV56" s="2813">
        <v>354693.08322884847</v>
      </c>
      <c r="AW56" s="2813">
        <v>365608.73772902408</v>
      </c>
      <c r="AX56" s="2813">
        <v>364980.69233736559</v>
      </c>
      <c r="AY56" s="2813">
        <v>369066.69688267616</v>
      </c>
      <c r="AZ56" s="2813">
        <v>371778.39312112681</v>
      </c>
      <c r="BA56" s="2813">
        <v>372675.47367760952</v>
      </c>
      <c r="BB56" s="2813">
        <v>374448.43718937901</v>
      </c>
      <c r="BC56" s="2813">
        <v>378456.25837457669</v>
      </c>
      <c r="BD56" s="2813">
        <v>377725.22592014016</v>
      </c>
      <c r="BE56" s="2813">
        <v>379201.6061837934</v>
      </c>
      <c r="BF56" s="2813">
        <v>379536.06867122138</v>
      </c>
      <c r="BG56" s="2813">
        <v>386009.67288569768</v>
      </c>
      <c r="BH56" s="2813">
        <v>389293.57228882512</v>
      </c>
      <c r="BI56" s="2813">
        <v>397556.54743014241</v>
      </c>
      <c r="BJ56" s="2813">
        <v>399865.77736164053</v>
      </c>
      <c r="BK56" s="2813">
        <v>404452.45097584801</v>
      </c>
      <c r="BL56" s="2813">
        <v>410915.24788448901</v>
      </c>
      <c r="BM56" s="2813">
        <v>410066.84698475106</v>
      </c>
      <c r="BN56" s="2813">
        <v>411917.76295781811</v>
      </c>
      <c r="BO56" s="2813">
        <v>418402.10404157941</v>
      </c>
      <c r="BP56" s="2813">
        <v>420266.19606512645</v>
      </c>
      <c r="BQ56" s="2813">
        <v>425740.73306717828</v>
      </c>
      <c r="BR56" s="2813">
        <v>423801.82017970318</v>
      </c>
      <c r="BS56" s="2813">
        <v>428368.77910129959</v>
      </c>
      <c r="BT56" s="2813">
        <v>431628.14552528458</v>
      </c>
      <c r="BU56" s="2813">
        <v>437999</v>
      </c>
      <c r="BV56" s="2813">
        <v>441887.17765523668</v>
      </c>
      <c r="BW56" s="2813">
        <v>442606.92125446931</v>
      </c>
      <c r="BX56" s="2813">
        <v>442449.85457323794</v>
      </c>
      <c r="BY56" s="2813">
        <v>446911.85781437054</v>
      </c>
      <c r="BZ56" s="2813">
        <v>449648.89126058272</v>
      </c>
      <c r="CA56" s="2813">
        <v>454966.19312587637</v>
      </c>
      <c r="CB56" s="2813">
        <v>461117.73776384653</v>
      </c>
      <c r="CC56" s="2813">
        <v>461430.80908152496</v>
      </c>
      <c r="CD56" s="2813">
        <v>461720.45506848267</v>
      </c>
      <c r="CE56" s="2813">
        <v>467628.51267994742</v>
      </c>
      <c r="CF56" s="2813">
        <v>466181.98963053362</v>
      </c>
      <c r="CG56" s="2813">
        <v>477788.9123658007</v>
      </c>
      <c r="CH56" s="2813">
        <v>482530.18293943547</v>
      </c>
      <c r="CI56" s="2813">
        <v>484802.9440699215</v>
      </c>
      <c r="CJ56" s="2813">
        <v>485070.61657241185</v>
      </c>
      <c r="CK56" s="2813">
        <v>486422.52761427267</v>
      </c>
      <c r="CL56" s="2813">
        <v>493022.68238882185</v>
      </c>
      <c r="CM56" s="2813">
        <v>491497.02935467474</v>
      </c>
      <c r="CN56" s="2813">
        <v>494871.72102887125</v>
      </c>
      <c r="CO56" s="2813">
        <v>496265.33256421401</v>
      </c>
      <c r="CP56" s="2813">
        <v>514343.5804290087</v>
      </c>
      <c r="CQ56" s="2813">
        <v>508989.0330164819</v>
      </c>
      <c r="CR56" s="2813">
        <v>508936.52725764248</v>
      </c>
      <c r="CS56" s="2813">
        <v>522082.88855707517</v>
      </c>
      <c r="CT56" s="2813">
        <v>517698.19551605918</v>
      </c>
      <c r="CU56" s="2813">
        <v>525005.68763654598</v>
      </c>
      <c r="CV56" s="2813">
        <v>529215.21339422092</v>
      </c>
      <c r="CW56" s="2813">
        <v>533321.65716028935</v>
      </c>
      <c r="CX56" s="2813">
        <v>532406.12408800703</v>
      </c>
      <c r="CY56" s="2813">
        <v>537637.90350697201</v>
      </c>
      <c r="CZ56" s="2813">
        <v>533730.18510533078</v>
      </c>
      <c r="DA56" s="2813">
        <v>536045.54619934538</v>
      </c>
      <c r="DB56" s="2813">
        <v>537076.40459591278</v>
      </c>
      <c r="DC56" s="2813">
        <v>544713.22111905226</v>
      </c>
      <c r="DD56" s="2813">
        <v>547078.01010348136</v>
      </c>
      <c r="DE56" s="2813">
        <v>554892.69632883591</v>
      </c>
      <c r="DF56" s="2813">
        <v>554908.23577923025</v>
      </c>
      <c r="DG56" s="2813">
        <v>559637.26738361525</v>
      </c>
      <c r="DH56" s="2813">
        <v>562978.93241245952</v>
      </c>
      <c r="DI56" s="2813">
        <v>565338.49062105222</v>
      </c>
      <c r="DJ56" s="2813">
        <v>564329.58136491186</v>
      </c>
      <c r="DK56" s="2813">
        <v>571821.25441540615</v>
      </c>
      <c r="DL56" s="2813">
        <v>574711.70473376976</v>
      </c>
      <c r="DM56" s="2813">
        <v>573609.46124614426</v>
      </c>
      <c r="DN56" s="2813">
        <v>576579.80937112018</v>
      </c>
      <c r="DO56" s="2813">
        <v>586220.94557105831</v>
      </c>
      <c r="DP56" s="2813">
        <v>592579.06939322909</v>
      </c>
      <c r="DQ56" s="2813">
        <v>601973.23458341032</v>
      </c>
      <c r="DR56" s="2813">
        <v>604264.3816984446</v>
      </c>
      <c r="DS56" s="2813">
        <v>612966.7983084236</v>
      </c>
      <c r="DT56" s="2813">
        <v>623487.74252911494</v>
      </c>
      <c r="DU56" s="2813">
        <v>634874.85028223682</v>
      </c>
      <c r="DV56" s="2813">
        <v>640638.51830001222</v>
      </c>
      <c r="DW56" s="2813">
        <v>644329.59710239829</v>
      </c>
      <c r="DX56" s="2813">
        <v>645173.52177810227</v>
      </c>
      <c r="DY56" s="2813">
        <v>646149.29340344621</v>
      </c>
      <c r="DZ56" s="2813">
        <v>655899.11789156613</v>
      </c>
      <c r="EA56" s="2813">
        <v>693565.16370723839</v>
      </c>
      <c r="EB56" s="2813">
        <v>694772.90107514313</v>
      </c>
      <c r="EC56" s="2813">
        <v>703592.72573349951</v>
      </c>
      <c r="ED56" s="2813">
        <v>708184.36570888816</v>
      </c>
      <c r="EE56" s="2813">
        <v>710613.30748368683</v>
      </c>
      <c r="EF56" s="2813">
        <v>710709.8397626722</v>
      </c>
      <c r="EG56" s="2813">
        <v>763284.38256650825</v>
      </c>
      <c r="EH56" s="2813">
        <v>765919.0235516103</v>
      </c>
      <c r="EI56" s="2813">
        <v>765365.56867240334</v>
      </c>
      <c r="EJ56" s="2813">
        <v>773835.9068505317</v>
      </c>
      <c r="EK56" s="2813">
        <v>769296.78973335295</v>
      </c>
      <c r="EL56" s="2813">
        <v>767716.76423805149</v>
      </c>
      <c r="EM56" s="2813">
        <v>782458.03764073073</v>
      </c>
      <c r="EN56" s="2813">
        <v>788282.67900455173</v>
      </c>
      <c r="EO56" s="2813">
        <v>765847.35978355131</v>
      </c>
      <c r="EP56" s="2813">
        <v>764204.14486669225</v>
      </c>
      <c r="EQ56" s="2813">
        <v>768035.02426829422</v>
      </c>
      <c r="ER56" s="2813">
        <v>775331.26731230039</v>
      </c>
      <c r="ES56" s="2813">
        <v>769858.87439460622</v>
      </c>
      <c r="ET56" s="2813">
        <v>763721.85087153711</v>
      </c>
      <c r="EU56" s="2813">
        <v>783584.47113963845</v>
      </c>
      <c r="EV56" s="2813">
        <v>789783.61028951243</v>
      </c>
      <c r="EW56" s="2813">
        <v>779201.14906607044</v>
      </c>
      <c r="EX56" s="2813">
        <v>782023.78613180749</v>
      </c>
      <c r="EY56" s="2813">
        <v>785082.11652708706</v>
      </c>
      <c r="EZ56" s="2813">
        <v>794819.17949063051</v>
      </c>
      <c r="FA56" s="2813">
        <v>806105.09928664926</v>
      </c>
      <c r="FB56" s="2813">
        <v>812542.30665421125</v>
      </c>
      <c r="FC56" s="2813">
        <v>823542.31480631768</v>
      </c>
      <c r="FD56" s="2813">
        <v>821910.22135618166</v>
      </c>
      <c r="FE56" s="2813">
        <v>812790.9789603774</v>
      </c>
      <c r="FF56" s="2813">
        <v>810594.25145861565</v>
      </c>
      <c r="FG56" s="2813">
        <v>825804.36065696436</v>
      </c>
      <c r="FH56" s="2813">
        <v>832338.27446425695</v>
      </c>
      <c r="FI56" s="2813">
        <v>834013.33256910997</v>
      </c>
      <c r="FJ56" s="2820"/>
    </row>
    <row r="57" spans="1:166" ht="17.100000000000001" customHeight="1" thickBot="1" x14ac:dyDescent="0.3">
      <c r="A57" s="2818"/>
      <c r="B57" s="2819"/>
      <c r="C57" s="2819"/>
      <c r="D57" s="2819"/>
      <c r="E57" s="2819"/>
      <c r="F57" s="2819"/>
      <c r="G57" s="2819"/>
      <c r="H57" s="2819"/>
      <c r="I57" s="2819"/>
      <c r="J57" s="2819"/>
      <c r="K57" s="2819"/>
      <c r="L57" s="2819"/>
      <c r="M57" s="281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19"/>
      <c r="AK57" s="2819"/>
      <c r="AL57" s="2819"/>
      <c r="AM57" s="2819"/>
      <c r="AN57" s="2819"/>
      <c r="AO57" s="2819"/>
      <c r="AP57" s="2819"/>
      <c r="AQ57" s="2819"/>
      <c r="AR57" s="2819"/>
      <c r="AS57" s="2819"/>
      <c r="AT57" s="2819"/>
      <c r="AU57" s="2819"/>
      <c r="AV57" s="2819"/>
      <c r="AW57" s="2819"/>
      <c r="AX57" s="2819"/>
      <c r="AY57" s="2819"/>
      <c r="AZ57" s="2819"/>
      <c r="BA57" s="2819"/>
      <c r="BB57" s="2819"/>
      <c r="BC57" s="2819"/>
      <c r="BD57" s="2819"/>
      <c r="BE57" s="2819"/>
      <c r="BF57" s="2819"/>
      <c r="BG57" s="2819"/>
      <c r="BH57" s="2819"/>
      <c r="BI57" s="2819"/>
      <c r="BJ57" s="2819"/>
      <c r="BK57" s="2819"/>
      <c r="BL57" s="2819"/>
      <c r="BM57" s="2819"/>
      <c r="BN57" s="2819"/>
      <c r="BO57" s="2819"/>
      <c r="BP57" s="2819"/>
      <c r="BQ57" s="2819"/>
      <c r="BR57" s="2819"/>
      <c r="BS57" s="2819"/>
      <c r="BT57" s="2819"/>
      <c r="BU57" s="2819"/>
      <c r="BV57" s="2819"/>
      <c r="BW57" s="2819"/>
      <c r="BX57" s="2819"/>
      <c r="BY57" s="2819"/>
      <c r="BZ57" s="2819"/>
      <c r="CA57" s="2819"/>
      <c r="CB57" s="2819"/>
      <c r="CC57" s="2819"/>
      <c r="CD57" s="2819"/>
      <c r="CE57" s="2819"/>
      <c r="CF57" s="2819"/>
      <c r="CG57" s="2819"/>
      <c r="CH57" s="2819"/>
      <c r="CI57" s="2819"/>
      <c r="CJ57" s="2819"/>
      <c r="CK57" s="2819"/>
      <c r="CL57" s="2819"/>
      <c r="CM57" s="2819"/>
      <c r="CN57" s="2819"/>
      <c r="CO57" s="2819"/>
      <c r="CP57" s="2819"/>
      <c r="CQ57" s="2819"/>
      <c r="CR57" s="2819"/>
      <c r="CS57" s="2819"/>
      <c r="CT57" s="2819"/>
      <c r="CU57" s="2819"/>
      <c r="CV57" s="2819"/>
      <c r="CW57" s="2819"/>
      <c r="CX57" s="2819"/>
      <c r="CY57" s="2819"/>
      <c r="CZ57" s="2819"/>
      <c r="DA57" s="2819"/>
      <c r="DB57" s="2819"/>
      <c r="DC57" s="2819"/>
      <c r="DD57" s="2819"/>
      <c r="DE57" s="2819"/>
      <c r="DF57" s="2819"/>
      <c r="DG57" s="2819"/>
      <c r="DH57" s="2819"/>
      <c r="DI57" s="2819"/>
      <c r="DJ57" s="2819"/>
      <c r="DK57" s="2819"/>
      <c r="DL57" s="2819"/>
      <c r="DM57" s="2819"/>
      <c r="DN57" s="2819"/>
      <c r="DO57" s="2819"/>
      <c r="DP57" s="2819"/>
      <c r="DQ57" s="2819"/>
      <c r="DR57" s="2819"/>
      <c r="DS57" s="2819"/>
      <c r="DT57" s="2819"/>
      <c r="DU57" s="2819"/>
      <c r="DV57" s="2819"/>
      <c r="DW57" s="2819"/>
      <c r="DX57" s="2819"/>
      <c r="DY57" s="2819"/>
      <c r="DZ57" s="2819"/>
      <c r="EA57" s="2819"/>
      <c r="EB57" s="2819"/>
      <c r="EC57" s="2819"/>
      <c r="ED57" s="2819"/>
      <c r="EE57" s="2819"/>
      <c r="EF57" s="2819"/>
      <c r="EG57" s="2819"/>
      <c r="EH57" s="2819"/>
      <c r="EI57" s="2819"/>
      <c r="EJ57" s="2819"/>
      <c r="EK57" s="2819"/>
      <c r="EL57" s="2819"/>
      <c r="EM57" s="2819"/>
      <c r="EN57" s="2819"/>
      <c r="EO57" s="2819"/>
      <c r="EP57" s="2819"/>
      <c r="EQ57" s="2819"/>
      <c r="ER57" s="2819"/>
      <c r="ES57" s="2819"/>
      <c r="ET57" s="2819"/>
      <c r="EU57" s="2819"/>
      <c r="EV57" s="2819"/>
      <c r="EW57" s="2819"/>
      <c r="EX57" s="2819"/>
      <c r="EY57" s="2819"/>
      <c r="EZ57" s="2819"/>
      <c r="FA57" s="2819"/>
      <c r="FB57" s="2819"/>
      <c r="FC57" s="2819"/>
      <c r="FD57" s="2819"/>
      <c r="FE57" s="2819"/>
      <c r="FF57" s="2819"/>
      <c r="FG57" s="2819"/>
      <c r="FH57" s="2819"/>
      <c r="FI57" s="2819"/>
      <c r="FJ57" s="2820"/>
    </row>
    <row r="58" spans="1:166" s="2330" customFormat="1" ht="15.75" customHeight="1" thickTop="1" x14ac:dyDescent="0.25">
      <c r="A58" s="2330" t="s">
        <v>173</v>
      </c>
    </row>
    <row r="59" spans="1:166" s="2330" customFormat="1" ht="15.75" customHeight="1" x14ac:dyDescent="0.25">
      <c r="A59" s="2330" t="s">
        <v>2730</v>
      </c>
    </row>
    <row r="60" spans="1:166" s="2330" customFormat="1" ht="29.25" customHeight="1" x14ac:dyDescent="0.25">
      <c r="A60" s="3259" t="s">
        <v>2731</v>
      </c>
      <c r="B60" s="3259"/>
      <c r="C60" s="3259"/>
      <c r="D60" s="3259"/>
      <c r="E60" s="3259"/>
      <c r="F60" s="3259"/>
      <c r="G60" s="3259"/>
      <c r="H60" s="3259"/>
      <c r="I60" s="3259"/>
      <c r="J60" s="3259"/>
      <c r="K60" s="3259"/>
      <c r="L60" s="3259"/>
      <c r="M60" s="3259"/>
      <c r="N60" s="3259"/>
      <c r="O60" s="3259"/>
      <c r="P60" s="3259"/>
      <c r="Q60" s="3259"/>
      <c r="R60" s="3259"/>
      <c r="S60" s="3259"/>
      <c r="T60" s="3259"/>
      <c r="U60" s="3259"/>
      <c r="V60" s="3259"/>
      <c r="W60" s="3259"/>
      <c r="X60" s="3259"/>
      <c r="Y60" s="3259"/>
      <c r="Z60" s="3259"/>
      <c r="AA60" s="3259"/>
      <c r="AB60" s="3259"/>
      <c r="AC60" s="3259"/>
      <c r="AD60" s="3259"/>
      <c r="AE60" s="3259"/>
      <c r="AF60" s="3259"/>
      <c r="AG60" s="3259"/>
      <c r="AH60" s="3259"/>
      <c r="AI60" s="3259"/>
      <c r="AJ60" s="3259"/>
      <c r="AK60" s="3259"/>
      <c r="AL60" s="3259"/>
      <c r="AM60" s="3259"/>
      <c r="AN60" s="3259"/>
      <c r="AO60" s="3259"/>
      <c r="AP60" s="3259"/>
      <c r="AQ60" s="3259"/>
      <c r="AR60" s="3259"/>
      <c r="AS60" s="3259"/>
      <c r="AT60" s="3259"/>
      <c r="AU60" s="3259"/>
      <c r="AV60" s="3259"/>
      <c r="AW60" s="3259"/>
      <c r="AX60" s="3259"/>
      <c r="AY60" s="3259"/>
      <c r="AZ60" s="3259"/>
      <c r="BA60" s="3259"/>
      <c r="BB60" s="3259"/>
      <c r="BC60" s="3259"/>
      <c r="BD60" s="3259"/>
      <c r="BE60" s="3259"/>
      <c r="BF60" s="3259"/>
      <c r="BG60" s="3259"/>
      <c r="BH60" s="3259"/>
      <c r="BI60" s="3259"/>
      <c r="BJ60" s="3259"/>
      <c r="BK60" s="3259"/>
      <c r="BL60" s="3259"/>
      <c r="BM60" s="3259"/>
      <c r="BN60" s="3259"/>
      <c r="BO60" s="3259"/>
      <c r="BP60" s="3259"/>
      <c r="BQ60" s="3259"/>
      <c r="BR60" s="3259"/>
      <c r="BS60" s="3259"/>
      <c r="BT60" s="3259"/>
      <c r="BU60" s="3259"/>
      <c r="BV60" s="3259"/>
      <c r="BW60" s="3259"/>
      <c r="BX60" s="3259"/>
      <c r="BY60" s="3259"/>
      <c r="BZ60" s="3259"/>
      <c r="CA60" s="3259"/>
      <c r="CB60" s="3259"/>
      <c r="CC60" s="3259"/>
      <c r="CD60" s="3259"/>
      <c r="CE60" s="3259"/>
      <c r="CF60" s="3259"/>
      <c r="CG60" s="3259"/>
      <c r="CH60" s="3259"/>
      <c r="CI60" s="3259"/>
      <c r="CJ60" s="3259"/>
      <c r="CK60" s="3259"/>
      <c r="CL60" s="3259"/>
      <c r="CM60" s="3259"/>
      <c r="CN60" s="3259"/>
      <c r="CO60" s="3259"/>
      <c r="CP60" s="3259"/>
      <c r="CQ60" s="3259"/>
      <c r="CR60" s="3259"/>
      <c r="CS60" s="3259"/>
      <c r="CT60" s="3259"/>
      <c r="CU60" s="3259"/>
      <c r="CV60" s="3259"/>
      <c r="CW60" s="3259"/>
      <c r="CX60" s="3259"/>
      <c r="CY60" s="3259"/>
      <c r="CZ60" s="3259"/>
      <c r="DA60" s="3259"/>
      <c r="DB60" s="3259"/>
      <c r="DC60" s="3259"/>
      <c r="DD60" s="3259"/>
      <c r="DE60" s="3259"/>
      <c r="DF60" s="3259"/>
      <c r="DG60" s="3259"/>
      <c r="DH60" s="3259"/>
      <c r="DI60" s="3259"/>
      <c r="DJ60" s="3259"/>
      <c r="DK60" s="3259"/>
      <c r="DL60" s="3259"/>
      <c r="DM60" s="3259"/>
      <c r="DN60" s="3259"/>
      <c r="DO60" s="3259"/>
      <c r="DP60" s="3259"/>
      <c r="DQ60" s="3259"/>
      <c r="DR60" s="3259"/>
      <c r="DS60" s="3259"/>
      <c r="DT60" s="3259"/>
      <c r="DU60" s="3259"/>
      <c r="DV60" s="3259"/>
      <c r="DW60" s="3259"/>
      <c r="DX60" s="3259"/>
      <c r="DY60" s="3259"/>
      <c r="DZ60" s="3259"/>
      <c r="EA60" s="3259"/>
      <c r="EB60" s="3259"/>
      <c r="EC60" s="3259"/>
      <c r="ED60" s="3259"/>
      <c r="EE60" s="3259"/>
      <c r="EF60" s="3259"/>
      <c r="EG60" s="3259"/>
      <c r="EH60" s="3259"/>
      <c r="EI60" s="3259"/>
      <c r="EJ60" s="3259"/>
      <c r="EK60" s="3259"/>
      <c r="EL60" s="3259"/>
      <c r="EM60" s="3259"/>
      <c r="EN60" s="3259"/>
      <c r="EO60" s="3259"/>
      <c r="EP60" s="3259"/>
      <c r="EQ60" s="3259"/>
      <c r="ER60" s="3259"/>
      <c r="ES60" s="3259"/>
      <c r="ET60" s="3259"/>
      <c r="EU60" s="3259"/>
      <c r="EV60" s="3259"/>
      <c r="EW60" s="3259"/>
      <c r="EX60" s="3259"/>
      <c r="EY60" s="3259"/>
      <c r="EZ60" s="3259"/>
      <c r="FA60" s="3259"/>
      <c r="FB60" s="3259"/>
      <c r="FC60" s="3259"/>
      <c r="FD60" s="3259"/>
      <c r="FE60" s="3259"/>
      <c r="FF60" s="3259"/>
      <c r="FG60" s="3259"/>
      <c r="FH60" s="3259"/>
      <c r="FI60" s="3259"/>
    </row>
    <row r="61" spans="1:166" s="2330" customFormat="1" ht="15.75" customHeight="1" x14ac:dyDescent="0.25">
      <c r="A61" s="2330" t="s">
        <v>2732</v>
      </c>
    </row>
    <row r="62" spans="1:166" s="2330" customFormat="1" ht="20.25" customHeight="1" x14ac:dyDescent="0.25">
      <c r="A62" s="2330" t="s">
        <v>290</v>
      </c>
    </row>
    <row r="63" spans="1:166" ht="16.5" x14ac:dyDescent="0.25">
      <c r="A63" s="798"/>
    </row>
    <row r="64" spans="1:166" x14ac:dyDescent="0.2">
      <c r="A64" s="2827"/>
    </row>
  </sheetData>
  <mergeCells count="1">
    <mergeCell ref="A60:FI60"/>
  </mergeCells>
  <pageMargins left="0.74803149606299213" right="0.74803149606299213" top="0.55118110236220474" bottom="0.74803149606299213" header="0.31496062992125984" footer="0"/>
  <pageSetup paperSize="9" scale="48" orientation="landscape" r:id="rId1"/>
  <headerFooter alignWithMargins="0"/>
  <rowBreaks count="1" manualBreakCount="1">
    <brk id="12" max="16383" man="1"/>
  </rowBreaks>
  <colBreaks count="1" manualBreakCount="1">
    <brk id="10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0"/>
  <sheetViews>
    <sheetView showGridLines="0" zoomScale="80" zoomScaleNormal="80" zoomScaleSheetLayoutView="85" workbookViewId="0">
      <pane xSplit="1" ySplit="3" topLeftCell="B29" activePane="bottomRight" state="frozen"/>
      <selection pane="topRight"/>
      <selection pane="bottomLeft"/>
      <selection pane="bottomRight" activeCell="A51" sqref="A51"/>
    </sheetView>
  </sheetViews>
  <sheetFormatPr defaultColWidth="9.140625" defaultRowHeight="15" x14ac:dyDescent="0.25"/>
  <cols>
    <col min="1" max="1" width="83" style="2425" customWidth="1"/>
    <col min="2" max="2" width="17.85546875" style="2425" customWidth="1"/>
    <col min="3" max="3" width="16" style="2426" customWidth="1"/>
    <col min="4" max="4" width="13.28515625" style="2426" customWidth="1"/>
    <col min="5" max="14" width="13.28515625" style="2424" customWidth="1"/>
    <col min="15" max="15" width="12.85546875" style="2424" customWidth="1"/>
    <col min="16" max="16384" width="9.140625" style="2425"/>
  </cols>
  <sheetData>
    <row r="1" spans="1:15" s="2336" customFormat="1" ht="18" customHeight="1" x14ac:dyDescent="0.3">
      <c r="A1" s="3225" t="s">
        <v>2222</v>
      </c>
      <c r="B1" s="2331"/>
      <c r="C1" s="2332"/>
      <c r="D1" s="2332"/>
      <c r="E1" s="2333"/>
      <c r="F1" s="2333"/>
      <c r="G1" s="2333"/>
      <c r="H1" s="2334"/>
      <c r="I1" s="2334"/>
      <c r="J1" s="2334"/>
      <c r="K1" s="2334"/>
      <c r="L1" s="2334"/>
      <c r="M1" s="2334"/>
      <c r="N1" s="2334"/>
      <c r="O1" s="2335"/>
    </row>
    <row r="2" spans="1:15" s="2336" customFormat="1" ht="13.5" customHeight="1" thickBot="1" x14ac:dyDescent="0.35">
      <c r="A2" s="3225"/>
      <c r="B2" s="2337"/>
      <c r="C2" s="2332"/>
      <c r="D2" s="2332"/>
      <c r="E2" s="2338"/>
      <c r="F2" s="2338"/>
      <c r="G2" s="2338"/>
      <c r="H2" s="2338"/>
      <c r="I2" s="2338"/>
      <c r="J2" s="2338"/>
      <c r="K2" s="2338"/>
      <c r="L2" s="2338"/>
      <c r="M2" s="2338"/>
      <c r="N2" s="2338"/>
      <c r="O2" s="2335"/>
    </row>
    <row r="3" spans="1:15" s="2343" customFormat="1" ht="31.5" customHeight="1" thickTop="1" thickBot="1" x14ac:dyDescent="0.3">
      <c r="A3" s="2339"/>
      <c r="B3" s="2340" t="s">
        <v>5</v>
      </c>
      <c r="C3" s="2341" t="s">
        <v>2223</v>
      </c>
      <c r="D3" s="2341">
        <v>2012</v>
      </c>
      <c r="E3" s="2341">
        <v>2013</v>
      </c>
      <c r="F3" s="2341">
        <v>2014</v>
      </c>
      <c r="G3" s="2341">
        <v>2015</v>
      </c>
      <c r="H3" s="2341">
        <v>2016</v>
      </c>
      <c r="I3" s="2341">
        <v>2017</v>
      </c>
      <c r="J3" s="2341">
        <v>2018</v>
      </c>
      <c r="K3" s="2341">
        <v>2019</v>
      </c>
      <c r="L3" s="2341">
        <v>2020</v>
      </c>
      <c r="M3" s="2341">
        <v>2021</v>
      </c>
      <c r="N3" s="2341">
        <v>2022</v>
      </c>
      <c r="O3" s="2342">
        <v>2023</v>
      </c>
    </row>
    <row r="4" spans="1:15" s="2351" customFormat="1" ht="27" customHeight="1" x14ac:dyDescent="0.3">
      <c r="A4" s="2344" t="s">
        <v>2224</v>
      </c>
      <c r="B4" s="2345" t="s">
        <v>2225</v>
      </c>
      <c r="C4" s="2346"/>
      <c r="D4" s="2347">
        <v>1255882</v>
      </c>
      <c r="E4" s="2347">
        <v>1258653</v>
      </c>
      <c r="F4" s="2347">
        <v>1260934</v>
      </c>
      <c r="G4" s="2347">
        <v>1262605</v>
      </c>
      <c r="H4" s="2347">
        <v>1263473</v>
      </c>
      <c r="I4" s="2347">
        <v>1264613</v>
      </c>
      <c r="J4" s="2347">
        <v>1265303</v>
      </c>
      <c r="K4" s="2348">
        <v>1265711</v>
      </c>
      <c r="L4" s="2348">
        <v>1265740</v>
      </c>
      <c r="M4" s="2348">
        <v>1266060</v>
      </c>
      <c r="N4" s="2347">
        <v>1262249</v>
      </c>
      <c r="O4" s="2349" t="s">
        <v>2226</v>
      </c>
    </row>
    <row r="5" spans="1:15" s="2357" customFormat="1" ht="27" customHeight="1" x14ac:dyDescent="0.3">
      <c r="A5" s="2344" t="s">
        <v>2227</v>
      </c>
      <c r="B5" s="2352" t="s">
        <v>2228</v>
      </c>
      <c r="C5" s="2353"/>
      <c r="D5" s="2354">
        <v>965441</v>
      </c>
      <c r="E5" s="2354">
        <v>992503</v>
      </c>
      <c r="F5" s="2354">
        <v>1038334</v>
      </c>
      <c r="G5" s="2354">
        <v>1151252</v>
      </c>
      <c r="H5" s="2354">
        <v>1275227</v>
      </c>
      <c r="I5" s="2354">
        <v>1341860</v>
      </c>
      <c r="J5" s="2354">
        <v>1399408</v>
      </c>
      <c r="K5" s="2355">
        <v>1383488</v>
      </c>
      <c r="L5" s="2355">
        <v>308980</v>
      </c>
      <c r="M5" s="2354">
        <v>179780</v>
      </c>
      <c r="N5" s="2354">
        <v>997290</v>
      </c>
      <c r="O5" s="2356" t="s">
        <v>2229</v>
      </c>
    </row>
    <row r="6" spans="1:15" s="2357" customFormat="1" ht="27" customHeight="1" x14ac:dyDescent="0.25">
      <c r="A6" s="2344" t="s">
        <v>2230</v>
      </c>
      <c r="B6" s="2352" t="s">
        <v>2228</v>
      </c>
      <c r="C6" s="2358" t="s">
        <v>281</v>
      </c>
      <c r="D6" s="2359">
        <v>44378</v>
      </c>
      <c r="E6" s="2359">
        <v>40557</v>
      </c>
      <c r="F6" s="2359">
        <v>44304</v>
      </c>
      <c r="G6" s="2359">
        <v>50191</v>
      </c>
      <c r="H6" s="2359">
        <v>55867</v>
      </c>
      <c r="I6" s="2354">
        <v>60262</v>
      </c>
      <c r="J6" s="2354">
        <v>64037</v>
      </c>
      <c r="K6" s="2355">
        <v>63107</v>
      </c>
      <c r="L6" s="2355">
        <v>17664</v>
      </c>
      <c r="M6" s="2354">
        <v>15253.457566720001</v>
      </c>
      <c r="N6" s="2354">
        <v>64844.744948267733</v>
      </c>
      <c r="O6" s="2356" t="s">
        <v>2231</v>
      </c>
    </row>
    <row r="7" spans="1:15" s="2351" customFormat="1" ht="27.75" customHeight="1" x14ac:dyDescent="0.25">
      <c r="A7" s="2344" t="s">
        <v>2232</v>
      </c>
      <c r="B7" s="2345" t="s">
        <v>2228</v>
      </c>
      <c r="C7" s="2360" t="s">
        <v>1247</v>
      </c>
      <c r="D7" s="2361">
        <v>3.6</v>
      </c>
      <c r="E7" s="2361">
        <v>3.4</v>
      </c>
      <c r="F7" s="2362" t="s">
        <v>2233</v>
      </c>
      <c r="G7" s="2362" t="s">
        <v>2234</v>
      </c>
      <c r="H7" s="2362" t="s">
        <v>2235</v>
      </c>
      <c r="I7" s="2347" t="s">
        <v>2233</v>
      </c>
      <c r="J7" s="2347" t="s">
        <v>2236</v>
      </c>
      <c r="K7" s="2348" t="s">
        <v>2237</v>
      </c>
      <c r="L7" s="2348" t="s">
        <v>2238</v>
      </c>
      <c r="M7" s="2347" t="s">
        <v>2239</v>
      </c>
      <c r="N7" s="2347" t="s">
        <v>2240</v>
      </c>
      <c r="O7" s="2349" t="s">
        <v>2241</v>
      </c>
    </row>
    <row r="8" spans="1:15" s="2351" customFormat="1" ht="27.75" customHeight="1" x14ac:dyDescent="0.25">
      <c r="A8" s="2344" t="s">
        <v>2242</v>
      </c>
      <c r="B8" s="2345" t="s">
        <v>2228</v>
      </c>
      <c r="C8" s="2360" t="s">
        <v>1247</v>
      </c>
      <c r="D8" s="2361">
        <v>3.5</v>
      </c>
      <c r="E8" s="2361">
        <v>3.4</v>
      </c>
      <c r="F8" s="2362" t="s">
        <v>2243</v>
      </c>
      <c r="G8" s="2362" t="s">
        <v>2233</v>
      </c>
      <c r="H8" s="2362" t="s">
        <v>2236</v>
      </c>
      <c r="I8" s="2347" t="s">
        <v>2236</v>
      </c>
      <c r="J8" s="2347" t="s">
        <v>2244</v>
      </c>
      <c r="K8" s="2348" t="s">
        <v>2245</v>
      </c>
      <c r="L8" s="2348" t="s">
        <v>2246</v>
      </c>
      <c r="M8" s="2347" t="s">
        <v>2247</v>
      </c>
      <c r="N8" s="2347" t="s">
        <v>2248</v>
      </c>
      <c r="O8" s="2349" t="s">
        <v>2249</v>
      </c>
    </row>
    <row r="9" spans="1:15" s="2351" customFormat="1" ht="27.75" customHeight="1" x14ac:dyDescent="0.25">
      <c r="A9" s="2344" t="s">
        <v>2250</v>
      </c>
      <c r="B9" s="2345" t="s">
        <v>2228</v>
      </c>
      <c r="C9" s="2360" t="s">
        <v>281</v>
      </c>
      <c r="D9" s="2362">
        <v>350644</v>
      </c>
      <c r="E9" s="2362">
        <v>377411</v>
      </c>
      <c r="F9" s="2362">
        <v>400351</v>
      </c>
      <c r="G9" s="2362">
        <v>420936</v>
      </c>
      <c r="H9" s="2362">
        <v>447620</v>
      </c>
      <c r="I9" s="2362">
        <v>472861</v>
      </c>
      <c r="J9" s="2362">
        <v>500047</v>
      </c>
      <c r="K9" s="2348">
        <v>512108</v>
      </c>
      <c r="L9" s="2348" t="s">
        <v>2251</v>
      </c>
      <c r="M9" s="2347" t="s">
        <v>2252</v>
      </c>
      <c r="N9" s="2347" t="s">
        <v>2253</v>
      </c>
      <c r="O9" s="2349" t="s">
        <v>2254</v>
      </c>
    </row>
    <row r="10" spans="1:15" s="2351" customFormat="1" ht="27.75" customHeight="1" x14ac:dyDescent="0.25">
      <c r="A10" s="2344" t="s">
        <v>2255</v>
      </c>
      <c r="B10" s="2345" t="s">
        <v>2228</v>
      </c>
      <c r="C10" s="2360" t="s">
        <v>281</v>
      </c>
      <c r="D10" s="2362" t="s">
        <v>2256</v>
      </c>
      <c r="E10" s="2362">
        <v>381489</v>
      </c>
      <c r="F10" s="2362">
        <v>402326</v>
      </c>
      <c r="G10" s="2362">
        <v>423723</v>
      </c>
      <c r="H10" s="2362">
        <v>445163</v>
      </c>
      <c r="I10" s="2362">
        <v>477920</v>
      </c>
      <c r="J10" s="2362">
        <v>506906</v>
      </c>
      <c r="K10" s="2348">
        <v>523964</v>
      </c>
      <c r="L10" s="2348" t="s">
        <v>2257</v>
      </c>
      <c r="M10" s="2347" t="s">
        <v>2258</v>
      </c>
      <c r="N10" s="2347" t="s">
        <v>2259</v>
      </c>
      <c r="O10" s="2349" t="s">
        <v>2260</v>
      </c>
    </row>
    <row r="11" spans="1:15" s="2351" customFormat="1" ht="27.75" customHeight="1" x14ac:dyDescent="0.25">
      <c r="A11" s="2344" t="s">
        <v>2261</v>
      </c>
      <c r="B11" s="2345" t="s">
        <v>2262</v>
      </c>
      <c r="C11" s="2360" t="s">
        <v>865</v>
      </c>
      <c r="D11" s="2362">
        <v>280089</v>
      </c>
      <c r="E11" s="2362">
        <v>303027</v>
      </c>
      <c r="F11" s="2362">
        <v>319000</v>
      </c>
      <c r="G11" s="2362">
        <v>335522</v>
      </c>
      <c r="H11" s="2362">
        <v>352257</v>
      </c>
      <c r="I11" s="2362">
        <v>377837</v>
      </c>
      <c r="J11" s="2362">
        <v>400534</v>
      </c>
      <c r="K11" s="2348">
        <v>413878</v>
      </c>
      <c r="L11" s="2348" t="s">
        <v>2263</v>
      </c>
      <c r="M11" s="2347" t="s">
        <v>2264</v>
      </c>
      <c r="N11" s="2347" t="s">
        <v>2265</v>
      </c>
      <c r="O11" s="2349" t="s">
        <v>2266</v>
      </c>
    </row>
    <row r="12" spans="1:15" s="2357" customFormat="1" ht="27.75" customHeight="1" x14ac:dyDescent="0.25">
      <c r="A12" s="2344" t="s">
        <v>2267</v>
      </c>
      <c r="B12" s="2352" t="s">
        <v>2268</v>
      </c>
      <c r="C12" s="2358" t="s">
        <v>1247</v>
      </c>
      <c r="D12" s="2363">
        <v>5.0999999999999996</v>
      </c>
      <c r="E12" s="2363">
        <v>3.6</v>
      </c>
      <c r="F12" s="2363">
        <v>4</v>
      </c>
      <c r="G12" s="2363">
        <v>1.7</v>
      </c>
      <c r="H12" s="2363">
        <v>0.9</v>
      </c>
      <c r="I12" s="2364">
        <v>2.4</v>
      </c>
      <c r="J12" s="2364">
        <v>4.3</v>
      </c>
      <c r="K12" s="2364">
        <v>1</v>
      </c>
      <c r="L12" s="2364">
        <v>1.8</v>
      </c>
      <c r="M12" s="2364">
        <v>2.2000000000000002</v>
      </c>
      <c r="N12" s="2364">
        <v>8</v>
      </c>
      <c r="O12" s="2365">
        <v>10.5</v>
      </c>
    </row>
    <row r="13" spans="1:15" s="2357" customFormat="1" ht="27" customHeight="1" x14ac:dyDescent="0.25">
      <c r="A13" s="2344" t="s">
        <v>2269</v>
      </c>
      <c r="B13" s="2352" t="s">
        <v>2262</v>
      </c>
      <c r="C13" s="2358" t="s">
        <v>1247</v>
      </c>
      <c r="D13" s="2363">
        <v>3.9</v>
      </c>
      <c r="E13" s="2363">
        <v>3.5</v>
      </c>
      <c r="F13" s="2363">
        <v>3.2</v>
      </c>
      <c r="G13" s="2363">
        <v>1.3</v>
      </c>
      <c r="H13" s="2363">
        <v>1</v>
      </c>
      <c r="I13" s="2364">
        <v>3.7</v>
      </c>
      <c r="J13" s="2364">
        <v>3.2</v>
      </c>
      <c r="K13" s="2366">
        <v>0.5</v>
      </c>
      <c r="L13" s="2366">
        <v>2.5</v>
      </c>
      <c r="M13" s="2367">
        <v>4</v>
      </c>
      <c r="N13" s="2366">
        <v>10.8</v>
      </c>
      <c r="O13" s="2356" t="s">
        <v>2231</v>
      </c>
    </row>
    <row r="14" spans="1:15" s="2372" customFormat="1" ht="27" customHeight="1" x14ac:dyDescent="0.25">
      <c r="A14" s="2344" t="s">
        <v>2270</v>
      </c>
      <c r="B14" s="2345" t="s">
        <v>2262</v>
      </c>
      <c r="C14" s="2360" t="s">
        <v>1247</v>
      </c>
      <c r="D14" s="2361">
        <v>8</v>
      </c>
      <c r="E14" s="2361">
        <v>8</v>
      </c>
      <c r="F14" s="2361">
        <v>7.8</v>
      </c>
      <c r="G14" s="2361">
        <v>7.9</v>
      </c>
      <c r="H14" s="2361">
        <v>7.3</v>
      </c>
      <c r="I14" s="2368">
        <v>7.1</v>
      </c>
      <c r="J14" s="2368">
        <v>6.9</v>
      </c>
      <c r="K14" s="2369">
        <v>6.7</v>
      </c>
      <c r="L14" s="2369">
        <v>9.1999999999999993</v>
      </c>
      <c r="M14" s="2370" t="s">
        <v>2271</v>
      </c>
      <c r="N14" s="2369" t="s">
        <v>2272</v>
      </c>
      <c r="O14" s="2371" t="s">
        <v>2231</v>
      </c>
    </row>
    <row r="15" spans="1:15" s="2357" customFormat="1" ht="23.25" customHeight="1" x14ac:dyDescent="0.25">
      <c r="A15" s="2344" t="s">
        <v>2273</v>
      </c>
      <c r="B15" s="2352" t="s">
        <v>2268</v>
      </c>
      <c r="C15" s="2358" t="s">
        <v>281</v>
      </c>
      <c r="D15" s="2373">
        <v>-36021</v>
      </c>
      <c r="E15" s="2373">
        <v>-29696</v>
      </c>
      <c r="F15" s="2373">
        <v>-15933</v>
      </c>
      <c r="G15" s="2373">
        <v>-20361</v>
      </c>
      <c r="H15" s="2373">
        <v>-15941</v>
      </c>
      <c r="I15" s="2354">
        <v>-20670</v>
      </c>
      <c r="J15" s="2354" t="s">
        <v>2274</v>
      </c>
      <c r="K15" s="2373" t="s">
        <v>2275</v>
      </c>
      <c r="L15" s="2373" t="s">
        <v>2276</v>
      </c>
      <c r="M15" s="2373" t="s">
        <v>2277</v>
      </c>
      <c r="N15" s="2373" t="s">
        <v>2278</v>
      </c>
      <c r="O15" s="2356" t="s">
        <v>2279</v>
      </c>
    </row>
    <row r="16" spans="1:15" s="2357" customFormat="1" ht="27" customHeight="1" x14ac:dyDescent="0.25">
      <c r="A16" s="2344" t="s">
        <v>2280</v>
      </c>
      <c r="B16" s="2352" t="s">
        <v>2262</v>
      </c>
      <c r="C16" s="2358" t="s">
        <v>281</v>
      </c>
      <c r="D16" s="2373">
        <v>-25056</v>
      </c>
      <c r="E16" s="2373">
        <v>-23122</v>
      </c>
      <c r="F16" s="2373">
        <v>-21237</v>
      </c>
      <c r="G16" s="2373">
        <v>-14723</v>
      </c>
      <c r="H16" s="2373">
        <v>-17448</v>
      </c>
      <c r="I16" s="2373">
        <v>-21059</v>
      </c>
      <c r="J16" s="2354" t="s">
        <v>2281</v>
      </c>
      <c r="K16" s="2354" t="s">
        <v>2282</v>
      </c>
      <c r="L16" s="2374" t="s">
        <v>2283</v>
      </c>
      <c r="M16" s="2364" t="s">
        <v>2284</v>
      </c>
      <c r="N16" s="2364" t="s">
        <v>2285</v>
      </c>
      <c r="O16" s="2356" t="s">
        <v>2231</v>
      </c>
    </row>
    <row r="17" spans="1:15" s="2357" customFormat="1" ht="27" customHeight="1" x14ac:dyDescent="0.25">
      <c r="A17" s="2344" t="s">
        <v>2286</v>
      </c>
      <c r="B17" s="2352" t="s">
        <v>2268</v>
      </c>
      <c r="C17" s="2358" t="s">
        <v>281</v>
      </c>
      <c r="D17" s="2375" t="s">
        <v>2287</v>
      </c>
      <c r="E17" s="2375" t="s">
        <v>2288</v>
      </c>
      <c r="F17" s="2376" t="s">
        <v>2289</v>
      </c>
      <c r="G17" s="2373" t="s">
        <v>2290</v>
      </c>
      <c r="H17" s="2373" t="s">
        <v>2291</v>
      </c>
      <c r="I17" s="2373" t="s">
        <v>2292</v>
      </c>
      <c r="J17" s="2373" t="s">
        <v>2293</v>
      </c>
      <c r="K17" s="2373" t="s">
        <v>2294</v>
      </c>
      <c r="L17" s="2374" t="s">
        <v>2295</v>
      </c>
      <c r="M17" s="2364" t="s">
        <v>2296</v>
      </c>
      <c r="N17" s="2364" t="s">
        <v>2297</v>
      </c>
      <c r="O17" s="2356">
        <v>-44185</v>
      </c>
    </row>
    <row r="18" spans="1:15" s="2357" customFormat="1" ht="27" customHeight="1" x14ac:dyDescent="0.25">
      <c r="A18" s="2344" t="s">
        <v>2298</v>
      </c>
      <c r="B18" s="2352" t="s">
        <v>2262</v>
      </c>
      <c r="C18" s="2358" t="s">
        <v>281</v>
      </c>
      <c r="D18" s="2375" t="s">
        <v>2299</v>
      </c>
      <c r="E18" s="2375" t="s">
        <v>2300</v>
      </c>
      <c r="F18" s="2375">
        <v>23019</v>
      </c>
      <c r="G18" s="2375">
        <v>19960</v>
      </c>
      <c r="H18" s="2375">
        <v>26227</v>
      </c>
      <c r="I18" s="2377" t="s">
        <v>2301</v>
      </c>
      <c r="J18" s="2377" t="s">
        <v>2302</v>
      </c>
      <c r="K18" s="2377" t="s">
        <v>2303</v>
      </c>
      <c r="L18" s="2374" t="s">
        <v>2304</v>
      </c>
      <c r="M18" s="2364" t="s">
        <v>2305</v>
      </c>
      <c r="N18" s="2364" t="s">
        <v>2306</v>
      </c>
      <c r="O18" s="2356" t="s">
        <v>2231</v>
      </c>
    </row>
    <row r="19" spans="1:15" s="2357" customFormat="1" ht="27" customHeight="1" x14ac:dyDescent="0.25">
      <c r="A19" s="2344" t="s">
        <v>2307</v>
      </c>
      <c r="B19" s="2352" t="s">
        <v>2308</v>
      </c>
      <c r="C19" s="2358" t="s">
        <v>281</v>
      </c>
      <c r="D19" s="2378">
        <v>86671.1</v>
      </c>
      <c r="E19" s="2378">
        <v>105040.1</v>
      </c>
      <c r="F19" s="2378">
        <v>121424.1</v>
      </c>
      <c r="G19" s="2378">
        <v>139894.1</v>
      </c>
      <c r="H19" s="2378">
        <v>168679.1</v>
      </c>
      <c r="I19" s="2354">
        <v>181339.1</v>
      </c>
      <c r="J19" s="2354">
        <v>230496.2</v>
      </c>
      <c r="K19" s="2354">
        <v>253428.1</v>
      </c>
      <c r="L19" s="2355">
        <v>289503</v>
      </c>
      <c r="M19" s="2354">
        <v>309918</v>
      </c>
      <c r="N19" s="2354">
        <v>345967.67484220507</v>
      </c>
      <c r="O19" s="2356">
        <v>305951</v>
      </c>
    </row>
    <row r="20" spans="1:15" s="2357" customFormat="1" ht="27" customHeight="1" x14ac:dyDescent="0.25">
      <c r="A20" s="2344" t="s">
        <v>2309</v>
      </c>
      <c r="B20" s="2352" t="s">
        <v>2228</v>
      </c>
      <c r="C20" s="2358" t="s">
        <v>281</v>
      </c>
      <c r="D20" s="2354">
        <v>160996</v>
      </c>
      <c r="E20" s="2354">
        <v>165594</v>
      </c>
      <c r="F20" s="2354">
        <v>172038</v>
      </c>
      <c r="G20" s="2354">
        <v>168023</v>
      </c>
      <c r="H20" s="2354">
        <v>165423</v>
      </c>
      <c r="I20" s="2359">
        <v>180867</v>
      </c>
      <c r="J20" s="2354">
        <v>192438</v>
      </c>
      <c r="K20" s="2359">
        <v>198639</v>
      </c>
      <c r="L20" s="2355">
        <v>165722</v>
      </c>
      <c r="M20" s="2354" t="s">
        <v>2310</v>
      </c>
      <c r="N20" s="2354" t="s">
        <v>2311</v>
      </c>
      <c r="O20" s="2356" t="s">
        <v>2312</v>
      </c>
    </row>
    <row r="21" spans="1:15" s="2357" customFormat="1" ht="27" customHeight="1" x14ac:dyDescent="0.25">
      <c r="A21" s="2344" t="s">
        <v>2313</v>
      </c>
      <c r="B21" s="2352" t="s">
        <v>2228</v>
      </c>
      <c r="C21" s="2358" t="s">
        <v>281</v>
      </c>
      <c r="D21" s="2354">
        <v>79658</v>
      </c>
      <c r="E21" s="2354">
        <v>88048</v>
      </c>
      <c r="F21" s="2354">
        <v>94776</v>
      </c>
      <c r="G21" s="2354">
        <v>93290</v>
      </c>
      <c r="H21" s="2354">
        <v>84456</v>
      </c>
      <c r="I21" s="2359">
        <v>80680</v>
      </c>
      <c r="J21" s="2354">
        <v>80339</v>
      </c>
      <c r="K21" s="2359">
        <v>78799</v>
      </c>
      <c r="L21" s="2355">
        <v>70223</v>
      </c>
      <c r="M21" s="2354" t="s">
        <v>2314</v>
      </c>
      <c r="N21" s="2354" t="s">
        <v>2315</v>
      </c>
      <c r="O21" s="2356" t="s">
        <v>2316</v>
      </c>
    </row>
    <row r="22" spans="1:15" s="2351" customFormat="1" ht="27" customHeight="1" x14ac:dyDescent="0.25">
      <c r="A22" s="2344" t="s">
        <v>2317</v>
      </c>
      <c r="B22" s="2345" t="s">
        <v>2318</v>
      </c>
      <c r="C22" s="2360" t="s">
        <v>1247</v>
      </c>
      <c r="D22" s="2361">
        <v>1.8</v>
      </c>
      <c r="E22" s="2361">
        <v>3.5</v>
      </c>
      <c r="F22" s="2361">
        <v>3.2</v>
      </c>
      <c r="G22" s="2361">
        <v>3.5</v>
      </c>
      <c r="H22" s="2361">
        <v>3.5</v>
      </c>
      <c r="I22" s="2368">
        <v>3.2</v>
      </c>
      <c r="J22" s="2368">
        <v>3.2</v>
      </c>
      <c r="K22" s="2368">
        <v>13.6</v>
      </c>
      <c r="L22" s="2369" t="s">
        <v>2319</v>
      </c>
      <c r="M22" s="2370">
        <v>5.6</v>
      </c>
      <c r="N22" s="2369" t="s">
        <v>2320</v>
      </c>
      <c r="O22" s="2379" t="s">
        <v>2321</v>
      </c>
    </row>
    <row r="23" spans="1:15" s="2351" customFormat="1" ht="27" customHeight="1" x14ac:dyDescent="0.25">
      <c r="A23" s="2344" t="s">
        <v>2322</v>
      </c>
      <c r="B23" s="2380" t="s">
        <v>2323</v>
      </c>
      <c r="C23" s="2358" t="s">
        <v>281</v>
      </c>
      <c r="D23" s="2354">
        <v>35947</v>
      </c>
      <c r="E23" s="2354">
        <v>47162</v>
      </c>
      <c r="F23" s="2354">
        <v>51429</v>
      </c>
      <c r="G23" s="2354">
        <v>54676</v>
      </c>
      <c r="H23" s="2354">
        <v>51637</v>
      </c>
      <c r="I23" s="2359">
        <v>45128</v>
      </c>
      <c r="J23" s="2354" t="s">
        <v>2324</v>
      </c>
      <c r="K23" s="2359" t="s">
        <v>2325</v>
      </c>
      <c r="L23" s="2355" t="s">
        <v>2326</v>
      </c>
      <c r="M23" s="2355" t="s">
        <v>2327</v>
      </c>
      <c r="N23" s="2354" t="s">
        <v>2328</v>
      </c>
      <c r="O23" s="2356" t="s">
        <v>2329</v>
      </c>
    </row>
    <row r="24" spans="1:15" s="2351" customFormat="1" ht="27" customHeight="1" x14ac:dyDescent="0.25">
      <c r="A24" s="2344" t="s">
        <v>2330</v>
      </c>
      <c r="B24" s="2380" t="s">
        <v>2323</v>
      </c>
      <c r="C24" s="2358" t="s">
        <v>1247</v>
      </c>
      <c r="D24" s="2364">
        <v>10.3</v>
      </c>
      <c r="E24" s="2364">
        <v>12.7</v>
      </c>
      <c r="F24" s="2364">
        <v>13.1</v>
      </c>
      <c r="G24" s="2364">
        <v>13.3</v>
      </c>
      <c r="H24" s="2364">
        <v>11.9</v>
      </c>
      <c r="I24" s="2363">
        <v>9.9</v>
      </c>
      <c r="J24" s="2354" t="s">
        <v>2331</v>
      </c>
      <c r="K24" s="2359" t="s">
        <v>2332</v>
      </c>
      <c r="L24" s="2355" t="s">
        <v>2333</v>
      </c>
      <c r="M24" s="2355" t="s">
        <v>2334</v>
      </c>
      <c r="N24" s="2354" t="s">
        <v>2335</v>
      </c>
      <c r="O24" s="2356" t="s">
        <v>2336</v>
      </c>
    </row>
    <row r="25" spans="1:15" s="2351" customFormat="1" ht="27" customHeight="1" x14ac:dyDescent="0.25">
      <c r="A25" s="2344" t="s">
        <v>2337</v>
      </c>
      <c r="B25" s="2380" t="s">
        <v>2323</v>
      </c>
      <c r="C25" s="2358" t="s">
        <v>281</v>
      </c>
      <c r="D25" s="2354">
        <v>140806</v>
      </c>
      <c r="E25" s="2354">
        <v>149960</v>
      </c>
      <c r="F25" s="2354">
        <v>165285</v>
      </c>
      <c r="G25" s="2354">
        <v>181649</v>
      </c>
      <c r="H25" s="2354">
        <v>206280</v>
      </c>
      <c r="I25" s="2359">
        <v>216645</v>
      </c>
      <c r="J25" s="2354" t="s">
        <v>2338</v>
      </c>
      <c r="K25" s="2359" t="s">
        <v>2339</v>
      </c>
      <c r="L25" s="2355" t="s">
        <v>2340</v>
      </c>
      <c r="M25" s="2355" t="s">
        <v>2341</v>
      </c>
      <c r="N25" s="2354" t="s">
        <v>2342</v>
      </c>
      <c r="O25" s="2356" t="s">
        <v>2343</v>
      </c>
    </row>
    <row r="26" spans="1:15" s="2351" customFormat="1" ht="27" customHeight="1" x14ac:dyDescent="0.25">
      <c r="A26" s="2344" t="s">
        <v>2344</v>
      </c>
      <c r="B26" s="2380" t="s">
        <v>2323</v>
      </c>
      <c r="C26" s="2358" t="s">
        <v>1247</v>
      </c>
      <c r="D26" s="2364">
        <v>40.200000000000003</v>
      </c>
      <c r="E26" s="2364">
        <v>40.299999999999997</v>
      </c>
      <c r="F26" s="2364">
        <v>42.2</v>
      </c>
      <c r="G26" s="2364">
        <v>44.3</v>
      </c>
      <c r="H26" s="2364">
        <v>47.4</v>
      </c>
      <c r="I26" s="2363">
        <v>47.4</v>
      </c>
      <c r="J26" s="2354" t="s">
        <v>2345</v>
      </c>
      <c r="K26" s="2359" t="s">
        <v>2346</v>
      </c>
      <c r="L26" s="2355" t="s">
        <v>2347</v>
      </c>
      <c r="M26" s="2355" t="s">
        <v>2348</v>
      </c>
      <c r="N26" s="2354" t="s">
        <v>2349</v>
      </c>
      <c r="O26" s="2356" t="s">
        <v>2350</v>
      </c>
    </row>
    <row r="27" spans="1:15" s="2351" customFormat="1" ht="27" customHeight="1" x14ac:dyDescent="0.25">
      <c r="A27" s="2344" t="s">
        <v>2351</v>
      </c>
      <c r="B27" s="2352" t="s">
        <v>2308</v>
      </c>
      <c r="C27" s="2358" t="s">
        <v>281</v>
      </c>
      <c r="D27" s="2354">
        <v>19013.633662171222</v>
      </c>
      <c r="E27" s="2354">
        <v>20523.48661882988</v>
      </c>
      <c r="F27" s="2354">
        <v>21684.992832060678</v>
      </c>
      <c r="G27" s="2354">
        <v>24017.50101763201</v>
      </c>
      <c r="H27" s="2354">
        <v>26253.964140184591</v>
      </c>
      <c r="I27" s="2359">
        <v>28460.470012456764</v>
      </c>
      <c r="J27" s="2354">
        <v>29087.652257059555</v>
      </c>
      <c r="K27" s="2359">
        <v>30056.327956020566</v>
      </c>
      <c r="L27" s="2381">
        <v>36133.21804392316</v>
      </c>
      <c r="M27" s="2381">
        <v>39426.331250734554</v>
      </c>
      <c r="N27" s="2359">
        <v>42461.138057696364</v>
      </c>
      <c r="O27" s="2382">
        <v>46072.893384649302</v>
      </c>
    </row>
    <row r="28" spans="1:15" s="2351" customFormat="1" ht="27" customHeight="1" x14ac:dyDescent="0.25">
      <c r="A28" s="2344" t="s">
        <v>2352</v>
      </c>
      <c r="B28" s="2352" t="s">
        <v>2308</v>
      </c>
      <c r="C28" s="2358" t="s">
        <v>281</v>
      </c>
      <c r="D28" s="2354">
        <v>327851.0242175223</v>
      </c>
      <c r="E28" s="2354">
        <v>351375.81885802944</v>
      </c>
      <c r="F28" s="2354">
        <v>378456.25837457663</v>
      </c>
      <c r="G28" s="2354">
        <v>418402.10404157941</v>
      </c>
      <c r="H28" s="2354">
        <v>454966.19312587625</v>
      </c>
      <c r="I28" s="2359">
        <v>491497.02935467474</v>
      </c>
      <c r="J28" s="2354">
        <v>537637.90350697201</v>
      </c>
      <c r="K28" s="2359">
        <v>571821.25441540603</v>
      </c>
      <c r="L28" s="2381">
        <v>644329.59710239817</v>
      </c>
      <c r="M28" s="2381">
        <v>765365.56867240334</v>
      </c>
      <c r="N28" s="2359">
        <v>783584.47113963857</v>
      </c>
      <c r="O28" s="2382">
        <v>825804.36065696448</v>
      </c>
    </row>
    <row r="29" spans="1:15" s="2351" customFormat="1" ht="27" customHeight="1" x14ac:dyDescent="0.25">
      <c r="A29" s="2344" t="s">
        <v>2353</v>
      </c>
      <c r="B29" s="2352" t="s">
        <v>2268</v>
      </c>
      <c r="C29" s="2358" t="s">
        <v>1247</v>
      </c>
      <c r="D29" s="2364">
        <v>7.0611853766551453</v>
      </c>
      <c r="E29" s="2364">
        <v>7.1754525387418013</v>
      </c>
      <c r="F29" s="2364">
        <v>7.7069730081479575</v>
      </c>
      <c r="G29" s="2364">
        <v>10.554943876094226</v>
      </c>
      <c r="H29" s="2364">
        <v>8.738983081371698</v>
      </c>
      <c r="I29" s="2363">
        <v>8.0293518025616137</v>
      </c>
      <c r="J29" s="2364">
        <v>9.3878236075768662</v>
      </c>
      <c r="K29" s="2363">
        <v>6.3580619382411108</v>
      </c>
      <c r="L29" s="2383">
        <v>12.680246165581949</v>
      </c>
      <c r="M29" s="2383">
        <v>18.784791528173393</v>
      </c>
      <c r="N29" s="2363">
        <v>2.3804183533938512</v>
      </c>
      <c r="O29" s="2384">
        <v>5.3880457145764744</v>
      </c>
    </row>
    <row r="30" spans="1:15" s="2351" customFormat="1" ht="27" customHeight="1" x14ac:dyDescent="0.25">
      <c r="A30" s="2344" t="s">
        <v>2354</v>
      </c>
      <c r="B30" s="2352" t="s">
        <v>2308</v>
      </c>
      <c r="C30" s="2358" t="s">
        <v>281</v>
      </c>
      <c r="D30" s="2354">
        <v>339992.21987458708</v>
      </c>
      <c r="E30" s="2354">
        <v>371452.23091788462</v>
      </c>
      <c r="F30" s="2354">
        <v>391977.25670871098</v>
      </c>
      <c r="G30" s="2354">
        <v>414496.77065093926</v>
      </c>
      <c r="H30" s="2354">
        <v>437123.20882603136</v>
      </c>
      <c r="I30" s="2359">
        <v>469475.22165179282</v>
      </c>
      <c r="J30" s="2354">
        <v>449910.84770792403</v>
      </c>
      <c r="K30" s="2359">
        <v>478157.73158403148</v>
      </c>
      <c r="L30" s="2381">
        <v>506761.14286677964</v>
      </c>
      <c r="M30" s="2381">
        <v>593373.73864856444</v>
      </c>
      <c r="N30" s="2359">
        <v>636898.5763165626</v>
      </c>
      <c r="O30" s="2382">
        <v>684343.91671763407</v>
      </c>
    </row>
    <row r="31" spans="1:15" s="2351" customFormat="1" ht="27" customHeight="1" thickBot="1" x14ac:dyDescent="0.3">
      <c r="A31" s="2385" t="s">
        <v>2355</v>
      </c>
      <c r="B31" s="2386" t="s">
        <v>2268</v>
      </c>
      <c r="C31" s="2387" t="s">
        <v>1247</v>
      </c>
      <c r="D31" s="2388">
        <v>16.386139935520774</v>
      </c>
      <c r="E31" s="2388">
        <v>9.2531561618975253</v>
      </c>
      <c r="F31" s="2388">
        <v>5.5256165079713142</v>
      </c>
      <c r="G31" s="2388">
        <v>5.7451072879371541</v>
      </c>
      <c r="H31" s="2388">
        <v>5.4587730899709559</v>
      </c>
      <c r="I31" s="2389">
        <v>7.4011199068217595</v>
      </c>
      <c r="J31" s="2388">
        <v>-4.167285735556792</v>
      </c>
      <c r="K31" s="2389">
        <v>6.278329144543088</v>
      </c>
      <c r="L31" s="2390">
        <v>5.9820033000389525</v>
      </c>
      <c r="M31" s="2390">
        <v>17.091404303773551</v>
      </c>
      <c r="N31" s="2389">
        <v>7.3351472829127813</v>
      </c>
      <c r="O31" s="2391">
        <v>7.4494342059086893</v>
      </c>
    </row>
    <row r="32" spans="1:15" s="2399" customFormat="1" ht="0.75" customHeight="1" thickTop="1" thickBot="1" x14ac:dyDescent="0.35">
      <c r="A32" s="2392"/>
      <c r="B32" s="2393"/>
      <c r="C32" s="2394"/>
      <c r="D32" s="2394"/>
      <c r="E32" s="2395"/>
      <c r="F32" s="2395"/>
      <c r="G32" s="2395"/>
      <c r="H32" s="2395"/>
      <c r="I32" s="2395"/>
      <c r="J32" s="2395"/>
      <c r="K32" s="2395"/>
      <c r="L32" s="2395"/>
      <c r="M32" s="2396"/>
      <c r="N32" s="2397"/>
      <c r="O32" s="2398"/>
    </row>
    <row r="33" spans="1:15" s="2403" customFormat="1" ht="37.5" customHeight="1" thickTop="1" x14ac:dyDescent="0.25">
      <c r="A33" s="3226" t="s">
        <v>2356</v>
      </c>
      <c r="B33" s="3226"/>
      <c r="C33" s="3226"/>
      <c r="D33" s="2400" t="s">
        <v>2357</v>
      </c>
      <c r="E33" s="2401"/>
      <c r="F33" s="2402"/>
      <c r="H33" s="2402"/>
      <c r="I33" s="2401"/>
      <c r="J33" s="2401"/>
      <c r="K33" s="2401"/>
      <c r="L33" s="2401"/>
      <c r="M33" s="2401"/>
      <c r="N33" s="2401"/>
      <c r="O33" s="2404"/>
    </row>
    <row r="34" spans="1:15" s="2406" customFormat="1" ht="34.5" customHeight="1" x14ac:dyDescent="0.25">
      <c r="A34" s="3227" t="s">
        <v>2358</v>
      </c>
      <c r="B34" s="3227"/>
      <c r="C34" s="3227"/>
      <c r="D34" s="3227"/>
      <c r="E34" s="3227"/>
      <c r="F34" s="3227"/>
      <c r="G34" s="3227"/>
      <c r="H34" s="3227"/>
      <c r="I34" s="3227"/>
      <c r="J34" s="3227"/>
      <c r="K34" s="3227"/>
      <c r="L34" s="3227"/>
      <c r="M34" s="3227"/>
      <c r="N34" s="3227"/>
      <c r="O34" s="2405"/>
    </row>
    <row r="35" spans="1:15" s="2407" customFormat="1" ht="31.5" customHeight="1" x14ac:dyDescent="0.25">
      <c r="A35" s="3227" t="s">
        <v>2359</v>
      </c>
      <c r="B35" s="3227"/>
      <c r="C35" s="3227"/>
      <c r="D35" s="3227"/>
      <c r="E35" s="3227"/>
      <c r="F35" s="3227"/>
      <c r="G35" s="3227"/>
      <c r="H35" s="3227"/>
      <c r="I35" s="3227"/>
      <c r="J35" s="3227"/>
      <c r="K35" s="3227"/>
      <c r="L35" s="3227"/>
      <c r="M35" s="3227"/>
      <c r="N35" s="3227"/>
    </row>
    <row r="36" spans="1:15" s="2415" customFormat="1" ht="15.75" x14ac:dyDescent="0.25">
      <c r="A36" s="2408" t="s">
        <v>2360</v>
      </c>
      <c r="B36" s="2409"/>
      <c r="C36" s="2410"/>
      <c r="D36" s="2410"/>
      <c r="E36" s="2409"/>
      <c r="F36" s="2409"/>
      <c r="G36" s="2409"/>
      <c r="H36" s="2409"/>
      <c r="I36" s="2411"/>
      <c r="J36" s="2411"/>
      <c r="K36" s="2411"/>
      <c r="L36" s="2411"/>
      <c r="M36" s="2412"/>
      <c r="N36" s="2413"/>
      <c r="O36" s="2350"/>
    </row>
    <row r="37" spans="1:15" s="2415" customFormat="1" ht="17.25" customHeight="1" x14ac:dyDescent="0.25">
      <c r="A37" s="2400" t="s">
        <v>2361</v>
      </c>
      <c r="B37" s="2416"/>
      <c r="C37" s="2417"/>
      <c r="D37" s="2417"/>
      <c r="E37" s="2418"/>
      <c r="F37" s="2418"/>
      <c r="G37" s="2418"/>
      <c r="H37" s="2418"/>
      <c r="I37" s="2418"/>
      <c r="J37" s="2419"/>
      <c r="K37" s="2418"/>
      <c r="L37" s="2419"/>
      <c r="M37" s="2418"/>
      <c r="N37" s="2418"/>
      <c r="O37" s="2414"/>
    </row>
    <row r="38" spans="1:15" s="2415" customFormat="1" ht="17.25" customHeight="1" x14ac:dyDescent="0.25">
      <c r="A38" s="2400" t="s">
        <v>2362</v>
      </c>
      <c r="B38" s="2400"/>
      <c r="C38" s="2417"/>
      <c r="D38" s="2417"/>
      <c r="E38" s="2420"/>
      <c r="F38" s="2420"/>
      <c r="G38" s="2420"/>
      <c r="H38" s="2420"/>
      <c r="I38" s="2420"/>
      <c r="J38" s="2421"/>
      <c r="K38" s="2418"/>
      <c r="L38" s="2419"/>
      <c r="M38" s="2418"/>
      <c r="N38" s="2418"/>
      <c r="O38" s="2414"/>
    </row>
    <row r="39" spans="1:15" ht="16.5" x14ac:dyDescent="0.25">
      <c r="A39" s="2422"/>
      <c r="B39" s="2336"/>
      <c r="C39" s="2423"/>
      <c r="D39" s="2423"/>
      <c r="E39" s="2418"/>
      <c r="F39" s="2418"/>
      <c r="G39" s="2418"/>
      <c r="H39" s="2418"/>
      <c r="I39" s="2418"/>
      <c r="J39" s="2419"/>
      <c r="K39" s="2418"/>
      <c r="L39" s="2419"/>
      <c r="M39" s="2418"/>
      <c r="N39" s="2418"/>
    </row>
    <row r="40" spans="1:15" ht="16.5" x14ac:dyDescent="0.25">
      <c r="A40" s="2422"/>
      <c r="B40" s="2336"/>
      <c r="C40" s="2423"/>
      <c r="D40" s="2423"/>
      <c r="E40" s="2420"/>
      <c r="F40" s="2420"/>
      <c r="G40" s="2420"/>
      <c r="H40" s="2420"/>
      <c r="I40" s="2420"/>
      <c r="J40" s="2421"/>
      <c r="K40" s="2418"/>
      <c r="L40" s="2419"/>
      <c r="M40" s="2418"/>
      <c r="N40" s="2418"/>
    </row>
  </sheetData>
  <mergeCells count="4">
    <mergeCell ref="A1:A2"/>
    <mergeCell ref="A33:C33"/>
    <mergeCell ref="A34:N34"/>
    <mergeCell ref="A35:N35"/>
  </mergeCells>
  <pageMargins left="0.39370078740157483" right="0" top="0.74803149606299213" bottom="0.39370078740157483" header="0.31496062992125984" footer="0.31496062992125984"/>
  <pageSetup paperSize="9" scale="51"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WD128"/>
  <sheetViews>
    <sheetView showGridLines="0" zoomScale="85" zoomScaleNormal="85" zoomScaleSheetLayoutView="85" workbookViewId="0">
      <pane ySplit="2" topLeftCell="A100" activePane="bottomLeft" state="frozen"/>
      <selection activeCell="A38" sqref="A38"/>
      <selection pane="bottomLeft" activeCell="A38" sqref="A38"/>
    </sheetView>
  </sheetViews>
  <sheetFormatPr defaultColWidth="74.28515625" defaultRowHeight="15" x14ac:dyDescent="0.25"/>
  <cols>
    <col min="1" max="1" width="104.5703125" style="627" customWidth="1"/>
    <col min="2" max="2" width="11.85546875" style="627" customWidth="1"/>
    <col min="3" max="3" width="11.42578125" style="627" customWidth="1"/>
    <col min="4" max="4" width="12.28515625" style="627" bestFit="1" customWidth="1"/>
    <col min="5" max="5" width="6.28515625" style="627" customWidth="1"/>
    <col min="6" max="6" width="8.5703125" style="627" customWidth="1"/>
    <col min="7" max="7" width="11.28515625" style="627" customWidth="1"/>
    <col min="8" max="8" width="12.85546875" style="627" bestFit="1" customWidth="1"/>
    <col min="9" max="9" width="10.28515625" style="627" customWidth="1"/>
    <col min="10" max="12" width="18.7109375" style="627" bestFit="1" customWidth="1"/>
    <col min="13" max="1954" width="74.28515625" style="627"/>
  </cols>
  <sheetData>
    <row r="1" spans="1:1954" ht="21.75" customHeight="1" x14ac:dyDescent="0.3">
      <c r="A1" s="3260" t="s">
        <v>2733</v>
      </c>
      <c r="B1" s="3260"/>
      <c r="C1" s="3260"/>
      <c r="D1" s="3260"/>
    </row>
    <row r="2" spans="1:1954" ht="12.75" customHeight="1" thickBot="1" x14ac:dyDescent="0.3">
      <c r="D2" s="1694" t="s">
        <v>2734</v>
      </c>
    </row>
    <row r="3" spans="1:1954" ht="22.9" customHeight="1" thickTop="1" thickBot="1" x14ac:dyDescent="0.35">
      <c r="A3" s="2828"/>
      <c r="B3" s="2652" t="s">
        <v>2735</v>
      </c>
      <c r="C3" s="2652" t="s">
        <v>2736</v>
      </c>
      <c r="D3" s="2652" t="s">
        <v>387</v>
      </c>
    </row>
    <row r="4" spans="1:1954" ht="17.25" thickTop="1" x14ac:dyDescent="0.3">
      <c r="A4" s="2829" t="s">
        <v>2737</v>
      </c>
      <c r="B4" s="2830">
        <v>119907.32753679102</v>
      </c>
      <c r="C4" s="2830">
        <v>53181.143409065684</v>
      </c>
      <c r="D4" s="2830">
        <v>173088.47094585674</v>
      </c>
      <c r="F4" s="691"/>
      <c r="G4" s="691"/>
      <c r="H4" s="691"/>
      <c r="I4" s="691"/>
      <c r="J4" s="2831"/>
      <c r="K4" s="2831"/>
      <c r="L4" s="2831"/>
    </row>
    <row r="5" spans="1:1954" ht="16.5" x14ac:dyDescent="0.3">
      <c r="A5" s="2832" t="s">
        <v>2738</v>
      </c>
      <c r="B5" s="2833">
        <v>10977.055686064021</v>
      </c>
      <c r="C5" s="2833">
        <v>1214.90092601225</v>
      </c>
      <c r="D5" s="2833">
        <v>12191.95661207627</v>
      </c>
      <c r="F5" s="691"/>
      <c r="G5" s="691"/>
      <c r="H5" s="691"/>
      <c r="I5" s="691"/>
      <c r="J5" s="2831"/>
      <c r="K5" s="2831"/>
      <c r="L5" s="2831"/>
    </row>
    <row r="6" spans="1:1954" ht="16.5" x14ac:dyDescent="0.3">
      <c r="A6" s="2834" t="s">
        <v>2739</v>
      </c>
      <c r="B6" s="2835">
        <v>10844.39411212402</v>
      </c>
      <c r="C6" s="2835">
        <v>1131.5805138522501</v>
      </c>
      <c r="D6" s="2835">
        <v>11975.974625976269</v>
      </c>
      <c r="F6" s="691"/>
      <c r="G6" s="691"/>
      <c r="H6" s="691"/>
      <c r="I6" s="691"/>
      <c r="J6" s="2831"/>
      <c r="K6" s="2831"/>
      <c r="L6" s="2831"/>
    </row>
    <row r="7" spans="1:1954" ht="16.5" x14ac:dyDescent="0.3">
      <c r="A7" s="2836" t="s">
        <v>2740</v>
      </c>
      <c r="B7" s="2837">
        <v>7611.3548142427162</v>
      </c>
      <c r="C7" s="2837">
        <v>273.01300663224998</v>
      </c>
      <c r="D7" s="2837">
        <v>7884.367820874967</v>
      </c>
      <c r="F7" s="691"/>
      <c r="G7" s="691"/>
      <c r="H7" s="691"/>
      <c r="I7" s="691"/>
      <c r="J7" s="2831"/>
      <c r="K7" s="2831"/>
      <c r="L7" s="2831"/>
    </row>
    <row r="8" spans="1:1954" ht="16.5" x14ac:dyDescent="0.3">
      <c r="A8" s="2836" t="s">
        <v>2741</v>
      </c>
      <c r="B8" s="2837">
        <v>3233.0392978813038</v>
      </c>
      <c r="C8" s="2837">
        <v>858.56750722000004</v>
      </c>
      <c r="D8" s="2837">
        <v>4091.606805101304</v>
      </c>
      <c r="F8" s="691"/>
      <c r="G8" s="691"/>
      <c r="H8" s="691"/>
      <c r="I8" s="691"/>
      <c r="J8" s="2831"/>
      <c r="K8" s="2831"/>
      <c r="L8" s="2831"/>
    </row>
    <row r="9" spans="1:1954" ht="16.5" x14ac:dyDescent="0.3">
      <c r="A9" s="2834" t="s">
        <v>2742</v>
      </c>
      <c r="B9" s="2835">
        <v>32.640055089999997</v>
      </c>
      <c r="C9" s="2835">
        <v>69.78709241</v>
      </c>
      <c r="D9" s="2835">
        <v>102.4271475</v>
      </c>
      <c r="F9" s="691"/>
      <c r="G9" s="691"/>
      <c r="H9" s="691"/>
      <c r="I9" s="691"/>
      <c r="J9" s="2831"/>
      <c r="K9" s="2831"/>
      <c r="L9" s="2831"/>
    </row>
    <row r="10" spans="1:1954" ht="16.5" x14ac:dyDescent="0.3">
      <c r="A10" s="2834" t="s">
        <v>2743</v>
      </c>
      <c r="B10" s="2835">
        <v>100.02151885000001</v>
      </c>
      <c r="C10" s="2835">
        <v>13.53331975</v>
      </c>
      <c r="D10" s="2835">
        <v>113.55483860000001</v>
      </c>
      <c r="F10" s="691"/>
      <c r="G10" s="691"/>
      <c r="H10" s="691"/>
      <c r="I10" s="691"/>
      <c r="J10" s="2831"/>
      <c r="K10" s="2831"/>
      <c r="L10" s="2831"/>
    </row>
    <row r="11" spans="1:1954" ht="16.5" x14ac:dyDescent="0.3">
      <c r="A11" s="2832" t="s">
        <v>2744</v>
      </c>
      <c r="B11" s="2833">
        <v>7.3127224599999998</v>
      </c>
      <c r="C11" s="2833">
        <v>110.92349525022809</v>
      </c>
      <c r="D11" s="2833">
        <v>118.2362177102281</v>
      </c>
      <c r="E11" s="2703"/>
      <c r="F11" s="2838"/>
      <c r="G11" s="691"/>
      <c r="H11" s="691"/>
      <c r="I11" s="691"/>
      <c r="J11" s="2831"/>
      <c r="K11" s="2831"/>
      <c r="L11" s="2831"/>
      <c r="M11" s="2703"/>
      <c r="N11" s="2703"/>
      <c r="O11" s="2703"/>
      <c r="P11" s="2703"/>
      <c r="Q11" s="2703"/>
      <c r="R11" s="2703"/>
      <c r="S11" s="2703"/>
      <c r="T11" s="2703"/>
      <c r="U11" s="2703"/>
      <c r="V11" s="2703"/>
      <c r="W11" s="2703"/>
      <c r="X11" s="2703"/>
      <c r="Y11" s="2703"/>
      <c r="Z11" s="2703"/>
      <c r="AA11" s="2703"/>
      <c r="AB11" s="2703"/>
      <c r="AC11" s="2703"/>
      <c r="AD11" s="2703"/>
      <c r="AE11" s="2703"/>
      <c r="AF11" s="2703"/>
      <c r="AG11" s="2703"/>
      <c r="AH11" s="2703"/>
      <c r="AI11" s="2703"/>
      <c r="AJ11" s="2703"/>
      <c r="AK11" s="2703"/>
      <c r="AL11" s="2703"/>
      <c r="AM11" s="2703"/>
      <c r="AN11" s="2703"/>
      <c r="AO11" s="2703"/>
      <c r="AP11" s="2703"/>
      <c r="AQ11" s="2703"/>
      <c r="AR11" s="2703"/>
      <c r="AS11" s="2703"/>
      <c r="AT11" s="2703"/>
      <c r="AU11" s="2703"/>
      <c r="AV11" s="2703"/>
      <c r="AW11" s="2703"/>
      <c r="AX11" s="2703"/>
      <c r="AY11" s="2703"/>
      <c r="AZ11" s="2703"/>
      <c r="BA11" s="2703"/>
      <c r="BB11" s="2703"/>
      <c r="BC11" s="2703"/>
      <c r="BD11" s="2703"/>
      <c r="BE11" s="2703"/>
      <c r="BF11" s="2703"/>
      <c r="BG11" s="2703"/>
      <c r="BH11" s="2703"/>
      <c r="BI11" s="2703"/>
      <c r="BJ11" s="2703"/>
      <c r="BK11" s="2703"/>
      <c r="BL11" s="2703"/>
      <c r="BM11" s="2703"/>
      <c r="BN11" s="2703"/>
      <c r="BO11" s="2703"/>
      <c r="BP11" s="2703"/>
      <c r="BQ11" s="2703"/>
      <c r="BR11" s="2703"/>
      <c r="BS11" s="2703"/>
      <c r="BT11" s="2703"/>
      <c r="BU11" s="2703"/>
      <c r="BV11" s="2703"/>
      <c r="BW11" s="2703"/>
      <c r="BX11" s="2703"/>
      <c r="BY11" s="2703"/>
      <c r="BZ11" s="2703"/>
      <c r="CA11" s="2703"/>
      <c r="CB11" s="2703"/>
      <c r="CC11" s="2703"/>
      <c r="CD11" s="2703"/>
      <c r="CE11" s="2703"/>
      <c r="CF11" s="2703"/>
      <c r="CG11" s="2703"/>
      <c r="CH11" s="2703"/>
      <c r="CI11" s="2703"/>
      <c r="CJ11" s="2703"/>
      <c r="CK11" s="2703"/>
      <c r="CL11" s="2703"/>
      <c r="CM11" s="2703"/>
      <c r="CN11" s="2703"/>
      <c r="CO11" s="2703"/>
      <c r="CP11" s="2703"/>
      <c r="CQ11" s="2703"/>
      <c r="CR11" s="2703"/>
      <c r="CS11" s="2703"/>
      <c r="CT11" s="2703"/>
      <c r="CU11" s="2703"/>
      <c r="CV11" s="2703"/>
      <c r="CW11" s="2703"/>
      <c r="CX11" s="2703"/>
      <c r="CY11" s="2703"/>
      <c r="CZ11" s="2703"/>
      <c r="DA11" s="2703"/>
      <c r="DB11" s="2703"/>
      <c r="DC11" s="2703"/>
      <c r="DD11" s="2703"/>
      <c r="DE11" s="2703"/>
      <c r="DF11" s="2703"/>
      <c r="DG11" s="2703"/>
      <c r="DH11" s="2703"/>
      <c r="DI11" s="2703"/>
      <c r="DJ11" s="2703"/>
      <c r="DK11" s="2703"/>
      <c r="DL11" s="2703"/>
      <c r="DM11" s="2703"/>
      <c r="DN11" s="2703"/>
      <c r="DO11" s="2703"/>
      <c r="DP11" s="2703"/>
      <c r="DQ11" s="2703"/>
      <c r="DR11" s="2703"/>
      <c r="DS11" s="2703"/>
      <c r="DT11" s="2703"/>
      <c r="DU11" s="2703"/>
      <c r="DV11" s="2703"/>
      <c r="DW11" s="2703"/>
      <c r="DX11" s="2703"/>
      <c r="DY11" s="2703"/>
      <c r="DZ11" s="2703"/>
      <c r="EA11" s="2703"/>
      <c r="EB11" s="2703"/>
      <c r="EC11" s="2703"/>
      <c r="ED11" s="2703"/>
      <c r="EE11" s="2703"/>
      <c r="EF11" s="2703"/>
      <c r="EG11" s="2703"/>
      <c r="EH11" s="2703"/>
      <c r="EI11" s="2703"/>
      <c r="EJ11" s="2703"/>
      <c r="EK11" s="2703"/>
      <c r="EL11" s="2703"/>
      <c r="EM11" s="2703"/>
      <c r="EN11" s="2703"/>
      <c r="EO11" s="2703"/>
      <c r="EP11" s="2703"/>
      <c r="EQ11" s="2703"/>
      <c r="ER11" s="2703"/>
      <c r="ES11" s="2703"/>
      <c r="ET11" s="2703"/>
      <c r="EU11" s="2703"/>
      <c r="EV11" s="2703"/>
      <c r="EW11" s="2703"/>
      <c r="EX11" s="2703"/>
      <c r="EY11" s="2703"/>
      <c r="EZ11" s="2703"/>
      <c r="FA11" s="2703"/>
      <c r="FB11" s="2703"/>
      <c r="FC11" s="2703"/>
      <c r="FD11" s="2703"/>
      <c r="FE11" s="2703"/>
      <c r="FF11" s="2703"/>
      <c r="FG11" s="2703"/>
      <c r="FH11" s="2703"/>
      <c r="FI11" s="2703"/>
      <c r="FJ11" s="2703"/>
      <c r="FK11" s="2703"/>
      <c r="FL11" s="2703"/>
      <c r="FM11" s="2703"/>
      <c r="FN11" s="2703"/>
      <c r="FO11" s="2703"/>
      <c r="FP11" s="2703"/>
      <c r="FQ11" s="2703"/>
      <c r="FR11" s="2703"/>
      <c r="FS11" s="2703"/>
      <c r="FT11" s="2703"/>
      <c r="FU11" s="2703"/>
      <c r="FV11" s="2703"/>
      <c r="FW11" s="2703"/>
      <c r="FX11" s="2703"/>
      <c r="FY11" s="2703"/>
      <c r="FZ11" s="2703"/>
      <c r="GA11" s="2703"/>
      <c r="GB11" s="2703"/>
      <c r="GC11" s="2703"/>
      <c r="GD11" s="2703"/>
      <c r="GE11" s="2703"/>
      <c r="GF11" s="2703"/>
      <c r="GG11" s="2703"/>
      <c r="GH11" s="2703"/>
      <c r="GI11" s="2703"/>
      <c r="GJ11" s="2703"/>
      <c r="GK11" s="2703"/>
      <c r="GL11" s="2703"/>
      <c r="GM11" s="2703"/>
      <c r="GN11" s="2703"/>
      <c r="GO11" s="2703"/>
      <c r="GP11" s="2703"/>
      <c r="GQ11" s="2703"/>
      <c r="GR11" s="2703"/>
      <c r="GS11" s="2703"/>
      <c r="GT11" s="2703"/>
      <c r="GU11" s="2703"/>
      <c r="GV11" s="2703"/>
      <c r="GW11" s="2703"/>
      <c r="GX11" s="2703"/>
      <c r="GY11" s="2703"/>
      <c r="GZ11" s="2703"/>
      <c r="HA11" s="2703"/>
      <c r="HB11" s="2703"/>
      <c r="HC11" s="2703"/>
      <c r="HD11" s="2703"/>
      <c r="HE11" s="2703"/>
      <c r="HF11" s="2703"/>
      <c r="HG11" s="2703"/>
      <c r="HH11" s="2703"/>
      <c r="HI11" s="2703"/>
      <c r="HJ11" s="2703"/>
      <c r="HK11" s="2703"/>
      <c r="HL11" s="2703"/>
      <c r="HM11" s="2703"/>
      <c r="HN11" s="2703"/>
      <c r="HO11" s="2703"/>
      <c r="HP11" s="2703"/>
      <c r="HQ11" s="2703"/>
      <c r="HR11" s="2703"/>
      <c r="HS11" s="2703"/>
      <c r="HT11" s="2703"/>
      <c r="HU11" s="2703"/>
      <c r="HV11" s="2703"/>
      <c r="HW11" s="2703"/>
      <c r="HX11" s="2703"/>
      <c r="HY11" s="2703"/>
      <c r="HZ11" s="2703"/>
      <c r="IA11" s="2703"/>
      <c r="IB11" s="2703"/>
      <c r="IC11" s="2703"/>
      <c r="ID11" s="2703"/>
      <c r="IE11" s="2703"/>
      <c r="IF11" s="2703"/>
      <c r="IG11" s="2703"/>
      <c r="IH11" s="2703"/>
      <c r="II11" s="2703"/>
      <c r="IJ11" s="2703"/>
      <c r="IK11" s="2703"/>
      <c r="IL11" s="2703"/>
      <c r="IM11" s="2703"/>
      <c r="IN11" s="2703"/>
      <c r="IO11" s="2703"/>
      <c r="IP11" s="2703"/>
      <c r="IQ11" s="2703"/>
      <c r="IR11" s="2703"/>
      <c r="IS11" s="2703"/>
      <c r="IT11" s="2703"/>
      <c r="IU11" s="2703"/>
      <c r="IV11" s="2703"/>
      <c r="IW11" s="2703"/>
      <c r="IX11" s="2703"/>
      <c r="IY11" s="2703"/>
      <c r="IZ11" s="2703"/>
      <c r="JA11" s="2703"/>
      <c r="JB11" s="2703"/>
      <c r="JC11" s="2703"/>
      <c r="JD11" s="2703"/>
      <c r="JE11" s="2703"/>
      <c r="JF11" s="2703"/>
      <c r="JG11" s="2703"/>
      <c r="JH11" s="2703"/>
      <c r="JI11" s="2703"/>
      <c r="JJ11" s="2703"/>
      <c r="JK11" s="2703"/>
      <c r="JL11" s="2703"/>
      <c r="JM11" s="2703"/>
      <c r="JN11" s="2703"/>
      <c r="JO11" s="2703"/>
      <c r="JP11" s="2703"/>
      <c r="JQ11" s="2703"/>
      <c r="JR11" s="2703"/>
      <c r="JS11" s="2703"/>
      <c r="JT11" s="2703"/>
      <c r="JU11" s="2703"/>
      <c r="JV11" s="2703"/>
      <c r="JW11" s="2703"/>
      <c r="JX11" s="2703"/>
      <c r="JY11" s="2703"/>
      <c r="JZ11" s="2703"/>
      <c r="KA11" s="2703"/>
      <c r="KB11" s="2703"/>
      <c r="KC11" s="2703"/>
      <c r="KD11" s="2703"/>
      <c r="KE11" s="2703"/>
      <c r="KF11" s="2703"/>
      <c r="KG11" s="2703"/>
      <c r="KH11" s="2703"/>
      <c r="KI11" s="2703"/>
      <c r="KJ11" s="2703"/>
      <c r="KK11" s="2703"/>
      <c r="KL11" s="2703"/>
      <c r="KM11" s="2703"/>
      <c r="KN11" s="2703"/>
      <c r="KO11" s="2703"/>
      <c r="KP11" s="2703"/>
      <c r="KQ11" s="2703"/>
      <c r="KR11" s="2703"/>
      <c r="KS11" s="2703"/>
      <c r="KT11" s="2703"/>
      <c r="KU11" s="2703"/>
      <c r="KV11" s="2703"/>
      <c r="KW11" s="2703"/>
      <c r="KX11" s="2703"/>
      <c r="KY11" s="2703"/>
      <c r="KZ11" s="2703"/>
      <c r="LA11" s="2703"/>
      <c r="LB11" s="2703"/>
      <c r="LC11" s="2703"/>
      <c r="LD11" s="2703"/>
      <c r="LE11" s="2703"/>
      <c r="LF11" s="2703"/>
      <c r="LG11" s="2703"/>
      <c r="LH11" s="2703"/>
      <c r="LI11" s="2703"/>
      <c r="LJ11" s="2703"/>
      <c r="LK11" s="2703"/>
      <c r="LL11" s="2703"/>
      <c r="LM11" s="2703"/>
      <c r="LN11" s="2703"/>
      <c r="LO11" s="2703"/>
      <c r="LP11" s="2703"/>
      <c r="LQ11" s="2703"/>
      <c r="LR11" s="2703"/>
      <c r="LS11" s="2703"/>
      <c r="LT11" s="2703"/>
      <c r="LU11" s="2703"/>
      <c r="LV11" s="2703"/>
      <c r="LW11" s="2703"/>
      <c r="LX11" s="2703"/>
      <c r="LY11" s="2703"/>
      <c r="LZ11" s="2703"/>
      <c r="MA11" s="2703"/>
      <c r="MB11" s="2703"/>
      <c r="MC11" s="2703"/>
      <c r="MD11" s="2703"/>
      <c r="ME11" s="2703"/>
      <c r="MF11" s="2703"/>
      <c r="MG11" s="2703"/>
      <c r="MH11" s="2703"/>
      <c r="MI11" s="2703"/>
      <c r="MJ11" s="2703"/>
      <c r="MK11" s="2703"/>
      <c r="ML11" s="2703"/>
      <c r="MM11" s="2703"/>
      <c r="MN11" s="2703"/>
      <c r="MO11" s="2703"/>
      <c r="MP11" s="2703"/>
      <c r="MQ11" s="2703"/>
      <c r="MR11" s="2703"/>
      <c r="MS11" s="2703"/>
      <c r="MT11" s="2703"/>
      <c r="MU11" s="2703"/>
      <c r="MV11" s="2703"/>
      <c r="MW11" s="2703"/>
      <c r="MX11" s="2703"/>
      <c r="MY11" s="2703"/>
      <c r="MZ11" s="2703"/>
      <c r="NA11" s="2703"/>
      <c r="NB11" s="2703"/>
      <c r="NC11" s="2703"/>
      <c r="ND11" s="2703"/>
      <c r="NE11" s="2703"/>
      <c r="NF11" s="2703"/>
      <c r="NG11" s="2703"/>
      <c r="NH11" s="2703"/>
      <c r="NI11" s="2703"/>
      <c r="NJ11" s="2703"/>
      <c r="NK11" s="2703"/>
      <c r="NL11" s="2703"/>
      <c r="NM11" s="2703"/>
      <c r="NN11" s="2703"/>
      <c r="NO11" s="2703"/>
      <c r="NP11" s="2703"/>
      <c r="NQ11" s="2703"/>
      <c r="NR11" s="2703"/>
      <c r="NS11" s="2703"/>
      <c r="NT11" s="2703"/>
      <c r="NU11" s="2703"/>
      <c r="NV11" s="2703"/>
      <c r="NW11" s="2703"/>
      <c r="NX11" s="2703"/>
      <c r="NY11" s="2703"/>
      <c r="NZ11" s="2703"/>
      <c r="OA11" s="2703"/>
      <c r="OB11" s="2703"/>
      <c r="OC11" s="2703"/>
      <c r="OD11" s="2703"/>
      <c r="OE11" s="2703"/>
      <c r="OF11" s="2703"/>
      <c r="OG11" s="2703"/>
      <c r="OH11" s="2703"/>
      <c r="OI11" s="2703"/>
      <c r="OJ11" s="2703"/>
      <c r="OK11" s="2703"/>
      <c r="OL11" s="2703"/>
      <c r="OM11" s="2703"/>
      <c r="ON11" s="2703"/>
      <c r="OO11" s="2703"/>
      <c r="OP11" s="2703"/>
      <c r="OQ11" s="2703"/>
      <c r="OR11" s="2703"/>
      <c r="OS11" s="2703"/>
      <c r="OT11" s="2703"/>
      <c r="OU11" s="2703"/>
      <c r="OV11" s="2703"/>
      <c r="OW11" s="2703"/>
      <c r="OX11" s="2703"/>
      <c r="OY11" s="2703"/>
      <c r="OZ11" s="2703"/>
      <c r="PA11" s="2703"/>
      <c r="PB11" s="2703"/>
      <c r="PC11" s="2703"/>
      <c r="PD11" s="2703"/>
      <c r="PE11" s="2703"/>
      <c r="PF11" s="2703"/>
      <c r="PG11" s="2703"/>
      <c r="PH11" s="2703"/>
      <c r="PI11" s="2703"/>
      <c r="PJ11" s="2703"/>
      <c r="PK11" s="2703"/>
      <c r="PL11" s="2703"/>
      <c r="PM11" s="2703"/>
      <c r="PN11" s="2703"/>
      <c r="PO11" s="2703"/>
      <c r="PP11" s="2703"/>
      <c r="PQ11" s="2703"/>
      <c r="PR11" s="2703"/>
      <c r="PS11" s="2703"/>
      <c r="PT11" s="2703"/>
      <c r="PU11" s="2703"/>
      <c r="PV11" s="2703"/>
      <c r="PW11" s="2703"/>
      <c r="PX11" s="2703"/>
      <c r="PY11" s="2703"/>
      <c r="PZ11" s="2703"/>
      <c r="QA11" s="2703"/>
      <c r="QB11" s="2703"/>
      <c r="QC11" s="2703"/>
      <c r="QD11" s="2703"/>
      <c r="QE11" s="2703"/>
      <c r="QF11" s="2703"/>
      <c r="QG11" s="2703"/>
      <c r="QH11" s="2703"/>
      <c r="QI11" s="2703"/>
      <c r="QJ11" s="2703"/>
      <c r="QK11" s="2703"/>
      <c r="QL11" s="2703"/>
      <c r="QM11" s="2703"/>
      <c r="QN11" s="2703"/>
      <c r="QO11" s="2703"/>
      <c r="QP11" s="2703"/>
      <c r="QQ11" s="2703"/>
      <c r="QR11" s="2703"/>
      <c r="QS11" s="2703"/>
      <c r="QT11" s="2703"/>
      <c r="QU11" s="2703"/>
      <c r="QV11" s="2703"/>
      <c r="QW11" s="2703"/>
      <c r="QX11" s="2703"/>
      <c r="QY11" s="2703"/>
      <c r="QZ11" s="2703"/>
      <c r="RA11" s="2703"/>
      <c r="RB11" s="2703"/>
      <c r="RC11" s="2703"/>
      <c r="RD11" s="2703"/>
      <c r="RE11" s="2703"/>
      <c r="RF11" s="2703"/>
      <c r="RG11" s="2703"/>
      <c r="RH11" s="2703"/>
      <c r="RI11" s="2703"/>
      <c r="RJ11" s="2703"/>
      <c r="RK11" s="2703"/>
      <c r="RL11" s="2703"/>
      <c r="RM11" s="2703"/>
      <c r="RN11" s="2703"/>
      <c r="RO11" s="2703"/>
      <c r="RP11" s="2703"/>
      <c r="RQ11" s="2703"/>
      <c r="RR11" s="2703"/>
      <c r="RS11" s="2703"/>
      <c r="RT11" s="2703"/>
      <c r="RU11" s="2703"/>
      <c r="RV11" s="2703"/>
      <c r="RW11" s="2703"/>
      <c r="RX11" s="2703"/>
      <c r="RY11" s="2703"/>
      <c r="RZ11" s="2703"/>
      <c r="SA11" s="2703"/>
      <c r="SB11" s="2703"/>
      <c r="SC11" s="2703"/>
      <c r="SD11" s="2703"/>
      <c r="SE11" s="2703"/>
      <c r="SF11" s="2703"/>
      <c r="SG11" s="2703"/>
      <c r="SH11" s="2703"/>
      <c r="SI11" s="2703"/>
      <c r="SJ11" s="2703"/>
      <c r="SK11" s="2703"/>
      <c r="SL11" s="2703"/>
      <c r="SM11" s="2703"/>
      <c r="SN11" s="2703"/>
      <c r="SO11" s="2703"/>
      <c r="SP11" s="2703"/>
      <c r="SQ11" s="2703"/>
      <c r="SR11" s="2703"/>
      <c r="SS11" s="2703"/>
      <c r="ST11" s="2703"/>
      <c r="SU11" s="2703"/>
      <c r="SV11" s="2703"/>
      <c r="SW11" s="2703"/>
      <c r="SX11" s="2703"/>
      <c r="SY11" s="2703"/>
      <c r="SZ11" s="2703"/>
      <c r="TA11" s="2703"/>
      <c r="TB11" s="2703"/>
      <c r="TC11" s="2703"/>
      <c r="TD11" s="2703"/>
      <c r="TE11" s="2703"/>
      <c r="TF11" s="2703"/>
      <c r="TG11" s="2703"/>
      <c r="TH11" s="2703"/>
      <c r="TI11" s="2703"/>
      <c r="TJ11" s="2703"/>
      <c r="TK11" s="2703"/>
      <c r="TL11" s="2703"/>
      <c r="TM11" s="2703"/>
      <c r="TN11" s="2703"/>
      <c r="TO11" s="2703"/>
      <c r="TP11" s="2703"/>
      <c r="TQ11" s="2703"/>
      <c r="TR11" s="2703"/>
      <c r="TS11" s="2703"/>
      <c r="TT11" s="2703"/>
      <c r="TU11" s="2703"/>
      <c r="TV11" s="2703"/>
      <c r="TW11" s="2703"/>
      <c r="TX11" s="2703"/>
      <c r="TY11" s="2703"/>
      <c r="TZ11" s="2703"/>
      <c r="UA11" s="2703"/>
      <c r="UB11" s="2703"/>
      <c r="UC11" s="2703"/>
      <c r="UD11" s="2703"/>
      <c r="UE11" s="2703"/>
      <c r="UF11" s="2703"/>
      <c r="UG11" s="2703"/>
      <c r="UH11" s="2703"/>
      <c r="UI11" s="2703"/>
      <c r="UJ11" s="2703"/>
      <c r="UK11" s="2703"/>
      <c r="UL11" s="2703"/>
      <c r="UM11" s="2703"/>
      <c r="UN11" s="2703"/>
      <c r="UO11" s="2703"/>
      <c r="UP11" s="2703"/>
      <c r="UQ11" s="2703"/>
      <c r="UR11" s="2703"/>
      <c r="US11" s="2703"/>
      <c r="UT11" s="2703"/>
      <c r="UU11" s="2703"/>
      <c r="UV11" s="2703"/>
      <c r="UW11" s="2703"/>
      <c r="UX11" s="2703"/>
      <c r="UY11" s="2703"/>
      <c r="UZ11" s="2703"/>
      <c r="VA11" s="2703"/>
      <c r="VB11" s="2703"/>
      <c r="VC11" s="2703"/>
      <c r="VD11" s="2703"/>
      <c r="VE11" s="2703"/>
      <c r="VF11" s="2703"/>
      <c r="VG11" s="2703"/>
      <c r="VH11" s="2703"/>
      <c r="VI11" s="2703"/>
      <c r="VJ11" s="2703"/>
      <c r="VK11" s="2703"/>
      <c r="VL11" s="2703"/>
      <c r="VM11" s="2703"/>
      <c r="VN11" s="2703"/>
      <c r="VO11" s="2703"/>
      <c r="VP11" s="2703"/>
      <c r="VQ11" s="2703"/>
      <c r="VR11" s="2703"/>
      <c r="VS11" s="2703"/>
      <c r="VT11" s="2703"/>
      <c r="VU11" s="2703"/>
      <c r="VV11" s="2703"/>
      <c r="VW11" s="2703"/>
      <c r="VX11" s="2703"/>
      <c r="VY11" s="2703"/>
      <c r="VZ11" s="2703"/>
      <c r="WA11" s="2703"/>
      <c r="WB11" s="2703"/>
      <c r="WC11" s="2703"/>
      <c r="WD11" s="2703"/>
      <c r="WE11" s="2703"/>
      <c r="WF11" s="2703"/>
      <c r="WG11" s="2703"/>
      <c r="WH11" s="2703"/>
      <c r="WI11" s="2703"/>
      <c r="WJ11" s="2703"/>
      <c r="WK11" s="2703"/>
      <c r="WL11" s="2703"/>
      <c r="WM11" s="2703"/>
      <c r="WN11" s="2703"/>
      <c r="WO11" s="2703"/>
      <c r="WP11" s="2703"/>
      <c r="WQ11" s="2703"/>
      <c r="WR11" s="2703"/>
      <c r="WS11" s="2703"/>
      <c r="WT11" s="2703"/>
      <c r="WU11" s="2703"/>
      <c r="WV11" s="2703"/>
      <c r="WW11" s="2703"/>
      <c r="WX11" s="2703"/>
      <c r="WY11" s="2703"/>
      <c r="WZ11" s="2703"/>
      <c r="XA11" s="2703"/>
      <c r="XB11" s="2703"/>
      <c r="XC11" s="2703"/>
      <c r="XD11" s="2703"/>
      <c r="XE11" s="2703"/>
      <c r="XF11" s="2703"/>
      <c r="XG11" s="2703"/>
      <c r="XH11" s="2703"/>
      <c r="XI11" s="2703"/>
      <c r="XJ11" s="2703"/>
      <c r="XK11" s="2703"/>
      <c r="XL11" s="2703"/>
      <c r="XM11" s="2703"/>
      <c r="XN11" s="2703"/>
      <c r="XO11" s="2703"/>
      <c r="XP11" s="2703"/>
      <c r="XQ11" s="2703"/>
      <c r="XR11" s="2703"/>
      <c r="XS11" s="2703"/>
      <c r="XT11" s="2703"/>
      <c r="XU11" s="2703"/>
      <c r="XV11" s="2703"/>
      <c r="XW11" s="2703"/>
      <c r="XX11" s="2703"/>
      <c r="XY11" s="2703"/>
      <c r="XZ11" s="2703"/>
      <c r="YA11" s="2703"/>
      <c r="YB11" s="2703"/>
      <c r="YC11" s="2703"/>
      <c r="YD11" s="2703"/>
      <c r="YE11" s="2703"/>
      <c r="YF11" s="2703"/>
      <c r="YG11" s="2703"/>
      <c r="YH11" s="2703"/>
      <c r="YI11" s="2703"/>
      <c r="YJ11" s="2703"/>
      <c r="YK11" s="2703"/>
      <c r="YL11" s="2703"/>
      <c r="YM11" s="2703"/>
      <c r="YN11" s="2703"/>
      <c r="YO11" s="2703"/>
      <c r="YP11" s="2703"/>
      <c r="YQ11" s="2703"/>
      <c r="YR11" s="2703"/>
      <c r="YS11" s="2703"/>
      <c r="YT11" s="2703"/>
      <c r="YU11" s="2703"/>
      <c r="YV11" s="2703"/>
      <c r="YW11" s="2703"/>
      <c r="YX11" s="2703"/>
      <c r="YY11" s="2703"/>
      <c r="YZ11" s="2703"/>
      <c r="ZA11" s="2703"/>
      <c r="ZB11" s="2703"/>
      <c r="ZC11" s="2703"/>
      <c r="ZD11" s="2703"/>
      <c r="ZE11" s="2703"/>
      <c r="ZF11" s="2703"/>
      <c r="ZG11" s="2703"/>
      <c r="ZH11" s="2703"/>
      <c r="ZI11" s="2703"/>
      <c r="ZJ11" s="2703"/>
      <c r="ZK11" s="2703"/>
      <c r="ZL11" s="2703"/>
      <c r="ZM11" s="2703"/>
      <c r="ZN11" s="2703"/>
      <c r="ZO11" s="2703"/>
      <c r="ZP11" s="2703"/>
      <c r="ZQ11" s="2703"/>
      <c r="ZR11" s="2703"/>
      <c r="ZS11" s="2703"/>
      <c r="ZT11" s="2703"/>
      <c r="ZU11" s="2703"/>
      <c r="ZV11" s="2703"/>
      <c r="ZW11" s="2703"/>
      <c r="ZX11" s="2703"/>
      <c r="ZY11" s="2703"/>
      <c r="ZZ11" s="2703"/>
      <c r="AAA11" s="2703"/>
      <c r="AAB11" s="2703"/>
      <c r="AAC11" s="2703"/>
      <c r="AAD11" s="2703"/>
      <c r="AAE11" s="2703"/>
      <c r="AAF11" s="2703"/>
      <c r="AAG11" s="2703"/>
      <c r="AAH11" s="2703"/>
      <c r="AAI11" s="2703"/>
      <c r="AAJ11" s="2703"/>
      <c r="AAK11" s="2703"/>
      <c r="AAL11" s="2703"/>
      <c r="AAM11" s="2703"/>
      <c r="AAN11" s="2703"/>
      <c r="AAO11" s="2703"/>
      <c r="AAP11" s="2703"/>
      <c r="AAQ11" s="2703"/>
      <c r="AAR11" s="2703"/>
      <c r="AAS11" s="2703"/>
      <c r="AAT11" s="2703"/>
      <c r="AAU11" s="2703"/>
      <c r="AAV11" s="2703"/>
      <c r="AAW11" s="2703"/>
      <c r="AAX11" s="2703"/>
      <c r="AAY11" s="2703"/>
      <c r="AAZ11" s="2703"/>
      <c r="ABA11" s="2703"/>
      <c r="ABB11" s="2703"/>
      <c r="ABC11" s="2703"/>
      <c r="ABD11" s="2703"/>
      <c r="ABE11" s="2703"/>
      <c r="ABF11" s="2703"/>
      <c r="ABG11" s="2703"/>
      <c r="ABH11" s="2703"/>
      <c r="ABI11" s="2703"/>
      <c r="ABJ11" s="2703"/>
      <c r="ABK11" s="2703"/>
      <c r="ABL11" s="2703"/>
      <c r="ABM11" s="2703"/>
      <c r="ABN11" s="2703"/>
      <c r="ABO11" s="2703"/>
      <c r="ABP11" s="2703"/>
      <c r="ABQ11" s="2703"/>
      <c r="ABR11" s="2703"/>
      <c r="ABS11" s="2703"/>
      <c r="ABT11" s="2703"/>
      <c r="ABU11" s="2703"/>
      <c r="ABV11" s="2703"/>
      <c r="ABW11" s="2703"/>
      <c r="ABX11" s="2703"/>
      <c r="ABY11" s="2703"/>
      <c r="ABZ11" s="2703"/>
      <c r="ACA11" s="2703"/>
      <c r="ACB11" s="2703"/>
      <c r="ACC11" s="2703"/>
      <c r="ACD11" s="2703"/>
      <c r="ACE11" s="2703"/>
      <c r="ACF11" s="2703"/>
      <c r="ACG11" s="2703"/>
      <c r="ACH11" s="2703"/>
      <c r="ACI11" s="2703"/>
      <c r="ACJ11" s="2703"/>
      <c r="ACK11" s="2703"/>
      <c r="ACL11" s="2703"/>
      <c r="ACM11" s="2703"/>
      <c r="ACN11" s="2703"/>
      <c r="ACO11" s="2703"/>
      <c r="ACP11" s="2703"/>
      <c r="ACQ11" s="2703"/>
      <c r="ACR11" s="2703"/>
      <c r="ACS11" s="2703"/>
      <c r="ACT11" s="2703"/>
      <c r="ACU11" s="2703"/>
      <c r="ACV11" s="2703"/>
      <c r="ACW11" s="2703"/>
      <c r="ACX11" s="2703"/>
      <c r="ACY11" s="2703"/>
      <c r="ACZ11" s="2703"/>
      <c r="ADA11" s="2703"/>
      <c r="ADB11" s="2703"/>
      <c r="ADC11" s="2703"/>
      <c r="ADD11" s="2703"/>
      <c r="ADE11" s="2703"/>
      <c r="ADF11" s="2703"/>
      <c r="ADG11" s="2703"/>
      <c r="ADH11" s="2703"/>
      <c r="ADI11" s="2703"/>
      <c r="ADJ11" s="2703"/>
      <c r="ADK11" s="2703"/>
      <c r="ADL11" s="2703"/>
      <c r="ADM11" s="2703"/>
      <c r="ADN11" s="2703"/>
      <c r="ADO11" s="2703"/>
      <c r="ADP11" s="2703"/>
      <c r="ADQ11" s="2703"/>
      <c r="ADR11" s="2703"/>
      <c r="ADS11" s="2703"/>
      <c r="ADT11" s="2703"/>
      <c r="ADU11" s="2703"/>
      <c r="ADV11" s="2703"/>
      <c r="ADW11" s="2703"/>
      <c r="ADX11" s="2703"/>
      <c r="ADY11" s="2703"/>
      <c r="ADZ11" s="2703"/>
      <c r="AEA11" s="2703"/>
      <c r="AEB11" s="2703"/>
      <c r="AEC11" s="2703"/>
      <c r="AED11" s="2703"/>
      <c r="AEE11" s="2703"/>
      <c r="AEF11" s="2703"/>
      <c r="AEG11" s="2703"/>
      <c r="AEH11" s="2703"/>
      <c r="AEI11" s="2703"/>
      <c r="AEJ11" s="2703"/>
      <c r="AEK11" s="2703"/>
      <c r="AEL11" s="2703"/>
      <c r="AEM11" s="2703"/>
      <c r="AEN11" s="2703"/>
      <c r="AEO11" s="2703"/>
      <c r="AEP11" s="2703"/>
      <c r="AEQ11" s="2703"/>
      <c r="AER11" s="2703"/>
      <c r="AES11" s="2703"/>
      <c r="AET11" s="2703"/>
      <c r="AEU11" s="2703"/>
      <c r="AEV11" s="2703"/>
      <c r="AEW11" s="2703"/>
      <c r="AEX11" s="2703"/>
      <c r="AEY11" s="2703"/>
      <c r="AEZ11" s="2703"/>
      <c r="AFA11" s="2703"/>
      <c r="AFB11" s="2703"/>
      <c r="AFC11" s="2703"/>
      <c r="AFD11" s="2703"/>
      <c r="AFE11" s="2703"/>
      <c r="AFF11" s="2703"/>
      <c r="AFG11" s="2703"/>
      <c r="AFH11" s="2703"/>
      <c r="AFI11" s="2703"/>
      <c r="AFJ11" s="2703"/>
      <c r="AFK11" s="2703"/>
      <c r="AFL11" s="2703"/>
      <c r="AFM11" s="2703"/>
      <c r="AFN11" s="2703"/>
      <c r="AFO11" s="2703"/>
      <c r="AFP11" s="2703"/>
      <c r="AFQ11" s="2703"/>
      <c r="AFR11" s="2703"/>
      <c r="AFS11" s="2703"/>
      <c r="AFT11" s="2703"/>
      <c r="AFU11" s="2703"/>
      <c r="AFV11" s="2703"/>
      <c r="AFW11" s="2703"/>
      <c r="AFX11" s="2703"/>
      <c r="AFY11" s="2703"/>
      <c r="AFZ11" s="2703"/>
      <c r="AGA11" s="2703"/>
      <c r="AGB11" s="2703"/>
      <c r="AGC11" s="2703"/>
      <c r="AGD11" s="2703"/>
      <c r="AGE11" s="2703"/>
      <c r="AGF11" s="2703"/>
      <c r="AGG11" s="2703"/>
      <c r="AGH11" s="2703"/>
      <c r="AGI11" s="2703"/>
      <c r="AGJ11" s="2703"/>
      <c r="AGK11" s="2703"/>
      <c r="AGL11" s="2703"/>
      <c r="AGM11" s="2703"/>
      <c r="AGN11" s="2703"/>
      <c r="AGO11" s="2703"/>
      <c r="AGP11" s="2703"/>
      <c r="AGQ11" s="2703"/>
      <c r="AGR11" s="2703"/>
      <c r="AGS11" s="2703"/>
      <c r="AGT11" s="2703"/>
      <c r="AGU11" s="2703"/>
      <c r="AGV11" s="2703"/>
      <c r="AGW11" s="2703"/>
      <c r="AGX11" s="2703"/>
      <c r="AGY11" s="2703"/>
      <c r="AGZ11" s="2703"/>
      <c r="AHA11" s="2703"/>
      <c r="AHB11" s="2703"/>
      <c r="AHC11" s="2703"/>
      <c r="AHD11" s="2703"/>
      <c r="AHE11" s="2703"/>
      <c r="AHF11" s="2703"/>
      <c r="AHG11" s="2703"/>
      <c r="AHH11" s="2703"/>
      <c r="AHI11" s="2703"/>
      <c r="AHJ11" s="2703"/>
      <c r="AHK11" s="2703"/>
      <c r="AHL11" s="2703"/>
      <c r="AHM11" s="2703"/>
      <c r="AHN11" s="2703"/>
      <c r="AHO11" s="2703"/>
      <c r="AHP11" s="2703"/>
      <c r="AHQ11" s="2703"/>
      <c r="AHR11" s="2703"/>
      <c r="AHS11" s="2703"/>
      <c r="AHT11" s="2703"/>
      <c r="AHU11" s="2703"/>
      <c r="AHV11" s="2703"/>
      <c r="AHW11" s="2703"/>
      <c r="AHX11" s="2703"/>
      <c r="AHY11" s="2703"/>
      <c r="AHZ11" s="2703"/>
      <c r="AIA11" s="2703"/>
      <c r="AIB11" s="2703"/>
      <c r="AIC11" s="2703"/>
      <c r="AID11" s="2703"/>
      <c r="AIE11" s="2703"/>
      <c r="AIF11" s="2703"/>
      <c r="AIG11" s="2703"/>
      <c r="AIH11" s="2703"/>
      <c r="AII11" s="2703"/>
      <c r="AIJ11" s="2703"/>
      <c r="AIK11" s="2703"/>
      <c r="AIL11" s="2703"/>
      <c r="AIM11" s="2703"/>
      <c r="AIN11" s="2703"/>
      <c r="AIO11" s="2703"/>
      <c r="AIP11" s="2703"/>
      <c r="AIQ11" s="2703"/>
      <c r="AIR11" s="2703"/>
      <c r="AIS11" s="2703"/>
      <c r="AIT11" s="2703"/>
      <c r="AIU11" s="2703"/>
      <c r="AIV11" s="2703"/>
      <c r="AIW11" s="2703"/>
      <c r="AIX11" s="2703"/>
      <c r="AIY11" s="2703"/>
      <c r="AIZ11" s="2703"/>
      <c r="AJA11" s="2703"/>
      <c r="AJB11" s="2703"/>
      <c r="AJC11" s="2703"/>
      <c r="AJD11" s="2703"/>
      <c r="AJE11" s="2703"/>
      <c r="AJF11" s="2703"/>
      <c r="AJG11" s="2703"/>
      <c r="AJH11" s="2703"/>
      <c r="AJI11" s="2703"/>
      <c r="AJJ11" s="2703"/>
      <c r="AJK11" s="2703"/>
      <c r="AJL11" s="2703"/>
      <c r="AJM11" s="2703"/>
      <c r="AJN11" s="2703"/>
      <c r="AJO11" s="2703"/>
      <c r="AJP11" s="2703"/>
      <c r="AJQ11" s="2703"/>
      <c r="AJR11" s="2703"/>
      <c r="AJS11" s="2703"/>
      <c r="AJT11" s="2703"/>
      <c r="AJU11" s="2703"/>
      <c r="AJV11" s="2703"/>
      <c r="AJW11" s="2703"/>
      <c r="AJX11" s="2703"/>
      <c r="AJY11" s="2703"/>
      <c r="AJZ11" s="2703"/>
      <c r="AKA11" s="2703"/>
      <c r="AKB11" s="2703"/>
      <c r="AKC11" s="2703"/>
      <c r="AKD11" s="2703"/>
      <c r="AKE11" s="2703"/>
      <c r="AKF11" s="2703"/>
      <c r="AKG11" s="2703"/>
      <c r="AKH11" s="2703"/>
      <c r="AKI11" s="2703"/>
      <c r="AKJ11" s="2703"/>
      <c r="AKK11" s="2703"/>
      <c r="AKL11" s="2703"/>
      <c r="AKM11" s="2703"/>
      <c r="AKN11" s="2703"/>
      <c r="AKO11" s="2703"/>
      <c r="AKP11" s="2703"/>
      <c r="AKQ11" s="2703"/>
      <c r="AKR11" s="2703"/>
      <c r="AKS11" s="2703"/>
      <c r="AKT11" s="2703"/>
      <c r="AKU11" s="2703"/>
      <c r="AKV11" s="2703"/>
      <c r="AKW11" s="2703"/>
      <c r="AKX11" s="2703"/>
      <c r="AKY11" s="2703"/>
      <c r="AKZ11" s="2703"/>
      <c r="ALA11" s="2703"/>
      <c r="ALB11" s="2703"/>
      <c r="ALC11" s="2703"/>
      <c r="ALD11" s="2703"/>
      <c r="ALE11" s="2703"/>
      <c r="ALF11" s="2703"/>
      <c r="ALG11" s="2703"/>
      <c r="ALH11" s="2703"/>
      <c r="ALI11" s="2703"/>
      <c r="ALJ11" s="2703"/>
      <c r="ALK11" s="2703"/>
      <c r="ALL11" s="2703"/>
      <c r="ALM11" s="2703"/>
      <c r="ALN11" s="2703"/>
      <c r="ALO11" s="2703"/>
      <c r="ALP11" s="2703"/>
      <c r="ALQ11" s="2703"/>
      <c r="ALR11" s="2703"/>
      <c r="ALS11" s="2703"/>
      <c r="ALT11" s="2703"/>
      <c r="ALU11" s="2703"/>
      <c r="ALV11" s="2703"/>
      <c r="ALW11" s="2703"/>
      <c r="ALX11" s="2703"/>
      <c r="ALY11" s="2703"/>
      <c r="ALZ11" s="2703"/>
      <c r="AMA11" s="2703"/>
      <c r="AMB11" s="2703"/>
      <c r="AMC11" s="2703"/>
      <c r="AMD11" s="2703"/>
      <c r="AME11" s="2703"/>
      <c r="AMF11" s="2703"/>
      <c r="AMG11" s="2703"/>
      <c r="AMH11" s="2703"/>
      <c r="AMI11" s="2703"/>
      <c r="AMJ11" s="2703"/>
      <c r="AMK11" s="2703"/>
      <c r="AML11" s="2703"/>
      <c r="AMM11" s="2703"/>
      <c r="AMN11" s="2703"/>
      <c r="AMO11" s="2703"/>
      <c r="AMP11" s="2703"/>
      <c r="AMQ11" s="2703"/>
      <c r="AMR11" s="2703"/>
      <c r="AMS11" s="2703"/>
      <c r="AMT11" s="2703"/>
      <c r="AMU11" s="2703"/>
      <c r="AMV11" s="2703"/>
      <c r="AMW11" s="2703"/>
      <c r="AMX11" s="2703"/>
      <c r="AMY11" s="2703"/>
      <c r="AMZ11" s="2703"/>
      <c r="ANA11" s="2703"/>
      <c r="ANB11" s="2703"/>
      <c r="ANC11" s="2703"/>
      <c r="AND11" s="2703"/>
      <c r="ANE11" s="2703"/>
      <c r="ANF11" s="2703"/>
      <c r="ANG11" s="2703"/>
      <c r="ANH11" s="2703"/>
      <c r="ANI11" s="2703"/>
      <c r="ANJ11" s="2703"/>
      <c r="ANK11" s="2703"/>
      <c r="ANL11" s="2703"/>
      <c r="ANM11" s="2703"/>
      <c r="ANN11" s="2703"/>
      <c r="ANO11" s="2703"/>
      <c r="ANP11" s="2703"/>
      <c r="ANQ11" s="2703"/>
      <c r="ANR11" s="2703"/>
      <c r="ANS11" s="2703"/>
      <c r="ANT11" s="2703"/>
      <c r="ANU11" s="2703"/>
      <c r="ANV11" s="2703"/>
      <c r="ANW11" s="2703"/>
      <c r="ANX11" s="2703"/>
      <c r="ANY11" s="2703"/>
      <c r="ANZ11" s="2703"/>
      <c r="AOA11" s="2703"/>
      <c r="AOB11" s="2703"/>
      <c r="AOC11" s="2703"/>
      <c r="AOD11" s="2703"/>
      <c r="AOE11" s="2703"/>
      <c r="AOF11" s="2703"/>
      <c r="AOG11" s="2703"/>
      <c r="AOH11" s="2703"/>
      <c r="AOI11" s="2703"/>
      <c r="AOJ11" s="2703"/>
      <c r="AOK11" s="2703"/>
      <c r="AOL11" s="2703"/>
      <c r="AOM11" s="2703"/>
      <c r="AON11" s="2703"/>
      <c r="AOO11" s="2703"/>
      <c r="AOP11" s="2703"/>
      <c r="AOQ11" s="2703"/>
      <c r="AOR11" s="2703"/>
      <c r="AOS11" s="2703"/>
      <c r="AOT11" s="2703"/>
      <c r="AOU11" s="2703"/>
      <c r="AOV11" s="2703"/>
      <c r="AOW11" s="2703"/>
      <c r="AOX11" s="2703"/>
      <c r="AOY11" s="2703"/>
      <c r="AOZ11" s="2703"/>
      <c r="APA11" s="2703"/>
      <c r="APB11" s="2703"/>
      <c r="APC11" s="2703"/>
      <c r="APD11" s="2703"/>
      <c r="APE11" s="2703"/>
      <c r="APF11" s="2703"/>
      <c r="APG11" s="2703"/>
      <c r="APH11" s="2703"/>
      <c r="API11" s="2703"/>
      <c r="APJ11" s="2703"/>
      <c r="APK11" s="2703"/>
      <c r="APL11" s="2703"/>
      <c r="APM11" s="2703"/>
      <c r="APN11" s="2703"/>
      <c r="APO11" s="2703"/>
      <c r="APP11" s="2703"/>
      <c r="APQ11" s="2703"/>
      <c r="APR11" s="2703"/>
      <c r="APS11" s="2703"/>
      <c r="APT11" s="2703"/>
      <c r="APU11" s="2703"/>
      <c r="APV11" s="2703"/>
      <c r="APW11" s="2703"/>
      <c r="APX11" s="2703"/>
      <c r="APY11" s="2703"/>
      <c r="APZ11" s="2703"/>
      <c r="AQA11" s="2703"/>
      <c r="AQB11" s="2703"/>
      <c r="AQC11" s="2703"/>
      <c r="AQD11" s="2703"/>
      <c r="AQE11" s="2703"/>
      <c r="AQF11" s="2703"/>
      <c r="AQG11" s="2703"/>
      <c r="AQH11" s="2703"/>
      <c r="AQI11" s="2703"/>
      <c r="AQJ11" s="2703"/>
      <c r="AQK11" s="2703"/>
      <c r="AQL11" s="2703"/>
      <c r="AQM11" s="2703"/>
      <c r="AQN11" s="2703"/>
      <c r="AQO11" s="2703"/>
      <c r="AQP11" s="2703"/>
      <c r="AQQ11" s="2703"/>
      <c r="AQR11" s="2703"/>
      <c r="AQS11" s="2703"/>
      <c r="AQT11" s="2703"/>
      <c r="AQU11" s="2703"/>
      <c r="AQV11" s="2703"/>
      <c r="AQW11" s="2703"/>
      <c r="AQX11" s="2703"/>
      <c r="AQY11" s="2703"/>
      <c r="AQZ11" s="2703"/>
      <c r="ARA11" s="2703"/>
      <c r="ARB11" s="2703"/>
      <c r="ARC11" s="2703"/>
      <c r="ARD11" s="2703"/>
      <c r="ARE11" s="2703"/>
      <c r="ARF11" s="2703"/>
      <c r="ARG11" s="2703"/>
      <c r="ARH11" s="2703"/>
      <c r="ARI11" s="2703"/>
      <c r="ARJ11" s="2703"/>
      <c r="ARK11" s="2703"/>
      <c r="ARL11" s="2703"/>
      <c r="ARM11" s="2703"/>
      <c r="ARN11" s="2703"/>
      <c r="ARO11" s="2703"/>
      <c r="ARP11" s="2703"/>
      <c r="ARQ11" s="2703"/>
      <c r="ARR11" s="2703"/>
      <c r="ARS11" s="2703"/>
      <c r="ART11" s="2703"/>
      <c r="ARU11" s="2703"/>
      <c r="ARV11" s="2703"/>
      <c r="ARW11" s="2703"/>
      <c r="ARX11" s="2703"/>
      <c r="ARY11" s="2703"/>
      <c r="ARZ11" s="2703"/>
      <c r="ASA11" s="2703"/>
      <c r="ASB11" s="2703"/>
      <c r="ASC11" s="2703"/>
      <c r="ASD11" s="2703"/>
      <c r="ASE11" s="2703"/>
      <c r="ASF11" s="2703"/>
      <c r="ASG11" s="2703"/>
      <c r="ASH11" s="2703"/>
      <c r="ASI11" s="2703"/>
      <c r="ASJ11" s="2703"/>
      <c r="ASK11" s="2703"/>
      <c r="ASL11" s="2703"/>
      <c r="ASM11" s="2703"/>
      <c r="ASN11" s="2703"/>
      <c r="ASO11" s="2703"/>
      <c r="ASP11" s="2703"/>
      <c r="ASQ11" s="2703"/>
      <c r="ASR11" s="2703"/>
      <c r="ASS11" s="2703"/>
      <c r="AST11" s="2703"/>
      <c r="ASU11" s="2703"/>
      <c r="ASV11" s="2703"/>
      <c r="ASW11" s="2703"/>
      <c r="ASX11" s="2703"/>
      <c r="ASY11" s="2703"/>
      <c r="ASZ11" s="2703"/>
      <c r="ATA11" s="2703"/>
      <c r="ATB11" s="2703"/>
      <c r="ATC11" s="2703"/>
      <c r="ATD11" s="2703"/>
      <c r="ATE11" s="2703"/>
      <c r="ATF11" s="2703"/>
      <c r="ATG11" s="2703"/>
      <c r="ATH11" s="2703"/>
      <c r="ATI11" s="2703"/>
      <c r="ATJ11" s="2703"/>
      <c r="ATK11" s="2703"/>
      <c r="ATL11" s="2703"/>
      <c r="ATM11" s="2703"/>
      <c r="ATN11" s="2703"/>
      <c r="ATO11" s="2703"/>
      <c r="ATP11" s="2703"/>
      <c r="ATQ11" s="2703"/>
      <c r="ATR11" s="2703"/>
      <c r="ATS11" s="2703"/>
      <c r="ATT11" s="2703"/>
      <c r="ATU11" s="2703"/>
      <c r="ATV11" s="2703"/>
      <c r="ATW11" s="2703"/>
      <c r="ATX11" s="2703"/>
      <c r="ATY11" s="2703"/>
      <c r="ATZ11" s="2703"/>
      <c r="AUA11" s="2703"/>
      <c r="AUB11" s="2703"/>
      <c r="AUC11" s="2703"/>
      <c r="AUD11" s="2703"/>
      <c r="AUE11" s="2703"/>
      <c r="AUF11" s="2703"/>
      <c r="AUG11" s="2703"/>
      <c r="AUH11" s="2703"/>
      <c r="AUI11" s="2703"/>
      <c r="AUJ11" s="2703"/>
      <c r="AUK11" s="2703"/>
      <c r="AUL11" s="2703"/>
      <c r="AUM11" s="2703"/>
      <c r="AUN11" s="2703"/>
      <c r="AUO11" s="2703"/>
      <c r="AUP11" s="2703"/>
      <c r="AUQ11" s="2703"/>
      <c r="AUR11" s="2703"/>
      <c r="AUS11" s="2703"/>
      <c r="AUT11" s="2703"/>
      <c r="AUU11" s="2703"/>
      <c r="AUV11" s="2703"/>
      <c r="AUW11" s="2703"/>
      <c r="AUX11" s="2703"/>
      <c r="AUY11" s="2703"/>
      <c r="AUZ11" s="2703"/>
      <c r="AVA11" s="2703"/>
      <c r="AVB11" s="2703"/>
      <c r="AVC11" s="2703"/>
      <c r="AVD11" s="2703"/>
      <c r="AVE11" s="2703"/>
      <c r="AVF11" s="2703"/>
      <c r="AVG11" s="2703"/>
      <c r="AVH11" s="2703"/>
      <c r="AVI11" s="2703"/>
      <c r="AVJ11" s="2703"/>
      <c r="AVK11" s="2703"/>
      <c r="AVL11" s="2703"/>
      <c r="AVM11" s="2703"/>
      <c r="AVN11" s="2703"/>
      <c r="AVO11" s="2703"/>
      <c r="AVP11" s="2703"/>
      <c r="AVQ11" s="2703"/>
      <c r="AVR11" s="2703"/>
      <c r="AVS11" s="2703"/>
      <c r="AVT11" s="2703"/>
      <c r="AVU11" s="2703"/>
      <c r="AVV11" s="2703"/>
      <c r="AVW11" s="2703"/>
      <c r="AVX11" s="2703"/>
      <c r="AVY11" s="2703"/>
      <c r="AVZ11" s="2703"/>
      <c r="AWA11" s="2703"/>
      <c r="AWB11" s="2703"/>
      <c r="AWC11" s="2703"/>
      <c r="AWD11" s="2703"/>
      <c r="AWE11" s="2703"/>
      <c r="AWF11" s="2703"/>
      <c r="AWG11" s="2703"/>
      <c r="AWH11" s="2703"/>
      <c r="AWI11" s="2703"/>
      <c r="AWJ11" s="2703"/>
      <c r="AWK11" s="2703"/>
      <c r="AWL11" s="2703"/>
      <c r="AWM11" s="2703"/>
      <c r="AWN11" s="2703"/>
      <c r="AWO11" s="2703"/>
      <c r="AWP11" s="2703"/>
      <c r="AWQ11" s="2703"/>
      <c r="AWR11" s="2703"/>
      <c r="AWS11" s="2703"/>
      <c r="AWT11" s="2703"/>
      <c r="AWU11" s="2703"/>
      <c r="AWV11" s="2703"/>
      <c r="AWW11" s="2703"/>
      <c r="AWX11" s="2703"/>
      <c r="AWY11" s="2703"/>
      <c r="AWZ11" s="2703"/>
      <c r="AXA11" s="2703"/>
      <c r="AXB11" s="2703"/>
      <c r="AXC11" s="2703"/>
      <c r="AXD11" s="2703"/>
      <c r="AXE11" s="2703"/>
      <c r="AXF11" s="2703"/>
      <c r="AXG11" s="2703"/>
      <c r="AXH11" s="2703"/>
      <c r="AXI11" s="2703"/>
      <c r="AXJ11" s="2703"/>
      <c r="AXK11" s="2703"/>
      <c r="AXL11" s="2703"/>
      <c r="AXM11" s="2703"/>
      <c r="AXN11" s="2703"/>
      <c r="AXO11" s="2703"/>
      <c r="AXP11" s="2703"/>
      <c r="AXQ11" s="2703"/>
      <c r="AXR11" s="2703"/>
      <c r="AXS11" s="2703"/>
      <c r="AXT11" s="2703"/>
      <c r="AXU11" s="2703"/>
      <c r="AXV11" s="2703"/>
      <c r="AXW11" s="2703"/>
      <c r="AXX11" s="2703"/>
      <c r="AXY11" s="2703"/>
      <c r="AXZ11" s="2703"/>
      <c r="AYA11" s="2703"/>
      <c r="AYB11" s="2703"/>
      <c r="AYC11" s="2703"/>
      <c r="AYD11" s="2703"/>
      <c r="AYE11" s="2703"/>
      <c r="AYF11" s="2703"/>
      <c r="AYG11" s="2703"/>
      <c r="AYH11" s="2703"/>
      <c r="AYI11" s="2703"/>
      <c r="AYJ11" s="2703"/>
      <c r="AYK11" s="2703"/>
      <c r="AYL11" s="2703"/>
      <c r="AYM11" s="2703"/>
      <c r="AYN11" s="2703"/>
      <c r="AYO11" s="2703"/>
      <c r="AYP11" s="2703"/>
      <c r="AYQ11" s="2703"/>
      <c r="AYR11" s="2703"/>
      <c r="AYS11" s="2703"/>
      <c r="AYT11" s="2703"/>
      <c r="AYU11" s="2703"/>
      <c r="AYV11" s="2703"/>
      <c r="AYW11" s="2703"/>
      <c r="AYX11" s="2703"/>
      <c r="AYY11" s="2703"/>
      <c r="AYZ11" s="2703"/>
      <c r="AZA11" s="2703"/>
      <c r="AZB11" s="2703"/>
      <c r="AZC11" s="2703"/>
      <c r="AZD11" s="2703"/>
      <c r="AZE11" s="2703"/>
      <c r="AZF11" s="2703"/>
      <c r="AZG11" s="2703"/>
      <c r="AZH11" s="2703"/>
      <c r="AZI11" s="2703"/>
      <c r="AZJ11" s="2703"/>
      <c r="AZK11" s="2703"/>
      <c r="AZL11" s="2703"/>
      <c r="AZM11" s="2703"/>
      <c r="AZN11" s="2703"/>
      <c r="AZO11" s="2703"/>
      <c r="AZP11" s="2703"/>
      <c r="AZQ11" s="2703"/>
      <c r="AZR11" s="2703"/>
      <c r="AZS11" s="2703"/>
      <c r="AZT11" s="2703"/>
      <c r="AZU11" s="2703"/>
      <c r="AZV11" s="2703"/>
      <c r="AZW11" s="2703"/>
      <c r="AZX11" s="2703"/>
      <c r="AZY11" s="2703"/>
      <c r="AZZ11" s="2703"/>
      <c r="BAA11" s="2703"/>
      <c r="BAB11" s="2703"/>
      <c r="BAC11" s="2703"/>
      <c r="BAD11" s="2703"/>
      <c r="BAE11" s="2703"/>
      <c r="BAF11" s="2703"/>
      <c r="BAG11" s="2703"/>
      <c r="BAH11" s="2703"/>
      <c r="BAI11" s="2703"/>
      <c r="BAJ11" s="2703"/>
      <c r="BAK11" s="2703"/>
      <c r="BAL11" s="2703"/>
      <c r="BAM11" s="2703"/>
      <c r="BAN11" s="2703"/>
      <c r="BAO11" s="2703"/>
      <c r="BAP11" s="2703"/>
      <c r="BAQ11" s="2703"/>
      <c r="BAR11" s="2703"/>
      <c r="BAS11" s="2703"/>
      <c r="BAT11" s="2703"/>
      <c r="BAU11" s="2703"/>
      <c r="BAV11" s="2703"/>
      <c r="BAW11" s="2703"/>
      <c r="BAX11" s="2703"/>
      <c r="BAY11" s="2703"/>
      <c r="BAZ11" s="2703"/>
      <c r="BBA11" s="2703"/>
      <c r="BBB11" s="2703"/>
      <c r="BBC11" s="2703"/>
      <c r="BBD11" s="2703"/>
      <c r="BBE11" s="2703"/>
      <c r="BBF11" s="2703"/>
      <c r="BBG11" s="2703"/>
      <c r="BBH11" s="2703"/>
      <c r="BBI11" s="2703"/>
      <c r="BBJ11" s="2703"/>
      <c r="BBK11" s="2703"/>
      <c r="BBL11" s="2703"/>
      <c r="BBM11" s="2703"/>
      <c r="BBN11" s="2703"/>
      <c r="BBO11" s="2703"/>
      <c r="BBP11" s="2703"/>
      <c r="BBQ11" s="2703"/>
      <c r="BBR11" s="2703"/>
      <c r="BBS11" s="2703"/>
      <c r="BBT11" s="2703"/>
      <c r="BBU11" s="2703"/>
      <c r="BBV11" s="2703"/>
      <c r="BBW11" s="2703"/>
      <c r="BBX11" s="2703"/>
      <c r="BBY11" s="2703"/>
      <c r="BBZ11" s="2703"/>
      <c r="BCA11" s="2703"/>
      <c r="BCB11" s="2703"/>
      <c r="BCC11" s="2703"/>
      <c r="BCD11" s="2703"/>
      <c r="BCE11" s="2703"/>
      <c r="BCF11" s="2703"/>
      <c r="BCG11" s="2703"/>
      <c r="BCH11" s="2703"/>
      <c r="BCI11" s="2703"/>
      <c r="BCJ11" s="2703"/>
      <c r="BCK11" s="2703"/>
      <c r="BCL11" s="2703"/>
      <c r="BCM11" s="2703"/>
      <c r="BCN11" s="2703"/>
      <c r="BCO11" s="2703"/>
      <c r="BCP11" s="2703"/>
      <c r="BCQ11" s="2703"/>
      <c r="BCR11" s="2703"/>
      <c r="BCS11" s="2703"/>
      <c r="BCT11" s="2703"/>
      <c r="BCU11" s="2703"/>
      <c r="BCV11" s="2703"/>
      <c r="BCW11" s="2703"/>
      <c r="BCX11" s="2703"/>
      <c r="BCY11" s="2703"/>
      <c r="BCZ11" s="2703"/>
      <c r="BDA11" s="2703"/>
      <c r="BDB11" s="2703"/>
      <c r="BDC11" s="2703"/>
      <c r="BDD11" s="2703"/>
      <c r="BDE11" s="2703"/>
      <c r="BDF11" s="2703"/>
      <c r="BDG11" s="2703"/>
      <c r="BDH11" s="2703"/>
      <c r="BDI11" s="2703"/>
      <c r="BDJ11" s="2703"/>
      <c r="BDK11" s="2703"/>
      <c r="BDL11" s="2703"/>
      <c r="BDM11" s="2703"/>
      <c r="BDN11" s="2703"/>
      <c r="BDO11" s="2703"/>
      <c r="BDP11" s="2703"/>
      <c r="BDQ11" s="2703"/>
      <c r="BDR11" s="2703"/>
      <c r="BDS11" s="2703"/>
      <c r="BDT11" s="2703"/>
      <c r="BDU11" s="2703"/>
      <c r="BDV11" s="2703"/>
      <c r="BDW11" s="2703"/>
      <c r="BDX11" s="2703"/>
      <c r="BDY11" s="2703"/>
      <c r="BDZ11" s="2703"/>
      <c r="BEA11" s="2703"/>
      <c r="BEB11" s="2703"/>
      <c r="BEC11" s="2703"/>
      <c r="BED11" s="2703"/>
      <c r="BEE11" s="2703"/>
      <c r="BEF11" s="2703"/>
      <c r="BEG11" s="2703"/>
      <c r="BEH11" s="2703"/>
      <c r="BEI11" s="2703"/>
      <c r="BEJ11" s="2703"/>
      <c r="BEK11" s="2703"/>
      <c r="BEL11" s="2703"/>
      <c r="BEM11" s="2703"/>
      <c r="BEN11" s="2703"/>
      <c r="BEO11" s="2703"/>
      <c r="BEP11" s="2703"/>
      <c r="BEQ11" s="2703"/>
      <c r="BER11" s="2703"/>
      <c r="BES11" s="2703"/>
      <c r="BET11" s="2703"/>
      <c r="BEU11" s="2703"/>
      <c r="BEV11" s="2703"/>
      <c r="BEW11" s="2703"/>
      <c r="BEX11" s="2703"/>
      <c r="BEY11" s="2703"/>
      <c r="BEZ11" s="2703"/>
      <c r="BFA11" s="2703"/>
      <c r="BFB11" s="2703"/>
      <c r="BFC11" s="2703"/>
      <c r="BFD11" s="2703"/>
      <c r="BFE11" s="2703"/>
      <c r="BFF11" s="2703"/>
      <c r="BFG11" s="2703"/>
      <c r="BFH11" s="2703"/>
      <c r="BFI11" s="2703"/>
      <c r="BFJ11" s="2703"/>
      <c r="BFK11" s="2703"/>
      <c r="BFL11" s="2703"/>
      <c r="BFM11" s="2703"/>
      <c r="BFN11" s="2703"/>
      <c r="BFO11" s="2703"/>
      <c r="BFP11" s="2703"/>
      <c r="BFQ11" s="2703"/>
      <c r="BFR11" s="2703"/>
      <c r="BFS11" s="2703"/>
      <c r="BFT11" s="2703"/>
      <c r="BFU11" s="2703"/>
      <c r="BFV11" s="2703"/>
      <c r="BFW11" s="2703"/>
      <c r="BFX11" s="2703"/>
      <c r="BFY11" s="2703"/>
      <c r="BFZ11" s="2703"/>
      <c r="BGA11" s="2703"/>
      <c r="BGB11" s="2703"/>
      <c r="BGC11" s="2703"/>
      <c r="BGD11" s="2703"/>
      <c r="BGE11" s="2703"/>
      <c r="BGF11" s="2703"/>
      <c r="BGG11" s="2703"/>
      <c r="BGH11" s="2703"/>
      <c r="BGI11" s="2703"/>
      <c r="BGJ11" s="2703"/>
      <c r="BGK11" s="2703"/>
      <c r="BGL11" s="2703"/>
      <c r="BGM11" s="2703"/>
      <c r="BGN11" s="2703"/>
      <c r="BGO11" s="2703"/>
      <c r="BGP11" s="2703"/>
      <c r="BGQ11" s="2703"/>
      <c r="BGR11" s="2703"/>
      <c r="BGS11" s="2703"/>
      <c r="BGT11" s="2703"/>
      <c r="BGU11" s="2703"/>
      <c r="BGV11" s="2703"/>
      <c r="BGW11" s="2703"/>
      <c r="BGX11" s="2703"/>
      <c r="BGY11" s="2703"/>
      <c r="BGZ11" s="2703"/>
      <c r="BHA11" s="2703"/>
      <c r="BHB11" s="2703"/>
      <c r="BHC11" s="2703"/>
      <c r="BHD11" s="2703"/>
      <c r="BHE11" s="2703"/>
      <c r="BHF11" s="2703"/>
      <c r="BHG11" s="2703"/>
      <c r="BHH11" s="2703"/>
      <c r="BHI11" s="2703"/>
      <c r="BHJ11" s="2703"/>
      <c r="BHK11" s="2703"/>
      <c r="BHL11" s="2703"/>
      <c r="BHM11" s="2703"/>
      <c r="BHN11" s="2703"/>
      <c r="BHO11" s="2703"/>
      <c r="BHP11" s="2703"/>
      <c r="BHQ11" s="2703"/>
      <c r="BHR11" s="2703"/>
      <c r="BHS11" s="2703"/>
      <c r="BHT11" s="2703"/>
      <c r="BHU11" s="2703"/>
      <c r="BHV11" s="2703"/>
      <c r="BHW11" s="2703"/>
      <c r="BHX11" s="2703"/>
      <c r="BHY11" s="2703"/>
      <c r="BHZ11" s="2703"/>
      <c r="BIA11" s="2703"/>
      <c r="BIB11" s="2703"/>
      <c r="BIC11" s="2703"/>
      <c r="BID11" s="2703"/>
      <c r="BIE11" s="2703"/>
      <c r="BIF11" s="2703"/>
      <c r="BIG11" s="2703"/>
      <c r="BIH11" s="2703"/>
      <c r="BII11" s="2703"/>
      <c r="BIJ11" s="2703"/>
      <c r="BIK11" s="2703"/>
      <c r="BIL11" s="2703"/>
      <c r="BIM11" s="2703"/>
      <c r="BIN11" s="2703"/>
      <c r="BIO11" s="2703"/>
      <c r="BIP11" s="2703"/>
      <c r="BIQ11" s="2703"/>
      <c r="BIR11" s="2703"/>
      <c r="BIS11" s="2703"/>
      <c r="BIT11" s="2703"/>
      <c r="BIU11" s="2703"/>
      <c r="BIV11" s="2703"/>
      <c r="BIW11" s="2703"/>
      <c r="BIX11" s="2703"/>
      <c r="BIY11" s="2703"/>
      <c r="BIZ11" s="2703"/>
      <c r="BJA11" s="2703"/>
      <c r="BJB11" s="2703"/>
      <c r="BJC11" s="2703"/>
      <c r="BJD11" s="2703"/>
      <c r="BJE11" s="2703"/>
      <c r="BJF11" s="2703"/>
      <c r="BJG11" s="2703"/>
      <c r="BJH11" s="2703"/>
      <c r="BJI11" s="2703"/>
      <c r="BJJ11" s="2703"/>
      <c r="BJK11" s="2703"/>
      <c r="BJL11" s="2703"/>
      <c r="BJM11" s="2703"/>
      <c r="BJN11" s="2703"/>
      <c r="BJO11" s="2703"/>
      <c r="BJP11" s="2703"/>
      <c r="BJQ11" s="2703"/>
      <c r="BJR11" s="2703"/>
      <c r="BJS11" s="2703"/>
      <c r="BJT11" s="2703"/>
      <c r="BJU11" s="2703"/>
      <c r="BJV11" s="2703"/>
      <c r="BJW11" s="2703"/>
      <c r="BJX11" s="2703"/>
      <c r="BJY11" s="2703"/>
      <c r="BJZ11" s="2703"/>
      <c r="BKA11" s="2703"/>
      <c r="BKB11" s="2703"/>
      <c r="BKC11" s="2703"/>
      <c r="BKD11" s="2703"/>
      <c r="BKE11" s="2703"/>
      <c r="BKF11" s="2703"/>
      <c r="BKG11" s="2703"/>
      <c r="BKH11" s="2703"/>
      <c r="BKI11" s="2703"/>
      <c r="BKJ11" s="2703"/>
      <c r="BKK11" s="2703"/>
      <c r="BKL11" s="2703"/>
      <c r="BKM11" s="2703"/>
      <c r="BKN11" s="2703"/>
      <c r="BKO11" s="2703"/>
      <c r="BKP11" s="2703"/>
      <c r="BKQ11" s="2703"/>
      <c r="BKR11" s="2703"/>
      <c r="BKS11" s="2703"/>
      <c r="BKT11" s="2703"/>
      <c r="BKU11" s="2703"/>
      <c r="BKV11" s="2703"/>
      <c r="BKW11" s="2703"/>
      <c r="BKX11" s="2703"/>
      <c r="BKY11" s="2703"/>
      <c r="BKZ11" s="2703"/>
      <c r="BLA11" s="2703"/>
      <c r="BLB11" s="2703"/>
      <c r="BLC11" s="2703"/>
      <c r="BLD11" s="2703"/>
      <c r="BLE11" s="2703"/>
      <c r="BLF11" s="2703"/>
      <c r="BLG11" s="2703"/>
      <c r="BLH11" s="2703"/>
      <c r="BLI11" s="2703"/>
      <c r="BLJ11" s="2703"/>
      <c r="BLK11" s="2703"/>
      <c r="BLL11" s="2703"/>
      <c r="BLM11" s="2703"/>
      <c r="BLN11" s="2703"/>
      <c r="BLO11" s="2703"/>
      <c r="BLP11" s="2703"/>
      <c r="BLQ11" s="2703"/>
      <c r="BLR11" s="2703"/>
      <c r="BLS11" s="2703"/>
      <c r="BLT11" s="2703"/>
      <c r="BLU11" s="2703"/>
      <c r="BLV11" s="2703"/>
      <c r="BLW11" s="2703"/>
      <c r="BLX11" s="2703"/>
      <c r="BLY11" s="2703"/>
      <c r="BLZ11" s="2703"/>
      <c r="BMA11" s="2703"/>
      <c r="BMB11" s="2703"/>
      <c r="BMC11" s="2703"/>
      <c r="BMD11" s="2703"/>
      <c r="BME11" s="2703"/>
      <c r="BMF11" s="2703"/>
      <c r="BMG11" s="2703"/>
      <c r="BMH11" s="2703"/>
      <c r="BMI11" s="2703"/>
      <c r="BMJ11" s="2703"/>
      <c r="BMK11" s="2703"/>
      <c r="BML11" s="2703"/>
      <c r="BMM11" s="2703"/>
      <c r="BMN11" s="2703"/>
      <c r="BMO11" s="2703"/>
      <c r="BMP11" s="2703"/>
      <c r="BMQ11" s="2703"/>
      <c r="BMR11" s="2703"/>
      <c r="BMS11" s="2703"/>
      <c r="BMT11" s="2703"/>
      <c r="BMU11" s="2703"/>
      <c r="BMV11" s="2703"/>
      <c r="BMW11" s="2703"/>
      <c r="BMX11" s="2703"/>
      <c r="BMY11" s="2703"/>
      <c r="BMZ11" s="2703"/>
      <c r="BNA11" s="2703"/>
      <c r="BNB11" s="2703"/>
      <c r="BNC11" s="2703"/>
      <c r="BND11" s="2703"/>
      <c r="BNE11" s="2703"/>
      <c r="BNF11" s="2703"/>
      <c r="BNG11" s="2703"/>
      <c r="BNH11" s="2703"/>
      <c r="BNI11" s="2703"/>
      <c r="BNJ11" s="2703"/>
      <c r="BNK11" s="2703"/>
      <c r="BNL11" s="2703"/>
      <c r="BNM11" s="2703"/>
      <c r="BNN11" s="2703"/>
      <c r="BNO11" s="2703"/>
      <c r="BNP11" s="2703"/>
      <c r="BNQ11" s="2703"/>
      <c r="BNR11" s="2703"/>
      <c r="BNS11" s="2703"/>
      <c r="BNT11" s="2703"/>
      <c r="BNU11" s="2703"/>
      <c r="BNV11" s="2703"/>
      <c r="BNW11" s="2703"/>
      <c r="BNX11" s="2703"/>
      <c r="BNY11" s="2703"/>
      <c r="BNZ11" s="2703"/>
      <c r="BOA11" s="2703"/>
      <c r="BOB11" s="2703"/>
      <c r="BOC11" s="2703"/>
      <c r="BOD11" s="2703"/>
      <c r="BOE11" s="2703"/>
      <c r="BOF11" s="2703"/>
      <c r="BOG11" s="2703"/>
      <c r="BOH11" s="2703"/>
      <c r="BOI11" s="2703"/>
      <c r="BOJ11" s="2703"/>
      <c r="BOK11" s="2703"/>
      <c r="BOL11" s="2703"/>
      <c r="BOM11" s="2703"/>
      <c r="BON11" s="2703"/>
      <c r="BOO11" s="2703"/>
      <c r="BOP11" s="2703"/>
      <c r="BOQ11" s="2703"/>
      <c r="BOR11" s="2703"/>
      <c r="BOS11" s="2703"/>
      <c r="BOT11" s="2703"/>
      <c r="BOU11" s="2703"/>
      <c r="BOV11" s="2703"/>
      <c r="BOW11" s="2703"/>
      <c r="BOX11" s="2703"/>
      <c r="BOY11" s="2703"/>
      <c r="BOZ11" s="2703"/>
      <c r="BPA11" s="2703"/>
      <c r="BPB11" s="2703"/>
      <c r="BPC11" s="2703"/>
      <c r="BPD11" s="2703"/>
      <c r="BPE11" s="2703"/>
      <c r="BPF11" s="2703"/>
      <c r="BPG11" s="2703"/>
      <c r="BPH11" s="2703"/>
      <c r="BPI11" s="2703"/>
      <c r="BPJ11" s="2703"/>
      <c r="BPK11" s="2703"/>
      <c r="BPL11" s="2703"/>
      <c r="BPM11" s="2703"/>
      <c r="BPN11" s="2703"/>
      <c r="BPO11" s="2703"/>
      <c r="BPP11" s="2703"/>
      <c r="BPQ11" s="2703"/>
      <c r="BPR11" s="2703"/>
      <c r="BPS11" s="2703"/>
      <c r="BPT11" s="2703"/>
      <c r="BPU11" s="2703"/>
      <c r="BPV11" s="2703"/>
      <c r="BPW11" s="2703"/>
      <c r="BPX11" s="2703"/>
      <c r="BPY11" s="2703"/>
      <c r="BPZ11" s="2703"/>
      <c r="BQA11" s="2703"/>
      <c r="BQB11" s="2703"/>
      <c r="BQC11" s="2703"/>
      <c r="BQD11" s="2703"/>
      <c r="BQE11" s="2703"/>
      <c r="BQF11" s="2703"/>
      <c r="BQG11" s="2703"/>
      <c r="BQH11" s="2703"/>
      <c r="BQI11" s="2703"/>
      <c r="BQJ11" s="2703"/>
      <c r="BQK11" s="2703"/>
      <c r="BQL11" s="2703"/>
      <c r="BQM11" s="2703"/>
      <c r="BQN11" s="2703"/>
      <c r="BQO11" s="2703"/>
      <c r="BQP11" s="2703"/>
      <c r="BQQ11" s="2703"/>
      <c r="BQR11" s="2703"/>
      <c r="BQS11" s="2703"/>
      <c r="BQT11" s="2703"/>
      <c r="BQU11" s="2703"/>
      <c r="BQV11" s="2703"/>
      <c r="BQW11" s="2703"/>
      <c r="BQX11" s="2703"/>
      <c r="BQY11" s="2703"/>
      <c r="BQZ11" s="2703"/>
      <c r="BRA11" s="2703"/>
      <c r="BRB11" s="2703"/>
      <c r="BRC11" s="2703"/>
      <c r="BRD11" s="2703"/>
      <c r="BRE11" s="2703"/>
      <c r="BRF11" s="2703"/>
      <c r="BRG11" s="2703"/>
      <c r="BRH11" s="2703"/>
      <c r="BRI11" s="2703"/>
      <c r="BRJ11" s="2703"/>
      <c r="BRK11" s="2703"/>
      <c r="BRL11" s="2703"/>
      <c r="BRM11" s="2703"/>
      <c r="BRN11" s="2703"/>
      <c r="BRO11" s="2703"/>
      <c r="BRP11" s="2703"/>
      <c r="BRQ11" s="2703"/>
      <c r="BRR11" s="2703"/>
      <c r="BRS11" s="2703"/>
      <c r="BRT11" s="2703"/>
      <c r="BRU11" s="2703"/>
      <c r="BRV11" s="2703"/>
      <c r="BRW11" s="2703"/>
      <c r="BRX11" s="2703"/>
      <c r="BRY11" s="2703"/>
      <c r="BRZ11" s="2703"/>
      <c r="BSA11" s="2703"/>
      <c r="BSB11" s="2703"/>
      <c r="BSC11" s="2703"/>
      <c r="BSD11" s="2703"/>
      <c r="BSE11" s="2703"/>
      <c r="BSF11" s="2703"/>
      <c r="BSG11" s="2703"/>
      <c r="BSH11" s="2703"/>
      <c r="BSI11" s="2703"/>
      <c r="BSJ11" s="2703"/>
      <c r="BSK11" s="2703"/>
      <c r="BSL11" s="2703"/>
      <c r="BSM11" s="2703"/>
      <c r="BSN11" s="2703"/>
      <c r="BSO11" s="2703"/>
      <c r="BSP11" s="2703"/>
      <c r="BSQ11" s="2703"/>
      <c r="BSR11" s="2703"/>
      <c r="BSS11" s="2703"/>
      <c r="BST11" s="2703"/>
      <c r="BSU11" s="2703"/>
      <c r="BSV11" s="2703"/>
      <c r="BSW11" s="2703"/>
      <c r="BSX11" s="2703"/>
      <c r="BSY11" s="2703"/>
      <c r="BSZ11" s="2703"/>
      <c r="BTA11" s="2703"/>
      <c r="BTB11" s="2703"/>
      <c r="BTC11" s="2703"/>
      <c r="BTD11" s="2703"/>
      <c r="BTE11" s="2703"/>
      <c r="BTF11" s="2703"/>
      <c r="BTG11" s="2703"/>
      <c r="BTH11" s="2703"/>
      <c r="BTI11" s="2703"/>
      <c r="BTJ11" s="2703"/>
      <c r="BTK11" s="2703"/>
      <c r="BTL11" s="2703"/>
      <c r="BTM11" s="2703"/>
      <c r="BTN11" s="2703"/>
      <c r="BTO11" s="2703"/>
      <c r="BTP11" s="2703"/>
      <c r="BTQ11" s="2703"/>
      <c r="BTR11" s="2703"/>
      <c r="BTS11" s="2703"/>
      <c r="BTT11" s="2703"/>
      <c r="BTU11" s="2703"/>
      <c r="BTV11" s="2703"/>
      <c r="BTW11" s="2703"/>
      <c r="BTX11" s="2703"/>
      <c r="BTY11" s="2703"/>
      <c r="BTZ11" s="2703"/>
      <c r="BUA11" s="2703"/>
      <c r="BUB11" s="2703"/>
      <c r="BUC11" s="2703"/>
      <c r="BUD11" s="2703"/>
      <c r="BUE11" s="2703"/>
      <c r="BUF11" s="2703"/>
      <c r="BUG11" s="2703"/>
      <c r="BUH11" s="2703"/>
      <c r="BUI11" s="2703"/>
      <c r="BUJ11" s="2703"/>
      <c r="BUK11" s="2703"/>
      <c r="BUL11" s="2703"/>
      <c r="BUM11" s="2703"/>
      <c r="BUN11" s="2703"/>
      <c r="BUO11" s="2703"/>
      <c r="BUP11" s="2703"/>
      <c r="BUQ11" s="2703"/>
      <c r="BUR11" s="2703"/>
      <c r="BUS11" s="2703"/>
      <c r="BUT11" s="2703"/>
      <c r="BUU11" s="2703"/>
      <c r="BUV11" s="2703"/>
      <c r="BUW11" s="2703"/>
      <c r="BUX11" s="2703"/>
      <c r="BUY11" s="2703"/>
      <c r="BUZ11" s="2703"/>
      <c r="BVA11" s="2703"/>
      <c r="BVB11" s="2703"/>
      <c r="BVC11" s="2703"/>
      <c r="BVD11" s="2703"/>
      <c r="BVE11" s="2703"/>
      <c r="BVF11" s="2703"/>
      <c r="BVG11" s="2703"/>
      <c r="BVH11" s="2703"/>
      <c r="BVI11" s="2703"/>
      <c r="BVJ11" s="2703"/>
      <c r="BVK11" s="2703"/>
      <c r="BVL11" s="2703"/>
      <c r="BVM11" s="2703"/>
      <c r="BVN11" s="2703"/>
      <c r="BVO11" s="2703"/>
      <c r="BVP11" s="2703"/>
      <c r="BVQ11" s="2703"/>
      <c r="BVR11" s="2703"/>
      <c r="BVS11" s="2703"/>
      <c r="BVT11" s="2703"/>
      <c r="BVU11" s="2703"/>
      <c r="BVV11" s="2703"/>
      <c r="BVW11" s="2703"/>
      <c r="BVX11" s="2703"/>
      <c r="BVY11" s="2703"/>
      <c r="BVZ11" s="2703"/>
      <c r="BWA11" s="2703"/>
      <c r="BWB11" s="2703"/>
      <c r="BWC11" s="2703"/>
      <c r="BWD11" s="2703"/>
    </row>
    <row r="12" spans="1:1954" ht="16.5" x14ac:dyDescent="0.3">
      <c r="A12" s="2832" t="s">
        <v>2745</v>
      </c>
      <c r="B12" s="2833">
        <v>13074.318286127145</v>
      </c>
      <c r="C12" s="2833">
        <v>5672.1717278600663</v>
      </c>
      <c r="D12" s="2833">
        <v>18746.490013987212</v>
      </c>
      <c r="E12" s="2703"/>
      <c r="F12" s="2838"/>
      <c r="G12" s="691"/>
      <c r="H12" s="2719"/>
      <c r="I12" s="691"/>
      <c r="J12" s="2831"/>
      <c r="K12" s="2831"/>
      <c r="L12" s="2831"/>
      <c r="M12" s="2703"/>
      <c r="N12" s="2703"/>
      <c r="O12" s="2703"/>
      <c r="P12" s="2703"/>
      <c r="Q12" s="2703"/>
      <c r="R12" s="2703"/>
      <c r="S12" s="2703"/>
      <c r="T12" s="2703"/>
      <c r="U12" s="2703"/>
      <c r="V12" s="2703"/>
      <c r="W12" s="2703"/>
      <c r="X12" s="2703"/>
      <c r="Y12" s="2703"/>
      <c r="Z12" s="2703"/>
      <c r="AA12" s="2703"/>
      <c r="AB12" s="2703"/>
      <c r="AC12" s="2703"/>
      <c r="AD12" s="2703"/>
      <c r="AE12" s="2703"/>
      <c r="AF12" s="2703"/>
      <c r="AG12" s="2703"/>
      <c r="AH12" s="2703"/>
      <c r="AI12" s="2703"/>
      <c r="AJ12" s="2703"/>
      <c r="AK12" s="2703"/>
      <c r="AL12" s="2703"/>
      <c r="AM12" s="2703"/>
      <c r="AN12" s="2703"/>
      <c r="AO12" s="2703"/>
      <c r="AP12" s="2703"/>
      <c r="AQ12" s="2703"/>
      <c r="AR12" s="2703"/>
      <c r="AS12" s="2703"/>
      <c r="AT12" s="2703"/>
      <c r="AU12" s="2703"/>
      <c r="AV12" s="2703"/>
      <c r="AW12" s="2703"/>
      <c r="AX12" s="2703"/>
      <c r="AY12" s="2703"/>
      <c r="AZ12" s="2703"/>
      <c r="BA12" s="2703"/>
      <c r="BB12" s="2703"/>
      <c r="BC12" s="2703"/>
      <c r="BD12" s="2703"/>
      <c r="BE12" s="2703"/>
      <c r="BF12" s="2703"/>
      <c r="BG12" s="2703"/>
      <c r="BH12" s="2703"/>
      <c r="BI12" s="2703"/>
      <c r="BJ12" s="2703"/>
      <c r="BK12" s="2703"/>
      <c r="BL12" s="2703"/>
      <c r="BM12" s="2703"/>
      <c r="BN12" s="2703"/>
      <c r="BO12" s="2703"/>
      <c r="BP12" s="2703"/>
      <c r="BQ12" s="2703"/>
      <c r="BR12" s="2703"/>
      <c r="BS12" s="2703"/>
      <c r="BT12" s="2703"/>
      <c r="BU12" s="2703"/>
      <c r="BV12" s="2703"/>
      <c r="BW12" s="2703"/>
      <c r="BX12" s="2703"/>
      <c r="BY12" s="2703"/>
      <c r="BZ12" s="2703"/>
      <c r="CA12" s="2703"/>
      <c r="CB12" s="2703"/>
      <c r="CC12" s="2703"/>
      <c r="CD12" s="2703"/>
      <c r="CE12" s="2703"/>
      <c r="CF12" s="2703"/>
      <c r="CG12" s="2703"/>
      <c r="CH12" s="2703"/>
      <c r="CI12" s="2703"/>
      <c r="CJ12" s="2703"/>
      <c r="CK12" s="2703"/>
      <c r="CL12" s="2703"/>
      <c r="CM12" s="2703"/>
      <c r="CN12" s="2703"/>
      <c r="CO12" s="2703"/>
      <c r="CP12" s="2703"/>
      <c r="CQ12" s="2703"/>
      <c r="CR12" s="2703"/>
      <c r="CS12" s="2703"/>
      <c r="CT12" s="2703"/>
      <c r="CU12" s="2703"/>
      <c r="CV12" s="2703"/>
      <c r="CW12" s="2703"/>
      <c r="CX12" s="2703"/>
      <c r="CY12" s="2703"/>
      <c r="CZ12" s="2703"/>
      <c r="DA12" s="2703"/>
      <c r="DB12" s="2703"/>
      <c r="DC12" s="2703"/>
      <c r="DD12" s="2703"/>
      <c r="DE12" s="2703"/>
      <c r="DF12" s="2703"/>
      <c r="DG12" s="2703"/>
      <c r="DH12" s="2703"/>
      <c r="DI12" s="2703"/>
      <c r="DJ12" s="2703"/>
      <c r="DK12" s="2703"/>
      <c r="DL12" s="2703"/>
      <c r="DM12" s="2703"/>
      <c r="DN12" s="2703"/>
      <c r="DO12" s="2703"/>
      <c r="DP12" s="2703"/>
      <c r="DQ12" s="2703"/>
      <c r="DR12" s="2703"/>
      <c r="DS12" s="2703"/>
      <c r="DT12" s="2703"/>
      <c r="DU12" s="2703"/>
      <c r="DV12" s="2703"/>
      <c r="DW12" s="2703"/>
      <c r="DX12" s="2703"/>
      <c r="DY12" s="2703"/>
      <c r="DZ12" s="2703"/>
      <c r="EA12" s="2703"/>
      <c r="EB12" s="2703"/>
      <c r="EC12" s="2703"/>
      <c r="ED12" s="2703"/>
      <c r="EE12" s="2703"/>
      <c r="EF12" s="2703"/>
      <c r="EG12" s="2703"/>
      <c r="EH12" s="2703"/>
      <c r="EI12" s="2703"/>
      <c r="EJ12" s="2703"/>
      <c r="EK12" s="2703"/>
      <c r="EL12" s="2703"/>
      <c r="EM12" s="2703"/>
      <c r="EN12" s="2703"/>
      <c r="EO12" s="2703"/>
      <c r="EP12" s="2703"/>
      <c r="EQ12" s="2703"/>
      <c r="ER12" s="2703"/>
      <c r="ES12" s="2703"/>
      <c r="ET12" s="2703"/>
      <c r="EU12" s="2703"/>
      <c r="EV12" s="2703"/>
      <c r="EW12" s="2703"/>
      <c r="EX12" s="2703"/>
      <c r="EY12" s="2703"/>
      <c r="EZ12" s="2703"/>
      <c r="FA12" s="2703"/>
      <c r="FB12" s="2703"/>
      <c r="FC12" s="2703"/>
      <c r="FD12" s="2703"/>
      <c r="FE12" s="2703"/>
      <c r="FF12" s="2703"/>
      <c r="FG12" s="2703"/>
      <c r="FH12" s="2703"/>
      <c r="FI12" s="2703"/>
      <c r="FJ12" s="2703"/>
      <c r="FK12" s="2703"/>
      <c r="FL12" s="2703"/>
      <c r="FM12" s="2703"/>
      <c r="FN12" s="2703"/>
      <c r="FO12" s="2703"/>
      <c r="FP12" s="2703"/>
      <c r="FQ12" s="2703"/>
      <c r="FR12" s="2703"/>
      <c r="FS12" s="2703"/>
      <c r="FT12" s="2703"/>
      <c r="FU12" s="2703"/>
      <c r="FV12" s="2703"/>
      <c r="FW12" s="2703"/>
      <c r="FX12" s="2703"/>
      <c r="FY12" s="2703"/>
      <c r="FZ12" s="2703"/>
      <c r="GA12" s="2703"/>
      <c r="GB12" s="2703"/>
      <c r="GC12" s="2703"/>
      <c r="GD12" s="2703"/>
      <c r="GE12" s="2703"/>
      <c r="GF12" s="2703"/>
      <c r="GG12" s="2703"/>
      <c r="GH12" s="2703"/>
      <c r="GI12" s="2703"/>
      <c r="GJ12" s="2703"/>
      <c r="GK12" s="2703"/>
      <c r="GL12" s="2703"/>
      <c r="GM12" s="2703"/>
      <c r="GN12" s="2703"/>
      <c r="GO12" s="2703"/>
      <c r="GP12" s="2703"/>
      <c r="GQ12" s="2703"/>
      <c r="GR12" s="2703"/>
      <c r="GS12" s="2703"/>
      <c r="GT12" s="2703"/>
      <c r="GU12" s="2703"/>
      <c r="GV12" s="2703"/>
      <c r="GW12" s="2703"/>
      <c r="GX12" s="2703"/>
      <c r="GY12" s="2703"/>
      <c r="GZ12" s="2703"/>
      <c r="HA12" s="2703"/>
      <c r="HB12" s="2703"/>
      <c r="HC12" s="2703"/>
      <c r="HD12" s="2703"/>
      <c r="HE12" s="2703"/>
      <c r="HF12" s="2703"/>
      <c r="HG12" s="2703"/>
      <c r="HH12" s="2703"/>
      <c r="HI12" s="2703"/>
      <c r="HJ12" s="2703"/>
      <c r="HK12" s="2703"/>
      <c r="HL12" s="2703"/>
      <c r="HM12" s="2703"/>
      <c r="HN12" s="2703"/>
      <c r="HO12" s="2703"/>
      <c r="HP12" s="2703"/>
      <c r="HQ12" s="2703"/>
      <c r="HR12" s="2703"/>
      <c r="HS12" s="2703"/>
      <c r="HT12" s="2703"/>
      <c r="HU12" s="2703"/>
      <c r="HV12" s="2703"/>
      <c r="HW12" s="2703"/>
      <c r="HX12" s="2703"/>
      <c r="HY12" s="2703"/>
      <c r="HZ12" s="2703"/>
      <c r="IA12" s="2703"/>
      <c r="IB12" s="2703"/>
      <c r="IC12" s="2703"/>
      <c r="ID12" s="2703"/>
      <c r="IE12" s="2703"/>
      <c r="IF12" s="2703"/>
      <c r="IG12" s="2703"/>
      <c r="IH12" s="2703"/>
      <c r="II12" s="2703"/>
      <c r="IJ12" s="2703"/>
      <c r="IK12" s="2703"/>
      <c r="IL12" s="2703"/>
      <c r="IM12" s="2703"/>
      <c r="IN12" s="2703"/>
      <c r="IO12" s="2703"/>
      <c r="IP12" s="2703"/>
      <c r="IQ12" s="2703"/>
      <c r="IR12" s="2703"/>
      <c r="IS12" s="2703"/>
      <c r="IT12" s="2703"/>
      <c r="IU12" s="2703"/>
      <c r="IV12" s="2703"/>
      <c r="IW12" s="2703"/>
      <c r="IX12" s="2703"/>
      <c r="IY12" s="2703"/>
      <c r="IZ12" s="2703"/>
      <c r="JA12" s="2703"/>
      <c r="JB12" s="2703"/>
      <c r="JC12" s="2703"/>
      <c r="JD12" s="2703"/>
      <c r="JE12" s="2703"/>
      <c r="JF12" s="2703"/>
      <c r="JG12" s="2703"/>
      <c r="JH12" s="2703"/>
      <c r="JI12" s="2703"/>
      <c r="JJ12" s="2703"/>
      <c r="JK12" s="2703"/>
      <c r="JL12" s="2703"/>
      <c r="JM12" s="2703"/>
      <c r="JN12" s="2703"/>
      <c r="JO12" s="2703"/>
      <c r="JP12" s="2703"/>
      <c r="JQ12" s="2703"/>
      <c r="JR12" s="2703"/>
      <c r="JS12" s="2703"/>
      <c r="JT12" s="2703"/>
      <c r="JU12" s="2703"/>
      <c r="JV12" s="2703"/>
      <c r="JW12" s="2703"/>
      <c r="JX12" s="2703"/>
      <c r="JY12" s="2703"/>
      <c r="JZ12" s="2703"/>
      <c r="KA12" s="2703"/>
      <c r="KB12" s="2703"/>
      <c r="KC12" s="2703"/>
      <c r="KD12" s="2703"/>
      <c r="KE12" s="2703"/>
      <c r="KF12" s="2703"/>
      <c r="KG12" s="2703"/>
      <c r="KH12" s="2703"/>
      <c r="KI12" s="2703"/>
      <c r="KJ12" s="2703"/>
      <c r="KK12" s="2703"/>
      <c r="KL12" s="2703"/>
      <c r="KM12" s="2703"/>
      <c r="KN12" s="2703"/>
      <c r="KO12" s="2703"/>
      <c r="KP12" s="2703"/>
      <c r="KQ12" s="2703"/>
      <c r="KR12" s="2703"/>
      <c r="KS12" s="2703"/>
      <c r="KT12" s="2703"/>
      <c r="KU12" s="2703"/>
      <c r="KV12" s="2703"/>
      <c r="KW12" s="2703"/>
      <c r="KX12" s="2703"/>
      <c r="KY12" s="2703"/>
      <c r="KZ12" s="2703"/>
      <c r="LA12" s="2703"/>
      <c r="LB12" s="2703"/>
      <c r="LC12" s="2703"/>
      <c r="LD12" s="2703"/>
      <c r="LE12" s="2703"/>
      <c r="LF12" s="2703"/>
      <c r="LG12" s="2703"/>
      <c r="LH12" s="2703"/>
      <c r="LI12" s="2703"/>
      <c r="LJ12" s="2703"/>
      <c r="LK12" s="2703"/>
      <c r="LL12" s="2703"/>
      <c r="LM12" s="2703"/>
      <c r="LN12" s="2703"/>
      <c r="LO12" s="2703"/>
      <c r="LP12" s="2703"/>
      <c r="LQ12" s="2703"/>
      <c r="LR12" s="2703"/>
      <c r="LS12" s="2703"/>
      <c r="LT12" s="2703"/>
      <c r="LU12" s="2703"/>
      <c r="LV12" s="2703"/>
      <c r="LW12" s="2703"/>
      <c r="LX12" s="2703"/>
      <c r="LY12" s="2703"/>
      <c r="LZ12" s="2703"/>
      <c r="MA12" s="2703"/>
      <c r="MB12" s="2703"/>
      <c r="MC12" s="2703"/>
      <c r="MD12" s="2703"/>
      <c r="ME12" s="2703"/>
      <c r="MF12" s="2703"/>
      <c r="MG12" s="2703"/>
      <c r="MH12" s="2703"/>
      <c r="MI12" s="2703"/>
      <c r="MJ12" s="2703"/>
      <c r="MK12" s="2703"/>
      <c r="ML12" s="2703"/>
      <c r="MM12" s="2703"/>
      <c r="MN12" s="2703"/>
      <c r="MO12" s="2703"/>
      <c r="MP12" s="2703"/>
      <c r="MQ12" s="2703"/>
      <c r="MR12" s="2703"/>
      <c r="MS12" s="2703"/>
      <c r="MT12" s="2703"/>
      <c r="MU12" s="2703"/>
      <c r="MV12" s="2703"/>
      <c r="MW12" s="2703"/>
      <c r="MX12" s="2703"/>
      <c r="MY12" s="2703"/>
      <c r="MZ12" s="2703"/>
      <c r="NA12" s="2703"/>
      <c r="NB12" s="2703"/>
      <c r="NC12" s="2703"/>
      <c r="ND12" s="2703"/>
      <c r="NE12" s="2703"/>
      <c r="NF12" s="2703"/>
      <c r="NG12" s="2703"/>
      <c r="NH12" s="2703"/>
      <c r="NI12" s="2703"/>
      <c r="NJ12" s="2703"/>
      <c r="NK12" s="2703"/>
      <c r="NL12" s="2703"/>
      <c r="NM12" s="2703"/>
      <c r="NN12" s="2703"/>
      <c r="NO12" s="2703"/>
      <c r="NP12" s="2703"/>
      <c r="NQ12" s="2703"/>
      <c r="NR12" s="2703"/>
      <c r="NS12" s="2703"/>
      <c r="NT12" s="2703"/>
      <c r="NU12" s="2703"/>
      <c r="NV12" s="2703"/>
      <c r="NW12" s="2703"/>
      <c r="NX12" s="2703"/>
      <c r="NY12" s="2703"/>
      <c r="NZ12" s="2703"/>
      <c r="OA12" s="2703"/>
      <c r="OB12" s="2703"/>
      <c r="OC12" s="2703"/>
      <c r="OD12" s="2703"/>
      <c r="OE12" s="2703"/>
      <c r="OF12" s="2703"/>
      <c r="OG12" s="2703"/>
      <c r="OH12" s="2703"/>
      <c r="OI12" s="2703"/>
      <c r="OJ12" s="2703"/>
      <c r="OK12" s="2703"/>
      <c r="OL12" s="2703"/>
      <c r="OM12" s="2703"/>
      <c r="ON12" s="2703"/>
      <c r="OO12" s="2703"/>
      <c r="OP12" s="2703"/>
      <c r="OQ12" s="2703"/>
      <c r="OR12" s="2703"/>
      <c r="OS12" s="2703"/>
      <c r="OT12" s="2703"/>
      <c r="OU12" s="2703"/>
      <c r="OV12" s="2703"/>
      <c r="OW12" s="2703"/>
      <c r="OX12" s="2703"/>
      <c r="OY12" s="2703"/>
      <c r="OZ12" s="2703"/>
      <c r="PA12" s="2703"/>
      <c r="PB12" s="2703"/>
      <c r="PC12" s="2703"/>
      <c r="PD12" s="2703"/>
      <c r="PE12" s="2703"/>
      <c r="PF12" s="2703"/>
      <c r="PG12" s="2703"/>
      <c r="PH12" s="2703"/>
      <c r="PI12" s="2703"/>
      <c r="PJ12" s="2703"/>
      <c r="PK12" s="2703"/>
      <c r="PL12" s="2703"/>
      <c r="PM12" s="2703"/>
      <c r="PN12" s="2703"/>
      <c r="PO12" s="2703"/>
      <c r="PP12" s="2703"/>
      <c r="PQ12" s="2703"/>
      <c r="PR12" s="2703"/>
      <c r="PS12" s="2703"/>
      <c r="PT12" s="2703"/>
      <c r="PU12" s="2703"/>
      <c r="PV12" s="2703"/>
      <c r="PW12" s="2703"/>
      <c r="PX12" s="2703"/>
      <c r="PY12" s="2703"/>
      <c r="PZ12" s="2703"/>
      <c r="QA12" s="2703"/>
      <c r="QB12" s="2703"/>
      <c r="QC12" s="2703"/>
      <c r="QD12" s="2703"/>
      <c r="QE12" s="2703"/>
      <c r="QF12" s="2703"/>
      <c r="QG12" s="2703"/>
      <c r="QH12" s="2703"/>
      <c r="QI12" s="2703"/>
      <c r="QJ12" s="2703"/>
      <c r="QK12" s="2703"/>
      <c r="QL12" s="2703"/>
      <c r="QM12" s="2703"/>
      <c r="QN12" s="2703"/>
      <c r="QO12" s="2703"/>
      <c r="QP12" s="2703"/>
      <c r="QQ12" s="2703"/>
      <c r="QR12" s="2703"/>
      <c r="QS12" s="2703"/>
      <c r="QT12" s="2703"/>
      <c r="QU12" s="2703"/>
      <c r="QV12" s="2703"/>
      <c r="QW12" s="2703"/>
      <c r="QX12" s="2703"/>
      <c r="QY12" s="2703"/>
      <c r="QZ12" s="2703"/>
      <c r="RA12" s="2703"/>
      <c r="RB12" s="2703"/>
      <c r="RC12" s="2703"/>
      <c r="RD12" s="2703"/>
      <c r="RE12" s="2703"/>
      <c r="RF12" s="2703"/>
      <c r="RG12" s="2703"/>
      <c r="RH12" s="2703"/>
      <c r="RI12" s="2703"/>
      <c r="RJ12" s="2703"/>
      <c r="RK12" s="2703"/>
      <c r="RL12" s="2703"/>
      <c r="RM12" s="2703"/>
      <c r="RN12" s="2703"/>
      <c r="RO12" s="2703"/>
      <c r="RP12" s="2703"/>
      <c r="RQ12" s="2703"/>
      <c r="RR12" s="2703"/>
      <c r="RS12" s="2703"/>
      <c r="RT12" s="2703"/>
      <c r="RU12" s="2703"/>
      <c r="RV12" s="2703"/>
      <c r="RW12" s="2703"/>
      <c r="RX12" s="2703"/>
      <c r="RY12" s="2703"/>
      <c r="RZ12" s="2703"/>
      <c r="SA12" s="2703"/>
      <c r="SB12" s="2703"/>
      <c r="SC12" s="2703"/>
      <c r="SD12" s="2703"/>
      <c r="SE12" s="2703"/>
      <c r="SF12" s="2703"/>
      <c r="SG12" s="2703"/>
      <c r="SH12" s="2703"/>
      <c r="SI12" s="2703"/>
      <c r="SJ12" s="2703"/>
      <c r="SK12" s="2703"/>
      <c r="SL12" s="2703"/>
      <c r="SM12" s="2703"/>
      <c r="SN12" s="2703"/>
      <c r="SO12" s="2703"/>
      <c r="SP12" s="2703"/>
      <c r="SQ12" s="2703"/>
      <c r="SR12" s="2703"/>
      <c r="SS12" s="2703"/>
      <c r="ST12" s="2703"/>
      <c r="SU12" s="2703"/>
      <c r="SV12" s="2703"/>
      <c r="SW12" s="2703"/>
      <c r="SX12" s="2703"/>
      <c r="SY12" s="2703"/>
      <c r="SZ12" s="2703"/>
      <c r="TA12" s="2703"/>
      <c r="TB12" s="2703"/>
      <c r="TC12" s="2703"/>
      <c r="TD12" s="2703"/>
      <c r="TE12" s="2703"/>
      <c r="TF12" s="2703"/>
      <c r="TG12" s="2703"/>
      <c r="TH12" s="2703"/>
      <c r="TI12" s="2703"/>
      <c r="TJ12" s="2703"/>
      <c r="TK12" s="2703"/>
      <c r="TL12" s="2703"/>
      <c r="TM12" s="2703"/>
      <c r="TN12" s="2703"/>
      <c r="TO12" s="2703"/>
      <c r="TP12" s="2703"/>
      <c r="TQ12" s="2703"/>
      <c r="TR12" s="2703"/>
      <c r="TS12" s="2703"/>
      <c r="TT12" s="2703"/>
      <c r="TU12" s="2703"/>
      <c r="TV12" s="2703"/>
      <c r="TW12" s="2703"/>
      <c r="TX12" s="2703"/>
      <c r="TY12" s="2703"/>
      <c r="TZ12" s="2703"/>
      <c r="UA12" s="2703"/>
      <c r="UB12" s="2703"/>
      <c r="UC12" s="2703"/>
      <c r="UD12" s="2703"/>
      <c r="UE12" s="2703"/>
      <c r="UF12" s="2703"/>
      <c r="UG12" s="2703"/>
      <c r="UH12" s="2703"/>
      <c r="UI12" s="2703"/>
      <c r="UJ12" s="2703"/>
      <c r="UK12" s="2703"/>
      <c r="UL12" s="2703"/>
      <c r="UM12" s="2703"/>
      <c r="UN12" s="2703"/>
      <c r="UO12" s="2703"/>
      <c r="UP12" s="2703"/>
      <c r="UQ12" s="2703"/>
      <c r="UR12" s="2703"/>
      <c r="US12" s="2703"/>
      <c r="UT12" s="2703"/>
      <c r="UU12" s="2703"/>
      <c r="UV12" s="2703"/>
      <c r="UW12" s="2703"/>
      <c r="UX12" s="2703"/>
      <c r="UY12" s="2703"/>
      <c r="UZ12" s="2703"/>
      <c r="VA12" s="2703"/>
      <c r="VB12" s="2703"/>
      <c r="VC12" s="2703"/>
      <c r="VD12" s="2703"/>
      <c r="VE12" s="2703"/>
      <c r="VF12" s="2703"/>
      <c r="VG12" s="2703"/>
      <c r="VH12" s="2703"/>
      <c r="VI12" s="2703"/>
      <c r="VJ12" s="2703"/>
      <c r="VK12" s="2703"/>
      <c r="VL12" s="2703"/>
      <c r="VM12" s="2703"/>
      <c r="VN12" s="2703"/>
      <c r="VO12" s="2703"/>
      <c r="VP12" s="2703"/>
      <c r="VQ12" s="2703"/>
      <c r="VR12" s="2703"/>
      <c r="VS12" s="2703"/>
      <c r="VT12" s="2703"/>
      <c r="VU12" s="2703"/>
      <c r="VV12" s="2703"/>
      <c r="VW12" s="2703"/>
      <c r="VX12" s="2703"/>
      <c r="VY12" s="2703"/>
      <c r="VZ12" s="2703"/>
      <c r="WA12" s="2703"/>
      <c r="WB12" s="2703"/>
      <c r="WC12" s="2703"/>
      <c r="WD12" s="2703"/>
      <c r="WE12" s="2703"/>
      <c r="WF12" s="2703"/>
      <c r="WG12" s="2703"/>
      <c r="WH12" s="2703"/>
      <c r="WI12" s="2703"/>
      <c r="WJ12" s="2703"/>
      <c r="WK12" s="2703"/>
      <c r="WL12" s="2703"/>
      <c r="WM12" s="2703"/>
      <c r="WN12" s="2703"/>
      <c r="WO12" s="2703"/>
      <c r="WP12" s="2703"/>
      <c r="WQ12" s="2703"/>
      <c r="WR12" s="2703"/>
      <c r="WS12" s="2703"/>
      <c r="WT12" s="2703"/>
      <c r="WU12" s="2703"/>
      <c r="WV12" s="2703"/>
      <c r="WW12" s="2703"/>
      <c r="WX12" s="2703"/>
      <c r="WY12" s="2703"/>
      <c r="WZ12" s="2703"/>
      <c r="XA12" s="2703"/>
      <c r="XB12" s="2703"/>
      <c r="XC12" s="2703"/>
      <c r="XD12" s="2703"/>
      <c r="XE12" s="2703"/>
      <c r="XF12" s="2703"/>
      <c r="XG12" s="2703"/>
      <c r="XH12" s="2703"/>
      <c r="XI12" s="2703"/>
      <c r="XJ12" s="2703"/>
      <c r="XK12" s="2703"/>
      <c r="XL12" s="2703"/>
      <c r="XM12" s="2703"/>
      <c r="XN12" s="2703"/>
      <c r="XO12" s="2703"/>
      <c r="XP12" s="2703"/>
      <c r="XQ12" s="2703"/>
      <c r="XR12" s="2703"/>
      <c r="XS12" s="2703"/>
      <c r="XT12" s="2703"/>
      <c r="XU12" s="2703"/>
      <c r="XV12" s="2703"/>
      <c r="XW12" s="2703"/>
      <c r="XX12" s="2703"/>
      <c r="XY12" s="2703"/>
      <c r="XZ12" s="2703"/>
      <c r="YA12" s="2703"/>
      <c r="YB12" s="2703"/>
      <c r="YC12" s="2703"/>
      <c r="YD12" s="2703"/>
      <c r="YE12" s="2703"/>
      <c r="YF12" s="2703"/>
      <c r="YG12" s="2703"/>
      <c r="YH12" s="2703"/>
      <c r="YI12" s="2703"/>
      <c r="YJ12" s="2703"/>
      <c r="YK12" s="2703"/>
      <c r="YL12" s="2703"/>
      <c r="YM12" s="2703"/>
      <c r="YN12" s="2703"/>
      <c r="YO12" s="2703"/>
      <c r="YP12" s="2703"/>
      <c r="YQ12" s="2703"/>
      <c r="YR12" s="2703"/>
      <c r="YS12" s="2703"/>
      <c r="YT12" s="2703"/>
      <c r="YU12" s="2703"/>
      <c r="YV12" s="2703"/>
      <c r="YW12" s="2703"/>
      <c r="YX12" s="2703"/>
      <c r="YY12" s="2703"/>
      <c r="YZ12" s="2703"/>
      <c r="ZA12" s="2703"/>
      <c r="ZB12" s="2703"/>
      <c r="ZC12" s="2703"/>
      <c r="ZD12" s="2703"/>
      <c r="ZE12" s="2703"/>
      <c r="ZF12" s="2703"/>
      <c r="ZG12" s="2703"/>
      <c r="ZH12" s="2703"/>
      <c r="ZI12" s="2703"/>
      <c r="ZJ12" s="2703"/>
      <c r="ZK12" s="2703"/>
      <c r="ZL12" s="2703"/>
      <c r="ZM12" s="2703"/>
      <c r="ZN12" s="2703"/>
      <c r="ZO12" s="2703"/>
      <c r="ZP12" s="2703"/>
      <c r="ZQ12" s="2703"/>
      <c r="ZR12" s="2703"/>
      <c r="ZS12" s="2703"/>
      <c r="ZT12" s="2703"/>
      <c r="ZU12" s="2703"/>
      <c r="ZV12" s="2703"/>
      <c r="ZW12" s="2703"/>
      <c r="ZX12" s="2703"/>
      <c r="ZY12" s="2703"/>
      <c r="ZZ12" s="2703"/>
      <c r="AAA12" s="2703"/>
      <c r="AAB12" s="2703"/>
      <c r="AAC12" s="2703"/>
      <c r="AAD12" s="2703"/>
      <c r="AAE12" s="2703"/>
      <c r="AAF12" s="2703"/>
      <c r="AAG12" s="2703"/>
      <c r="AAH12" s="2703"/>
      <c r="AAI12" s="2703"/>
      <c r="AAJ12" s="2703"/>
      <c r="AAK12" s="2703"/>
      <c r="AAL12" s="2703"/>
      <c r="AAM12" s="2703"/>
      <c r="AAN12" s="2703"/>
      <c r="AAO12" s="2703"/>
      <c r="AAP12" s="2703"/>
      <c r="AAQ12" s="2703"/>
      <c r="AAR12" s="2703"/>
      <c r="AAS12" s="2703"/>
      <c r="AAT12" s="2703"/>
      <c r="AAU12" s="2703"/>
      <c r="AAV12" s="2703"/>
      <c r="AAW12" s="2703"/>
      <c r="AAX12" s="2703"/>
      <c r="AAY12" s="2703"/>
      <c r="AAZ12" s="2703"/>
      <c r="ABA12" s="2703"/>
      <c r="ABB12" s="2703"/>
      <c r="ABC12" s="2703"/>
      <c r="ABD12" s="2703"/>
      <c r="ABE12" s="2703"/>
      <c r="ABF12" s="2703"/>
      <c r="ABG12" s="2703"/>
      <c r="ABH12" s="2703"/>
      <c r="ABI12" s="2703"/>
      <c r="ABJ12" s="2703"/>
      <c r="ABK12" s="2703"/>
      <c r="ABL12" s="2703"/>
      <c r="ABM12" s="2703"/>
      <c r="ABN12" s="2703"/>
      <c r="ABO12" s="2703"/>
      <c r="ABP12" s="2703"/>
      <c r="ABQ12" s="2703"/>
      <c r="ABR12" s="2703"/>
      <c r="ABS12" s="2703"/>
      <c r="ABT12" s="2703"/>
      <c r="ABU12" s="2703"/>
      <c r="ABV12" s="2703"/>
      <c r="ABW12" s="2703"/>
      <c r="ABX12" s="2703"/>
      <c r="ABY12" s="2703"/>
      <c r="ABZ12" s="2703"/>
      <c r="ACA12" s="2703"/>
      <c r="ACB12" s="2703"/>
      <c r="ACC12" s="2703"/>
      <c r="ACD12" s="2703"/>
      <c r="ACE12" s="2703"/>
      <c r="ACF12" s="2703"/>
      <c r="ACG12" s="2703"/>
      <c r="ACH12" s="2703"/>
      <c r="ACI12" s="2703"/>
      <c r="ACJ12" s="2703"/>
      <c r="ACK12" s="2703"/>
      <c r="ACL12" s="2703"/>
      <c r="ACM12" s="2703"/>
      <c r="ACN12" s="2703"/>
      <c r="ACO12" s="2703"/>
      <c r="ACP12" s="2703"/>
      <c r="ACQ12" s="2703"/>
      <c r="ACR12" s="2703"/>
      <c r="ACS12" s="2703"/>
      <c r="ACT12" s="2703"/>
      <c r="ACU12" s="2703"/>
      <c r="ACV12" s="2703"/>
      <c r="ACW12" s="2703"/>
      <c r="ACX12" s="2703"/>
      <c r="ACY12" s="2703"/>
      <c r="ACZ12" s="2703"/>
      <c r="ADA12" s="2703"/>
      <c r="ADB12" s="2703"/>
      <c r="ADC12" s="2703"/>
      <c r="ADD12" s="2703"/>
      <c r="ADE12" s="2703"/>
      <c r="ADF12" s="2703"/>
      <c r="ADG12" s="2703"/>
      <c r="ADH12" s="2703"/>
      <c r="ADI12" s="2703"/>
      <c r="ADJ12" s="2703"/>
      <c r="ADK12" s="2703"/>
      <c r="ADL12" s="2703"/>
      <c r="ADM12" s="2703"/>
      <c r="ADN12" s="2703"/>
      <c r="ADO12" s="2703"/>
      <c r="ADP12" s="2703"/>
      <c r="ADQ12" s="2703"/>
      <c r="ADR12" s="2703"/>
      <c r="ADS12" s="2703"/>
      <c r="ADT12" s="2703"/>
      <c r="ADU12" s="2703"/>
      <c r="ADV12" s="2703"/>
      <c r="ADW12" s="2703"/>
      <c r="ADX12" s="2703"/>
      <c r="ADY12" s="2703"/>
      <c r="ADZ12" s="2703"/>
      <c r="AEA12" s="2703"/>
      <c r="AEB12" s="2703"/>
      <c r="AEC12" s="2703"/>
      <c r="AED12" s="2703"/>
      <c r="AEE12" s="2703"/>
      <c r="AEF12" s="2703"/>
      <c r="AEG12" s="2703"/>
      <c r="AEH12" s="2703"/>
      <c r="AEI12" s="2703"/>
      <c r="AEJ12" s="2703"/>
      <c r="AEK12" s="2703"/>
      <c r="AEL12" s="2703"/>
      <c r="AEM12" s="2703"/>
      <c r="AEN12" s="2703"/>
      <c r="AEO12" s="2703"/>
      <c r="AEP12" s="2703"/>
      <c r="AEQ12" s="2703"/>
      <c r="AER12" s="2703"/>
      <c r="AES12" s="2703"/>
      <c r="AET12" s="2703"/>
      <c r="AEU12" s="2703"/>
      <c r="AEV12" s="2703"/>
      <c r="AEW12" s="2703"/>
      <c r="AEX12" s="2703"/>
      <c r="AEY12" s="2703"/>
      <c r="AEZ12" s="2703"/>
      <c r="AFA12" s="2703"/>
      <c r="AFB12" s="2703"/>
      <c r="AFC12" s="2703"/>
      <c r="AFD12" s="2703"/>
      <c r="AFE12" s="2703"/>
      <c r="AFF12" s="2703"/>
      <c r="AFG12" s="2703"/>
      <c r="AFH12" s="2703"/>
      <c r="AFI12" s="2703"/>
      <c r="AFJ12" s="2703"/>
      <c r="AFK12" s="2703"/>
      <c r="AFL12" s="2703"/>
      <c r="AFM12" s="2703"/>
      <c r="AFN12" s="2703"/>
      <c r="AFO12" s="2703"/>
      <c r="AFP12" s="2703"/>
      <c r="AFQ12" s="2703"/>
      <c r="AFR12" s="2703"/>
      <c r="AFS12" s="2703"/>
      <c r="AFT12" s="2703"/>
      <c r="AFU12" s="2703"/>
      <c r="AFV12" s="2703"/>
      <c r="AFW12" s="2703"/>
      <c r="AFX12" s="2703"/>
      <c r="AFY12" s="2703"/>
      <c r="AFZ12" s="2703"/>
      <c r="AGA12" s="2703"/>
      <c r="AGB12" s="2703"/>
      <c r="AGC12" s="2703"/>
      <c r="AGD12" s="2703"/>
      <c r="AGE12" s="2703"/>
      <c r="AGF12" s="2703"/>
      <c r="AGG12" s="2703"/>
      <c r="AGH12" s="2703"/>
      <c r="AGI12" s="2703"/>
      <c r="AGJ12" s="2703"/>
      <c r="AGK12" s="2703"/>
      <c r="AGL12" s="2703"/>
      <c r="AGM12" s="2703"/>
      <c r="AGN12" s="2703"/>
      <c r="AGO12" s="2703"/>
      <c r="AGP12" s="2703"/>
      <c r="AGQ12" s="2703"/>
      <c r="AGR12" s="2703"/>
      <c r="AGS12" s="2703"/>
      <c r="AGT12" s="2703"/>
      <c r="AGU12" s="2703"/>
      <c r="AGV12" s="2703"/>
      <c r="AGW12" s="2703"/>
      <c r="AGX12" s="2703"/>
      <c r="AGY12" s="2703"/>
      <c r="AGZ12" s="2703"/>
      <c r="AHA12" s="2703"/>
      <c r="AHB12" s="2703"/>
      <c r="AHC12" s="2703"/>
      <c r="AHD12" s="2703"/>
      <c r="AHE12" s="2703"/>
      <c r="AHF12" s="2703"/>
      <c r="AHG12" s="2703"/>
      <c r="AHH12" s="2703"/>
      <c r="AHI12" s="2703"/>
      <c r="AHJ12" s="2703"/>
      <c r="AHK12" s="2703"/>
      <c r="AHL12" s="2703"/>
      <c r="AHM12" s="2703"/>
      <c r="AHN12" s="2703"/>
      <c r="AHO12" s="2703"/>
      <c r="AHP12" s="2703"/>
      <c r="AHQ12" s="2703"/>
      <c r="AHR12" s="2703"/>
      <c r="AHS12" s="2703"/>
      <c r="AHT12" s="2703"/>
      <c r="AHU12" s="2703"/>
      <c r="AHV12" s="2703"/>
      <c r="AHW12" s="2703"/>
      <c r="AHX12" s="2703"/>
      <c r="AHY12" s="2703"/>
      <c r="AHZ12" s="2703"/>
      <c r="AIA12" s="2703"/>
      <c r="AIB12" s="2703"/>
      <c r="AIC12" s="2703"/>
      <c r="AID12" s="2703"/>
      <c r="AIE12" s="2703"/>
      <c r="AIF12" s="2703"/>
      <c r="AIG12" s="2703"/>
      <c r="AIH12" s="2703"/>
      <c r="AII12" s="2703"/>
      <c r="AIJ12" s="2703"/>
      <c r="AIK12" s="2703"/>
      <c r="AIL12" s="2703"/>
      <c r="AIM12" s="2703"/>
      <c r="AIN12" s="2703"/>
      <c r="AIO12" s="2703"/>
      <c r="AIP12" s="2703"/>
      <c r="AIQ12" s="2703"/>
      <c r="AIR12" s="2703"/>
      <c r="AIS12" s="2703"/>
      <c r="AIT12" s="2703"/>
      <c r="AIU12" s="2703"/>
      <c r="AIV12" s="2703"/>
      <c r="AIW12" s="2703"/>
      <c r="AIX12" s="2703"/>
      <c r="AIY12" s="2703"/>
      <c r="AIZ12" s="2703"/>
      <c r="AJA12" s="2703"/>
      <c r="AJB12" s="2703"/>
      <c r="AJC12" s="2703"/>
      <c r="AJD12" s="2703"/>
      <c r="AJE12" s="2703"/>
      <c r="AJF12" s="2703"/>
      <c r="AJG12" s="2703"/>
      <c r="AJH12" s="2703"/>
      <c r="AJI12" s="2703"/>
      <c r="AJJ12" s="2703"/>
      <c r="AJK12" s="2703"/>
      <c r="AJL12" s="2703"/>
      <c r="AJM12" s="2703"/>
      <c r="AJN12" s="2703"/>
      <c r="AJO12" s="2703"/>
      <c r="AJP12" s="2703"/>
      <c r="AJQ12" s="2703"/>
      <c r="AJR12" s="2703"/>
      <c r="AJS12" s="2703"/>
      <c r="AJT12" s="2703"/>
      <c r="AJU12" s="2703"/>
      <c r="AJV12" s="2703"/>
      <c r="AJW12" s="2703"/>
      <c r="AJX12" s="2703"/>
      <c r="AJY12" s="2703"/>
      <c r="AJZ12" s="2703"/>
      <c r="AKA12" s="2703"/>
      <c r="AKB12" s="2703"/>
      <c r="AKC12" s="2703"/>
      <c r="AKD12" s="2703"/>
      <c r="AKE12" s="2703"/>
      <c r="AKF12" s="2703"/>
      <c r="AKG12" s="2703"/>
      <c r="AKH12" s="2703"/>
      <c r="AKI12" s="2703"/>
      <c r="AKJ12" s="2703"/>
      <c r="AKK12" s="2703"/>
      <c r="AKL12" s="2703"/>
      <c r="AKM12" s="2703"/>
      <c r="AKN12" s="2703"/>
      <c r="AKO12" s="2703"/>
      <c r="AKP12" s="2703"/>
      <c r="AKQ12" s="2703"/>
      <c r="AKR12" s="2703"/>
      <c r="AKS12" s="2703"/>
      <c r="AKT12" s="2703"/>
      <c r="AKU12" s="2703"/>
      <c r="AKV12" s="2703"/>
      <c r="AKW12" s="2703"/>
      <c r="AKX12" s="2703"/>
      <c r="AKY12" s="2703"/>
      <c r="AKZ12" s="2703"/>
      <c r="ALA12" s="2703"/>
      <c r="ALB12" s="2703"/>
      <c r="ALC12" s="2703"/>
      <c r="ALD12" s="2703"/>
      <c r="ALE12" s="2703"/>
      <c r="ALF12" s="2703"/>
      <c r="ALG12" s="2703"/>
      <c r="ALH12" s="2703"/>
      <c r="ALI12" s="2703"/>
      <c r="ALJ12" s="2703"/>
      <c r="ALK12" s="2703"/>
      <c r="ALL12" s="2703"/>
      <c r="ALM12" s="2703"/>
      <c r="ALN12" s="2703"/>
      <c r="ALO12" s="2703"/>
      <c r="ALP12" s="2703"/>
      <c r="ALQ12" s="2703"/>
      <c r="ALR12" s="2703"/>
      <c r="ALS12" s="2703"/>
      <c r="ALT12" s="2703"/>
      <c r="ALU12" s="2703"/>
      <c r="ALV12" s="2703"/>
      <c r="ALW12" s="2703"/>
      <c r="ALX12" s="2703"/>
      <c r="ALY12" s="2703"/>
      <c r="ALZ12" s="2703"/>
      <c r="AMA12" s="2703"/>
      <c r="AMB12" s="2703"/>
      <c r="AMC12" s="2703"/>
      <c r="AMD12" s="2703"/>
      <c r="AME12" s="2703"/>
      <c r="AMF12" s="2703"/>
      <c r="AMG12" s="2703"/>
      <c r="AMH12" s="2703"/>
      <c r="AMI12" s="2703"/>
      <c r="AMJ12" s="2703"/>
      <c r="AMK12" s="2703"/>
      <c r="AML12" s="2703"/>
      <c r="AMM12" s="2703"/>
      <c r="AMN12" s="2703"/>
      <c r="AMO12" s="2703"/>
      <c r="AMP12" s="2703"/>
      <c r="AMQ12" s="2703"/>
      <c r="AMR12" s="2703"/>
      <c r="AMS12" s="2703"/>
      <c r="AMT12" s="2703"/>
      <c r="AMU12" s="2703"/>
      <c r="AMV12" s="2703"/>
      <c r="AMW12" s="2703"/>
      <c r="AMX12" s="2703"/>
      <c r="AMY12" s="2703"/>
      <c r="AMZ12" s="2703"/>
      <c r="ANA12" s="2703"/>
      <c r="ANB12" s="2703"/>
      <c r="ANC12" s="2703"/>
      <c r="AND12" s="2703"/>
      <c r="ANE12" s="2703"/>
      <c r="ANF12" s="2703"/>
      <c r="ANG12" s="2703"/>
      <c r="ANH12" s="2703"/>
      <c r="ANI12" s="2703"/>
      <c r="ANJ12" s="2703"/>
      <c r="ANK12" s="2703"/>
      <c r="ANL12" s="2703"/>
      <c r="ANM12" s="2703"/>
      <c r="ANN12" s="2703"/>
      <c r="ANO12" s="2703"/>
      <c r="ANP12" s="2703"/>
      <c r="ANQ12" s="2703"/>
      <c r="ANR12" s="2703"/>
      <c r="ANS12" s="2703"/>
      <c r="ANT12" s="2703"/>
      <c r="ANU12" s="2703"/>
      <c r="ANV12" s="2703"/>
      <c r="ANW12" s="2703"/>
      <c r="ANX12" s="2703"/>
      <c r="ANY12" s="2703"/>
      <c r="ANZ12" s="2703"/>
      <c r="AOA12" s="2703"/>
      <c r="AOB12" s="2703"/>
      <c r="AOC12" s="2703"/>
      <c r="AOD12" s="2703"/>
      <c r="AOE12" s="2703"/>
      <c r="AOF12" s="2703"/>
      <c r="AOG12" s="2703"/>
      <c r="AOH12" s="2703"/>
      <c r="AOI12" s="2703"/>
      <c r="AOJ12" s="2703"/>
      <c r="AOK12" s="2703"/>
      <c r="AOL12" s="2703"/>
      <c r="AOM12" s="2703"/>
      <c r="AON12" s="2703"/>
      <c r="AOO12" s="2703"/>
      <c r="AOP12" s="2703"/>
      <c r="AOQ12" s="2703"/>
      <c r="AOR12" s="2703"/>
      <c r="AOS12" s="2703"/>
      <c r="AOT12" s="2703"/>
      <c r="AOU12" s="2703"/>
      <c r="AOV12" s="2703"/>
      <c r="AOW12" s="2703"/>
      <c r="AOX12" s="2703"/>
      <c r="AOY12" s="2703"/>
      <c r="AOZ12" s="2703"/>
      <c r="APA12" s="2703"/>
      <c r="APB12" s="2703"/>
      <c r="APC12" s="2703"/>
      <c r="APD12" s="2703"/>
      <c r="APE12" s="2703"/>
      <c r="APF12" s="2703"/>
      <c r="APG12" s="2703"/>
      <c r="APH12" s="2703"/>
      <c r="API12" s="2703"/>
      <c r="APJ12" s="2703"/>
      <c r="APK12" s="2703"/>
      <c r="APL12" s="2703"/>
      <c r="APM12" s="2703"/>
      <c r="APN12" s="2703"/>
      <c r="APO12" s="2703"/>
      <c r="APP12" s="2703"/>
      <c r="APQ12" s="2703"/>
      <c r="APR12" s="2703"/>
      <c r="APS12" s="2703"/>
      <c r="APT12" s="2703"/>
      <c r="APU12" s="2703"/>
      <c r="APV12" s="2703"/>
      <c r="APW12" s="2703"/>
      <c r="APX12" s="2703"/>
      <c r="APY12" s="2703"/>
      <c r="APZ12" s="2703"/>
      <c r="AQA12" s="2703"/>
      <c r="AQB12" s="2703"/>
      <c r="AQC12" s="2703"/>
      <c r="AQD12" s="2703"/>
      <c r="AQE12" s="2703"/>
      <c r="AQF12" s="2703"/>
      <c r="AQG12" s="2703"/>
      <c r="AQH12" s="2703"/>
      <c r="AQI12" s="2703"/>
      <c r="AQJ12" s="2703"/>
      <c r="AQK12" s="2703"/>
      <c r="AQL12" s="2703"/>
      <c r="AQM12" s="2703"/>
      <c r="AQN12" s="2703"/>
      <c r="AQO12" s="2703"/>
      <c r="AQP12" s="2703"/>
      <c r="AQQ12" s="2703"/>
      <c r="AQR12" s="2703"/>
      <c r="AQS12" s="2703"/>
      <c r="AQT12" s="2703"/>
      <c r="AQU12" s="2703"/>
      <c r="AQV12" s="2703"/>
      <c r="AQW12" s="2703"/>
      <c r="AQX12" s="2703"/>
      <c r="AQY12" s="2703"/>
      <c r="AQZ12" s="2703"/>
      <c r="ARA12" s="2703"/>
      <c r="ARB12" s="2703"/>
      <c r="ARC12" s="2703"/>
      <c r="ARD12" s="2703"/>
      <c r="ARE12" s="2703"/>
      <c r="ARF12" s="2703"/>
      <c r="ARG12" s="2703"/>
      <c r="ARH12" s="2703"/>
      <c r="ARI12" s="2703"/>
      <c r="ARJ12" s="2703"/>
      <c r="ARK12" s="2703"/>
      <c r="ARL12" s="2703"/>
      <c r="ARM12" s="2703"/>
      <c r="ARN12" s="2703"/>
      <c r="ARO12" s="2703"/>
      <c r="ARP12" s="2703"/>
      <c r="ARQ12" s="2703"/>
      <c r="ARR12" s="2703"/>
      <c r="ARS12" s="2703"/>
      <c r="ART12" s="2703"/>
      <c r="ARU12" s="2703"/>
      <c r="ARV12" s="2703"/>
      <c r="ARW12" s="2703"/>
      <c r="ARX12" s="2703"/>
      <c r="ARY12" s="2703"/>
      <c r="ARZ12" s="2703"/>
      <c r="ASA12" s="2703"/>
      <c r="ASB12" s="2703"/>
      <c r="ASC12" s="2703"/>
      <c r="ASD12" s="2703"/>
      <c r="ASE12" s="2703"/>
      <c r="ASF12" s="2703"/>
      <c r="ASG12" s="2703"/>
      <c r="ASH12" s="2703"/>
      <c r="ASI12" s="2703"/>
      <c r="ASJ12" s="2703"/>
      <c r="ASK12" s="2703"/>
      <c r="ASL12" s="2703"/>
      <c r="ASM12" s="2703"/>
      <c r="ASN12" s="2703"/>
      <c r="ASO12" s="2703"/>
      <c r="ASP12" s="2703"/>
      <c r="ASQ12" s="2703"/>
      <c r="ASR12" s="2703"/>
      <c r="ASS12" s="2703"/>
      <c r="AST12" s="2703"/>
      <c r="ASU12" s="2703"/>
      <c r="ASV12" s="2703"/>
      <c r="ASW12" s="2703"/>
      <c r="ASX12" s="2703"/>
      <c r="ASY12" s="2703"/>
      <c r="ASZ12" s="2703"/>
      <c r="ATA12" s="2703"/>
      <c r="ATB12" s="2703"/>
      <c r="ATC12" s="2703"/>
      <c r="ATD12" s="2703"/>
      <c r="ATE12" s="2703"/>
      <c r="ATF12" s="2703"/>
      <c r="ATG12" s="2703"/>
      <c r="ATH12" s="2703"/>
      <c r="ATI12" s="2703"/>
      <c r="ATJ12" s="2703"/>
      <c r="ATK12" s="2703"/>
      <c r="ATL12" s="2703"/>
      <c r="ATM12" s="2703"/>
      <c r="ATN12" s="2703"/>
      <c r="ATO12" s="2703"/>
      <c r="ATP12" s="2703"/>
      <c r="ATQ12" s="2703"/>
      <c r="ATR12" s="2703"/>
      <c r="ATS12" s="2703"/>
      <c r="ATT12" s="2703"/>
      <c r="ATU12" s="2703"/>
      <c r="ATV12" s="2703"/>
      <c r="ATW12" s="2703"/>
      <c r="ATX12" s="2703"/>
      <c r="ATY12" s="2703"/>
      <c r="ATZ12" s="2703"/>
      <c r="AUA12" s="2703"/>
      <c r="AUB12" s="2703"/>
      <c r="AUC12" s="2703"/>
      <c r="AUD12" s="2703"/>
      <c r="AUE12" s="2703"/>
      <c r="AUF12" s="2703"/>
      <c r="AUG12" s="2703"/>
      <c r="AUH12" s="2703"/>
      <c r="AUI12" s="2703"/>
      <c r="AUJ12" s="2703"/>
      <c r="AUK12" s="2703"/>
      <c r="AUL12" s="2703"/>
      <c r="AUM12" s="2703"/>
      <c r="AUN12" s="2703"/>
      <c r="AUO12" s="2703"/>
      <c r="AUP12" s="2703"/>
      <c r="AUQ12" s="2703"/>
      <c r="AUR12" s="2703"/>
      <c r="AUS12" s="2703"/>
      <c r="AUT12" s="2703"/>
      <c r="AUU12" s="2703"/>
      <c r="AUV12" s="2703"/>
      <c r="AUW12" s="2703"/>
      <c r="AUX12" s="2703"/>
      <c r="AUY12" s="2703"/>
      <c r="AUZ12" s="2703"/>
      <c r="AVA12" s="2703"/>
      <c r="AVB12" s="2703"/>
      <c r="AVC12" s="2703"/>
      <c r="AVD12" s="2703"/>
      <c r="AVE12" s="2703"/>
      <c r="AVF12" s="2703"/>
      <c r="AVG12" s="2703"/>
      <c r="AVH12" s="2703"/>
      <c r="AVI12" s="2703"/>
      <c r="AVJ12" s="2703"/>
      <c r="AVK12" s="2703"/>
      <c r="AVL12" s="2703"/>
      <c r="AVM12" s="2703"/>
      <c r="AVN12" s="2703"/>
      <c r="AVO12" s="2703"/>
      <c r="AVP12" s="2703"/>
      <c r="AVQ12" s="2703"/>
      <c r="AVR12" s="2703"/>
      <c r="AVS12" s="2703"/>
      <c r="AVT12" s="2703"/>
      <c r="AVU12" s="2703"/>
      <c r="AVV12" s="2703"/>
      <c r="AVW12" s="2703"/>
      <c r="AVX12" s="2703"/>
      <c r="AVY12" s="2703"/>
      <c r="AVZ12" s="2703"/>
      <c r="AWA12" s="2703"/>
      <c r="AWB12" s="2703"/>
      <c r="AWC12" s="2703"/>
      <c r="AWD12" s="2703"/>
      <c r="AWE12" s="2703"/>
      <c r="AWF12" s="2703"/>
      <c r="AWG12" s="2703"/>
      <c r="AWH12" s="2703"/>
      <c r="AWI12" s="2703"/>
      <c r="AWJ12" s="2703"/>
      <c r="AWK12" s="2703"/>
      <c r="AWL12" s="2703"/>
      <c r="AWM12" s="2703"/>
      <c r="AWN12" s="2703"/>
      <c r="AWO12" s="2703"/>
      <c r="AWP12" s="2703"/>
      <c r="AWQ12" s="2703"/>
      <c r="AWR12" s="2703"/>
      <c r="AWS12" s="2703"/>
      <c r="AWT12" s="2703"/>
      <c r="AWU12" s="2703"/>
      <c r="AWV12" s="2703"/>
      <c r="AWW12" s="2703"/>
      <c r="AWX12" s="2703"/>
      <c r="AWY12" s="2703"/>
      <c r="AWZ12" s="2703"/>
      <c r="AXA12" s="2703"/>
      <c r="AXB12" s="2703"/>
      <c r="AXC12" s="2703"/>
      <c r="AXD12" s="2703"/>
      <c r="AXE12" s="2703"/>
      <c r="AXF12" s="2703"/>
      <c r="AXG12" s="2703"/>
      <c r="AXH12" s="2703"/>
      <c r="AXI12" s="2703"/>
      <c r="AXJ12" s="2703"/>
      <c r="AXK12" s="2703"/>
      <c r="AXL12" s="2703"/>
      <c r="AXM12" s="2703"/>
      <c r="AXN12" s="2703"/>
      <c r="AXO12" s="2703"/>
      <c r="AXP12" s="2703"/>
      <c r="AXQ12" s="2703"/>
      <c r="AXR12" s="2703"/>
      <c r="AXS12" s="2703"/>
      <c r="AXT12" s="2703"/>
      <c r="AXU12" s="2703"/>
      <c r="AXV12" s="2703"/>
      <c r="AXW12" s="2703"/>
      <c r="AXX12" s="2703"/>
      <c r="AXY12" s="2703"/>
      <c r="AXZ12" s="2703"/>
      <c r="AYA12" s="2703"/>
      <c r="AYB12" s="2703"/>
      <c r="AYC12" s="2703"/>
      <c r="AYD12" s="2703"/>
      <c r="AYE12" s="2703"/>
      <c r="AYF12" s="2703"/>
      <c r="AYG12" s="2703"/>
      <c r="AYH12" s="2703"/>
      <c r="AYI12" s="2703"/>
      <c r="AYJ12" s="2703"/>
      <c r="AYK12" s="2703"/>
      <c r="AYL12" s="2703"/>
      <c r="AYM12" s="2703"/>
      <c r="AYN12" s="2703"/>
      <c r="AYO12" s="2703"/>
      <c r="AYP12" s="2703"/>
      <c r="AYQ12" s="2703"/>
      <c r="AYR12" s="2703"/>
      <c r="AYS12" s="2703"/>
      <c r="AYT12" s="2703"/>
      <c r="AYU12" s="2703"/>
      <c r="AYV12" s="2703"/>
      <c r="AYW12" s="2703"/>
      <c r="AYX12" s="2703"/>
      <c r="AYY12" s="2703"/>
      <c r="AYZ12" s="2703"/>
      <c r="AZA12" s="2703"/>
      <c r="AZB12" s="2703"/>
      <c r="AZC12" s="2703"/>
      <c r="AZD12" s="2703"/>
      <c r="AZE12" s="2703"/>
      <c r="AZF12" s="2703"/>
      <c r="AZG12" s="2703"/>
      <c r="AZH12" s="2703"/>
      <c r="AZI12" s="2703"/>
      <c r="AZJ12" s="2703"/>
      <c r="AZK12" s="2703"/>
      <c r="AZL12" s="2703"/>
      <c r="AZM12" s="2703"/>
      <c r="AZN12" s="2703"/>
      <c r="AZO12" s="2703"/>
      <c r="AZP12" s="2703"/>
      <c r="AZQ12" s="2703"/>
      <c r="AZR12" s="2703"/>
      <c r="AZS12" s="2703"/>
      <c r="AZT12" s="2703"/>
      <c r="AZU12" s="2703"/>
      <c r="AZV12" s="2703"/>
      <c r="AZW12" s="2703"/>
      <c r="AZX12" s="2703"/>
      <c r="AZY12" s="2703"/>
      <c r="AZZ12" s="2703"/>
      <c r="BAA12" s="2703"/>
      <c r="BAB12" s="2703"/>
      <c r="BAC12" s="2703"/>
      <c r="BAD12" s="2703"/>
      <c r="BAE12" s="2703"/>
      <c r="BAF12" s="2703"/>
      <c r="BAG12" s="2703"/>
      <c r="BAH12" s="2703"/>
      <c r="BAI12" s="2703"/>
      <c r="BAJ12" s="2703"/>
      <c r="BAK12" s="2703"/>
      <c r="BAL12" s="2703"/>
      <c r="BAM12" s="2703"/>
      <c r="BAN12" s="2703"/>
      <c r="BAO12" s="2703"/>
      <c r="BAP12" s="2703"/>
      <c r="BAQ12" s="2703"/>
      <c r="BAR12" s="2703"/>
      <c r="BAS12" s="2703"/>
      <c r="BAT12" s="2703"/>
      <c r="BAU12" s="2703"/>
      <c r="BAV12" s="2703"/>
      <c r="BAW12" s="2703"/>
      <c r="BAX12" s="2703"/>
      <c r="BAY12" s="2703"/>
      <c r="BAZ12" s="2703"/>
      <c r="BBA12" s="2703"/>
      <c r="BBB12" s="2703"/>
      <c r="BBC12" s="2703"/>
      <c r="BBD12" s="2703"/>
      <c r="BBE12" s="2703"/>
      <c r="BBF12" s="2703"/>
      <c r="BBG12" s="2703"/>
      <c r="BBH12" s="2703"/>
      <c r="BBI12" s="2703"/>
      <c r="BBJ12" s="2703"/>
      <c r="BBK12" s="2703"/>
      <c r="BBL12" s="2703"/>
      <c r="BBM12" s="2703"/>
      <c r="BBN12" s="2703"/>
      <c r="BBO12" s="2703"/>
      <c r="BBP12" s="2703"/>
      <c r="BBQ12" s="2703"/>
      <c r="BBR12" s="2703"/>
      <c r="BBS12" s="2703"/>
      <c r="BBT12" s="2703"/>
      <c r="BBU12" s="2703"/>
      <c r="BBV12" s="2703"/>
      <c r="BBW12" s="2703"/>
      <c r="BBX12" s="2703"/>
      <c r="BBY12" s="2703"/>
      <c r="BBZ12" s="2703"/>
      <c r="BCA12" s="2703"/>
      <c r="BCB12" s="2703"/>
      <c r="BCC12" s="2703"/>
      <c r="BCD12" s="2703"/>
      <c r="BCE12" s="2703"/>
      <c r="BCF12" s="2703"/>
      <c r="BCG12" s="2703"/>
      <c r="BCH12" s="2703"/>
      <c r="BCI12" s="2703"/>
      <c r="BCJ12" s="2703"/>
      <c r="BCK12" s="2703"/>
      <c r="BCL12" s="2703"/>
      <c r="BCM12" s="2703"/>
      <c r="BCN12" s="2703"/>
      <c r="BCO12" s="2703"/>
      <c r="BCP12" s="2703"/>
      <c r="BCQ12" s="2703"/>
      <c r="BCR12" s="2703"/>
      <c r="BCS12" s="2703"/>
      <c r="BCT12" s="2703"/>
      <c r="BCU12" s="2703"/>
      <c r="BCV12" s="2703"/>
      <c r="BCW12" s="2703"/>
      <c r="BCX12" s="2703"/>
      <c r="BCY12" s="2703"/>
      <c r="BCZ12" s="2703"/>
      <c r="BDA12" s="2703"/>
      <c r="BDB12" s="2703"/>
      <c r="BDC12" s="2703"/>
      <c r="BDD12" s="2703"/>
      <c r="BDE12" s="2703"/>
      <c r="BDF12" s="2703"/>
      <c r="BDG12" s="2703"/>
      <c r="BDH12" s="2703"/>
      <c r="BDI12" s="2703"/>
      <c r="BDJ12" s="2703"/>
      <c r="BDK12" s="2703"/>
      <c r="BDL12" s="2703"/>
      <c r="BDM12" s="2703"/>
      <c r="BDN12" s="2703"/>
      <c r="BDO12" s="2703"/>
      <c r="BDP12" s="2703"/>
      <c r="BDQ12" s="2703"/>
      <c r="BDR12" s="2703"/>
      <c r="BDS12" s="2703"/>
      <c r="BDT12" s="2703"/>
      <c r="BDU12" s="2703"/>
      <c r="BDV12" s="2703"/>
      <c r="BDW12" s="2703"/>
      <c r="BDX12" s="2703"/>
      <c r="BDY12" s="2703"/>
      <c r="BDZ12" s="2703"/>
      <c r="BEA12" s="2703"/>
      <c r="BEB12" s="2703"/>
      <c r="BEC12" s="2703"/>
      <c r="BED12" s="2703"/>
      <c r="BEE12" s="2703"/>
      <c r="BEF12" s="2703"/>
      <c r="BEG12" s="2703"/>
      <c r="BEH12" s="2703"/>
      <c r="BEI12" s="2703"/>
      <c r="BEJ12" s="2703"/>
      <c r="BEK12" s="2703"/>
      <c r="BEL12" s="2703"/>
      <c r="BEM12" s="2703"/>
      <c r="BEN12" s="2703"/>
      <c r="BEO12" s="2703"/>
      <c r="BEP12" s="2703"/>
      <c r="BEQ12" s="2703"/>
      <c r="BER12" s="2703"/>
      <c r="BES12" s="2703"/>
      <c r="BET12" s="2703"/>
      <c r="BEU12" s="2703"/>
      <c r="BEV12" s="2703"/>
      <c r="BEW12" s="2703"/>
      <c r="BEX12" s="2703"/>
      <c r="BEY12" s="2703"/>
      <c r="BEZ12" s="2703"/>
      <c r="BFA12" s="2703"/>
      <c r="BFB12" s="2703"/>
      <c r="BFC12" s="2703"/>
      <c r="BFD12" s="2703"/>
      <c r="BFE12" s="2703"/>
      <c r="BFF12" s="2703"/>
      <c r="BFG12" s="2703"/>
      <c r="BFH12" s="2703"/>
      <c r="BFI12" s="2703"/>
      <c r="BFJ12" s="2703"/>
      <c r="BFK12" s="2703"/>
      <c r="BFL12" s="2703"/>
      <c r="BFM12" s="2703"/>
      <c r="BFN12" s="2703"/>
      <c r="BFO12" s="2703"/>
      <c r="BFP12" s="2703"/>
      <c r="BFQ12" s="2703"/>
      <c r="BFR12" s="2703"/>
      <c r="BFS12" s="2703"/>
      <c r="BFT12" s="2703"/>
      <c r="BFU12" s="2703"/>
      <c r="BFV12" s="2703"/>
      <c r="BFW12" s="2703"/>
      <c r="BFX12" s="2703"/>
      <c r="BFY12" s="2703"/>
      <c r="BFZ12" s="2703"/>
      <c r="BGA12" s="2703"/>
      <c r="BGB12" s="2703"/>
      <c r="BGC12" s="2703"/>
      <c r="BGD12" s="2703"/>
      <c r="BGE12" s="2703"/>
      <c r="BGF12" s="2703"/>
      <c r="BGG12" s="2703"/>
      <c r="BGH12" s="2703"/>
      <c r="BGI12" s="2703"/>
      <c r="BGJ12" s="2703"/>
      <c r="BGK12" s="2703"/>
      <c r="BGL12" s="2703"/>
      <c r="BGM12" s="2703"/>
      <c r="BGN12" s="2703"/>
      <c r="BGO12" s="2703"/>
      <c r="BGP12" s="2703"/>
      <c r="BGQ12" s="2703"/>
      <c r="BGR12" s="2703"/>
      <c r="BGS12" s="2703"/>
      <c r="BGT12" s="2703"/>
      <c r="BGU12" s="2703"/>
      <c r="BGV12" s="2703"/>
      <c r="BGW12" s="2703"/>
      <c r="BGX12" s="2703"/>
      <c r="BGY12" s="2703"/>
      <c r="BGZ12" s="2703"/>
      <c r="BHA12" s="2703"/>
      <c r="BHB12" s="2703"/>
      <c r="BHC12" s="2703"/>
      <c r="BHD12" s="2703"/>
      <c r="BHE12" s="2703"/>
      <c r="BHF12" s="2703"/>
      <c r="BHG12" s="2703"/>
      <c r="BHH12" s="2703"/>
      <c r="BHI12" s="2703"/>
      <c r="BHJ12" s="2703"/>
      <c r="BHK12" s="2703"/>
      <c r="BHL12" s="2703"/>
      <c r="BHM12" s="2703"/>
      <c r="BHN12" s="2703"/>
      <c r="BHO12" s="2703"/>
      <c r="BHP12" s="2703"/>
      <c r="BHQ12" s="2703"/>
      <c r="BHR12" s="2703"/>
      <c r="BHS12" s="2703"/>
      <c r="BHT12" s="2703"/>
      <c r="BHU12" s="2703"/>
      <c r="BHV12" s="2703"/>
      <c r="BHW12" s="2703"/>
      <c r="BHX12" s="2703"/>
      <c r="BHY12" s="2703"/>
      <c r="BHZ12" s="2703"/>
      <c r="BIA12" s="2703"/>
      <c r="BIB12" s="2703"/>
      <c r="BIC12" s="2703"/>
      <c r="BID12" s="2703"/>
      <c r="BIE12" s="2703"/>
      <c r="BIF12" s="2703"/>
      <c r="BIG12" s="2703"/>
      <c r="BIH12" s="2703"/>
      <c r="BII12" s="2703"/>
      <c r="BIJ12" s="2703"/>
      <c r="BIK12" s="2703"/>
      <c r="BIL12" s="2703"/>
      <c r="BIM12" s="2703"/>
      <c r="BIN12" s="2703"/>
      <c r="BIO12" s="2703"/>
      <c r="BIP12" s="2703"/>
      <c r="BIQ12" s="2703"/>
      <c r="BIR12" s="2703"/>
      <c r="BIS12" s="2703"/>
      <c r="BIT12" s="2703"/>
      <c r="BIU12" s="2703"/>
      <c r="BIV12" s="2703"/>
      <c r="BIW12" s="2703"/>
      <c r="BIX12" s="2703"/>
      <c r="BIY12" s="2703"/>
      <c r="BIZ12" s="2703"/>
      <c r="BJA12" s="2703"/>
      <c r="BJB12" s="2703"/>
      <c r="BJC12" s="2703"/>
      <c r="BJD12" s="2703"/>
      <c r="BJE12" s="2703"/>
      <c r="BJF12" s="2703"/>
      <c r="BJG12" s="2703"/>
      <c r="BJH12" s="2703"/>
      <c r="BJI12" s="2703"/>
      <c r="BJJ12" s="2703"/>
      <c r="BJK12" s="2703"/>
      <c r="BJL12" s="2703"/>
      <c r="BJM12" s="2703"/>
      <c r="BJN12" s="2703"/>
      <c r="BJO12" s="2703"/>
      <c r="BJP12" s="2703"/>
      <c r="BJQ12" s="2703"/>
      <c r="BJR12" s="2703"/>
      <c r="BJS12" s="2703"/>
      <c r="BJT12" s="2703"/>
      <c r="BJU12" s="2703"/>
      <c r="BJV12" s="2703"/>
      <c r="BJW12" s="2703"/>
      <c r="BJX12" s="2703"/>
      <c r="BJY12" s="2703"/>
      <c r="BJZ12" s="2703"/>
      <c r="BKA12" s="2703"/>
      <c r="BKB12" s="2703"/>
      <c r="BKC12" s="2703"/>
      <c r="BKD12" s="2703"/>
      <c r="BKE12" s="2703"/>
      <c r="BKF12" s="2703"/>
      <c r="BKG12" s="2703"/>
      <c r="BKH12" s="2703"/>
      <c r="BKI12" s="2703"/>
      <c r="BKJ12" s="2703"/>
      <c r="BKK12" s="2703"/>
      <c r="BKL12" s="2703"/>
      <c r="BKM12" s="2703"/>
      <c r="BKN12" s="2703"/>
      <c r="BKO12" s="2703"/>
      <c r="BKP12" s="2703"/>
      <c r="BKQ12" s="2703"/>
      <c r="BKR12" s="2703"/>
      <c r="BKS12" s="2703"/>
      <c r="BKT12" s="2703"/>
      <c r="BKU12" s="2703"/>
      <c r="BKV12" s="2703"/>
      <c r="BKW12" s="2703"/>
      <c r="BKX12" s="2703"/>
      <c r="BKY12" s="2703"/>
      <c r="BKZ12" s="2703"/>
      <c r="BLA12" s="2703"/>
      <c r="BLB12" s="2703"/>
      <c r="BLC12" s="2703"/>
      <c r="BLD12" s="2703"/>
      <c r="BLE12" s="2703"/>
      <c r="BLF12" s="2703"/>
      <c r="BLG12" s="2703"/>
      <c r="BLH12" s="2703"/>
      <c r="BLI12" s="2703"/>
      <c r="BLJ12" s="2703"/>
      <c r="BLK12" s="2703"/>
      <c r="BLL12" s="2703"/>
      <c r="BLM12" s="2703"/>
      <c r="BLN12" s="2703"/>
      <c r="BLO12" s="2703"/>
      <c r="BLP12" s="2703"/>
      <c r="BLQ12" s="2703"/>
      <c r="BLR12" s="2703"/>
      <c r="BLS12" s="2703"/>
      <c r="BLT12" s="2703"/>
      <c r="BLU12" s="2703"/>
      <c r="BLV12" s="2703"/>
      <c r="BLW12" s="2703"/>
      <c r="BLX12" s="2703"/>
      <c r="BLY12" s="2703"/>
      <c r="BLZ12" s="2703"/>
      <c r="BMA12" s="2703"/>
      <c r="BMB12" s="2703"/>
      <c r="BMC12" s="2703"/>
      <c r="BMD12" s="2703"/>
      <c r="BME12" s="2703"/>
      <c r="BMF12" s="2703"/>
      <c r="BMG12" s="2703"/>
      <c r="BMH12" s="2703"/>
      <c r="BMI12" s="2703"/>
      <c r="BMJ12" s="2703"/>
      <c r="BMK12" s="2703"/>
      <c r="BML12" s="2703"/>
      <c r="BMM12" s="2703"/>
      <c r="BMN12" s="2703"/>
      <c r="BMO12" s="2703"/>
      <c r="BMP12" s="2703"/>
      <c r="BMQ12" s="2703"/>
      <c r="BMR12" s="2703"/>
      <c r="BMS12" s="2703"/>
      <c r="BMT12" s="2703"/>
      <c r="BMU12" s="2703"/>
      <c r="BMV12" s="2703"/>
      <c r="BMW12" s="2703"/>
      <c r="BMX12" s="2703"/>
      <c r="BMY12" s="2703"/>
      <c r="BMZ12" s="2703"/>
      <c r="BNA12" s="2703"/>
      <c r="BNB12" s="2703"/>
      <c r="BNC12" s="2703"/>
      <c r="BND12" s="2703"/>
      <c r="BNE12" s="2703"/>
      <c r="BNF12" s="2703"/>
      <c r="BNG12" s="2703"/>
      <c r="BNH12" s="2703"/>
      <c r="BNI12" s="2703"/>
      <c r="BNJ12" s="2703"/>
      <c r="BNK12" s="2703"/>
      <c r="BNL12" s="2703"/>
      <c r="BNM12" s="2703"/>
      <c r="BNN12" s="2703"/>
      <c r="BNO12" s="2703"/>
      <c r="BNP12" s="2703"/>
      <c r="BNQ12" s="2703"/>
      <c r="BNR12" s="2703"/>
      <c r="BNS12" s="2703"/>
      <c r="BNT12" s="2703"/>
      <c r="BNU12" s="2703"/>
      <c r="BNV12" s="2703"/>
      <c r="BNW12" s="2703"/>
      <c r="BNX12" s="2703"/>
      <c r="BNY12" s="2703"/>
      <c r="BNZ12" s="2703"/>
      <c r="BOA12" s="2703"/>
      <c r="BOB12" s="2703"/>
      <c r="BOC12" s="2703"/>
      <c r="BOD12" s="2703"/>
      <c r="BOE12" s="2703"/>
      <c r="BOF12" s="2703"/>
      <c r="BOG12" s="2703"/>
      <c r="BOH12" s="2703"/>
      <c r="BOI12" s="2703"/>
      <c r="BOJ12" s="2703"/>
      <c r="BOK12" s="2703"/>
      <c r="BOL12" s="2703"/>
      <c r="BOM12" s="2703"/>
      <c r="BON12" s="2703"/>
      <c r="BOO12" s="2703"/>
      <c r="BOP12" s="2703"/>
      <c r="BOQ12" s="2703"/>
      <c r="BOR12" s="2703"/>
      <c r="BOS12" s="2703"/>
      <c r="BOT12" s="2703"/>
      <c r="BOU12" s="2703"/>
      <c r="BOV12" s="2703"/>
      <c r="BOW12" s="2703"/>
      <c r="BOX12" s="2703"/>
      <c r="BOY12" s="2703"/>
      <c r="BOZ12" s="2703"/>
      <c r="BPA12" s="2703"/>
      <c r="BPB12" s="2703"/>
      <c r="BPC12" s="2703"/>
      <c r="BPD12" s="2703"/>
      <c r="BPE12" s="2703"/>
      <c r="BPF12" s="2703"/>
      <c r="BPG12" s="2703"/>
      <c r="BPH12" s="2703"/>
      <c r="BPI12" s="2703"/>
      <c r="BPJ12" s="2703"/>
      <c r="BPK12" s="2703"/>
      <c r="BPL12" s="2703"/>
      <c r="BPM12" s="2703"/>
      <c r="BPN12" s="2703"/>
      <c r="BPO12" s="2703"/>
      <c r="BPP12" s="2703"/>
      <c r="BPQ12" s="2703"/>
      <c r="BPR12" s="2703"/>
      <c r="BPS12" s="2703"/>
      <c r="BPT12" s="2703"/>
      <c r="BPU12" s="2703"/>
      <c r="BPV12" s="2703"/>
      <c r="BPW12" s="2703"/>
      <c r="BPX12" s="2703"/>
      <c r="BPY12" s="2703"/>
      <c r="BPZ12" s="2703"/>
      <c r="BQA12" s="2703"/>
      <c r="BQB12" s="2703"/>
      <c r="BQC12" s="2703"/>
      <c r="BQD12" s="2703"/>
      <c r="BQE12" s="2703"/>
      <c r="BQF12" s="2703"/>
      <c r="BQG12" s="2703"/>
      <c r="BQH12" s="2703"/>
      <c r="BQI12" s="2703"/>
      <c r="BQJ12" s="2703"/>
      <c r="BQK12" s="2703"/>
      <c r="BQL12" s="2703"/>
      <c r="BQM12" s="2703"/>
      <c r="BQN12" s="2703"/>
      <c r="BQO12" s="2703"/>
      <c r="BQP12" s="2703"/>
      <c r="BQQ12" s="2703"/>
      <c r="BQR12" s="2703"/>
      <c r="BQS12" s="2703"/>
      <c r="BQT12" s="2703"/>
      <c r="BQU12" s="2703"/>
      <c r="BQV12" s="2703"/>
      <c r="BQW12" s="2703"/>
      <c r="BQX12" s="2703"/>
      <c r="BQY12" s="2703"/>
      <c r="BQZ12" s="2703"/>
      <c r="BRA12" s="2703"/>
      <c r="BRB12" s="2703"/>
      <c r="BRC12" s="2703"/>
      <c r="BRD12" s="2703"/>
      <c r="BRE12" s="2703"/>
      <c r="BRF12" s="2703"/>
      <c r="BRG12" s="2703"/>
      <c r="BRH12" s="2703"/>
      <c r="BRI12" s="2703"/>
      <c r="BRJ12" s="2703"/>
      <c r="BRK12" s="2703"/>
      <c r="BRL12" s="2703"/>
      <c r="BRM12" s="2703"/>
      <c r="BRN12" s="2703"/>
      <c r="BRO12" s="2703"/>
      <c r="BRP12" s="2703"/>
      <c r="BRQ12" s="2703"/>
      <c r="BRR12" s="2703"/>
      <c r="BRS12" s="2703"/>
      <c r="BRT12" s="2703"/>
      <c r="BRU12" s="2703"/>
      <c r="BRV12" s="2703"/>
      <c r="BRW12" s="2703"/>
      <c r="BRX12" s="2703"/>
      <c r="BRY12" s="2703"/>
      <c r="BRZ12" s="2703"/>
      <c r="BSA12" s="2703"/>
      <c r="BSB12" s="2703"/>
      <c r="BSC12" s="2703"/>
      <c r="BSD12" s="2703"/>
      <c r="BSE12" s="2703"/>
      <c r="BSF12" s="2703"/>
      <c r="BSG12" s="2703"/>
      <c r="BSH12" s="2703"/>
      <c r="BSI12" s="2703"/>
      <c r="BSJ12" s="2703"/>
      <c r="BSK12" s="2703"/>
      <c r="BSL12" s="2703"/>
      <c r="BSM12" s="2703"/>
      <c r="BSN12" s="2703"/>
      <c r="BSO12" s="2703"/>
      <c r="BSP12" s="2703"/>
      <c r="BSQ12" s="2703"/>
      <c r="BSR12" s="2703"/>
      <c r="BSS12" s="2703"/>
      <c r="BST12" s="2703"/>
      <c r="BSU12" s="2703"/>
      <c r="BSV12" s="2703"/>
      <c r="BSW12" s="2703"/>
      <c r="BSX12" s="2703"/>
      <c r="BSY12" s="2703"/>
      <c r="BSZ12" s="2703"/>
      <c r="BTA12" s="2703"/>
      <c r="BTB12" s="2703"/>
      <c r="BTC12" s="2703"/>
      <c r="BTD12" s="2703"/>
      <c r="BTE12" s="2703"/>
      <c r="BTF12" s="2703"/>
      <c r="BTG12" s="2703"/>
      <c r="BTH12" s="2703"/>
      <c r="BTI12" s="2703"/>
      <c r="BTJ12" s="2703"/>
      <c r="BTK12" s="2703"/>
      <c r="BTL12" s="2703"/>
      <c r="BTM12" s="2703"/>
      <c r="BTN12" s="2703"/>
      <c r="BTO12" s="2703"/>
      <c r="BTP12" s="2703"/>
      <c r="BTQ12" s="2703"/>
      <c r="BTR12" s="2703"/>
      <c r="BTS12" s="2703"/>
      <c r="BTT12" s="2703"/>
      <c r="BTU12" s="2703"/>
      <c r="BTV12" s="2703"/>
      <c r="BTW12" s="2703"/>
      <c r="BTX12" s="2703"/>
      <c r="BTY12" s="2703"/>
      <c r="BTZ12" s="2703"/>
      <c r="BUA12" s="2703"/>
      <c r="BUB12" s="2703"/>
      <c r="BUC12" s="2703"/>
      <c r="BUD12" s="2703"/>
      <c r="BUE12" s="2703"/>
      <c r="BUF12" s="2703"/>
      <c r="BUG12" s="2703"/>
      <c r="BUH12" s="2703"/>
      <c r="BUI12" s="2703"/>
      <c r="BUJ12" s="2703"/>
      <c r="BUK12" s="2703"/>
      <c r="BUL12" s="2703"/>
      <c r="BUM12" s="2703"/>
      <c r="BUN12" s="2703"/>
      <c r="BUO12" s="2703"/>
      <c r="BUP12" s="2703"/>
      <c r="BUQ12" s="2703"/>
      <c r="BUR12" s="2703"/>
      <c r="BUS12" s="2703"/>
      <c r="BUT12" s="2703"/>
      <c r="BUU12" s="2703"/>
      <c r="BUV12" s="2703"/>
      <c r="BUW12" s="2703"/>
      <c r="BUX12" s="2703"/>
      <c r="BUY12" s="2703"/>
      <c r="BUZ12" s="2703"/>
      <c r="BVA12" s="2703"/>
      <c r="BVB12" s="2703"/>
      <c r="BVC12" s="2703"/>
      <c r="BVD12" s="2703"/>
      <c r="BVE12" s="2703"/>
      <c r="BVF12" s="2703"/>
      <c r="BVG12" s="2703"/>
      <c r="BVH12" s="2703"/>
      <c r="BVI12" s="2703"/>
      <c r="BVJ12" s="2703"/>
      <c r="BVK12" s="2703"/>
      <c r="BVL12" s="2703"/>
      <c r="BVM12" s="2703"/>
      <c r="BVN12" s="2703"/>
      <c r="BVO12" s="2703"/>
      <c r="BVP12" s="2703"/>
      <c r="BVQ12" s="2703"/>
      <c r="BVR12" s="2703"/>
      <c r="BVS12" s="2703"/>
      <c r="BVT12" s="2703"/>
      <c r="BVU12" s="2703"/>
      <c r="BVV12" s="2703"/>
      <c r="BVW12" s="2703"/>
      <c r="BVX12" s="2703"/>
      <c r="BVY12" s="2703"/>
      <c r="BVZ12" s="2703"/>
      <c r="BWA12" s="2703"/>
      <c r="BWB12" s="2703"/>
      <c r="BWC12" s="2703"/>
      <c r="BWD12" s="2703"/>
    </row>
    <row r="13" spans="1:1954" ht="16.5" x14ac:dyDescent="0.3">
      <c r="A13" s="2834" t="s">
        <v>2746</v>
      </c>
      <c r="B13" s="2835">
        <v>2561.8241210873198</v>
      </c>
      <c r="C13" s="2835">
        <v>765.01742489999992</v>
      </c>
      <c r="D13" s="2835">
        <v>3326.8415459873199</v>
      </c>
      <c r="F13" s="691"/>
      <c r="G13" s="691"/>
      <c r="H13" s="691"/>
      <c r="I13" s="691"/>
      <c r="J13" s="2831"/>
      <c r="K13" s="2831"/>
      <c r="L13" s="2831"/>
      <c r="O13" s="627">
        <v>2.5</v>
      </c>
    </row>
    <row r="14" spans="1:1954" ht="16.5" x14ac:dyDescent="0.3">
      <c r="A14" s="2836" t="s">
        <v>2747</v>
      </c>
      <c r="B14" s="2837">
        <v>68.973990069999999</v>
      </c>
      <c r="C14" s="2837">
        <v>527.19927886000005</v>
      </c>
      <c r="D14" s="2837">
        <v>596.17326892999995</v>
      </c>
      <c r="F14" s="691"/>
      <c r="G14" s="691"/>
      <c r="H14" s="691"/>
      <c r="I14" s="691"/>
      <c r="J14" s="2831"/>
      <c r="K14" s="2831"/>
      <c r="L14" s="2831"/>
    </row>
    <row r="15" spans="1:1954" ht="16.5" x14ac:dyDescent="0.3">
      <c r="A15" s="2836" t="s">
        <v>2748</v>
      </c>
      <c r="B15" s="2837">
        <v>363.91903895000002</v>
      </c>
      <c r="C15" s="2837">
        <v>42.25088392</v>
      </c>
      <c r="D15" s="2837">
        <v>406.16992286999999</v>
      </c>
      <c r="F15" s="691"/>
      <c r="G15" s="691"/>
      <c r="H15" s="691"/>
      <c r="I15" s="691"/>
      <c r="J15" s="2831"/>
      <c r="K15" s="2831"/>
      <c r="L15" s="2831"/>
    </row>
    <row r="16" spans="1:1954" ht="16.5" x14ac:dyDescent="0.3">
      <c r="A16" s="2836" t="s">
        <v>2749</v>
      </c>
      <c r="B16" s="2837">
        <v>2128.9310920673197</v>
      </c>
      <c r="C16" s="2837">
        <v>195.56726212000001</v>
      </c>
      <c r="D16" s="2837">
        <v>2324.4983541873198</v>
      </c>
      <c r="F16" s="691"/>
      <c r="G16" s="691"/>
      <c r="H16" s="691"/>
      <c r="I16" s="691"/>
      <c r="J16" s="2831"/>
      <c r="K16" s="2831"/>
      <c r="L16" s="2831"/>
    </row>
    <row r="17" spans="1:1954" ht="16.5" x14ac:dyDescent="0.3">
      <c r="A17" s="2834" t="s">
        <v>2750</v>
      </c>
      <c r="B17" s="2835">
        <v>692.78300320000005</v>
      </c>
      <c r="C17" s="2835">
        <v>167.67093788999998</v>
      </c>
      <c r="D17" s="2835">
        <v>860.45394109000006</v>
      </c>
      <c r="F17" s="691"/>
      <c r="G17" s="691"/>
      <c r="H17" s="691"/>
      <c r="I17" s="691"/>
      <c r="J17" s="2839"/>
      <c r="K17" s="2831"/>
      <c r="L17" s="2831"/>
    </row>
    <row r="18" spans="1:1954" ht="16.5" x14ac:dyDescent="0.3">
      <c r="A18" s="2834" t="s">
        <v>2751</v>
      </c>
      <c r="B18" s="2835">
        <v>1935.2110787975532</v>
      </c>
      <c r="C18" s="2835">
        <v>2172.9072017742446</v>
      </c>
      <c r="D18" s="2835">
        <v>4108.1182805717981</v>
      </c>
      <c r="F18" s="691"/>
      <c r="G18" s="691"/>
      <c r="H18" s="691"/>
      <c r="I18" s="691"/>
      <c r="J18" s="2839"/>
      <c r="K18" s="2831"/>
      <c r="L18" s="2831"/>
    </row>
    <row r="19" spans="1:1954" ht="16.5" x14ac:dyDescent="0.3">
      <c r="A19" s="2834" t="s">
        <v>2752</v>
      </c>
      <c r="B19" s="2835">
        <v>1892.6831326228598</v>
      </c>
      <c r="C19" s="2835">
        <v>1137.4317409638438</v>
      </c>
      <c r="D19" s="2835">
        <v>3030.1148735867032</v>
      </c>
      <c r="F19" s="691"/>
      <c r="G19" s="691"/>
      <c r="H19" s="691"/>
      <c r="I19" s="691"/>
      <c r="J19" s="2839"/>
      <c r="K19" s="2831"/>
      <c r="L19" s="2831"/>
    </row>
    <row r="20" spans="1:1954" ht="16.5" x14ac:dyDescent="0.3">
      <c r="A20" s="2834" t="s">
        <v>2753</v>
      </c>
      <c r="B20" s="2835">
        <v>56.088512030000004</v>
      </c>
      <c r="C20" s="2835">
        <v>36.508442252953202</v>
      </c>
      <c r="D20" s="2835">
        <v>92.596954282953192</v>
      </c>
      <c r="F20" s="691"/>
      <c r="G20" s="691"/>
      <c r="H20" s="691"/>
      <c r="I20" s="691"/>
      <c r="J20" s="2839"/>
      <c r="K20" s="2831"/>
      <c r="L20" s="2831"/>
    </row>
    <row r="21" spans="1:1954" ht="16.5" x14ac:dyDescent="0.3">
      <c r="A21" s="2834" t="s">
        <v>2754</v>
      </c>
      <c r="B21" s="2835">
        <v>519.59948580000002</v>
      </c>
      <c r="C21" s="2835">
        <v>228.62047638999999</v>
      </c>
      <c r="D21" s="2835">
        <v>748.21996218999993</v>
      </c>
      <c r="F21" s="691"/>
      <c r="G21" s="691"/>
      <c r="H21" s="691"/>
      <c r="I21" s="691"/>
      <c r="J21" s="2839"/>
      <c r="K21" s="2831"/>
      <c r="L21" s="2831"/>
    </row>
    <row r="22" spans="1:1954" ht="16.5" x14ac:dyDescent="0.3">
      <c r="A22" s="2834" t="s">
        <v>2755</v>
      </c>
      <c r="B22" s="2835">
        <v>492.49058976999999</v>
      </c>
      <c r="C22" s="2835">
        <v>28.98358605</v>
      </c>
      <c r="D22" s="2835">
        <v>521.47417582000003</v>
      </c>
      <c r="F22" s="691"/>
      <c r="G22" s="691"/>
      <c r="H22" s="691"/>
      <c r="I22" s="691"/>
      <c r="J22" s="2839"/>
      <c r="K22" s="2831"/>
      <c r="L22" s="2831"/>
    </row>
    <row r="23" spans="1:1954" ht="16.5" x14ac:dyDescent="0.3">
      <c r="A23" s="2834" t="s">
        <v>2756</v>
      </c>
      <c r="B23" s="2835">
        <v>824.13644112038241</v>
      </c>
      <c r="C23" s="2835">
        <v>140.30839513000001</v>
      </c>
      <c r="D23" s="2835">
        <v>964.44483625038242</v>
      </c>
      <c r="F23" s="691"/>
      <c r="G23" s="691"/>
      <c r="H23" s="691"/>
      <c r="I23" s="691"/>
      <c r="J23" s="2839"/>
      <c r="K23" s="2831"/>
      <c r="L23" s="2831"/>
    </row>
    <row r="24" spans="1:1954" ht="16.5" x14ac:dyDescent="0.3">
      <c r="A24" s="2834" t="s">
        <v>2757</v>
      </c>
      <c r="B24" s="2835">
        <v>292.51173239000002</v>
      </c>
      <c r="C24" s="2835">
        <v>0</v>
      </c>
      <c r="D24" s="2835">
        <v>292.51173239000002</v>
      </c>
      <c r="F24" s="691"/>
      <c r="G24" s="691"/>
      <c r="H24" s="691"/>
      <c r="I24" s="691"/>
      <c r="J24" s="2831"/>
      <c r="K24" s="2831"/>
      <c r="L24" s="2831"/>
    </row>
    <row r="25" spans="1:1954" ht="16.5" x14ac:dyDescent="0.3">
      <c r="A25" s="2834" t="s">
        <v>2758</v>
      </c>
      <c r="B25" s="2835">
        <v>273.83883874878512</v>
      </c>
      <c r="C25" s="2835">
        <v>58.215237649999999</v>
      </c>
      <c r="D25" s="2835">
        <v>332.05407639878513</v>
      </c>
      <c r="F25" s="691"/>
      <c r="G25" s="691"/>
      <c r="H25" s="691"/>
      <c r="I25" s="691"/>
      <c r="J25" s="2831"/>
      <c r="K25" s="2831"/>
      <c r="L25" s="2831"/>
    </row>
    <row r="26" spans="1:1954" ht="16.5" x14ac:dyDescent="0.3">
      <c r="A26" s="2834" t="s">
        <v>2759</v>
      </c>
      <c r="B26" s="2835">
        <v>975.16992536999999</v>
      </c>
      <c r="C26" s="2835">
        <v>66.205084909999997</v>
      </c>
      <c r="D26" s="2835">
        <v>1041.37501028</v>
      </c>
      <c r="F26" s="691"/>
      <c r="G26" s="691"/>
      <c r="H26" s="691"/>
      <c r="I26" s="691"/>
      <c r="J26" s="2831"/>
      <c r="K26" s="2831"/>
      <c r="L26" s="2831"/>
    </row>
    <row r="27" spans="1:1954" ht="16.5" x14ac:dyDescent="0.3">
      <c r="A27" s="2834" t="s">
        <v>2760</v>
      </c>
      <c r="B27" s="2835">
        <v>564.03175915968802</v>
      </c>
      <c r="C27" s="2835">
        <v>285.2761186990258</v>
      </c>
      <c r="D27" s="2835">
        <v>849.30787785871371</v>
      </c>
      <c r="F27" s="691"/>
      <c r="G27" s="691"/>
      <c r="H27" s="691"/>
      <c r="I27" s="691"/>
      <c r="J27" s="2831"/>
      <c r="K27" s="2831"/>
      <c r="L27" s="2831"/>
    </row>
    <row r="28" spans="1:1954" ht="16.5" x14ac:dyDescent="0.3">
      <c r="A28" s="2834" t="s">
        <v>2761</v>
      </c>
      <c r="B28" s="2835">
        <v>55.877729773274602</v>
      </c>
      <c r="C28" s="2835">
        <v>50.33506689</v>
      </c>
      <c r="D28" s="2835">
        <v>106.21279666327459</v>
      </c>
      <c r="F28" s="691"/>
      <c r="G28" s="691"/>
      <c r="H28" s="691"/>
      <c r="I28" s="691"/>
      <c r="J28" s="2831"/>
      <c r="K28" s="2831"/>
      <c r="L28" s="2831"/>
    </row>
    <row r="29" spans="1:1954" ht="16.5" x14ac:dyDescent="0.3">
      <c r="A29" s="2834" t="s">
        <v>2762</v>
      </c>
      <c r="B29" s="2835">
        <v>245.32656342999999</v>
      </c>
      <c r="C29" s="2835">
        <v>19.856348010000001</v>
      </c>
      <c r="D29" s="2835">
        <v>265.18291144</v>
      </c>
      <c r="F29" s="691"/>
      <c r="G29" s="691"/>
      <c r="H29" s="691"/>
      <c r="I29" s="691"/>
      <c r="J29" s="2831"/>
      <c r="K29" s="2831"/>
      <c r="L29" s="2831"/>
    </row>
    <row r="30" spans="1:1954" ht="16.5" x14ac:dyDescent="0.3">
      <c r="A30" s="2834" t="s">
        <v>2763</v>
      </c>
      <c r="B30" s="2835">
        <v>178.57880174127331</v>
      </c>
      <c r="C30" s="2835">
        <v>1.3305349999999999E-2</v>
      </c>
      <c r="D30" s="2835">
        <v>178.59210709127331</v>
      </c>
      <c r="F30" s="691"/>
      <c r="G30" s="691"/>
      <c r="H30" s="691"/>
      <c r="I30" s="691"/>
      <c r="J30" s="2831"/>
      <c r="K30" s="2831"/>
      <c r="L30" s="2831"/>
    </row>
    <row r="31" spans="1:1954" ht="16.5" x14ac:dyDescent="0.3">
      <c r="A31" s="2834" t="s">
        <v>2764</v>
      </c>
      <c r="B31" s="2835">
        <v>1334.6815993416963</v>
      </c>
      <c r="C31" s="2835">
        <v>508.05655418000003</v>
      </c>
      <c r="D31" s="2835">
        <v>1842.7381535216962</v>
      </c>
      <c r="F31" s="691"/>
      <c r="G31" s="691"/>
      <c r="H31" s="691"/>
      <c r="I31" s="691"/>
      <c r="J31" s="2831"/>
      <c r="K31" s="2831"/>
      <c r="L31" s="2831"/>
    </row>
    <row r="32" spans="1:1954" ht="16.5" x14ac:dyDescent="0.3">
      <c r="A32" s="2836" t="s">
        <v>2765</v>
      </c>
      <c r="B32" s="2837">
        <v>122.37781365231842</v>
      </c>
      <c r="C32" s="2837">
        <v>6.5665379599999998</v>
      </c>
      <c r="D32" s="2837">
        <v>128.9443516123184</v>
      </c>
      <c r="E32" s="1428"/>
      <c r="F32" s="2840"/>
      <c r="G32" s="691"/>
      <c r="H32" s="691"/>
      <c r="I32" s="691"/>
      <c r="J32" s="2831"/>
      <c r="K32" s="2831"/>
      <c r="L32" s="2831"/>
      <c r="M32" s="1428"/>
      <c r="N32" s="1428"/>
      <c r="O32" s="1428"/>
      <c r="P32" s="1428"/>
      <c r="Q32" s="1428"/>
      <c r="R32" s="1428"/>
      <c r="S32" s="1428"/>
      <c r="T32" s="1428"/>
      <c r="U32" s="1428"/>
      <c r="V32" s="1428"/>
      <c r="W32" s="1428"/>
      <c r="X32" s="1428"/>
      <c r="Y32" s="1428"/>
      <c r="Z32" s="1428"/>
      <c r="AA32" s="1428"/>
      <c r="AB32" s="1428"/>
      <c r="AC32" s="1428"/>
      <c r="AD32" s="1428"/>
      <c r="AE32" s="1428"/>
      <c r="AF32" s="1428"/>
      <c r="AG32" s="1428"/>
      <c r="AH32" s="1428"/>
      <c r="AI32" s="1428"/>
      <c r="AJ32" s="1428"/>
      <c r="AK32" s="1428"/>
      <c r="AL32" s="1428"/>
      <c r="AM32" s="1428"/>
      <c r="AN32" s="1428"/>
      <c r="AO32" s="1428"/>
      <c r="AP32" s="1428"/>
      <c r="AQ32" s="1428"/>
      <c r="AR32" s="1428"/>
      <c r="AS32" s="1428"/>
      <c r="AT32" s="1428"/>
      <c r="AU32" s="1428"/>
      <c r="AV32" s="1428"/>
      <c r="AW32" s="1428"/>
      <c r="AX32" s="1428"/>
      <c r="AY32" s="1428"/>
      <c r="AZ32" s="1428"/>
      <c r="BA32" s="1428"/>
      <c r="BB32" s="1428"/>
      <c r="BC32" s="1428"/>
      <c r="BD32" s="1428"/>
      <c r="BE32" s="1428"/>
      <c r="BF32" s="1428"/>
      <c r="BG32" s="1428"/>
      <c r="BH32" s="1428"/>
      <c r="BI32" s="1428"/>
      <c r="BJ32" s="1428"/>
      <c r="BK32" s="1428"/>
      <c r="BL32" s="1428"/>
      <c r="BM32" s="1428"/>
      <c r="BN32" s="1428"/>
      <c r="BO32" s="1428"/>
      <c r="BP32" s="1428"/>
      <c r="BQ32" s="1428"/>
      <c r="BR32" s="1428"/>
      <c r="BS32" s="1428"/>
      <c r="BT32" s="1428"/>
      <c r="BU32" s="1428"/>
      <c r="BV32" s="1428"/>
      <c r="BW32" s="1428"/>
      <c r="BX32" s="1428"/>
      <c r="BY32" s="1428"/>
      <c r="BZ32" s="1428"/>
      <c r="CA32" s="1428"/>
      <c r="CB32" s="1428"/>
      <c r="CC32" s="1428"/>
      <c r="CD32" s="1428"/>
      <c r="CE32" s="1428"/>
      <c r="CF32" s="1428"/>
      <c r="CG32" s="1428"/>
      <c r="CH32" s="1428"/>
      <c r="CI32" s="1428"/>
      <c r="CJ32" s="1428"/>
      <c r="CK32" s="1428"/>
      <c r="CL32" s="1428"/>
      <c r="CM32" s="1428"/>
      <c r="CN32" s="1428"/>
      <c r="CO32" s="1428"/>
      <c r="CP32" s="1428"/>
      <c r="CQ32" s="1428"/>
      <c r="CR32" s="1428"/>
      <c r="CS32" s="1428"/>
      <c r="CT32" s="1428"/>
      <c r="CU32" s="1428"/>
      <c r="CV32" s="1428"/>
      <c r="CW32" s="1428"/>
      <c r="CX32" s="1428"/>
      <c r="CY32" s="1428"/>
      <c r="CZ32" s="1428"/>
      <c r="DA32" s="1428"/>
      <c r="DB32" s="1428"/>
      <c r="DC32" s="1428"/>
      <c r="DD32" s="1428"/>
      <c r="DE32" s="1428"/>
      <c r="DF32" s="1428"/>
      <c r="DG32" s="1428"/>
      <c r="DH32" s="1428"/>
      <c r="DI32" s="1428"/>
      <c r="DJ32" s="1428"/>
      <c r="DK32" s="1428"/>
      <c r="DL32" s="1428"/>
      <c r="DM32" s="1428"/>
      <c r="DN32" s="1428"/>
      <c r="DO32" s="1428"/>
      <c r="DP32" s="1428"/>
      <c r="DQ32" s="1428"/>
      <c r="DR32" s="1428"/>
      <c r="DS32" s="1428"/>
      <c r="DT32" s="1428"/>
      <c r="DU32" s="1428"/>
      <c r="DV32" s="1428"/>
      <c r="DW32" s="1428"/>
      <c r="DX32" s="1428"/>
      <c r="DY32" s="1428"/>
      <c r="DZ32" s="1428"/>
      <c r="EA32" s="1428"/>
      <c r="EB32" s="1428"/>
      <c r="EC32" s="1428"/>
      <c r="ED32" s="1428"/>
      <c r="EE32" s="1428"/>
      <c r="EF32" s="1428"/>
      <c r="EG32" s="1428"/>
      <c r="EH32" s="1428"/>
      <c r="EI32" s="1428"/>
      <c r="EJ32" s="1428"/>
      <c r="EK32" s="1428"/>
      <c r="EL32" s="1428"/>
      <c r="EM32" s="1428"/>
      <c r="EN32" s="1428"/>
      <c r="EO32" s="1428"/>
      <c r="EP32" s="1428"/>
      <c r="EQ32" s="1428"/>
      <c r="ER32" s="1428"/>
      <c r="ES32" s="1428"/>
      <c r="ET32" s="1428"/>
      <c r="EU32" s="1428"/>
      <c r="EV32" s="1428"/>
      <c r="EW32" s="1428"/>
      <c r="EX32" s="1428"/>
      <c r="EY32" s="1428"/>
      <c r="EZ32" s="1428"/>
      <c r="FA32" s="1428"/>
      <c r="FB32" s="1428"/>
      <c r="FC32" s="1428"/>
      <c r="FD32" s="1428"/>
      <c r="FE32" s="1428"/>
      <c r="FF32" s="1428"/>
      <c r="FG32" s="1428"/>
      <c r="FH32" s="1428"/>
      <c r="FI32" s="1428"/>
      <c r="FJ32" s="1428"/>
      <c r="FK32" s="1428"/>
      <c r="FL32" s="1428"/>
      <c r="FM32" s="1428"/>
      <c r="FN32" s="1428"/>
      <c r="FO32" s="1428"/>
      <c r="FP32" s="1428"/>
      <c r="FQ32" s="1428"/>
      <c r="FR32" s="1428"/>
      <c r="FS32" s="1428"/>
      <c r="FT32" s="1428"/>
      <c r="FU32" s="1428"/>
      <c r="FV32" s="1428"/>
      <c r="FW32" s="1428"/>
      <c r="FX32" s="1428"/>
      <c r="FY32" s="1428"/>
      <c r="FZ32" s="1428"/>
      <c r="GA32" s="1428"/>
      <c r="GB32" s="1428"/>
      <c r="GC32" s="1428"/>
      <c r="GD32" s="1428"/>
      <c r="GE32" s="1428"/>
      <c r="GF32" s="1428"/>
      <c r="GG32" s="1428"/>
      <c r="GH32" s="1428"/>
      <c r="GI32" s="1428"/>
      <c r="GJ32" s="1428"/>
      <c r="GK32" s="1428"/>
      <c r="GL32" s="1428"/>
      <c r="GM32" s="1428"/>
      <c r="GN32" s="1428"/>
      <c r="GO32" s="1428"/>
      <c r="GP32" s="1428"/>
      <c r="GQ32" s="1428"/>
      <c r="GR32" s="1428"/>
      <c r="GS32" s="1428"/>
      <c r="GT32" s="1428"/>
      <c r="GU32" s="1428"/>
      <c r="GV32" s="1428"/>
      <c r="GW32" s="1428"/>
      <c r="GX32" s="1428"/>
      <c r="GY32" s="1428"/>
      <c r="GZ32" s="1428"/>
      <c r="HA32" s="1428"/>
      <c r="HB32" s="1428"/>
      <c r="HC32" s="1428"/>
      <c r="HD32" s="1428"/>
      <c r="HE32" s="1428"/>
      <c r="HF32" s="1428"/>
      <c r="HG32" s="1428"/>
      <c r="HH32" s="1428"/>
      <c r="HI32" s="1428"/>
      <c r="HJ32" s="1428"/>
      <c r="HK32" s="1428"/>
      <c r="HL32" s="1428"/>
      <c r="HM32" s="1428"/>
      <c r="HN32" s="1428"/>
      <c r="HO32" s="1428"/>
      <c r="HP32" s="1428"/>
      <c r="HQ32" s="1428"/>
      <c r="HR32" s="1428"/>
      <c r="HS32" s="1428"/>
      <c r="HT32" s="1428"/>
      <c r="HU32" s="1428"/>
      <c r="HV32" s="1428"/>
      <c r="HW32" s="1428"/>
      <c r="HX32" s="1428"/>
      <c r="HY32" s="1428"/>
      <c r="HZ32" s="1428"/>
      <c r="IA32" s="1428"/>
      <c r="IB32" s="1428"/>
      <c r="IC32" s="1428"/>
      <c r="ID32" s="1428"/>
      <c r="IE32" s="1428"/>
      <c r="IF32" s="1428"/>
      <c r="IG32" s="1428"/>
      <c r="IH32" s="1428"/>
      <c r="II32" s="1428"/>
      <c r="IJ32" s="1428"/>
      <c r="IK32" s="1428"/>
      <c r="IL32" s="1428"/>
      <c r="IM32" s="1428"/>
      <c r="IN32" s="1428"/>
      <c r="IO32" s="1428"/>
      <c r="IP32" s="1428"/>
      <c r="IQ32" s="1428"/>
      <c r="IR32" s="1428"/>
      <c r="IS32" s="1428"/>
      <c r="IT32" s="1428"/>
      <c r="IU32" s="1428"/>
      <c r="IV32" s="1428"/>
      <c r="IW32" s="1428"/>
      <c r="IX32" s="1428"/>
      <c r="IY32" s="1428"/>
      <c r="IZ32" s="1428"/>
      <c r="JA32" s="1428"/>
      <c r="JB32" s="1428"/>
      <c r="JC32" s="1428"/>
      <c r="JD32" s="1428"/>
      <c r="JE32" s="1428"/>
      <c r="JF32" s="1428"/>
      <c r="JG32" s="1428"/>
      <c r="JH32" s="1428"/>
      <c r="JI32" s="1428"/>
      <c r="JJ32" s="1428"/>
      <c r="JK32" s="1428"/>
      <c r="JL32" s="1428"/>
      <c r="JM32" s="1428"/>
      <c r="JN32" s="1428"/>
      <c r="JO32" s="1428"/>
      <c r="JP32" s="1428"/>
      <c r="JQ32" s="1428"/>
      <c r="JR32" s="1428"/>
      <c r="JS32" s="1428"/>
      <c r="JT32" s="1428"/>
      <c r="JU32" s="1428"/>
      <c r="JV32" s="1428"/>
      <c r="JW32" s="1428"/>
      <c r="JX32" s="1428"/>
      <c r="JY32" s="1428"/>
      <c r="JZ32" s="1428"/>
      <c r="KA32" s="1428"/>
      <c r="KB32" s="1428"/>
      <c r="KC32" s="1428"/>
      <c r="KD32" s="1428"/>
      <c r="KE32" s="1428"/>
      <c r="KF32" s="1428"/>
      <c r="KG32" s="1428"/>
      <c r="KH32" s="1428"/>
      <c r="KI32" s="1428"/>
      <c r="KJ32" s="1428"/>
      <c r="KK32" s="1428"/>
      <c r="KL32" s="1428"/>
      <c r="KM32" s="1428"/>
      <c r="KN32" s="1428"/>
      <c r="KO32" s="1428"/>
      <c r="KP32" s="1428"/>
      <c r="KQ32" s="1428"/>
      <c r="KR32" s="1428"/>
      <c r="KS32" s="1428"/>
      <c r="KT32" s="1428"/>
      <c r="KU32" s="1428"/>
      <c r="KV32" s="1428"/>
      <c r="KW32" s="1428"/>
      <c r="KX32" s="1428"/>
      <c r="KY32" s="1428"/>
      <c r="KZ32" s="1428"/>
      <c r="LA32" s="1428"/>
      <c r="LB32" s="1428"/>
      <c r="LC32" s="1428"/>
      <c r="LD32" s="1428"/>
      <c r="LE32" s="1428"/>
      <c r="LF32" s="1428"/>
      <c r="LG32" s="1428"/>
      <c r="LH32" s="1428"/>
      <c r="LI32" s="1428"/>
      <c r="LJ32" s="1428"/>
      <c r="LK32" s="1428"/>
      <c r="LL32" s="1428"/>
      <c r="LM32" s="1428"/>
      <c r="LN32" s="1428"/>
      <c r="LO32" s="1428"/>
      <c r="LP32" s="1428"/>
      <c r="LQ32" s="1428"/>
      <c r="LR32" s="1428"/>
      <c r="LS32" s="1428"/>
      <c r="LT32" s="1428"/>
      <c r="LU32" s="1428"/>
      <c r="LV32" s="1428"/>
      <c r="LW32" s="1428"/>
      <c r="LX32" s="1428"/>
      <c r="LY32" s="1428"/>
      <c r="LZ32" s="1428"/>
      <c r="MA32" s="1428"/>
      <c r="MB32" s="1428"/>
      <c r="MC32" s="1428"/>
      <c r="MD32" s="1428"/>
      <c r="ME32" s="1428"/>
      <c r="MF32" s="1428"/>
      <c r="MG32" s="1428"/>
      <c r="MH32" s="1428"/>
      <c r="MI32" s="1428"/>
      <c r="MJ32" s="1428"/>
      <c r="MK32" s="1428"/>
      <c r="ML32" s="1428"/>
      <c r="MM32" s="1428"/>
      <c r="MN32" s="1428"/>
      <c r="MO32" s="1428"/>
      <c r="MP32" s="1428"/>
      <c r="MQ32" s="1428"/>
      <c r="MR32" s="1428"/>
      <c r="MS32" s="1428"/>
      <c r="MT32" s="1428"/>
      <c r="MU32" s="1428"/>
      <c r="MV32" s="1428"/>
      <c r="MW32" s="1428"/>
      <c r="MX32" s="1428"/>
      <c r="MY32" s="1428"/>
      <c r="MZ32" s="1428"/>
      <c r="NA32" s="1428"/>
      <c r="NB32" s="1428"/>
      <c r="NC32" s="1428"/>
      <c r="ND32" s="1428"/>
      <c r="NE32" s="1428"/>
      <c r="NF32" s="1428"/>
      <c r="NG32" s="1428"/>
      <c r="NH32" s="1428"/>
      <c r="NI32" s="1428"/>
      <c r="NJ32" s="1428"/>
      <c r="NK32" s="1428"/>
      <c r="NL32" s="1428"/>
      <c r="NM32" s="1428"/>
      <c r="NN32" s="1428"/>
      <c r="NO32" s="1428"/>
      <c r="NP32" s="1428"/>
      <c r="NQ32" s="1428"/>
      <c r="NR32" s="1428"/>
      <c r="NS32" s="1428"/>
      <c r="NT32" s="1428"/>
      <c r="NU32" s="1428"/>
      <c r="NV32" s="1428"/>
      <c r="NW32" s="1428"/>
      <c r="NX32" s="1428"/>
      <c r="NY32" s="1428"/>
      <c r="NZ32" s="1428"/>
      <c r="OA32" s="1428"/>
      <c r="OB32" s="1428"/>
      <c r="OC32" s="1428"/>
      <c r="OD32" s="1428"/>
      <c r="OE32" s="1428"/>
      <c r="OF32" s="1428"/>
      <c r="OG32" s="1428"/>
      <c r="OH32" s="1428"/>
      <c r="OI32" s="1428"/>
      <c r="OJ32" s="1428"/>
      <c r="OK32" s="1428"/>
      <c r="OL32" s="1428"/>
      <c r="OM32" s="1428"/>
      <c r="ON32" s="1428"/>
      <c r="OO32" s="1428"/>
      <c r="OP32" s="1428"/>
      <c r="OQ32" s="1428"/>
      <c r="OR32" s="1428"/>
      <c r="OS32" s="1428"/>
      <c r="OT32" s="1428"/>
      <c r="OU32" s="1428"/>
      <c r="OV32" s="1428"/>
      <c r="OW32" s="1428"/>
      <c r="OX32" s="1428"/>
      <c r="OY32" s="1428"/>
      <c r="OZ32" s="1428"/>
      <c r="PA32" s="1428"/>
      <c r="PB32" s="1428"/>
      <c r="PC32" s="1428"/>
      <c r="PD32" s="1428"/>
      <c r="PE32" s="1428"/>
      <c r="PF32" s="1428"/>
      <c r="PG32" s="1428"/>
      <c r="PH32" s="1428"/>
      <c r="PI32" s="1428"/>
      <c r="PJ32" s="1428"/>
      <c r="PK32" s="1428"/>
      <c r="PL32" s="1428"/>
      <c r="PM32" s="1428"/>
      <c r="PN32" s="1428"/>
      <c r="PO32" s="1428"/>
      <c r="PP32" s="1428"/>
      <c r="PQ32" s="1428"/>
      <c r="PR32" s="1428"/>
      <c r="PS32" s="1428"/>
      <c r="PT32" s="1428"/>
      <c r="PU32" s="1428"/>
      <c r="PV32" s="1428"/>
      <c r="PW32" s="1428"/>
      <c r="PX32" s="1428"/>
      <c r="PY32" s="1428"/>
      <c r="PZ32" s="1428"/>
      <c r="QA32" s="1428"/>
      <c r="QB32" s="1428"/>
      <c r="QC32" s="1428"/>
      <c r="QD32" s="1428"/>
      <c r="QE32" s="1428"/>
      <c r="QF32" s="1428"/>
      <c r="QG32" s="1428"/>
      <c r="QH32" s="1428"/>
      <c r="QI32" s="1428"/>
      <c r="QJ32" s="1428"/>
      <c r="QK32" s="1428"/>
      <c r="QL32" s="1428"/>
      <c r="QM32" s="1428"/>
      <c r="QN32" s="1428"/>
      <c r="QO32" s="1428"/>
      <c r="QP32" s="1428"/>
      <c r="QQ32" s="1428"/>
      <c r="QR32" s="1428"/>
      <c r="QS32" s="1428"/>
      <c r="QT32" s="1428"/>
      <c r="QU32" s="1428"/>
      <c r="QV32" s="1428"/>
      <c r="QW32" s="1428"/>
      <c r="QX32" s="1428"/>
      <c r="QY32" s="1428"/>
      <c r="QZ32" s="1428"/>
      <c r="RA32" s="1428"/>
      <c r="RB32" s="1428"/>
      <c r="RC32" s="1428"/>
      <c r="RD32" s="1428"/>
      <c r="RE32" s="1428"/>
      <c r="RF32" s="1428"/>
      <c r="RG32" s="1428"/>
      <c r="RH32" s="1428"/>
      <c r="RI32" s="1428"/>
      <c r="RJ32" s="1428"/>
      <c r="RK32" s="1428"/>
      <c r="RL32" s="1428"/>
      <c r="RM32" s="1428"/>
      <c r="RN32" s="1428"/>
      <c r="RO32" s="1428"/>
      <c r="RP32" s="1428"/>
      <c r="RQ32" s="1428"/>
      <c r="RR32" s="1428"/>
      <c r="RS32" s="1428"/>
      <c r="RT32" s="1428"/>
      <c r="RU32" s="1428"/>
      <c r="RV32" s="1428"/>
      <c r="RW32" s="1428"/>
      <c r="RX32" s="1428"/>
      <c r="RY32" s="1428"/>
      <c r="RZ32" s="1428"/>
      <c r="SA32" s="1428"/>
      <c r="SB32" s="1428"/>
      <c r="SC32" s="1428"/>
      <c r="SD32" s="1428"/>
      <c r="SE32" s="1428"/>
      <c r="SF32" s="1428"/>
      <c r="SG32" s="1428"/>
      <c r="SH32" s="1428"/>
      <c r="SI32" s="1428"/>
      <c r="SJ32" s="1428"/>
      <c r="SK32" s="1428"/>
      <c r="SL32" s="1428"/>
      <c r="SM32" s="1428"/>
      <c r="SN32" s="1428"/>
      <c r="SO32" s="1428"/>
      <c r="SP32" s="1428"/>
      <c r="SQ32" s="1428"/>
      <c r="SR32" s="1428"/>
      <c r="SS32" s="1428"/>
      <c r="ST32" s="1428"/>
      <c r="SU32" s="1428"/>
      <c r="SV32" s="1428"/>
      <c r="SW32" s="1428"/>
      <c r="SX32" s="1428"/>
      <c r="SY32" s="1428"/>
      <c r="SZ32" s="1428"/>
      <c r="TA32" s="1428"/>
      <c r="TB32" s="1428"/>
      <c r="TC32" s="1428"/>
      <c r="TD32" s="1428"/>
      <c r="TE32" s="1428"/>
      <c r="TF32" s="1428"/>
      <c r="TG32" s="1428"/>
      <c r="TH32" s="1428"/>
      <c r="TI32" s="1428"/>
      <c r="TJ32" s="1428"/>
      <c r="TK32" s="1428"/>
      <c r="TL32" s="1428"/>
      <c r="TM32" s="1428"/>
      <c r="TN32" s="1428"/>
      <c r="TO32" s="1428"/>
      <c r="TP32" s="1428"/>
      <c r="TQ32" s="1428"/>
      <c r="TR32" s="1428"/>
      <c r="TS32" s="1428"/>
      <c r="TT32" s="1428"/>
      <c r="TU32" s="1428"/>
      <c r="TV32" s="1428"/>
      <c r="TW32" s="1428"/>
      <c r="TX32" s="1428"/>
      <c r="TY32" s="1428"/>
      <c r="TZ32" s="1428"/>
      <c r="UA32" s="1428"/>
      <c r="UB32" s="1428"/>
      <c r="UC32" s="1428"/>
      <c r="UD32" s="1428"/>
      <c r="UE32" s="1428"/>
      <c r="UF32" s="1428"/>
      <c r="UG32" s="1428"/>
      <c r="UH32" s="1428"/>
      <c r="UI32" s="1428"/>
      <c r="UJ32" s="1428"/>
      <c r="UK32" s="1428"/>
      <c r="UL32" s="1428"/>
      <c r="UM32" s="1428"/>
      <c r="UN32" s="1428"/>
      <c r="UO32" s="1428"/>
      <c r="UP32" s="1428"/>
      <c r="UQ32" s="1428"/>
      <c r="UR32" s="1428"/>
      <c r="US32" s="1428"/>
      <c r="UT32" s="1428"/>
      <c r="UU32" s="1428"/>
      <c r="UV32" s="1428"/>
      <c r="UW32" s="1428"/>
      <c r="UX32" s="1428"/>
      <c r="UY32" s="1428"/>
      <c r="UZ32" s="1428"/>
      <c r="VA32" s="1428"/>
      <c r="VB32" s="1428"/>
      <c r="VC32" s="1428"/>
      <c r="VD32" s="1428"/>
      <c r="VE32" s="1428"/>
      <c r="VF32" s="1428"/>
      <c r="VG32" s="1428"/>
      <c r="VH32" s="1428"/>
      <c r="VI32" s="1428"/>
      <c r="VJ32" s="1428"/>
      <c r="VK32" s="1428"/>
      <c r="VL32" s="1428"/>
      <c r="VM32" s="1428"/>
      <c r="VN32" s="1428"/>
      <c r="VO32" s="1428"/>
      <c r="VP32" s="1428"/>
      <c r="VQ32" s="1428"/>
      <c r="VR32" s="1428"/>
      <c r="VS32" s="1428"/>
      <c r="VT32" s="1428"/>
      <c r="VU32" s="1428"/>
      <c r="VV32" s="1428"/>
      <c r="VW32" s="1428"/>
      <c r="VX32" s="1428"/>
      <c r="VY32" s="1428"/>
      <c r="VZ32" s="1428"/>
      <c r="WA32" s="1428"/>
      <c r="WB32" s="1428"/>
      <c r="WC32" s="1428"/>
      <c r="WD32" s="1428"/>
      <c r="WE32" s="1428"/>
      <c r="WF32" s="1428"/>
      <c r="WG32" s="1428"/>
      <c r="WH32" s="1428"/>
      <c r="WI32" s="1428"/>
      <c r="WJ32" s="1428"/>
      <c r="WK32" s="1428"/>
      <c r="WL32" s="1428"/>
      <c r="WM32" s="1428"/>
      <c r="WN32" s="1428"/>
      <c r="WO32" s="1428"/>
      <c r="WP32" s="1428"/>
      <c r="WQ32" s="1428"/>
      <c r="WR32" s="1428"/>
      <c r="WS32" s="1428"/>
      <c r="WT32" s="1428"/>
      <c r="WU32" s="1428"/>
      <c r="WV32" s="1428"/>
      <c r="WW32" s="1428"/>
      <c r="WX32" s="1428"/>
      <c r="WY32" s="1428"/>
      <c r="WZ32" s="1428"/>
      <c r="XA32" s="1428"/>
      <c r="XB32" s="1428"/>
      <c r="XC32" s="1428"/>
      <c r="XD32" s="1428"/>
      <c r="XE32" s="1428"/>
      <c r="XF32" s="1428"/>
      <c r="XG32" s="1428"/>
      <c r="XH32" s="1428"/>
      <c r="XI32" s="1428"/>
      <c r="XJ32" s="1428"/>
      <c r="XK32" s="1428"/>
      <c r="XL32" s="1428"/>
      <c r="XM32" s="1428"/>
      <c r="XN32" s="1428"/>
      <c r="XO32" s="1428"/>
      <c r="XP32" s="1428"/>
      <c r="XQ32" s="1428"/>
      <c r="XR32" s="1428"/>
      <c r="XS32" s="1428"/>
      <c r="XT32" s="1428"/>
      <c r="XU32" s="1428"/>
      <c r="XV32" s="1428"/>
      <c r="XW32" s="1428"/>
      <c r="XX32" s="1428"/>
      <c r="XY32" s="1428"/>
      <c r="XZ32" s="1428"/>
      <c r="YA32" s="1428"/>
      <c r="YB32" s="1428"/>
      <c r="YC32" s="1428"/>
      <c r="YD32" s="1428"/>
      <c r="YE32" s="1428"/>
      <c r="YF32" s="1428"/>
      <c r="YG32" s="1428"/>
      <c r="YH32" s="1428"/>
      <c r="YI32" s="1428"/>
      <c r="YJ32" s="1428"/>
      <c r="YK32" s="1428"/>
      <c r="YL32" s="1428"/>
      <c r="YM32" s="1428"/>
      <c r="YN32" s="1428"/>
      <c r="YO32" s="1428"/>
      <c r="YP32" s="1428"/>
      <c r="YQ32" s="1428"/>
      <c r="YR32" s="1428"/>
      <c r="YS32" s="1428"/>
      <c r="YT32" s="1428"/>
      <c r="YU32" s="1428"/>
      <c r="YV32" s="1428"/>
      <c r="YW32" s="1428"/>
      <c r="YX32" s="1428"/>
      <c r="YY32" s="1428"/>
      <c r="YZ32" s="1428"/>
      <c r="ZA32" s="1428"/>
      <c r="ZB32" s="1428"/>
      <c r="ZC32" s="1428"/>
      <c r="ZD32" s="1428"/>
      <c r="ZE32" s="1428"/>
      <c r="ZF32" s="1428"/>
      <c r="ZG32" s="1428"/>
      <c r="ZH32" s="1428"/>
      <c r="ZI32" s="1428"/>
      <c r="ZJ32" s="1428"/>
      <c r="ZK32" s="1428"/>
      <c r="ZL32" s="1428"/>
      <c r="ZM32" s="1428"/>
      <c r="ZN32" s="1428"/>
      <c r="ZO32" s="1428"/>
      <c r="ZP32" s="1428"/>
      <c r="ZQ32" s="1428"/>
      <c r="ZR32" s="1428"/>
      <c r="ZS32" s="1428"/>
      <c r="ZT32" s="1428"/>
      <c r="ZU32" s="1428"/>
      <c r="ZV32" s="1428"/>
      <c r="ZW32" s="1428"/>
      <c r="ZX32" s="1428"/>
      <c r="ZY32" s="1428"/>
      <c r="ZZ32" s="1428"/>
      <c r="AAA32" s="1428"/>
      <c r="AAB32" s="1428"/>
      <c r="AAC32" s="1428"/>
      <c r="AAD32" s="1428"/>
      <c r="AAE32" s="1428"/>
      <c r="AAF32" s="1428"/>
      <c r="AAG32" s="1428"/>
      <c r="AAH32" s="1428"/>
      <c r="AAI32" s="1428"/>
      <c r="AAJ32" s="1428"/>
      <c r="AAK32" s="1428"/>
      <c r="AAL32" s="1428"/>
      <c r="AAM32" s="1428"/>
      <c r="AAN32" s="1428"/>
      <c r="AAO32" s="1428"/>
      <c r="AAP32" s="1428"/>
      <c r="AAQ32" s="1428"/>
      <c r="AAR32" s="1428"/>
      <c r="AAS32" s="1428"/>
      <c r="AAT32" s="1428"/>
      <c r="AAU32" s="1428"/>
      <c r="AAV32" s="1428"/>
      <c r="AAW32" s="1428"/>
      <c r="AAX32" s="1428"/>
      <c r="AAY32" s="1428"/>
      <c r="AAZ32" s="1428"/>
      <c r="ABA32" s="1428"/>
      <c r="ABB32" s="1428"/>
      <c r="ABC32" s="1428"/>
      <c r="ABD32" s="1428"/>
      <c r="ABE32" s="1428"/>
      <c r="ABF32" s="1428"/>
      <c r="ABG32" s="1428"/>
      <c r="ABH32" s="1428"/>
      <c r="ABI32" s="1428"/>
      <c r="ABJ32" s="1428"/>
      <c r="ABK32" s="1428"/>
      <c r="ABL32" s="1428"/>
      <c r="ABM32" s="1428"/>
      <c r="ABN32" s="1428"/>
      <c r="ABO32" s="1428"/>
      <c r="ABP32" s="1428"/>
      <c r="ABQ32" s="1428"/>
      <c r="ABR32" s="1428"/>
      <c r="ABS32" s="1428"/>
      <c r="ABT32" s="1428"/>
      <c r="ABU32" s="1428"/>
      <c r="ABV32" s="1428"/>
      <c r="ABW32" s="1428"/>
      <c r="ABX32" s="1428"/>
      <c r="ABY32" s="1428"/>
      <c r="ABZ32" s="1428"/>
      <c r="ACA32" s="1428"/>
      <c r="ACB32" s="1428"/>
      <c r="ACC32" s="1428"/>
      <c r="ACD32" s="1428"/>
      <c r="ACE32" s="1428"/>
      <c r="ACF32" s="1428"/>
      <c r="ACG32" s="1428"/>
      <c r="ACH32" s="1428"/>
      <c r="ACI32" s="1428"/>
      <c r="ACJ32" s="1428"/>
      <c r="ACK32" s="1428"/>
      <c r="ACL32" s="1428"/>
      <c r="ACM32" s="1428"/>
      <c r="ACN32" s="1428"/>
      <c r="ACO32" s="1428"/>
      <c r="ACP32" s="1428"/>
      <c r="ACQ32" s="1428"/>
      <c r="ACR32" s="1428"/>
      <c r="ACS32" s="1428"/>
      <c r="ACT32" s="1428"/>
      <c r="ACU32" s="1428"/>
      <c r="ACV32" s="1428"/>
      <c r="ACW32" s="1428"/>
      <c r="ACX32" s="1428"/>
      <c r="ACY32" s="1428"/>
      <c r="ACZ32" s="1428"/>
      <c r="ADA32" s="1428"/>
      <c r="ADB32" s="1428"/>
      <c r="ADC32" s="1428"/>
      <c r="ADD32" s="1428"/>
      <c r="ADE32" s="1428"/>
      <c r="ADF32" s="1428"/>
      <c r="ADG32" s="1428"/>
      <c r="ADH32" s="1428"/>
      <c r="ADI32" s="1428"/>
      <c r="ADJ32" s="1428"/>
      <c r="ADK32" s="1428"/>
      <c r="ADL32" s="1428"/>
      <c r="ADM32" s="1428"/>
      <c r="ADN32" s="1428"/>
      <c r="ADO32" s="1428"/>
      <c r="ADP32" s="1428"/>
      <c r="ADQ32" s="1428"/>
      <c r="ADR32" s="1428"/>
      <c r="ADS32" s="1428"/>
      <c r="ADT32" s="1428"/>
      <c r="ADU32" s="1428"/>
      <c r="ADV32" s="1428"/>
      <c r="ADW32" s="1428"/>
      <c r="ADX32" s="1428"/>
      <c r="ADY32" s="1428"/>
      <c r="ADZ32" s="1428"/>
      <c r="AEA32" s="1428"/>
      <c r="AEB32" s="1428"/>
      <c r="AEC32" s="1428"/>
      <c r="AED32" s="1428"/>
      <c r="AEE32" s="1428"/>
      <c r="AEF32" s="1428"/>
      <c r="AEG32" s="1428"/>
      <c r="AEH32" s="1428"/>
      <c r="AEI32" s="1428"/>
      <c r="AEJ32" s="1428"/>
      <c r="AEK32" s="1428"/>
      <c r="AEL32" s="1428"/>
      <c r="AEM32" s="1428"/>
      <c r="AEN32" s="1428"/>
      <c r="AEO32" s="1428"/>
      <c r="AEP32" s="1428"/>
      <c r="AEQ32" s="1428"/>
      <c r="AER32" s="1428"/>
      <c r="AES32" s="1428"/>
      <c r="AET32" s="1428"/>
      <c r="AEU32" s="1428"/>
      <c r="AEV32" s="1428"/>
      <c r="AEW32" s="1428"/>
      <c r="AEX32" s="1428"/>
      <c r="AEY32" s="1428"/>
      <c r="AEZ32" s="1428"/>
      <c r="AFA32" s="1428"/>
      <c r="AFB32" s="1428"/>
      <c r="AFC32" s="1428"/>
      <c r="AFD32" s="1428"/>
      <c r="AFE32" s="1428"/>
      <c r="AFF32" s="1428"/>
      <c r="AFG32" s="1428"/>
      <c r="AFH32" s="1428"/>
      <c r="AFI32" s="1428"/>
      <c r="AFJ32" s="1428"/>
      <c r="AFK32" s="1428"/>
      <c r="AFL32" s="1428"/>
      <c r="AFM32" s="1428"/>
      <c r="AFN32" s="1428"/>
      <c r="AFO32" s="1428"/>
      <c r="AFP32" s="1428"/>
      <c r="AFQ32" s="1428"/>
      <c r="AFR32" s="1428"/>
      <c r="AFS32" s="1428"/>
      <c r="AFT32" s="1428"/>
      <c r="AFU32" s="1428"/>
      <c r="AFV32" s="1428"/>
      <c r="AFW32" s="1428"/>
      <c r="AFX32" s="1428"/>
      <c r="AFY32" s="1428"/>
      <c r="AFZ32" s="1428"/>
      <c r="AGA32" s="1428"/>
      <c r="AGB32" s="1428"/>
      <c r="AGC32" s="1428"/>
      <c r="AGD32" s="1428"/>
      <c r="AGE32" s="1428"/>
      <c r="AGF32" s="1428"/>
      <c r="AGG32" s="1428"/>
      <c r="AGH32" s="1428"/>
      <c r="AGI32" s="1428"/>
      <c r="AGJ32" s="1428"/>
      <c r="AGK32" s="1428"/>
      <c r="AGL32" s="1428"/>
      <c r="AGM32" s="1428"/>
      <c r="AGN32" s="1428"/>
      <c r="AGO32" s="1428"/>
      <c r="AGP32" s="1428"/>
      <c r="AGQ32" s="1428"/>
      <c r="AGR32" s="1428"/>
      <c r="AGS32" s="1428"/>
      <c r="AGT32" s="1428"/>
      <c r="AGU32" s="1428"/>
      <c r="AGV32" s="1428"/>
      <c r="AGW32" s="1428"/>
      <c r="AGX32" s="1428"/>
      <c r="AGY32" s="1428"/>
      <c r="AGZ32" s="1428"/>
      <c r="AHA32" s="1428"/>
      <c r="AHB32" s="1428"/>
      <c r="AHC32" s="1428"/>
      <c r="AHD32" s="1428"/>
      <c r="AHE32" s="1428"/>
      <c r="AHF32" s="1428"/>
      <c r="AHG32" s="1428"/>
      <c r="AHH32" s="1428"/>
      <c r="AHI32" s="1428"/>
      <c r="AHJ32" s="1428"/>
      <c r="AHK32" s="1428"/>
      <c r="AHL32" s="1428"/>
      <c r="AHM32" s="1428"/>
      <c r="AHN32" s="1428"/>
      <c r="AHO32" s="1428"/>
      <c r="AHP32" s="1428"/>
      <c r="AHQ32" s="1428"/>
      <c r="AHR32" s="1428"/>
      <c r="AHS32" s="1428"/>
      <c r="AHT32" s="1428"/>
      <c r="AHU32" s="1428"/>
      <c r="AHV32" s="1428"/>
      <c r="AHW32" s="1428"/>
      <c r="AHX32" s="1428"/>
      <c r="AHY32" s="1428"/>
      <c r="AHZ32" s="1428"/>
      <c r="AIA32" s="1428"/>
      <c r="AIB32" s="1428"/>
      <c r="AIC32" s="1428"/>
      <c r="AID32" s="1428"/>
      <c r="AIE32" s="1428"/>
      <c r="AIF32" s="1428"/>
      <c r="AIG32" s="1428"/>
      <c r="AIH32" s="1428"/>
      <c r="AII32" s="1428"/>
      <c r="AIJ32" s="1428"/>
      <c r="AIK32" s="1428"/>
      <c r="AIL32" s="1428"/>
      <c r="AIM32" s="1428"/>
      <c r="AIN32" s="1428"/>
      <c r="AIO32" s="1428"/>
      <c r="AIP32" s="1428"/>
      <c r="AIQ32" s="1428"/>
      <c r="AIR32" s="1428"/>
      <c r="AIS32" s="1428"/>
      <c r="AIT32" s="1428"/>
      <c r="AIU32" s="1428"/>
      <c r="AIV32" s="1428"/>
      <c r="AIW32" s="1428"/>
      <c r="AIX32" s="1428"/>
      <c r="AIY32" s="1428"/>
      <c r="AIZ32" s="1428"/>
      <c r="AJA32" s="1428"/>
      <c r="AJB32" s="1428"/>
      <c r="AJC32" s="1428"/>
      <c r="AJD32" s="1428"/>
      <c r="AJE32" s="1428"/>
      <c r="AJF32" s="1428"/>
      <c r="AJG32" s="1428"/>
      <c r="AJH32" s="1428"/>
      <c r="AJI32" s="1428"/>
      <c r="AJJ32" s="1428"/>
      <c r="AJK32" s="1428"/>
      <c r="AJL32" s="1428"/>
      <c r="AJM32" s="1428"/>
      <c r="AJN32" s="1428"/>
      <c r="AJO32" s="1428"/>
      <c r="AJP32" s="1428"/>
      <c r="AJQ32" s="1428"/>
      <c r="AJR32" s="1428"/>
      <c r="AJS32" s="1428"/>
      <c r="AJT32" s="1428"/>
      <c r="AJU32" s="1428"/>
      <c r="AJV32" s="1428"/>
      <c r="AJW32" s="1428"/>
      <c r="AJX32" s="1428"/>
      <c r="AJY32" s="1428"/>
      <c r="AJZ32" s="1428"/>
      <c r="AKA32" s="1428"/>
      <c r="AKB32" s="1428"/>
      <c r="AKC32" s="1428"/>
      <c r="AKD32" s="1428"/>
      <c r="AKE32" s="1428"/>
      <c r="AKF32" s="1428"/>
      <c r="AKG32" s="1428"/>
      <c r="AKH32" s="1428"/>
      <c r="AKI32" s="1428"/>
      <c r="AKJ32" s="1428"/>
      <c r="AKK32" s="1428"/>
      <c r="AKL32" s="1428"/>
      <c r="AKM32" s="1428"/>
      <c r="AKN32" s="1428"/>
      <c r="AKO32" s="1428"/>
      <c r="AKP32" s="1428"/>
      <c r="AKQ32" s="1428"/>
      <c r="AKR32" s="1428"/>
      <c r="AKS32" s="1428"/>
      <c r="AKT32" s="1428"/>
      <c r="AKU32" s="1428"/>
      <c r="AKV32" s="1428"/>
      <c r="AKW32" s="1428"/>
      <c r="AKX32" s="1428"/>
      <c r="AKY32" s="1428"/>
      <c r="AKZ32" s="1428"/>
      <c r="ALA32" s="1428"/>
      <c r="ALB32" s="1428"/>
      <c r="ALC32" s="1428"/>
      <c r="ALD32" s="1428"/>
      <c r="ALE32" s="1428"/>
      <c r="ALF32" s="1428"/>
      <c r="ALG32" s="1428"/>
      <c r="ALH32" s="1428"/>
      <c r="ALI32" s="1428"/>
      <c r="ALJ32" s="1428"/>
      <c r="ALK32" s="1428"/>
      <c r="ALL32" s="1428"/>
      <c r="ALM32" s="1428"/>
      <c r="ALN32" s="1428"/>
      <c r="ALO32" s="1428"/>
      <c r="ALP32" s="1428"/>
      <c r="ALQ32" s="1428"/>
      <c r="ALR32" s="1428"/>
      <c r="ALS32" s="1428"/>
      <c r="ALT32" s="1428"/>
      <c r="ALU32" s="1428"/>
      <c r="ALV32" s="1428"/>
      <c r="ALW32" s="1428"/>
      <c r="ALX32" s="1428"/>
      <c r="ALY32" s="1428"/>
      <c r="ALZ32" s="1428"/>
      <c r="AMA32" s="1428"/>
      <c r="AMB32" s="1428"/>
      <c r="AMC32" s="1428"/>
      <c r="AMD32" s="1428"/>
      <c r="AME32" s="1428"/>
      <c r="AMF32" s="1428"/>
      <c r="AMG32" s="1428"/>
      <c r="AMH32" s="1428"/>
      <c r="AMI32" s="1428"/>
      <c r="AMJ32" s="1428"/>
      <c r="AMK32" s="1428"/>
      <c r="AML32" s="1428"/>
      <c r="AMM32" s="1428"/>
      <c r="AMN32" s="1428"/>
      <c r="AMO32" s="1428"/>
      <c r="AMP32" s="1428"/>
      <c r="AMQ32" s="1428"/>
      <c r="AMR32" s="1428"/>
      <c r="AMS32" s="1428"/>
      <c r="AMT32" s="1428"/>
      <c r="AMU32" s="1428"/>
      <c r="AMV32" s="1428"/>
      <c r="AMW32" s="1428"/>
      <c r="AMX32" s="1428"/>
      <c r="AMY32" s="1428"/>
      <c r="AMZ32" s="1428"/>
      <c r="ANA32" s="1428"/>
      <c r="ANB32" s="1428"/>
      <c r="ANC32" s="1428"/>
      <c r="AND32" s="1428"/>
      <c r="ANE32" s="1428"/>
      <c r="ANF32" s="1428"/>
      <c r="ANG32" s="1428"/>
      <c r="ANH32" s="1428"/>
      <c r="ANI32" s="1428"/>
      <c r="ANJ32" s="1428"/>
      <c r="ANK32" s="1428"/>
      <c r="ANL32" s="1428"/>
      <c r="ANM32" s="1428"/>
      <c r="ANN32" s="1428"/>
      <c r="ANO32" s="1428"/>
      <c r="ANP32" s="1428"/>
      <c r="ANQ32" s="1428"/>
      <c r="ANR32" s="1428"/>
      <c r="ANS32" s="1428"/>
      <c r="ANT32" s="1428"/>
      <c r="ANU32" s="1428"/>
      <c r="ANV32" s="1428"/>
      <c r="ANW32" s="1428"/>
      <c r="ANX32" s="1428"/>
      <c r="ANY32" s="1428"/>
      <c r="ANZ32" s="1428"/>
      <c r="AOA32" s="1428"/>
      <c r="AOB32" s="1428"/>
      <c r="AOC32" s="1428"/>
      <c r="AOD32" s="1428"/>
      <c r="AOE32" s="1428"/>
      <c r="AOF32" s="1428"/>
      <c r="AOG32" s="1428"/>
      <c r="AOH32" s="1428"/>
      <c r="AOI32" s="1428"/>
      <c r="AOJ32" s="1428"/>
      <c r="AOK32" s="1428"/>
      <c r="AOL32" s="1428"/>
      <c r="AOM32" s="1428"/>
      <c r="AON32" s="1428"/>
      <c r="AOO32" s="1428"/>
      <c r="AOP32" s="1428"/>
      <c r="AOQ32" s="1428"/>
      <c r="AOR32" s="1428"/>
      <c r="AOS32" s="1428"/>
      <c r="AOT32" s="1428"/>
      <c r="AOU32" s="1428"/>
      <c r="AOV32" s="1428"/>
      <c r="AOW32" s="1428"/>
      <c r="AOX32" s="1428"/>
      <c r="AOY32" s="1428"/>
      <c r="AOZ32" s="1428"/>
      <c r="APA32" s="1428"/>
      <c r="APB32" s="1428"/>
      <c r="APC32" s="1428"/>
      <c r="APD32" s="1428"/>
      <c r="APE32" s="1428"/>
      <c r="APF32" s="1428"/>
      <c r="APG32" s="1428"/>
      <c r="APH32" s="1428"/>
      <c r="API32" s="1428"/>
      <c r="APJ32" s="1428"/>
      <c r="APK32" s="1428"/>
      <c r="APL32" s="1428"/>
      <c r="APM32" s="1428"/>
      <c r="APN32" s="1428"/>
      <c r="APO32" s="1428"/>
      <c r="APP32" s="1428"/>
      <c r="APQ32" s="1428"/>
      <c r="APR32" s="1428"/>
      <c r="APS32" s="1428"/>
      <c r="APT32" s="1428"/>
      <c r="APU32" s="1428"/>
      <c r="APV32" s="1428"/>
      <c r="APW32" s="1428"/>
      <c r="APX32" s="1428"/>
      <c r="APY32" s="1428"/>
      <c r="APZ32" s="1428"/>
      <c r="AQA32" s="1428"/>
      <c r="AQB32" s="1428"/>
      <c r="AQC32" s="1428"/>
      <c r="AQD32" s="1428"/>
      <c r="AQE32" s="1428"/>
      <c r="AQF32" s="1428"/>
      <c r="AQG32" s="1428"/>
      <c r="AQH32" s="1428"/>
      <c r="AQI32" s="1428"/>
      <c r="AQJ32" s="1428"/>
      <c r="AQK32" s="1428"/>
      <c r="AQL32" s="1428"/>
      <c r="AQM32" s="1428"/>
      <c r="AQN32" s="1428"/>
      <c r="AQO32" s="1428"/>
      <c r="AQP32" s="1428"/>
      <c r="AQQ32" s="1428"/>
      <c r="AQR32" s="1428"/>
      <c r="AQS32" s="1428"/>
      <c r="AQT32" s="1428"/>
      <c r="AQU32" s="1428"/>
      <c r="AQV32" s="1428"/>
      <c r="AQW32" s="1428"/>
      <c r="AQX32" s="1428"/>
      <c r="AQY32" s="1428"/>
      <c r="AQZ32" s="1428"/>
      <c r="ARA32" s="1428"/>
      <c r="ARB32" s="1428"/>
      <c r="ARC32" s="1428"/>
      <c r="ARD32" s="1428"/>
      <c r="ARE32" s="1428"/>
      <c r="ARF32" s="1428"/>
      <c r="ARG32" s="1428"/>
      <c r="ARH32" s="1428"/>
      <c r="ARI32" s="1428"/>
      <c r="ARJ32" s="1428"/>
      <c r="ARK32" s="1428"/>
      <c r="ARL32" s="1428"/>
      <c r="ARM32" s="1428"/>
      <c r="ARN32" s="1428"/>
      <c r="ARO32" s="1428"/>
      <c r="ARP32" s="1428"/>
      <c r="ARQ32" s="1428"/>
      <c r="ARR32" s="1428"/>
      <c r="ARS32" s="1428"/>
      <c r="ART32" s="1428"/>
      <c r="ARU32" s="1428"/>
      <c r="ARV32" s="1428"/>
      <c r="ARW32" s="1428"/>
      <c r="ARX32" s="1428"/>
      <c r="ARY32" s="1428"/>
      <c r="ARZ32" s="1428"/>
      <c r="ASA32" s="1428"/>
      <c r="ASB32" s="1428"/>
      <c r="ASC32" s="1428"/>
      <c r="ASD32" s="1428"/>
      <c r="ASE32" s="1428"/>
      <c r="ASF32" s="1428"/>
      <c r="ASG32" s="1428"/>
      <c r="ASH32" s="1428"/>
      <c r="ASI32" s="1428"/>
      <c r="ASJ32" s="1428"/>
      <c r="ASK32" s="1428"/>
      <c r="ASL32" s="1428"/>
      <c r="ASM32" s="1428"/>
      <c r="ASN32" s="1428"/>
      <c r="ASO32" s="1428"/>
      <c r="ASP32" s="1428"/>
      <c r="ASQ32" s="1428"/>
      <c r="ASR32" s="1428"/>
      <c r="ASS32" s="1428"/>
      <c r="AST32" s="1428"/>
      <c r="ASU32" s="1428"/>
      <c r="ASV32" s="1428"/>
      <c r="ASW32" s="1428"/>
      <c r="ASX32" s="1428"/>
      <c r="ASY32" s="1428"/>
      <c r="ASZ32" s="1428"/>
      <c r="ATA32" s="1428"/>
      <c r="ATB32" s="1428"/>
      <c r="ATC32" s="1428"/>
      <c r="ATD32" s="1428"/>
      <c r="ATE32" s="1428"/>
      <c r="ATF32" s="1428"/>
      <c r="ATG32" s="1428"/>
      <c r="ATH32" s="1428"/>
      <c r="ATI32" s="1428"/>
      <c r="ATJ32" s="1428"/>
      <c r="ATK32" s="1428"/>
      <c r="ATL32" s="1428"/>
      <c r="ATM32" s="1428"/>
      <c r="ATN32" s="1428"/>
      <c r="ATO32" s="1428"/>
      <c r="ATP32" s="1428"/>
      <c r="ATQ32" s="1428"/>
      <c r="ATR32" s="1428"/>
      <c r="ATS32" s="1428"/>
      <c r="ATT32" s="1428"/>
      <c r="ATU32" s="1428"/>
      <c r="ATV32" s="1428"/>
      <c r="ATW32" s="1428"/>
      <c r="ATX32" s="1428"/>
      <c r="ATY32" s="1428"/>
      <c r="ATZ32" s="1428"/>
      <c r="AUA32" s="1428"/>
      <c r="AUB32" s="1428"/>
      <c r="AUC32" s="1428"/>
      <c r="AUD32" s="1428"/>
      <c r="AUE32" s="1428"/>
      <c r="AUF32" s="1428"/>
      <c r="AUG32" s="1428"/>
      <c r="AUH32" s="1428"/>
      <c r="AUI32" s="1428"/>
      <c r="AUJ32" s="1428"/>
      <c r="AUK32" s="1428"/>
      <c r="AUL32" s="1428"/>
      <c r="AUM32" s="1428"/>
      <c r="AUN32" s="1428"/>
      <c r="AUO32" s="1428"/>
      <c r="AUP32" s="1428"/>
      <c r="AUQ32" s="1428"/>
      <c r="AUR32" s="1428"/>
      <c r="AUS32" s="1428"/>
      <c r="AUT32" s="1428"/>
      <c r="AUU32" s="1428"/>
      <c r="AUV32" s="1428"/>
      <c r="AUW32" s="1428"/>
      <c r="AUX32" s="1428"/>
      <c r="AUY32" s="1428"/>
      <c r="AUZ32" s="1428"/>
      <c r="AVA32" s="1428"/>
      <c r="AVB32" s="1428"/>
      <c r="AVC32" s="1428"/>
      <c r="AVD32" s="1428"/>
      <c r="AVE32" s="1428"/>
      <c r="AVF32" s="1428"/>
      <c r="AVG32" s="1428"/>
      <c r="AVH32" s="1428"/>
      <c r="AVI32" s="1428"/>
      <c r="AVJ32" s="1428"/>
      <c r="AVK32" s="1428"/>
      <c r="AVL32" s="1428"/>
      <c r="AVM32" s="1428"/>
      <c r="AVN32" s="1428"/>
      <c r="AVO32" s="1428"/>
      <c r="AVP32" s="1428"/>
      <c r="AVQ32" s="1428"/>
      <c r="AVR32" s="1428"/>
      <c r="AVS32" s="1428"/>
      <c r="AVT32" s="1428"/>
      <c r="AVU32" s="1428"/>
      <c r="AVV32" s="1428"/>
      <c r="AVW32" s="1428"/>
      <c r="AVX32" s="1428"/>
      <c r="AVY32" s="1428"/>
      <c r="AVZ32" s="1428"/>
      <c r="AWA32" s="1428"/>
      <c r="AWB32" s="1428"/>
      <c r="AWC32" s="1428"/>
      <c r="AWD32" s="1428"/>
      <c r="AWE32" s="1428"/>
      <c r="AWF32" s="1428"/>
      <c r="AWG32" s="1428"/>
      <c r="AWH32" s="1428"/>
      <c r="AWI32" s="1428"/>
      <c r="AWJ32" s="1428"/>
      <c r="AWK32" s="1428"/>
      <c r="AWL32" s="1428"/>
      <c r="AWM32" s="1428"/>
      <c r="AWN32" s="1428"/>
      <c r="AWO32" s="1428"/>
      <c r="AWP32" s="1428"/>
      <c r="AWQ32" s="1428"/>
      <c r="AWR32" s="1428"/>
      <c r="AWS32" s="1428"/>
      <c r="AWT32" s="1428"/>
      <c r="AWU32" s="1428"/>
      <c r="AWV32" s="1428"/>
      <c r="AWW32" s="1428"/>
      <c r="AWX32" s="1428"/>
      <c r="AWY32" s="1428"/>
      <c r="AWZ32" s="1428"/>
      <c r="AXA32" s="1428"/>
      <c r="AXB32" s="1428"/>
      <c r="AXC32" s="1428"/>
      <c r="AXD32" s="1428"/>
      <c r="AXE32" s="1428"/>
      <c r="AXF32" s="1428"/>
      <c r="AXG32" s="1428"/>
      <c r="AXH32" s="1428"/>
      <c r="AXI32" s="1428"/>
      <c r="AXJ32" s="1428"/>
      <c r="AXK32" s="1428"/>
      <c r="AXL32" s="1428"/>
      <c r="AXM32" s="1428"/>
      <c r="AXN32" s="1428"/>
      <c r="AXO32" s="1428"/>
      <c r="AXP32" s="1428"/>
      <c r="AXQ32" s="1428"/>
      <c r="AXR32" s="1428"/>
      <c r="AXS32" s="1428"/>
      <c r="AXT32" s="1428"/>
      <c r="AXU32" s="1428"/>
      <c r="AXV32" s="1428"/>
      <c r="AXW32" s="1428"/>
      <c r="AXX32" s="1428"/>
      <c r="AXY32" s="1428"/>
      <c r="AXZ32" s="1428"/>
      <c r="AYA32" s="1428"/>
      <c r="AYB32" s="1428"/>
      <c r="AYC32" s="1428"/>
      <c r="AYD32" s="1428"/>
      <c r="AYE32" s="1428"/>
      <c r="AYF32" s="1428"/>
      <c r="AYG32" s="1428"/>
      <c r="AYH32" s="1428"/>
      <c r="AYI32" s="1428"/>
      <c r="AYJ32" s="1428"/>
      <c r="AYK32" s="1428"/>
      <c r="AYL32" s="1428"/>
      <c r="AYM32" s="1428"/>
      <c r="AYN32" s="1428"/>
      <c r="AYO32" s="1428"/>
      <c r="AYP32" s="1428"/>
      <c r="AYQ32" s="1428"/>
      <c r="AYR32" s="1428"/>
      <c r="AYS32" s="1428"/>
      <c r="AYT32" s="1428"/>
      <c r="AYU32" s="1428"/>
      <c r="AYV32" s="1428"/>
      <c r="AYW32" s="1428"/>
      <c r="AYX32" s="1428"/>
      <c r="AYY32" s="1428"/>
      <c r="AYZ32" s="1428"/>
      <c r="AZA32" s="1428"/>
      <c r="AZB32" s="1428"/>
      <c r="AZC32" s="1428"/>
      <c r="AZD32" s="1428"/>
      <c r="AZE32" s="1428"/>
      <c r="AZF32" s="1428"/>
      <c r="AZG32" s="1428"/>
      <c r="AZH32" s="1428"/>
      <c r="AZI32" s="1428"/>
      <c r="AZJ32" s="1428"/>
      <c r="AZK32" s="1428"/>
      <c r="AZL32" s="1428"/>
      <c r="AZM32" s="1428"/>
      <c r="AZN32" s="1428"/>
      <c r="AZO32" s="1428"/>
      <c r="AZP32" s="1428"/>
      <c r="AZQ32" s="1428"/>
      <c r="AZR32" s="1428"/>
      <c r="AZS32" s="1428"/>
      <c r="AZT32" s="1428"/>
      <c r="AZU32" s="1428"/>
      <c r="AZV32" s="1428"/>
      <c r="AZW32" s="1428"/>
      <c r="AZX32" s="1428"/>
      <c r="AZY32" s="1428"/>
      <c r="AZZ32" s="1428"/>
      <c r="BAA32" s="1428"/>
      <c r="BAB32" s="1428"/>
      <c r="BAC32" s="1428"/>
      <c r="BAD32" s="1428"/>
      <c r="BAE32" s="1428"/>
      <c r="BAF32" s="1428"/>
      <c r="BAG32" s="1428"/>
      <c r="BAH32" s="1428"/>
      <c r="BAI32" s="1428"/>
      <c r="BAJ32" s="1428"/>
      <c r="BAK32" s="1428"/>
      <c r="BAL32" s="1428"/>
      <c r="BAM32" s="1428"/>
      <c r="BAN32" s="1428"/>
      <c r="BAO32" s="1428"/>
      <c r="BAP32" s="1428"/>
      <c r="BAQ32" s="1428"/>
      <c r="BAR32" s="1428"/>
      <c r="BAS32" s="1428"/>
      <c r="BAT32" s="1428"/>
      <c r="BAU32" s="1428"/>
      <c r="BAV32" s="1428"/>
      <c r="BAW32" s="1428"/>
      <c r="BAX32" s="1428"/>
      <c r="BAY32" s="1428"/>
      <c r="BAZ32" s="1428"/>
      <c r="BBA32" s="1428"/>
      <c r="BBB32" s="1428"/>
      <c r="BBC32" s="1428"/>
      <c r="BBD32" s="1428"/>
      <c r="BBE32" s="1428"/>
      <c r="BBF32" s="1428"/>
      <c r="BBG32" s="1428"/>
      <c r="BBH32" s="1428"/>
      <c r="BBI32" s="1428"/>
      <c r="BBJ32" s="1428"/>
      <c r="BBK32" s="1428"/>
      <c r="BBL32" s="1428"/>
      <c r="BBM32" s="1428"/>
      <c r="BBN32" s="1428"/>
      <c r="BBO32" s="1428"/>
      <c r="BBP32" s="1428"/>
      <c r="BBQ32" s="1428"/>
      <c r="BBR32" s="1428"/>
      <c r="BBS32" s="1428"/>
      <c r="BBT32" s="1428"/>
      <c r="BBU32" s="1428"/>
      <c r="BBV32" s="1428"/>
      <c r="BBW32" s="1428"/>
      <c r="BBX32" s="1428"/>
      <c r="BBY32" s="1428"/>
      <c r="BBZ32" s="1428"/>
      <c r="BCA32" s="1428"/>
      <c r="BCB32" s="1428"/>
      <c r="BCC32" s="1428"/>
      <c r="BCD32" s="1428"/>
      <c r="BCE32" s="1428"/>
      <c r="BCF32" s="1428"/>
      <c r="BCG32" s="1428"/>
      <c r="BCH32" s="1428"/>
      <c r="BCI32" s="1428"/>
      <c r="BCJ32" s="1428"/>
      <c r="BCK32" s="1428"/>
      <c r="BCL32" s="1428"/>
      <c r="BCM32" s="1428"/>
      <c r="BCN32" s="1428"/>
      <c r="BCO32" s="1428"/>
      <c r="BCP32" s="1428"/>
      <c r="BCQ32" s="1428"/>
      <c r="BCR32" s="1428"/>
      <c r="BCS32" s="1428"/>
      <c r="BCT32" s="1428"/>
      <c r="BCU32" s="1428"/>
      <c r="BCV32" s="1428"/>
      <c r="BCW32" s="1428"/>
      <c r="BCX32" s="1428"/>
      <c r="BCY32" s="1428"/>
      <c r="BCZ32" s="1428"/>
      <c r="BDA32" s="1428"/>
      <c r="BDB32" s="1428"/>
      <c r="BDC32" s="1428"/>
      <c r="BDD32" s="1428"/>
      <c r="BDE32" s="1428"/>
      <c r="BDF32" s="1428"/>
      <c r="BDG32" s="1428"/>
      <c r="BDH32" s="1428"/>
      <c r="BDI32" s="1428"/>
      <c r="BDJ32" s="1428"/>
      <c r="BDK32" s="1428"/>
      <c r="BDL32" s="1428"/>
      <c r="BDM32" s="1428"/>
      <c r="BDN32" s="1428"/>
      <c r="BDO32" s="1428"/>
      <c r="BDP32" s="1428"/>
      <c r="BDQ32" s="1428"/>
      <c r="BDR32" s="1428"/>
      <c r="BDS32" s="1428"/>
      <c r="BDT32" s="1428"/>
      <c r="BDU32" s="1428"/>
      <c r="BDV32" s="1428"/>
      <c r="BDW32" s="1428"/>
      <c r="BDX32" s="1428"/>
      <c r="BDY32" s="1428"/>
      <c r="BDZ32" s="1428"/>
      <c r="BEA32" s="1428"/>
      <c r="BEB32" s="1428"/>
      <c r="BEC32" s="1428"/>
      <c r="BED32" s="1428"/>
      <c r="BEE32" s="1428"/>
      <c r="BEF32" s="1428"/>
      <c r="BEG32" s="1428"/>
      <c r="BEH32" s="1428"/>
      <c r="BEI32" s="1428"/>
      <c r="BEJ32" s="1428"/>
      <c r="BEK32" s="1428"/>
      <c r="BEL32" s="1428"/>
      <c r="BEM32" s="1428"/>
      <c r="BEN32" s="1428"/>
      <c r="BEO32" s="1428"/>
      <c r="BEP32" s="1428"/>
      <c r="BEQ32" s="1428"/>
      <c r="BER32" s="1428"/>
      <c r="BES32" s="1428"/>
      <c r="BET32" s="1428"/>
      <c r="BEU32" s="1428"/>
      <c r="BEV32" s="1428"/>
      <c r="BEW32" s="1428"/>
      <c r="BEX32" s="1428"/>
      <c r="BEY32" s="1428"/>
      <c r="BEZ32" s="1428"/>
      <c r="BFA32" s="1428"/>
      <c r="BFB32" s="1428"/>
      <c r="BFC32" s="1428"/>
      <c r="BFD32" s="1428"/>
      <c r="BFE32" s="1428"/>
      <c r="BFF32" s="1428"/>
      <c r="BFG32" s="1428"/>
      <c r="BFH32" s="1428"/>
      <c r="BFI32" s="1428"/>
      <c r="BFJ32" s="1428"/>
      <c r="BFK32" s="1428"/>
      <c r="BFL32" s="1428"/>
      <c r="BFM32" s="1428"/>
      <c r="BFN32" s="1428"/>
      <c r="BFO32" s="1428"/>
      <c r="BFP32" s="1428"/>
      <c r="BFQ32" s="1428"/>
      <c r="BFR32" s="1428"/>
      <c r="BFS32" s="1428"/>
      <c r="BFT32" s="1428"/>
      <c r="BFU32" s="1428"/>
      <c r="BFV32" s="1428"/>
      <c r="BFW32" s="1428"/>
      <c r="BFX32" s="1428"/>
      <c r="BFY32" s="1428"/>
      <c r="BFZ32" s="1428"/>
      <c r="BGA32" s="1428"/>
      <c r="BGB32" s="1428"/>
      <c r="BGC32" s="1428"/>
      <c r="BGD32" s="1428"/>
      <c r="BGE32" s="1428"/>
      <c r="BGF32" s="1428"/>
      <c r="BGG32" s="1428"/>
      <c r="BGH32" s="1428"/>
      <c r="BGI32" s="1428"/>
      <c r="BGJ32" s="1428"/>
      <c r="BGK32" s="1428"/>
      <c r="BGL32" s="1428"/>
      <c r="BGM32" s="1428"/>
      <c r="BGN32" s="1428"/>
      <c r="BGO32" s="1428"/>
      <c r="BGP32" s="1428"/>
      <c r="BGQ32" s="1428"/>
      <c r="BGR32" s="1428"/>
      <c r="BGS32" s="1428"/>
      <c r="BGT32" s="1428"/>
      <c r="BGU32" s="1428"/>
      <c r="BGV32" s="1428"/>
      <c r="BGW32" s="1428"/>
      <c r="BGX32" s="1428"/>
      <c r="BGY32" s="1428"/>
      <c r="BGZ32" s="1428"/>
      <c r="BHA32" s="1428"/>
      <c r="BHB32" s="1428"/>
      <c r="BHC32" s="1428"/>
      <c r="BHD32" s="1428"/>
      <c r="BHE32" s="1428"/>
      <c r="BHF32" s="1428"/>
      <c r="BHG32" s="1428"/>
      <c r="BHH32" s="1428"/>
      <c r="BHI32" s="1428"/>
      <c r="BHJ32" s="1428"/>
      <c r="BHK32" s="1428"/>
      <c r="BHL32" s="1428"/>
      <c r="BHM32" s="1428"/>
      <c r="BHN32" s="1428"/>
      <c r="BHO32" s="1428"/>
      <c r="BHP32" s="1428"/>
      <c r="BHQ32" s="1428"/>
      <c r="BHR32" s="1428"/>
      <c r="BHS32" s="1428"/>
      <c r="BHT32" s="1428"/>
      <c r="BHU32" s="1428"/>
      <c r="BHV32" s="1428"/>
      <c r="BHW32" s="1428"/>
      <c r="BHX32" s="1428"/>
      <c r="BHY32" s="1428"/>
      <c r="BHZ32" s="1428"/>
      <c r="BIA32" s="1428"/>
      <c r="BIB32" s="1428"/>
      <c r="BIC32" s="1428"/>
      <c r="BID32" s="1428"/>
      <c r="BIE32" s="1428"/>
      <c r="BIF32" s="1428"/>
      <c r="BIG32" s="1428"/>
      <c r="BIH32" s="1428"/>
      <c r="BII32" s="1428"/>
      <c r="BIJ32" s="1428"/>
      <c r="BIK32" s="1428"/>
      <c r="BIL32" s="1428"/>
      <c r="BIM32" s="1428"/>
      <c r="BIN32" s="1428"/>
      <c r="BIO32" s="1428"/>
      <c r="BIP32" s="1428"/>
      <c r="BIQ32" s="1428"/>
      <c r="BIR32" s="1428"/>
      <c r="BIS32" s="1428"/>
      <c r="BIT32" s="1428"/>
      <c r="BIU32" s="1428"/>
      <c r="BIV32" s="1428"/>
      <c r="BIW32" s="1428"/>
      <c r="BIX32" s="1428"/>
      <c r="BIY32" s="1428"/>
      <c r="BIZ32" s="1428"/>
      <c r="BJA32" s="1428"/>
      <c r="BJB32" s="1428"/>
      <c r="BJC32" s="1428"/>
      <c r="BJD32" s="1428"/>
      <c r="BJE32" s="1428"/>
      <c r="BJF32" s="1428"/>
      <c r="BJG32" s="1428"/>
      <c r="BJH32" s="1428"/>
      <c r="BJI32" s="1428"/>
      <c r="BJJ32" s="1428"/>
      <c r="BJK32" s="1428"/>
      <c r="BJL32" s="1428"/>
      <c r="BJM32" s="1428"/>
      <c r="BJN32" s="1428"/>
      <c r="BJO32" s="1428"/>
      <c r="BJP32" s="1428"/>
      <c r="BJQ32" s="1428"/>
      <c r="BJR32" s="1428"/>
      <c r="BJS32" s="1428"/>
      <c r="BJT32" s="1428"/>
      <c r="BJU32" s="1428"/>
      <c r="BJV32" s="1428"/>
      <c r="BJW32" s="1428"/>
      <c r="BJX32" s="1428"/>
      <c r="BJY32" s="1428"/>
      <c r="BJZ32" s="1428"/>
      <c r="BKA32" s="1428"/>
      <c r="BKB32" s="1428"/>
      <c r="BKC32" s="1428"/>
      <c r="BKD32" s="1428"/>
      <c r="BKE32" s="1428"/>
      <c r="BKF32" s="1428"/>
      <c r="BKG32" s="1428"/>
      <c r="BKH32" s="1428"/>
      <c r="BKI32" s="1428"/>
      <c r="BKJ32" s="1428"/>
      <c r="BKK32" s="1428"/>
      <c r="BKL32" s="1428"/>
      <c r="BKM32" s="1428"/>
      <c r="BKN32" s="1428"/>
      <c r="BKO32" s="1428"/>
      <c r="BKP32" s="1428"/>
      <c r="BKQ32" s="1428"/>
      <c r="BKR32" s="1428"/>
      <c r="BKS32" s="1428"/>
      <c r="BKT32" s="1428"/>
      <c r="BKU32" s="1428"/>
      <c r="BKV32" s="1428"/>
      <c r="BKW32" s="1428"/>
      <c r="BKX32" s="1428"/>
      <c r="BKY32" s="1428"/>
      <c r="BKZ32" s="1428"/>
      <c r="BLA32" s="1428"/>
      <c r="BLB32" s="1428"/>
      <c r="BLC32" s="1428"/>
      <c r="BLD32" s="1428"/>
      <c r="BLE32" s="1428"/>
      <c r="BLF32" s="1428"/>
      <c r="BLG32" s="1428"/>
      <c r="BLH32" s="1428"/>
      <c r="BLI32" s="1428"/>
      <c r="BLJ32" s="1428"/>
      <c r="BLK32" s="1428"/>
      <c r="BLL32" s="1428"/>
      <c r="BLM32" s="1428"/>
      <c r="BLN32" s="1428"/>
      <c r="BLO32" s="1428"/>
      <c r="BLP32" s="1428"/>
      <c r="BLQ32" s="1428"/>
      <c r="BLR32" s="1428"/>
      <c r="BLS32" s="1428"/>
      <c r="BLT32" s="1428"/>
      <c r="BLU32" s="1428"/>
      <c r="BLV32" s="1428"/>
      <c r="BLW32" s="1428"/>
      <c r="BLX32" s="1428"/>
      <c r="BLY32" s="1428"/>
      <c r="BLZ32" s="1428"/>
      <c r="BMA32" s="1428"/>
      <c r="BMB32" s="1428"/>
      <c r="BMC32" s="1428"/>
      <c r="BMD32" s="1428"/>
      <c r="BME32" s="1428"/>
      <c r="BMF32" s="1428"/>
      <c r="BMG32" s="1428"/>
      <c r="BMH32" s="1428"/>
      <c r="BMI32" s="1428"/>
      <c r="BMJ32" s="1428"/>
      <c r="BMK32" s="1428"/>
      <c r="BML32" s="1428"/>
      <c r="BMM32" s="1428"/>
      <c r="BMN32" s="1428"/>
      <c r="BMO32" s="1428"/>
      <c r="BMP32" s="1428"/>
      <c r="BMQ32" s="1428"/>
      <c r="BMR32" s="1428"/>
      <c r="BMS32" s="1428"/>
      <c r="BMT32" s="1428"/>
      <c r="BMU32" s="1428"/>
      <c r="BMV32" s="1428"/>
      <c r="BMW32" s="1428"/>
      <c r="BMX32" s="1428"/>
      <c r="BMY32" s="1428"/>
      <c r="BMZ32" s="1428"/>
      <c r="BNA32" s="1428"/>
      <c r="BNB32" s="1428"/>
      <c r="BNC32" s="1428"/>
      <c r="BND32" s="1428"/>
      <c r="BNE32" s="1428"/>
      <c r="BNF32" s="1428"/>
      <c r="BNG32" s="1428"/>
      <c r="BNH32" s="1428"/>
      <c r="BNI32" s="1428"/>
      <c r="BNJ32" s="1428"/>
      <c r="BNK32" s="1428"/>
      <c r="BNL32" s="1428"/>
      <c r="BNM32" s="1428"/>
      <c r="BNN32" s="1428"/>
      <c r="BNO32" s="1428"/>
      <c r="BNP32" s="1428"/>
      <c r="BNQ32" s="1428"/>
      <c r="BNR32" s="1428"/>
      <c r="BNS32" s="1428"/>
      <c r="BNT32" s="1428"/>
      <c r="BNU32" s="1428"/>
      <c r="BNV32" s="1428"/>
      <c r="BNW32" s="1428"/>
      <c r="BNX32" s="1428"/>
      <c r="BNY32" s="1428"/>
      <c r="BNZ32" s="1428"/>
      <c r="BOA32" s="1428"/>
      <c r="BOB32" s="1428"/>
      <c r="BOC32" s="1428"/>
      <c r="BOD32" s="1428"/>
      <c r="BOE32" s="1428"/>
      <c r="BOF32" s="1428"/>
      <c r="BOG32" s="1428"/>
      <c r="BOH32" s="1428"/>
      <c r="BOI32" s="1428"/>
      <c r="BOJ32" s="1428"/>
      <c r="BOK32" s="1428"/>
      <c r="BOL32" s="1428"/>
      <c r="BOM32" s="1428"/>
      <c r="BON32" s="1428"/>
      <c r="BOO32" s="1428"/>
      <c r="BOP32" s="1428"/>
      <c r="BOQ32" s="1428"/>
      <c r="BOR32" s="1428"/>
      <c r="BOS32" s="1428"/>
      <c r="BOT32" s="1428"/>
      <c r="BOU32" s="1428"/>
      <c r="BOV32" s="1428"/>
      <c r="BOW32" s="1428"/>
      <c r="BOX32" s="1428"/>
      <c r="BOY32" s="1428"/>
      <c r="BOZ32" s="1428"/>
      <c r="BPA32" s="1428"/>
      <c r="BPB32" s="1428"/>
      <c r="BPC32" s="1428"/>
      <c r="BPD32" s="1428"/>
      <c r="BPE32" s="1428"/>
      <c r="BPF32" s="1428"/>
      <c r="BPG32" s="1428"/>
      <c r="BPH32" s="1428"/>
      <c r="BPI32" s="1428"/>
      <c r="BPJ32" s="1428"/>
      <c r="BPK32" s="1428"/>
      <c r="BPL32" s="1428"/>
      <c r="BPM32" s="1428"/>
      <c r="BPN32" s="1428"/>
      <c r="BPO32" s="1428"/>
      <c r="BPP32" s="1428"/>
      <c r="BPQ32" s="1428"/>
      <c r="BPR32" s="1428"/>
      <c r="BPS32" s="1428"/>
      <c r="BPT32" s="1428"/>
      <c r="BPU32" s="1428"/>
      <c r="BPV32" s="1428"/>
      <c r="BPW32" s="1428"/>
      <c r="BPX32" s="1428"/>
      <c r="BPY32" s="1428"/>
      <c r="BPZ32" s="1428"/>
      <c r="BQA32" s="1428"/>
      <c r="BQB32" s="1428"/>
      <c r="BQC32" s="1428"/>
      <c r="BQD32" s="1428"/>
      <c r="BQE32" s="1428"/>
      <c r="BQF32" s="1428"/>
      <c r="BQG32" s="1428"/>
      <c r="BQH32" s="1428"/>
      <c r="BQI32" s="1428"/>
      <c r="BQJ32" s="1428"/>
      <c r="BQK32" s="1428"/>
      <c r="BQL32" s="1428"/>
      <c r="BQM32" s="1428"/>
      <c r="BQN32" s="1428"/>
      <c r="BQO32" s="1428"/>
      <c r="BQP32" s="1428"/>
      <c r="BQQ32" s="1428"/>
      <c r="BQR32" s="1428"/>
      <c r="BQS32" s="1428"/>
      <c r="BQT32" s="1428"/>
      <c r="BQU32" s="1428"/>
      <c r="BQV32" s="1428"/>
      <c r="BQW32" s="1428"/>
      <c r="BQX32" s="1428"/>
      <c r="BQY32" s="1428"/>
      <c r="BQZ32" s="1428"/>
      <c r="BRA32" s="1428"/>
      <c r="BRB32" s="1428"/>
      <c r="BRC32" s="1428"/>
      <c r="BRD32" s="1428"/>
      <c r="BRE32" s="1428"/>
      <c r="BRF32" s="1428"/>
      <c r="BRG32" s="1428"/>
      <c r="BRH32" s="1428"/>
      <c r="BRI32" s="1428"/>
      <c r="BRJ32" s="1428"/>
      <c r="BRK32" s="1428"/>
      <c r="BRL32" s="1428"/>
      <c r="BRM32" s="1428"/>
      <c r="BRN32" s="1428"/>
      <c r="BRO32" s="1428"/>
      <c r="BRP32" s="1428"/>
      <c r="BRQ32" s="1428"/>
      <c r="BRR32" s="1428"/>
      <c r="BRS32" s="1428"/>
      <c r="BRT32" s="1428"/>
      <c r="BRU32" s="1428"/>
      <c r="BRV32" s="1428"/>
      <c r="BRW32" s="1428"/>
      <c r="BRX32" s="1428"/>
      <c r="BRY32" s="1428"/>
      <c r="BRZ32" s="1428"/>
      <c r="BSA32" s="1428"/>
      <c r="BSB32" s="1428"/>
      <c r="BSC32" s="1428"/>
      <c r="BSD32" s="1428"/>
      <c r="BSE32" s="1428"/>
      <c r="BSF32" s="1428"/>
      <c r="BSG32" s="1428"/>
      <c r="BSH32" s="1428"/>
      <c r="BSI32" s="1428"/>
      <c r="BSJ32" s="1428"/>
      <c r="BSK32" s="1428"/>
      <c r="BSL32" s="1428"/>
      <c r="BSM32" s="1428"/>
      <c r="BSN32" s="1428"/>
      <c r="BSO32" s="1428"/>
      <c r="BSP32" s="1428"/>
      <c r="BSQ32" s="1428"/>
      <c r="BSR32" s="1428"/>
      <c r="BSS32" s="1428"/>
      <c r="BST32" s="1428"/>
      <c r="BSU32" s="1428"/>
      <c r="BSV32" s="1428"/>
      <c r="BSW32" s="1428"/>
      <c r="BSX32" s="1428"/>
      <c r="BSY32" s="1428"/>
      <c r="BSZ32" s="1428"/>
      <c r="BTA32" s="1428"/>
      <c r="BTB32" s="1428"/>
      <c r="BTC32" s="1428"/>
      <c r="BTD32" s="1428"/>
      <c r="BTE32" s="1428"/>
      <c r="BTF32" s="1428"/>
      <c r="BTG32" s="1428"/>
      <c r="BTH32" s="1428"/>
      <c r="BTI32" s="1428"/>
      <c r="BTJ32" s="1428"/>
      <c r="BTK32" s="1428"/>
      <c r="BTL32" s="1428"/>
      <c r="BTM32" s="1428"/>
      <c r="BTN32" s="1428"/>
      <c r="BTO32" s="1428"/>
      <c r="BTP32" s="1428"/>
      <c r="BTQ32" s="1428"/>
      <c r="BTR32" s="1428"/>
      <c r="BTS32" s="1428"/>
      <c r="BTT32" s="1428"/>
      <c r="BTU32" s="1428"/>
      <c r="BTV32" s="1428"/>
      <c r="BTW32" s="1428"/>
      <c r="BTX32" s="1428"/>
      <c r="BTY32" s="1428"/>
      <c r="BTZ32" s="1428"/>
      <c r="BUA32" s="1428"/>
      <c r="BUB32" s="1428"/>
      <c r="BUC32" s="1428"/>
      <c r="BUD32" s="1428"/>
      <c r="BUE32" s="1428"/>
      <c r="BUF32" s="1428"/>
      <c r="BUG32" s="1428"/>
      <c r="BUH32" s="1428"/>
      <c r="BUI32" s="1428"/>
      <c r="BUJ32" s="1428"/>
      <c r="BUK32" s="1428"/>
      <c r="BUL32" s="1428"/>
      <c r="BUM32" s="1428"/>
      <c r="BUN32" s="1428"/>
      <c r="BUO32" s="1428"/>
      <c r="BUP32" s="1428"/>
      <c r="BUQ32" s="1428"/>
      <c r="BUR32" s="1428"/>
      <c r="BUS32" s="1428"/>
      <c r="BUT32" s="1428"/>
      <c r="BUU32" s="1428"/>
      <c r="BUV32" s="1428"/>
      <c r="BUW32" s="1428"/>
      <c r="BUX32" s="1428"/>
      <c r="BUY32" s="1428"/>
      <c r="BUZ32" s="1428"/>
      <c r="BVA32" s="1428"/>
      <c r="BVB32" s="1428"/>
      <c r="BVC32" s="1428"/>
      <c r="BVD32" s="1428"/>
      <c r="BVE32" s="1428"/>
      <c r="BVF32" s="1428"/>
      <c r="BVG32" s="1428"/>
      <c r="BVH32" s="1428"/>
      <c r="BVI32" s="1428"/>
      <c r="BVJ32" s="1428"/>
      <c r="BVK32" s="1428"/>
      <c r="BVL32" s="1428"/>
      <c r="BVM32" s="1428"/>
      <c r="BVN32" s="1428"/>
      <c r="BVO32" s="1428"/>
      <c r="BVP32" s="1428"/>
      <c r="BVQ32" s="1428"/>
      <c r="BVR32" s="1428"/>
      <c r="BVS32" s="1428"/>
      <c r="BVT32" s="1428"/>
      <c r="BVU32" s="1428"/>
      <c r="BVV32" s="1428"/>
      <c r="BVW32" s="1428"/>
      <c r="BVX32" s="1428"/>
      <c r="BVY32" s="1428"/>
      <c r="BVZ32" s="1428"/>
      <c r="BWA32" s="1428"/>
      <c r="BWB32" s="1428"/>
      <c r="BWC32" s="1428"/>
      <c r="BWD32" s="1428"/>
    </row>
    <row r="33" spans="1:1954" ht="16.5" x14ac:dyDescent="0.3">
      <c r="A33" s="2836" t="s">
        <v>2766</v>
      </c>
      <c r="B33" s="2837">
        <v>1212.3037856893777</v>
      </c>
      <c r="C33" s="2837">
        <v>501.49001622000003</v>
      </c>
      <c r="D33" s="2837">
        <v>1713.7938019093776</v>
      </c>
      <c r="E33" s="1428"/>
      <c r="F33" s="2840"/>
      <c r="G33" s="691"/>
      <c r="H33" s="691"/>
      <c r="I33" s="691"/>
      <c r="J33" s="2831"/>
      <c r="K33" s="2831"/>
      <c r="L33" s="2831"/>
      <c r="M33" s="1428"/>
      <c r="N33" s="1428"/>
      <c r="O33" s="1428"/>
      <c r="P33" s="1428"/>
      <c r="Q33" s="1428"/>
      <c r="R33" s="1428"/>
      <c r="S33" s="1428"/>
      <c r="T33" s="1428"/>
      <c r="U33" s="1428"/>
      <c r="V33" s="1428"/>
      <c r="W33" s="1428"/>
      <c r="X33" s="1428"/>
      <c r="Y33" s="1428"/>
      <c r="Z33" s="1428"/>
      <c r="AA33" s="1428"/>
      <c r="AB33" s="1428"/>
      <c r="AC33" s="1428"/>
      <c r="AD33" s="1428"/>
      <c r="AE33" s="1428"/>
      <c r="AF33" s="1428"/>
      <c r="AG33" s="1428"/>
      <c r="AH33" s="1428"/>
      <c r="AI33" s="1428"/>
      <c r="AJ33" s="1428"/>
      <c r="AK33" s="1428"/>
      <c r="AL33" s="1428"/>
      <c r="AM33" s="1428"/>
      <c r="AN33" s="1428"/>
      <c r="AO33" s="1428"/>
      <c r="AP33" s="1428"/>
      <c r="AQ33" s="1428"/>
      <c r="AR33" s="1428"/>
      <c r="AS33" s="1428"/>
      <c r="AT33" s="1428"/>
      <c r="AU33" s="1428"/>
      <c r="AV33" s="1428"/>
      <c r="AW33" s="1428"/>
      <c r="AX33" s="1428"/>
      <c r="AY33" s="1428"/>
      <c r="AZ33" s="1428"/>
      <c r="BA33" s="1428"/>
      <c r="BB33" s="1428"/>
      <c r="BC33" s="1428"/>
      <c r="BD33" s="1428"/>
      <c r="BE33" s="1428"/>
      <c r="BF33" s="1428"/>
      <c r="BG33" s="1428"/>
      <c r="BH33" s="1428"/>
      <c r="BI33" s="1428"/>
      <c r="BJ33" s="1428"/>
      <c r="BK33" s="1428"/>
      <c r="BL33" s="1428"/>
      <c r="BM33" s="1428"/>
      <c r="BN33" s="1428"/>
      <c r="BO33" s="1428"/>
      <c r="BP33" s="1428"/>
      <c r="BQ33" s="1428"/>
      <c r="BR33" s="1428"/>
      <c r="BS33" s="1428"/>
      <c r="BT33" s="1428"/>
      <c r="BU33" s="1428"/>
      <c r="BV33" s="1428"/>
      <c r="BW33" s="1428"/>
      <c r="BX33" s="1428"/>
      <c r="BY33" s="1428"/>
      <c r="BZ33" s="1428"/>
      <c r="CA33" s="1428"/>
      <c r="CB33" s="1428"/>
      <c r="CC33" s="1428"/>
      <c r="CD33" s="1428"/>
      <c r="CE33" s="1428"/>
      <c r="CF33" s="1428"/>
      <c r="CG33" s="1428"/>
      <c r="CH33" s="1428"/>
      <c r="CI33" s="1428"/>
      <c r="CJ33" s="1428"/>
      <c r="CK33" s="1428"/>
      <c r="CL33" s="1428"/>
      <c r="CM33" s="1428"/>
      <c r="CN33" s="1428"/>
      <c r="CO33" s="1428"/>
      <c r="CP33" s="1428"/>
      <c r="CQ33" s="1428"/>
      <c r="CR33" s="1428"/>
      <c r="CS33" s="1428"/>
      <c r="CT33" s="1428"/>
      <c r="CU33" s="1428"/>
      <c r="CV33" s="1428"/>
      <c r="CW33" s="1428"/>
      <c r="CX33" s="1428"/>
      <c r="CY33" s="1428"/>
      <c r="CZ33" s="1428"/>
      <c r="DA33" s="1428"/>
      <c r="DB33" s="1428"/>
      <c r="DC33" s="1428"/>
      <c r="DD33" s="1428"/>
      <c r="DE33" s="1428"/>
      <c r="DF33" s="1428"/>
      <c r="DG33" s="1428"/>
      <c r="DH33" s="1428"/>
      <c r="DI33" s="1428"/>
      <c r="DJ33" s="1428"/>
      <c r="DK33" s="1428"/>
      <c r="DL33" s="1428"/>
      <c r="DM33" s="1428"/>
      <c r="DN33" s="1428"/>
      <c r="DO33" s="1428"/>
      <c r="DP33" s="1428"/>
      <c r="DQ33" s="1428"/>
      <c r="DR33" s="1428"/>
      <c r="DS33" s="1428"/>
      <c r="DT33" s="1428"/>
      <c r="DU33" s="1428"/>
      <c r="DV33" s="1428"/>
      <c r="DW33" s="1428"/>
      <c r="DX33" s="1428"/>
      <c r="DY33" s="1428"/>
      <c r="DZ33" s="1428"/>
      <c r="EA33" s="1428"/>
      <c r="EB33" s="1428"/>
      <c r="EC33" s="1428"/>
      <c r="ED33" s="1428"/>
      <c r="EE33" s="1428"/>
      <c r="EF33" s="1428"/>
      <c r="EG33" s="1428"/>
      <c r="EH33" s="1428"/>
      <c r="EI33" s="1428"/>
      <c r="EJ33" s="1428"/>
      <c r="EK33" s="1428"/>
      <c r="EL33" s="1428"/>
      <c r="EM33" s="1428"/>
      <c r="EN33" s="1428"/>
      <c r="EO33" s="1428"/>
      <c r="EP33" s="1428"/>
      <c r="EQ33" s="1428"/>
      <c r="ER33" s="1428"/>
      <c r="ES33" s="1428"/>
      <c r="ET33" s="1428"/>
      <c r="EU33" s="1428"/>
      <c r="EV33" s="1428"/>
      <c r="EW33" s="1428"/>
      <c r="EX33" s="1428"/>
      <c r="EY33" s="1428"/>
      <c r="EZ33" s="1428"/>
      <c r="FA33" s="1428"/>
      <c r="FB33" s="1428"/>
      <c r="FC33" s="1428"/>
      <c r="FD33" s="1428"/>
      <c r="FE33" s="1428"/>
      <c r="FF33" s="1428"/>
      <c r="FG33" s="1428"/>
      <c r="FH33" s="1428"/>
      <c r="FI33" s="1428"/>
      <c r="FJ33" s="1428"/>
      <c r="FK33" s="1428"/>
      <c r="FL33" s="1428"/>
      <c r="FM33" s="1428"/>
      <c r="FN33" s="1428"/>
      <c r="FO33" s="1428"/>
      <c r="FP33" s="1428"/>
      <c r="FQ33" s="1428"/>
      <c r="FR33" s="1428"/>
      <c r="FS33" s="1428"/>
      <c r="FT33" s="1428"/>
      <c r="FU33" s="1428"/>
      <c r="FV33" s="1428"/>
      <c r="FW33" s="1428"/>
      <c r="FX33" s="1428"/>
      <c r="FY33" s="1428"/>
      <c r="FZ33" s="1428"/>
      <c r="GA33" s="1428"/>
      <c r="GB33" s="1428"/>
      <c r="GC33" s="1428"/>
      <c r="GD33" s="1428"/>
      <c r="GE33" s="1428"/>
      <c r="GF33" s="1428"/>
      <c r="GG33" s="1428"/>
      <c r="GH33" s="1428"/>
      <c r="GI33" s="1428"/>
      <c r="GJ33" s="1428"/>
      <c r="GK33" s="1428"/>
      <c r="GL33" s="1428"/>
      <c r="GM33" s="1428"/>
      <c r="GN33" s="1428"/>
      <c r="GO33" s="1428"/>
      <c r="GP33" s="1428"/>
      <c r="GQ33" s="1428"/>
      <c r="GR33" s="1428"/>
      <c r="GS33" s="1428"/>
      <c r="GT33" s="1428"/>
      <c r="GU33" s="1428"/>
      <c r="GV33" s="1428"/>
      <c r="GW33" s="1428"/>
      <c r="GX33" s="1428"/>
      <c r="GY33" s="1428"/>
      <c r="GZ33" s="1428"/>
      <c r="HA33" s="1428"/>
      <c r="HB33" s="1428"/>
      <c r="HC33" s="1428"/>
      <c r="HD33" s="1428"/>
      <c r="HE33" s="1428"/>
      <c r="HF33" s="1428"/>
      <c r="HG33" s="1428"/>
      <c r="HH33" s="1428"/>
      <c r="HI33" s="1428"/>
      <c r="HJ33" s="1428"/>
      <c r="HK33" s="1428"/>
      <c r="HL33" s="1428"/>
      <c r="HM33" s="1428"/>
      <c r="HN33" s="1428"/>
      <c r="HO33" s="1428"/>
      <c r="HP33" s="1428"/>
      <c r="HQ33" s="1428"/>
      <c r="HR33" s="1428"/>
      <c r="HS33" s="1428"/>
      <c r="HT33" s="1428"/>
      <c r="HU33" s="1428"/>
      <c r="HV33" s="1428"/>
      <c r="HW33" s="1428"/>
      <c r="HX33" s="1428"/>
      <c r="HY33" s="1428"/>
      <c r="HZ33" s="1428"/>
      <c r="IA33" s="1428"/>
      <c r="IB33" s="1428"/>
      <c r="IC33" s="1428"/>
      <c r="ID33" s="1428"/>
      <c r="IE33" s="1428"/>
      <c r="IF33" s="1428"/>
      <c r="IG33" s="1428"/>
      <c r="IH33" s="1428"/>
      <c r="II33" s="1428"/>
      <c r="IJ33" s="1428"/>
      <c r="IK33" s="1428"/>
      <c r="IL33" s="1428"/>
      <c r="IM33" s="1428"/>
      <c r="IN33" s="1428"/>
      <c r="IO33" s="1428"/>
      <c r="IP33" s="1428"/>
      <c r="IQ33" s="1428"/>
      <c r="IR33" s="1428"/>
      <c r="IS33" s="1428"/>
      <c r="IT33" s="1428"/>
      <c r="IU33" s="1428"/>
      <c r="IV33" s="1428"/>
      <c r="IW33" s="1428"/>
      <c r="IX33" s="1428"/>
      <c r="IY33" s="1428"/>
      <c r="IZ33" s="1428"/>
      <c r="JA33" s="1428"/>
      <c r="JB33" s="1428"/>
      <c r="JC33" s="1428"/>
      <c r="JD33" s="1428"/>
      <c r="JE33" s="1428"/>
      <c r="JF33" s="1428"/>
      <c r="JG33" s="1428"/>
      <c r="JH33" s="1428"/>
      <c r="JI33" s="1428"/>
      <c r="JJ33" s="1428"/>
      <c r="JK33" s="1428"/>
      <c r="JL33" s="1428"/>
      <c r="JM33" s="1428"/>
      <c r="JN33" s="1428"/>
      <c r="JO33" s="1428"/>
      <c r="JP33" s="1428"/>
      <c r="JQ33" s="1428"/>
      <c r="JR33" s="1428"/>
      <c r="JS33" s="1428"/>
      <c r="JT33" s="1428"/>
      <c r="JU33" s="1428"/>
      <c r="JV33" s="1428"/>
      <c r="JW33" s="1428"/>
      <c r="JX33" s="1428"/>
      <c r="JY33" s="1428"/>
      <c r="JZ33" s="1428"/>
      <c r="KA33" s="1428"/>
      <c r="KB33" s="1428"/>
      <c r="KC33" s="1428"/>
      <c r="KD33" s="1428"/>
      <c r="KE33" s="1428"/>
      <c r="KF33" s="1428"/>
      <c r="KG33" s="1428"/>
      <c r="KH33" s="1428"/>
      <c r="KI33" s="1428"/>
      <c r="KJ33" s="1428"/>
      <c r="KK33" s="1428"/>
      <c r="KL33" s="1428"/>
      <c r="KM33" s="1428"/>
      <c r="KN33" s="1428"/>
      <c r="KO33" s="1428"/>
      <c r="KP33" s="1428"/>
      <c r="KQ33" s="1428"/>
      <c r="KR33" s="1428"/>
      <c r="KS33" s="1428"/>
      <c r="KT33" s="1428"/>
      <c r="KU33" s="1428"/>
      <c r="KV33" s="1428"/>
      <c r="KW33" s="1428"/>
      <c r="KX33" s="1428"/>
      <c r="KY33" s="1428"/>
      <c r="KZ33" s="1428"/>
      <c r="LA33" s="1428"/>
      <c r="LB33" s="1428"/>
      <c r="LC33" s="1428"/>
      <c r="LD33" s="1428"/>
      <c r="LE33" s="1428"/>
      <c r="LF33" s="1428"/>
      <c r="LG33" s="1428"/>
      <c r="LH33" s="1428"/>
      <c r="LI33" s="1428"/>
      <c r="LJ33" s="1428"/>
      <c r="LK33" s="1428"/>
      <c r="LL33" s="1428"/>
      <c r="LM33" s="1428"/>
      <c r="LN33" s="1428"/>
      <c r="LO33" s="1428"/>
      <c r="LP33" s="1428"/>
      <c r="LQ33" s="1428"/>
      <c r="LR33" s="1428"/>
      <c r="LS33" s="1428"/>
      <c r="LT33" s="1428"/>
      <c r="LU33" s="1428"/>
      <c r="LV33" s="1428"/>
      <c r="LW33" s="1428"/>
      <c r="LX33" s="1428"/>
      <c r="LY33" s="1428"/>
      <c r="LZ33" s="1428"/>
      <c r="MA33" s="1428"/>
      <c r="MB33" s="1428"/>
      <c r="MC33" s="1428"/>
      <c r="MD33" s="1428"/>
      <c r="ME33" s="1428"/>
      <c r="MF33" s="1428"/>
      <c r="MG33" s="1428"/>
      <c r="MH33" s="1428"/>
      <c r="MI33" s="1428"/>
      <c r="MJ33" s="1428"/>
      <c r="MK33" s="1428"/>
      <c r="ML33" s="1428"/>
      <c r="MM33" s="1428"/>
      <c r="MN33" s="1428"/>
      <c r="MO33" s="1428"/>
      <c r="MP33" s="1428"/>
      <c r="MQ33" s="1428"/>
      <c r="MR33" s="1428"/>
      <c r="MS33" s="1428"/>
      <c r="MT33" s="1428"/>
      <c r="MU33" s="1428"/>
      <c r="MV33" s="1428"/>
      <c r="MW33" s="1428"/>
      <c r="MX33" s="1428"/>
      <c r="MY33" s="1428"/>
      <c r="MZ33" s="1428"/>
      <c r="NA33" s="1428"/>
      <c r="NB33" s="1428"/>
      <c r="NC33" s="1428"/>
      <c r="ND33" s="1428"/>
      <c r="NE33" s="1428"/>
      <c r="NF33" s="1428"/>
      <c r="NG33" s="1428"/>
      <c r="NH33" s="1428"/>
      <c r="NI33" s="1428"/>
      <c r="NJ33" s="1428"/>
      <c r="NK33" s="1428"/>
      <c r="NL33" s="1428"/>
      <c r="NM33" s="1428"/>
      <c r="NN33" s="1428"/>
      <c r="NO33" s="1428"/>
      <c r="NP33" s="1428"/>
      <c r="NQ33" s="1428"/>
      <c r="NR33" s="1428"/>
      <c r="NS33" s="1428"/>
      <c r="NT33" s="1428"/>
      <c r="NU33" s="1428"/>
      <c r="NV33" s="1428"/>
      <c r="NW33" s="1428"/>
      <c r="NX33" s="1428"/>
      <c r="NY33" s="1428"/>
      <c r="NZ33" s="1428"/>
      <c r="OA33" s="1428"/>
      <c r="OB33" s="1428"/>
      <c r="OC33" s="1428"/>
      <c r="OD33" s="1428"/>
      <c r="OE33" s="1428"/>
      <c r="OF33" s="1428"/>
      <c r="OG33" s="1428"/>
      <c r="OH33" s="1428"/>
      <c r="OI33" s="1428"/>
      <c r="OJ33" s="1428"/>
      <c r="OK33" s="1428"/>
      <c r="OL33" s="1428"/>
      <c r="OM33" s="1428"/>
      <c r="ON33" s="1428"/>
      <c r="OO33" s="1428"/>
      <c r="OP33" s="1428"/>
      <c r="OQ33" s="1428"/>
      <c r="OR33" s="1428"/>
      <c r="OS33" s="1428"/>
      <c r="OT33" s="1428"/>
      <c r="OU33" s="1428"/>
      <c r="OV33" s="1428"/>
      <c r="OW33" s="1428"/>
      <c r="OX33" s="1428"/>
      <c r="OY33" s="1428"/>
      <c r="OZ33" s="1428"/>
      <c r="PA33" s="1428"/>
      <c r="PB33" s="1428"/>
      <c r="PC33" s="1428"/>
      <c r="PD33" s="1428"/>
      <c r="PE33" s="1428"/>
      <c r="PF33" s="1428"/>
      <c r="PG33" s="1428"/>
      <c r="PH33" s="1428"/>
      <c r="PI33" s="1428"/>
      <c r="PJ33" s="1428"/>
      <c r="PK33" s="1428"/>
      <c r="PL33" s="1428"/>
      <c r="PM33" s="1428"/>
      <c r="PN33" s="1428"/>
      <c r="PO33" s="1428"/>
      <c r="PP33" s="1428"/>
      <c r="PQ33" s="1428"/>
      <c r="PR33" s="1428"/>
      <c r="PS33" s="1428"/>
      <c r="PT33" s="1428"/>
      <c r="PU33" s="1428"/>
      <c r="PV33" s="1428"/>
      <c r="PW33" s="1428"/>
      <c r="PX33" s="1428"/>
      <c r="PY33" s="1428"/>
      <c r="PZ33" s="1428"/>
      <c r="QA33" s="1428"/>
      <c r="QB33" s="1428"/>
      <c r="QC33" s="1428"/>
      <c r="QD33" s="1428"/>
      <c r="QE33" s="1428"/>
      <c r="QF33" s="1428"/>
      <c r="QG33" s="1428"/>
      <c r="QH33" s="1428"/>
      <c r="QI33" s="1428"/>
      <c r="QJ33" s="1428"/>
      <c r="QK33" s="1428"/>
      <c r="QL33" s="1428"/>
      <c r="QM33" s="1428"/>
      <c r="QN33" s="1428"/>
      <c r="QO33" s="1428"/>
      <c r="QP33" s="1428"/>
      <c r="QQ33" s="1428"/>
      <c r="QR33" s="1428"/>
      <c r="QS33" s="1428"/>
      <c r="QT33" s="1428"/>
      <c r="QU33" s="1428"/>
      <c r="QV33" s="1428"/>
      <c r="QW33" s="1428"/>
      <c r="QX33" s="1428"/>
      <c r="QY33" s="1428"/>
      <c r="QZ33" s="1428"/>
      <c r="RA33" s="1428"/>
      <c r="RB33" s="1428"/>
      <c r="RC33" s="1428"/>
      <c r="RD33" s="1428"/>
      <c r="RE33" s="1428"/>
      <c r="RF33" s="1428"/>
      <c r="RG33" s="1428"/>
      <c r="RH33" s="1428"/>
      <c r="RI33" s="1428"/>
      <c r="RJ33" s="1428"/>
      <c r="RK33" s="1428"/>
      <c r="RL33" s="1428"/>
      <c r="RM33" s="1428"/>
      <c r="RN33" s="1428"/>
      <c r="RO33" s="1428"/>
      <c r="RP33" s="1428"/>
      <c r="RQ33" s="1428"/>
      <c r="RR33" s="1428"/>
      <c r="RS33" s="1428"/>
      <c r="RT33" s="1428"/>
      <c r="RU33" s="1428"/>
      <c r="RV33" s="1428"/>
      <c r="RW33" s="1428"/>
      <c r="RX33" s="1428"/>
      <c r="RY33" s="1428"/>
      <c r="RZ33" s="1428"/>
      <c r="SA33" s="1428"/>
      <c r="SB33" s="1428"/>
      <c r="SC33" s="1428"/>
      <c r="SD33" s="1428"/>
      <c r="SE33" s="1428"/>
      <c r="SF33" s="1428"/>
      <c r="SG33" s="1428"/>
      <c r="SH33" s="1428"/>
      <c r="SI33" s="1428"/>
      <c r="SJ33" s="1428"/>
      <c r="SK33" s="1428"/>
      <c r="SL33" s="1428"/>
      <c r="SM33" s="1428"/>
      <c r="SN33" s="1428"/>
      <c r="SO33" s="1428"/>
      <c r="SP33" s="1428"/>
      <c r="SQ33" s="1428"/>
      <c r="SR33" s="1428"/>
      <c r="SS33" s="1428"/>
      <c r="ST33" s="1428"/>
      <c r="SU33" s="1428"/>
      <c r="SV33" s="1428"/>
      <c r="SW33" s="1428"/>
      <c r="SX33" s="1428"/>
      <c r="SY33" s="1428"/>
      <c r="SZ33" s="1428"/>
      <c r="TA33" s="1428"/>
      <c r="TB33" s="1428"/>
      <c r="TC33" s="1428"/>
      <c r="TD33" s="1428"/>
      <c r="TE33" s="1428"/>
      <c r="TF33" s="1428"/>
      <c r="TG33" s="1428"/>
      <c r="TH33" s="1428"/>
      <c r="TI33" s="1428"/>
      <c r="TJ33" s="1428"/>
      <c r="TK33" s="1428"/>
      <c r="TL33" s="1428"/>
      <c r="TM33" s="1428"/>
      <c r="TN33" s="1428"/>
      <c r="TO33" s="1428"/>
      <c r="TP33" s="1428"/>
      <c r="TQ33" s="1428"/>
      <c r="TR33" s="1428"/>
      <c r="TS33" s="1428"/>
      <c r="TT33" s="1428"/>
      <c r="TU33" s="1428"/>
      <c r="TV33" s="1428"/>
      <c r="TW33" s="1428"/>
      <c r="TX33" s="1428"/>
      <c r="TY33" s="1428"/>
      <c r="TZ33" s="1428"/>
      <c r="UA33" s="1428"/>
      <c r="UB33" s="1428"/>
      <c r="UC33" s="1428"/>
      <c r="UD33" s="1428"/>
      <c r="UE33" s="1428"/>
      <c r="UF33" s="1428"/>
      <c r="UG33" s="1428"/>
      <c r="UH33" s="1428"/>
      <c r="UI33" s="1428"/>
      <c r="UJ33" s="1428"/>
      <c r="UK33" s="1428"/>
      <c r="UL33" s="1428"/>
      <c r="UM33" s="1428"/>
      <c r="UN33" s="1428"/>
      <c r="UO33" s="1428"/>
      <c r="UP33" s="1428"/>
      <c r="UQ33" s="1428"/>
      <c r="UR33" s="1428"/>
      <c r="US33" s="1428"/>
      <c r="UT33" s="1428"/>
      <c r="UU33" s="1428"/>
      <c r="UV33" s="1428"/>
      <c r="UW33" s="1428"/>
      <c r="UX33" s="1428"/>
      <c r="UY33" s="1428"/>
      <c r="UZ33" s="1428"/>
      <c r="VA33" s="1428"/>
      <c r="VB33" s="1428"/>
      <c r="VC33" s="1428"/>
      <c r="VD33" s="1428"/>
      <c r="VE33" s="1428"/>
      <c r="VF33" s="1428"/>
      <c r="VG33" s="1428"/>
      <c r="VH33" s="1428"/>
      <c r="VI33" s="1428"/>
      <c r="VJ33" s="1428"/>
      <c r="VK33" s="1428"/>
      <c r="VL33" s="1428"/>
      <c r="VM33" s="1428"/>
      <c r="VN33" s="1428"/>
      <c r="VO33" s="1428"/>
      <c r="VP33" s="1428"/>
      <c r="VQ33" s="1428"/>
      <c r="VR33" s="1428"/>
      <c r="VS33" s="1428"/>
      <c r="VT33" s="1428"/>
      <c r="VU33" s="1428"/>
      <c r="VV33" s="1428"/>
      <c r="VW33" s="1428"/>
      <c r="VX33" s="1428"/>
      <c r="VY33" s="1428"/>
      <c r="VZ33" s="1428"/>
      <c r="WA33" s="1428"/>
      <c r="WB33" s="1428"/>
      <c r="WC33" s="1428"/>
      <c r="WD33" s="1428"/>
      <c r="WE33" s="1428"/>
      <c r="WF33" s="1428"/>
      <c r="WG33" s="1428"/>
      <c r="WH33" s="1428"/>
      <c r="WI33" s="1428"/>
      <c r="WJ33" s="1428"/>
      <c r="WK33" s="1428"/>
      <c r="WL33" s="1428"/>
      <c r="WM33" s="1428"/>
      <c r="WN33" s="1428"/>
      <c r="WO33" s="1428"/>
      <c r="WP33" s="1428"/>
      <c r="WQ33" s="1428"/>
      <c r="WR33" s="1428"/>
      <c r="WS33" s="1428"/>
      <c r="WT33" s="1428"/>
      <c r="WU33" s="1428"/>
      <c r="WV33" s="1428"/>
      <c r="WW33" s="1428"/>
      <c r="WX33" s="1428"/>
      <c r="WY33" s="1428"/>
      <c r="WZ33" s="1428"/>
      <c r="XA33" s="1428"/>
      <c r="XB33" s="1428"/>
      <c r="XC33" s="1428"/>
      <c r="XD33" s="1428"/>
      <c r="XE33" s="1428"/>
      <c r="XF33" s="1428"/>
      <c r="XG33" s="1428"/>
      <c r="XH33" s="1428"/>
      <c r="XI33" s="1428"/>
      <c r="XJ33" s="1428"/>
      <c r="XK33" s="1428"/>
      <c r="XL33" s="1428"/>
      <c r="XM33" s="1428"/>
      <c r="XN33" s="1428"/>
      <c r="XO33" s="1428"/>
      <c r="XP33" s="1428"/>
      <c r="XQ33" s="1428"/>
      <c r="XR33" s="1428"/>
      <c r="XS33" s="1428"/>
      <c r="XT33" s="1428"/>
      <c r="XU33" s="1428"/>
      <c r="XV33" s="1428"/>
      <c r="XW33" s="1428"/>
      <c r="XX33" s="1428"/>
      <c r="XY33" s="1428"/>
      <c r="XZ33" s="1428"/>
      <c r="YA33" s="1428"/>
      <c r="YB33" s="1428"/>
      <c r="YC33" s="1428"/>
      <c r="YD33" s="1428"/>
      <c r="YE33" s="1428"/>
      <c r="YF33" s="1428"/>
      <c r="YG33" s="1428"/>
      <c r="YH33" s="1428"/>
      <c r="YI33" s="1428"/>
      <c r="YJ33" s="1428"/>
      <c r="YK33" s="1428"/>
      <c r="YL33" s="1428"/>
      <c r="YM33" s="1428"/>
      <c r="YN33" s="1428"/>
      <c r="YO33" s="1428"/>
      <c r="YP33" s="1428"/>
      <c r="YQ33" s="1428"/>
      <c r="YR33" s="1428"/>
      <c r="YS33" s="1428"/>
      <c r="YT33" s="1428"/>
      <c r="YU33" s="1428"/>
      <c r="YV33" s="1428"/>
      <c r="YW33" s="1428"/>
      <c r="YX33" s="1428"/>
      <c r="YY33" s="1428"/>
      <c r="YZ33" s="1428"/>
      <c r="ZA33" s="1428"/>
      <c r="ZB33" s="1428"/>
      <c r="ZC33" s="1428"/>
      <c r="ZD33" s="1428"/>
      <c r="ZE33" s="1428"/>
      <c r="ZF33" s="1428"/>
      <c r="ZG33" s="1428"/>
      <c r="ZH33" s="1428"/>
      <c r="ZI33" s="1428"/>
      <c r="ZJ33" s="1428"/>
      <c r="ZK33" s="1428"/>
      <c r="ZL33" s="1428"/>
      <c r="ZM33" s="1428"/>
      <c r="ZN33" s="1428"/>
      <c r="ZO33" s="1428"/>
      <c r="ZP33" s="1428"/>
      <c r="ZQ33" s="1428"/>
      <c r="ZR33" s="1428"/>
      <c r="ZS33" s="1428"/>
      <c r="ZT33" s="1428"/>
      <c r="ZU33" s="1428"/>
      <c r="ZV33" s="1428"/>
      <c r="ZW33" s="1428"/>
      <c r="ZX33" s="1428"/>
      <c r="ZY33" s="1428"/>
      <c r="ZZ33" s="1428"/>
      <c r="AAA33" s="1428"/>
      <c r="AAB33" s="1428"/>
      <c r="AAC33" s="1428"/>
      <c r="AAD33" s="1428"/>
      <c r="AAE33" s="1428"/>
      <c r="AAF33" s="1428"/>
      <c r="AAG33" s="1428"/>
      <c r="AAH33" s="1428"/>
      <c r="AAI33" s="1428"/>
      <c r="AAJ33" s="1428"/>
      <c r="AAK33" s="1428"/>
      <c r="AAL33" s="1428"/>
      <c r="AAM33" s="1428"/>
      <c r="AAN33" s="1428"/>
      <c r="AAO33" s="1428"/>
      <c r="AAP33" s="1428"/>
      <c r="AAQ33" s="1428"/>
      <c r="AAR33" s="1428"/>
      <c r="AAS33" s="1428"/>
      <c r="AAT33" s="1428"/>
      <c r="AAU33" s="1428"/>
      <c r="AAV33" s="1428"/>
      <c r="AAW33" s="1428"/>
      <c r="AAX33" s="1428"/>
      <c r="AAY33" s="1428"/>
      <c r="AAZ33" s="1428"/>
      <c r="ABA33" s="1428"/>
      <c r="ABB33" s="1428"/>
      <c r="ABC33" s="1428"/>
      <c r="ABD33" s="1428"/>
      <c r="ABE33" s="1428"/>
      <c r="ABF33" s="1428"/>
      <c r="ABG33" s="1428"/>
      <c r="ABH33" s="1428"/>
      <c r="ABI33" s="1428"/>
      <c r="ABJ33" s="1428"/>
      <c r="ABK33" s="1428"/>
      <c r="ABL33" s="1428"/>
      <c r="ABM33" s="1428"/>
      <c r="ABN33" s="1428"/>
      <c r="ABO33" s="1428"/>
      <c r="ABP33" s="1428"/>
      <c r="ABQ33" s="1428"/>
      <c r="ABR33" s="1428"/>
      <c r="ABS33" s="1428"/>
      <c r="ABT33" s="1428"/>
      <c r="ABU33" s="1428"/>
      <c r="ABV33" s="1428"/>
      <c r="ABW33" s="1428"/>
      <c r="ABX33" s="1428"/>
      <c r="ABY33" s="1428"/>
      <c r="ABZ33" s="1428"/>
      <c r="ACA33" s="1428"/>
      <c r="ACB33" s="1428"/>
      <c r="ACC33" s="1428"/>
      <c r="ACD33" s="1428"/>
      <c r="ACE33" s="1428"/>
      <c r="ACF33" s="1428"/>
      <c r="ACG33" s="1428"/>
      <c r="ACH33" s="1428"/>
      <c r="ACI33" s="1428"/>
      <c r="ACJ33" s="1428"/>
      <c r="ACK33" s="1428"/>
      <c r="ACL33" s="1428"/>
      <c r="ACM33" s="1428"/>
      <c r="ACN33" s="1428"/>
      <c r="ACO33" s="1428"/>
      <c r="ACP33" s="1428"/>
      <c r="ACQ33" s="1428"/>
      <c r="ACR33" s="1428"/>
      <c r="ACS33" s="1428"/>
      <c r="ACT33" s="1428"/>
      <c r="ACU33" s="1428"/>
      <c r="ACV33" s="1428"/>
      <c r="ACW33" s="1428"/>
      <c r="ACX33" s="1428"/>
      <c r="ACY33" s="1428"/>
      <c r="ACZ33" s="1428"/>
      <c r="ADA33" s="1428"/>
      <c r="ADB33" s="1428"/>
      <c r="ADC33" s="1428"/>
      <c r="ADD33" s="1428"/>
      <c r="ADE33" s="1428"/>
      <c r="ADF33" s="1428"/>
      <c r="ADG33" s="1428"/>
      <c r="ADH33" s="1428"/>
      <c r="ADI33" s="1428"/>
      <c r="ADJ33" s="1428"/>
      <c r="ADK33" s="1428"/>
      <c r="ADL33" s="1428"/>
      <c r="ADM33" s="1428"/>
      <c r="ADN33" s="1428"/>
      <c r="ADO33" s="1428"/>
      <c r="ADP33" s="1428"/>
      <c r="ADQ33" s="1428"/>
      <c r="ADR33" s="1428"/>
      <c r="ADS33" s="1428"/>
      <c r="ADT33" s="1428"/>
      <c r="ADU33" s="1428"/>
      <c r="ADV33" s="1428"/>
      <c r="ADW33" s="1428"/>
      <c r="ADX33" s="1428"/>
      <c r="ADY33" s="1428"/>
      <c r="ADZ33" s="1428"/>
      <c r="AEA33" s="1428"/>
      <c r="AEB33" s="1428"/>
      <c r="AEC33" s="1428"/>
      <c r="AED33" s="1428"/>
      <c r="AEE33" s="1428"/>
      <c r="AEF33" s="1428"/>
      <c r="AEG33" s="1428"/>
      <c r="AEH33" s="1428"/>
      <c r="AEI33" s="1428"/>
      <c r="AEJ33" s="1428"/>
      <c r="AEK33" s="1428"/>
      <c r="AEL33" s="1428"/>
      <c r="AEM33" s="1428"/>
      <c r="AEN33" s="1428"/>
      <c r="AEO33" s="1428"/>
      <c r="AEP33" s="1428"/>
      <c r="AEQ33" s="1428"/>
      <c r="AER33" s="1428"/>
      <c r="AES33" s="1428"/>
      <c r="AET33" s="1428"/>
      <c r="AEU33" s="1428"/>
      <c r="AEV33" s="1428"/>
      <c r="AEW33" s="1428"/>
      <c r="AEX33" s="1428"/>
      <c r="AEY33" s="1428"/>
      <c r="AEZ33" s="1428"/>
      <c r="AFA33" s="1428"/>
      <c r="AFB33" s="1428"/>
      <c r="AFC33" s="1428"/>
      <c r="AFD33" s="1428"/>
      <c r="AFE33" s="1428"/>
      <c r="AFF33" s="1428"/>
      <c r="AFG33" s="1428"/>
      <c r="AFH33" s="1428"/>
      <c r="AFI33" s="1428"/>
      <c r="AFJ33" s="1428"/>
      <c r="AFK33" s="1428"/>
      <c r="AFL33" s="1428"/>
      <c r="AFM33" s="1428"/>
      <c r="AFN33" s="1428"/>
      <c r="AFO33" s="1428"/>
      <c r="AFP33" s="1428"/>
      <c r="AFQ33" s="1428"/>
      <c r="AFR33" s="1428"/>
      <c r="AFS33" s="1428"/>
      <c r="AFT33" s="1428"/>
      <c r="AFU33" s="1428"/>
      <c r="AFV33" s="1428"/>
      <c r="AFW33" s="1428"/>
      <c r="AFX33" s="1428"/>
      <c r="AFY33" s="1428"/>
      <c r="AFZ33" s="1428"/>
      <c r="AGA33" s="1428"/>
      <c r="AGB33" s="1428"/>
      <c r="AGC33" s="1428"/>
      <c r="AGD33" s="1428"/>
      <c r="AGE33" s="1428"/>
      <c r="AGF33" s="1428"/>
      <c r="AGG33" s="1428"/>
      <c r="AGH33" s="1428"/>
      <c r="AGI33" s="1428"/>
      <c r="AGJ33" s="1428"/>
      <c r="AGK33" s="1428"/>
      <c r="AGL33" s="1428"/>
      <c r="AGM33" s="1428"/>
      <c r="AGN33" s="1428"/>
      <c r="AGO33" s="1428"/>
      <c r="AGP33" s="1428"/>
      <c r="AGQ33" s="1428"/>
      <c r="AGR33" s="1428"/>
      <c r="AGS33" s="1428"/>
      <c r="AGT33" s="1428"/>
      <c r="AGU33" s="1428"/>
      <c r="AGV33" s="1428"/>
      <c r="AGW33" s="1428"/>
      <c r="AGX33" s="1428"/>
      <c r="AGY33" s="1428"/>
      <c r="AGZ33" s="1428"/>
      <c r="AHA33" s="1428"/>
      <c r="AHB33" s="1428"/>
      <c r="AHC33" s="1428"/>
      <c r="AHD33" s="1428"/>
      <c r="AHE33" s="1428"/>
      <c r="AHF33" s="1428"/>
      <c r="AHG33" s="1428"/>
      <c r="AHH33" s="1428"/>
      <c r="AHI33" s="1428"/>
      <c r="AHJ33" s="1428"/>
      <c r="AHK33" s="1428"/>
      <c r="AHL33" s="1428"/>
      <c r="AHM33" s="1428"/>
      <c r="AHN33" s="1428"/>
      <c r="AHO33" s="1428"/>
      <c r="AHP33" s="1428"/>
      <c r="AHQ33" s="1428"/>
      <c r="AHR33" s="1428"/>
      <c r="AHS33" s="1428"/>
      <c r="AHT33" s="1428"/>
      <c r="AHU33" s="1428"/>
      <c r="AHV33" s="1428"/>
      <c r="AHW33" s="1428"/>
      <c r="AHX33" s="1428"/>
      <c r="AHY33" s="1428"/>
      <c r="AHZ33" s="1428"/>
      <c r="AIA33" s="1428"/>
      <c r="AIB33" s="1428"/>
      <c r="AIC33" s="1428"/>
      <c r="AID33" s="1428"/>
      <c r="AIE33" s="1428"/>
      <c r="AIF33" s="1428"/>
      <c r="AIG33" s="1428"/>
      <c r="AIH33" s="1428"/>
      <c r="AII33" s="1428"/>
      <c r="AIJ33" s="1428"/>
      <c r="AIK33" s="1428"/>
      <c r="AIL33" s="1428"/>
      <c r="AIM33" s="1428"/>
      <c r="AIN33" s="1428"/>
      <c r="AIO33" s="1428"/>
      <c r="AIP33" s="1428"/>
      <c r="AIQ33" s="1428"/>
      <c r="AIR33" s="1428"/>
      <c r="AIS33" s="1428"/>
      <c r="AIT33" s="1428"/>
      <c r="AIU33" s="1428"/>
      <c r="AIV33" s="1428"/>
      <c r="AIW33" s="1428"/>
      <c r="AIX33" s="1428"/>
      <c r="AIY33" s="1428"/>
      <c r="AIZ33" s="1428"/>
      <c r="AJA33" s="1428"/>
      <c r="AJB33" s="1428"/>
      <c r="AJC33" s="1428"/>
      <c r="AJD33" s="1428"/>
      <c r="AJE33" s="1428"/>
      <c r="AJF33" s="1428"/>
      <c r="AJG33" s="1428"/>
      <c r="AJH33" s="1428"/>
      <c r="AJI33" s="1428"/>
      <c r="AJJ33" s="1428"/>
      <c r="AJK33" s="1428"/>
      <c r="AJL33" s="1428"/>
      <c r="AJM33" s="1428"/>
      <c r="AJN33" s="1428"/>
      <c r="AJO33" s="1428"/>
      <c r="AJP33" s="1428"/>
      <c r="AJQ33" s="1428"/>
      <c r="AJR33" s="1428"/>
      <c r="AJS33" s="1428"/>
      <c r="AJT33" s="1428"/>
      <c r="AJU33" s="1428"/>
      <c r="AJV33" s="1428"/>
      <c r="AJW33" s="1428"/>
      <c r="AJX33" s="1428"/>
      <c r="AJY33" s="1428"/>
      <c r="AJZ33" s="1428"/>
      <c r="AKA33" s="1428"/>
      <c r="AKB33" s="1428"/>
      <c r="AKC33" s="1428"/>
      <c r="AKD33" s="1428"/>
      <c r="AKE33" s="1428"/>
      <c r="AKF33" s="1428"/>
      <c r="AKG33" s="1428"/>
      <c r="AKH33" s="1428"/>
      <c r="AKI33" s="1428"/>
      <c r="AKJ33" s="1428"/>
      <c r="AKK33" s="1428"/>
      <c r="AKL33" s="1428"/>
      <c r="AKM33" s="1428"/>
      <c r="AKN33" s="1428"/>
      <c r="AKO33" s="1428"/>
      <c r="AKP33" s="1428"/>
      <c r="AKQ33" s="1428"/>
      <c r="AKR33" s="1428"/>
      <c r="AKS33" s="1428"/>
      <c r="AKT33" s="1428"/>
      <c r="AKU33" s="1428"/>
      <c r="AKV33" s="1428"/>
      <c r="AKW33" s="1428"/>
      <c r="AKX33" s="1428"/>
      <c r="AKY33" s="1428"/>
      <c r="AKZ33" s="1428"/>
      <c r="ALA33" s="1428"/>
      <c r="ALB33" s="1428"/>
      <c r="ALC33" s="1428"/>
      <c r="ALD33" s="1428"/>
      <c r="ALE33" s="1428"/>
      <c r="ALF33" s="1428"/>
      <c r="ALG33" s="1428"/>
      <c r="ALH33" s="1428"/>
      <c r="ALI33" s="1428"/>
      <c r="ALJ33" s="1428"/>
      <c r="ALK33" s="1428"/>
      <c r="ALL33" s="1428"/>
      <c r="ALM33" s="1428"/>
      <c r="ALN33" s="1428"/>
      <c r="ALO33" s="1428"/>
      <c r="ALP33" s="1428"/>
      <c r="ALQ33" s="1428"/>
      <c r="ALR33" s="1428"/>
      <c r="ALS33" s="1428"/>
      <c r="ALT33" s="1428"/>
      <c r="ALU33" s="1428"/>
      <c r="ALV33" s="1428"/>
      <c r="ALW33" s="1428"/>
      <c r="ALX33" s="1428"/>
      <c r="ALY33" s="1428"/>
      <c r="ALZ33" s="1428"/>
      <c r="AMA33" s="1428"/>
      <c r="AMB33" s="1428"/>
      <c r="AMC33" s="1428"/>
      <c r="AMD33" s="1428"/>
      <c r="AME33" s="1428"/>
      <c r="AMF33" s="1428"/>
      <c r="AMG33" s="1428"/>
      <c r="AMH33" s="1428"/>
      <c r="AMI33" s="1428"/>
      <c r="AMJ33" s="1428"/>
      <c r="AMK33" s="1428"/>
      <c r="AML33" s="1428"/>
      <c r="AMM33" s="1428"/>
      <c r="AMN33" s="1428"/>
      <c r="AMO33" s="1428"/>
      <c r="AMP33" s="1428"/>
      <c r="AMQ33" s="1428"/>
      <c r="AMR33" s="1428"/>
      <c r="AMS33" s="1428"/>
      <c r="AMT33" s="1428"/>
      <c r="AMU33" s="1428"/>
      <c r="AMV33" s="1428"/>
      <c r="AMW33" s="1428"/>
      <c r="AMX33" s="1428"/>
      <c r="AMY33" s="1428"/>
      <c r="AMZ33" s="1428"/>
      <c r="ANA33" s="1428"/>
      <c r="ANB33" s="1428"/>
      <c r="ANC33" s="1428"/>
      <c r="AND33" s="1428"/>
      <c r="ANE33" s="1428"/>
      <c r="ANF33" s="1428"/>
      <c r="ANG33" s="1428"/>
      <c r="ANH33" s="1428"/>
      <c r="ANI33" s="1428"/>
      <c r="ANJ33" s="1428"/>
      <c r="ANK33" s="1428"/>
      <c r="ANL33" s="1428"/>
      <c r="ANM33" s="1428"/>
      <c r="ANN33" s="1428"/>
      <c r="ANO33" s="1428"/>
      <c r="ANP33" s="1428"/>
      <c r="ANQ33" s="1428"/>
      <c r="ANR33" s="1428"/>
      <c r="ANS33" s="1428"/>
      <c r="ANT33" s="1428"/>
      <c r="ANU33" s="1428"/>
      <c r="ANV33" s="1428"/>
      <c r="ANW33" s="1428"/>
      <c r="ANX33" s="1428"/>
      <c r="ANY33" s="1428"/>
      <c r="ANZ33" s="1428"/>
      <c r="AOA33" s="1428"/>
      <c r="AOB33" s="1428"/>
      <c r="AOC33" s="1428"/>
      <c r="AOD33" s="1428"/>
      <c r="AOE33" s="1428"/>
      <c r="AOF33" s="1428"/>
      <c r="AOG33" s="1428"/>
      <c r="AOH33" s="1428"/>
      <c r="AOI33" s="1428"/>
      <c r="AOJ33" s="1428"/>
      <c r="AOK33" s="1428"/>
      <c r="AOL33" s="1428"/>
      <c r="AOM33" s="1428"/>
      <c r="AON33" s="1428"/>
      <c r="AOO33" s="1428"/>
      <c r="AOP33" s="1428"/>
      <c r="AOQ33" s="1428"/>
      <c r="AOR33" s="1428"/>
      <c r="AOS33" s="1428"/>
      <c r="AOT33" s="1428"/>
      <c r="AOU33" s="1428"/>
      <c r="AOV33" s="1428"/>
      <c r="AOW33" s="1428"/>
      <c r="AOX33" s="1428"/>
      <c r="AOY33" s="1428"/>
      <c r="AOZ33" s="1428"/>
      <c r="APA33" s="1428"/>
      <c r="APB33" s="1428"/>
      <c r="APC33" s="1428"/>
      <c r="APD33" s="1428"/>
      <c r="APE33" s="1428"/>
      <c r="APF33" s="1428"/>
      <c r="APG33" s="1428"/>
      <c r="APH33" s="1428"/>
      <c r="API33" s="1428"/>
      <c r="APJ33" s="1428"/>
      <c r="APK33" s="1428"/>
      <c r="APL33" s="1428"/>
      <c r="APM33" s="1428"/>
      <c r="APN33" s="1428"/>
      <c r="APO33" s="1428"/>
      <c r="APP33" s="1428"/>
      <c r="APQ33" s="1428"/>
      <c r="APR33" s="1428"/>
      <c r="APS33" s="1428"/>
      <c r="APT33" s="1428"/>
      <c r="APU33" s="1428"/>
      <c r="APV33" s="1428"/>
      <c r="APW33" s="1428"/>
      <c r="APX33" s="1428"/>
      <c r="APY33" s="1428"/>
      <c r="APZ33" s="1428"/>
      <c r="AQA33" s="1428"/>
      <c r="AQB33" s="1428"/>
      <c r="AQC33" s="1428"/>
      <c r="AQD33" s="1428"/>
      <c r="AQE33" s="1428"/>
      <c r="AQF33" s="1428"/>
      <c r="AQG33" s="1428"/>
      <c r="AQH33" s="1428"/>
      <c r="AQI33" s="1428"/>
      <c r="AQJ33" s="1428"/>
      <c r="AQK33" s="1428"/>
      <c r="AQL33" s="1428"/>
      <c r="AQM33" s="1428"/>
      <c r="AQN33" s="1428"/>
      <c r="AQO33" s="1428"/>
      <c r="AQP33" s="1428"/>
      <c r="AQQ33" s="1428"/>
      <c r="AQR33" s="1428"/>
      <c r="AQS33" s="1428"/>
      <c r="AQT33" s="1428"/>
      <c r="AQU33" s="1428"/>
      <c r="AQV33" s="1428"/>
      <c r="AQW33" s="1428"/>
      <c r="AQX33" s="1428"/>
      <c r="AQY33" s="1428"/>
      <c r="AQZ33" s="1428"/>
      <c r="ARA33" s="1428"/>
      <c r="ARB33" s="1428"/>
      <c r="ARC33" s="1428"/>
      <c r="ARD33" s="1428"/>
      <c r="ARE33" s="1428"/>
      <c r="ARF33" s="1428"/>
      <c r="ARG33" s="1428"/>
      <c r="ARH33" s="1428"/>
      <c r="ARI33" s="1428"/>
      <c r="ARJ33" s="1428"/>
      <c r="ARK33" s="1428"/>
      <c r="ARL33" s="1428"/>
      <c r="ARM33" s="1428"/>
      <c r="ARN33" s="1428"/>
      <c r="ARO33" s="1428"/>
      <c r="ARP33" s="1428"/>
      <c r="ARQ33" s="1428"/>
      <c r="ARR33" s="1428"/>
      <c r="ARS33" s="1428"/>
      <c r="ART33" s="1428"/>
      <c r="ARU33" s="1428"/>
      <c r="ARV33" s="1428"/>
      <c r="ARW33" s="1428"/>
      <c r="ARX33" s="1428"/>
      <c r="ARY33" s="1428"/>
      <c r="ARZ33" s="1428"/>
      <c r="ASA33" s="1428"/>
      <c r="ASB33" s="1428"/>
      <c r="ASC33" s="1428"/>
      <c r="ASD33" s="1428"/>
      <c r="ASE33" s="1428"/>
      <c r="ASF33" s="1428"/>
      <c r="ASG33" s="1428"/>
      <c r="ASH33" s="1428"/>
      <c r="ASI33" s="1428"/>
      <c r="ASJ33" s="1428"/>
      <c r="ASK33" s="1428"/>
      <c r="ASL33" s="1428"/>
      <c r="ASM33" s="1428"/>
      <c r="ASN33" s="1428"/>
      <c r="ASO33" s="1428"/>
      <c r="ASP33" s="1428"/>
      <c r="ASQ33" s="1428"/>
      <c r="ASR33" s="1428"/>
      <c r="ASS33" s="1428"/>
      <c r="AST33" s="1428"/>
      <c r="ASU33" s="1428"/>
      <c r="ASV33" s="1428"/>
      <c r="ASW33" s="1428"/>
      <c r="ASX33" s="1428"/>
      <c r="ASY33" s="1428"/>
      <c r="ASZ33" s="1428"/>
      <c r="ATA33" s="1428"/>
      <c r="ATB33" s="1428"/>
      <c r="ATC33" s="1428"/>
      <c r="ATD33" s="1428"/>
      <c r="ATE33" s="1428"/>
      <c r="ATF33" s="1428"/>
      <c r="ATG33" s="1428"/>
      <c r="ATH33" s="1428"/>
      <c r="ATI33" s="1428"/>
      <c r="ATJ33" s="1428"/>
      <c r="ATK33" s="1428"/>
      <c r="ATL33" s="1428"/>
      <c r="ATM33" s="1428"/>
      <c r="ATN33" s="1428"/>
      <c r="ATO33" s="1428"/>
      <c r="ATP33" s="1428"/>
      <c r="ATQ33" s="1428"/>
      <c r="ATR33" s="1428"/>
      <c r="ATS33" s="1428"/>
      <c r="ATT33" s="1428"/>
      <c r="ATU33" s="1428"/>
      <c r="ATV33" s="1428"/>
      <c r="ATW33" s="1428"/>
      <c r="ATX33" s="1428"/>
      <c r="ATY33" s="1428"/>
      <c r="ATZ33" s="1428"/>
      <c r="AUA33" s="1428"/>
      <c r="AUB33" s="1428"/>
      <c r="AUC33" s="1428"/>
      <c r="AUD33" s="1428"/>
      <c r="AUE33" s="1428"/>
      <c r="AUF33" s="1428"/>
      <c r="AUG33" s="1428"/>
      <c r="AUH33" s="1428"/>
      <c r="AUI33" s="1428"/>
      <c r="AUJ33" s="1428"/>
      <c r="AUK33" s="1428"/>
      <c r="AUL33" s="1428"/>
      <c r="AUM33" s="1428"/>
      <c r="AUN33" s="1428"/>
      <c r="AUO33" s="1428"/>
      <c r="AUP33" s="1428"/>
      <c r="AUQ33" s="1428"/>
      <c r="AUR33" s="1428"/>
      <c r="AUS33" s="1428"/>
      <c r="AUT33" s="1428"/>
      <c r="AUU33" s="1428"/>
      <c r="AUV33" s="1428"/>
      <c r="AUW33" s="1428"/>
      <c r="AUX33" s="1428"/>
      <c r="AUY33" s="1428"/>
      <c r="AUZ33" s="1428"/>
      <c r="AVA33" s="1428"/>
      <c r="AVB33" s="1428"/>
      <c r="AVC33" s="1428"/>
      <c r="AVD33" s="1428"/>
      <c r="AVE33" s="1428"/>
      <c r="AVF33" s="1428"/>
      <c r="AVG33" s="1428"/>
      <c r="AVH33" s="1428"/>
      <c r="AVI33" s="1428"/>
      <c r="AVJ33" s="1428"/>
      <c r="AVK33" s="1428"/>
      <c r="AVL33" s="1428"/>
      <c r="AVM33" s="1428"/>
      <c r="AVN33" s="1428"/>
      <c r="AVO33" s="1428"/>
      <c r="AVP33" s="1428"/>
      <c r="AVQ33" s="1428"/>
      <c r="AVR33" s="1428"/>
      <c r="AVS33" s="1428"/>
      <c r="AVT33" s="1428"/>
      <c r="AVU33" s="1428"/>
      <c r="AVV33" s="1428"/>
      <c r="AVW33" s="1428"/>
      <c r="AVX33" s="1428"/>
      <c r="AVY33" s="1428"/>
      <c r="AVZ33" s="1428"/>
      <c r="AWA33" s="1428"/>
      <c r="AWB33" s="1428"/>
      <c r="AWC33" s="1428"/>
      <c r="AWD33" s="1428"/>
      <c r="AWE33" s="1428"/>
      <c r="AWF33" s="1428"/>
      <c r="AWG33" s="1428"/>
      <c r="AWH33" s="1428"/>
      <c r="AWI33" s="1428"/>
      <c r="AWJ33" s="1428"/>
      <c r="AWK33" s="1428"/>
      <c r="AWL33" s="1428"/>
      <c r="AWM33" s="1428"/>
      <c r="AWN33" s="1428"/>
      <c r="AWO33" s="1428"/>
      <c r="AWP33" s="1428"/>
      <c r="AWQ33" s="1428"/>
      <c r="AWR33" s="1428"/>
      <c r="AWS33" s="1428"/>
      <c r="AWT33" s="1428"/>
      <c r="AWU33" s="1428"/>
      <c r="AWV33" s="1428"/>
      <c r="AWW33" s="1428"/>
      <c r="AWX33" s="1428"/>
      <c r="AWY33" s="1428"/>
      <c r="AWZ33" s="1428"/>
      <c r="AXA33" s="1428"/>
      <c r="AXB33" s="1428"/>
      <c r="AXC33" s="1428"/>
      <c r="AXD33" s="1428"/>
      <c r="AXE33" s="1428"/>
      <c r="AXF33" s="1428"/>
      <c r="AXG33" s="1428"/>
      <c r="AXH33" s="1428"/>
      <c r="AXI33" s="1428"/>
      <c r="AXJ33" s="1428"/>
      <c r="AXK33" s="1428"/>
      <c r="AXL33" s="1428"/>
      <c r="AXM33" s="1428"/>
      <c r="AXN33" s="1428"/>
      <c r="AXO33" s="1428"/>
      <c r="AXP33" s="1428"/>
      <c r="AXQ33" s="1428"/>
      <c r="AXR33" s="1428"/>
      <c r="AXS33" s="1428"/>
      <c r="AXT33" s="1428"/>
      <c r="AXU33" s="1428"/>
      <c r="AXV33" s="1428"/>
      <c r="AXW33" s="1428"/>
      <c r="AXX33" s="1428"/>
      <c r="AXY33" s="1428"/>
      <c r="AXZ33" s="1428"/>
      <c r="AYA33" s="1428"/>
      <c r="AYB33" s="1428"/>
      <c r="AYC33" s="1428"/>
      <c r="AYD33" s="1428"/>
      <c r="AYE33" s="1428"/>
      <c r="AYF33" s="1428"/>
      <c r="AYG33" s="1428"/>
      <c r="AYH33" s="1428"/>
      <c r="AYI33" s="1428"/>
      <c r="AYJ33" s="1428"/>
      <c r="AYK33" s="1428"/>
      <c r="AYL33" s="1428"/>
      <c r="AYM33" s="1428"/>
      <c r="AYN33" s="1428"/>
      <c r="AYO33" s="1428"/>
      <c r="AYP33" s="1428"/>
      <c r="AYQ33" s="1428"/>
      <c r="AYR33" s="1428"/>
      <c r="AYS33" s="1428"/>
      <c r="AYT33" s="1428"/>
      <c r="AYU33" s="1428"/>
      <c r="AYV33" s="1428"/>
      <c r="AYW33" s="1428"/>
      <c r="AYX33" s="1428"/>
      <c r="AYY33" s="1428"/>
      <c r="AYZ33" s="1428"/>
      <c r="AZA33" s="1428"/>
      <c r="AZB33" s="1428"/>
      <c r="AZC33" s="1428"/>
      <c r="AZD33" s="1428"/>
      <c r="AZE33" s="1428"/>
      <c r="AZF33" s="1428"/>
      <c r="AZG33" s="1428"/>
      <c r="AZH33" s="1428"/>
      <c r="AZI33" s="1428"/>
      <c r="AZJ33" s="1428"/>
      <c r="AZK33" s="1428"/>
      <c r="AZL33" s="1428"/>
      <c r="AZM33" s="1428"/>
      <c r="AZN33" s="1428"/>
      <c r="AZO33" s="1428"/>
      <c r="AZP33" s="1428"/>
      <c r="AZQ33" s="1428"/>
      <c r="AZR33" s="1428"/>
      <c r="AZS33" s="1428"/>
      <c r="AZT33" s="1428"/>
      <c r="AZU33" s="1428"/>
      <c r="AZV33" s="1428"/>
      <c r="AZW33" s="1428"/>
      <c r="AZX33" s="1428"/>
      <c r="AZY33" s="1428"/>
      <c r="AZZ33" s="1428"/>
      <c r="BAA33" s="1428"/>
      <c r="BAB33" s="1428"/>
      <c r="BAC33" s="1428"/>
      <c r="BAD33" s="1428"/>
      <c r="BAE33" s="1428"/>
      <c r="BAF33" s="1428"/>
      <c r="BAG33" s="1428"/>
      <c r="BAH33" s="1428"/>
      <c r="BAI33" s="1428"/>
      <c r="BAJ33" s="1428"/>
      <c r="BAK33" s="1428"/>
      <c r="BAL33" s="1428"/>
      <c r="BAM33" s="1428"/>
      <c r="BAN33" s="1428"/>
      <c r="BAO33" s="1428"/>
      <c r="BAP33" s="1428"/>
      <c r="BAQ33" s="1428"/>
      <c r="BAR33" s="1428"/>
      <c r="BAS33" s="1428"/>
      <c r="BAT33" s="1428"/>
      <c r="BAU33" s="1428"/>
      <c r="BAV33" s="1428"/>
      <c r="BAW33" s="1428"/>
      <c r="BAX33" s="1428"/>
      <c r="BAY33" s="1428"/>
      <c r="BAZ33" s="1428"/>
      <c r="BBA33" s="1428"/>
      <c r="BBB33" s="1428"/>
      <c r="BBC33" s="1428"/>
      <c r="BBD33" s="1428"/>
      <c r="BBE33" s="1428"/>
      <c r="BBF33" s="1428"/>
      <c r="BBG33" s="1428"/>
      <c r="BBH33" s="1428"/>
      <c r="BBI33" s="1428"/>
      <c r="BBJ33" s="1428"/>
      <c r="BBK33" s="1428"/>
      <c r="BBL33" s="1428"/>
      <c r="BBM33" s="1428"/>
      <c r="BBN33" s="1428"/>
      <c r="BBO33" s="1428"/>
      <c r="BBP33" s="1428"/>
      <c r="BBQ33" s="1428"/>
      <c r="BBR33" s="1428"/>
      <c r="BBS33" s="1428"/>
      <c r="BBT33" s="1428"/>
      <c r="BBU33" s="1428"/>
      <c r="BBV33" s="1428"/>
      <c r="BBW33" s="1428"/>
      <c r="BBX33" s="1428"/>
      <c r="BBY33" s="1428"/>
      <c r="BBZ33" s="1428"/>
      <c r="BCA33" s="1428"/>
      <c r="BCB33" s="1428"/>
      <c r="BCC33" s="1428"/>
      <c r="BCD33" s="1428"/>
      <c r="BCE33" s="1428"/>
      <c r="BCF33" s="1428"/>
      <c r="BCG33" s="1428"/>
      <c r="BCH33" s="1428"/>
      <c r="BCI33" s="1428"/>
      <c r="BCJ33" s="1428"/>
      <c r="BCK33" s="1428"/>
      <c r="BCL33" s="1428"/>
      <c r="BCM33" s="1428"/>
      <c r="BCN33" s="1428"/>
      <c r="BCO33" s="1428"/>
      <c r="BCP33" s="1428"/>
      <c r="BCQ33" s="1428"/>
      <c r="BCR33" s="1428"/>
      <c r="BCS33" s="1428"/>
      <c r="BCT33" s="1428"/>
      <c r="BCU33" s="1428"/>
      <c r="BCV33" s="1428"/>
      <c r="BCW33" s="1428"/>
      <c r="BCX33" s="1428"/>
      <c r="BCY33" s="1428"/>
      <c r="BCZ33" s="1428"/>
      <c r="BDA33" s="1428"/>
      <c r="BDB33" s="1428"/>
      <c r="BDC33" s="1428"/>
      <c r="BDD33" s="1428"/>
      <c r="BDE33" s="1428"/>
      <c r="BDF33" s="1428"/>
      <c r="BDG33" s="1428"/>
      <c r="BDH33" s="1428"/>
      <c r="BDI33" s="1428"/>
      <c r="BDJ33" s="1428"/>
      <c r="BDK33" s="1428"/>
      <c r="BDL33" s="1428"/>
      <c r="BDM33" s="1428"/>
      <c r="BDN33" s="1428"/>
      <c r="BDO33" s="1428"/>
      <c r="BDP33" s="1428"/>
      <c r="BDQ33" s="1428"/>
      <c r="BDR33" s="1428"/>
      <c r="BDS33" s="1428"/>
      <c r="BDT33" s="1428"/>
      <c r="BDU33" s="1428"/>
      <c r="BDV33" s="1428"/>
      <c r="BDW33" s="1428"/>
      <c r="BDX33" s="1428"/>
      <c r="BDY33" s="1428"/>
      <c r="BDZ33" s="1428"/>
      <c r="BEA33" s="1428"/>
      <c r="BEB33" s="1428"/>
      <c r="BEC33" s="1428"/>
      <c r="BED33" s="1428"/>
      <c r="BEE33" s="1428"/>
      <c r="BEF33" s="1428"/>
      <c r="BEG33" s="1428"/>
      <c r="BEH33" s="1428"/>
      <c r="BEI33" s="1428"/>
      <c r="BEJ33" s="1428"/>
      <c r="BEK33" s="1428"/>
      <c r="BEL33" s="1428"/>
      <c r="BEM33" s="1428"/>
      <c r="BEN33" s="1428"/>
      <c r="BEO33" s="1428"/>
      <c r="BEP33" s="1428"/>
      <c r="BEQ33" s="1428"/>
      <c r="BER33" s="1428"/>
      <c r="BES33" s="1428"/>
      <c r="BET33" s="1428"/>
      <c r="BEU33" s="1428"/>
      <c r="BEV33" s="1428"/>
      <c r="BEW33" s="1428"/>
      <c r="BEX33" s="1428"/>
      <c r="BEY33" s="1428"/>
      <c r="BEZ33" s="1428"/>
      <c r="BFA33" s="1428"/>
      <c r="BFB33" s="1428"/>
      <c r="BFC33" s="1428"/>
      <c r="BFD33" s="1428"/>
      <c r="BFE33" s="1428"/>
      <c r="BFF33" s="1428"/>
      <c r="BFG33" s="1428"/>
      <c r="BFH33" s="1428"/>
      <c r="BFI33" s="1428"/>
      <c r="BFJ33" s="1428"/>
      <c r="BFK33" s="1428"/>
      <c r="BFL33" s="1428"/>
      <c r="BFM33" s="1428"/>
      <c r="BFN33" s="1428"/>
      <c r="BFO33" s="1428"/>
      <c r="BFP33" s="1428"/>
      <c r="BFQ33" s="1428"/>
      <c r="BFR33" s="1428"/>
      <c r="BFS33" s="1428"/>
      <c r="BFT33" s="1428"/>
      <c r="BFU33" s="1428"/>
      <c r="BFV33" s="1428"/>
      <c r="BFW33" s="1428"/>
      <c r="BFX33" s="1428"/>
      <c r="BFY33" s="1428"/>
      <c r="BFZ33" s="1428"/>
      <c r="BGA33" s="1428"/>
      <c r="BGB33" s="1428"/>
      <c r="BGC33" s="1428"/>
      <c r="BGD33" s="1428"/>
      <c r="BGE33" s="1428"/>
      <c r="BGF33" s="1428"/>
      <c r="BGG33" s="1428"/>
      <c r="BGH33" s="1428"/>
      <c r="BGI33" s="1428"/>
      <c r="BGJ33" s="1428"/>
      <c r="BGK33" s="1428"/>
      <c r="BGL33" s="1428"/>
      <c r="BGM33" s="1428"/>
      <c r="BGN33" s="1428"/>
      <c r="BGO33" s="1428"/>
      <c r="BGP33" s="1428"/>
      <c r="BGQ33" s="1428"/>
      <c r="BGR33" s="1428"/>
      <c r="BGS33" s="1428"/>
      <c r="BGT33" s="1428"/>
      <c r="BGU33" s="1428"/>
      <c r="BGV33" s="1428"/>
      <c r="BGW33" s="1428"/>
      <c r="BGX33" s="1428"/>
      <c r="BGY33" s="1428"/>
      <c r="BGZ33" s="1428"/>
      <c r="BHA33" s="1428"/>
      <c r="BHB33" s="1428"/>
      <c r="BHC33" s="1428"/>
      <c r="BHD33" s="1428"/>
      <c r="BHE33" s="1428"/>
      <c r="BHF33" s="1428"/>
      <c r="BHG33" s="1428"/>
      <c r="BHH33" s="1428"/>
      <c r="BHI33" s="1428"/>
      <c r="BHJ33" s="1428"/>
      <c r="BHK33" s="1428"/>
      <c r="BHL33" s="1428"/>
      <c r="BHM33" s="1428"/>
      <c r="BHN33" s="1428"/>
      <c r="BHO33" s="1428"/>
      <c r="BHP33" s="1428"/>
      <c r="BHQ33" s="1428"/>
      <c r="BHR33" s="1428"/>
      <c r="BHS33" s="1428"/>
      <c r="BHT33" s="1428"/>
      <c r="BHU33" s="1428"/>
      <c r="BHV33" s="1428"/>
      <c r="BHW33" s="1428"/>
      <c r="BHX33" s="1428"/>
      <c r="BHY33" s="1428"/>
      <c r="BHZ33" s="1428"/>
      <c r="BIA33" s="1428"/>
      <c r="BIB33" s="1428"/>
      <c r="BIC33" s="1428"/>
      <c r="BID33" s="1428"/>
      <c r="BIE33" s="1428"/>
      <c r="BIF33" s="1428"/>
      <c r="BIG33" s="1428"/>
      <c r="BIH33" s="1428"/>
      <c r="BII33" s="1428"/>
      <c r="BIJ33" s="1428"/>
      <c r="BIK33" s="1428"/>
      <c r="BIL33" s="1428"/>
      <c r="BIM33" s="1428"/>
      <c r="BIN33" s="1428"/>
      <c r="BIO33" s="1428"/>
      <c r="BIP33" s="1428"/>
      <c r="BIQ33" s="1428"/>
      <c r="BIR33" s="1428"/>
      <c r="BIS33" s="1428"/>
      <c r="BIT33" s="1428"/>
      <c r="BIU33" s="1428"/>
      <c r="BIV33" s="1428"/>
      <c r="BIW33" s="1428"/>
      <c r="BIX33" s="1428"/>
      <c r="BIY33" s="1428"/>
      <c r="BIZ33" s="1428"/>
      <c r="BJA33" s="1428"/>
      <c r="BJB33" s="1428"/>
      <c r="BJC33" s="1428"/>
      <c r="BJD33" s="1428"/>
      <c r="BJE33" s="1428"/>
      <c r="BJF33" s="1428"/>
      <c r="BJG33" s="1428"/>
      <c r="BJH33" s="1428"/>
      <c r="BJI33" s="1428"/>
      <c r="BJJ33" s="1428"/>
      <c r="BJK33" s="1428"/>
      <c r="BJL33" s="1428"/>
      <c r="BJM33" s="1428"/>
      <c r="BJN33" s="1428"/>
      <c r="BJO33" s="1428"/>
      <c r="BJP33" s="1428"/>
      <c r="BJQ33" s="1428"/>
      <c r="BJR33" s="1428"/>
      <c r="BJS33" s="1428"/>
      <c r="BJT33" s="1428"/>
      <c r="BJU33" s="1428"/>
      <c r="BJV33" s="1428"/>
      <c r="BJW33" s="1428"/>
      <c r="BJX33" s="1428"/>
      <c r="BJY33" s="1428"/>
      <c r="BJZ33" s="1428"/>
      <c r="BKA33" s="1428"/>
      <c r="BKB33" s="1428"/>
      <c r="BKC33" s="1428"/>
      <c r="BKD33" s="1428"/>
      <c r="BKE33" s="1428"/>
      <c r="BKF33" s="1428"/>
      <c r="BKG33" s="1428"/>
      <c r="BKH33" s="1428"/>
      <c r="BKI33" s="1428"/>
      <c r="BKJ33" s="1428"/>
      <c r="BKK33" s="1428"/>
      <c r="BKL33" s="1428"/>
      <c r="BKM33" s="1428"/>
      <c r="BKN33" s="1428"/>
      <c r="BKO33" s="1428"/>
      <c r="BKP33" s="1428"/>
      <c r="BKQ33" s="1428"/>
      <c r="BKR33" s="1428"/>
      <c r="BKS33" s="1428"/>
      <c r="BKT33" s="1428"/>
      <c r="BKU33" s="1428"/>
      <c r="BKV33" s="1428"/>
      <c r="BKW33" s="1428"/>
      <c r="BKX33" s="1428"/>
      <c r="BKY33" s="1428"/>
      <c r="BKZ33" s="1428"/>
      <c r="BLA33" s="1428"/>
      <c r="BLB33" s="1428"/>
      <c r="BLC33" s="1428"/>
      <c r="BLD33" s="1428"/>
      <c r="BLE33" s="1428"/>
      <c r="BLF33" s="1428"/>
      <c r="BLG33" s="1428"/>
      <c r="BLH33" s="1428"/>
      <c r="BLI33" s="1428"/>
      <c r="BLJ33" s="1428"/>
      <c r="BLK33" s="1428"/>
      <c r="BLL33" s="1428"/>
      <c r="BLM33" s="1428"/>
      <c r="BLN33" s="1428"/>
      <c r="BLO33" s="1428"/>
      <c r="BLP33" s="1428"/>
      <c r="BLQ33" s="1428"/>
      <c r="BLR33" s="1428"/>
      <c r="BLS33" s="1428"/>
      <c r="BLT33" s="1428"/>
      <c r="BLU33" s="1428"/>
      <c r="BLV33" s="1428"/>
      <c r="BLW33" s="1428"/>
      <c r="BLX33" s="1428"/>
      <c r="BLY33" s="1428"/>
      <c r="BLZ33" s="1428"/>
      <c r="BMA33" s="1428"/>
      <c r="BMB33" s="1428"/>
      <c r="BMC33" s="1428"/>
      <c r="BMD33" s="1428"/>
      <c r="BME33" s="1428"/>
      <c r="BMF33" s="1428"/>
      <c r="BMG33" s="1428"/>
      <c r="BMH33" s="1428"/>
      <c r="BMI33" s="1428"/>
      <c r="BMJ33" s="1428"/>
      <c r="BMK33" s="1428"/>
      <c r="BML33" s="1428"/>
      <c r="BMM33" s="1428"/>
      <c r="BMN33" s="1428"/>
      <c r="BMO33" s="1428"/>
      <c r="BMP33" s="1428"/>
      <c r="BMQ33" s="1428"/>
      <c r="BMR33" s="1428"/>
      <c r="BMS33" s="1428"/>
      <c r="BMT33" s="1428"/>
      <c r="BMU33" s="1428"/>
      <c r="BMV33" s="1428"/>
      <c r="BMW33" s="1428"/>
      <c r="BMX33" s="1428"/>
      <c r="BMY33" s="1428"/>
      <c r="BMZ33" s="1428"/>
      <c r="BNA33" s="1428"/>
      <c r="BNB33" s="1428"/>
      <c r="BNC33" s="1428"/>
      <c r="BND33" s="1428"/>
      <c r="BNE33" s="1428"/>
      <c r="BNF33" s="1428"/>
      <c r="BNG33" s="1428"/>
      <c r="BNH33" s="1428"/>
      <c r="BNI33" s="1428"/>
      <c r="BNJ33" s="1428"/>
      <c r="BNK33" s="1428"/>
      <c r="BNL33" s="1428"/>
      <c r="BNM33" s="1428"/>
      <c r="BNN33" s="1428"/>
      <c r="BNO33" s="1428"/>
      <c r="BNP33" s="1428"/>
      <c r="BNQ33" s="1428"/>
      <c r="BNR33" s="1428"/>
      <c r="BNS33" s="1428"/>
      <c r="BNT33" s="1428"/>
      <c r="BNU33" s="1428"/>
      <c r="BNV33" s="1428"/>
      <c r="BNW33" s="1428"/>
      <c r="BNX33" s="1428"/>
      <c r="BNY33" s="1428"/>
      <c r="BNZ33" s="1428"/>
      <c r="BOA33" s="1428"/>
      <c r="BOB33" s="1428"/>
      <c r="BOC33" s="1428"/>
      <c r="BOD33" s="1428"/>
      <c r="BOE33" s="1428"/>
      <c r="BOF33" s="1428"/>
      <c r="BOG33" s="1428"/>
      <c r="BOH33" s="1428"/>
      <c r="BOI33" s="1428"/>
      <c r="BOJ33" s="1428"/>
      <c r="BOK33" s="1428"/>
      <c r="BOL33" s="1428"/>
      <c r="BOM33" s="1428"/>
      <c r="BON33" s="1428"/>
      <c r="BOO33" s="1428"/>
      <c r="BOP33" s="1428"/>
      <c r="BOQ33" s="1428"/>
      <c r="BOR33" s="1428"/>
      <c r="BOS33" s="1428"/>
      <c r="BOT33" s="1428"/>
      <c r="BOU33" s="1428"/>
      <c r="BOV33" s="1428"/>
      <c r="BOW33" s="1428"/>
      <c r="BOX33" s="1428"/>
      <c r="BOY33" s="1428"/>
      <c r="BOZ33" s="1428"/>
      <c r="BPA33" s="1428"/>
      <c r="BPB33" s="1428"/>
      <c r="BPC33" s="1428"/>
      <c r="BPD33" s="1428"/>
      <c r="BPE33" s="1428"/>
      <c r="BPF33" s="1428"/>
      <c r="BPG33" s="1428"/>
      <c r="BPH33" s="1428"/>
      <c r="BPI33" s="1428"/>
      <c r="BPJ33" s="1428"/>
      <c r="BPK33" s="1428"/>
      <c r="BPL33" s="1428"/>
      <c r="BPM33" s="1428"/>
      <c r="BPN33" s="1428"/>
      <c r="BPO33" s="1428"/>
      <c r="BPP33" s="1428"/>
      <c r="BPQ33" s="1428"/>
      <c r="BPR33" s="1428"/>
      <c r="BPS33" s="1428"/>
      <c r="BPT33" s="1428"/>
      <c r="BPU33" s="1428"/>
      <c r="BPV33" s="1428"/>
      <c r="BPW33" s="1428"/>
      <c r="BPX33" s="1428"/>
      <c r="BPY33" s="1428"/>
      <c r="BPZ33" s="1428"/>
      <c r="BQA33" s="1428"/>
      <c r="BQB33" s="1428"/>
      <c r="BQC33" s="1428"/>
      <c r="BQD33" s="1428"/>
      <c r="BQE33" s="1428"/>
      <c r="BQF33" s="1428"/>
      <c r="BQG33" s="1428"/>
      <c r="BQH33" s="1428"/>
      <c r="BQI33" s="1428"/>
      <c r="BQJ33" s="1428"/>
      <c r="BQK33" s="1428"/>
      <c r="BQL33" s="1428"/>
      <c r="BQM33" s="1428"/>
      <c r="BQN33" s="1428"/>
      <c r="BQO33" s="1428"/>
      <c r="BQP33" s="1428"/>
      <c r="BQQ33" s="1428"/>
      <c r="BQR33" s="1428"/>
      <c r="BQS33" s="1428"/>
      <c r="BQT33" s="1428"/>
      <c r="BQU33" s="1428"/>
      <c r="BQV33" s="1428"/>
      <c r="BQW33" s="1428"/>
      <c r="BQX33" s="1428"/>
      <c r="BQY33" s="1428"/>
      <c r="BQZ33" s="1428"/>
      <c r="BRA33" s="1428"/>
      <c r="BRB33" s="1428"/>
      <c r="BRC33" s="1428"/>
      <c r="BRD33" s="1428"/>
      <c r="BRE33" s="1428"/>
      <c r="BRF33" s="1428"/>
      <c r="BRG33" s="1428"/>
      <c r="BRH33" s="1428"/>
      <c r="BRI33" s="1428"/>
      <c r="BRJ33" s="1428"/>
      <c r="BRK33" s="1428"/>
      <c r="BRL33" s="1428"/>
      <c r="BRM33" s="1428"/>
      <c r="BRN33" s="1428"/>
      <c r="BRO33" s="1428"/>
      <c r="BRP33" s="1428"/>
      <c r="BRQ33" s="1428"/>
      <c r="BRR33" s="1428"/>
      <c r="BRS33" s="1428"/>
      <c r="BRT33" s="1428"/>
      <c r="BRU33" s="1428"/>
      <c r="BRV33" s="1428"/>
      <c r="BRW33" s="1428"/>
      <c r="BRX33" s="1428"/>
      <c r="BRY33" s="1428"/>
      <c r="BRZ33" s="1428"/>
      <c r="BSA33" s="1428"/>
      <c r="BSB33" s="1428"/>
      <c r="BSC33" s="1428"/>
      <c r="BSD33" s="1428"/>
      <c r="BSE33" s="1428"/>
      <c r="BSF33" s="1428"/>
      <c r="BSG33" s="1428"/>
      <c r="BSH33" s="1428"/>
      <c r="BSI33" s="1428"/>
      <c r="BSJ33" s="1428"/>
      <c r="BSK33" s="1428"/>
      <c r="BSL33" s="1428"/>
      <c r="BSM33" s="1428"/>
      <c r="BSN33" s="1428"/>
      <c r="BSO33" s="1428"/>
      <c r="BSP33" s="1428"/>
      <c r="BSQ33" s="1428"/>
      <c r="BSR33" s="1428"/>
      <c r="BSS33" s="1428"/>
      <c r="BST33" s="1428"/>
      <c r="BSU33" s="1428"/>
      <c r="BSV33" s="1428"/>
      <c r="BSW33" s="1428"/>
      <c r="BSX33" s="1428"/>
      <c r="BSY33" s="1428"/>
      <c r="BSZ33" s="1428"/>
      <c r="BTA33" s="1428"/>
      <c r="BTB33" s="1428"/>
      <c r="BTC33" s="1428"/>
      <c r="BTD33" s="1428"/>
      <c r="BTE33" s="1428"/>
      <c r="BTF33" s="1428"/>
      <c r="BTG33" s="1428"/>
      <c r="BTH33" s="1428"/>
      <c r="BTI33" s="1428"/>
      <c r="BTJ33" s="1428"/>
      <c r="BTK33" s="1428"/>
      <c r="BTL33" s="1428"/>
      <c r="BTM33" s="1428"/>
      <c r="BTN33" s="1428"/>
      <c r="BTO33" s="1428"/>
      <c r="BTP33" s="1428"/>
      <c r="BTQ33" s="1428"/>
      <c r="BTR33" s="1428"/>
      <c r="BTS33" s="1428"/>
      <c r="BTT33" s="1428"/>
      <c r="BTU33" s="1428"/>
      <c r="BTV33" s="1428"/>
      <c r="BTW33" s="1428"/>
      <c r="BTX33" s="1428"/>
      <c r="BTY33" s="1428"/>
      <c r="BTZ33" s="1428"/>
      <c r="BUA33" s="1428"/>
      <c r="BUB33" s="1428"/>
      <c r="BUC33" s="1428"/>
      <c r="BUD33" s="1428"/>
      <c r="BUE33" s="1428"/>
      <c r="BUF33" s="1428"/>
      <c r="BUG33" s="1428"/>
      <c r="BUH33" s="1428"/>
      <c r="BUI33" s="1428"/>
      <c r="BUJ33" s="1428"/>
      <c r="BUK33" s="1428"/>
      <c r="BUL33" s="1428"/>
      <c r="BUM33" s="1428"/>
      <c r="BUN33" s="1428"/>
      <c r="BUO33" s="1428"/>
      <c r="BUP33" s="1428"/>
      <c r="BUQ33" s="1428"/>
      <c r="BUR33" s="1428"/>
      <c r="BUS33" s="1428"/>
      <c r="BUT33" s="1428"/>
      <c r="BUU33" s="1428"/>
      <c r="BUV33" s="1428"/>
      <c r="BUW33" s="1428"/>
      <c r="BUX33" s="1428"/>
      <c r="BUY33" s="1428"/>
      <c r="BUZ33" s="1428"/>
      <c r="BVA33" s="1428"/>
      <c r="BVB33" s="1428"/>
      <c r="BVC33" s="1428"/>
      <c r="BVD33" s="1428"/>
      <c r="BVE33" s="1428"/>
      <c r="BVF33" s="1428"/>
      <c r="BVG33" s="1428"/>
      <c r="BVH33" s="1428"/>
      <c r="BVI33" s="1428"/>
      <c r="BVJ33" s="1428"/>
      <c r="BVK33" s="1428"/>
      <c r="BVL33" s="1428"/>
      <c r="BVM33" s="1428"/>
      <c r="BVN33" s="1428"/>
      <c r="BVO33" s="1428"/>
      <c r="BVP33" s="1428"/>
      <c r="BVQ33" s="1428"/>
      <c r="BVR33" s="1428"/>
      <c r="BVS33" s="1428"/>
      <c r="BVT33" s="1428"/>
      <c r="BVU33" s="1428"/>
      <c r="BVV33" s="1428"/>
      <c r="BVW33" s="1428"/>
      <c r="BVX33" s="1428"/>
      <c r="BVY33" s="1428"/>
      <c r="BVZ33" s="1428"/>
      <c r="BWA33" s="1428"/>
      <c r="BWB33" s="1428"/>
      <c r="BWC33" s="1428"/>
      <c r="BWD33" s="1428"/>
    </row>
    <row r="34" spans="1:1954" ht="16.5" x14ac:dyDescent="0.3">
      <c r="A34" s="2834" t="s">
        <v>2767</v>
      </c>
      <c r="B34" s="2835">
        <v>179.48497174431279</v>
      </c>
      <c r="C34" s="2835">
        <v>6.765806819999999</v>
      </c>
      <c r="D34" s="2835">
        <v>186.25077856431275</v>
      </c>
      <c r="F34" s="691"/>
      <c r="G34" s="691"/>
      <c r="H34" s="691"/>
      <c r="I34" s="691"/>
      <c r="J34" s="2831"/>
      <c r="K34" s="2831"/>
      <c r="L34" s="2831"/>
    </row>
    <row r="35" spans="1:1954" ht="16.5" x14ac:dyDescent="0.3">
      <c r="A35" s="2832" t="s">
        <v>2768</v>
      </c>
      <c r="B35" s="2833">
        <v>897.83112142000004</v>
      </c>
      <c r="C35" s="2833">
        <v>2606.1015290100004</v>
      </c>
      <c r="D35" s="2833">
        <v>3503.9326504300002</v>
      </c>
      <c r="E35" s="2703"/>
      <c r="F35" s="2838"/>
      <c r="G35" s="691"/>
      <c r="H35" s="691"/>
      <c r="I35" s="691"/>
      <c r="J35" s="2831"/>
      <c r="K35" s="2831"/>
      <c r="L35" s="2831"/>
      <c r="M35" s="2703"/>
      <c r="N35" s="2703"/>
      <c r="O35" s="2703"/>
      <c r="P35" s="2703"/>
      <c r="Q35" s="2703"/>
      <c r="R35" s="2703"/>
      <c r="S35" s="2703"/>
      <c r="T35" s="2703"/>
      <c r="U35" s="2703"/>
      <c r="V35" s="2703"/>
      <c r="W35" s="2703"/>
      <c r="X35" s="2703"/>
      <c r="Y35" s="2703"/>
      <c r="Z35" s="2703"/>
      <c r="AA35" s="2703"/>
      <c r="AB35" s="2703"/>
      <c r="AC35" s="2703"/>
      <c r="AD35" s="2703"/>
      <c r="AE35" s="2703"/>
      <c r="AF35" s="2703"/>
      <c r="AG35" s="2703"/>
      <c r="AH35" s="2703"/>
      <c r="AI35" s="2703"/>
      <c r="AJ35" s="2703"/>
      <c r="AK35" s="2703"/>
      <c r="AL35" s="2703"/>
      <c r="AM35" s="2703"/>
      <c r="AN35" s="2703"/>
      <c r="AO35" s="2703"/>
      <c r="AP35" s="2703"/>
      <c r="AQ35" s="2703"/>
      <c r="AR35" s="2703"/>
      <c r="AS35" s="2703"/>
      <c r="AT35" s="2703"/>
      <c r="AU35" s="2703"/>
      <c r="AV35" s="2703"/>
      <c r="AW35" s="2703"/>
      <c r="AX35" s="2703"/>
      <c r="AY35" s="2703"/>
      <c r="AZ35" s="2703"/>
      <c r="BA35" s="2703"/>
      <c r="BB35" s="2703"/>
      <c r="BC35" s="2703"/>
      <c r="BD35" s="2703"/>
      <c r="BE35" s="2703"/>
      <c r="BF35" s="2703"/>
      <c r="BG35" s="2703"/>
      <c r="BH35" s="2703"/>
      <c r="BI35" s="2703"/>
      <c r="BJ35" s="2703"/>
      <c r="BK35" s="2703"/>
      <c r="BL35" s="2703"/>
      <c r="BM35" s="2703"/>
      <c r="BN35" s="2703"/>
      <c r="BO35" s="2703"/>
      <c r="BP35" s="2703"/>
      <c r="BQ35" s="2703"/>
      <c r="BR35" s="2703"/>
      <c r="BS35" s="2703"/>
      <c r="BT35" s="2703"/>
      <c r="BU35" s="2703"/>
      <c r="BV35" s="2703"/>
      <c r="BW35" s="2703"/>
      <c r="BX35" s="2703"/>
      <c r="BY35" s="2703"/>
      <c r="BZ35" s="2703"/>
      <c r="CA35" s="2703"/>
      <c r="CB35" s="2703"/>
      <c r="CC35" s="2703"/>
      <c r="CD35" s="2703"/>
      <c r="CE35" s="2703"/>
      <c r="CF35" s="2703"/>
      <c r="CG35" s="2703"/>
      <c r="CH35" s="2703"/>
      <c r="CI35" s="2703"/>
      <c r="CJ35" s="2703"/>
      <c r="CK35" s="2703"/>
      <c r="CL35" s="2703"/>
      <c r="CM35" s="2703"/>
      <c r="CN35" s="2703"/>
      <c r="CO35" s="2703"/>
      <c r="CP35" s="2703"/>
      <c r="CQ35" s="2703"/>
      <c r="CR35" s="2703"/>
      <c r="CS35" s="2703"/>
      <c r="CT35" s="2703"/>
      <c r="CU35" s="2703"/>
      <c r="CV35" s="2703"/>
      <c r="CW35" s="2703"/>
      <c r="CX35" s="2703"/>
      <c r="CY35" s="2703"/>
      <c r="CZ35" s="2703"/>
      <c r="DA35" s="2703"/>
      <c r="DB35" s="2703"/>
      <c r="DC35" s="2703"/>
      <c r="DD35" s="2703"/>
      <c r="DE35" s="2703"/>
      <c r="DF35" s="2703"/>
      <c r="DG35" s="2703"/>
      <c r="DH35" s="2703"/>
      <c r="DI35" s="2703"/>
      <c r="DJ35" s="2703"/>
      <c r="DK35" s="2703"/>
      <c r="DL35" s="2703"/>
      <c r="DM35" s="2703"/>
      <c r="DN35" s="2703"/>
      <c r="DO35" s="2703"/>
      <c r="DP35" s="2703"/>
      <c r="DQ35" s="2703"/>
      <c r="DR35" s="2703"/>
      <c r="DS35" s="2703"/>
      <c r="DT35" s="2703"/>
      <c r="DU35" s="2703"/>
      <c r="DV35" s="2703"/>
      <c r="DW35" s="2703"/>
      <c r="DX35" s="2703"/>
      <c r="DY35" s="2703"/>
      <c r="DZ35" s="2703"/>
      <c r="EA35" s="2703"/>
      <c r="EB35" s="2703"/>
      <c r="EC35" s="2703"/>
      <c r="ED35" s="2703"/>
      <c r="EE35" s="2703"/>
      <c r="EF35" s="2703"/>
      <c r="EG35" s="2703"/>
      <c r="EH35" s="2703"/>
      <c r="EI35" s="2703"/>
      <c r="EJ35" s="2703"/>
      <c r="EK35" s="2703"/>
      <c r="EL35" s="2703"/>
      <c r="EM35" s="2703"/>
      <c r="EN35" s="2703"/>
      <c r="EO35" s="2703"/>
      <c r="EP35" s="2703"/>
      <c r="EQ35" s="2703"/>
      <c r="ER35" s="2703"/>
      <c r="ES35" s="2703"/>
      <c r="ET35" s="2703"/>
      <c r="EU35" s="2703"/>
      <c r="EV35" s="2703"/>
      <c r="EW35" s="2703"/>
      <c r="EX35" s="2703"/>
      <c r="EY35" s="2703"/>
      <c r="EZ35" s="2703"/>
      <c r="FA35" s="2703"/>
      <c r="FB35" s="2703"/>
      <c r="FC35" s="2703"/>
      <c r="FD35" s="2703"/>
      <c r="FE35" s="2703"/>
      <c r="FF35" s="2703"/>
      <c r="FG35" s="2703"/>
      <c r="FH35" s="2703"/>
      <c r="FI35" s="2703"/>
      <c r="FJ35" s="2703"/>
      <c r="FK35" s="2703"/>
      <c r="FL35" s="2703"/>
      <c r="FM35" s="2703"/>
      <c r="FN35" s="2703"/>
      <c r="FO35" s="2703"/>
      <c r="FP35" s="2703"/>
      <c r="FQ35" s="2703"/>
      <c r="FR35" s="2703"/>
      <c r="FS35" s="2703"/>
      <c r="FT35" s="2703"/>
      <c r="FU35" s="2703"/>
      <c r="FV35" s="2703"/>
      <c r="FW35" s="2703"/>
      <c r="FX35" s="2703"/>
      <c r="FY35" s="2703"/>
      <c r="FZ35" s="2703"/>
      <c r="GA35" s="2703"/>
      <c r="GB35" s="2703"/>
      <c r="GC35" s="2703"/>
      <c r="GD35" s="2703"/>
      <c r="GE35" s="2703"/>
      <c r="GF35" s="2703"/>
      <c r="GG35" s="2703"/>
      <c r="GH35" s="2703"/>
      <c r="GI35" s="2703"/>
      <c r="GJ35" s="2703"/>
      <c r="GK35" s="2703"/>
      <c r="GL35" s="2703"/>
      <c r="GM35" s="2703"/>
      <c r="GN35" s="2703"/>
      <c r="GO35" s="2703"/>
      <c r="GP35" s="2703"/>
      <c r="GQ35" s="2703"/>
      <c r="GR35" s="2703"/>
      <c r="GS35" s="2703"/>
      <c r="GT35" s="2703"/>
      <c r="GU35" s="2703"/>
      <c r="GV35" s="2703"/>
      <c r="GW35" s="2703"/>
      <c r="GX35" s="2703"/>
      <c r="GY35" s="2703"/>
      <c r="GZ35" s="2703"/>
      <c r="HA35" s="2703"/>
      <c r="HB35" s="2703"/>
      <c r="HC35" s="2703"/>
      <c r="HD35" s="2703"/>
      <c r="HE35" s="2703"/>
      <c r="HF35" s="2703"/>
      <c r="HG35" s="2703"/>
      <c r="HH35" s="2703"/>
      <c r="HI35" s="2703"/>
      <c r="HJ35" s="2703"/>
      <c r="HK35" s="2703"/>
      <c r="HL35" s="2703"/>
      <c r="HM35" s="2703"/>
      <c r="HN35" s="2703"/>
      <c r="HO35" s="2703"/>
      <c r="HP35" s="2703"/>
      <c r="HQ35" s="2703"/>
      <c r="HR35" s="2703"/>
      <c r="HS35" s="2703"/>
      <c r="HT35" s="2703"/>
      <c r="HU35" s="2703"/>
      <c r="HV35" s="2703"/>
      <c r="HW35" s="2703"/>
      <c r="HX35" s="2703"/>
      <c r="HY35" s="2703"/>
      <c r="HZ35" s="2703"/>
      <c r="IA35" s="2703"/>
      <c r="IB35" s="2703"/>
      <c r="IC35" s="2703"/>
      <c r="ID35" s="2703"/>
      <c r="IE35" s="2703"/>
      <c r="IF35" s="2703"/>
      <c r="IG35" s="2703"/>
      <c r="IH35" s="2703"/>
      <c r="II35" s="2703"/>
      <c r="IJ35" s="2703"/>
      <c r="IK35" s="2703"/>
      <c r="IL35" s="2703"/>
      <c r="IM35" s="2703"/>
      <c r="IN35" s="2703"/>
      <c r="IO35" s="2703"/>
      <c r="IP35" s="2703"/>
      <c r="IQ35" s="2703"/>
      <c r="IR35" s="2703"/>
      <c r="IS35" s="2703"/>
      <c r="IT35" s="2703"/>
      <c r="IU35" s="2703"/>
      <c r="IV35" s="2703"/>
      <c r="IW35" s="2703"/>
      <c r="IX35" s="2703"/>
      <c r="IY35" s="2703"/>
      <c r="IZ35" s="2703"/>
      <c r="JA35" s="2703"/>
      <c r="JB35" s="2703"/>
      <c r="JC35" s="2703"/>
      <c r="JD35" s="2703"/>
      <c r="JE35" s="2703"/>
      <c r="JF35" s="2703"/>
      <c r="JG35" s="2703"/>
      <c r="JH35" s="2703"/>
      <c r="JI35" s="2703"/>
      <c r="JJ35" s="2703"/>
      <c r="JK35" s="2703"/>
      <c r="JL35" s="2703"/>
      <c r="JM35" s="2703"/>
      <c r="JN35" s="2703"/>
      <c r="JO35" s="2703"/>
      <c r="JP35" s="2703"/>
      <c r="JQ35" s="2703"/>
      <c r="JR35" s="2703"/>
      <c r="JS35" s="2703"/>
      <c r="JT35" s="2703"/>
      <c r="JU35" s="2703"/>
      <c r="JV35" s="2703"/>
      <c r="JW35" s="2703"/>
      <c r="JX35" s="2703"/>
      <c r="JY35" s="2703"/>
      <c r="JZ35" s="2703"/>
      <c r="KA35" s="2703"/>
      <c r="KB35" s="2703"/>
      <c r="KC35" s="2703"/>
      <c r="KD35" s="2703"/>
      <c r="KE35" s="2703"/>
      <c r="KF35" s="2703"/>
      <c r="KG35" s="2703"/>
      <c r="KH35" s="2703"/>
      <c r="KI35" s="2703"/>
      <c r="KJ35" s="2703"/>
      <c r="KK35" s="2703"/>
      <c r="KL35" s="2703"/>
      <c r="KM35" s="2703"/>
      <c r="KN35" s="2703"/>
      <c r="KO35" s="2703"/>
      <c r="KP35" s="2703"/>
      <c r="KQ35" s="2703"/>
      <c r="KR35" s="2703"/>
      <c r="KS35" s="2703"/>
      <c r="KT35" s="2703"/>
      <c r="KU35" s="2703"/>
      <c r="KV35" s="2703"/>
      <c r="KW35" s="2703"/>
      <c r="KX35" s="2703"/>
      <c r="KY35" s="2703"/>
      <c r="KZ35" s="2703"/>
      <c r="LA35" s="2703"/>
      <c r="LB35" s="2703"/>
      <c r="LC35" s="2703"/>
      <c r="LD35" s="2703"/>
      <c r="LE35" s="2703"/>
      <c r="LF35" s="2703"/>
      <c r="LG35" s="2703"/>
      <c r="LH35" s="2703"/>
      <c r="LI35" s="2703"/>
      <c r="LJ35" s="2703"/>
      <c r="LK35" s="2703"/>
      <c r="LL35" s="2703"/>
      <c r="LM35" s="2703"/>
      <c r="LN35" s="2703"/>
      <c r="LO35" s="2703"/>
      <c r="LP35" s="2703"/>
      <c r="LQ35" s="2703"/>
      <c r="LR35" s="2703"/>
      <c r="LS35" s="2703"/>
      <c r="LT35" s="2703"/>
      <c r="LU35" s="2703"/>
      <c r="LV35" s="2703"/>
      <c r="LW35" s="2703"/>
      <c r="LX35" s="2703"/>
      <c r="LY35" s="2703"/>
      <c r="LZ35" s="2703"/>
      <c r="MA35" s="2703"/>
      <c r="MB35" s="2703"/>
      <c r="MC35" s="2703"/>
      <c r="MD35" s="2703"/>
      <c r="ME35" s="2703"/>
      <c r="MF35" s="2703"/>
      <c r="MG35" s="2703"/>
      <c r="MH35" s="2703"/>
      <c r="MI35" s="2703"/>
      <c r="MJ35" s="2703"/>
      <c r="MK35" s="2703"/>
      <c r="ML35" s="2703"/>
      <c r="MM35" s="2703"/>
      <c r="MN35" s="2703"/>
      <c r="MO35" s="2703"/>
      <c r="MP35" s="2703"/>
      <c r="MQ35" s="2703"/>
      <c r="MR35" s="2703"/>
      <c r="MS35" s="2703"/>
      <c r="MT35" s="2703"/>
      <c r="MU35" s="2703"/>
      <c r="MV35" s="2703"/>
      <c r="MW35" s="2703"/>
      <c r="MX35" s="2703"/>
      <c r="MY35" s="2703"/>
      <c r="MZ35" s="2703"/>
      <c r="NA35" s="2703"/>
      <c r="NB35" s="2703"/>
      <c r="NC35" s="2703"/>
      <c r="ND35" s="2703"/>
      <c r="NE35" s="2703"/>
      <c r="NF35" s="2703"/>
      <c r="NG35" s="2703"/>
      <c r="NH35" s="2703"/>
      <c r="NI35" s="2703"/>
      <c r="NJ35" s="2703"/>
      <c r="NK35" s="2703"/>
      <c r="NL35" s="2703"/>
      <c r="NM35" s="2703"/>
      <c r="NN35" s="2703"/>
      <c r="NO35" s="2703"/>
      <c r="NP35" s="2703"/>
      <c r="NQ35" s="2703"/>
      <c r="NR35" s="2703"/>
      <c r="NS35" s="2703"/>
      <c r="NT35" s="2703"/>
      <c r="NU35" s="2703"/>
      <c r="NV35" s="2703"/>
      <c r="NW35" s="2703"/>
      <c r="NX35" s="2703"/>
      <c r="NY35" s="2703"/>
      <c r="NZ35" s="2703"/>
      <c r="OA35" s="2703"/>
      <c r="OB35" s="2703"/>
      <c r="OC35" s="2703"/>
      <c r="OD35" s="2703"/>
      <c r="OE35" s="2703"/>
      <c r="OF35" s="2703"/>
      <c r="OG35" s="2703"/>
      <c r="OH35" s="2703"/>
      <c r="OI35" s="2703"/>
      <c r="OJ35" s="2703"/>
      <c r="OK35" s="2703"/>
      <c r="OL35" s="2703"/>
      <c r="OM35" s="2703"/>
      <c r="ON35" s="2703"/>
      <c r="OO35" s="2703"/>
      <c r="OP35" s="2703"/>
      <c r="OQ35" s="2703"/>
      <c r="OR35" s="2703"/>
      <c r="OS35" s="2703"/>
      <c r="OT35" s="2703"/>
      <c r="OU35" s="2703"/>
      <c r="OV35" s="2703"/>
      <c r="OW35" s="2703"/>
      <c r="OX35" s="2703"/>
      <c r="OY35" s="2703"/>
      <c r="OZ35" s="2703"/>
      <c r="PA35" s="2703"/>
      <c r="PB35" s="2703"/>
      <c r="PC35" s="2703"/>
      <c r="PD35" s="2703"/>
      <c r="PE35" s="2703"/>
      <c r="PF35" s="2703"/>
      <c r="PG35" s="2703"/>
      <c r="PH35" s="2703"/>
      <c r="PI35" s="2703"/>
      <c r="PJ35" s="2703"/>
      <c r="PK35" s="2703"/>
      <c r="PL35" s="2703"/>
      <c r="PM35" s="2703"/>
      <c r="PN35" s="2703"/>
      <c r="PO35" s="2703"/>
      <c r="PP35" s="2703"/>
      <c r="PQ35" s="2703"/>
      <c r="PR35" s="2703"/>
      <c r="PS35" s="2703"/>
      <c r="PT35" s="2703"/>
      <c r="PU35" s="2703"/>
      <c r="PV35" s="2703"/>
      <c r="PW35" s="2703"/>
      <c r="PX35" s="2703"/>
      <c r="PY35" s="2703"/>
      <c r="PZ35" s="2703"/>
      <c r="QA35" s="2703"/>
      <c r="QB35" s="2703"/>
      <c r="QC35" s="2703"/>
      <c r="QD35" s="2703"/>
      <c r="QE35" s="2703"/>
      <c r="QF35" s="2703"/>
      <c r="QG35" s="2703"/>
      <c r="QH35" s="2703"/>
      <c r="QI35" s="2703"/>
      <c r="QJ35" s="2703"/>
      <c r="QK35" s="2703"/>
      <c r="QL35" s="2703"/>
      <c r="QM35" s="2703"/>
      <c r="QN35" s="2703"/>
      <c r="QO35" s="2703"/>
      <c r="QP35" s="2703"/>
      <c r="QQ35" s="2703"/>
      <c r="QR35" s="2703"/>
      <c r="QS35" s="2703"/>
      <c r="QT35" s="2703"/>
      <c r="QU35" s="2703"/>
      <c r="QV35" s="2703"/>
      <c r="QW35" s="2703"/>
      <c r="QX35" s="2703"/>
      <c r="QY35" s="2703"/>
      <c r="QZ35" s="2703"/>
      <c r="RA35" s="2703"/>
      <c r="RB35" s="2703"/>
      <c r="RC35" s="2703"/>
      <c r="RD35" s="2703"/>
      <c r="RE35" s="2703"/>
      <c r="RF35" s="2703"/>
      <c r="RG35" s="2703"/>
      <c r="RH35" s="2703"/>
      <c r="RI35" s="2703"/>
      <c r="RJ35" s="2703"/>
      <c r="RK35" s="2703"/>
      <c r="RL35" s="2703"/>
      <c r="RM35" s="2703"/>
      <c r="RN35" s="2703"/>
      <c r="RO35" s="2703"/>
      <c r="RP35" s="2703"/>
      <c r="RQ35" s="2703"/>
      <c r="RR35" s="2703"/>
      <c r="RS35" s="2703"/>
      <c r="RT35" s="2703"/>
      <c r="RU35" s="2703"/>
      <c r="RV35" s="2703"/>
      <c r="RW35" s="2703"/>
      <c r="RX35" s="2703"/>
      <c r="RY35" s="2703"/>
      <c r="RZ35" s="2703"/>
      <c r="SA35" s="2703"/>
      <c r="SB35" s="2703"/>
      <c r="SC35" s="2703"/>
      <c r="SD35" s="2703"/>
      <c r="SE35" s="2703"/>
      <c r="SF35" s="2703"/>
      <c r="SG35" s="2703"/>
      <c r="SH35" s="2703"/>
      <c r="SI35" s="2703"/>
      <c r="SJ35" s="2703"/>
      <c r="SK35" s="2703"/>
      <c r="SL35" s="2703"/>
      <c r="SM35" s="2703"/>
      <c r="SN35" s="2703"/>
      <c r="SO35" s="2703"/>
      <c r="SP35" s="2703"/>
      <c r="SQ35" s="2703"/>
      <c r="SR35" s="2703"/>
      <c r="SS35" s="2703"/>
      <c r="ST35" s="2703"/>
      <c r="SU35" s="2703"/>
      <c r="SV35" s="2703"/>
      <c r="SW35" s="2703"/>
      <c r="SX35" s="2703"/>
      <c r="SY35" s="2703"/>
      <c r="SZ35" s="2703"/>
      <c r="TA35" s="2703"/>
      <c r="TB35" s="2703"/>
      <c r="TC35" s="2703"/>
      <c r="TD35" s="2703"/>
      <c r="TE35" s="2703"/>
      <c r="TF35" s="2703"/>
      <c r="TG35" s="2703"/>
      <c r="TH35" s="2703"/>
      <c r="TI35" s="2703"/>
      <c r="TJ35" s="2703"/>
      <c r="TK35" s="2703"/>
      <c r="TL35" s="2703"/>
      <c r="TM35" s="2703"/>
      <c r="TN35" s="2703"/>
      <c r="TO35" s="2703"/>
      <c r="TP35" s="2703"/>
      <c r="TQ35" s="2703"/>
      <c r="TR35" s="2703"/>
      <c r="TS35" s="2703"/>
      <c r="TT35" s="2703"/>
      <c r="TU35" s="2703"/>
      <c r="TV35" s="2703"/>
      <c r="TW35" s="2703"/>
      <c r="TX35" s="2703"/>
      <c r="TY35" s="2703"/>
      <c r="TZ35" s="2703"/>
      <c r="UA35" s="2703"/>
      <c r="UB35" s="2703"/>
      <c r="UC35" s="2703"/>
      <c r="UD35" s="2703"/>
      <c r="UE35" s="2703"/>
      <c r="UF35" s="2703"/>
      <c r="UG35" s="2703"/>
      <c r="UH35" s="2703"/>
      <c r="UI35" s="2703"/>
      <c r="UJ35" s="2703"/>
      <c r="UK35" s="2703"/>
      <c r="UL35" s="2703"/>
      <c r="UM35" s="2703"/>
      <c r="UN35" s="2703"/>
      <c r="UO35" s="2703"/>
      <c r="UP35" s="2703"/>
      <c r="UQ35" s="2703"/>
      <c r="UR35" s="2703"/>
      <c r="US35" s="2703"/>
      <c r="UT35" s="2703"/>
      <c r="UU35" s="2703"/>
      <c r="UV35" s="2703"/>
      <c r="UW35" s="2703"/>
      <c r="UX35" s="2703"/>
      <c r="UY35" s="2703"/>
      <c r="UZ35" s="2703"/>
      <c r="VA35" s="2703"/>
      <c r="VB35" s="2703"/>
      <c r="VC35" s="2703"/>
      <c r="VD35" s="2703"/>
      <c r="VE35" s="2703"/>
      <c r="VF35" s="2703"/>
      <c r="VG35" s="2703"/>
      <c r="VH35" s="2703"/>
      <c r="VI35" s="2703"/>
      <c r="VJ35" s="2703"/>
      <c r="VK35" s="2703"/>
      <c r="VL35" s="2703"/>
      <c r="VM35" s="2703"/>
      <c r="VN35" s="2703"/>
      <c r="VO35" s="2703"/>
      <c r="VP35" s="2703"/>
      <c r="VQ35" s="2703"/>
      <c r="VR35" s="2703"/>
      <c r="VS35" s="2703"/>
      <c r="VT35" s="2703"/>
      <c r="VU35" s="2703"/>
      <c r="VV35" s="2703"/>
      <c r="VW35" s="2703"/>
      <c r="VX35" s="2703"/>
      <c r="VY35" s="2703"/>
      <c r="VZ35" s="2703"/>
      <c r="WA35" s="2703"/>
      <c r="WB35" s="2703"/>
      <c r="WC35" s="2703"/>
      <c r="WD35" s="2703"/>
      <c r="WE35" s="2703"/>
      <c r="WF35" s="2703"/>
      <c r="WG35" s="2703"/>
      <c r="WH35" s="2703"/>
      <c r="WI35" s="2703"/>
      <c r="WJ35" s="2703"/>
      <c r="WK35" s="2703"/>
      <c r="WL35" s="2703"/>
      <c r="WM35" s="2703"/>
      <c r="WN35" s="2703"/>
      <c r="WO35" s="2703"/>
      <c r="WP35" s="2703"/>
      <c r="WQ35" s="2703"/>
      <c r="WR35" s="2703"/>
      <c r="WS35" s="2703"/>
      <c r="WT35" s="2703"/>
      <c r="WU35" s="2703"/>
      <c r="WV35" s="2703"/>
      <c r="WW35" s="2703"/>
      <c r="WX35" s="2703"/>
      <c r="WY35" s="2703"/>
      <c r="WZ35" s="2703"/>
      <c r="XA35" s="2703"/>
      <c r="XB35" s="2703"/>
      <c r="XC35" s="2703"/>
      <c r="XD35" s="2703"/>
      <c r="XE35" s="2703"/>
      <c r="XF35" s="2703"/>
      <c r="XG35" s="2703"/>
      <c r="XH35" s="2703"/>
      <c r="XI35" s="2703"/>
      <c r="XJ35" s="2703"/>
      <c r="XK35" s="2703"/>
      <c r="XL35" s="2703"/>
      <c r="XM35" s="2703"/>
      <c r="XN35" s="2703"/>
      <c r="XO35" s="2703"/>
      <c r="XP35" s="2703"/>
      <c r="XQ35" s="2703"/>
      <c r="XR35" s="2703"/>
      <c r="XS35" s="2703"/>
      <c r="XT35" s="2703"/>
      <c r="XU35" s="2703"/>
      <c r="XV35" s="2703"/>
      <c r="XW35" s="2703"/>
      <c r="XX35" s="2703"/>
      <c r="XY35" s="2703"/>
      <c r="XZ35" s="2703"/>
      <c r="YA35" s="2703"/>
      <c r="YB35" s="2703"/>
      <c r="YC35" s="2703"/>
      <c r="YD35" s="2703"/>
      <c r="YE35" s="2703"/>
      <c r="YF35" s="2703"/>
      <c r="YG35" s="2703"/>
      <c r="YH35" s="2703"/>
      <c r="YI35" s="2703"/>
      <c r="YJ35" s="2703"/>
      <c r="YK35" s="2703"/>
      <c r="YL35" s="2703"/>
      <c r="YM35" s="2703"/>
      <c r="YN35" s="2703"/>
      <c r="YO35" s="2703"/>
      <c r="YP35" s="2703"/>
      <c r="YQ35" s="2703"/>
      <c r="YR35" s="2703"/>
      <c r="YS35" s="2703"/>
      <c r="YT35" s="2703"/>
      <c r="YU35" s="2703"/>
      <c r="YV35" s="2703"/>
      <c r="YW35" s="2703"/>
      <c r="YX35" s="2703"/>
      <c r="YY35" s="2703"/>
      <c r="YZ35" s="2703"/>
      <c r="ZA35" s="2703"/>
      <c r="ZB35" s="2703"/>
      <c r="ZC35" s="2703"/>
      <c r="ZD35" s="2703"/>
      <c r="ZE35" s="2703"/>
      <c r="ZF35" s="2703"/>
      <c r="ZG35" s="2703"/>
      <c r="ZH35" s="2703"/>
      <c r="ZI35" s="2703"/>
      <c r="ZJ35" s="2703"/>
      <c r="ZK35" s="2703"/>
      <c r="ZL35" s="2703"/>
      <c r="ZM35" s="2703"/>
      <c r="ZN35" s="2703"/>
      <c r="ZO35" s="2703"/>
      <c r="ZP35" s="2703"/>
      <c r="ZQ35" s="2703"/>
      <c r="ZR35" s="2703"/>
      <c r="ZS35" s="2703"/>
      <c r="ZT35" s="2703"/>
      <c r="ZU35" s="2703"/>
      <c r="ZV35" s="2703"/>
      <c r="ZW35" s="2703"/>
      <c r="ZX35" s="2703"/>
      <c r="ZY35" s="2703"/>
      <c r="ZZ35" s="2703"/>
      <c r="AAA35" s="2703"/>
      <c r="AAB35" s="2703"/>
      <c r="AAC35" s="2703"/>
      <c r="AAD35" s="2703"/>
      <c r="AAE35" s="2703"/>
      <c r="AAF35" s="2703"/>
      <c r="AAG35" s="2703"/>
      <c r="AAH35" s="2703"/>
      <c r="AAI35" s="2703"/>
      <c r="AAJ35" s="2703"/>
      <c r="AAK35" s="2703"/>
      <c r="AAL35" s="2703"/>
      <c r="AAM35" s="2703"/>
      <c r="AAN35" s="2703"/>
      <c r="AAO35" s="2703"/>
      <c r="AAP35" s="2703"/>
      <c r="AAQ35" s="2703"/>
      <c r="AAR35" s="2703"/>
      <c r="AAS35" s="2703"/>
      <c r="AAT35" s="2703"/>
      <c r="AAU35" s="2703"/>
      <c r="AAV35" s="2703"/>
      <c r="AAW35" s="2703"/>
      <c r="AAX35" s="2703"/>
      <c r="AAY35" s="2703"/>
      <c r="AAZ35" s="2703"/>
      <c r="ABA35" s="2703"/>
      <c r="ABB35" s="2703"/>
      <c r="ABC35" s="2703"/>
      <c r="ABD35" s="2703"/>
      <c r="ABE35" s="2703"/>
      <c r="ABF35" s="2703"/>
      <c r="ABG35" s="2703"/>
      <c r="ABH35" s="2703"/>
      <c r="ABI35" s="2703"/>
      <c r="ABJ35" s="2703"/>
      <c r="ABK35" s="2703"/>
      <c r="ABL35" s="2703"/>
      <c r="ABM35" s="2703"/>
      <c r="ABN35" s="2703"/>
      <c r="ABO35" s="2703"/>
      <c r="ABP35" s="2703"/>
      <c r="ABQ35" s="2703"/>
      <c r="ABR35" s="2703"/>
      <c r="ABS35" s="2703"/>
      <c r="ABT35" s="2703"/>
      <c r="ABU35" s="2703"/>
      <c r="ABV35" s="2703"/>
      <c r="ABW35" s="2703"/>
      <c r="ABX35" s="2703"/>
      <c r="ABY35" s="2703"/>
      <c r="ABZ35" s="2703"/>
      <c r="ACA35" s="2703"/>
      <c r="ACB35" s="2703"/>
      <c r="ACC35" s="2703"/>
      <c r="ACD35" s="2703"/>
      <c r="ACE35" s="2703"/>
      <c r="ACF35" s="2703"/>
      <c r="ACG35" s="2703"/>
      <c r="ACH35" s="2703"/>
      <c r="ACI35" s="2703"/>
      <c r="ACJ35" s="2703"/>
      <c r="ACK35" s="2703"/>
      <c r="ACL35" s="2703"/>
      <c r="ACM35" s="2703"/>
      <c r="ACN35" s="2703"/>
      <c r="ACO35" s="2703"/>
      <c r="ACP35" s="2703"/>
      <c r="ACQ35" s="2703"/>
      <c r="ACR35" s="2703"/>
      <c r="ACS35" s="2703"/>
      <c r="ACT35" s="2703"/>
      <c r="ACU35" s="2703"/>
      <c r="ACV35" s="2703"/>
      <c r="ACW35" s="2703"/>
      <c r="ACX35" s="2703"/>
      <c r="ACY35" s="2703"/>
      <c r="ACZ35" s="2703"/>
      <c r="ADA35" s="2703"/>
      <c r="ADB35" s="2703"/>
      <c r="ADC35" s="2703"/>
      <c r="ADD35" s="2703"/>
      <c r="ADE35" s="2703"/>
      <c r="ADF35" s="2703"/>
      <c r="ADG35" s="2703"/>
      <c r="ADH35" s="2703"/>
      <c r="ADI35" s="2703"/>
      <c r="ADJ35" s="2703"/>
      <c r="ADK35" s="2703"/>
      <c r="ADL35" s="2703"/>
      <c r="ADM35" s="2703"/>
      <c r="ADN35" s="2703"/>
      <c r="ADO35" s="2703"/>
      <c r="ADP35" s="2703"/>
      <c r="ADQ35" s="2703"/>
      <c r="ADR35" s="2703"/>
      <c r="ADS35" s="2703"/>
      <c r="ADT35" s="2703"/>
      <c r="ADU35" s="2703"/>
      <c r="ADV35" s="2703"/>
      <c r="ADW35" s="2703"/>
      <c r="ADX35" s="2703"/>
      <c r="ADY35" s="2703"/>
      <c r="ADZ35" s="2703"/>
      <c r="AEA35" s="2703"/>
      <c r="AEB35" s="2703"/>
      <c r="AEC35" s="2703"/>
      <c r="AED35" s="2703"/>
      <c r="AEE35" s="2703"/>
      <c r="AEF35" s="2703"/>
      <c r="AEG35" s="2703"/>
      <c r="AEH35" s="2703"/>
      <c r="AEI35" s="2703"/>
      <c r="AEJ35" s="2703"/>
      <c r="AEK35" s="2703"/>
      <c r="AEL35" s="2703"/>
      <c r="AEM35" s="2703"/>
      <c r="AEN35" s="2703"/>
      <c r="AEO35" s="2703"/>
      <c r="AEP35" s="2703"/>
      <c r="AEQ35" s="2703"/>
      <c r="AER35" s="2703"/>
      <c r="AES35" s="2703"/>
      <c r="AET35" s="2703"/>
      <c r="AEU35" s="2703"/>
      <c r="AEV35" s="2703"/>
      <c r="AEW35" s="2703"/>
      <c r="AEX35" s="2703"/>
      <c r="AEY35" s="2703"/>
      <c r="AEZ35" s="2703"/>
      <c r="AFA35" s="2703"/>
      <c r="AFB35" s="2703"/>
      <c r="AFC35" s="2703"/>
      <c r="AFD35" s="2703"/>
      <c r="AFE35" s="2703"/>
      <c r="AFF35" s="2703"/>
      <c r="AFG35" s="2703"/>
      <c r="AFH35" s="2703"/>
      <c r="AFI35" s="2703"/>
      <c r="AFJ35" s="2703"/>
      <c r="AFK35" s="2703"/>
      <c r="AFL35" s="2703"/>
      <c r="AFM35" s="2703"/>
      <c r="AFN35" s="2703"/>
      <c r="AFO35" s="2703"/>
      <c r="AFP35" s="2703"/>
      <c r="AFQ35" s="2703"/>
      <c r="AFR35" s="2703"/>
      <c r="AFS35" s="2703"/>
      <c r="AFT35" s="2703"/>
      <c r="AFU35" s="2703"/>
      <c r="AFV35" s="2703"/>
      <c r="AFW35" s="2703"/>
      <c r="AFX35" s="2703"/>
      <c r="AFY35" s="2703"/>
      <c r="AFZ35" s="2703"/>
      <c r="AGA35" s="2703"/>
      <c r="AGB35" s="2703"/>
      <c r="AGC35" s="2703"/>
      <c r="AGD35" s="2703"/>
      <c r="AGE35" s="2703"/>
      <c r="AGF35" s="2703"/>
      <c r="AGG35" s="2703"/>
      <c r="AGH35" s="2703"/>
      <c r="AGI35" s="2703"/>
      <c r="AGJ35" s="2703"/>
      <c r="AGK35" s="2703"/>
      <c r="AGL35" s="2703"/>
      <c r="AGM35" s="2703"/>
      <c r="AGN35" s="2703"/>
      <c r="AGO35" s="2703"/>
      <c r="AGP35" s="2703"/>
      <c r="AGQ35" s="2703"/>
      <c r="AGR35" s="2703"/>
      <c r="AGS35" s="2703"/>
      <c r="AGT35" s="2703"/>
      <c r="AGU35" s="2703"/>
      <c r="AGV35" s="2703"/>
      <c r="AGW35" s="2703"/>
      <c r="AGX35" s="2703"/>
      <c r="AGY35" s="2703"/>
      <c r="AGZ35" s="2703"/>
      <c r="AHA35" s="2703"/>
      <c r="AHB35" s="2703"/>
      <c r="AHC35" s="2703"/>
      <c r="AHD35" s="2703"/>
      <c r="AHE35" s="2703"/>
      <c r="AHF35" s="2703"/>
      <c r="AHG35" s="2703"/>
      <c r="AHH35" s="2703"/>
      <c r="AHI35" s="2703"/>
      <c r="AHJ35" s="2703"/>
      <c r="AHK35" s="2703"/>
      <c r="AHL35" s="2703"/>
      <c r="AHM35" s="2703"/>
      <c r="AHN35" s="2703"/>
      <c r="AHO35" s="2703"/>
      <c r="AHP35" s="2703"/>
      <c r="AHQ35" s="2703"/>
      <c r="AHR35" s="2703"/>
      <c r="AHS35" s="2703"/>
      <c r="AHT35" s="2703"/>
      <c r="AHU35" s="2703"/>
      <c r="AHV35" s="2703"/>
      <c r="AHW35" s="2703"/>
      <c r="AHX35" s="2703"/>
      <c r="AHY35" s="2703"/>
      <c r="AHZ35" s="2703"/>
      <c r="AIA35" s="2703"/>
      <c r="AIB35" s="2703"/>
      <c r="AIC35" s="2703"/>
      <c r="AID35" s="2703"/>
      <c r="AIE35" s="2703"/>
      <c r="AIF35" s="2703"/>
      <c r="AIG35" s="2703"/>
      <c r="AIH35" s="2703"/>
      <c r="AII35" s="2703"/>
      <c r="AIJ35" s="2703"/>
      <c r="AIK35" s="2703"/>
      <c r="AIL35" s="2703"/>
      <c r="AIM35" s="2703"/>
      <c r="AIN35" s="2703"/>
      <c r="AIO35" s="2703"/>
      <c r="AIP35" s="2703"/>
      <c r="AIQ35" s="2703"/>
      <c r="AIR35" s="2703"/>
      <c r="AIS35" s="2703"/>
      <c r="AIT35" s="2703"/>
      <c r="AIU35" s="2703"/>
      <c r="AIV35" s="2703"/>
      <c r="AIW35" s="2703"/>
      <c r="AIX35" s="2703"/>
      <c r="AIY35" s="2703"/>
      <c r="AIZ35" s="2703"/>
      <c r="AJA35" s="2703"/>
      <c r="AJB35" s="2703"/>
      <c r="AJC35" s="2703"/>
      <c r="AJD35" s="2703"/>
      <c r="AJE35" s="2703"/>
      <c r="AJF35" s="2703"/>
      <c r="AJG35" s="2703"/>
      <c r="AJH35" s="2703"/>
      <c r="AJI35" s="2703"/>
      <c r="AJJ35" s="2703"/>
      <c r="AJK35" s="2703"/>
      <c r="AJL35" s="2703"/>
      <c r="AJM35" s="2703"/>
      <c r="AJN35" s="2703"/>
      <c r="AJO35" s="2703"/>
      <c r="AJP35" s="2703"/>
      <c r="AJQ35" s="2703"/>
      <c r="AJR35" s="2703"/>
      <c r="AJS35" s="2703"/>
      <c r="AJT35" s="2703"/>
      <c r="AJU35" s="2703"/>
      <c r="AJV35" s="2703"/>
      <c r="AJW35" s="2703"/>
      <c r="AJX35" s="2703"/>
      <c r="AJY35" s="2703"/>
      <c r="AJZ35" s="2703"/>
      <c r="AKA35" s="2703"/>
      <c r="AKB35" s="2703"/>
      <c r="AKC35" s="2703"/>
      <c r="AKD35" s="2703"/>
      <c r="AKE35" s="2703"/>
      <c r="AKF35" s="2703"/>
      <c r="AKG35" s="2703"/>
      <c r="AKH35" s="2703"/>
      <c r="AKI35" s="2703"/>
      <c r="AKJ35" s="2703"/>
      <c r="AKK35" s="2703"/>
      <c r="AKL35" s="2703"/>
      <c r="AKM35" s="2703"/>
      <c r="AKN35" s="2703"/>
      <c r="AKO35" s="2703"/>
      <c r="AKP35" s="2703"/>
      <c r="AKQ35" s="2703"/>
      <c r="AKR35" s="2703"/>
      <c r="AKS35" s="2703"/>
      <c r="AKT35" s="2703"/>
      <c r="AKU35" s="2703"/>
      <c r="AKV35" s="2703"/>
      <c r="AKW35" s="2703"/>
      <c r="AKX35" s="2703"/>
      <c r="AKY35" s="2703"/>
      <c r="AKZ35" s="2703"/>
      <c r="ALA35" s="2703"/>
      <c r="ALB35" s="2703"/>
      <c r="ALC35" s="2703"/>
      <c r="ALD35" s="2703"/>
      <c r="ALE35" s="2703"/>
      <c r="ALF35" s="2703"/>
      <c r="ALG35" s="2703"/>
      <c r="ALH35" s="2703"/>
      <c r="ALI35" s="2703"/>
      <c r="ALJ35" s="2703"/>
      <c r="ALK35" s="2703"/>
      <c r="ALL35" s="2703"/>
      <c r="ALM35" s="2703"/>
      <c r="ALN35" s="2703"/>
      <c r="ALO35" s="2703"/>
      <c r="ALP35" s="2703"/>
      <c r="ALQ35" s="2703"/>
      <c r="ALR35" s="2703"/>
      <c r="ALS35" s="2703"/>
      <c r="ALT35" s="2703"/>
      <c r="ALU35" s="2703"/>
      <c r="ALV35" s="2703"/>
      <c r="ALW35" s="2703"/>
      <c r="ALX35" s="2703"/>
      <c r="ALY35" s="2703"/>
      <c r="ALZ35" s="2703"/>
      <c r="AMA35" s="2703"/>
      <c r="AMB35" s="2703"/>
      <c r="AMC35" s="2703"/>
      <c r="AMD35" s="2703"/>
      <c r="AME35" s="2703"/>
      <c r="AMF35" s="2703"/>
      <c r="AMG35" s="2703"/>
      <c r="AMH35" s="2703"/>
      <c r="AMI35" s="2703"/>
      <c r="AMJ35" s="2703"/>
      <c r="AMK35" s="2703"/>
      <c r="AML35" s="2703"/>
      <c r="AMM35" s="2703"/>
      <c r="AMN35" s="2703"/>
      <c r="AMO35" s="2703"/>
      <c r="AMP35" s="2703"/>
      <c r="AMQ35" s="2703"/>
      <c r="AMR35" s="2703"/>
      <c r="AMS35" s="2703"/>
      <c r="AMT35" s="2703"/>
      <c r="AMU35" s="2703"/>
      <c r="AMV35" s="2703"/>
      <c r="AMW35" s="2703"/>
      <c r="AMX35" s="2703"/>
      <c r="AMY35" s="2703"/>
      <c r="AMZ35" s="2703"/>
      <c r="ANA35" s="2703"/>
      <c r="ANB35" s="2703"/>
      <c r="ANC35" s="2703"/>
      <c r="AND35" s="2703"/>
      <c r="ANE35" s="2703"/>
      <c r="ANF35" s="2703"/>
      <c r="ANG35" s="2703"/>
      <c r="ANH35" s="2703"/>
      <c r="ANI35" s="2703"/>
      <c r="ANJ35" s="2703"/>
      <c r="ANK35" s="2703"/>
      <c r="ANL35" s="2703"/>
      <c r="ANM35" s="2703"/>
      <c r="ANN35" s="2703"/>
      <c r="ANO35" s="2703"/>
      <c r="ANP35" s="2703"/>
      <c r="ANQ35" s="2703"/>
      <c r="ANR35" s="2703"/>
      <c r="ANS35" s="2703"/>
      <c r="ANT35" s="2703"/>
      <c r="ANU35" s="2703"/>
      <c r="ANV35" s="2703"/>
      <c r="ANW35" s="2703"/>
      <c r="ANX35" s="2703"/>
      <c r="ANY35" s="2703"/>
      <c r="ANZ35" s="2703"/>
      <c r="AOA35" s="2703"/>
      <c r="AOB35" s="2703"/>
      <c r="AOC35" s="2703"/>
      <c r="AOD35" s="2703"/>
      <c r="AOE35" s="2703"/>
      <c r="AOF35" s="2703"/>
      <c r="AOG35" s="2703"/>
      <c r="AOH35" s="2703"/>
      <c r="AOI35" s="2703"/>
      <c r="AOJ35" s="2703"/>
      <c r="AOK35" s="2703"/>
      <c r="AOL35" s="2703"/>
      <c r="AOM35" s="2703"/>
      <c r="AON35" s="2703"/>
      <c r="AOO35" s="2703"/>
      <c r="AOP35" s="2703"/>
      <c r="AOQ35" s="2703"/>
      <c r="AOR35" s="2703"/>
      <c r="AOS35" s="2703"/>
      <c r="AOT35" s="2703"/>
      <c r="AOU35" s="2703"/>
      <c r="AOV35" s="2703"/>
      <c r="AOW35" s="2703"/>
      <c r="AOX35" s="2703"/>
      <c r="AOY35" s="2703"/>
      <c r="AOZ35" s="2703"/>
      <c r="APA35" s="2703"/>
      <c r="APB35" s="2703"/>
      <c r="APC35" s="2703"/>
      <c r="APD35" s="2703"/>
      <c r="APE35" s="2703"/>
      <c r="APF35" s="2703"/>
      <c r="APG35" s="2703"/>
      <c r="APH35" s="2703"/>
      <c r="API35" s="2703"/>
      <c r="APJ35" s="2703"/>
      <c r="APK35" s="2703"/>
      <c r="APL35" s="2703"/>
      <c r="APM35" s="2703"/>
      <c r="APN35" s="2703"/>
      <c r="APO35" s="2703"/>
      <c r="APP35" s="2703"/>
      <c r="APQ35" s="2703"/>
      <c r="APR35" s="2703"/>
      <c r="APS35" s="2703"/>
      <c r="APT35" s="2703"/>
      <c r="APU35" s="2703"/>
      <c r="APV35" s="2703"/>
      <c r="APW35" s="2703"/>
      <c r="APX35" s="2703"/>
      <c r="APY35" s="2703"/>
      <c r="APZ35" s="2703"/>
      <c r="AQA35" s="2703"/>
      <c r="AQB35" s="2703"/>
      <c r="AQC35" s="2703"/>
      <c r="AQD35" s="2703"/>
      <c r="AQE35" s="2703"/>
      <c r="AQF35" s="2703"/>
      <c r="AQG35" s="2703"/>
      <c r="AQH35" s="2703"/>
      <c r="AQI35" s="2703"/>
      <c r="AQJ35" s="2703"/>
      <c r="AQK35" s="2703"/>
      <c r="AQL35" s="2703"/>
      <c r="AQM35" s="2703"/>
      <c r="AQN35" s="2703"/>
      <c r="AQO35" s="2703"/>
      <c r="AQP35" s="2703"/>
      <c r="AQQ35" s="2703"/>
      <c r="AQR35" s="2703"/>
      <c r="AQS35" s="2703"/>
      <c r="AQT35" s="2703"/>
      <c r="AQU35" s="2703"/>
      <c r="AQV35" s="2703"/>
      <c r="AQW35" s="2703"/>
      <c r="AQX35" s="2703"/>
      <c r="AQY35" s="2703"/>
      <c r="AQZ35" s="2703"/>
      <c r="ARA35" s="2703"/>
      <c r="ARB35" s="2703"/>
      <c r="ARC35" s="2703"/>
      <c r="ARD35" s="2703"/>
      <c r="ARE35" s="2703"/>
      <c r="ARF35" s="2703"/>
      <c r="ARG35" s="2703"/>
      <c r="ARH35" s="2703"/>
      <c r="ARI35" s="2703"/>
      <c r="ARJ35" s="2703"/>
      <c r="ARK35" s="2703"/>
      <c r="ARL35" s="2703"/>
      <c r="ARM35" s="2703"/>
      <c r="ARN35" s="2703"/>
      <c r="ARO35" s="2703"/>
      <c r="ARP35" s="2703"/>
      <c r="ARQ35" s="2703"/>
      <c r="ARR35" s="2703"/>
      <c r="ARS35" s="2703"/>
      <c r="ART35" s="2703"/>
      <c r="ARU35" s="2703"/>
      <c r="ARV35" s="2703"/>
      <c r="ARW35" s="2703"/>
      <c r="ARX35" s="2703"/>
      <c r="ARY35" s="2703"/>
      <c r="ARZ35" s="2703"/>
      <c r="ASA35" s="2703"/>
      <c r="ASB35" s="2703"/>
      <c r="ASC35" s="2703"/>
      <c r="ASD35" s="2703"/>
      <c r="ASE35" s="2703"/>
      <c r="ASF35" s="2703"/>
      <c r="ASG35" s="2703"/>
      <c r="ASH35" s="2703"/>
      <c r="ASI35" s="2703"/>
      <c r="ASJ35" s="2703"/>
      <c r="ASK35" s="2703"/>
      <c r="ASL35" s="2703"/>
      <c r="ASM35" s="2703"/>
      <c r="ASN35" s="2703"/>
      <c r="ASO35" s="2703"/>
      <c r="ASP35" s="2703"/>
      <c r="ASQ35" s="2703"/>
      <c r="ASR35" s="2703"/>
      <c r="ASS35" s="2703"/>
      <c r="AST35" s="2703"/>
      <c r="ASU35" s="2703"/>
      <c r="ASV35" s="2703"/>
      <c r="ASW35" s="2703"/>
      <c r="ASX35" s="2703"/>
      <c r="ASY35" s="2703"/>
      <c r="ASZ35" s="2703"/>
      <c r="ATA35" s="2703"/>
      <c r="ATB35" s="2703"/>
      <c r="ATC35" s="2703"/>
      <c r="ATD35" s="2703"/>
      <c r="ATE35" s="2703"/>
      <c r="ATF35" s="2703"/>
      <c r="ATG35" s="2703"/>
      <c r="ATH35" s="2703"/>
      <c r="ATI35" s="2703"/>
      <c r="ATJ35" s="2703"/>
      <c r="ATK35" s="2703"/>
      <c r="ATL35" s="2703"/>
      <c r="ATM35" s="2703"/>
      <c r="ATN35" s="2703"/>
      <c r="ATO35" s="2703"/>
      <c r="ATP35" s="2703"/>
      <c r="ATQ35" s="2703"/>
      <c r="ATR35" s="2703"/>
      <c r="ATS35" s="2703"/>
      <c r="ATT35" s="2703"/>
      <c r="ATU35" s="2703"/>
      <c r="ATV35" s="2703"/>
      <c r="ATW35" s="2703"/>
      <c r="ATX35" s="2703"/>
      <c r="ATY35" s="2703"/>
      <c r="ATZ35" s="2703"/>
      <c r="AUA35" s="2703"/>
      <c r="AUB35" s="2703"/>
      <c r="AUC35" s="2703"/>
      <c r="AUD35" s="2703"/>
      <c r="AUE35" s="2703"/>
      <c r="AUF35" s="2703"/>
      <c r="AUG35" s="2703"/>
      <c r="AUH35" s="2703"/>
      <c r="AUI35" s="2703"/>
      <c r="AUJ35" s="2703"/>
      <c r="AUK35" s="2703"/>
      <c r="AUL35" s="2703"/>
      <c r="AUM35" s="2703"/>
      <c r="AUN35" s="2703"/>
      <c r="AUO35" s="2703"/>
      <c r="AUP35" s="2703"/>
      <c r="AUQ35" s="2703"/>
      <c r="AUR35" s="2703"/>
      <c r="AUS35" s="2703"/>
      <c r="AUT35" s="2703"/>
      <c r="AUU35" s="2703"/>
      <c r="AUV35" s="2703"/>
      <c r="AUW35" s="2703"/>
      <c r="AUX35" s="2703"/>
      <c r="AUY35" s="2703"/>
      <c r="AUZ35" s="2703"/>
      <c r="AVA35" s="2703"/>
      <c r="AVB35" s="2703"/>
      <c r="AVC35" s="2703"/>
      <c r="AVD35" s="2703"/>
      <c r="AVE35" s="2703"/>
      <c r="AVF35" s="2703"/>
      <c r="AVG35" s="2703"/>
      <c r="AVH35" s="2703"/>
      <c r="AVI35" s="2703"/>
      <c r="AVJ35" s="2703"/>
      <c r="AVK35" s="2703"/>
      <c r="AVL35" s="2703"/>
      <c r="AVM35" s="2703"/>
      <c r="AVN35" s="2703"/>
      <c r="AVO35" s="2703"/>
      <c r="AVP35" s="2703"/>
      <c r="AVQ35" s="2703"/>
      <c r="AVR35" s="2703"/>
      <c r="AVS35" s="2703"/>
      <c r="AVT35" s="2703"/>
      <c r="AVU35" s="2703"/>
      <c r="AVV35" s="2703"/>
      <c r="AVW35" s="2703"/>
      <c r="AVX35" s="2703"/>
      <c r="AVY35" s="2703"/>
      <c r="AVZ35" s="2703"/>
      <c r="AWA35" s="2703"/>
      <c r="AWB35" s="2703"/>
      <c r="AWC35" s="2703"/>
      <c r="AWD35" s="2703"/>
      <c r="AWE35" s="2703"/>
      <c r="AWF35" s="2703"/>
      <c r="AWG35" s="2703"/>
      <c r="AWH35" s="2703"/>
      <c r="AWI35" s="2703"/>
      <c r="AWJ35" s="2703"/>
      <c r="AWK35" s="2703"/>
      <c r="AWL35" s="2703"/>
      <c r="AWM35" s="2703"/>
      <c r="AWN35" s="2703"/>
      <c r="AWO35" s="2703"/>
      <c r="AWP35" s="2703"/>
      <c r="AWQ35" s="2703"/>
      <c r="AWR35" s="2703"/>
      <c r="AWS35" s="2703"/>
      <c r="AWT35" s="2703"/>
      <c r="AWU35" s="2703"/>
      <c r="AWV35" s="2703"/>
      <c r="AWW35" s="2703"/>
      <c r="AWX35" s="2703"/>
      <c r="AWY35" s="2703"/>
      <c r="AWZ35" s="2703"/>
      <c r="AXA35" s="2703"/>
      <c r="AXB35" s="2703"/>
      <c r="AXC35" s="2703"/>
      <c r="AXD35" s="2703"/>
      <c r="AXE35" s="2703"/>
      <c r="AXF35" s="2703"/>
      <c r="AXG35" s="2703"/>
      <c r="AXH35" s="2703"/>
      <c r="AXI35" s="2703"/>
      <c r="AXJ35" s="2703"/>
      <c r="AXK35" s="2703"/>
      <c r="AXL35" s="2703"/>
      <c r="AXM35" s="2703"/>
      <c r="AXN35" s="2703"/>
      <c r="AXO35" s="2703"/>
      <c r="AXP35" s="2703"/>
      <c r="AXQ35" s="2703"/>
      <c r="AXR35" s="2703"/>
      <c r="AXS35" s="2703"/>
      <c r="AXT35" s="2703"/>
      <c r="AXU35" s="2703"/>
      <c r="AXV35" s="2703"/>
      <c r="AXW35" s="2703"/>
      <c r="AXX35" s="2703"/>
      <c r="AXY35" s="2703"/>
      <c r="AXZ35" s="2703"/>
      <c r="AYA35" s="2703"/>
      <c r="AYB35" s="2703"/>
      <c r="AYC35" s="2703"/>
      <c r="AYD35" s="2703"/>
      <c r="AYE35" s="2703"/>
      <c r="AYF35" s="2703"/>
      <c r="AYG35" s="2703"/>
      <c r="AYH35" s="2703"/>
      <c r="AYI35" s="2703"/>
      <c r="AYJ35" s="2703"/>
      <c r="AYK35" s="2703"/>
      <c r="AYL35" s="2703"/>
      <c r="AYM35" s="2703"/>
      <c r="AYN35" s="2703"/>
      <c r="AYO35" s="2703"/>
      <c r="AYP35" s="2703"/>
      <c r="AYQ35" s="2703"/>
      <c r="AYR35" s="2703"/>
      <c r="AYS35" s="2703"/>
      <c r="AYT35" s="2703"/>
      <c r="AYU35" s="2703"/>
      <c r="AYV35" s="2703"/>
      <c r="AYW35" s="2703"/>
      <c r="AYX35" s="2703"/>
      <c r="AYY35" s="2703"/>
      <c r="AYZ35" s="2703"/>
      <c r="AZA35" s="2703"/>
      <c r="AZB35" s="2703"/>
      <c r="AZC35" s="2703"/>
      <c r="AZD35" s="2703"/>
      <c r="AZE35" s="2703"/>
      <c r="AZF35" s="2703"/>
      <c r="AZG35" s="2703"/>
      <c r="AZH35" s="2703"/>
      <c r="AZI35" s="2703"/>
      <c r="AZJ35" s="2703"/>
      <c r="AZK35" s="2703"/>
      <c r="AZL35" s="2703"/>
      <c r="AZM35" s="2703"/>
      <c r="AZN35" s="2703"/>
      <c r="AZO35" s="2703"/>
      <c r="AZP35" s="2703"/>
      <c r="AZQ35" s="2703"/>
      <c r="AZR35" s="2703"/>
      <c r="AZS35" s="2703"/>
      <c r="AZT35" s="2703"/>
      <c r="AZU35" s="2703"/>
      <c r="AZV35" s="2703"/>
      <c r="AZW35" s="2703"/>
      <c r="AZX35" s="2703"/>
      <c r="AZY35" s="2703"/>
      <c r="AZZ35" s="2703"/>
      <c r="BAA35" s="2703"/>
      <c r="BAB35" s="2703"/>
      <c r="BAC35" s="2703"/>
      <c r="BAD35" s="2703"/>
      <c r="BAE35" s="2703"/>
      <c r="BAF35" s="2703"/>
      <c r="BAG35" s="2703"/>
      <c r="BAH35" s="2703"/>
      <c r="BAI35" s="2703"/>
      <c r="BAJ35" s="2703"/>
      <c r="BAK35" s="2703"/>
      <c r="BAL35" s="2703"/>
      <c r="BAM35" s="2703"/>
      <c r="BAN35" s="2703"/>
      <c r="BAO35" s="2703"/>
      <c r="BAP35" s="2703"/>
      <c r="BAQ35" s="2703"/>
      <c r="BAR35" s="2703"/>
      <c r="BAS35" s="2703"/>
      <c r="BAT35" s="2703"/>
      <c r="BAU35" s="2703"/>
      <c r="BAV35" s="2703"/>
      <c r="BAW35" s="2703"/>
      <c r="BAX35" s="2703"/>
      <c r="BAY35" s="2703"/>
      <c r="BAZ35" s="2703"/>
      <c r="BBA35" s="2703"/>
      <c r="BBB35" s="2703"/>
      <c r="BBC35" s="2703"/>
      <c r="BBD35" s="2703"/>
      <c r="BBE35" s="2703"/>
      <c r="BBF35" s="2703"/>
      <c r="BBG35" s="2703"/>
      <c r="BBH35" s="2703"/>
      <c r="BBI35" s="2703"/>
      <c r="BBJ35" s="2703"/>
      <c r="BBK35" s="2703"/>
      <c r="BBL35" s="2703"/>
      <c r="BBM35" s="2703"/>
      <c r="BBN35" s="2703"/>
      <c r="BBO35" s="2703"/>
      <c r="BBP35" s="2703"/>
      <c r="BBQ35" s="2703"/>
      <c r="BBR35" s="2703"/>
      <c r="BBS35" s="2703"/>
      <c r="BBT35" s="2703"/>
      <c r="BBU35" s="2703"/>
      <c r="BBV35" s="2703"/>
      <c r="BBW35" s="2703"/>
      <c r="BBX35" s="2703"/>
      <c r="BBY35" s="2703"/>
      <c r="BBZ35" s="2703"/>
      <c r="BCA35" s="2703"/>
      <c r="BCB35" s="2703"/>
      <c r="BCC35" s="2703"/>
      <c r="BCD35" s="2703"/>
      <c r="BCE35" s="2703"/>
      <c r="BCF35" s="2703"/>
      <c r="BCG35" s="2703"/>
      <c r="BCH35" s="2703"/>
      <c r="BCI35" s="2703"/>
      <c r="BCJ35" s="2703"/>
      <c r="BCK35" s="2703"/>
      <c r="BCL35" s="2703"/>
      <c r="BCM35" s="2703"/>
      <c r="BCN35" s="2703"/>
      <c r="BCO35" s="2703"/>
      <c r="BCP35" s="2703"/>
      <c r="BCQ35" s="2703"/>
      <c r="BCR35" s="2703"/>
      <c r="BCS35" s="2703"/>
      <c r="BCT35" s="2703"/>
      <c r="BCU35" s="2703"/>
      <c r="BCV35" s="2703"/>
      <c r="BCW35" s="2703"/>
      <c r="BCX35" s="2703"/>
      <c r="BCY35" s="2703"/>
      <c r="BCZ35" s="2703"/>
      <c r="BDA35" s="2703"/>
      <c r="BDB35" s="2703"/>
      <c r="BDC35" s="2703"/>
      <c r="BDD35" s="2703"/>
      <c r="BDE35" s="2703"/>
      <c r="BDF35" s="2703"/>
      <c r="BDG35" s="2703"/>
      <c r="BDH35" s="2703"/>
      <c r="BDI35" s="2703"/>
      <c r="BDJ35" s="2703"/>
      <c r="BDK35" s="2703"/>
      <c r="BDL35" s="2703"/>
      <c r="BDM35" s="2703"/>
      <c r="BDN35" s="2703"/>
      <c r="BDO35" s="2703"/>
      <c r="BDP35" s="2703"/>
      <c r="BDQ35" s="2703"/>
      <c r="BDR35" s="2703"/>
      <c r="BDS35" s="2703"/>
      <c r="BDT35" s="2703"/>
      <c r="BDU35" s="2703"/>
      <c r="BDV35" s="2703"/>
      <c r="BDW35" s="2703"/>
      <c r="BDX35" s="2703"/>
      <c r="BDY35" s="2703"/>
      <c r="BDZ35" s="2703"/>
      <c r="BEA35" s="2703"/>
      <c r="BEB35" s="2703"/>
      <c r="BEC35" s="2703"/>
      <c r="BED35" s="2703"/>
      <c r="BEE35" s="2703"/>
      <c r="BEF35" s="2703"/>
      <c r="BEG35" s="2703"/>
      <c r="BEH35" s="2703"/>
      <c r="BEI35" s="2703"/>
      <c r="BEJ35" s="2703"/>
      <c r="BEK35" s="2703"/>
      <c r="BEL35" s="2703"/>
      <c r="BEM35" s="2703"/>
      <c r="BEN35" s="2703"/>
      <c r="BEO35" s="2703"/>
      <c r="BEP35" s="2703"/>
      <c r="BEQ35" s="2703"/>
      <c r="BER35" s="2703"/>
      <c r="BES35" s="2703"/>
      <c r="BET35" s="2703"/>
      <c r="BEU35" s="2703"/>
      <c r="BEV35" s="2703"/>
      <c r="BEW35" s="2703"/>
      <c r="BEX35" s="2703"/>
      <c r="BEY35" s="2703"/>
      <c r="BEZ35" s="2703"/>
      <c r="BFA35" s="2703"/>
      <c r="BFB35" s="2703"/>
      <c r="BFC35" s="2703"/>
      <c r="BFD35" s="2703"/>
      <c r="BFE35" s="2703"/>
      <c r="BFF35" s="2703"/>
      <c r="BFG35" s="2703"/>
      <c r="BFH35" s="2703"/>
      <c r="BFI35" s="2703"/>
      <c r="BFJ35" s="2703"/>
      <c r="BFK35" s="2703"/>
      <c r="BFL35" s="2703"/>
      <c r="BFM35" s="2703"/>
      <c r="BFN35" s="2703"/>
      <c r="BFO35" s="2703"/>
      <c r="BFP35" s="2703"/>
      <c r="BFQ35" s="2703"/>
      <c r="BFR35" s="2703"/>
      <c r="BFS35" s="2703"/>
      <c r="BFT35" s="2703"/>
      <c r="BFU35" s="2703"/>
      <c r="BFV35" s="2703"/>
      <c r="BFW35" s="2703"/>
      <c r="BFX35" s="2703"/>
      <c r="BFY35" s="2703"/>
      <c r="BFZ35" s="2703"/>
      <c r="BGA35" s="2703"/>
      <c r="BGB35" s="2703"/>
      <c r="BGC35" s="2703"/>
      <c r="BGD35" s="2703"/>
      <c r="BGE35" s="2703"/>
      <c r="BGF35" s="2703"/>
      <c r="BGG35" s="2703"/>
      <c r="BGH35" s="2703"/>
      <c r="BGI35" s="2703"/>
      <c r="BGJ35" s="2703"/>
      <c r="BGK35" s="2703"/>
      <c r="BGL35" s="2703"/>
      <c r="BGM35" s="2703"/>
      <c r="BGN35" s="2703"/>
      <c r="BGO35" s="2703"/>
      <c r="BGP35" s="2703"/>
      <c r="BGQ35" s="2703"/>
      <c r="BGR35" s="2703"/>
      <c r="BGS35" s="2703"/>
      <c r="BGT35" s="2703"/>
      <c r="BGU35" s="2703"/>
      <c r="BGV35" s="2703"/>
      <c r="BGW35" s="2703"/>
      <c r="BGX35" s="2703"/>
      <c r="BGY35" s="2703"/>
      <c r="BGZ35" s="2703"/>
      <c r="BHA35" s="2703"/>
      <c r="BHB35" s="2703"/>
      <c r="BHC35" s="2703"/>
      <c r="BHD35" s="2703"/>
      <c r="BHE35" s="2703"/>
      <c r="BHF35" s="2703"/>
      <c r="BHG35" s="2703"/>
      <c r="BHH35" s="2703"/>
      <c r="BHI35" s="2703"/>
      <c r="BHJ35" s="2703"/>
      <c r="BHK35" s="2703"/>
      <c r="BHL35" s="2703"/>
      <c r="BHM35" s="2703"/>
      <c r="BHN35" s="2703"/>
      <c r="BHO35" s="2703"/>
      <c r="BHP35" s="2703"/>
      <c r="BHQ35" s="2703"/>
      <c r="BHR35" s="2703"/>
      <c r="BHS35" s="2703"/>
      <c r="BHT35" s="2703"/>
      <c r="BHU35" s="2703"/>
      <c r="BHV35" s="2703"/>
      <c r="BHW35" s="2703"/>
      <c r="BHX35" s="2703"/>
      <c r="BHY35" s="2703"/>
      <c r="BHZ35" s="2703"/>
      <c r="BIA35" s="2703"/>
      <c r="BIB35" s="2703"/>
      <c r="BIC35" s="2703"/>
      <c r="BID35" s="2703"/>
      <c r="BIE35" s="2703"/>
      <c r="BIF35" s="2703"/>
      <c r="BIG35" s="2703"/>
      <c r="BIH35" s="2703"/>
      <c r="BII35" s="2703"/>
      <c r="BIJ35" s="2703"/>
      <c r="BIK35" s="2703"/>
      <c r="BIL35" s="2703"/>
      <c r="BIM35" s="2703"/>
      <c r="BIN35" s="2703"/>
      <c r="BIO35" s="2703"/>
      <c r="BIP35" s="2703"/>
      <c r="BIQ35" s="2703"/>
      <c r="BIR35" s="2703"/>
      <c r="BIS35" s="2703"/>
      <c r="BIT35" s="2703"/>
      <c r="BIU35" s="2703"/>
      <c r="BIV35" s="2703"/>
      <c r="BIW35" s="2703"/>
      <c r="BIX35" s="2703"/>
      <c r="BIY35" s="2703"/>
      <c r="BIZ35" s="2703"/>
      <c r="BJA35" s="2703"/>
      <c r="BJB35" s="2703"/>
      <c r="BJC35" s="2703"/>
      <c r="BJD35" s="2703"/>
      <c r="BJE35" s="2703"/>
      <c r="BJF35" s="2703"/>
      <c r="BJG35" s="2703"/>
      <c r="BJH35" s="2703"/>
      <c r="BJI35" s="2703"/>
      <c r="BJJ35" s="2703"/>
      <c r="BJK35" s="2703"/>
      <c r="BJL35" s="2703"/>
      <c r="BJM35" s="2703"/>
      <c r="BJN35" s="2703"/>
      <c r="BJO35" s="2703"/>
      <c r="BJP35" s="2703"/>
      <c r="BJQ35" s="2703"/>
      <c r="BJR35" s="2703"/>
      <c r="BJS35" s="2703"/>
      <c r="BJT35" s="2703"/>
      <c r="BJU35" s="2703"/>
      <c r="BJV35" s="2703"/>
      <c r="BJW35" s="2703"/>
      <c r="BJX35" s="2703"/>
      <c r="BJY35" s="2703"/>
      <c r="BJZ35" s="2703"/>
      <c r="BKA35" s="2703"/>
      <c r="BKB35" s="2703"/>
      <c r="BKC35" s="2703"/>
      <c r="BKD35" s="2703"/>
      <c r="BKE35" s="2703"/>
      <c r="BKF35" s="2703"/>
      <c r="BKG35" s="2703"/>
      <c r="BKH35" s="2703"/>
      <c r="BKI35" s="2703"/>
      <c r="BKJ35" s="2703"/>
      <c r="BKK35" s="2703"/>
      <c r="BKL35" s="2703"/>
      <c r="BKM35" s="2703"/>
      <c r="BKN35" s="2703"/>
      <c r="BKO35" s="2703"/>
      <c r="BKP35" s="2703"/>
      <c r="BKQ35" s="2703"/>
      <c r="BKR35" s="2703"/>
      <c r="BKS35" s="2703"/>
      <c r="BKT35" s="2703"/>
      <c r="BKU35" s="2703"/>
      <c r="BKV35" s="2703"/>
      <c r="BKW35" s="2703"/>
      <c r="BKX35" s="2703"/>
      <c r="BKY35" s="2703"/>
      <c r="BKZ35" s="2703"/>
      <c r="BLA35" s="2703"/>
      <c r="BLB35" s="2703"/>
      <c r="BLC35" s="2703"/>
      <c r="BLD35" s="2703"/>
      <c r="BLE35" s="2703"/>
      <c r="BLF35" s="2703"/>
      <c r="BLG35" s="2703"/>
      <c r="BLH35" s="2703"/>
      <c r="BLI35" s="2703"/>
      <c r="BLJ35" s="2703"/>
      <c r="BLK35" s="2703"/>
      <c r="BLL35" s="2703"/>
      <c r="BLM35" s="2703"/>
      <c r="BLN35" s="2703"/>
      <c r="BLO35" s="2703"/>
      <c r="BLP35" s="2703"/>
      <c r="BLQ35" s="2703"/>
      <c r="BLR35" s="2703"/>
      <c r="BLS35" s="2703"/>
      <c r="BLT35" s="2703"/>
      <c r="BLU35" s="2703"/>
      <c r="BLV35" s="2703"/>
      <c r="BLW35" s="2703"/>
      <c r="BLX35" s="2703"/>
      <c r="BLY35" s="2703"/>
      <c r="BLZ35" s="2703"/>
      <c r="BMA35" s="2703"/>
      <c r="BMB35" s="2703"/>
      <c r="BMC35" s="2703"/>
      <c r="BMD35" s="2703"/>
      <c r="BME35" s="2703"/>
      <c r="BMF35" s="2703"/>
      <c r="BMG35" s="2703"/>
      <c r="BMH35" s="2703"/>
      <c r="BMI35" s="2703"/>
      <c r="BMJ35" s="2703"/>
      <c r="BMK35" s="2703"/>
      <c r="BML35" s="2703"/>
      <c r="BMM35" s="2703"/>
      <c r="BMN35" s="2703"/>
      <c r="BMO35" s="2703"/>
      <c r="BMP35" s="2703"/>
      <c r="BMQ35" s="2703"/>
      <c r="BMR35" s="2703"/>
      <c r="BMS35" s="2703"/>
      <c r="BMT35" s="2703"/>
      <c r="BMU35" s="2703"/>
      <c r="BMV35" s="2703"/>
      <c r="BMW35" s="2703"/>
      <c r="BMX35" s="2703"/>
      <c r="BMY35" s="2703"/>
      <c r="BMZ35" s="2703"/>
      <c r="BNA35" s="2703"/>
      <c r="BNB35" s="2703"/>
      <c r="BNC35" s="2703"/>
      <c r="BND35" s="2703"/>
      <c r="BNE35" s="2703"/>
      <c r="BNF35" s="2703"/>
      <c r="BNG35" s="2703"/>
      <c r="BNH35" s="2703"/>
      <c r="BNI35" s="2703"/>
      <c r="BNJ35" s="2703"/>
      <c r="BNK35" s="2703"/>
      <c r="BNL35" s="2703"/>
      <c r="BNM35" s="2703"/>
      <c r="BNN35" s="2703"/>
      <c r="BNO35" s="2703"/>
      <c r="BNP35" s="2703"/>
      <c r="BNQ35" s="2703"/>
      <c r="BNR35" s="2703"/>
      <c r="BNS35" s="2703"/>
      <c r="BNT35" s="2703"/>
      <c r="BNU35" s="2703"/>
      <c r="BNV35" s="2703"/>
      <c r="BNW35" s="2703"/>
      <c r="BNX35" s="2703"/>
      <c r="BNY35" s="2703"/>
      <c r="BNZ35" s="2703"/>
      <c r="BOA35" s="2703"/>
      <c r="BOB35" s="2703"/>
      <c r="BOC35" s="2703"/>
      <c r="BOD35" s="2703"/>
      <c r="BOE35" s="2703"/>
      <c r="BOF35" s="2703"/>
      <c r="BOG35" s="2703"/>
      <c r="BOH35" s="2703"/>
      <c r="BOI35" s="2703"/>
      <c r="BOJ35" s="2703"/>
      <c r="BOK35" s="2703"/>
      <c r="BOL35" s="2703"/>
      <c r="BOM35" s="2703"/>
      <c r="BON35" s="2703"/>
      <c r="BOO35" s="2703"/>
      <c r="BOP35" s="2703"/>
      <c r="BOQ35" s="2703"/>
      <c r="BOR35" s="2703"/>
      <c r="BOS35" s="2703"/>
      <c r="BOT35" s="2703"/>
      <c r="BOU35" s="2703"/>
      <c r="BOV35" s="2703"/>
      <c r="BOW35" s="2703"/>
      <c r="BOX35" s="2703"/>
      <c r="BOY35" s="2703"/>
      <c r="BOZ35" s="2703"/>
      <c r="BPA35" s="2703"/>
      <c r="BPB35" s="2703"/>
      <c r="BPC35" s="2703"/>
      <c r="BPD35" s="2703"/>
      <c r="BPE35" s="2703"/>
      <c r="BPF35" s="2703"/>
      <c r="BPG35" s="2703"/>
      <c r="BPH35" s="2703"/>
      <c r="BPI35" s="2703"/>
      <c r="BPJ35" s="2703"/>
      <c r="BPK35" s="2703"/>
      <c r="BPL35" s="2703"/>
      <c r="BPM35" s="2703"/>
      <c r="BPN35" s="2703"/>
      <c r="BPO35" s="2703"/>
      <c r="BPP35" s="2703"/>
      <c r="BPQ35" s="2703"/>
      <c r="BPR35" s="2703"/>
      <c r="BPS35" s="2703"/>
      <c r="BPT35" s="2703"/>
      <c r="BPU35" s="2703"/>
      <c r="BPV35" s="2703"/>
      <c r="BPW35" s="2703"/>
      <c r="BPX35" s="2703"/>
      <c r="BPY35" s="2703"/>
      <c r="BPZ35" s="2703"/>
      <c r="BQA35" s="2703"/>
      <c r="BQB35" s="2703"/>
      <c r="BQC35" s="2703"/>
      <c r="BQD35" s="2703"/>
      <c r="BQE35" s="2703"/>
      <c r="BQF35" s="2703"/>
      <c r="BQG35" s="2703"/>
      <c r="BQH35" s="2703"/>
      <c r="BQI35" s="2703"/>
      <c r="BQJ35" s="2703"/>
      <c r="BQK35" s="2703"/>
      <c r="BQL35" s="2703"/>
      <c r="BQM35" s="2703"/>
      <c r="BQN35" s="2703"/>
      <c r="BQO35" s="2703"/>
      <c r="BQP35" s="2703"/>
      <c r="BQQ35" s="2703"/>
      <c r="BQR35" s="2703"/>
      <c r="BQS35" s="2703"/>
      <c r="BQT35" s="2703"/>
      <c r="BQU35" s="2703"/>
      <c r="BQV35" s="2703"/>
      <c r="BQW35" s="2703"/>
      <c r="BQX35" s="2703"/>
      <c r="BQY35" s="2703"/>
      <c r="BQZ35" s="2703"/>
      <c r="BRA35" s="2703"/>
      <c r="BRB35" s="2703"/>
      <c r="BRC35" s="2703"/>
      <c r="BRD35" s="2703"/>
      <c r="BRE35" s="2703"/>
      <c r="BRF35" s="2703"/>
      <c r="BRG35" s="2703"/>
      <c r="BRH35" s="2703"/>
      <c r="BRI35" s="2703"/>
      <c r="BRJ35" s="2703"/>
      <c r="BRK35" s="2703"/>
      <c r="BRL35" s="2703"/>
      <c r="BRM35" s="2703"/>
      <c r="BRN35" s="2703"/>
      <c r="BRO35" s="2703"/>
      <c r="BRP35" s="2703"/>
      <c r="BRQ35" s="2703"/>
      <c r="BRR35" s="2703"/>
      <c r="BRS35" s="2703"/>
      <c r="BRT35" s="2703"/>
      <c r="BRU35" s="2703"/>
      <c r="BRV35" s="2703"/>
      <c r="BRW35" s="2703"/>
      <c r="BRX35" s="2703"/>
      <c r="BRY35" s="2703"/>
      <c r="BRZ35" s="2703"/>
      <c r="BSA35" s="2703"/>
      <c r="BSB35" s="2703"/>
      <c r="BSC35" s="2703"/>
      <c r="BSD35" s="2703"/>
      <c r="BSE35" s="2703"/>
      <c r="BSF35" s="2703"/>
      <c r="BSG35" s="2703"/>
      <c r="BSH35" s="2703"/>
      <c r="BSI35" s="2703"/>
      <c r="BSJ35" s="2703"/>
      <c r="BSK35" s="2703"/>
      <c r="BSL35" s="2703"/>
      <c r="BSM35" s="2703"/>
      <c r="BSN35" s="2703"/>
      <c r="BSO35" s="2703"/>
      <c r="BSP35" s="2703"/>
      <c r="BSQ35" s="2703"/>
      <c r="BSR35" s="2703"/>
      <c r="BSS35" s="2703"/>
      <c r="BST35" s="2703"/>
      <c r="BSU35" s="2703"/>
      <c r="BSV35" s="2703"/>
      <c r="BSW35" s="2703"/>
      <c r="BSX35" s="2703"/>
      <c r="BSY35" s="2703"/>
      <c r="BSZ35" s="2703"/>
      <c r="BTA35" s="2703"/>
      <c r="BTB35" s="2703"/>
      <c r="BTC35" s="2703"/>
      <c r="BTD35" s="2703"/>
      <c r="BTE35" s="2703"/>
      <c r="BTF35" s="2703"/>
      <c r="BTG35" s="2703"/>
      <c r="BTH35" s="2703"/>
      <c r="BTI35" s="2703"/>
      <c r="BTJ35" s="2703"/>
      <c r="BTK35" s="2703"/>
      <c r="BTL35" s="2703"/>
      <c r="BTM35" s="2703"/>
      <c r="BTN35" s="2703"/>
      <c r="BTO35" s="2703"/>
      <c r="BTP35" s="2703"/>
      <c r="BTQ35" s="2703"/>
      <c r="BTR35" s="2703"/>
      <c r="BTS35" s="2703"/>
      <c r="BTT35" s="2703"/>
      <c r="BTU35" s="2703"/>
      <c r="BTV35" s="2703"/>
      <c r="BTW35" s="2703"/>
      <c r="BTX35" s="2703"/>
      <c r="BTY35" s="2703"/>
      <c r="BTZ35" s="2703"/>
      <c r="BUA35" s="2703"/>
      <c r="BUB35" s="2703"/>
      <c r="BUC35" s="2703"/>
      <c r="BUD35" s="2703"/>
      <c r="BUE35" s="2703"/>
      <c r="BUF35" s="2703"/>
      <c r="BUG35" s="2703"/>
      <c r="BUH35" s="2703"/>
      <c r="BUI35" s="2703"/>
      <c r="BUJ35" s="2703"/>
      <c r="BUK35" s="2703"/>
      <c r="BUL35" s="2703"/>
      <c r="BUM35" s="2703"/>
      <c r="BUN35" s="2703"/>
      <c r="BUO35" s="2703"/>
      <c r="BUP35" s="2703"/>
      <c r="BUQ35" s="2703"/>
      <c r="BUR35" s="2703"/>
      <c r="BUS35" s="2703"/>
      <c r="BUT35" s="2703"/>
      <c r="BUU35" s="2703"/>
      <c r="BUV35" s="2703"/>
      <c r="BUW35" s="2703"/>
      <c r="BUX35" s="2703"/>
      <c r="BUY35" s="2703"/>
      <c r="BUZ35" s="2703"/>
      <c r="BVA35" s="2703"/>
      <c r="BVB35" s="2703"/>
      <c r="BVC35" s="2703"/>
      <c r="BVD35" s="2703"/>
      <c r="BVE35" s="2703"/>
      <c r="BVF35" s="2703"/>
      <c r="BVG35" s="2703"/>
      <c r="BVH35" s="2703"/>
      <c r="BVI35" s="2703"/>
      <c r="BVJ35" s="2703"/>
      <c r="BVK35" s="2703"/>
      <c r="BVL35" s="2703"/>
      <c r="BVM35" s="2703"/>
      <c r="BVN35" s="2703"/>
      <c r="BVO35" s="2703"/>
      <c r="BVP35" s="2703"/>
      <c r="BVQ35" s="2703"/>
      <c r="BVR35" s="2703"/>
      <c r="BVS35" s="2703"/>
      <c r="BVT35" s="2703"/>
      <c r="BVU35" s="2703"/>
      <c r="BVV35" s="2703"/>
      <c r="BVW35" s="2703"/>
      <c r="BVX35" s="2703"/>
      <c r="BVY35" s="2703"/>
      <c r="BVZ35" s="2703"/>
      <c r="BWA35" s="2703"/>
      <c r="BWB35" s="2703"/>
      <c r="BWC35" s="2703"/>
      <c r="BWD35" s="2703"/>
    </row>
    <row r="36" spans="1:1954" ht="16.5" x14ac:dyDescent="0.3">
      <c r="A36" s="2832" t="s">
        <v>2769</v>
      </c>
      <c r="B36" s="2833">
        <v>132.46008789000001</v>
      </c>
      <c r="C36" s="2833">
        <v>375.92463351999999</v>
      </c>
      <c r="D36" s="2833">
        <v>508.38472140999994</v>
      </c>
      <c r="E36" s="2703"/>
      <c r="F36" s="2838"/>
      <c r="G36" s="691"/>
      <c r="H36" s="691"/>
      <c r="I36" s="691"/>
      <c r="J36" s="2831"/>
      <c r="K36" s="2831"/>
      <c r="L36" s="2831"/>
      <c r="M36" s="2703"/>
      <c r="N36" s="2703"/>
      <c r="O36" s="2703"/>
      <c r="P36" s="2703"/>
      <c r="Q36" s="2703"/>
      <c r="R36" s="2703"/>
      <c r="S36" s="2703"/>
      <c r="T36" s="2703"/>
      <c r="U36" s="2703"/>
      <c r="V36" s="2703"/>
      <c r="W36" s="2703"/>
      <c r="X36" s="2703"/>
      <c r="Y36" s="2703"/>
      <c r="Z36" s="2703"/>
      <c r="AA36" s="2703"/>
      <c r="AB36" s="2703"/>
      <c r="AC36" s="2703"/>
      <c r="AD36" s="2703"/>
      <c r="AE36" s="2703"/>
      <c r="AF36" s="2703"/>
      <c r="AG36" s="2703"/>
      <c r="AH36" s="2703"/>
      <c r="AI36" s="2703"/>
      <c r="AJ36" s="2703"/>
      <c r="AK36" s="2703"/>
      <c r="AL36" s="2703"/>
      <c r="AM36" s="2703"/>
      <c r="AN36" s="2703"/>
      <c r="AO36" s="2703"/>
      <c r="AP36" s="2703"/>
      <c r="AQ36" s="2703"/>
      <c r="AR36" s="2703"/>
      <c r="AS36" s="2703"/>
      <c r="AT36" s="2703"/>
      <c r="AU36" s="2703"/>
      <c r="AV36" s="2703"/>
      <c r="AW36" s="2703"/>
      <c r="AX36" s="2703"/>
      <c r="AY36" s="2703"/>
      <c r="AZ36" s="2703"/>
      <c r="BA36" s="2703"/>
      <c r="BB36" s="2703"/>
      <c r="BC36" s="2703"/>
      <c r="BD36" s="2703"/>
      <c r="BE36" s="2703"/>
      <c r="BF36" s="2703"/>
      <c r="BG36" s="2703"/>
      <c r="BH36" s="2703"/>
      <c r="BI36" s="2703"/>
      <c r="BJ36" s="2703"/>
      <c r="BK36" s="2703"/>
      <c r="BL36" s="2703"/>
      <c r="BM36" s="2703"/>
      <c r="BN36" s="2703"/>
      <c r="BO36" s="2703"/>
      <c r="BP36" s="2703"/>
      <c r="BQ36" s="2703"/>
      <c r="BR36" s="2703"/>
      <c r="BS36" s="2703"/>
      <c r="BT36" s="2703"/>
      <c r="BU36" s="2703"/>
      <c r="BV36" s="2703"/>
      <c r="BW36" s="2703"/>
      <c r="BX36" s="2703"/>
      <c r="BY36" s="2703"/>
      <c r="BZ36" s="2703"/>
      <c r="CA36" s="2703"/>
      <c r="CB36" s="2703"/>
      <c r="CC36" s="2703"/>
      <c r="CD36" s="2703"/>
      <c r="CE36" s="2703"/>
      <c r="CF36" s="2703"/>
      <c r="CG36" s="2703"/>
      <c r="CH36" s="2703"/>
      <c r="CI36" s="2703"/>
      <c r="CJ36" s="2703"/>
      <c r="CK36" s="2703"/>
      <c r="CL36" s="2703"/>
      <c r="CM36" s="2703"/>
      <c r="CN36" s="2703"/>
      <c r="CO36" s="2703"/>
      <c r="CP36" s="2703"/>
      <c r="CQ36" s="2703"/>
      <c r="CR36" s="2703"/>
      <c r="CS36" s="2703"/>
      <c r="CT36" s="2703"/>
      <c r="CU36" s="2703"/>
      <c r="CV36" s="2703"/>
      <c r="CW36" s="2703"/>
      <c r="CX36" s="2703"/>
      <c r="CY36" s="2703"/>
      <c r="CZ36" s="2703"/>
      <c r="DA36" s="2703"/>
      <c r="DB36" s="2703"/>
      <c r="DC36" s="2703"/>
      <c r="DD36" s="2703"/>
      <c r="DE36" s="2703"/>
      <c r="DF36" s="2703"/>
      <c r="DG36" s="2703"/>
      <c r="DH36" s="2703"/>
      <c r="DI36" s="2703"/>
      <c r="DJ36" s="2703"/>
      <c r="DK36" s="2703"/>
      <c r="DL36" s="2703"/>
      <c r="DM36" s="2703"/>
      <c r="DN36" s="2703"/>
      <c r="DO36" s="2703"/>
      <c r="DP36" s="2703"/>
      <c r="DQ36" s="2703"/>
      <c r="DR36" s="2703"/>
      <c r="DS36" s="2703"/>
      <c r="DT36" s="2703"/>
      <c r="DU36" s="2703"/>
      <c r="DV36" s="2703"/>
      <c r="DW36" s="2703"/>
      <c r="DX36" s="2703"/>
      <c r="DY36" s="2703"/>
      <c r="DZ36" s="2703"/>
      <c r="EA36" s="2703"/>
      <c r="EB36" s="2703"/>
      <c r="EC36" s="2703"/>
      <c r="ED36" s="2703"/>
      <c r="EE36" s="2703"/>
      <c r="EF36" s="2703"/>
      <c r="EG36" s="2703"/>
      <c r="EH36" s="2703"/>
      <c r="EI36" s="2703"/>
      <c r="EJ36" s="2703"/>
      <c r="EK36" s="2703"/>
      <c r="EL36" s="2703"/>
      <c r="EM36" s="2703"/>
      <c r="EN36" s="2703"/>
      <c r="EO36" s="2703"/>
      <c r="EP36" s="2703"/>
      <c r="EQ36" s="2703"/>
      <c r="ER36" s="2703"/>
      <c r="ES36" s="2703"/>
      <c r="ET36" s="2703"/>
      <c r="EU36" s="2703"/>
      <c r="EV36" s="2703"/>
      <c r="EW36" s="2703"/>
      <c r="EX36" s="2703"/>
      <c r="EY36" s="2703"/>
      <c r="EZ36" s="2703"/>
      <c r="FA36" s="2703"/>
      <c r="FB36" s="2703"/>
      <c r="FC36" s="2703"/>
      <c r="FD36" s="2703"/>
      <c r="FE36" s="2703"/>
      <c r="FF36" s="2703"/>
      <c r="FG36" s="2703"/>
      <c r="FH36" s="2703"/>
      <c r="FI36" s="2703"/>
      <c r="FJ36" s="2703"/>
      <c r="FK36" s="2703"/>
      <c r="FL36" s="2703"/>
      <c r="FM36" s="2703"/>
      <c r="FN36" s="2703"/>
      <c r="FO36" s="2703"/>
      <c r="FP36" s="2703"/>
      <c r="FQ36" s="2703"/>
      <c r="FR36" s="2703"/>
      <c r="FS36" s="2703"/>
      <c r="FT36" s="2703"/>
      <c r="FU36" s="2703"/>
      <c r="FV36" s="2703"/>
      <c r="FW36" s="2703"/>
      <c r="FX36" s="2703"/>
      <c r="FY36" s="2703"/>
      <c r="FZ36" s="2703"/>
      <c r="GA36" s="2703"/>
      <c r="GB36" s="2703"/>
      <c r="GC36" s="2703"/>
      <c r="GD36" s="2703"/>
      <c r="GE36" s="2703"/>
      <c r="GF36" s="2703"/>
      <c r="GG36" s="2703"/>
      <c r="GH36" s="2703"/>
      <c r="GI36" s="2703"/>
      <c r="GJ36" s="2703"/>
      <c r="GK36" s="2703"/>
      <c r="GL36" s="2703"/>
      <c r="GM36" s="2703"/>
      <c r="GN36" s="2703"/>
      <c r="GO36" s="2703"/>
      <c r="GP36" s="2703"/>
      <c r="GQ36" s="2703"/>
      <c r="GR36" s="2703"/>
      <c r="GS36" s="2703"/>
      <c r="GT36" s="2703"/>
      <c r="GU36" s="2703"/>
      <c r="GV36" s="2703"/>
      <c r="GW36" s="2703"/>
      <c r="GX36" s="2703"/>
      <c r="GY36" s="2703"/>
      <c r="GZ36" s="2703"/>
      <c r="HA36" s="2703"/>
      <c r="HB36" s="2703"/>
      <c r="HC36" s="2703"/>
      <c r="HD36" s="2703"/>
      <c r="HE36" s="2703"/>
      <c r="HF36" s="2703"/>
      <c r="HG36" s="2703"/>
      <c r="HH36" s="2703"/>
      <c r="HI36" s="2703"/>
      <c r="HJ36" s="2703"/>
      <c r="HK36" s="2703"/>
      <c r="HL36" s="2703"/>
      <c r="HM36" s="2703"/>
      <c r="HN36" s="2703"/>
      <c r="HO36" s="2703"/>
      <c r="HP36" s="2703"/>
      <c r="HQ36" s="2703"/>
      <c r="HR36" s="2703"/>
      <c r="HS36" s="2703"/>
      <c r="HT36" s="2703"/>
      <c r="HU36" s="2703"/>
      <c r="HV36" s="2703"/>
      <c r="HW36" s="2703"/>
      <c r="HX36" s="2703"/>
      <c r="HY36" s="2703"/>
      <c r="HZ36" s="2703"/>
      <c r="IA36" s="2703"/>
      <c r="IB36" s="2703"/>
      <c r="IC36" s="2703"/>
      <c r="ID36" s="2703"/>
      <c r="IE36" s="2703"/>
      <c r="IF36" s="2703"/>
      <c r="IG36" s="2703"/>
      <c r="IH36" s="2703"/>
      <c r="II36" s="2703"/>
      <c r="IJ36" s="2703"/>
      <c r="IK36" s="2703"/>
      <c r="IL36" s="2703"/>
      <c r="IM36" s="2703"/>
      <c r="IN36" s="2703"/>
      <c r="IO36" s="2703"/>
      <c r="IP36" s="2703"/>
      <c r="IQ36" s="2703"/>
      <c r="IR36" s="2703"/>
      <c r="IS36" s="2703"/>
      <c r="IT36" s="2703"/>
      <c r="IU36" s="2703"/>
      <c r="IV36" s="2703"/>
      <c r="IW36" s="2703"/>
      <c r="IX36" s="2703"/>
      <c r="IY36" s="2703"/>
      <c r="IZ36" s="2703"/>
      <c r="JA36" s="2703"/>
      <c r="JB36" s="2703"/>
      <c r="JC36" s="2703"/>
      <c r="JD36" s="2703"/>
      <c r="JE36" s="2703"/>
      <c r="JF36" s="2703"/>
      <c r="JG36" s="2703"/>
      <c r="JH36" s="2703"/>
      <c r="JI36" s="2703"/>
      <c r="JJ36" s="2703"/>
      <c r="JK36" s="2703"/>
      <c r="JL36" s="2703"/>
      <c r="JM36" s="2703"/>
      <c r="JN36" s="2703"/>
      <c r="JO36" s="2703"/>
      <c r="JP36" s="2703"/>
      <c r="JQ36" s="2703"/>
      <c r="JR36" s="2703"/>
      <c r="JS36" s="2703"/>
      <c r="JT36" s="2703"/>
      <c r="JU36" s="2703"/>
      <c r="JV36" s="2703"/>
      <c r="JW36" s="2703"/>
      <c r="JX36" s="2703"/>
      <c r="JY36" s="2703"/>
      <c r="JZ36" s="2703"/>
      <c r="KA36" s="2703"/>
      <c r="KB36" s="2703"/>
      <c r="KC36" s="2703"/>
      <c r="KD36" s="2703"/>
      <c r="KE36" s="2703"/>
      <c r="KF36" s="2703"/>
      <c r="KG36" s="2703"/>
      <c r="KH36" s="2703"/>
      <c r="KI36" s="2703"/>
      <c r="KJ36" s="2703"/>
      <c r="KK36" s="2703"/>
      <c r="KL36" s="2703"/>
      <c r="KM36" s="2703"/>
      <c r="KN36" s="2703"/>
      <c r="KO36" s="2703"/>
      <c r="KP36" s="2703"/>
      <c r="KQ36" s="2703"/>
      <c r="KR36" s="2703"/>
      <c r="KS36" s="2703"/>
      <c r="KT36" s="2703"/>
      <c r="KU36" s="2703"/>
      <c r="KV36" s="2703"/>
      <c r="KW36" s="2703"/>
      <c r="KX36" s="2703"/>
      <c r="KY36" s="2703"/>
      <c r="KZ36" s="2703"/>
      <c r="LA36" s="2703"/>
      <c r="LB36" s="2703"/>
      <c r="LC36" s="2703"/>
      <c r="LD36" s="2703"/>
      <c r="LE36" s="2703"/>
      <c r="LF36" s="2703"/>
      <c r="LG36" s="2703"/>
      <c r="LH36" s="2703"/>
      <c r="LI36" s="2703"/>
      <c r="LJ36" s="2703"/>
      <c r="LK36" s="2703"/>
      <c r="LL36" s="2703"/>
      <c r="LM36" s="2703"/>
      <c r="LN36" s="2703"/>
      <c r="LO36" s="2703"/>
      <c r="LP36" s="2703"/>
      <c r="LQ36" s="2703"/>
      <c r="LR36" s="2703"/>
      <c r="LS36" s="2703"/>
      <c r="LT36" s="2703"/>
      <c r="LU36" s="2703"/>
      <c r="LV36" s="2703"/>
      <c r="LW36" s="2703"/>
      <c r="LX36" s="2703"/>
      <c r="LY36" s="2703"/>
      <c r="LZ36" s="2703"/>
      <c r="MA36" s="2703"/>
      <c r="MB36" s="2703"/>
      <c r="MC36" s="2703"/>
      <c r="MD36" s="2703"/>
      <c r="ME36" s="2703"/>
      <c r="MF36" s="2703"/>
      <c r="MG36" s="2703"/>
      <c r="MH36" s="2703"/>
      <c r="MI36" s="2703"/>
      <c r="MJ36" s="2703"/>
      <c r="MK36" s="2703"/>
      <c r="ML36" s="2703"/>
      <c r="MM36" s="2703"/>
      <c r="MN36" s="2703"/>
      <c r="MO36" s="2703"/>
      <c r="MP36" s="2703"/>
      <c r="MQ36" s="2703"/>
      <c r="MR36" s="2703"/>
      <c r="MS36" s="2703"/>
      <c r="MT36" s="2703"/>
      <c r="MU36" s="2703"/>
      <c r="MV36" s="2703"/>
      <c r="MW36" s="2703"/>
      <c r="MX36" s="2703"/>
      <c r="MY36" s="2703"/>
      <c r="MZ36" s="2703"/>
      <c r="NA36" s="2703"/>
      <c r="NB36" s="2703"/>
      <c r="NC36" s="2703"/>
      <c r="ND36" s="2703"/>
      <c r="NE36" s="2703"/>
      <c r="NF36" s="2703"/>
      <c r="NG36" s="2703"/>
      <c r="NH36" s="2703"/>
      <c r="NI36" s="2703"/>
      <c r="NJ36" s="2703"/>
      <c r="NK36" s="2703"/>
      <c r="NL36" s="2703"/>
      <c r="NM36" s="2703"/>
      <c r="NN36" s="2703"/>
      <c r="NO36" s="2703"/>
      <c r="NP36" s="2703"/>
      <c r="NQ36" s="2703"/>
      <c r="NR36" s="2703"/>
      <c r="NS36" s="2703"/>
      <c r="NT36" s="2703"/>
      <c r="NU36" s="2703"/>
      <c r="NV36" s="2703"/>
      <c r="NW36" s="2703"/>
      <c r="NX36" s="2703"/>
      <c r="NY36" s="2703"/>
      <c r="NZ36" s="2703"/>
      <c r="OA36" s="2703"/>
      <c r="OB36" s="2703"/>
      <c r="OC36" s="2703"/>
      <c r="OD36" s="2703"/>
      <c r="OE36" s="2703"/>
      <c r="OF36" s="2703"/>
      <c r="OG36" s="2703"/>
      <c r="OH36" s="2703"/>
      <c r="OI36" s="2703"/>
      <c r="OJ36" s="2703"/>
      <c r="OK36" s="2703"/>
      <c r="OL36" s="2703"/>
      <c r="OM36" s="2703"/>
      <c r="ON36" s="2703"/>
      <c r="OO36" s="2703"/>
      <c r="OP36" s="2703"/>
      <c r="OQ36" s="2703"/>
      <c r="OR36" s="2703"/>
      <c r="OS36" s="2703"/>
      <c r="OT36" s="2703"/>
      <c r="OU36" s="2703"/>
      <c r="OV36" s="2703"/>
      <c r="OW36" s="2703"/>
      <c r="OX36" s="2703"/>
      <c r="OY36" s="2703"/>
      <c r="OZ36" s="2703"/>
      <c r="PA36" s="2703"/>
      <c r="PB36" s="2703"/>
      <c r="PC36" s="2703"/>
      <c r="PD36" s="2703"/>
      <c r="PE36" s="2703"/>
      <c r="PF36" s="2703"/>
      <c r="PG36" s="2703"/>
      <c r="PH36" s="2703"/>
      <c r="PI36" s="2703"/>
      <c r="PJ36" s="2703"/>
      <c r="PK36" s="2703"/>
      <c r="PL36" s="2703"/>
      <c r="PM36" s="2703"/>
      <c r="PN36" s="2703"/>
      <c r="PO36" s="2703"/>
      <c r="PP36" s="2703"/>
      <c r="PQ36" s="2703"/>
      <c r="PR36" s="2703"/>
      <c r="PS36" s="2703"/>
      <c r="PT36" s="2703"/>
      <c r="PU36" s="2703"/>
      <c r="PV36" s="2703"/>
      <c r="PW36" s="2703"/>
      <c r="PX36" s="2703"/>
      <c r="PY36" s="2703"/>
      <c r="PZ36" s="2703"/>
      <c r="QA36" s="2703"/>
      <c r="QB36" s="2703"/>
      <c r="QC36" s="2703"/>
      <c r="QD36" s="2703"/>
      <c r="QE36" s="2703"/>
      <c r="QF36" s="2703"/>
      <c r="QG36" s="2703"/>
      <c r="QH36" s="2703"/>
      <c r="QI36" s="2703"/>
      <c r="QJ36" s="2703"/>
      <c r="QK36" s="2703"/>
      <c r="QL36" s="2703"/>
      <c r="QM36" s="2703"/>
      <c r="QN36" s="2703"/>
      <c r="QO36" s="2703"/>
      <c r="QP36" s="2703"/>
      <c r="QQ36" s="2703"/>
      <c r="QR36" s="2703"/>
      <c r="QS36" s="2703"/>
      <c r="QT36" s="2703"/>
      <c r="QU36" s="2703"/>
      <c r="QV36" s="2703"/>
      <c r="QW36" s="2703"/>
      <c r="QX36" s="2703"/>
      <c r="QY36" s="2703"/>
      <c r="QZ36" s="2703"/>
      <c r="RA36" s="2703"/>
      <c r="RB36" s="2703"/>
      <c r="RC36" s="2703"/>
      <c r="RD36" s="2703"/>
      <c r="RE36" s="2703"/>
      <c r="RF36" s="2703"/>
      <c r="RG36" s="2703"/>
      <c r="RH36" s="2703"/>
      <c r="RI36" s="2703"/>
      <c r="RJ36" s="2703"/>
      <c r="RK36" s="2703"/>
      <c r="RL36" s="2703"/>
      <c r="RM36" s="2703"/>
      <c r="RN36" s="2703"/>
      <c r="RO36" s="2703"/>
      <c r="RP36" s="2703"/>
      <c r="RQ36" s="2703"/>
      <c r="RR36" s="2703"/>
      <c r="RS36" s="2703"/>
      <c r="RT36" s="2703"/>
      <c r="RU36" s="2703"/>
      <c r="RV36" s="2703"/>
      <c r="RW36" s="2703"/>
      <c r="RX36" s="2703"/>
      <c r="RY36" s="2703"/>
      <c r="RZ36" s="2703"/>
      <c r="SA36" s="2703"/>
      <c r="SB36" s="2703"/>
      <c r="SC36" s="2703"/>
      <c r="SD36" s="2703"/>
      <c r="SE36" s="2703"/>
      <c r="SF36" s="2703"/>
      <c r="SG36" s="2703"/>
      <c r="SH36" s="2703"/>
      <c r="SI36" s="2703"/>
      <c r="SJ36" s="2703"/>
      <c r="SK36" s="2703"/>
      <c r="SL36" s="2703"/>
      <c r="SM36" s="2703"/>
      <c r="SN36" s="2703"/>
      <c r="SO36" s="2703"/>
      <c r="SP36" s="2703"/>
      <c r="SQ36" s="2703"/>
      <c r="SR36" s="2703"/>
      <c r="SS36" s="2703"/>
      <c r="ST36" s="2703"/>
      <c r="SU36" s="2703"/>
      <c r="SV36" s="2703"/>
      <c r="SW36" s="2703"/>
      <c r="SX36" s="2703"/>
      <c r="SY36" s="2703"/>
      <c r="SZ36" s="2703"/>
      <c r="TA36" s="2703"/>
      <c r="TB36" s="2703"/>
      <c r="TC36" s="2703"/>
      <c r="TD36" s="2703"/>
      <c r="TE36" s="2703"/>
      <c r="TF36" s="2703"/>
      <c r="TG36" s="2703"/>
      <c r="TH36" s="2703"/>
      <c r="TI36" s="2703"/>
      <c r="TJ36" s="2703"/>
      <c r="TK36" s="2703"/>
      <c r="TL36" s="2703"/>
      <c r="TM36" s="2703"/>
      <c r="TN36" s="2703"/>
      <c r="TO36" s="2703"/>
      <c r="TP36" s="2703"/>
      <c r="TQ36" s="2703"/>
      <c r="TR36" s="2703"/>
      <c r="TS36" s="2703"/>
      <c r="TT36" s="2703"/>
      <c r="TU36" s="2703"/>
      <c r="TV36" s="2703"/>
      <c r="TW36" s="2703"/>
      <c r="TX36" s="2703"/>
      <c r="TY36" s="2703"/>
      <c r="TZ36" s="2703"/>
      <c r="UA36" s="2703"/>
      <c r="UB36" s="2703"/>
      <c r="UC36" s="2703"/>
      <c r="UD36" s="2703"/>
      <c r="UE36" s="2703"/>
      <c r="UF36" s="2703"/>
      <c r="UG36" s="2703"/>
      <c r="UH36" s="2703"/>
      <c r="UI36" s="2703"/>
      <c r="UJ36" s="2703"/>
      <c r="UK36" s="2703"/>
      <c r="UL36" s="2703"/>
      <c r="UM36" s="2703"/>
      <c r="UN36" s="2703"/>
      <c r="UO36" s="2703"/>
      <c r="UP36" s="2703"/>
      <c r="UQ36" s="2703"/>
      <c r="UR36" s="2703"/>
      <c r="US36" s="2703"/>
      <c r="UT36" s="2703"/>
      <c r="UU36" s="2703"/>
      <c r="UV36" s="2703"/>
      <c r="UW36" s="2703"/>
      <c r="UX36" s="2703"/>
      <c r="UY36" s="2703"/>
      <c r="UZ36" s="2703"/>
      <c r="VA36" s="2703"/>
      <c r="VB36" s="2703"/>
      <c r="VC36" s="2703"/>
      <c r="VD36" s="2703"/>
      <c r="VE36" s="2703"/>
      <c r="VF36" s="2703"/>
      <c r="VG36" s="2703"/>
      <c r="VH36" s="2703"/>
      <c r="VI36" s="2703"/>
      <c r="VJ36" s="2703"/>
      <c r="VK36" s="2703"/>
      <c r="VL36" s="2703"/>
      <c r="VM36" s="2703"/>
      <c r="VN36" s="2703"/>
      <c r="VO36" s="2703"/>
      <c r="VP36" s="2703"/>
      <c r="VQ36" s="2703"/>
      <c r="VR36" s="2703"/>
      <c r="VS36" s="2703"/>
      <c r="VT36" s="2703"/>
      <c r="VU36" s="2703"/>
      <c r="VV36" s="2703"/>
      <c r="VW36" s="2703"/>
      <c r="VX36" s="2703"/>
      <c r="VY36" s="2703"/>
      <c r="VZ36" s="2703"/>
      <c r="WA36" s="2703"/>
      <c r="WB36" s="2703"/>
      <c r="WC36" s="2703"/>
      <c r="WD36" s="2703"/>
      <c r="WE36" s="2703"/>
      <c r="WF36" s="2703"/>
      <c r="WG36" s="2703"/>
      <c r="WH36" s="2703"/>
      <c r="WI36" s="2703"/>
      <c r="WJ36" s="2703"/>
      <c r="WK36" s="2703"/>
      <c r="WL36" s="2703"/>
      <c r="WM36" s="2703"/>
      <c r="WN36" s="2703"/>
      <c r="WO36" s="2703"/>
      <c r="WP36" s="2703"/>
      <c r="WQ36" s="2703"/>
      <c r="WR36" s="2703"/>
      <c r="WS36" s="2703"/>
      <c r="WT36" s="2703"/>
      <c r="WU36" s="2703"/>
      <c r="WV36" s="2703"/>
      <c r="WW36" s="2703"/>
      <c r="WX36" s="2703"/>
      <c r="WY36" s="2703"/>
      <c r="WZ36" s="2703"/>
      <c r="XA36" s="2703"/>
      <c r="XB36" s="2703"/>
      <c r="XC36" s="2703"/>
      <c r="XD36" s="2703"/>
      <c r="XE36" s="2703"/>
      <c r="XF36" s="2703"/>
      <c r="XG36" s="2703"/>
      <c r="XH36" s="2703"/>
      <c r="XI36" s="2703"/>
      <c r="XJ36" s="2703"/>
      <c r="XK36" s="2703"/>
      <c r="XL36" s="2703"/>
      <c r="XM36" s="2703"/>
      <c r="XN36" s="2703"/>
      <c r="XO36" s="2703"/>
      <c r="XP36" s="2703"/>
      <c r="XQ36" s="2703"/>
      <c r="XR36" s="2703"/>
      <c r="XS36" s="2703"/>
      <c r="XT36" s="2703"/>
      <c r="XU36" s="2703"/>
      <c r="XV36" s="2703"/>
      <c r="XW36" s="2703"/>
      <c r="XX36" s="2703"/>
      <c r="XY36" s="2703"/>
      <c r="XZ36" s="2703"/>
      <c r="YA36" s="2703"/>
      <c r="YB36" s="2703"/>
      <c r="YC36" s="2703"/>
      <c r="YD36" s="2703"/>
      <c r="YE36" s="2703"/>
      <c r="YF36" s="2703"/>
      <c r="YG36" s="2703"/>
      <c r="YH36" s="2703"/>
      <c r="YI36" s="2703"/>
      <c r="YJ36" s="2703"/>
      <c r="YK36" s="2703"/>
      <c r="YL36" s="2703"/>
      <c r="YM36" s="2703"/>
      <c r="YN36" s="2703"/>
      <c r="YO36" s="2703"/>
      <c r="YP36" s="2703"/>
      <c r="YQ36" s="2703"/>
      <c r="YR36" s="2703"/>
      <c r="YS36" s="2703"/>
      <c r="YT36" s="2703"/>
      <c r="YU36" s="2703"/>
      <c r="YV36" s="2703"/>
      <c r="YW36" s="2703"/>
      <c r="YX36" s="2703"/>
      <c r="YY36" s="2703"/>
      <c r="YZ36" s="2703"/>
      <c r="ZA36" s="2703"/>
      <c r="ZB36" s="2703"/>
      <c r="ZC36" s="2703"/>
      <c r="ZD36" s="2703"/>
      <c r="ZE36" s="2703"/>
      <c r="ZF36" s="2703"/>
      <c r="ZG36" s="2703"/>
      <c r="ZH36" s="2703"/>
      <c r="ZI36" s="2703"/>
      <c r="ZJ36" s="2703"/>
      <c r="ZK36" s="2703"/>
      <c r="ZL36" s="2703"/>
      <c r="ZM36" s="2703"/>
      <c r="ZN36" s="2703"/>
      <c r="ZO36" s="2703"/>
      <c r="ZP36" s="2703"/>
      <c r="ZQ36" s="2703"/>
      <c r="ZR36" s="2703"/>
      <c r="ZS36" s="2703"/>
      <c r="ZT36" s="2703"/>
      <c r="ZU36" s="2703"/>
      <c r="ZV36" s="2703"/>
      <c r="ZW36" s="2703"/>
      <c r="ZX36" s="2703"/>
      <c r="ZY36" s="2703"/>
      <c r="ZZ36" s="2703"/>
      <c r="AAA36" s="2703"/>
      <c r="AAB36" s="2703"/>
      <c r="AAC36" s="2703"/>
      <c r="AAD36" s="2703"/>
      <c r="AAE36" s="2703"/>
      <c r="AAF36" s="2703"/>
      <c r="AAG36" s="2703"/>
      <c r="AAH36" s="2703"/>
      <c r="AAI36" s="2703"/>
      <c r="AAJ36" s="2703"/>
      <c r="AAK36" s="2703"/>
      <c r="AAL36" s="2703"/>
      <c r="AAM36" s="2703"/>
      <c r="AAN36" s="2703"/>
      <c r="AAO36" s="2703"/>
      <c r="AAP36" s="2703"/>
      <c r="AAQ36" s="2703"/>
      <c r="AAR36" s="2703"/>
      <c r="AAS36" s="2703"/>
      <c r="AAT36" s="2703"/>
      <c r="AAU36" s="2703"/>
      <c r="AAV36" s="2703"/>
      <c r="AAW36" s="2703"/>
      <c r="AAX36" s="2703"/>
      <c r="AAY36" s="2703"/>
      <c r="AAZ36" s="2703"/>
      <c r="ABA36" s="2703"/>
      <c r="ABB36" s="2703"/>
      <c r="ABC36" s="2703"/>
      <c r="ABD36" s="2703"/>
      <c r="ABE36" s="2703"/>
      <c r="ABF36" s="2703"/>
      <c r="ABG36" s="2703"/>
      <c r="ABH36" s="2703"/>
      <c r="ABI36" s="2703"/>
      <c r="ABJ36" s="2703"/>
      <c r="ABK36" s="2703"/>
      <c r="ABL36" s="2703"/>
      <c r="ABM36" s="2703"/>
      <c r="ABN36" s="2703"/>
      <c r="ABO36" s="2703"/>
      <c r="ABP36" s="2703"/>
      <c r="ABQ36" s="2703"/>
      <c r="ABR36" s="2703"/>
      <c r="ABS36" s="2703"/>
      <c r="ABT36" s="2703"/>
      <c r="ABU36" s="2703"/>
      <c r="ABV36" s="2703"/>
      <c r="ABW36" s="2703"/>
      <c r="ABX36" s="2703"/>
      <c r="ABY36" s="2703"/>
      <c r="ABZ36" s="2703"/>
      <c r="ACA36" s="2703"/>
      <c r="ACB36" s="2703"/>
      <c r="ACC36" s="2703"/>
      <c r="ACD36" s="2703"/>
      <c r="ACE36" s="2703"/>
      <c r="ACF36" s="2703"/>
      <c r="ACG36" s="2703"/>
      <c r="ACH36" s="2703"/>
      <c r="ACI36" s="2703"/>
      <c r="ACJ36" s="2703"/>
      <c r="ACK36" s="2703"/>
      <c r="ACL36" s="2703"/>
      <c r="ACM36" s="2703"/>
      <c r="ACN36" s="2703"/>
      <c r="ACO36" s="2703"/>
      <c r="ACP36" s="2703"/>
      <c r="ACQ36" s="2703"/>
      <c r="ACR36" s="2703"/>
      <c r="ACS36" s="2703"/>
      <c r="ACT36" s="2703"/>
      <c r="ACU36" s="2703"/>
      <c r="ACV36" s="2703"/>
      <c r="ACW36" s="2703"/>
      <c r="ACX36" s="2703"/>
      <c r="ACY36" s="2703"/>
      <c r="ACZ36" s="2703"/>
      <c r="ADA36" s="2703"/>
      <c r="ADB36" s="2703"/>
      <c r="ADC36" s="2703"/>
      <c r="ADD36" s="2703"/>
      <c r="ADE36" s="2703"/>
      <c r="ADF36" s="2703"/>
      <c r="ADG36" s="2703"/>
      <c r="ADH36" s="2703"/>
      <c r="ADI36" s="2703"/>
      <c r="ADJ36" s="2703"/>
      <c r="ADK36" s="2703"/>
      <c r="ADL36" s="2703"/>
      <c r="ADM36" s="2703"/>
      <c r="ADN36" s="2703"/>
      <c r="ADO36" s="2703"/>
      <c r="ADP36" s="2703"/>
      <c r="ADQ36" s="2703"/>
      <c r="ADR36" s="2703"/>
      <c r="ADS36" s="2703"/>
      <c r="ADT36" s="2703"/>
      <c r="ADU36" s="2703"/>
      <c r="ADV36" s="2703"/>
      <c r="ADW36" s="2703"/>
      <c r="ADX36" s="2703"/>
      <c r="ADY36" s="2703"/>
      <c r="ADZ36" s="2703"/>
      <c r="AEA36" s="2703"/>
      <c r="AEB36" s="2703"/>
      <c r="AEC36" s="2703"/>
      <c r="AED36" s="2703"/>
      <c r="AEE36" s="2703"/>
      <c r="AEF36" s="2703"/>
      <c r="AEG36" s="2703"/>
      <c r="AEH36" s="2703"/>
      <c r="AEI36" s="2703"/>
      <c r="AEJ36" s="2703"/>
      <c r="AEK36" s="2703"/>
      <c r="AEL36" s="2703"/>
      <c r="AEM36" s="2703"/>
      <c r="AEN36" s="2703"/>
      <c r="AEO36" s="2703"/>
      <c r="AEP36" s="2703"/>
      <c r="AEQ36" s="2703"/>
      <c r="AER36" s="2703"/>
      <c r="AES36" s="2703"/>
      <c r="AET36" s="2703"/>
      <c r="AEU36" s="2703"/>
      <c r="AEV36" s="2703"/>
      <c r="AEW36" s="2703"/>
      <c r="AEX36" s="2703"/>
      <c r="AEY36" s="2703"/>
      <c r="AEZ36" s="2703"/>
      <c r="AFA36" s="2703"/>
      <c r="AFB36" s="2703"/>
      <c r="AFC36" s="2703"/>
      <c r="AFD36" s="2703"/>
      <c r="AFE36" s="2703"/>
      <c r="AFF36" s="2703"/>
      <c r="AFG36" s="2703"/>
      <c r="AFH36" s="2703"/>
      <c r="AFI36" s="2703"/>
      <c r="AFJ36" s="2703"/>
      <c r="AFK36" s="2703"/>
      <c r="AFL36" s="2703"/>
      <c r="AFM36" s="2703"/>
      <c r="AFN36" s="2703"/>
      <c r="AFO36" s="2703"/>
      <c r="AFP36" s="2703"/>
      <c r="AFQ36" s="2703"/>
      <c r="AFR36" s="2703"/>
      <c r="AFS36" s="2703"/>
      <c r="AFT36" s="2703"/>
      <c r="AFU36" s="2703"/>
      <c r="AFV36" s="2703"/>
      <c r="AFW36" s="2703"/>
      <c r="AFX36" s="2703"/>
      <c r="AFY36" s="2703"/>
      <c r="AFZ36" s="2703"/>
      <c r="AGA36" s="2703"/>
      <c r="AGB36" s="2703"/>
      <c r="AGC36" s="2703"/>
      <c r="AGD36" s="2703"/>
      <c r="AGE36" s="2703"/>
      <c r="AGF36" s="2703"/>
      <c r="AGG36" s="2703"/>
      <c r="AGH36" s="2703"/>
      <c r="AGI36" s="2703"/>
      <c r="AGJ36" s="2703"/>
      <c r="AGK36" s="2703"/>
      <c r="AGL36" s="2703"/>
      <c r="AGM36" s="2703"/>
      <c r="AGN36" s="2703"/>
      <c r="AGO36" s="2703"/>
      <c r="AGP36" s="2703"/>
      <c r="AGQ36" s="2703"/>
      <c r="AGR36" s="2703"/>
      <c r="AGS36" s="2703"/>
      <c r="AGT36" s="2703"/>
      <c r="AGU36" s="2703"/>
      <c r="AGV36" s="2703"/>
      <c r="AGW36" s="2703"/>
      <c r="AGX36" s="2703"/>
      <c r="AGY36" s="2703"/>
      <c r="AGZ36" s="2703"/>
      <c r="AHA36" s="2703"/>
      <c r="AHB36" s="2703"/>
      <c r="AHC36" s="2703"/>
      <c r="AHD36" s="2703"/>
      <c r="AHE36" s="2703"/>
      <c r="AHF36" s="2703"/>
      <c r="AHG36" s="2703"/>
      <c r="AHH36" s="2703"/>
      <c r="AHI36" s="2703"/>
      <c r="AHJ36" s="2703"/>
      <c r="AHK36" s="2703"/>
      <c r="AHL36" s="2703"/>
      <c r="AHM36" s="2703"/>
      <c r="AHN36" s="2703"/>
      <c r="AHO36" s="2703"/>
      <c r="AHP36" s="2703"/>
      <c r="AHQ36" s="2703"/>
      <c r="AHR36" s="2703"/>
      <c r="AHS36" s="2703"/>
      <c r="AHT36" s="2703"/>
      <c r="AHU36" s="2703"/>
      <c r="AHV36" s="2703"/>
      <c r="AHW36" s="2703"/>
      <c r="AHX36" s="2703"/>
      <c r="AHY36" s="2703"/>
      <c r="AHZ36" s="2703"/>
      <c r="AIA36" s="2703"/>
      <c r="AIB36" s="2703"/>
      <c r="AIC36" s="2703"/>
      <c r="AID36" s="2703"/>
      <c r="AIE36" s="2703"/>
      <c r="AIF36" s="2703"/>
      <c r="AIG36" s="2703"/>
      <c r="AIH36" s="2703"/>
      <c r="AII36" s="2703"/>
      <c r="AIJ36" s="2703"/>
      <c r="AIK36" s="2703"/>
      <c r="AIL36" s="2703"/>
      <c r="AIM36" s="2703"/>
      <c r="AIN36" s="2703"/>
      <c r="AIO36" s="2703"/>
      <c r="AIP36" s="2703"/>
      <c r="AIQ36" s="2703"/>
      <c r="AIR36" s="2703"/>
      <c r="AIS36" s="2703"/>
      <c r="AIT36" s="2703"/>
      <c r="AIU36" s="2703"/>
      <c r="AIV36" s="2703"/>
      <c r="AIW36" s="2703"/>
      <c r="AIX36" s="2703"/>
      <c r="AIY36" s="2703"/>
      <c r="AIZ36" s="2703"/>
      <c r="AJA36" s="2703"/>
      <c r="AJB36" s="2703"/>
      <c r="AJC36" s="2703"/>
      <c r="AJD36" s="2703"/>
      <c r="AJE36" s="2703"/>
      <c r="AJF36" s="2703"/>
      <c r="AJG36" s="2703"/>
      <c r="AJH36" s="2703"/>
      <c r="AJI36" s="2703"/>
      <c r="AJJ36" s="2703"/>
      <c r="AJK36" s="2703"/>
      <c r="AJL36" s="2703"/>
      <c r="AJM36" s="2703"/>
      <c r="AJN36" s="2703"/>
      <c r="AJO36" s="2703"/>
      <c r="AJP36" s="2703"/>
      <c r="AJQ36" s="2703"/>
      <c r="AJR36" s="2703"/>
      <c r="AJS36" s="2703"/>
      <c r="AJT36" s="2703"/>
      <c r="AJU36" s="2703"/>
      <c r="AJV36" s="2703"/>
      <c r="AJW36" s="2703"/>
      <c r="AJX36" s="2703"/>
      <c r="AJY36" s="2703"/>
      <c r="AJZ36" s="2703"/>
      <c r="AKA36" s="2703"/>
      <c r="AKB36" s="2703"/>
      <c r="AKC36" s="2703"/>
      <c r="AKD36" s="2703"/>
      <c r="AKE36" s="2703"/>
      <c r="AKF36" s="2703"/>
      <c r="AKG36" s="2703"/>
      <c r="AKH36" s="2703"/>
      <c r="AKI36" s="2703"/>
      <c r="AKJ36" s="2703"/>
      <c r="AKK36" s="2703"/>
      <c r="AKL36" s="2703"/>
      <c r="AKM36" s="2703"/>
      <c r="AKN36" s="2703"/>
      <c r="AKO36" s="2703"/>
      <c r="AKP36" s="2703"/>
      <c r="AKQ36" s="2703"/>
      <c r="AKR36" s="2703"/>
      <c r="AKS36" s="2703"/>
      <c r="AKT36" s="2703"/>
      <c r="AKU36" s="2703"/>
      <c r="AKV36" s="2703"/>
      <c r="AKW36" s="2703"/>
      <c r="AKX36" s="2703"/>
      <c r="AKY36" s="2703"/>
      <c r="AKZ36" s="2703"/>
      <c r="ALA36" s="2703"/>
      <c r="ALB36" s="2703"/>
      <c r="ALC36" s="2703"/>
      <c r="ALD36" s="2703"/>
      <c r="ALE36" s="2703"/>
      <c r="ALF36" s="2703"/>
      <c r="ALG36" s="2703"/>
      <c r="ALH36" s="2703"/>
      <c r="ALI36" s="2703"/>
      <c r="ALJ36" s="2703"/>
      <c r="ALK36" s="2703"/>
      <c r="ALL36" s="2703"/>
      <c r="ALM36" s="2703"/>
      <c r="ALN36" s="2703"/>
      <c r="ALO36" s="2703"/>
      <c r="ALP36" s="2703"/>
      <c r="ALQ36" s="2703"/>
      <c r="ALR36" s="2703"/>
      <c r="ALS36" s="2703"/>
      <c r="ALT36" s="2703"/>
      <c r="ALU36" s="2703"/>
      <c r="ALV36" s="2703"/>
      <c r="ALW36" s="2703"/>
      <c r="ALX36" s="2703"/>
      <c r="ALY36" s="2703"/>
      <c r="ALZ36" s="2703"/>
      <c r="AMA36" s="2703"/>
      <c r="AMB36" s="2703"/>
      <c r="AMC36" s="2703"/>
      <c r="AMD36" s="2703"/>
      <c r="AME36" s="2703"/>
      <c r="AMF36" s="2703"/>
      <c r="AMG36" s="2703"/>
      <c r="AMH36" s="2703"/>
      <c r="AMI36" s="2703"/>
      <c r="AMJ36" s="2703"/>
      <c r="AMK36" s="2703"/>
      <c r="AML36" s="2703"/>
      <c r="AMM36" s="2703"/>
      <c r="AMN36" s="2703"/>
      <c r="AMO36" s="2703"/>
      <c r="AMP36" s="2703"/>
      <c r="AMQ36" s="2703"/>
      <c r="AMR36" s="2703"/>
      <c r="AMS36" s="2703"/>
      <c r="AMT36" s="2703"/>
      <c r="AMU36" s="2703"/>
      <c r="AMV36" s="2703"/>
      <c r="AMW36" s="2703"/>
      <c r="AMX36" s="2703"/>
      <c r="AMY36" s="2703"/>
      <c r="AMZ36" s="2703"/>
      <c r="ANA36" s="2703"/>
      <c r="ANB36" s="2703"/>
      <c r="ANC36" s="2703"/>
      <c r="AND36" s="2703"/>
      <c r="ANE36" s="2703"/>
      <c r="ANF36" s="2703"/>
      <c r="ANG36" s="2703"/>
      <c r="ANH36" s="2703"/>
      <c r="ANI36" s="2703"/>
      <c r="ANJ36" s="2703"/>
      <c r="ANK36" s="2703"/>
      <c r="ANL36" s="2703"/>
      <c r="ANM36" s="2703"/>
      <c r="ANN36" s="2703"/>
      <c r="ANO36" s="2703"/>
      <c r="ANP36" s="2703"/>
      <c r="ANQ36" s="2703"/>
      <c r="ANR36" s="2703"/>
      <c r="ANS36" s="2703"/>
      <c r="ANT36" s="2703"/>
      <c r="ANU36" s="2703"/>
      <c r="ANV36" s="2703"/>
      <c r="ANW36" s="2703"/>
      <c r="ANX36" s="2703"/>
      <c r="ANY36" s="2703"/>
      <c r="ANZ36" s="2703"/>
      <c r="AOA36" s="2703"/>
      <c r="AOB36" s="2703"/>
      <c r="AOC36" s="2703"/>
      <c r="AOD36" s="2703"/>
      <c r="AOE36" s="2703"/>
      <c r="AOF36" s="2703"/>
      <c r="AOG36" s="2703"/>
      <c r="AOH36" s="2703"/>
      <c r="AOI36" s="2703"/>
      <c r="AOJ36" s="2703"/>
      <c r="AOK36" s="2703"/>
      <c r="AOL36" s="2703"/>
      <c r="AOM36" s="2703"/>
      <c r="AON36" s="2703"/>
      <c r="AOO36" s="2703"/>
      <c r="AOP36" s="2703"/>
      <c r="AOQ36" s="2703"/>
      <c r="AOR36" s="2703"/>
      <c r="AOS36" s="2703"/>
      <c r="AOT36" s="2703"/>
      <c r="AOU36" s="2703"/>
      <c r="AOV36" s="2703"/>
      <c r="AOW36" s="2703"/>
      <c r="AOX36" s="2703"/>
      <c r="AOY36" s="2703"/>
      <c r="AOZ36" s="2703"/>
      <c r="APA36" s="2703"/>
      <c r="APB36" s="2703"/>
      <c r="APC36" s="2703"/>
      <c r="APD36" s="2703"/>
      <c r="APE36" s="2703"/>
      <c r="APF36" s="2703"/>
      <c r="APG36" s="2703"/>
      <c r="APH36" s="2703"/>
      <c r="API36" s="2703"/>
      <c r="APJ36" s="2703"/>
      <c r="APK36" s="2703"/>
      <c r="APL36" s="2703"/>
      <c r="APM36" s="2703"/>
      <c r="APN36" s="2703"/>
      <c r="APO36" s="2703"/>
      <c r="APP36" s="2703"/>
      <c r="APQ36" s="2703"/>
      <c r="APR36" s="2703"/>
      <c r="APS36" s="2703"/>
      <c r="APT36" s="2703"/>
      <c r="APU36" s="2703"/>
      <c r="APV36" s="2703"/>
      <c r="APW36" s="2703"/>
      <c r="APX36" s="2703"/>
      <c r="APY36" s="2703"/>
      <c r="APZ36" s="2703"/>
      <c r="AQA36" s="2703"/>
      <c r="AQB36" s="2703"/>
      <c r="AQC36" s="2703"/>
      <c r="AQD36" s="2703"/>
      <c r="AQE36" s="2703"/>
      <c r="AQF36" s="2703"/>
      <c r="AQG36" s="2703"/>
      <c r="AQH36" s="2703"/>
      <c r="AQI36" s="2703"/>
      <c r="AQJ36" s="2703"/>
      <c r="AQK36" s="2703"/>
      <c r="AQL36" s="2703"/>
      <c r="AQM36" s="2703"/>
      <c r="AQN36" s="2703"/>
      <c r="AQO36" s="2703"/>
      <c r="AQP36" s="2703"/>
      <c r="AQQ36" s="2703"/>
      <c r="AQR36" s="2703"/>
      <c r="AQS36" s="2703"/>
      <c r="AQT36" s="2703"/>
      <c r="AQU36" s="2703"/>
      <c r="AQV36" s="2703"/>
      <c r="AQW36" s="2703"/>
      <c r="AQX36" s="2703"/>
      <c r="AQY36" s="2703"/>
      <c r="AQZ36" s="2703"/>
      <c r="ARA36" s="2703"/>
      <c r="ARB36" s="2703"/>
      <c r="ARC36" s="2703"/>
      <c r="ARD36" s="2703"/>
      <c r="ARE36" s="2703"/>
      <c r="ARF36" s="2703"/>
      <c r="ARG36" s="2703"/>
      <c r="ARH36" s="2703"/>
      <c r="ARI36" s="2703"/>
      <c r="ARJ36" s="2703"/>
      <c r="ARK36" s="2703"/>
      <c r="ARL36" s="2703"/>
      <c r="ARM36" s="2703"/>
      <c r="ARN36" s="2703"/>
      <c r="ARO36" s="2703"/>
      <c r="ARP36" s="2703"/>
      <c r="ARQ36" s="2703"/>
      <c r="ARR36" s="2703"/>
      <c r="ARS36" s="2703"/>
      <c r="ART36" s="2703"/>
      <c r="ARU36" s="2703"/>
      <c r="ARV36" s="2703"/>
      <c r="ARW36" s="2703"/>
      <c r="ARX36" s="2703"/>
      <c r="ARY36" s="2703"/>
      <c r="ARZ36" s="2703"/>
      <c r="ASA36" s="2703"/>
      <c r="ASB36" s="2703"/>
      <c r="ASC36" s="2703"/>
      <c r="ASD36" s="2703"/>
      <c r="ASE36" s="2703"/>
      <c r="ASF36" s="2703"/>
      <c r="ASG36" s="2703"/>
      <c r="ASH36" s="2703"/>
      <c r="ASI36" s="2703"/>
      <c r="ASJ36" s="2703"/>
      <c r="ASK36" s="2703"/>
      <c r="ASL36" s="2703"/>
      <c r="ASM36" s="2703"/>
      <c r="ASN36" s="2703"/>
      <c r="ASO36" s="2703"/>
      <c r="ASP36" s="2703"/>
      <c r="ASQ36" s="2703"/>
      <c r="ASR36" s="2703"/>
      <c r="ASS36" s="2703"/>
      <c r="AST36" s="2703"/>
      <c r="ASU36" s="2703"/>
      <c r="ASV36" s="2703"/>
      <c r="ASW36" s="2703"/>
      <c r="ASX36" s="2703"/>
      <c r="ASY36" s="2703"/>
      <c r="ASZ36" s="2703"/>
      <c r="ATA36" s="2703"/>
      <c r="ATB36" s="2703"/>
      <c r="ATC36" s="2703"/>
      <c r="ATD36" s="2703"/>
      <c r="ATE36" s="2703"/>
      <c r="ATF36" s="2703"/>
      <c r="ATG36" s="2703"/>
      <c r="ATH36" s="2703"/>
      <c r="ATI36" s="2703"/>
      <c r="ATJ36" s="2703"/>
      <c r="ATK36" s="2703"/>
      <c r="ATL36" s="2703"/>
      <c r="ATM36" s="2703"/>
      <c r="ATN36" s="2703"/>
      <c r="ATO36" s="2703"/>
      <c r="ATP36" s="2703"/>
      <c r="ATQ36" s="2703"/>
      <c r="ATR36" s="2703"/>
      <c r="ATS36" s="2703"/>
      <c r="ATT36" s="2703"/>
      <c r="ATU36" s="2703"/>
      <c r="ATV36" s="2703"/>
      <c r="ATW36" s="2703"/>
      <c r="ATX36" s="2703"/>
      <c r="ATY36" s="2703"/>
      <c r="ATZ36" s="2703"/>
      <c r="AUA36" s="2703"/>
      <c r="AUB36" s="2703"/>
      <c r="AUC36" s="2703"/>
      <c r="AUD36" s="2703"/>
      <c r="AUE36" s="2703"/>
      <c r="AUF36" s="2703"/>
      <c r="AUG36" s="2703"/>
      <c r="AUH36" s="2703"/>
      <c r="AUI36" s="2703"/>
      <c r="AUJ36" s="2703"/>
      <c r="AUK36" s="2703"/>
      <c r="AUL36" s="2703"/>
      <c r="AUM36" s="2703"/>
      <c r="AUN36" s="2703"/>
      <c r="AUO36" s="2703"/>
      <c r="AUP36" s="2703"/>
      <c r="AUQ36" s="2703"/>
      <c r="AUR36" s="2703"/>
      <c r="AUS36" s="2703"/>
      <c r="AUT36" s="2703"/>
      <c r="AUU36" s="2703"/>
      <c r="AUV36" s="2703"/>
      <c r="AUW36" s="2703"/>
      <c r="AUX36" s="2703"/>
      <c r="AUY36" s="2703"/>
      <c r="AUZ36" s="2703"/>
      <c r="AVA36" s="2703"/>
      <c r="AVB36" s="2703"/>
      <c r="AVC36" s="2703"/>
      <c r="AVD36" s="2703"/>
      <c r="AVE36" s="2703"/>
      <c r="AVF36" s="2703"/>
      <c r="AVG36" s="2703"/>
      <c r="AVH36" s="2703"/>
      <c r="AVI36" s="2703"/>
      <c r="AVJ36" s="2703"/>
      <c r="AVK36" s="2703"/>
      <c r="AVL36" s="2703"/>
      <c r="AVM36" s="2703"/>
      <c r="AVN36" s="2703"/>
      <c r="AVO36" s="2703"/>
      <c r="AVP36" s="2703"/>
      <c r="AVQ36" s="2703"/>
      <c r="AVR36" s="2703"/>
      <c r="AVS36" s="2703"/>
      <c r="AVT36" s="2703"/>
      <c r="AVU36" s="2703"/>
      <c r="AVV36" s="2703"/>
      <c r="AVW36" s="2703"/>
      <c r="AVX36" s="2703"/>
      <c r="AVY36" s="2703"/>
      <c r="AVZ36" s="2703"/>
      <c r="AWA36" s="2703"/>
      <c r="AWB36" s="2703"/>
      <c r="AWC36" s="2703"/>
      <c r="AWD36" s="2703"/>
      <c r="AWE36" s="2703"/>
      <c r="AWF36" s="2703"/>
      <c r="AWG36" s="2703"/>
      <c r="AWH36" s="2703"/>
      <c r="AWI36" s="2703"/>
      <c r="AWJ36" s="2703"/>
      <c r="AWK36" s="2703"/>
      <c r="AWL36" s="2703"/>
      <c r="AWM36" s="2703"/>
      <c r="AWN36" s="2703"/>
      <c r="AWO36" s="2703"/>
      <c r="AWP36" s="2703"/>
      <c r="AWQ36" s="2703"/>
      <c r="AWR36" s="2703"/>
      <c r="AWS36" s="2703"/>
      <c r="AWT36" s="2703"/>
      <c r="AWU36" s="2703"/>
      <c r="AWV36" s="2703"/>
      <c r="AWW36" s="2703"/>
      <c r="AWX36" s="2703"/>
      <c r="AWY36" s="2703"/>
      <c r="AWZ36" s="2703"/>
      <c r="AXA36" s="2703"/>
      <c r="AXB36" s="2703"/>
      <c r="AXC36" s="2703"/>
      <c r="AXD36" s="2703"/>
      <c r="AXE36" s="2703"/>
      <c r="AXF36" s="2703"/>
      <c r="AXG36" s="2703"/>
      <c r="AXH36" s="2703"/>
      <c r="AXI36" s="2703"/>
      <c r="AXJ36" s="2703"/>
      <c r="AXK36" s="2703"/>
      <c r="AXL36" s="2703"/>
      <c r="AXM36" s="2703"/>
      <c r="AXN36" s="2703"/>
      <c r="AXO36" s="2703"/>
      <c r="AXP36" s="2703"/>
      <c r="AXQ36" s="2703"/>
      <c r="AXR36" s="2703"/>
      <c r="AXS36" s="2703"/>
      <c r="AXT36" s="2703"/>
      <c r="AXU36" s="2703"/>
      <c r="AXV36" s="2703"/>
      <c r="AXW36" s="2703"/>
      <c r="AXX36" s="2703"/>
      <c r="AXY36" s="2703"/>
      <c r="AXZ36" s="2703"/>
      <c r="AYA36" s="2703"/>
      <c r="AYB36" s="2703"/>
      <c r="AYC36" s="2703"/>
      <c r="AYD36" s="2703"/>
      <c r="AYE36" s="2703"/>
      <c r="AYF36" s="2703"/>
      <c r="AYG36" s="2703"/>
      <c r="AYH36" s="2703"/>
      <c r="AYI36" s="2703"/>
      <c r="AYJ36" s="2703"/>
      <c r="AYK36" s="2703"/>
      <c r="AYL36" s="2703"/>
      <c r="AYM36" s="2703"/>
      <c r="AYN36" s="2703"/>
      <c r="AYO36" s="2703"/>
      <c r="AYP36" s="2703"/>
      <c r="AYQ36" s="2703"/>
      <c r="AYR36" s="2703"/>
      <c r="AYS36" s="2703"/>
      <c r="AYT36" s="2703"/>
      <c r="AYU36" s="2703"/>
      <c r="AYV36" s="2703"/>
      <c r="AYW36" s="2703"/>
      <c r="AYX36" s="2703"/>
      <c r="AYY36" s="2703"/>
      <c r="AYZ36" s="2703"/>
      <c r="AZA36" s="2703"/>
      <c r="AZB36" s="2703"/>
      <c r="AZC36" s="2703"/>
      <c r="AZD36" s="2703"/>
      <c r="AZE36" s="2703"/>
      <c r="AZF36" s="2703"/>
      <c r="AZG36" s="2703"/>
      <c r="AZH36" s="2703"/>
      <c r="AZI36" s="2703"/>
      <c r="AZJ36" s="2703"/>
      <c r="AZK36" s="2703"/>
      <c r="AZL36" s="2703"/>
      <c r="AZM36" s="2703"/>
      <c r="AZN36" s="2703"/>
      <c r="AZO36" s="2703"/>
      <c r="AZP36" s="2703"/>
      <c r="AZQ36" s="2703"/>
      <c r="AZR36" s="2703"/>
      <c r="AZS36" s="2703"/>
      <c r="AZT36" s="2703"/>
      <c r="AZU36" s="2703"/>
      <c r="AZV36" s="2703"/>
      <c r="AZW36" s="2703"/>
      <c r="AZX36" s="2703"/>
      <c r="AZY36" s="2703"/>
      <c r="AZZ36" s="2703"/>
      <c r="BAA36" s="2703"/>
      <c r="BAB36" s="2703"/>
      <c r="BAC36" s="2703"/>
      <c r="BAD36" s="2703"/>
      <c r="BAE36" s="2703"/>
      <c r="BAF36" s="2703"/>
      <c r="BAG36" s="2703"/>
      <c r="BAH36" s="2703"/>
      <c r="BAI36" s="2703"/>
      <c r="BAJ36" s="2703"/>
      <c r="BAK36" s="2703"/>
      <c r="BAL36" s="2703"/>
      <c r="BAM36" s="2703"/>
      <c r="BAN36" s="2703"/>
      <c r="BAO36" s="2703"/>
      <c r="BAP36" s="2703"/>
      <c r="BAQ36" s="2703"/>
      <c r="BAR36" s="2703"/>
      <c r="BAS36" s="2703"/>
      <c r="BAT36" s="2703"/>
      <c r="BAU36" s="2703"/>
      <c r="BAV36" s="2703"/>
      <c r="BAW36" s="2703"/>
      <c r="BAX36" s="2703"/>
      <c r="BAY36" s="2703"/>
      <c r="BAZ36" s="2703"/>
      <c r="BBA36" s="2703"/>
      <c r="BBB36" s="2703"/>
      <c r="BBC36" s="2703"/>
      <c r="BBD36" s="2703"/>
      <c r="BBE36" s="2703"/>
      <c r="BBF36" s="2703"/>
      <c r="BBG36" s="2703"/>
      <c r="BBH36" s="2703"/>
      <c r="BBI36" s="2703"/>
      <c r="BBJ36" s="2703"/>
      <c r="BBK36" s="2703"/>
      <c r="BBL36" s="2703"/>
      <c r="BBM36" s="2703"/>
      <c r="BBN36" s="2703"/>
      <c r="BBO36" s="2703"/>
      <c r="BBP36" s="2703"/>
      <c r="BBQ36" s="2703"/>
      <c r="BBR36" s="2703"/>
      <c r="BBS36" s="2703"/>
      <c r="BBT36" s="2703"/>
      <c r="BBU36" s="2703"/>
      <c r="BBV36" s="2703"/>
      <c r="BBW36" s="2703"/>
      <c r="BBX36" s="2703"/>
      <c r="BBY36" s="2703"/>
      <c r="BBZ36" s="2703"/>
      <c r="BCA36" s="2703"/>
      <c r="BCB36" s="2703"/>
      <c r="BCC36" s="2703"/>
      <c r="BCD36" s="2703"/>
      <c r="BCE36" s="2703"/>
      <c r="BCF36" s="2703"/>
      <c r="BCG36" s="2703"/>
      <c r="BCH36" s="2703"/>
      <c r="BCI36" s="2703"/>
      <c r="BCJ36" s="2703"/>
      <c r="BCK36" s="2703"/>
      <c r="BCL36" s="2703"/>
      <c r="BCM36" s="2703"/>
      <c r="BCN36" s="2703"/>
      <c r="BCO36" s="2703"/>
      <c r="BCP36" s="2703"/>
      <c r="BCQ36" s="2703"/>
      <c r="BCR36" s="2703"/>
      <c r="BCS36" s="2703"/>
      <c r="BCT36" s="2703"/>
      <c r="BCU36" s="2703"/>
      <c r="BCV36" s="2703"/>
      <c r="BCW36" s="2703"/>
      <c r="BCX36" s="2703"/>
      <c r="BCY36" s="2703"/>
      <c r="BCZ36" s="2703"/>
      <c r="BDA36" s="2703"/>
      <c r="BDB36" s="2703"/>
      <c r="BDC36" s="2703"/>
      <c r="BDD36" s="2703"/>
      <c r="BDE36" s="2703"/>
      <c r="BDF36" s="2703"/>
      <c r="BDG36" s="2703"/>
      <c r="BDH36" s="2703"/>
      <c r="BDI36" s="2703"/>
      <c r="BDJ36" s="2703"/>
      <c r="BDK36" s="2703"/>
      <c r="BDL36" s="2703"/>
      <c r="BDM36" s="2703"/>
      <c r="BDN36" s="2703"/>
      <c r="BDO36" s="2703"/>
      <c r="BDP36" s="2703"/>
      <c r="BDQ36" s="2703"/>
      <c r="BDR36" s="2703"/>
      <c r="BDS36" s="2703"/>
      <c r="BDT36" s="2703"/>
      <c r="BDU36" s="2703"/>
      <c r="BDV36" s="2703"/>
      <c r="BDW36" s="2703"/>
      <c r="BDX36" s="2703"/>
      <c r="BDY36" s="2703"/>
      <c r="BDZ36" s="2703"/>
      <c r="BEA36" s="2703"/>
      <c r="BEB36" s="2703"/>
      <c r="BEC36" s="2703"/>
      <c r="BED36" s="2703"/>
      <c r="BEE36" s="2703"/>
      <c r="BEF36" s="2703"/>
      <c r="BEG36" s="2703"/>
      <c r="BEH36" s="2703"/>
      <c r="BEI36" s="2703"/>
      <c r="BEJ36" s="2703"/>
      <c r="BEK36" s="2703"/>
      <c r="BEL36" s="2703"/>
      <c r="BEM36" s="2703"/>
      <c r="BEN36" s="2703"/>
      <c r="BEO36" s="2703"/>
      <c r="BEP36" s="2703"/>
      <c r="BEQ36" s="2703"/>
      <c r="BER36" s="2703"/>
      <c r="BES36" s="2703"/>
      <c r="BET36" s="2703"/>
      <c r="BEU36" s="2703"/>
      <c r="BEV36" s="2703"/>
      <c r="BEW36" s="2703"/>
      <c r="BEX36" s="2703"/>
      <c r="BEY36" s="2703"/>
      <c r="BEZ36" s="2703"/>
      <c r="BFA36" s="2703"/>
      <c r="BFB36" s="2703"/>
      <c r="BFC36" s="2703"/>
      <c r="BFD36" s="2703"/>
      <c r="BFE36" s="2703"/>
      <c r="BFF36" s="2703"/>
      <c r="BFG36" s="2703"/>
      <c r="BFH36" s="2703"/>
      <c r="BFI36" s="2703"/>
      <c r="BFJ36" s="2703"/>
      <c r="BFK36" s="2703"/>
      <c r="BFL36" s="2703"/>
      <c r="BFM36" s="2703"/>
      <c r="BFN36" s="2703"/>
      <c r="BFO36" s="2703"/>
      <c r="BFP36" s="2703"/>
      <c r="BFQ36" s="2703"/>
      <c r="BFR36" s="2703"/>
      <c r="BFS36" s="2703"/>
      <c r="BFT36" s="2703"/>
      <c r="BFU36" s="2703"/>
      <c r="BFV36" s="2703"/>
      <c r="BFW36" s="2703"/>
      <c r="BFX36" s="2703"/>
      <c r="BFY36" s="2703"/>
      <c r="BFZ36" s="2703"/>
      <c r="BGA36" s="2703"/>
      <c r="BGB36" s="2703"/>
      <c r="BGC36" s="2703"/>
      <c r="BGD36" s="2703"/>
      <c r="BGE36" s="2703"/>
      <c r="BGF36" s="2703"/>
      <c r="BGG36" s="2703"/>
      <c r="BGH36" s="2703"/>
      <c r="BGI36" s="2703"/>
      <c r="BGJ36" s="2703"/>
      <c r="BGK36" s="2703"/>
      <c r="BGL36" s="2703"/>
      <c r="BGM36" s="2703"/>
      <c r="BGN36" s="2703"/>
      <c r="BGO36" s="2703"/>
      <c r="BGP36" s="2703"/>
      <c r="BGQ36" s="2703"/>
      <c r="BGR36" s="2703"/>
      <c r="BGS36" s="2703"/>
      <c r="BGT36" s="2703"/>
      <c r="BGU36" s="2703"/>
      <c r="BGV36" s="2703"/>
      <c r="BGW36" s="2703"/>
      <c r="BGX36" s="2703"/>
      <c r="BGY36" s="2703"/>
      <c r="BGZ36" s="2703"/>
      <c r="BHA36" s="2703"/>
      <c r="BHB36" s="2703"/>
      <c r="BHC36" s="2703"/>
      <c r="BHD36" s="2703"/>
      <c r="BHE36" s="2703"/>
      <c r="BHF36" s="2703"/>
      <c r="BHG36" s="2703"/>
      <c r="BHH36" s="2703"/>
      <c r="BHI36" s="2703"/>
      <c r="BHJ36" s="2703"/>
      <c r="BHK36" s="2703"/>
      <c r="BHL36" s="2703"/>
      <c r="BHM36" s="2703"/>
      <c r="BHN36" s="2703"/>
      <c r="BHO36" s="2703"/>
      <c r="BHP36" s="2703"/>
      <c r="BHQ36" s="2703"/>
      <c r="BHR36" s="2703"/>
      <c r="BHS36" s="2703"/>
      <c r="BHT36" s="2703"/>
      <c r="BHU36" s="2703"/>
      <c r="BHV36" s="2703"/>
      <c r="BHW36" s="2703"/>
      <c r="BHX36" s="2703"/>
      <c r="BHY36" s="2703"/>
      <c r="BHZ36" s="2703"/>
      <c r="BIA36" s="2703"/>
      <c r="BIB36" s="2703"/>
      <c r="BIC36" s="2703"/>
      <c r="BID36" s="2703"/>
      <c r="BIE36" s="2703"/>
      <c r="BIF36" s="2703"/>
      <c r="BIG36" s="2703"/>
      <c r="BIH36" s="2703"/>
      <c r="BII36" s="2703"/>
      <c r="BIJ36" s="2703"/>
      <c r="BIK36" s="2703"/>
      <c r="BIL36" s="2703"/>
      <c r="BIM36" s="2703"/>
      <c r="BIN36" s="2703"/>
      <c r="BIO36" s="2703"/>
      <c r="BIP36" s="2703"/>
      <c r="BIQ36" s="2703"/>
      <c r="BIR36" s="2703"/>
      <c r="BIS36" s="2703"/>
      <c r="BIT36" s="2703"/>
      <c r="BIU36" s="2703"/>
      <c r="BIV36" s="2703"/>
      <c r="BIW36" s="2703"/>
      <c r="BIX36" s="2703"/>
      <c r="BIY36" s="2703"/>
      <c r="BIZ36" s="2703"/>
      <c r="BJA36" s="2703"/>
      <c r="BJB36" s="2703"/>
      <c r="BJC36" s="2703"/>
      <c r="BJD36" s="2703"/>
      <c r="BJE36" s="2703"/>
      <c r="BJF36" s="2703"/>
      <c r="BJG36" s="2703"/>
      <c r="BJH36" s="2703"/>
      <c r="BJI36" s="2703"/>
      <c r="BJJ36" s="2703"/>
      <c r="BJK36" s="2703"/>
      <c r="BJL36" s="2703"/>
      <c r="BJM36" s="2703"/>
      <c r="BJN36" s="2703"/>
      <c r="BJO36" s="2703"/>
      <c r="BJP36" s="2703"/>
      <c r="BJQ36" s="2703"/>
      <c r="BJR36" s="2703"/>
      <c r="BJS36" s="2703"/>
      <c r="BJT36" s="2703"/>
      <c r="BJU36" s="2703"/>
      <c r="BJV36" s="2703"/>
      <c r="BJW36" s="2703"/>
      <c r="BJX36" s="2703"/>
      <c r="BJY36" s="2703"/>
      <c r="BJZ36" s="2703"/>
      <c r="BKA36" s="2703"/>
      <c r="BKB36" s="2703"/>
      <c r="BKC36" s="2703"/>
      <c r="BKD36" s="2703"/>
      <c r="BKE36" s="2703"/>
      <c r="BKF36" s="2703"/>
      <c r="BKG36" s="2703"/>
      <c r="BKH36" s="2703"/>
      <c r="BKI36" s="2703"/>
      <c r="BKJ36" s="2703"/>
      <c r="BKK36" s="2703"/>
      <c r="BKL36" s="2703"/>
      <c r="BKM36" s="2703"/>
      <c r="BKN36" s="2703"/>
      <c r="BKO36" s="2703"/>
      <c r="BKP36" s="2703"/>
      <c r="BKQ36" s="2703"/>
      <c r="BKR36" s="2703"/>
      <c r="BKS36" s="2703"/>
      <c r="BKT36" s="2703"/>
      <c r="BKU36" s="2703"/>
      <c r="BKV36" s="2703"/>
      <c r="BKW36" s="2703"/>
      <c r="BKX36" s="2703"/>
      <c r="BKY36" s="2703"/>
      <c r="BKZ36" s="2703"/>
      <c r="BLA36" s="2703"/>
      <c r="BLB36" s="2703"/>
      <c r="BLC36" s="2703"/>
      <c r="BLD36" s="2703"/>
      <c r="BLE36" s="2703"/>
      <c r="BLF36" s="2703"/>
      <c r="BLG36" s="2703"/>
      <c r="BLH36" s="2703"/>
      <c r="BLI36" s="2703"/>
      <c r="BLJ36" s="2703"/>
      <c r="BLK36" s="2703"/>
      <c r="BLL36" s="2703"/>
      <c r="BLM36" s="2703"/>
      <c r="BLN36" s="2703"/>
      <c r="BLO36" s="2703"/>
      <c r="BLP36" s="2703"/>
      <c r="BLQ36" s="2703"/>
      <c r="BLR36" s="2703"/>
      <c r="BLS36" s="2703"/>
      <c r="BLT36" s="2703"/>
      <c r="BLU36" s="2703"/>
      <c r="BLV36" s="2703"/>
      <c r="BLW36" s="2703"/>
      <c r="BLX36" s="2703"/>
      <c r="BLY36" s="2703"/>
      <c r="BLZ36" s="2703"/>
      <c r="BMA36" s="2703"/>
      <c r="BMB36" s="2703"/>
      <c r="BMC36" s="2703"/>
      <c r="BMD36" s="2703"/>
      <c r="BME36" s="2703"/>
      <c r="BMF36" s="2703"/>
      <c r="BMG36" s="2703"/>
      <c r="BMH36" s="2703"/>
      <c r="BMI36" s="2703"/>
      <c r="BMJ36" s="2703"/>
      <c r="BMK36" s="2703"/>
      <c r="BML36" s="2703"/>
      <c r="BMM36" s="2703"/>
      <c r="BMN36" s="2703"/>
      <c r="BMO36" s="2703"/>
      <c r="BMP36" s="2703"/>
      <c r="BMQ36" s="2703"/>
      <c r="BMR36" s="2703"/>
      <c r="BMS36" s="2703"/>
      <c r="BMT36" s="2703"/>
      <c r="BMU36" s="2703"/>
      <c r="BMV36" s="2703"/>
      <c r="BMW36" s="2703"/>
      <c r="BMX36" s="2703"/>
      <c r="BMY36" s="2703"/>
      <c r="BMZ36" s="2703"/>
      <c r="BNA36" s="2703"/>
      <c r="BNB36" s="2703"/>
      <c r="BNC36" s="2703"/>
      <c r="BND36" s="2703"/>
      <c r="BNE36" s="2703"/>
      <c r="BNF36" s="2703"/>
      <c r="BNG36" s="2703"/>
      <c r="BNH36" s="2703"/>
      <c r="BNI36" s="2703"/>
      <c r="BNJ36" s="2703"/>
      <c r="BNK36" s="2703"/>
      <c r="BNL36" s="2703"/>
      <c r="BNM36" s="2703"/>
      <c r="BNN36" s="2703"/>
      <c r="BNO36" s="2703"/>
      <c r="BNP36" s="2703"/>
      <c r="BNQ36" s="2703"/>
      <c r="BNR36" s="2703"/>
      <c r="BNS36" s="2703"/>
      <c r="BNT36" s="2703"/>
      <c r="BNU36" s="2703"/>
      <c r="BNV36" s="2703"/>
      <c r="BNW36" s="2703"/>
      <c r="BNX36" s="2703"/>
      <c r="BNY36" s="2703"/>
      <c r="BNZ36" s="2703"/>
      <c r="BOA36" s="2703"/>
      <c r="BOB36" s="2703"/>
      <c r="BOC36" s="2703"/>
      <c r="BOD36" s="2703"/>
      <c r="BOE36" s="2703"/>
      <c r="BOF36" s="2703"/>
      <c r="BOG36" s="2703"/>
      <c r="BOH36" s="2703"/>
      <c r="BOI36" s="2703"/>
      <c r="BOJ36" s="2703"/>
      <c r="BOK36" s="2703"/>
      <c r="BOL36" s="2703"/>
      <c r="BOM36" s="2703"/>
      <c r="BON36" s="2703"/>
      <c r="BOO36" s="2703"/>
      <c r="BOP36" s="2703"/>
      <c r="BOQ36" s="2703"/>
      <c r="BOR36" s="2703"/>
      <c r="BOS36" s="2703"/>
      <c r="BOT36" s="2703"/>
      <c r="BOU36" s="2703"/>
      <c r="BOV36" s="2703"/>
      <c r="BOW36" s="2703"/>
      <c r="BOX36" s="2703"/>
      <c r="BOY36" s="2703"/>
      <c r="BOZ36" s="2703"/>
      <c r="BPA36" s="2703"/>
      <c r="BPB36" s="2703"/>
      <c r="BPC36" s="2703"/>
      <c r="BPD36" s="2703"/>
      <c r="BPE36" s="2703"/>
      <c r="BPF36" s="2703"/>
      <c r="BPG36" s="2703"/>
      <c r="BPH36" s="2703"/>
      <c r="BPI36" s="2703"/>
      <c r="BPJ36" s="2703"/>
      <c r="BPK36" s="2703"/>
      <c r="BPL36" s="2703"/>
      <c r="BPM36" s="2703"/>
      <c r="BPN36" s="2703"/>
      <c r="BPO36" s="2703"/>
      <c r="BPP36" s="2703"/>
      <c r="BPQ36" s="2703"/>
      <c r="BPR36" s="2703"/>
      <c r="BPS36" s="2703"/>
      <c r="BPT36" s="2703"/>
      <c r="BPU36" s="2703"/>
      <c r="BPV36" s="2703"/>
      <c r="BPW36" s="2703"/>
      <c r="BPX36" s="2703"/>
      <c r="BPY36" s="2703"/>
      <c r="BPZ36" s="2703"/>
      <c r="BQA36" s="2703"/>
      <c r="BQB36" s="2703"/>
      <c r="BQC36" s="2703"/>
      <c r="BQD36" s="2703"/>
      <c r="BQE36" s="2703"/>
      <c r="BQF36" s="2703"/>
      <c r="BQG36" s="2703"/>
      <c r="BQH36" s="2703"/>
      <c r="BQI36" s="2703"/>
      <c r="BQJ36" s="2703"/>
      <c r="BQK36" s="2703"/>
      <c r="BQL36" s="2703"/>
      <c r="BQM36" s="2703"/>
      <c r="BQN36" s="2703"/>
      <c r="BQO36" s="2703"/>
      <c r="BQP36" s="2703"/>
      <c r="BQQ36" s="2703"/>
      <c r="BQR36" s="2703"/>
      <c r="BQS36" s="2703"/>
      <c r="BQT36" s="2703"/>
      <c r="BQU36" s="2703"/>
      <c r="BQV36" s="2703"/>
      <c r="BQW36" s="2703"/>
      <c r="BQX36" s="2703"/>
      <c r="BQY36" s="2703"/>
      <c r="BQZ36" s="2703"/>
      <c r="BRA36" s="2703"/>
      <c r="BRB36" s="2703"/>
      <c r="BRC36" s="2703"/>
      <c r="BRD36" s="2703"/>
      <c r="BRE36" s="2703"/>
      <c r="BRF36" s="2703"/>
      <c r="BRG36" s="2703"/>
      <c r="BRH36" s="2703"/>
      <c r="BRI36" s="2703"/>
      <c r="BRJ36" s="2703"/>
      <c r="BRK36" s="2703"/>
      <c r="BRL36" s="2703"/>
      <c r="BRM36" s="2703"/>
      <c r="BRN36" s="2703"/>
      <c r="BRO36" s="2703"/>
      <c r="BRP36" s="2703"/>
      <c r="BRQ36" s="2703"/>
      <c r="BRR36" s="2703"/>
      <c r="BRS36" s="2703"/>
      <c r="BRT36" s="2703"/>
      <c r="BRU36" s="2703"/>
      <c r="BRV36" s="2703"/>
      <c r="BRW36" s="2703"/>
      <c r="BRX36" s="2703"/>
      <c r="BRY36" s="2703"/>
      <c r="BRZ36" s="2703"/>
      <c r="BSA36" s="2703"/>
      <c r="BSB36" s="2703"/>
      <c r="BSC36" s="2703"/>
      <c r="BSD36" s="2703"/>
      <c r="BSE36" s="2703"/>
      <c r="BSF36" s="2703"/>
      <c r="BSG36" s="2703"/>
      <c r="BSH36" s="2703"/>
      <c r="BSI36" s="2703"/>
      <c r="BSJ36" s="2703"/>
      <c r="BSK36" s="2703"/>
      <c r="BSL36" s="2703"/>
      <c r="BSM36" s="2703"/>
      <c r="BSN36" s="2703"/>
      <c r="BSO36" s="2703"/>
      <c r="BSP36" s="2703"/>
      <c r="BSQ36" s="2703"/>
      <c r="BSR36" s="2703"/>
      <c r="BSS36" s="2703"/>
      <c r="BST36" s="2703"/>
      <c r="BSU36" s="2703"/>
      <c r="BSV36" s="2703"/>
      <c r="BSW36" s="2703"/>
      <c r="BSX36" s="2703"/>
      <c r="BSY36" s="2703"/>
      <c r="BSZ36" s="2703"/>
      <c r="BTA36" s="2703"/>
      <c r="BTB36" s="2703"/>
      <c r="BTC36" s="2703"/>
      <c r="BTD36" s="2703"/>
      <c r="BTE36" s="2703"/>
      <c r="BTF36" s="2703"/>
      <c r="BTG36" s="2703"/>
      <c r="BTH36" s="2703"/>
      <c r="BTI36" s="2703"/>
      <c r="BTJ36" s="2703"/>
      <c r="BTK36" s="2703"/>
      <c r="BTL36" s="2703"/>
      <c r="BTM36" s="2703"/>
      <c r="BTN36" s="2703"/>
      <c r="BTO36" s="2703"/>
      <c r="BTP36" s="2703"/>
      <c r="BTQ36" s="2703"/>
      <c r="BTR36" s="2703"/>
      <c r="BTS36" s="2703"/>
      <c r="BTT36" s="2703"/>
      <c r="BTU36" s="2703"/>
      <c r="BTV36" s="2703"/>
      <c r="BTW36" s="2703"/>
      <c r="BTX36" s="2703"/>
      <c r="BTY36" s="2703"/>
      <c r="BTZ36" s="2703"/>
      <c r="BUA36" s="2703"/>
      <c r="BUB36" s="2703"/>
      <c r="BUC36" s="2703"/>
      <c r="BUD36" s="2703"/>
      <c r="BUE36" s="2703"/>
      <c r="BUF36" s="2703"/>
      <c r="BUG36" s="2703"/>
      <c r="BUH36" s="2703"/>
      <c r="BUI36" s="2703"/>
      <c r="BUJ36" s="2703"/>
      <c r="BUK36" s="2703"/>
      <c r="BUL36" s="2703"/>
      <c r="BUM36" s="2703"/>
      <c r="BUN36" s="2703"/>
      <c r="BUO36" s="2703"/>
      <c r="BUP36" s="2703"/>
      <c r="BUQ36" s="2703"/>
      <c r="BUR36" s="2703"/>
      <c r="BUS36" s="2703"/>
      <c r="BUT36" s="2703"/>
      <c r="BUU36" s="2703"/>
      <c r="BUV36" s="2703"/>
      <c r="BUW36" s="2703"/>
      <c r="BUX36" s="2703"/>
      <c r="BUY36" s="2703"/>
      <c r="BUZ36" s="2703"/>
      <c r="BVA36" s="2703"/>
      <c r="BVB36" s="2703"/>
      <c r="BVC36" s="2703"/>
      <c r="BVD36" s="2703"/>
      <c r="BVE36" s="2703"/>
      <c r="BVF36" s="2703"/>
      <c r="BVG36" s="2703"/>
      <c r="BVH36" s="2703"/>
      <c r="BVI36" s="2703"/>
      <c r="BVJ36" s="2703"/>
      <c r="BVK36" s="2703"/>
      <c r="BVL36" s="2703"/>
      <c r="BVM36" s="2703"/>
      <c r="BVN36" s="2703"/>
      <c r="BVO36" s="2703"/>
      <c r="BVP36" s="2703"/>
      <c r="BVQ36" s="2703"/>
      <c r="BVR36" s="2703"/>
      <c r="BVS36" s="2703"/>
      <c r="BVT36" s="2703"/>
      <c r="BVU36" s="2703"/>
      <c r="BVV36" s="2703"/>
      <c r="BVW36" s="2703"/>
      <c r="BVX36" s="2703"/>
      <c r="BVY36" s="2703"/>
      <c r="BVZ36" s="2703"/>
      <c r="BWA36" s="2703"/>
      <c r="BWB36" s="2703"/>
      <c r="BWC36" s="2703"/>
      <c r="BWD36" s="2703"/>
    </row>
    <row r="37" spans="1:1954" ht="16.5" x14ac:dyDescent="0.3">
      <c r="A37" s="2832" t="s">
        <v>2770</v>
      </c>
      <c r="B37" s="2833">
        <v>15640.33626840364</v>
      </c>
      <c r="C37" s="2833">
        <v>1634.2460972882982</v>
      </c>
      <c r="D37" s="2833">
        <v>17274.582365691942</v>
      </c>
      <c r="F37" s="691"/>
      <c r="G37" s="691"/>
      <c r="H37" s="691"/>
      <c r="I37" s="691"/>
      <c r="J37" s="2831"/>
      <c r="K37" s="2831"/>
      <c r="L37" s="2831"/>
    </row>
    <row r="38" spans="1:1954" ht="16.5" x14ac:dyDescent="0.3">
      <c r="A38" s="2834" t="s">
        <v>2771</v>
      </c>
      <c r="B38" s="2835">
        <v>11845.182332908855</v>
      </c>
      <c r="C38" s="2835">
        <v>1388.8326672799999</v>
      </c>
      <c r="D38" s="2835">
        <v>13234.015000188854</v>
      </c>
      <c r="F38" s="691"/>
      <c r="G38" s="691"/>
      <c r="H38" s="691"/>
      <c r="I38" s="691"/>
      <c r="J38" s="2831"/>
      <c r="K38" s="2831"/>
      <c r="L38" s="2831"/>
    </row>
    <row r="39" spans="1:1954" ht="16.5" x14ac:dyDescent="0.3">
      <c r="A39" s="2836" t="s">
        <v>2772</v>
      </c>
      <c r="B39" s="2837">
        <v>2221.8781917199999</v>
      </c>
      <c r="C39" s="2837">
        <v>1334.6705581199999</v>
      </c>
      <c r="D39" s="2837">
        <v>3556.5487498400003</v>
      </c>
      <c r="F39" s="691"/>
      <c r="G39" s="691"/>
      <c r="H39" s="691"/>
      <c r="I39" s="691"/>
      <c r="J39" s="2831"/>
      <c r="K39" s="2831"/>
      <c r="L39" s="2831"/>
    </row>
    <row r="40" spans="1:1954" ht="16.5" x14ac:dyDescent="0.3">
      <c r="A40" s="2836" t="s">
        <v>2773</v>
      </c>
      <c r="B40" s="2837">
        <v>9623.3041411888535</v>
      </c>
      <c r="C40" s="2837">
        <v>54.16210916</v>
      </c>
      <c r="D40" s="2837">
        <v>9677.4662503488544</v>
      </c>
      <c r="F40" s="691"/>
      <c r="G40" s="691"/>
      <c r="H40" s="691"/>
      <c r="I40" s="691"/>
      <c r="J40" s="2831"/>
      <c r="K40" s="2831"/>
      <c r="L40" s="2831"/>
    </row>
    <row r="41" spans="1:1954" ht="16.5" x14ac:dyDescent="0.3">
      <c r="A41" s="2836" t="s">
        <v>2774</v>
      </c>
      <c r="B41" s="2837">
        <v>262.58350142</v>
      </c>
      <c r="C41" s="2837">
        <v>1.7157209999999999E-2</v>
      </c>
      <c r="D41" s="2837">
        <v>262.60065863</v>
      </c>
      <c r="F41" s="691"/>
      <c r="G41" s="691"/>
      <c r="H41" s="691"/>
      <c r="I41" s="691"/>
      <c r="J41" s="2831"/>
      <c r="K41" s="2831"/>
      <c r="L41" s="2831"/>
    </row>
    <row r="42" spans="1:1954" ht="16.5" x14ac:dyDescent="0.3">
      <c r="A42" s="2836" t="s">
        <v>2775</v>
      </c>
      <c r="B42" s="2837">
        <v>638.92168575885466</v>
      </c>
      <c r="C42" s="2837">
        <v>0.72766718999999991</v>
      </c>
      <c r="D42" s="2837">
        <v>639.6493529488547</v>
      </c>
      <c r="F42" s="691"/>
      <c r="G42" s="691"/>
      <c r="H42" s="691"/>
      <c r="I42" s="691"/>
      <c r="J42" s="2831"/>
      <c r="K42" s="2831"/>
      <c r="L42" s="2831"/>
    </row>
    <row r="43" spans="1:1954" ht="16.5" x14ac:dyDescent="0.3">
      <c r="A43" s="2836" t="s">
        <v>2776</v>
      </c>
      <c r="B43" s="2837">
        <v>5651.8812155299993</v>
      </c>
      <c r="C43" s="2837">
        <v>53.398743899999999</v>
      </c>
      <c r="D43" s="2837">
        <v>5705.2799594300004</v>
      </c>
      <c r="F43" s="691"/>
      <c r="G43" s="691"/>
      <c r="H43" s="691"/>
      <c r="I43" s="691"/>
      <c r="J43" s="2831"/>
      <c r="K43" s="2831"/>
      <c r="L43" s="2831"/>
    </row>
    <row r="44" spans="1:1954" ht="16.5" x14ac:dyDescent="0.3">
      <c r="A44" s="2836" t="s">
        <v>2777</v>
      </c>
      <c r="B44" s="2837">
        <v>3069.91773848</v>
      </c>
      <c r="C44" s="2837">
        <v>1.8540859999999999E-2</v>
      </c>
      <c r="D44" s="2837">
        <v>3069.9362793399996</v>
      </c>
      <c r="F44" s="691"/>
      <c r="G44" s="691"/>
      <c r="H44" s="691"/>
      <c r="I44" s="691"/>
      <c r="J44" s="2831"/>
      <c r="K44" s="2831"/>
      <c r="L44" s="2831"/>
    </row>
    <row r="45" spans="1:1954" ht="16.5" x14ac:dyDescent="0.3">
      <c r="A45" s="2834" t="s">
        <v>2778</v>
      </c>
      <c r="B45" s="2835">
        <v>2100.7840049593156</v>
      </c>
      <c r="C45" s="2835">
        <v>37.823000369999995</v>
      </c>
      <c r="D45" s="2835">
        <v>2138.6070053293156</v>
      </c>
      <c r="F45" s="691"/>
      <c r="G45" s="691"/>
      <c r="H45" s="691"/>
      <c r="I45" s="691"/>
      <c r="J45" s="2831"/>
      <c r="K45" s="2831"/>
      <c r="L45" s="2831"/>
    </row>
    <row r="46" spans="1:1954" ht="16.5" x14ac:dyDescent="0.3">
      <c r="A46" s="2834" t="s">
        <v>2779</v>
      </c>
      <c r="B46" s="2835">
        <v>1694.3699305354726</v>
      </c>
      <c r="C46" s="2835">
        <v>207.59042963829813</v>
      </c>
      <c r="D46" s="2835">
        <v>1901.9603601737708</v>
      </c>
      <c r="F46" s="691"/>
      <c r="G46" s="691"/>
      <c r="H46" s="691"/>
      <c r="I46" s="691"/>
      <c r="J46" s="2831"/>
      <c r="K46" s="2831"/>
      <c r="L46" s="2831"/>
    </row>
    <row r="47" spans="1:1954" ht="16.5" x14ac:dyDescent="0.3">
      <c r="A47" s="2832" t="s">
        <v>2780</v>
      </c>
      <c r="B47" s="2833">
        <v>23599.746374936054</v>
      </c>
      <c r="C47" s="2833">
        <v>4626.9321937298009</v>
      </c>
      <c r="D47" s="2833">
        <v>28226.678568665855</v>
      </c>
      <c r="F47" s="691"/>
      <c r="G47" s="691"/>
      <c r="H47" s="691"/>
      <c r="I47" s="691"/>
      <c r="J47" s="2831"/>
      <c r="K47" s="2831"/>
      <c r="L47" s="2831"/>
    </row>
    <row r="48" spans="1:1954" ht="16.5" x14ac:dyDescent="0.3">
      <c r="A48" s="2834" t="s">
        <v>2781</v>
      </c>
      <c r="B48" s="2835">
        <v>4412.6209054961182</v>
      </c>
      <c r="C48" s="2835">
        <v>1463.0984415088171</v>
      </c>
      <c r="D48" s="2835">
        <v>5875.7193470049351</v>
      </c>
      <c r="F48" s="691"/>
      <c r="G48" s="691"/>
      <c r="H48" s="691"/>
      <c r="I48" s="691"/>
      <c r="J48" s="2831"/>
      <c r="K48" s="2831"/>
      <c r="L48" s="2831"/>
    </row>
    <row r="49" spans="1:1954" ht="16.5" x14ac:dyDescent="0.3">
      <c r="A49" s="2834" t="s">
        <v>2782</v>
      </c>
      <c r="B49" s="2835">
        <v>11636.271352315885</v>
      </c>
      <c r="C49" s="2835">
        <v>2384.4301243788432</v>
      </c>
      <c r="D49" s="2835">
        <v>14020.701476694727</v>
      </c>
      <c r="F49" s="691"/>
      <c r="G49" s="691"/>
      <c r="H49" s="691"/>
      <c r="I49" s="691"/>
      <c r="J49" s="2831"/>
      <c r="K49" s="2831"/>
      <c r="L49" s="2831"/>
    </row>
    <row r="50" spans="1:1954" ht="16.5" x14ac:dyDescent="0.3">
      <c r="A50" s="2834" t="s">
        <v>2783</v>
      </c>
      <c r="B50" s="2835">
        <v>7550.8541171240522</v>
      </c>
      <c r="C50" s="2835">
        <v>779.40362784214062</v>
      </c>
      <c r="D50" s="2835">
        <v>8330.2577449661931</v>
      </c>
      <c r="F50" s="691"/>
      <c r="G50" s="691"/>
      <c r="H50" s="691"/>
      <c r="I50" s="691"/>
      <c r="J50" s="2831"/>
      <c r="K50" s="2831"/>
      <c r="L50" s="2831"/>
    </row>
    <row r="51" spans="1:1954" ht="16.5" x14ac:dyDescent="0.3">
      <c r="A51" s="2832" t="s">
        <v>2784</v>
      </c>
      <c r="B51" s="2833">
        <v>4019.3189429272911</v>
      </c>
      <c r="C51" s="2833">
        <v>394.44593581999993</v>
      </c>
      <c r="D51" s="2833">
        <v>4413.7648787472908</v>
      </c>
      <c r="F51" s="691"/>
      <c r="G51" s="691"/>
      <c r="H51" s="691"/>
      <c r="I51" s="691"/>
      <c r="J51" s="2831"/>
      <c r="K51" s="2831"/>
      <c r="L51" s="2831"/>
    </row>
    <row r="52" spans="1:1954" ht="16.5" x14ac:dyDescent="0.3">
      <c r="A52" s="2834" t="s">
        <v>2785</v>
      </c>
      <c r="B52" s="2835">
        <v>899.61420851127468</v>
      </c>
      <c r="C52" s="2835">
        <v>39.095656920000003</v>
      </c>
      <c r="D52" s="2835">
        <v>938.70986543127469</v>
      </c>
      <c r="F52" s="691"/>
      <c r="G52" s="691"/>
      <c r="H52" s="691"/>
      <c r="I52" s="691"/>
      <c r="J52" s="2831"/>
      <c r="K52" s="2831"/>
      <c r="L52" s="2831"/>
    </row>
    <row r="53" spans="1:1954" ht="16.5" x14ac:dyDescent="0.3">
      <c r="A53" s="2834" t="s">
        <v>2786</v>
      </c>
      <c r="B53" s="2835">
        <v>220.72264848000006</v>
      </c>
      <c r="C53" s="2835">
        <v>20.279746149999998</v>
      </c>
      <c r="D53" s="2835">
        <v>241.00239463000003</v>
      </c>
      <c r="F53" s="691"/>
      <c r="G53" s="691"/>
      <c r="H53" s="691"/>
      <c r="I53" s="691"/>
      <c r="J53" s="2831"/>
      <c r="K53" s="2831"/>
      <c r="L53" s="2831"/>
    </row>
    <row r="54" spans="1:1954" ht="16.5" x14ac:dyDescent="0.3">
      <c r="A54" s="2834" t="s">
        <v>2787</v>
      </c>
      <c r="B54" s="2835">
        <v>8.0601838200000007</v>
      </c>
      <c r="C54" s="2835">
        <v>4.5520589400000002</v>
      </c>
      <c r="D54" s="2835">
        <v>12.612242760000001</v>
      </c>
      <c r="F54" s="691"/>
      <c r="G54" s="691"/>
      <c r="H54" s="691"/>
      <c r="I54" s="691"/>
      <c r="J54" s="2831"/>
      <c r="K54" s="2831"/>
      <c r="L54" s="2831"/>
    </row>
    <row r="55" spans="1:1954" ht="16.5" x14ac:dyDescent="0.3">
      <c r="A55" s="2834" t="s">
        <v>2788</v>
      </c>
      <c r="B55" s="2835">
        <v>2889.3689811360159</v>
      </c>
      <c r="C55" s="2835">
        <v>330.49881546999995</v>
      </c>
      <c r="D55" s="2835">
        <v>3219.8677966060163</v>
      </c>
      <c r="F55" s="691"/>
      <c r="G55" s="691"/>
      <c r="H55" s="691"/>
      <c r="I55" s="691"/>
      <c r="J55" s="2831"/>
      <c r="K55" s="2831"/>
      <c r="L55" s="2831"/>
    </row>
    <row r="56" spans="1:1954" ht="16.5" x14ac:dyDescent="0.3">
      <c r="A56" s="2834" t="s">
        <v>2789</v>
      </c>
      <c r="B56" s="2835">
        <v>1.5529209799999999</v>
      </c>
      <c r="C56" s="2835">
        <v>1.965834E-2</v>
      </c>
      <c r="D56" s="2835">
        <v>1.57257932</v>
      </c>
      <c r="F56" s="691"/>
      <c r="G56" s="691"/>
      <c r="H56" s="691"/>
      <c r="I56" s="691"/>
      <c r="J56" s="2831"/>
      <c r="K56" s="2831"/>
      <c r="L56" s="2831"/>
    </row>
    <row r="57" spans="1:1954" ht="16.5" x14ac:dyDescent="0.3">
      <c r="A57" s="2832" t="s">
        <v>2790</v>
      </c>
      <c r="B57" s="2833">
        <v>19219.20520968737</v>
      </c>
      <c r="C57" s="2833">
        <v>29854.161398369997</v>
      </c>
      <c r="D57" s="2833">
        <v>49073.366608057375</v>
      </c>
      <c r="F57" s="691"/>
      <c r="G57" s="691"/>
      <c r="H57" s="691"/>
      <c r="I57" s="691"/>
      <c r="J57" s="2831"/>
      <c r="K57" s="2831"/>
      <c r="L57" s="2831"/>
    </row>
    <row r="58" spans="1:1954" ht="16.5" x14ac:dyDescent="0.3">
      <c r="A58" s="2834" t="s">
        <v>2791</v>
      </c>
      <c r="B58" s="2835">
        <v>18672.241841112078</v>
      </c>
      <c r="C58" s="2835">
        <v>29844.361778639999</v>
      </c>
      <c r="D58" s="2835">
        <v>48516.603619752073</v>
      </c>
      <c r="F58" s="691"/>
      <c r="G58" s="691"/>
      <c r="H58" s="691"/>
      <c r="I58" s="691"/>
      <c r="J58" s="2831"/>
      <c r="K58" s="2831"/>
      <c r="L58" s="2831"/>
    </row>
    <row r="59" spans="1:1954" ht="16.5" x14ac:dyDescent="0.3">
      <c r="A59" s="2836" t="s">
        <v>2792</v>
      </c>
      <c r="B59" s="2837">
        <v>15347.847324183922</v>
      </c>
      <c r="C59" s="2837">
        <v>26791.892057289999</v>
      </c>
      <c r="D59" s="2837">
        <v>42139.739381473926</v>
      </c>
      <c r="F59" s="691"/>
      <c r="G59" s="691"/>
      <c r="H59" s="691"/>
      <c r="I59" s="691"/>
      <c r="J59" s="2831"/>
      <c r="K59" s="2831"/>
      <c r="L59" s="2831"/>
    </row>
    <row r="60" spans="1:1954" ht="16.5" x14ac:dyDescent="0.3">
      <c r="A60" s="2836" t="s">
        <v>2793</v>
      </c>
      <c r="B60" s="2837">
        <v>2843.7313685599997</v>
      </c>
      <c r="C60" s="2837">
        <v>2835.3062875799997</v>
      </c>
      <c r="D60" s="2837">
        <v>5679.0376561399989</v>
      </c>
      <c r="E60" s="2841"/>
      <c r="F60" s="2842"/>
      <c r="G60" s="691"/>
      <c r="H60" s="691"/>
      <c r="I60" s="691"/>
      <c r="J60" s="2831"/>
      <c r="K60" s="2831"/>
      <c r="L60" s="2831"/>
      <c r="M60" s="2841"/>
      <c r="N60" s="2841"/>
      <c r="O60" s="2841"/>
      <c r="P60" s="2841"/>
      <c r="Q60" s="2841"/>
      <c r="R60" s="2841"/>
      <c r="S60" s="2841"/>
      <c r="T60" s="2841"/>
      <c r="U60" s="2841"/>
      <c r="V60" s="2841"/>
      <c r="W60" s="2841"/>
      <c r="X60" s="2841"/>
      <c r="Y60" s="2841"/>
      <c r="Z60" s="2841"/>
      <c r="AA60" s="2841"/>
      <c r="AB60" s="2841"/>
      <c r="AC60" s="2841"/>
      <c r="AD60" s="2841"/>
      <c r="AE60" s="2841"/>
      <c r="AF60" s="2841"/>
      <c r="AG60" s="2841"/>
      <c r="AH60" s="2841"/>
      <c r="AI60" s="2841"/>
      <c r="AJ60" s="2841"/>
      <c r="AK60" s="2841"/>
      <c r="AL60" s="2841"/>
      <c r="AM60" s="2841"/>
      <c r="AN60" s="2841"/>
      <c r="AO60" s="2841"/>
      <c r="AP60" s="2841"/>
      <c r="AQ60" s="2841"/>
      <c r="AR60" s="2841"/>
      <c r="AS60" s="2841"/>
      <c r="AT60" s="2841"/>
      <c r="AU60" s="2841"/>
      <c r="AV60" s="2841"/>
      <c r="AW60" s="2841"/>
      <c r="AX60" s="2841"/>
      <c r="AY60" s="2841"/>
      <c r="AZ60" s="2841"/>
      <c r="BA60" s="2841"/>
      <c r="BB60" s="2841"/>
      <c r="BC60" s="2841"/>
      <c r="BD60" s="2841"/>
      <c r="BE60" s="2841"/>
      <c r="BF60" s="2841"/>
      <c r="BG60" s="2841"/>
      <c r="BH60" s="2841"/>
      <c r="BI60" s="2841"/>
      <c r="BJ60" s="2841"/>
      <c r="BK60" s="2841"/>
      <c r="BL60" s="2841"/>
      <c r="BM60" s="2841"/>
      <c r="BN60" s="2841"/>
      <c r="BO60" s="2841"/>
      <c r="BP60" s="2841"/>
      <c r="BQ60" s="2841"/>
      <c r="BR60" s="2841"/>
      <c r="BS60" s="2841"/>
      <c r="BT60" s="2841"/>
      <c r="BU60" s="2841"/>
      <c r="BV60" s="2841"/>
      <c r="BW60" s="2841"/>
      <c r="BX60" s="2841"/>
      <c r="BY60" s="2841"/>
      <c r="BZ60" s="2841"/>
      <c r="CA60" s="2841"/>
      <c r="CB60" s="2841"/>
      <c r="CC60" s="2841"/>
      <c r="CD60" s="2841"/>
      <c r="CE60" s="2841"/>
      <c r="CF60" s="2841"/>
      <c r="CG60" s="2841"/>
      <c r="CH60" s="2841"/>
      <c r="CI60" s="2841"/>
      <c r="CJ60" s="2841"/>
      <c r="CK60" s="2841"/>
      <c r="CL60" s="2841"/>
      <c r="CM60" s="2841"/>
      <c r="CN60" s="2841"/>
      <c r="CO60" s="2841"/>
      <c r="CP60" s="2841"/>
      <c r="CQ60" s="2841"/>
      <c r="CR60" s="2841"/>
      <c r="CS60" s="2841"/>
      <c r="CT60" s="2841"/>
      <c r="CU60" s="2841"/>
      <c r="CV60" s="2841"/>
      <c r="CW60" s="2841"/>
      <c r="CX60" s="2841"/>
      <c r="CY60" s="2841"/>
      <c r="CZ60" s="2841"/>
      <c r="DA60" s="2841"/>
      <c r="DB60" s="2841"/>
      <c r="DC60" s="2841"/>
      <c r="DD60" s="2841"/>
      <c r="DE60" s="2841"/>
      <c r="DF60" s="2841"/>
      <c r="DG60" s="2841"/>
      <c r="DH60" s="2841"/>
      <c r="DI60" s="2841"/>
      <c r="DJ60" s="2841"/>
      <c r="DK60" s="2841"/>
      <c r="DL60" s="2841"/>
      <c r="DM60" s="2841"/>
      <c r="DN60" s="2841"/>
      <c r="DO60" s="2841"/>
      <c r="DP60" s="2841"/>
      <c r="DQ60" s="2841"/>
      <c r="DR60" s="2841"/>
      <c r="DS60" s="2841"/>
      <c r="DT60" s="2841"/>
      <c r="DU60" s="2841"/>
      <c r="DV60" s="2841"/>
      <c r="DW60" s="2841"/>
      <c r="DX60" s="2841"/>
      <c r="DY60" s="2841"/>
      <c r="DZ60" s="2841"/>
      <c r="EA60" s="2841"/>
      <c r="EB60" s="2841"/>
      <c r="EC60" s="2841"/>
      <c r="ED60" s="2841"/>
      <c r="EE60" s="2841"/>
      <c r="EF60" s="2841"/>
      <c r="EG60" s="2841"/>
      <c r="EH60" s="2841"/>
      <c r="EI60" s="2841"/>
      <c r="EJ60" s="2841"/>
      <c r="EK60" s="2841"/>
      <c r="EL60" s="2841"/>
      <c r="EM60" s="2841"/>
      <c r="EN60" s="2841"/>
      <c r="EO60" s="2841"/>
      <c r="EP60" s="2841"/>
      <c r="EQ60" s="2841"/>
      <c r="ER60" s="2841"/>
      <c r="ES60" s="2841"/>
      <c r="ET60" s="2841"/>
      <c r="EU60" s="2841"/>
      <c r="EV60" s="2841"/>
      <c r="EW60" s="2841"/>
      <c r="EX60" s="2841"/>
      <c r="EY60" s="2841"/>
      <c r="EZ60" s="2841"/>
      <c r="FA60" s="2841"/>
      <c r="FB60" s="2841"/>
      <c r="FC60" s="2841"/>
      <c r="FD60" s="2841"/>
      <c r="FE60" s="2841"/>
      <c r="FF60" s="2841"/>
      <c r="FG60" s="2841"/>
      <c r="FH60" s="2841"/>
      <c r="FI60" s="2841"/>
      <c r="FJ60" s="2841"/>
      <c r="FK60" s="2841"/>
      <c r="FL60" s="2841"/>
      <c r="FM60" s="2841"/>
      <c r="FN60" s="2841"/>
      <c r="FO60" s="2841"/>
      <c r="FP60" s="2841"/>
      <c r="FQ60" s="2841"/>
      <c r="FR60" s="2841"/>
      <c r="FS60" s="2841"/>
      <c r="FT60" s="2841"/>
      <c r="FU60" s="2841"/>
      <c r="FV60" s="2841"/>
      <c r="FW60" s="2841"/>
      <c r="FX60" s="2841"/>
      <c r="FY60" s="2841"/>
      <c r="FZ60" s="2841"/>
      <c r="GA60" s="2841"/>
      <c r="GB60" s="2841"/>
      <c r="GC60" s="2841"/>
      <c r="GD60" s="2841"/>
      <c r="GE60" s="2841"/>
      <c r="GF60" s="2841"/>
      <c r="GG60" s="2841"/>
      <c r="GH60" s="2841"/>
      <c r="GI60" s="2841"/>
      <c r="GJ60" s="2841"/>
      <c r="GK60" s="2841"/>
      <c r="GL60" s="2841"/>
      <c r="GM60" s="2841"/>
      <c r="GN60" s="2841"/>
      <c r="GO60" s="2841"/>
      <c r="GP60" s="2841"/>
      <c r="GQ60" s="2841"/>
      <c r="GR60" s="2841"/>
      <c r="GS60" s="2841"/>
      <c r="GT60" s="2841"/>
      <c r="GU60" s="2841"/>
      <c r="GV60" s="2841"/>
      <c r="GW60" s="2841"/>
      <c r="GX60" s="2841"/>
      <c r="GY60" s="2841"/>
      <c r="GZ60" s="2841"/>
      <c r="HA60" s="2841"/>
      <c r="HB60" s="2841"/>
      <c r="HC60" s="2841"/>
      <c r="HD60" s="2841"/>
      <c r="HE60" s="2841"/>
      <c r="HF60" s="2841"/>
      <c r="HG60" s="2841"/>
      <c r="HH60" s="2841"/>
      <c r="HI60" s="2841"/>
      <c r="HJ60" s="2841"/>
      <c r="HK60" s="2841"/>
      <c r="HL60" s="2841"/>
      <c r="HM60" s="2841"/>
      <c r="HN60" s="2841"/>
      <c r="HO60" s="2841"/>
      <c r="HP60" s="2841"/>
      <c r="HQ60" s="2841"/>
      <c r="HR60" s="2841"/>
      <c r="HS60" s="2841"/>
      <c r="HT60" s="2841"/>
      <c r="HU60" s="2841"/>
      <c r="HV60" s="2841"/>
      <c r="HW60" s="2841"/>
      <c r="HX60" s="2841"/>
      <c r="HY60" s="2841"/>
      <c r="HZ60" s="2841"/>
      <c r="IA60" s="2841"/>
      <c r="IB60" s="2841"/>
      <c r="IC60" s="2841"/>
      <c r="ID60" s="2841"/>
      <c r="IE60" s="2841"/>
      <c r="IF60" s="2841"/>
      <c r="IG60" s="2841"/>
      <c r="IH60" s="2841"/>
      <c r="II60" s="2841"/>
      <c r="IJ60" s="2841"/>
      <c r="IK60" s="2841"/>
      <c r="IL60" s="2841"/>
      <c r="IM60" s="2841"/>
      <c r="IN60" s="2841"/>
      <c r="IO60" s="2841"/>
      <c r="IP60" s="2841"/>
      <c r="IQ60" s="2841"/>
      <c r="IR60" s="2841"/>
      <c r="IS60" s="2841"/>
      <c r="IT60" s="2841"/>
      <c r="IU60" s="2841"/>
      <c r="IV60" s="2841"/>
      <c r="IW60" s="2841"/>
      <c r="IX60" s="2841"/>
      <c r="IY60" s="2841"/>
      <c r="IZ60" s="2841"/>
      <c r="JA60" s="2841"/>
      <c r="JB60" s="2841"/>
      <c r="JC60" s="2841"/>
      <c r="JD60" s="2841"/>
      <c r="JE60" s="2841"/>
      <c r="JF60" s="2841"/>
      <c r="JG60" s="2841"/>
      <c r="JH60" s="2841"/>
      <c r="JI60" s="2841"/>
      <c r="JJ60" s="2841"/>
      <c r="JK60" s="2841"/>
      <c r="JL60" s="2841"/>
      <c r="JM60" s="2841"/>
      <c r="JN60" s="2841"/>
      <c r="JO60" s="2841"/>
      <c r="JP60" s="2841"/>
      <c r="JQ60" s="2841"/>
      <c r="JR60" s="2841"/>
      <c r="JS60" s="2841"/>
      <c r="JT60" s="2841"/>
      <c r="JU60" s="2841"/>
      <c r="JV60" s="2841"/>
      <c r="JW60" s="2841"/>
      <c r="JX60" s="2841"/>
      <c r="JY60" s="2841"/>
      <c r="JZ60" s="2841"/>
      <c r="KA60" s="2841"/>
      <c r="KB60" s="2841"/>
      <c r="KC60" s="2841"/>
      <c r="KD60" s="2841"/>
      <c r="KE60" s="2841"/>
      <c r="KF60" s="2841"/>
      <c r="KG60" s="2841"/>
      <c r="KH60" s="2841"/>
      <c r="KI60" s="2841"/>
      <c r="KJ60" s="2841"/>
      <c r="KK60" s="2841"/>
      <c r="KL60" s="2841"/>
      <c r="KM60" s="2841"/>
      <c r="KN60" s="2841"/>
      <c r="KO60" s="2841"/>
      <c r="KP60" s="2841"/>
      <c r="KQ60" s="2841"/>
      <c r="KR60" s="2841"/>
      <c r="KS60" s="2841"/>
      <c r="KT60" s="2841"/>
      <c r="KU60" s="2841"/>
      <c r="KV60" s="2841"/>
      <c r="KW60" s="2841"/>
      <c r="KX60" s="2841"/>
      <c r="KY60" s="2841"/>
      <c r="KZ60" s="2841"/>
      <c r="LA60" s="2841"/>
      <c r="LB60" s="2841"/>
      <c r="LC60" s="2841"/>
      <c r="LD60" s="2841"/>
      <c r="LE60" s="2841"/>
      <c r="LF60" s="2841"/>
      <c r="LG60" s="2841"/>
      <c r="LH60" s="2841"/>
      <c r="LI60" s="2841"/>
      <c r="LJ60" s="2841"/>
      <c r="LK60" s="2841"/>
      <c r="LL60" s="2841"/>
      <c r="LM60" s="2841"/>
      <c r="LN60" s="2841"/>
      <c r="LO60" s="2841"/>
      <c r="LP60" s="2841"/>
      <c r="LQ60" s="2841"/>
      <c r="LR60" s="2841"/>
      <c r="LS60" s="2841"/>
      <c r="LT60" s="2841"/>
      <c r="LU60" s="2841"/>
      <c r="LV60" s="2841"/>
      <c r="LW60" s="2841"/>
      <c r="LX60" s="2841"/>
      <c r="LY60" s="2841"/>
      <c r="LZ60" s="2841"/>
      <c r="MA60" s="2841"/>
      <c r="MB60" s="2841"/>
      <c r="MC60" s="2841"/>
      <c r="MD60" s="2841"/>
      <c r="ME60" s="2841"/>
      <c r="MF60" s="2841"/>
      <c r="MG60" s="2841"/>
      <c r="MH60" s="2841"/>
      <c r="MI60" s="2841"/>
      <c r="MJ60" s="2841"/>
      <c r="MK60" s="2841"/>
      <c r="ML60" s="2841"/>
      <c r="MM60" s="2841"/>
      <c r="MN60" s="2841"/>
      <c r="MO60" s="2841"/>
      <c r="MP60" s="2841"/>
      <c r="MQ60" s="2841"/>
      <c r="MR60" s="2841"/>
      <c r="MS60" s="2841"/>
      <c r="MT60" s="2841"/>
      <c r="MU60" s="2841"/>
      <c r="MV60" s="2841"/>
      <c r="MW60" s="2841"/>
      <c r="MX60" s="2841"/>
      <c r="MY60" s="2841"/>
      <c r="MZ60" s="2841"/>
      <c r="NA60" s="2841"/>
      <c r="NB60" s="2841"/>
      <c r="NC60" s="2841"/>
      <c r="ND60" s="2841"/>
      <c r="NE60" s="2841"/>
      <c r="NF60" s="2841"/>
      <c r="NG60" s="2841"/>
      <c r="NH60" s="2841"/>
      <c r="NI60" s="2841"/>
      <c r="NJ60" s="2841"/>
      <c r="NK60" s="2841"/>
      <c r="NL60" s="2841"/>
      <c r="NM60" s="2841"/>
      <c r="NN60" s="2841"/>
      <c r="NO60" s="2841"/>
      <c r="NP60" s="2841"/>
      <c r="NQ60" s="2841"/>
      <c r="NR60" s="2841"/>
      <c r="NS60" s="2841"/>
      <c r="NT60" s="2841"/>
      <c r="NU60" s="2841"/>
      <c r="NV60" s="2841"/>
      <c r="NW60" s="2841"/>
      <c r="NX60" s="2841"/>
      <c r="NY60" s="2841"/>
      <c r="NZ60" s="2841"/>
      <c r="OA60" s="2841"/>
      <c r="OB60" s="2841"/>
      <c r="OC60" s="2841"/>
      <c r="OD60" s="2841"/>
      <c r="OE60" s="2841"/>
      <c r="OF60" s="2841"/>
      <c r="OG60" s="2841"/>
      <c r="OH60" s="2841"/>
      <c r="OI60" s="2841"/>
      <c r="OJ60" s="2841"/>
      <c r="OK60" s="2841"/>
      <c r="OL60" s="2841"/>
      <c r="OM60" s="2841"/>
      <c r="ON60" s="2841"/>
      <c r="OO60" s="2841"/>
      <c r="OP60" s="2841"/>
      <c r="OQ60" s="2841"/>
      <c r="OR60" s="2841"/>
      <c r="OS60" s="2841"/>
      <c r="OT60" s="2841"/>
      <c r="OU60" s="2841"/>
      <c r="OV60" s="2841"/>
      <c r="OW60" s="2841"/>
      <c r="OX60" s="2841"/>
      <c r="OY60" s="2841"/>
      <c r="OZ60" s="2841"/>
      <c r="PA60" s="2841"/>
      <c r="PB60" s="2841"/>
      <c r="PC60" s="2841"/>
      <c r="PD60" s="2841"/>
      <c r="PE60" s="2841"/>
      <c r="PF60" s="2841"/>
      <c r="PG60" s="2841"/>
      <c r="PH60" s="2841"/>
      <c r="PI60" s="2841"/>
      <c r="PJ60" s="2841"/>
      <c r="PK60" s="2841"/>
      <c r="PL60" s="2841"/>
      <c r="PM60" s="2841"/>
      <c r="PN60" s="2841"/>
      <c r="PO60" s="2841"/>
      <c r="PP60" s="2841"/>
      <c r="PQ60" s="2841"/>
      <c r="PR60" s="2841"/>
      <c r="PS60" s="2841"/>
      <c r="PT60" s="2841"/>
      <c r="PU60" s="2841"/>
      <c r="PV60" s="2841"/>
      <c r="PW60" s="2841"/>
      <c r="PX60" s="2841"/>
      <c r="PY60" s="2841"/>
      <c r="PZ60" s="2841"/>
      <c r="QA60" s="2841"/>
      <c r="QB60" s="2841"/>
      <c r="QC60" s="2841"/>
      <c r="QD60" s="2841"/>
      <c r="QE60" s="2841"/>
      <c r="QF60" s="2841"/>
      <c r="QG60" s="2841"/>
      <c r="QH60" s="2841"/>
      <c r="QI60" s="2841"/>
      <c r="QJ60" s="2841"/>
      <c r="QK60" s="2841"/>
      <c r="QL60" s="2841"/>
      <c r="QM60" s="2841"/>
      <c r="QN60" s="2841"/>
      <c r="QO60" s="2841"/>
      <c r="QP60" s="2841"/>
      <c r="QQ60" s="2841"/>
      <c r="QR60" s="2841"/>
      <c r="QS60" s="2841"/>
      <c r="QT60" s="2841"/>
      <c r="QU60" s="2841"/>
      <c r="QV60" s="2841"/>
      <c r="QW60" s="2841"/>
      <c r="QX60" s="2841"/>
      <c r="QY60" s="2841"/>
      <c r="QZ60" s="2841"/>
      <c r="RA60" s="2841"/>
      <c r="RB60" s="2841"/>
      <c r="RC60" s="2841"/>
      <c r="RD60" s="2841"/>
      <c r="RE60" s="2841"/>
      <c r="RF60" s="2841"/>
      <c r="RG60" s="2841"/>
      <c r="RH60" s="2841"/>
      <c r="RI60" s="2841"/>
      <c r="RJ60" s="2841"/>
      <c r="RK60" s="2841"/>
      <c r="RL60" s="2841"/>
      <c r="RM60" s="2841"/>
      <c r="RN60" s="2841"/>
      <c r="RO60" s="2841"/>
      <c r="RP60" s="2841"/>
      <c r="RQ60" s="2841"/>
      <c r="RR60" s="2841"/>
      <c r="RS60" s="2841"/>
      <c r="RT60" s="2841"/>
      <c r="RU60" s="2841"/>
      <c r="RV60" s="2841"/>
      <c r="RW60" s="2841"/>
      <c r="RX60" s="2841"/>
      <c r="RY60" s="2841"/>
      <c r="RZ60" s="2841"/>
      <c r="SA60" s="2841"/>
      <c r="SB60" s="2841"/>
      <c r="SC60" s="2841"/>
      <c r="SD60" s="2841"/>
      <c r="SE60" s="2841"/>
      <c r="SF60" s="2841"/>
      <c r="SG60" s="2841"/>
      <c r="SH60" s="2841"/>
      <c r="SI60" s="2841"/>
      <c r="SJ60" s="2841"/>
      <c r="SK60" s="2841"/>
      <c r="SL60" s="2841"/>
      <c r="SM60" s="2841"/>
      <c r="SN60" s="2841"/>
      <c r="SO60" s="2841"/>
      <c r="SP60" s="2841"/>
      <c r="SQ60" s="2841"/>
      <c r="SR60" s="2841"/>
      <c r="SS60" s="2841"/>
      <c r="ST60" s="2841"/>
      <c r="SU60" s="2841"/>
      <c r="SV60" s="2841"/>
      <c r="SW60" s="2841"/>
      <c r="SX60" s="2841"/>
      <c r="SY60" s="2841"/>
      <c r="SZ60" s="2841"/>
      <c r="TA60" s="2841"/>
      <c r="TB60" s="2841"/>
      <c r="TC60" s="2841"/>
      <c r="TD60" s="2841"/>
      <c r="TE60" s="2841"/>
      <c r="TF60" s="2841"/>
      <c r="TG60" s="2841"/>
      <c r="TH60" s="2841"/>
      <c r="TI60" s="2841"/>
      <c r="TJ60" s="2841"/>
      <c r="TK60" s="2841"/>
      <c r="TL60" s="2841"/>
      <c r="TM60" s="2841"/>
      <c r="TN60" s="2841"/>
      <c r="TO60" s="2841"/>
      <c r="TP60" s="2841"/>
      <c r="TQ60" s="2841"/>
      <c r="TR60" s="2841"/>
      <c r="TS60" s="2841"/>
      <c r="TT60" s="2841"/>
      <c r="TU60" s="2841"/>
      <c r="TV60" s="2841"/>
      <c r="TW60" s="2841"/>
      <c r="TX60" s="2841"/>
      <c r="TY60" s="2841"/>
      <c r="TZ60" s="2841"/>
      <c r="UA60" s="2841"/>
      <c r="UB60" s="2841"/>
      <c r="UC60" s="2841"/>
      <c r="UD60" s="2841"/>
      <c r="UE60" s="2841"/>
      <c r="UF60" s="2841"/>
      <c r="UG60" s="2841"/>
      <c r="UH60" s="2841"/>
      <c r="UI60" s="2841"/>
      <c r="UJ60" s="2841"/>
      <c r="UK60" s="2841"/>
      <c r="UL60" s="2841"/>
      <c r="UM60" s="2841"/>
      <c r="UN60" s="2841"/>
      <c r="UO60" s="2841"/>
      <c r="UP60" s="2841"/>
      <c r="UQ60" s="2841"/>
      <c r="UR60" s="2841"/>
      <c r="US60" s="2841"/>
      <c r="UT60" s="2841"/>
      <c r="UU60" s="2841"/>
      <c r="UV60" s="2841"/>
      <c r="UW60" s="2841"/>
      <c r="UX60" s="2841"/>
      <c r="UY60" s="2841"/>
      <c r="UZ60" s="2841"/>
      <c r="VA60" s="2841"/>
      <c r="VB60" s="2841"/>
      <c r="VC60" s="2841"/>
      <c r="VD60" s="2841"/>
      <c r="VE60" s="2841"/>
      <c r="VF60" s="2841"/>
      <c r="VG60" s="2841"/>
      <c r="VH60" s="2841"/>
      <c r="VI60" s="2841"/>
      <c r="VJ60" s="2841"/>
      <c r="VK60" s="2841"/>
      <c r="VL60" s="2841"/>
      <c r="VM60" s="2841"/>
      <c r="VN60" s="2841"/>
      <c r="VO60" s="2841"/>
      <c r="VP60" s="2841"/>
      <c r="VQ60" s="2841"/>
      <c r="VR60" s="2841"/>
      <c r="VS60" s="2841"/>
      <c r="VT60" s="2841"/>
      <c r="VU60" s="2841"/>
      <c r="VV60" s="2841"/>
      <c r="VW60" s="2841"/>
      <c r="VX60" s="2841"/>
      <c r="VY60" s="2841"/>
      <c r="VZ60" s="2841"/>
      <c r="WA60" s="2841"/>
      <c r="WB60" s="2841"/>
      <c r="WC60" s="2841"/>
      <c r="WD60" s="2841"/>
      <c r="WE60" s="2841"/>
      <c r="WF60" s="2841"/>
      <c r="WG60" s="2841"/>
      <c r="WH60" s="2841"/>
      <c r="WI60" s="2841"/>
      <c r="WJ60" s="2841"/>
      <c r="WK60" s="2841"/>
      <c r="WL60" s="2841"/>
      <c r="WM60" s="2841"/>
      <c r="WN60" s="2841"/>
      <c r="WO60" s="2841"/>
      <c r="WP60" s="2841"/>
      <c r="WQ60" s="2841"/>
      <c r="WR60" s="2841"/>
      <c r="WS60" s="2841"/>
      <c r="WT60" s="2841"/>
      <c r="WU60" s="2841"/>
      <c r="WV60" s="2841"/>
      <c r="WW60" s="2841"/>
      <c r="WX60" s="2841"/>
      <c r="WY60" s="2841"/>
      <c r="WZ60" s="2841"/>
      <c r="XA60" s="2841"/>
      <c r="XB60" s="2841"/>
      <c r="XC60" s="2841"/>
      <c r="XD60" s="2841"/>
      <c r="XE60" s="2841"/>
      <c r="XF60" s="2841"/>
      <c r="XG60" s="2841"/>
      <c r="XH60" s="2841"/>
      <c r="XI60" s="2841"/>
      <c r="XJ60" s="2841"/>
      <c r="XK60" s="2841"/>
      <c r="XL60" s="2841"/>
      <c r="XM60" s="2841"/>
      <c r="XN60" s="2841"/>
      <c r="XO60" s="2841"/>
      <c r="XP60" s="2841"/>
      <c r="XQ60" s="2841"/>
      <c r="XR60" s="2841"/>
      <c r="XS60" s="2841"/>
      <c r="XT60" s="2841"/>
      <c r="XU60" s="2841"/>
      <c r="XV60" s="2841"/>
      <c r="XW60" s="2841"/>
      <c r="XX60" s="2841"/>
      <c r="XY60" s="2841"/>
      <c r="XZ60" s="2841"/>
      <c r="YA60" s="2841"/>
      <c r="YB60" s="2841"/>
      <c r="YC60" s="2841"/>
      <c r="YD60" s="2841"/>
      <c r="YE60" s="2841"/>
      <c r="YF60" s="2841"/>
      <c r="YG60" s="2841"/>
      <c r="YH60" s="2841"/>
      <c r="YI60" s="2841"/>
      <c r="YJ60" s="2841"/>
      <c r="YK60" s="2841"/>
      <c r="YL60" s="2841"/>
      <c r="YM60" s="2841"/>
      <c r="YN60" s="2841"/>
      <c r="YO60" s="2841"/>
      <c r="YP60" s="2841"/>
      <c r="YQ60" s="2841"/>
      <c r="YR60" s="2841"/>
      <c r="YS60" s="2841"/>
      <c r="YT60" s="2841"/>
      <c r="YU60" s="2841"/>
      <c r="YV60" s="2841"/>
      <c r="YW60" s="2841"/>
      <c r="YX60" s="2841"/>
      <c r="YY60" s="2841"/>
      <c r="YZ60" s="2841"/>
      <c r="ZA60" s="2841"/>
      <c r="ZB60" s="2841"/>
      <c r="ZC60" s="2841"/>
      <c r="ZD60" s="2841"/>
      <c r="ZE60" s="2841"/>
      <c r="ZF60" s="2841"/>
      <c r="ZG60" s="2841"/>
      <c r="ZH60" s="2841"/>
      <c r="ZI60" s="2841"/>
      <c r="ZJ60" s="2841"/>
      <c r="ZK60" s="2841"/>
      <c r="ZL60" s="2841"/>
      <c r="ZM60" s="2841"/>
      <c r="ZN60" s="2841"/>
      <c r="ZO60" s="2841"/>
      <c r="ZP60" s="2841"/>
      <c r="ZQ60" s="2841"/>
      <c r="ZR60" s="2841"/>
      <c r="ZS60" s="2841"/>
      <c r="ZT60" s="2841"/>
      <c r="ZU60" s="2841"/>
      <c r="ZV60" s="2841"/>
      <c r="ZW60" s="2841"/>
      <c r="ZX60" s="2841"/>
      <c r="ZY60" s="2841"/>
      <c r="ZZ60" s="2841"/>
      <c r="AAA60" s="2841"/>
      <c r="AAB60" s="2841"/>
      <c r="AAC60" s="2841"/>
      <c r="AAD60" s="2841"/>
      <c r="AAE60" s="2841"/>
      <c r="AAF60" s="2841"/>
      <c r="AAG60" s="2841"/>
      <c r="AAH60" s="2841"/>
      <c r="AAI60" s="2841"/>
      <c r="AAJ60" s="2841"/>
      <c r="AAK60" s="2841"/>
      <c r="AAL60" s="2841"/>
      <c r="AAM60" s="2841"/>
      <c r="AAN60" s="2841"/>
      <c r="AAO60" s="2841"/>
      <c r="AAP60" s="2841"/>
      <c r="AAQ60" s="2841"/>
      <c r="AAR60" s="2841"/>
      <c r="AAS60" s="2841"/>
      <c r="AAT60" s="2841"/>
      <c r="AAU60" s="2841"/>
      <c r="AAV60" s="2841"/>
      <c r="AAW60" s="2841"/>
      <c r="AAX60" s="2841"/>
      <c r="AAY60" s="2841"/>
      <c r="AAZ60" s="2841"/>
      <c r="ABA60" s="2841"/>
      <c r="ABB60" s="2841"/>
      <c r="ABC60" s="2841"/>
      <c r="ABD60" s="2841"/>
      <c r="ABE60" s="2841"/>
      <c r="ABF60" s="2841"/>
      <c r="ABG60" s="2841"/>
      <c r="ABH60" s="2841"/>
      <c r="ABI60" s="2841"/>
      <c r="ABJ60" s="2841"/>
      <c r="ABK60" s="2841"/>
      <c r="ABL60" s="2841"/>
      <c r="ABM60" s="2841"/>
      <c r="ABN60" s="2841"/>
      <c r="ABO60" s="2841"/>
      <c r="ABP60" s="2841"/>
      <c r="ABQ60" s="2841"/>
      <c r="ABR60" s="2841"/>
      <c r="ABS60" s="2841"/>
      <c r="ABT60" s="2841"/>
      <c r="ABU60" s="2841"/>
      <c r="ABV60" s="2841"/>
      <c r="ABW60" s="2841"/>
      <c r="ABX60" s="2841"/>
      <c r="ABY60" s="2841"/>
      <c r="ABZ60" s="2841"/>
      <c r="ACA60" s="2841"/>
      <c r="ACB60" s="2841"/>
      <c r="ACC60" s="2841"/>
      <c r="ACD60" s="2841"/>
      <c r="ACE60" s="2841"/>
      <c r="ACF60" s="2841"/>
      <c r="ACG60" s="2841"/>
      <c r="ACH60" s="2841"/>
      <c r="ACI60" s="2841"/>
      <c r="ACJ60" s="2841"/>
      <c r="ACK60" s="2841"/>
      <c r="ACL60" s="2841"/>
      <c r="ACM60" s="2841"/>
      <c r="ACN60" s="2841"/>
      <c r="ACO60" s="2841"/>
      <c r="ACP60" s="2841"/>
      <c r="ACQ60" s="2841"/>
      <c r="ACR60" s="2841"/>
      <c r="ACS60" s="2841"/>
      <c r="ACT60" s="2841"/>
      <c r="ACU60" s="2841"/>
      <c r="ACV60" s="2841"/>
      <c r="ACW60" s="2841"/>
      <c r="ACX60" s="2841"/>
      <c r="ACY60" s="2841"/>
      <c r="ACZ60" s="2841"/>
      <c r="ADA60" s="2841"/>
      <c r="ADB60" s="2841"/>
      <c r="ADC60" s="2841"/>
      <c r="ADD60" s="2841"/>
      <c r="ADE60" s="2841"/>
      <c r="ADF60" s="2841"/>
      <c r="ADG60" s="2841"/>
      <c r="ADH60" s="2841"/>
      <c r="ADI60" s="2841"/>
      <c r="ADJ60" s="2841"/>
      <c r="ADK60" s="2841"/>
      <c r="ADL60" s="2841"/>
      <c r="ADM60" s="2841"/>
      <c r="ADN60" s="2841"/>
      <c r="ADO60" s="2841"/>
      <c r="ADP60" s="2841"/>
      <c r="ADQ60" s="2841"/>
      <c r="ADR60" s="2841"/>
      <c r="ADS60" s="2841"/>
      <c r="ADT60" s="2841"/>
      <c r="ADU60" s="2841"/>
      <c r="ADV60" s="2841"/>
      <c r="ADW60" s="2841"/>
      <c r="ADX60" s="2841"/>
      <c r="ADY60" s="2841"/>
      <c r="ADZ60" s="2841"/>
      <c r="AEA60" s="2841"/>
      <c r="AEB60" s="2841"/>
      <c r="AEC60" s="2841"/>
      <c r="AED60" s="2841"/>
      <c r="AEE60" s="2841"/>
      <c r="AEF60" s="2841"/>
      <c r="AEG60" s="2841"/>
      <c r="AEH60" s="2841"/>
      <c r="AEI60" s="2841"/>
      <c r="AEJ60" s="2841"/>
      <c r="AEK60" s="2841"/>
      <c r="AEL60" s="2841"/>
      <c r="AEM60" s="2841"/>
      <c r="AEN60" s="2841"/>
      <c r="AEO60" s="2841"/>
      <c r="AEP60" s="2841"/>
      <c r="AEQ60" s="2841"/>
      <c r="AER60" s="2841"/>
      <c r="AES60" s="2841"/>
      <c r="AET60" s="2841"/>
      <c r="AEU60" s="2841"/>
      <c r="AEV60" s="2841"/>
      <c r="AEW60" s="2841"/>
      <c r="AEX60" s="2841"/>
      <c r="AEY60" s="2841"/>
      <c r="AEZ60" s="2841"/>
      <c r="AFA60" s="2841"/>
      <c r="AFB60" s="2841"/>
      <c r="AFC60" s="2841"/>
      <c r="AFD60" s="2841"/>
      <c r="AFE60" s="2841"/>
      <c r="AFF60" s="2841"/>
      <c r="AFG60" s="2841"/>
      <c r="AFH60" s="2841"/>
      <c r="AFI60" s="2841"/>
      <c r="AFJ60" s="2841"/>
      <c r="AFK60" s="2841"/>
      <c r="AFL60" s="2841"/>
      <c r="AFM60" s="2841"/>
      <c r="AFN60" s="2841"/>
      <c r="AFO60" s="2841"/>
      <c r="AFP60" s="2841"/>
      <c r="AFQ60" s="2841"/>
      <c r="AFR60" s="2841"/>
      <c r="AFS60" s="2841"/>
      <c r="AFT60" s="2841"/>
      <c r="AFU60" s="2841"/>
      <c r="AFV60" s="2841"/>
      <c r="AFW60" s="2841"/>
      <c r="AFX60" s="2841"/>
      <c r="AFY60" s="2841"/>
      <c r="AFZ60" s="2841"/>
      <c r="AGA60" s="2841"/>
      <c r="AGB60" s="2841"/>
      <c r="AGC60" s="2841"/>
      <c r="AGD60" s="2841"/>
      <c r="AGE60" s="2841"/>
      <c r="AGF60" s="2841"/>
      <c r="AGG60" s="2841"/>
      <c r="AGH60" s="2841"/>
      <c r="AGI60" s="2841"/>
      <c r="AGJ60" s="2841"/>
      <c r="AGK60" s="2841"/>
      <c r="AGL60" s="2841"/>
      <c r="AGM60" s="2841"/>
      <c r="AGN60" s="2841"/>
      <c r="AGO60" s="2841"/>
      <c r="AGP60" s="2841"/>
      <c r="AGQ60" s="2841"/>
      <c r="AGR60" s="2841"/>
      <c r="AGS60" s="2841"/>
      <c r="AGT60" s="2841"/>
      <c r="AGU60" s="2841"/>
      <c r="AGV60" s="2841"/>
      <c r="AGW60" s="2841"/>
      <c r="AGX60" s="2841"/>
      <c r="AGY60" s="2841"/>
      <c r="AGZ60" s="2841"/>
      <c r="AHA60" s="2841"/>
      <c r="AHB60" s="2841"/>
      <c r="AHC60" s="2841"/>
      <c r="AHD60" s="2841"/>
      <c r="AHE60" s="2841"/>
      <c r="AHF60" s="2841"/>
      <c r="AHG60" s="2841"/>
      <c r="AHH60" s="2841"/>
      <c r="AHI60" s="2841"/>
      <c r="AHJ60" s="2841"/>
      <c r="AHK60" s="2841"/>
      <c r="AHL60" s="2841"/>
      <c r="AHM60" s="2841"/>
      <c r="AHN60" s="2841"/>
      <c r="AHO60" s="2841"/>
      <c r="AHP60" s="2841"/>
      <c r="AHQ60" s="2841"/>
      <c r="AHR60" s="2841"/>
      <c r="AHS60" s="2841"/>
      <c r="AHT60" s="2841"/>
      <c r="AHU60" s="2841"/>
      <c r="AHV60" s="2841"/>
      <c r="AHW60" s="2841"/>
      <c r="AHX60" s="2841"/>
      <c r="AHY60" s="2841"/>
      <c r="AHZ60" s="2841"/>
      <c r="AIA60" s="2841"/>
      <c r="AIB60" s="2841"/>
      <c r="AIC60" s="2841"/>
      <c r="AID60" s="2841"/>
      <c r="AIE60" s="2841"/>
      <c r="AIF60" s="2841"/>
      <c r="AIG60" s="2841"/>
      <c r="AIH60" s="2841"/>
      <c r="AII60" s="2841"/>
      <c r="AIJ60" s="2841"/>
      <c r="AIK60" s="2841"/>
      <c r="AIL60" s="2841"/>
      <c r="AIM60" s="2841"/>
      <c r="AIN60" s="2841"/>
      <c r="AIO60" s="2841"/>
      <c r="AIP60" s="2841"/>
      <c r="AIQ60" s="2841"/>
      <c r="AIR60" s="2841"/>
      <c r="AIS60" s="2841"/>
      <c r="AIT60" s="2841"/>
      <c r="AIU60" s="2841"/>
      <c r="AIV60" s="2841"/>
      <c r="AIW60" s="2841"/>
      <c r="AIX60" s="2841"/>
      <c r="AIY60" s="2841"/>
      <c r="AIZ60" s="2841"/>
      <c r="AJA60" s="2841"/>
      <c r="AJB60" s="2841"/>
      <c r="AJC60" s="2841"/>
      <c r="AJD60" s="2841"/>
      <c r="AJE60" s="2841"/>
      <c r="AJF60" s="2841"/>
      <c r="AJG60" s="2841"/>
      <c r="AJH60" s="2841"/>
      <c r="AJI60" s="2841"/>
      <c r="AJJ60" s="2841"/>
      <c r="AJK60" s="2841"/>
      <c r="AJL60" s="2841"/>
      <c r="AJM60" s="2841"/>
      <c r="AJN60" s="2841"/>
      <c r="AJO60" s="2841"/>
      <c r="AJP60" s="2841"/>
      <c r="AJQ60" s="2841"/>
      <c r="AJR60" s="2841"/>
      <c r="AJS60" s="2841"/>
      <c r="AJT60" s="2841"/>
      <c r="AJU60" s="2841"/>
      <c r="AJV60" s="2841"/>
      <c r="AJW60" s="2841"/>
      <c r="AJX60" s="2841"/>
      <c r="AJY60" s="2841"/>
      <c r="AJZ60" s="2841"/>
      <c r="AKA60" s="2841"/>
      <c r="AKB60" s="2841"/>
      <c r="AKC60" s="2841"/>
      <c r="AKD60" s="2841"/>
      <c r="AKE60" s="2841"/>
      <c r="AKF60" s="2841"/>
      <c r="AKG60" s="2841"/>
      <c r="AKH60" s="2841"/>
      <c r="AKI60" s="2841"/>
      <c r="AKJ60" s="2841"/>
      <c r="AKK60" s="2841"/>
      <c r="AKL60" s="2841"/>
      <c r="AKM60" s="2841"/>
      <c r="AKN60" s="2841"/>
      <c r="AKO60" s="2841"/>
      <c r="AKP60" s="2841"/>
      <c r="AKQ60" s="2841"/>
      <c r="AKR60" s="2841"/>
      <c r="AKS60" s="2841"/>
      <c r="AKT60" s="2841"/>
      <c r="AKU60" s="2841"/>
      <c r="AKV60" s="2841"/>
      <c r="AKW60" s="2841"/>
      <c r="AKX60" s="2841"/>
      <c r="AKY60" s="2841"/>
      <c r="AKZ60" s="2841"/>
      <c r="ALA60" s="2841"/>
      <c r="ALB60" s="2841"/>
      <c r="ALC60" s="2841"/>
      <c r="ALD60" s="2841"/>
      <c r="ALE60" s="2841"/>
      <c r="ALF60" s="2841"/>
      <c r="ALG60" s="2841"/>
      <c r="ALH60" s="2841"/>
      <c r="ALI60" s="2841"/>
      <c r="ALJ60" s="2841"/>
      <c r="ALK60" s="2841"/>
      <c r="ALL60" s="2841"/>
      <c r="ALM60" s="2841"/>
      <c r="ALN60" s="2841"/>
      <c r="ALO60" s="2841"/>
      <c r="ALP60" s="2841"/>
      <c r="ALQ60" s="2841"/>
      <c r="ALR60" s="2841"/>
      <c r="ALS60" s="2841"/>
      <c r="ALT60" s="2841"/>
      <c r="ALU60" s="2841"/>
      <c r="ALV60" s="2841"/>
      <c r="ALW60" s="2841"/>
      <c r="ALX60" s="2841"/>
      <c r="ALY60" s="2841"/>
      <c r="ALZ60" s="2841"/>
      <c r="AMA60" s="2841"/>
      <c r="AMB60" s="2841"/>
      <c r="AMC60" s="2841"/>
      <c r="AMD60" s="2841"/>
      <c r="AME60" s="2841"/>
      <c r="AMF60" s="2841"/>
      <c r="AMG60" s="2841"/>
      <c r="AMH60" s="2841"/>
      <c r="AMI60" s="2841"/>
      <c r="AMJ60" s="2841"/>
      <c r="AMK60" s="2841"/>
      <c r="AML60" s="2841"/>
      <c r="AMM60" s="2841"/>
      <c r="AMN60" s="2841"/>
      <c r="AMO60" s="2841"/>
      <c r="AMP60" s="2841"/>
      <c r="AMQ60" s="2841"/>
      <c r="AMR60" s="2841"/>
      <c r="AMS60" s="2841"/>
      <c r="AMT60" s="2841"/>
      <c r="AMU60" s="2841"/>
      <c r="AMV60" s="2841"/>
      <c r="AMW60" s="2841"/>
      <c r="AMX60" s="2841"/>
      <c r="AMY60" s="2841"/>
      <c r="AMZ60" s="2841"/>
      <c r="ANA60" s="2841"/>
      <c r="ANB60" s="2841"/>
      <c r="ANC60" s="2841"/>
      <c r="AND60" s="2841"/>
      <c r="ANE60" s="2841"/>
      <c r="ANF60" s="2841"/>
      <c r="ANG60" s="2841"/>
      <c r="ANH60" s="2841"/>
      <c r="ANI60" s="2841"/>
      <c r="ANJ60" s="2841"/>
      <c r="ANK60" s="2841"/>
      <c r="ANL60" s="2841"/>
      <c r="ANM60" s="2841"/>
      <c r="ANN60" s="2841"/>
      <c r="ANO60" s="2841"/>
      <c r="ANP60" s="2841"/>
      <c r="ANQ60" s="2841"/>
      <c r="ANR60" s="2841"/>
      <c r="ANS60" s="2841"/>
      <c r="ANT60" s="2841"/>
      <c r="ANU60" s="2841"/>
      <c r="ANV60" s="2841"/>
      <c r="ANW60" s="2841"/>
      <c r="ANX60" s="2841"/>
      <c r="ANY60" s="2841"/>
      <c r="ANZ60" s="2841"/>
      <c r="AOA60" s="2841"/>
      <c r="AOB60" s="2841"/>
      <c r="AOC60" s="2841"/>
      <c r="AOD60" s="2841"/>
      <c r="AOE60" s="2841"/>
      <c r="AOF60" s="2841"/>
      <c r="AOG60" s="2841"/>
      <c r="AOH60" s="2841"/>
      <c r="AOI60" s="2841"/>
      <c r="AOJ60" s="2841"/>
      <c r="AOK60" s="2841"/>
      <c r="AOL60" s="2841"/>
      <c r="AOM60" s="2841"/>
      <c r="AON60" s="2841"/>
      <c r="AOO60" s="2841"/>
      <c r="AOP60" s="2841"/>
      <c r="AOQ60" s="2841"/>
      <c r="AOR60" s="2841"/>
      <c r="AOS60" s="2841"/>
      <c r="AOT60" s="2841"/>
      <c r="AOU60" s="2841"/>
      <c r="AOV60" s="2841"/>
      <c r="AOW60" s="2841"/>
      <c r="AOX60" s="2841"/>
      <c r="AOY60" s="2841"/>
      <c r="AOZ60" s="2841"/>
      <c r="APA60" s="2841"/>
      <c r="APB60" s="2841"/>
      <c r="APC60" s="2841"/>
      <c r="APD60" s="2841"/>
      <c r="APE60" s="2841"/>
      <c r="APF60" s="2841"/>
      <c r="APG60" s="2841"/>
      <c r="APH60" s="2841"/>
      <c r="API60" s="2841"/>
      <c r="APJ60" s="2841"/>
      <c r="APK60" s="2841"/>
      <c r="APL60" s="2841"/>
      <c r="APM60" s="2841"/>
      <c r="APN60" s="2841"/>
      <c r="APO60" s="2841"/>
      <c r="APP60" s="2841"/>
      <c r="APQ60" s="2841"/>
      <c r="APR60" s="2841"/>
      <c r="APS60" s="2841"/>
      <c r="APT60" s="2841"/>
      <c r="APU60" s="2841"/>
      <c r="APV60" s="2841"/>
      <c r="APW60" s="2841"/>
      <c r="APX60" s="2841"/>
      <c r="APY60" s="2841"/>
      <c r="APZ60" s="2841"/>
      <c r="AQA60" s="2841"/>
      <c r="AQB60" s="2841"/>
      <c r="AQC60" s="2841"/>
      <c r="AQD60" s="2841"/>
      <c r="AQE60" s="2841"/>
      <c r="AQF60" s="2841"/>
      <c r="AQG60" s="2841"/>
      <c r="AQH60" s="2841"/>
      <c r="AQI60" s="2841"/>
      <c r="AQJ60" s="2841"/>
      <c r="AQK60" s="2841"/>
      <c r="AQL60" s="2841"/>
      <c r="AQM60" s="2841"/>
      <c r="AQN60" s="2841"/>
      <c r="AQO60" s="2841"/>
      <c r="AQP60" s="2841"/>
      <c r="AQQ60" s="2841"/>
      <c r="AQR60" s="2841"/>
      <c r="AQS60" s="2841"/>
      <c r="AQT60" s="2841"/>
      <c r="AQU60" s="2841"/>
      <c r="AQV60" s="2841"/>
      <c r="AQW60" s="2841"/>
      <c r="AQX60" s="2841"/>
      <c r="AQY60" s="2841"/>
      <c r="AQZ60" s="2841"/>
      <c r="ARA60" s="2841"/>
      <c r="ARB60" s="2841"/>
      <c r="ARC60" s="2841"/>
      <c r="ARD60" s="2841"/>
      <c r="ARE60" s="2841"/>
      <c r="ARF60" s="2841"/>
      <c r="ARG60" s="2841"/>
      <c r="ARH60" s="2841"/>
      <c r="ARI60" s="2841"/>
      <c r="ARJ60" s="2841"/>
      <c r="ARK60" s="2841"/>
      <c r="ARL60" s="2841"/>
      <c r="ARM60" s="2841"/>
      <c r="ARN60" s="2841"/>
      <c r="ARO60" s="2841"/>
      <c r="ARP60" s="2841"/>
      <c r="ARQ60" s="2841"/>
      <c r="ARR60" s="2841"/>
      <c r="ARS60" s="2841"/>
      <c r="ART60" s="2841"/>
      <c r="ARU60" s="2841"/>
      <c r="ARV60" s="2841"/>
      <c r="ARW60" s="2841"/>
      <c r="ARX60" s="2841"/>
      <c r="ARY60" s="2841"/>
      <c r="ARZ60" s="2841"/>
      <c r="ASA60" s="2841"/>
      <c r="ASB60" s="2841"/>
      <c r="ASC60" s="2841"/>
      <c r="ASD60" s="2841"/>
      <c r="ASE60" s="2841"/>
      <c r="ASF60" s="2841"/>
      <c r="ASG60" s="2841"/>
      <c r="ASH60" s="2841"/>
      <c r="ASI60" s="2841"/>
      <c r="ASJ60" s="2841"/>
      <c r="ASK60" s="2841"/>
      <c r="ASL60" s="2841"/>
      <c r="ASM60" s="2841"/>
      <c r="ASN60" s="2841"/>
      <c r="ASO60" s="2841"/>
      <c r="ASP60" s="2841"/>
      <c r="ASQ60" s="2841"/>
      <c r="ASR60" s="2841"/>
      <c r="ASS60" s="2841"/>
      <c r="AST60" s="2841"/>
      <c r="ASU60" s="2841"/>
      <c r="ASV60" s="2841"/>
      <c r="ASW60" s="2841"/>
      <c r="ASX60" s="2841"/>
      <c r="ASY60" s="2841"/>
      <c r="ASZ60" s="2841"/>
      <c r="ATA60" s="2841"/>
      <c r="ATB60" s="2841"/>
      <c r="ATC60" s="2841"/>
      <c r="ATD60" s="2841"/>
      <c r="ATE60" s="2841"/>
      <c r="ATF60" s="2841"/>
      <c r="ATG60" s="2841"/>
      <c r="ATH60" s="2841"/>
      <c r="ATI60" s="2841"/>
      <c r="ATJ60" s="2841"/>
      <c r="ATK60" s="2841"/>
      <c r="ATL60" s="2841"/>
      <c r="ATM60" s="2841"/>
      <c r="ATN60" s="2841"/>
      <c r="ATO60" s="2841"/>
      <c r="ATP60" s="2841"/>
      <c r="ATQ60" s="2841"/>
      <c r="ATR60" s="2841"/>
      <c r="ATS60" s="2841"/>
      <c r="ATT60" s="2841"/>
      <c r="ATU60" s="2841"/>
      <c r="ATV60" s="2841"/>
      <c r="ATW60" s="2841"/>
      <c r="ATX60" s="2841"/>
      <c r="ATY60" s="2841"/>
      <c r="ATZ60" s="2841"/>
      <c r="AUA60" s="2841"/>
      <c r="AUB60" s="2841"/>
      <c r="AUC60" s="2841"/>
      <c r="AUD60" s="2841"/>
      <c r="AUE60" s="2841"/>
      <c r="AUF60" s="2841"/>
      <c r="AUG60" s="2841"/>
      <c r="AUH60" s="2841"/>
      <c r="AUI60" s="2841"/>
      <c r="AUJ60" s="2841"/>
      <c r="AUK60" s="2841"/>
      <c r="AUL60" s="2841"/>
      <c r="AUM60" s="2841"/>
      <c r="AUN60" s="2841"/>
      <c r="AUO60" s="2841"/>
      <c r="AUP60" s="2841"/>
      <c r="AUQ60" s="2841"/>
      <c r="AUR60" s="2841"/>
      <c r="AUS60" s="2841"/>
      <c r="AUT60" s="2841"/>
      <c r="AUU60" s="2841"/>
      <c r="AUV60" s="2841"/>
      <c r="AUW60" s="2841"/>
      <c r="AUX60" s="2841"/>
      <c r="AUY60" s="2841"/>
      <c r="AUZ60" s="2841"/>
      <c r="AVA60" s="2841"/>
      <c r="AVB60" s="2841"/>
      <c r="AVC60" s="2841"/>
      <c r="AVD60" s="2841"/>
      <c r="AVE60" s="2841"/>
      <c r="AVF60" s="2841"/>
      <c r="AVG60" s="2841"/>
      <c r="AVH60" s="2841"/>
      <c r="AVI60" s="2841"/>
      <c r="AVJ60" s="2841"/>
      <c r="AVK60" s="2841"/>
      <c r="AVL60" s="2841"/>
      <c r="AVM60" s="2841"/>
      <c r="AVN60" s="2841"/>
      <c r="AVO60" s="2841"/>
      <c r="AVP60" s="2841"/>
      <c r="AVQ60" s="2841"/>
      <c r="AVR60" s="2841"/>
      <c r="AVS60" s="2841"/>
      <c r="AVT60" s="2841"/>
      <c r="AVU60" s="2841"/>
      <c r="AVV60" s="2841"/>
      <c r="AVW60" s="2841"/>
      <c r="AVX60" s="2841"/>
      <c r="AVY60" s="2841"/>
      <c r="AVZ60" s="2841"/>
      <c r="AWA60" s="2841"/>
      <c r="AWB60" s="2841"/>
      <c r="AWC60" s="2841"/>
      <c r="AWD60" s="2841"/>
      <c r="AWE60" s="2841"/>
      <c r="AWF60" s="2841"/>
      <c r="AWG60" s="2841"/>
      <c r="AWH60" s="2841"/>
      <c r="AWI60" s="2841"/>
      <c r="AWJ60" s="2841"/>
      <c r="AWK60" s="2841"/>
      <c r="AWL60" s="2841"/>
      <c r="AWM60" s="2841"/>
      <c r="AWN60" s="2841"/>
      <c r="AWO60" s="2841"/>
      <c r="AWP60" s="2841"/>
      <c r="AWQ60" s="2841"/>
      <c r="AWR60" s="2841"/>
      <c r="AWS60" s="2841"/>
      <c r="AWT60" s="2841"/>
      <c r="AWU60" s="2841"/>
      <c r="AWV60" s="2841"/>
      <c r="AWW60" s="2841"/>
      <c r="AWX60" s="2841"/>
      <c r="AWY60" s="2841"/>
      <c r="AWZ60" s="2841"/>
      <c r="AXA60" s="2841"/>
      <c r="AXB60" s="2841"/>
      <c r="AXC60" s="2841"/>
      <c r="AXD60" s="2841"/>
      <c r="AXE60" s="2841"/>
      <c r="AXF60" s="2841"/>
      <c r="AXG60" s="2841"/>
      <c r="AXH60" s="2841"/>
      <c r="AXI60" s="2841"/>
      <c r="AXJ60" s="2841"/>
      <c r="AXK60" s="2841"/>
      <c r="AXL60" s="2841"/>
      <c r="AXM60" s="2841"/>
      <c r="AXN60" s="2841"/>
      <c r="AXO60" s="2841"/>
      <c r="AXP60" s="2841"/>
      <c r="AXQ60" s="2841"/>
      <c r="AXR60" s="2841"/>
      <c r="AXS60" s="2841"/>
      <c r="AXT60" s="2841"/>
      <c r="AXU60" s="2841"/>
      <c r="AXV60" s="2841"/>
      <c r="AXW60" s="2841"/>
      <c r="AXX60" s="2841"/>
      <c r="AXY60" s="2841"/>
      <c r="AXZ60" s="2841"/>
      <c r="AYA60" s="2841"/>
      <c r="AYB60" s="2841"/>
      <c r="AYC60" s="2841"/>
      <c r="AYD60" s="2841"/>
      <c r="AYE60" s="2841"/>
      <c r="AYF60" s="2841"/>
      <c r="AYG60" s="2841"/>
      <c r="AYH60" s="2841"/>
      <c r="AYI60" s="2841"/>
      <c r="AYJ60" s="2841"/>
      <c r="AYK60" s="2841"/>
      <c r="AYL60" s="2841"/>
      <c r="AYM60" s="2841"/>
      <c r="AYN60" s="2841"/>
      <c r="AYO60" s="2841"/>
      <c r="AYP60" s="2841"/>
      <c r="AYQ60" s="2841"/>
      <c r="AYR60" s="2841"/>
      <c r="AYS60" s="2841"/>
      <c r="AYT60" s="2841"/>
      <c r="AYU60" s="2841"/>
      <c r="AYV60" s="2841"/>
      <c r="AYW60" s="2841"/>
      <c r="AYX60" s="2841"/>
      <c r="AYY60" s="2841"/>
      <c r="AYZ60" s="2841"/>
      <c r="AZA60" s="2841"/>
      <c r="AZB60" s="2841"/>
      <c r="AZC60" s="2841"/>
      <c r="AZD60" s="2841"/>
      <c r="AZE60" s="2841"/>
      <c r="AZF60" s="2841"/>
      <c r="AZG60" s="2841"/>
      <c r="AZH60" s="2841"/>
      <c r="AZI60" s="2841"/>
      <c r="AZJ60" s="2841"/>
      <c r="AZK60" s="2841"/>
      <c r="AZL60" s="2841"/>
      <c r="AZM60" s="2841"/>
      <c r="AZN60" s="2841"/>
      <c r="AZO60" s="2841"/>
      <c r="AZP60" s="2841"/>
      <c r="AZQ60" s="2841"/>
      <c r="AZR60" s="2841"/>
      <c r="AZS60" s="2841"/>
      <c r="AZT60" s="2841"/>
      <c r="AZU60" s="2841"/>
      <c r="AZV60" s="2841"/>
      <c r="AZW60" s="2841"/>
      <c r="AZX60" s="2841"/>
      <c r="AZY60" s="2841"/>
      <c r="AZZ60" s="2841"/>
      <c r="BAA60" s="2841"/>
      <c r="BAB60" s="2841"/>
      <c r="BAC60" s="2841"/>
      <c r="BAD60" s="2841"/>
      <c r="BAE60" s="2841"/>
      <c r="BAF60" s="2841"/>
      <c r="BAG60" s="2841"/>
      <c r="BAH60" s="2841"/>
      <c r="BAI60" s="2841"/>
      <c r="BAJ60" s="2841"/>
      <c r="BAK60" s="2841"/>
      <c r="BAL60" s="2841"/>
      <c r="BAM60" s="2841"/>
      <c r="BAN60" s="2841"/>
      <c r="BAO60" s="2841"/>
      <c r="BAP60" s="2841"/>
      <c r="BAQ60" s="2841"/>
      <c r="BAR60" s="2841"/>
      <c r="BAS60" s="2841"/>
      <c r="BAT60" s="2841"/>
      <c r="BAU60" s="2841"/>
      <c r="BAV60" s="2841"/>
      <c r="BAW60" s="2841"/>
      <c r="BAX60" s="2841"/>
      <c r="BAY60" s="2841"/>
      <c r="BAZ60" s="2841"/>
      <c r="BBA60" s="2841"/>
      <c r="BBB60" s="2841"/>
      <c r="BBC60" s="2841"/>
      <c r="BBD60" s="2841"/>
      <c r="BBE60" s="2841"/>
      <c r="BBF60" s="2841"/>
      <c r="BBG60" s="2841"/>
      <c r="BBH60" s="2841"/>
      <c r="BBI60" s="2841"/>
      <c r="BBJ60" s="2841"/>
      <c r="BBK60" s="2841"/>
      <c r="BBL60" s="2841"/>
      <c r="BBM60" s="2841"/>
      <c r="BBN60" s="2841"/>
      <c r="BBO60" s="2841"/>
      <c r="BBP60" s="2841"/>
      <c r="BBQ60" s="2841"/>
      <c r="BBR60" s="2841"/>
      <c r="BBS60" s="2841"/>
      <c r="BBT60" s="2841"/>
      <c r="BBU60" s="2841"/>
      <c r="BBV60" s="2841"/>
      <c r="BBW60" s="2841"/>
      <c r="BBX60" s="2841"/>
      <c r="BBY60" s="2841"/>
      <c r="BBZ60" s="2841"/>
      <c r="BCA60" s="2841"/>
      <c r="BCB60" s="2841"/>
      <c r="BCC60" s="2841"/>
      <c r="BCD60" s="2841"/>
      <c r="BCE60" s="2841"/>
      <c r="BCF60" s="2841"/>
      <c r="BCG60" s="2841"/>
      <c r="BCH60" s="2841"/>
      <c r="BCI60" s="2841"/>
      <c r="BCJ60" s="2841"/>
      <c r="BCK60" s="2841"/>
      <c r="BCL60" s="2841"/>
      <c r="BCM60" s="2841"/>
      <c r="BCN60" s="2841"/>
      <c r="BCO60" s="2841"/>
      <c r="BCP60" s="2841"/>
      <c r="BCQ60" s="2841"/>
      <c r="BCR60" s="2841"/>
      <c r="BCS60" s="2841"/>
      <c r="BCT60" s="2841"/>
      <c r="BCU60" s="2841"/>
      <c r="BCV60" s="2841"/>
      <c r="BCW60" s="2841"/>
      <c r="BCX60" s="2841"/>
      <c r="BCY60" s="2841"/>
      <c r="BCZ60" s="2841"/>
      <c r="BDA60" s="2841"/>
      <c r="BDB60" s="2841"/>
      <c r="BDC60" s="2841"/>
      <c r="BDD60" s="2841"/>
      <c r="BDE60" s="2841"/>
      <c r="BDF60" s="2841"/>
      <c r="BDG60" s="2841"/>
      <c r="BDH60" s="2841"/>
      <c r="BDI60" s="2841"/>
      <c r="BDJ60" s="2841"/>
      <c r="BDK60" s="2841"/>
      <c r="BDL60" s="2841"/>
      <c r="BDM60" s="2841"/>
      <c r="BDN60" s="2841"/>
      <c r="BDO60" s="2841"/>
      <c r="BDP60" s="2841"/>
      <c r="BDQ60" s="2841"/>
      <c r="BDR60" s="2841"/>
      <c r="BDS60" s="2841"/>
      <c r="BDT60" s="2841"/>
      <c r="BDU60" s="2841"/>
      <c r="BDV60" s="2841"/>
      <c r="BDW60" s="2841"/>
      <c r="BDX60" s="2841"/>
      <c r="BDY60" s="2841"/>
      <c r="BDZ60" s="2841"/>
      <c r="BEA60" s="2841"/>
      <c r="BEB60" s="2841"/>
      <c r="BEC60" s="2841"/>
      <c r="BED60" s="2841"/>
      <c r="BEE60" s="2841"/>
      <c r="BEF60" s="2841"/>
      <c r="BEG60" s="2841"/>
      <c r="BEH60" s="2841"/>
      <c r="BEI60" s="2841"/>
      <c r="BEJ60" s="2841"/>
      <c r="BEK60" s="2841"/>
      <c r="BEL60" s="2841"/>
      <c r="BEM60" s="2841"/>
      <c r="BEN60" s="2841"/>
      <c r="BEO60" s="2841"/>
      <c r="BEP60" s="2841"/>
      <c r="BEQ60" s="2841"/>
      <c r="BER60" s="2841"/>
      <c r="BES60" s="2841"/>
      <c r="BET60" s="2841"/>
      <c r="BEU60" s="2841"/>
      <c r="BEV60" s="2841"/>
      <c r="BEW60" s="2841"/>
      <c r="BEX60" s="2841"/>
      <c r="BEY60" s="2841"/>
      <c r="BEZ60" s="2841"/>
      <c r="BFA60" s="2841"/>
      <c r="BFB60" s="2841"/>
      <c r="BFC60" s="2841"/>
      <c r="BFD60" s="2841"/>
      <c r="BFE60" s="2841"/>
      <c r="BFF60" s="2841"/>
      <c r="BFG60" s="2841"/>
      <c r="BFH60" s="2841"/>
      <c r="BFI60" s="2841"/>
      <c r="BFJ60" s="2841"/>
      <c r="BFK60" s="2841"/>
      <c r="BFL60" s="2841"/>
      <c r="BFM60" s="2841"/>
      <c r="BFN60" s="2841"/>
      <c r="BFO60" s="2841"/>
      <c r="BFP60" s="2841"/>
      <c r="BFQ60" s="2841"/>
      <c r="BFR60" s="2841"/>
      <c r="BFS60" s="2841"/>
      <c r="BFT60" s="2841"/>
      <c r="BFU60" s="2841"/>
      <c r="BFV60" s="2841"/>
      <c r="BFW60" s="2841"/>
      <c r="BFX60" s="2841"/>
      <c r="BFY60" s="2841"/>
      <c r="BFZ60" s="2841"/>
      <c r="BGA60" s="2841"/>
      <c r="BGB60" s="2841"/>
      <c r="BGC60" s="2841"/>
      <c r="BGD60" s="2841"/>
      <c r="BGE60" s="2841"/>
      <c r="BGF60" s="2841"/>
      <c r="BGG60" s="2841"/>
      <c r="BGH60" s="2841"/>
      <c r="BGI60" s="2841"/>
      <c r="BGJ60" s="2841"/>
      <c r="BGK60" s="2841"/>
      <c r="BGL60" s="2841"/>
      <c r="BGM60" s="2841"/>
      <c r="BGN60" s="2841"/>
      <c r="BGO60" s="2841"/>
      <c r="BGP60" s="2841"/>
      <c r="BGQ60" s="2841"/>
      <c r="BGR60" s="2841"/>
      <c r="BGS60" s="2841"/>
      <c r="BGT60" s="2841"/>
      <c r="BGU60" s="2841"/>
      <c r="BGV60" s="2841"/>
      <c r="BGW60" s="2841"/>
      <c r="BGX60" s="2841"/>
      <c r="BGY60" s="2841"/>
      <c r="BGZ60" s="2841"/>
      <c r="BHA60" s="2841"/>
      <c r="BHB60" s="2841"/>
      <c r="BHC60" s="2841"/>
      <c r="BHD60" s="2841"/>
      <c r="BHE60" s="2841"/>
      <c r="BHF60" s="2841"/>
      <c r="BHG60" s="2841"/>
      <c r="BHH60" s="2841"/>
      <c r="BHI60" s="2841"/>
      <c r="BHJ60" s="2841"/>
      <c r="BHK60" s="2841"/>
      <c r="BHL60" s="2841"/>
      <c r="BHM60" s="2841"/>
      <c r="BHN60" s="2841"/>
      <c r="BHO60" s="2841"/>
      <c r="BHP60" s="2841"/>
      <c r="BHQ60" s="2841"/>
      <c r="BHR60" s="2841"/>
      <c r="BHS60" s="2841"/>
      <c r="BHT60" s="2841"/>
      <c r="BHU60" s="2841"/>
      <c r="BHV60" s="2841"/>
      <c r="BHW60" s="2841"/>
      <c r="BHX60" s="2841"/>
      <c r="BHY60" s="2841"/>
      <c r="BHZ60" s="2841"/>
      <c r="BIA60" s="2841"/>
      <c r="BIB60" s="2841"/>
      <c r="BIC60" s="2841"/>
      <c r="BID60" s="2841"/>
      <c r="BIE60" s="2841"/>
      <c r="BIF60" s="2841"/>
      <c r="BIG60" s="2841"/>
      <c r="BIH60" s="2841"/>
      <c r="BII60" s="2841"/>
      <c r="BIJ60" s="2841"/>
      <c r="BIK60" s="2841"/>
      <c r="BIL60" s="2841"/>
      <c r="BIM60" s="2841"/>
      <c r="BIN60" s="2841"/>
      <c r="BIO60" s="2841"/>
      <c r="BIP60" s="2841"/>
      <c r="BIQ60" s="2841"/>
      <c r="BIR60" s="2841"/>
      <c r="BIS60" s="2841"/>
      <c r="BIT60" s="2841"/>
      <c r="BIU60" s="2841"/>
      <c r="BIV60" s="2841"/>
      <c r="BIW60" s="2841"/>
      <c r="BIX60" s="2841"/>
      <c r="BIY60" s="2841"/>
      <c r="BIZ60" s="2841"/>
      <c r="BJA60" s="2841"/>
      <c r="BJB60" s="2841"/>
      <c r="BJC60" s="2841"/>
      <c r="BJD60" s="2841"/>
      <c r="BJE60" s="2841"/>
      <c r="BJF60" s="2841"/>
      <c r="BJG60" s="2841"/>
      <c r="BJH60" s="2841"/>
      <c r="BJI60" s="2841"/>
      <c r="BJJ60" s="2841"/>
      <c r="BJK60" s="2841"/>
      <c r="BJL60" s="2841"/>
      <c r="BJM60" s="2841"/>
      <c r="BJN60" s="2841"/>
      <c r="BJO60" s="2841"/>
      <c r="BJP60" s="2841"/>
      <c r="BJQ60" s="2841"/>
      <c r="BJR60" s="2841"/>
      <c r="BJS60" s="2841"/>
      <c r="BJT60" s="2841"/>
      <c r="BJU60" s="2841"/>
      <c r="BJV60" s="2841"/>
      <c r="BJW60" s="2841"/>
      <c r="BJX60" s="2841"/>
      <c r="BJY60" s="2841"/>
      <c r="BJZ60" s="2841"/>
      <c r="BKA60" s="2841"/>
      <c r="BKB60" s="2841"/>
      <c r="BKC60" s="2841"/>
      <c r="BKD60" s="2841"/>
      <c r="BKE60" s="2841"/>
      <c r="BKF60" s="2841"/>
      <c r="BKG60" s="2841"/>
      <c r="BKH60" s="2841"/>
      <c r="BKI60" s="2841"/>
      <c r="BKJ60" s="2841"/>
      <c r="BKK60" s="2841"/>
      <c r="BKL60" s="2841"/>
      <c r="BKM60" s="2841"/>
      <c r="BKN60" s="2841"/>
      <c r="BKO60" s="2841"/>
      <c r="BKP60" s="2841"/>
      <c r="BKQ60" s="2841"/>
      <c r="BKR60" s="2841"/>
      <c r="BKS60" s="2841"/>
      <c r="BKT60" s="2841"/>
      <c r="BKU60" s="2841"/>
      <c r="BKV60" s="2841"/>
      <c r="BKW60" s="2841"/>
      <c r="BKX60" s="2841"/>
      <c r="BKY60" s="2841"/>
      <c r="BKZ60" s="2841"/>
      <c r="BLA60" s="2841"/>
      <c r="BLB60" s="2841"/>
      <c r="BLC60" s="2841"/>
      <c r="BLD60" s="2841"/>
      <c r="BLE60" s="2841"/>
      <c r="BLF60" s="2841"/>
      <c r="BLG60" s="2841"/>
      <c r="BLH60" s="2841"/>
      <c r="BLI60" s="2841"/>
      <c r="BLJ60" s="2841"/>
      <c r="BLK60" s="2841"/>
      <c r="BLL60" s="2841"/>
      <c r="BLM60" s="2841"/>
      <c r="BLN60" s="2841"/>
      <c r="BLO60" s="2841"/>
      <c r="BLP60" s="2841"/>
      <c r="BLQ60" s="2841"/>
      <c r="BLR60" s="2841"/>
      <c r="BLS60" s="2841"/>
      <c r="BLT60" s="2841"/>
      <c r="BLU60" s="2841"/>
      <c r="BLV60" s="2841"/>
      <c r="BLW60" s="2841"/>
      <c r="BLX60" s="2841"/>
      <c r="BLY60" s="2841"/>
      <c r="BLZ60" s="2841"/>
      <c r="BMA60" s="2841"/>
      <c r="BMB60" s="2841"/>
      <c r="BMC60" s="2841"/>
      <c r="BMD60" s="2841"/>
      <c r="BME60" s="2841"/>
      <c r="BMF60" s="2841"/>
      <c r="BMG60" s="2841"/>
      <c r="BMH60" s="2841"/>
      <c r="BMI60" s="2841"/>
      <c r="BMJ60" s="2841"/>
      <c r="BMK60" s="2841"/>
      <c r="BML60" s="2841"/>
      <c r="BMM60" s="2841"/>
      <c r="BMN60" s="2841"/>
      <c r="BMO60" s="2841"/>
      <c r="BMP60" s="2841"/>
      <c r="BMQ60" s="2841"/>
      <c r="BMR60" s="2841"/>
      <c r="BMS60" s="2841"/>
      <c r="BMT60" s="2841"/>
      <c r="BMU60" s="2841"/>
      <c r="BMV60" s="2841"/>
      <c r="BMW60" s="2841"/>
      <c r="BMX60" s="2841"/>
      <c r="BMY60" s="2841"/>
      <c r="BMZ60" s="2841"/>
      <c r="BNA60" s="2841"/>
      <c r="BNB60" s="2841"/>
      <c r="BNC60" s="2841"/>
      <c r="BND60" s="2841"/>
      <c r="BNE60" s="2841"/>
      <c r="BNF60" s="2841"/>
      <c r="BNG60" s="2841"/>
      <c r="BNH60" s="2841"/>
      <c r="BNI60" s="2841"/>
      <c r="BNJ60" s="2841"/>
      <c r="BNK60" s="2841"/>
      <c r="BNL60" s="2841"/>
      <c r="BNM60" s="2841"/>
      <c r="BNN60" s="2841"/>
      <c r="BNO60" s="2841"/>
      <c r="BNP60" s="2841"/>
      <c r="BNQ60" s="2841"/>
      <c r="BNR60" s="2841"/>
      <c r="BNS60" s="2841"/>
      <c r="BNT60" s="2841"/>
      <c r="BNU60" s="2841"/>
      <c r="BNV60" s="2841"/>
      <c r="BNW60" s="2841"/>
      <c r="BNX60" s="2841"/>
      <c r="BNY60" s="2841"/>
      <c r="BNZ60" s="2841"/>
      <c r="BOA60" s="2841"/>
      <c r="BOB60" s="2841"/>
      <c r="BOC60" s="2841"/>
      <c r="BOD60" s="2841"/>
      <c r="BOE60" s="2841"/>
      <c r="BOF60" s="2841"/>
      <c r="BOG60" s="2841"/>
      <c r="BOH60" s="2841"/>
      <c r="BOI60" s="2841"/>
      <c r="BOJ60" s="2841"/>
      <c r="BOK60" s="2841"/>
      <c r="BOL60" s="2841"/>
      <c r="BOM60" s="2841"/>
      <c r="BON60" s="2841"/>
      <c r="BOO60" s="2841"/>
      <c r="BOP60" s="2841"/>
      <c r="BOQ60" s="2841"/>
      <c r="BOR60" s="2841"/>
      <c r="BOS60" s="2841"/>
      <c r="BOT60" s="2841"/>
      <c r="BOU60" s="2841"/>
      <c r="BOV60" s="2841"/>
      <c r="BOW60" s="2841"/>
      <c r="BOX60" s="2841"/>
      <c r="BOY60" s="2841"/>
      <c r="BOZ60" s="2841"/>
      <c r="BPA60" s="2841"/>
      <c r="BPB60" s="2841"/>
      <c r="BPC60" s="2841"/>
      <c r="BPD60" s="2841"/>
      <c r="BPE60" s="2841"/>
      <c r="BPF60" s="2841"/>
      <c r="BPG60" s="2841"/>
      <c r="BPH60" s="2841"/>
      <c r="BPI60" s="2841"/>
      <c r="BPJ60" s="2841"/>
      <c r="BPK60" s="2841"/>
      <c r="BPL60" s="2841"/>
      <c r="BPM60" s="2841"/>
      <c r="BPN60" s="2841"/>
      <c r="BPO60" s="2841"/>
      <c r="BPP60" s="2841"/>
      <c r="BPQ60" s="2841"/>
      <c r="BPR60" s="2841"/>
      <c r="BPS60" s="2841"/>
      <c r="BPT60" s="2841"/>
      <c r="BPU60" s="2841"/>
      <c r="BPV60" s="2841"/>
      <c r="BPW60" s="2841"/>
      <c r="BPX60" s="2841"/>
      <c r="BPY60" s="2841"/>
      <c r="BPZ60" s="2841"/>
      <c r="BQA60" s="2841"/>
      <c r="BQB60" s="2841"/>
      <c r="BQC60" s="2841"/>
      <c r="BQD60" s="2841"/>
      <c r="BQE60" s="2841"/>
      <c r="BQF60" s="2841"/>
      <c r="BQG60" s="2841"/>
      <c r="BQH60" s="2841"/>
      <c r="BQI60" s="2841"/>
      <c r="BQJ60" s="2841"/>
      <c r="BQK60" s="2841"/>
      <c r="BQL60" s="2841"/>
      <c r="BQM60" s="2841"/>
      <c r="BQN60" s="2841"/>
      <c r="BQO60" s="2841"/>
      <c r="BQP60" s="2841"/>
      <c r="BQQ60" s="2841"/>
      <c r="BQR60" s="2841"/>
      <c r="BQS60" s="2841"/>
      <c r="BQT60" s="2841"/>
      <c r="BQU60" s="2841"/>
      <c r="BQV60" s="2841"/>
      <c r="BQW60" s="2841"/>
      <c r="BQX60" s="2841"/>
      <c r="BQY60" s="2841"/>
      <c r="BQZ60" s="2841"/>
      <c r="BRA60" s="2841"/>
      <c r="BRB60" s="2841"/>
      <c r="BRC60" s="2841"/>
      <c r="BRD60" s="2841"/>
      <c r="BRE60" s="2841"/>
      <c r="BRF60" s="2841"/>
      <c r="BRG60" s="2841"/>
      <c r="BRH60" s="2841"/>
      <c r="BRI60" s="2841"/>
      <c r="BRJ60" s="2841"/>
      <c r="BRK60" s="2841"/>
      <c r="BRL60" s="2841"/>
      <c r="BRM60" s="2841"/>
      <c r="BRN60" s="2841"/>
      <c r="BRO60" s="2841"/>
      <c r="BRP60" s="2841"/>
      <c r="BRQ60" s="2841"/>
      <c r="BRR60" s="2841"/>
      <c r="BRS60" s="2841"/>
      <c r="BRT60" s="2841"/>
      <c r="BRU60" s="2841"/>
      <c r="BRV60" s="2841"/>
      <c r="BRW60" s="2841"/>
      <c r="BRX60" s="2841"/>
      <c r="BRY60" s="2841"/>
      <c r="BRZ60" s="2841"/>
      <c r="BSA60" s="2841"/>
      <c r="BSB60" s="2841"/>
      <c r="BSC60" s="2841"/>
      <c r="BSD60" s="2841"/>
      <c r="BSE60" s="2841"/>
      <c r="BSF60" s="2841"/>
      <c r="BSG60" s="2841"/>
      <c r="BSH60" s="2841"/>
      <c r="BSI60" s="2841"/>
      <c r="BSJ60" s="2841"/>
      <c r="BSK60" s="2841"/>
      <c r="BSL60" s="2841"/>
      <c r="BSM60" s="2841"/>
      <c r="BSN60" s="2841"/>
      <c r="BSO60" s="2841"/>
      <c r="BSP60" s="2841"/>
      <c r="BSQ60" s="2841"/>
      <c r="BSR60" s="2841"/>
      <c r="BSS60" s="2841"/>
      <c r="BST60" s="2841"/>
      <c r="BSU60" s="2841"/>
      <c r="BSV60" s="2841"/>
      <c r="BSW60" s="2841"/>
      <c r="BSX60" s="2841"/>
      <c r="BSY60" s="2841"/>
      <c r="BSZ60" s="2841"/>
      <c r="BTA60" s="2841"/>
      <c r="BTB60" s="2841"/>
      <c r="BTC60" s="2841"/>
      <c r="BTD60" s="2841"/>
      <c r="BTE60" s="2841"/>
      <c r="BTF60" s="2841"/>
      <c r="BTG60" s="2841"/>
      <c r="BTH60" s="2841"/>
      <c r="BTI60" s="2841"/>
      <c r="BTJ60" s="2841"/>
      <c r="BTK60" s="2841"/>
      <c r="BTL60" s="2841"/>
      <c r="BTM60" s="2841"/>
      <c r="BTN60" s="2841"/>
      <c r="BTO60" s="2841"/>
      <c r="BTP60" s="2841"/>
      <c r="BTQ60" s="2841"/>
      <c r="BTR60" s="2841"/>
      <c r="BTS60" s="2841"/>
      <c r="BTT60" s="2841"/>
      <c r="BTU60" s="2841"/>
      <c r="BTV60" s="2841"/>
      <c r="BTW60" s="2841"/>
      <c r="BTX60" s="2841"/>
      <c r="BTY60" s="2841"/>
      <c r="BTZ60" s="2841"/>
      <c r="BUA60" s="2841"/>
      <c r="BUB60" s="2841"/>
      <c r="BUC60" s="2841"/>
      <c r="BUD60" s="2841"/>
      <c r="BUE60" s="2841"/>
      <c r="BUF60" s="2841"/>
      <c r="BUG60" s="2841"/>
      <c r="BUH60" s="2841"/>
      <c r="BUI60" s="2841"/>
      <c r="BUJ60" s="2841"/>
      <c r="BUK60" s="2841"/>
      <c r="BUL60" s="2841"/>
      <c r="BUM60" s="2841"/>
      <c r="BUN60" s="2841"/>
      <c r="BUO60" s="2841"/>
      <c r="BUP60" s="2841"/>
      <c r="BUQ60" s="2841"/>
      <c r="BUR60" s="2841"/>
      <c r="BUS60" s="2841"/>
      <c r="BUT60" s="2841"/>
      <c r="BUU60" s="2841"/>
      <c r="BUV60" s="2841"/>
      <c r="BUW60" s="2841"/>
      <c r="BUX60" s="2841"/>
      <c r="BUY60" s="2841"/>
      <c r="BUZ60" s="2841"/>
      <c r="BVA60" s="2841"/>
      <c r="BVB60" s="2841"/>
      <c r="BVC60" s="2841"/>
      <c r="BVD60" s="2841"/>
      <c r="BVE60" s="2841"/>
      <c r="BVF60" s="2841"/>
      <c r="BVG60" s="2841"/>
      <c r="BVH60" s="2841"/>
      <c r="BVI60" s="2841"/>
      <c r="BVJ60" s="2841"/>
      <c r="BVK60" s="2841"/>
      <c r="BVL60" s="2841"/>
      <c r="BVM60" s="2841"/>
      <c r="BVN60" s="2841"/>
      <c r="BVO60" s="2841"/>
      <c r="BVP60" s="2841"/>
      <c r="BVQ60" s="2841"/>
      <c r="BVR60" s="2841"/>
      <c r="BVS60" s="2841"/>
      <c r="BVT60" s="2841"/>
      <c r="BVU60" s="2841"/>
      <c r="BVV60" s="2841"/>
      <c r="BVW60" s="2841"/>
      <c r="BVX60" s="2841"/>
      <c r="BVY60" s="2841"/>
      <c r="BVZ60" s="2841"/>
      <c r="BWA60" s="2841"/>
      <c r="BWB60" s="2841"/>
      <c r="BWC60" s="2841"/>
      <c r="BWD60" s="2841"/>
    </row>
    <row r="61" spans="1:1954" ht="16.5" x14ac:dyDescent="0.3">
      <c r="A61" s="2836" t="s">
        <v>2794</v>
      </c>
      <c r="B61" s="2837">
        <v>93.151757960000012</v>
      </c>
      <c r="C61" s="2837">
        <v>4.0220986700000001</v>
      </c>
      <c r="D61" s="2837">
        <v>97.173856630000003</v>
      </c>
      <c r="E61" s="2841"/>
      <c r="F61" s="2842"/>
      <c r="G61" s="691"/>
      <c r="H61" s="691"/>
      <c r="I61" s="691"/>
      <c r="J61" s="2831"/>
      <c r="K61" s="2831"/>
      <c r="L61" s="2831"/>
      <c r="M61" s="2841"/>
      <c r="N61" s="2841"/>
      <c r="O61" s="2841"/>
      <c r="P61" s="2841"/>
      <c r="Q61" s="2841"/>
      <c r="R61" s="2841"/>
      <c r="S61" s="2841"/>
      <c r="T61" s="2841"/>
      <c r="U61" s="2841"/>
      <c r="V61" s="2841"/>
      <c r="W61" s="2841"/>
      <c r="X61" s="2841"/>
      <c r="Y61" s="2841"/>
      <c r="Z61" s="2841"/>
      <c r="AA61" s="2841"/>
      <c r="AB61" s="2841"/>
      <c r="AC61" s="2841"/>
      <c r="AD61" s="2841"/>
      <c r="AE61" s="2841"/>
      <c r="AF61" s="2841"/>
      <c r="AG61" s="2841"/>
      <c r="AH61" s="2841"/>
      <c r="AI61" s="2841"/>
      <c r="AJ61" s="2841"/>
      <c r="AK61" s="2841"/>
      <c r="AL61" s="2841"/>
      <c r="AM61" s="2841"/>
      <c r="AN61" s="2841"/>
      <c r="AO61" s="2841"/>
      <c r="AP61" s="2841"/>
      <c r="AQ61" s="2841"/>
      <c r="AR61" s="2841"/>
      <c r="AS61" s="2841"/>
      <c r="AT61" s="2841"/>
      <c r="AU61" s="2841"/>
      <c r="AV61" s="2841"/>
      <c r="AW61" s="2841"/>
      <c r="AX61" s="2841"/>
      <c r="AY61" s="2841"/>
      <c r="AZ61" s="2841"/>
      <c r="BA61" s="2841"/>
      <c r="BB61" s="2841"/>
      <c r="BC61" s="2841"/>
      <c r="BD61" s="2841"/>
      <c r="BE61" s="2841"/>
      <c r="BF61" s="2841"/>
      <c r="BG61" s="2841"/>
      <c r="BH61" s="2841"/>
      <c r="BI61" s="2841"/>
      <c r="BJ61" s="2841"/>
      <c r="BK61" s="2841"/>
      <c r="BL61" s="2841"/>
      <c r="BM61" s="2841"/>
      <c r="BN61" s="2841"/>
      <c r="BO61" s="2841"/>
      <c r="BP61" s="2841"/>
      <c r="BQ61" s="2841"/>
      <c r="BR61" s="2841"/>
      <c r="BS61" s="2841"/>
      <c r="BT61" s="2841"/>
      <c r="BU61" s="2841"/>
      <c r="BV61" s="2841"/>
      <c r="BW61" s="2841"/>
      <c r="BX61" s="2841"/>
      <c r="BY61" s="2841"/>
      <c r="BZ61" s="2841"/>
      <c r="CA61" s="2841"/>
      <c r="CB61" s="2841"/>
      <c r="CC61" s="2841"/>
      <c r="CD61" s="2841"/>
      <c r="CE61" s="2841"/>
      <c r="CF61" s="2841"/>
      <c r="CG61" s="2841"/>
      <c r="CH61" s="2841"/>
      <c r="CI61" s="2841"/>
      <c r="CJ61" s="2841"/>
      <c r="CK61" s="2841"/>
      <c r="CL61" s="2841"/>
      <c r="CM61" s="2841"/>
      <c r="CN61" s="2841"/>
      <c r="CO61" s="2841"/>
      <c r="CP61" s="2841"/>
      <c r="CQ61" s="2841"/>
      <c r="CR61" s="2841"/>
      <c r="CS61" s="2841"/>
      <c r="CT61" s="2841"/>
      <c r="CU61" s="2841"/>
      <c r="CV61" s="2841"/>
      <c r="CW61" s="2841"/>
      <c r="CX61" s="2841"/>
      <c r="CY61" s="2841"/>
      <c r="CZ61" s="2841"/>
      <c r="DA61" s="2841"/>
      <c r="DB61" s="2841"/>
      <c r="DC61" s="2841"/>
      <c r="DD61" s="2841"/>
      <c r="DE61" s="2841"/>
      <c r="DF61" s="2841"/>
      <c r="DG61" s="2841"/>
      <c r="DH61" s="2841"/>
      <c r="DI61" s="2841"/>
      <c r="DJ61" s="2841"/>
      <c r="DK61" s="2841"/>
      <c r="DL61" s="2841"/>
      <c r="DM61" s="2841"/>
      <c r="DN61" s="2841"/>
      <c r="DO61" s="2841"/>
      <c r="DP61" s="2841"/>
      <c r="DQ61" s="2841"/>
      <c r="DR61" s="2841"/>
      <c r="DS61" s="2841"/>
      <c r="DT61" s="2841"/>
      <c r="DU61" s="2841"/>
      <c r="DV61" s="2841"/>
      <c r="DW61" s="2841"/>
      <c r="DX61" s="2841"/>
      <c r="DY61" s="2841"/>
      <c r="DZ61" s="2841"/>
      <c r="EA61" s="2841"/>
      <c r="EB61" s="2841"/>
      <c r="EC61" s="2841"/>
      <c r="ED61" s="2841"/>
      <c r="EE61" s="2841"/>
      <c r="EF61" s="2841"/>
      <c r="EG61" s="2841"/>
      <c r="EH61" s="2841"/>
      <c r="EI61" s="2841"/>
      <c r="EJ61" s="2841"/>
      <c r="EK61" s="2841"/>
      <c r="EL61" s="2841"/>
      <c r="EM61" s="2841"/>
      <c r="EN61" s="2841"/>
      <c r="EO61" s="2841"/>
      <c r="EP61" s="2841"/>
      <c r="EQ61" s="2841"/>
      <c r="ER61" s="2841"/>
      <c r="ES61" s="2841"/>
      <c r="ET61" s="2841"/>
      <c r="EU61" s="2841"/>
      <c r="EV61" s="2841"/>
      <c r="EW61" s="2841"/>
      <c r="EX61" s="2841"/>
      <c r="EY61" s="2841"/>
      <c r="EZ61" s="2841"/>
      <c r="FA61" s="2841"/>
      <c r="FB61" s="2841"/>
      <c r="FC61" s="2841"/>
      <c r="FD61" s="2841"/>
      <c r="FE61" s="2841"/>
      <c r="FF61" s="2841"/>
      <c r="FG61" s="2841"/>
      <c r="FH61" s="2841"/>
      <c r="FI61" s="2841"/>
      <c r="FJ61" s="2841"/>
      <c r="FK61" s="2841"/>
      <c r="FL61" s="2841"/>
      <c r="FM61" s="2841"/>
      <c r="FN61" s="2841"/>
      <c r="FO61" s="2841"/>
      <c r="FP61" s="2841"/>
      <c r="FQ61" s="2841"/>
      <c r="FR61" s="2841"/>
      <c r="FS61" s="2841"/>
      <c r="FT61" s="2841"/>
      <c r="FU61" s="2841"/>
      <c r="FV61" s="2841"/>
      <c r="FW61" s="2841"/>
      <c r="FX61" s="2841"/>
      <c r="FY61" s="2841"/>
      <c r="FZ61" s="2841"/>
      <c r="GA61" s="2841"/>
      <c r="GB61" s="2841"/>
      <c r="GC61" s="2841"/>
      <c r="GD61" s="2841"/>
      <c r="GE61" s="2841"/>
      <c r="GF61" s="2841"/>
      <c r="GG61" s="2841"/>
      <c r="GH61" s="2841"/>
      <c r="GI61" s="2841"/>
      <c r="GJ61" s="2841"/>
      <c r="GK61" s="2841"/>
      <c r="GL61" s="2841"/>
      <c r="GM61" s="2841"/>
      <c r="GN61" s="2841"/>
      <c r="GO61" s="2841"/>
      <c r="GP61" s="2841"/>
      <c r="GQ61" s="2841"/>
      <c r="GR61" s="2841"/>
      <c r="GS61" s="2841"/>
      <c r="GT61" s="2841"/>
      <c r="GU61" s="2841"/>
      <c r="GV61" s="2841"/>
      <c r="GW61" s="2841"/>
      <c r="GX61" s="2841"/>
      <c r="GY61" s="2841"/>
      <c r="GZ61" s="2841"/>
      <c r="HA61" s="2841"/>
      <c r="HB61" s="2841"/>
      <c r="HC61" s="2841"/>
      <c r="HD61" s="2841"/>
      <c r="HE61" s="2841"/>
      <c r="HF61" s="2841"/>
      <c r="HG61" s="2841"/>
      <c r="HH61" s="2841"/>
      <c r="HI61" s="2841"/>
      <c r="HJ61" s="2841"/>
      <c r="HK61" s="2841"/>
      <c r="HL61" s="2841"/>
      <c r="HM61" s="2841"/>
      <c r="HN61" s="2841"/>
      <c r="HO61" s="2841"/>
      <c r="HP61" s="2841"/>
      <c r="HQ61" s="2841"/>
      <c r="HR61" s="2841"/>
      <c r="HS61" s="2841"/>
      <c r="HT61" s="2841"/>
      <c r="HU61" s="2841"/>
      <c r="HV61" s="2841"/>
      <c r="HW61" s="2841"/>
      <c r="HX61" s="2841"/>
      <c r="HY61" s="2841"/>
      <c r="HZ61" s="2841"/>
      <c r="IA61" s="2841"/>
      <c r="IB61" s="2841"/>
      <c r="IC61" s="2841"/>
      <c r="ID61" s="2841"/>
      <c r="IE61" s="2841"/>
      <c r="IF61" s="2841"/>
      <c r="IG61" s="2841"/>
      <c r="IH61" s="2841"/>
      <c r="II61" s="2841"/>
      <c r="IJ61" s="2841"/>
      <c r="IK61" s="2841"/>
      <c r="IL61" s="2841"/>
      <c r="IM61" s="2841"/>
      <c r="IN61" s="2841"/>
      <c r="IO61" s="2841"/>
      <c r="IP61" s="2841"/>
      <c r="IQ61" s="2841"/>
      <c r="IR61" s="2841"/>
      <c r="IS61" s="2841"/>
      <c r="IT61" s="2841"/>
      <c r="IU61" s="2841"/>
      <c r="IV61" s="2841"/>
      <c r="IW61" s="2841"/>
      <c r="IX61" s="2841"/>
      <c r="IY61" s="2841"/>
      <c r="IZ61" s="2841"/>
      <c r="JA61" s="2841"/>
      <c r="JB61" s="2841"/>
      <c r="JC61" s="2841"/>
      <c r="JD61" s="2841"/>
      <c r="JE61" s="2841"/>
      <c r="JF61" s="2841"/>
      <c r="JG61" s="2841"/>
      <c r="JH61" s="2841"/>
      <c r="JI61" s="2841"/>
      <c r="JJ61" s="2841"/>
      <c r="JK61" s="2841"/>
      <c r="JL61" s="2841"/>
      <c r="JM61" s="2841"/>
      <c r="JN61" s="2841"/>
      <c r="JO61" s="2841"/>
      <c r="JP61" s="2841"/>
      <c r="JQ61" s="2841"/>
      <c r="JR61" s="2841"/>
      <c r="JS61" s="2841"/>
      <c r="JT61" s="2841"/>
      <c r="JU61" s="2841"/>
      <c r="JV61" s="2841"/>
      <c r="JW61" s="2841"/>
      <c r="JX61" s="2841"/>
      <c r="JY61" s="2841"/>
      <c r="JZ61" s="2841"/>
      <c r="KA61" s="2841"/>
      <c r="KB61" s="2841"/>
      <c r="KC61" s="2841"/>
      <c r="KD61" s="2841"/>
      <c r="KE61" s="2841"/>
      <c r="KF61" s="2841"/>
      <c r="KG61" s="2841"/>
      <c r="KH61" s="2841"/>
      <c r="KI61" s="2841"/>
      <c r="KJ61" s="2841"/>
      <c r="KK61" s="2841"/>
      <c r="KL61" s="2841"/>
      <c r="KM61" s="2841"/>
      <c r="KN61" s="2841"/>
      <c r="KO61" s="2841"/>
      <c r="KP61" s="2841"/>
      <c r="KQ61" s="2841"/>
      <c r="KR61" s="2841"/>
      <c r="KS61" s="2841"/>
      <c r="KT61" s="2841"/>
      <c r="KU61" s="2841"/>
      <c r="KV61" s="2841"/>
      <c r="KW61" s="2841"/>
      <c r="KX61" s="2841"/>
      <c r="KY61" s="2841"/>
      <c r="KZ61" s="2841"/>
      <c r="LA61" s="2841"/>
      <c r="LB61" s="2841"/>
      <c r="LC61" s="2841"/>
      <c r="LD61" s="2841"/>
      <c r="LE61" s="2841"/>
      <c r="LF61" s="2841"/>
      <c r="LG61" s="2841"/>
      <c r="LH61" s="2841"/>
      <c r="LI61" s="2841"/>
      <c r="LJ61" s="2841"/>
      <c r="LK61" s="2841"/>
      <c r="LL61" s="2841"/>
      <c r="LM61" s="2841"/>
      <c r="LN61" s="2841"/>
      <c r="LO61" s="2841"/>
      <c r="LP61" s="2841"/>
      <c r="LQ61" s="2841"/>
      <c r="LR61" s="2841"/>
      <c r="LS61" s="2841"/>
      <c r="LT61" s="2841"/>
      <c r="LU61" s="2841"/>
      <c r="LV61" s="2841"/>
      <c r="LW61" s="2841"/>
      <c r="LX61" s="2841"/>
      <c r="LY61" s="2841"/>
      <c r="LZ61" s="2841"/>
      <c r="MA61" s="2841"/>
      <c r="MB61" s="2841"/>
      <c r="MC61" s="2841"/>
      <c r="MD61" s="2841"/>
      <c r="ME61" s="2841"/>
      <c r="MF61" s="2841"/>
      <c r="MG61" s="2841"/>
      <c r="MH61" s="2841"/>
      <c r="MI61" s="2841"/>
      <c r="MJ61" s="2841"/>
      <c r="MK61" s="2841"/>
      <c r="ML61" s="2841"/>
      <c r="MM61" s="2841"/>
      <c r="MN61" s="2841"/>
      <c r="MO61" s="2841"/>
      <c r="MP61" s="2841"/>
      <c r="MQ61" s="2841"/>
      <c r="MR61" s="2841"/>
      <c r="MS61" s="2841"/>
      <c r="MT61" s="2841"/>
      <c r="MU61" s="2841"/>
      <c r="MV61" s="2841"/>
      <c r="MW61" s="2841"/>
      <c r="MX61" s="2841"/>
      <c r="MY61" s="2841"/>
      <c r="MZ61" s="2841"/>
      <c r="NA61" s="2841"/>
      <c r="NB61" s="2841"/>
      <c r="NC61" s="2841"/>
      <c r="ND61" s="2841"/>
      <c r="NE61" s="2841"/>
      <c r="NF61" s="2841"/>
      <c r="NG61" s="2841"/>
      <c r="NH61" s="2841"/>
      <c r="NI61" s="2841"/>
      <c r="NJ61" s="2841"/>
      <c r="NK61" s="2841"/>
      <c r="NL61" s="2841"/>
      <c r="NM61" s="2841"/>
      <c r="NN61" s="2841"/>
      <c r="NO61" s="2841"/>
      <c r="NP61" s="2841"/>
      <c r="NQ61" s="2841"/>
      <c r="NR61" s="2841"/>
      <c r="NS61" s="2841"/>
      <c r="NT61" s="2841"/>
      <c r="NU61" s="2841"/>
      <c r="NV61" s="2841"/>
      <c r="NW61" s="2841"/>
      <c r="NX61" s="2841"/>
      <c r="NY61" s="2841"/>
      <c r="NZ61" s="2841"/>
      <c r="OA61" s="2841"/>
      <c r="OB61" s="2841"/>
      <c r="OC61" s="2841"/>
      <c r="OD61" s="2841"/>
      <c r="OE61" s="2841"/>
      <c r="OF61" s="2841"/>
      <c r="OG61" s="2841"/>
      <c r="OH61" s="2841"/>
      <c r="OI61" s="2841"/>
      <c r="OJ61" s="2841"/>
      <c r="OK61" s="2841"/>
      <c r="OL61" s="2841"/>
      <c r="OM61" s="2841"/>
      <c r="ON61" s="2841"/>
      <c r="OO61" s="2841"/>
      <c r="OP61" s="2841"/>
      <c r="OQ61" s="2841"/>
      <c r="OR61" s="2841"/>
      <c r="OS61" s="2841"/>
      <c r="OT61" s="2841"/>
      <c r="OU61" s="2841"/>
      <c r="OV61" s="2841"/>
      <c r="OW61" s="2841"/>
      <c r="OX61" s="2841"/>
      <c r="OY61" s="2841"/>
      <c r="OZ61" s="2841"/>
      <c r="PA61" s="2841"/>
      <c r="PB61" s="2841"/>
      <c r="PC61" s="2841"/>
      <c r="PD61" s="2841"/>
      <c r="PE61" s="2841"/>
      <c r="PF61" s="2841"/>
      <c r="PG61" s="2841"/>
      <c r="PH61" s="2841"/>
      <c r="PI61" s="2841"/>
      <c r="PJ61" s="2841"/>
      <c r="PK61" s="2841"/>
      <c r="PL61" s="2841"/>
      <c r="PM61" s="2841"/>
      <c r="PN61" s="2841"/>
      <c r="PO61" s="2841"/>
      <c r="PP61" s="2841"/>
      <c r="PQ61" s="2841"/>
      <c r="PR61" s="2841"/>
      <c r="PS61" s="2841"/>
      <c r="PT61" s="2841"/>
      <c r="PU61" s="2841"/>
      <c r="PV61" s="2841"/>
      <c r="PW61" s="2841"/>
      <c r="PX61" s="2841"/>
      <c r="PY61" s="2841"/>
      <c r="PZ61" s="2841"/>
      <c r="QA61" s="2841"/>
      <c r="QB61" s="2841"/>
      <c r="QC61" s="2841"/>
      <c r="QD61" s="2841"/>
      <c r="QE61" s="2841"/>
      <c r="QF61" s="2841"/>
      <c r="QG61" s="2841"/>
      <c r="QH61" s="2841"/>
      <c r="QI61" s="2841"/>
      <c r="QJ61" s="2841"/>
      <c r="QK61" s="2841"/>
      <c r="QL61" s="2841"/>
      <c r="QM61" s="2841"/>
      <c r="QN61" s="2841"/>
      <c r="QO61" s="2841"/>
      <c r="QP61" s="2841"/>
      <c r="QQ61" s="2841"/>
      <c r="QR61" s="2841"/>
      <c r="QS61" s="2841"/>
      <c r="QT61" s="2841"/>
      <c r="QU61" s="2841"/>
      <c r="QV61" s="2841"/>
      <c r="QW61" s="2841"/>
      <c r="QX61" s="2841"/>
      <c r="QY61" s="2841"/>
      <c r="QZ61" s="2841"/>
      <c r="RA61" s="2841"/>
      <c r="RB61" s="2841"/>
      <c r="RC61" s="2841"/>
      <c r="RD61" s="2841"/>
      <c r="RE61" s="2841"/>
      <c r="RF61" s="2841"/>
      <c r="RG61" s="2841"/>
      <c r="RH61" s="2841"/>
      <c r="RI61" s="2841"/>
      <c r="RJ61" s="2841"/>
      <c r="RK61" s="2841"/>
      <c r="RL61" s="2841"/>
      <c r="RM61" s="2841"/>
      <c r="RN61" s="2841"/>
      <c r="RO61" s="2841"/>
      <c r="RP61" s="2841"/>
      <c r="RQ61" s="2841"/>
      <c r="RR61" s="2841"/>
      <c r="RS61" s="2841"/>
      <c r="RT61" s="2841"/>
      <c r="RU61" s="2841"/>
      <c r="RV61" s="2841"/>
      <c r="RW61" s="2841"/>
      <c r="RX61" s="2841"/>
      <c r="RY61" s="2841"/>
      <c r="RZ61" s="2841"/>
      <c r="SA61" s="2841"/>
      <c r="SB61" s="2841"/>
      <c r="SC61" s="2841"/>
      <c r="SD61" s="2841"/>
      <c r="SE61" s="2841"/>
      <c r="SF61" s="2841"/>
      <c r="SG61" s="2841"/>
      <c r="SH61" s="2841"/>
      <c r="SI61" s="2841"/>
      <c r="SJ61" s="2841"/>
      <c r="SK61" s="2841"/>
      <c r="SL61" s="2841"/>
      <c r="SM61" s="2841"/>
      <c r="SN61" s="2841"/>
      <c r="SO61" s="2841"/>
      <c r="SP61" s="2841"/>
      <c r="SQ61" s="2841"/>
      <c r="SR61" s="2841"/>
      <c r="SS61" s="2841"/>
      <c r="ST61" s="2841"/>
      <c r="SU61" s="2841"/>
      <c r="SV61" s="2841"/>
      <c r="SW61" s="2841"/>
      <c r="SX61" s="2841"/>
      <c r="SY61" s="2841"/>
      <c r="SZ61" s="2841"/>
      <c r="TA61" s="2841"/>
      <c r="TB61" s="2841"/>
      <c r="TC61" s="2841"/>
      <c r="TD61" s="2841"/>
      <c r="TE61" s="2841"/>
      <c r="TF61" s="2841"/>
      <c r="TG61" s="2841"/>
      <c r="TH61" s="2841"/>
      <c r="TI61" s="2841"/>
      <c r="TJ61" s="2841"/>
      <c r="TK61" s="2841"/>
      <c r="TL61" s="2841"/>
      <c r="TM61" s="2841"/>
      <c r="TN61" s="2841"/>
      <c r="TO61" s="2841"/>
      <c r="TP61" s="2841"/>
      <c r="TQ61" s="2841"/>
      <c r="TR61" s="2841"/>
      <c r="TS61" s="2841"/>
      <c r="TT61" s="2841"/>
      <c r="TU61" s="2841"/>
      <c r="TV61" s="2841"/>
      <c r="TW61" s="2841"/>
      <c r="TX61" s="2841"/>
      <c r="TY61" s="2841"/>
      <c r="TZ61" s="2841"/>
      <c r="UA61" s="2841"/>
      <c r="UB61" s="2841"/>
      <c r="UC61" s="2841"/>
      <c r="UD61" s="2841"/>
      <c r="UE61" s="2841"/>
      <c r="UF61" s="2841"/>
      <c r="UG61" s="2841"/>
      <c r="UH61" s="2841"/>
      <c r="UI61" s="2841"/>
      <c r="UJ61" s="2841"/>
      <c r="UK61" s="2841"/>
      <c r="UL61" s="2841"/>
      <c r="UM61" s="2841"/>
      <c r="UN61" s="2841"/>
      <c r="UO61" s="2841"/>
      <c r="UP61" s="2841"/>
      <c r="UQ61" s="2841"/>
      <c r="UR61" s="2841"/>
      <c r="US61" s="2841"/>
      <c r="UT61" s="2841"/>
      <c r="UU61" s="2841"/>
      <c r="UV61" s="2841"/>
      <c r="UW61" s="2841"/>
      <c r="UX61" s="2841"/>
      <c r="UY61" s="2841"/>
      <c r="UZ61" s="2841"/>
      <c r="VA61" s="2841"/>
      <c r="VB61" s="2841"/>
      <c r="VC61" s="2841"/>
      <c r="VD61" s="2841"/>
      <c r="VE61" s="2841"/>
      <c r="VF61" s="2841"/>
      <c r="VG61" s="2841"/>
      <c r="VH61" s="2841"/>
      <c r="VI61" s="2841"/>
      <c r="VJ61" s="2841"/>
      <c r="VK61" s="2841"/>
      <c r="VL61" s="2841"/>
      <c r="VM61" s="2841"/>
      <c r="VN61" s="2841"/>
      <c r="VO61" s="2841"/>
      <c r="VP61" s="2841"/>
      <c r="VQ61" s="2841"/>
      <c r="VR61" s="2841"/>
      <c r="VS61" s="2841"/>
      <c r="VT61" s="2841"/>
      <c r="VU61" s="2841"/>
      <c r="VV61" s="2841"/>
      <c r="VW61" s="2841"/>
      <c r="VX61" s="2841"/>
      <c r="VY61" s="2841"/>
      <c r="VZ61" s="2841"/>
      <c r="WA61" s="2841"/>
      <c r="WB61" s="2841"/>
      <c r="WC61" s="2841"/>
      <c r="WD61" s="2841"/>
      <c r="WE61" s="2841"/>
      <c r="WF61" s="2841"/>
      <c r="WG61" s="2841"/>
      <c r="WH61" s="2841"/>
      <c r="WI61" s="2841"/>
      <c r="WJ61" s="2841"/>
      <c r="WK61" s="2841"/>
      <c r="WL61" s="2841"/>
      <c r="WM61" s="2841"/>
      <c r="WN61" s="2841"/>
      <c r="WO61" s="2841"/>
      <c r="WP61" s="2841"/>
      <c r="WQ61" s="2841"/>
      <c r="WR61" s="2841"/>
      <c r="WS61" s="2841"/>
      <c r="WT61" s="2841"/>
      <c r="WU61" s="2841"/>
      <c r="WV61" s="2841"/>
      <c r="WW61" s="2841"/>
      <c r="WX61" s="2841"/>
      <c r="WY61" s="2841"/>
      <c r="WZ61" s="2841"/>
      <c r="XA61" s="2841"/>
      <c r="XB61" s="2841"/>
      <c r="XC61" s="2841"/>
      <c r="XD61" s="2841"/>
      <c r="XE61" s="2841"/>
      <c r="XF61" s="2841"/>
      <c r="XG61" s="2841"/>
      <c r="XH61" s="2841"/>
      <c r="XI61" s="2841"/>
      <c r="XJ61" s="2841"/>
      <c r="XK61" s="2841"/>
      <c r="XL61" s="2841"/>
      <c r="XM61" s="2841"/>
      <c r="XN61" s="2841"/>
      <c r="XO61" s="2841"/>
      <c r="XP61" s="2841"/>
      <c r="XQ61" s="2841"/>
      <c r="XR61" s="2841"/>
      <c r="XS61" s="2841"/>
      <c r="XT61" s="2841"/>
      <c r="XU61" s="2841"/>
      <c r="XV61" s="2841"/>
      <c r="XW61" s="2841"/>
      <c r="XX61" s="2841"/>
      <c r="XY61" s="2841"/>
      <c r="XZ61" s="2841"/>
      <c r="YA61" s="2841"/>
      <c r="YB61" s="2841"/>
      <c r="YC61" s="2841"/>
      <c r="YD61" s="2841"/>
      <c r="YE61" s="2841"/>
      <c r="YF61" s="2841"/>
      <c r="YG61" s="2841"/>
      <c r="YH61" s="2841"/>
      <c r="YI61" s="2841"/>
      <c r="YJ61" s="2841"/>
      <c r="YK61" s="2841"/>
      <c r="YL61" s="2841"/>
      <c r="YM61" s="2841"/>
      <c r="YN61" s="2841"/>
      <c r="YO61" s="2841"/>
      <c r="YP61" s="2841"/>
      <c r="YQ61" s="2841"/>
      <c r="YR61" s="2841"/>
      <c r="YS61" s="2841"/>
      <c r="YT61" s="2841"/>
      <c r="YU61" s="2841"/>
      <c r="YV61" s="2841"/>
      <c r="YW61" s="2841"/>
      <c r="YX61" s="2841"/>
      <c r="YY61" s="2841"/>
      <c r="YZ61" s="2841"/>
      <c r="ZA61" s="2841"/>
      <c r="ZB61" s="2841"/>
      <c r="ZC61" s="2841"/>
      <c r="ZD61" s="2841"/>
      <c r="ZE61" s="2841"/>
      <c r="ZF61" s="2841"/>
      <c r="ZG61" s="2841"/>
      <c r="ZH61" s="2841"/>
      <c r="ZI61" s="2841"/>
      <c r="ZJ61" s="2841"/>
      <c r="ZK61" s="2841"/>
      <c r="ZL61" s="2841"/>
      <c r="ZM61" s="2841"/>
      <c r="ZN61" s="2841"/>
      <c r="ZO61" s="2841"/>
      <c r="ZP61" s="2841"/>
      <c r="ZQ61" s="2841"/>
      <c r="ZR61" s="2841"/>
      <c r="ZS61" s="2841"/>
      <c r="ZT61" s="2841"/>
      <c r="ZU61" s="2841"/>
      <c r="ZV61" s="2841"/>
      <c r="ZW61" s="2841"/>
      <c r="ZX61" s="2841"/>
      <c r="ZY61" s="2841"/>
      <c r="ZZ61" s="2841"/>
      <c r="AAA61" s="2841"/>
      <c r="AAB61" s="2841"/>
      <c r="AAC61" s="2841"/>
      <c r="AAD61" s="2841"/>
      <c r="AAE61" s="2841"/>
      <c r="AAF61" s="2841"/>
      <c r="AAG61" s="2841"/>
      <c r="AAH61" s="2841"/>
      <c r="AAI61" s="2841"/>
      <c r="AAJ61" s="2841"/>
      <c r="AAK61" s="2841"/>
      <c r="AAL61" s="2841"/>
      <c r="AAM61" s="2841"/>
      <c r="AAN61" s="2841"/>
      <c r="AAO61" s="2841"/>
      <c r="AAP61" s="2841"/>
      <c r="AAQ61" s="2841"/>
      <c r="AAR61" s="2841"/>
      <c r="AAS61" s="2841"/>
      <c r="AAT61" s="2841"/>
      <c r="AAU61" s="2841"/>
      <c r="AAV61" s="2841"/>
      <c r="AAW61" s="2841"/>
      <c r="AAX61" s="2841"/>
      <c r="AAY61" s="2841"/>
      <c r="AAZ61" s="2841"/>
      <c r="ABA61" s="2841"/>
      <c r="ABB61" s="2841"/>
      <c r="ABC61" s="2841"/>
      <c r="ABD61" s="2841"/>
      <c r="ABE61" s="2841"/>
      <c r="ABF61" s="2841"/>
      <c r="ABG61" s="2841"/>
      <c r="ABH61" s="2841"/>
      <c r="ABI61" s="2841"/>
      <c r="ABJ61" s="2841"/>
      <c r="ABK61" s="2841"/>
      <c r="ABL61" s="2841"/>
      <c r="ABM61" s="2841"/>
      <c r="ABN61" s="2841"/>
      <c r="ABO61" s="2841"/>
      <c r="ABP61" s="2841"/>
      <c r="ABQ61" s="2841"/>
      <c r="ABR61" s="2841"/>
      <c r="ABS61" s="2841"/>
      <c r="ABT61" s="2841"/>
      <c r="ABU61" s="2841"/>
      <c r="ABV61" s="2841"/>
      <c r="ABW61" s="2841"/>
      <c r="ABX61" s="2841"/>
      <c r="ABY61" s="2841"/>
      <c r="ABZ61" s="2841"/>
      <c r="ACA61" s="2841"/>
      <c r="ACB61" s="2841"/>
      <c r="ACC61" s="2841"/>
      <c r="ACD61" s="2841"/>
      <c r="ACE61" s="2841"/>
      <c r="ACF61" s="2841"/>
      <c r="ACG61" s="2841"/>
      <c r="ACH61" s="2841"/>
      <c r="ACI61" s="2841"/>
      <c r="ACJ61" s="2841"/>
      <c r="ACK61" s="2841"/>
      <c r="ACL61" s="2841"/>
      <c r="ACM61" s="2841"/>
      <c r="ACN61" s="2841"/>
      <c r="ACO61" s="2841"/>
      <c r="ACP61" s="2841"/>
      <c r="ACQ61" s="2841"/>
      <c r="ACR61" s="2841"/>
      <c r="ACS61" s="2841"/>
      <c r="ACT61" s="2841"/>
      <c r="ACU61" s="2841"/>
      <c r="ACV61" s="2841"/>
      <c r="ACW61" s="2841"/>
      <c r="ACX61" s="2841"/>
      <c r="ACY61" s="2841"/>
      <c r="ACZ61" s="2841"/>
      <c r="ADA61" s="2841"/>
      <c r="ADB61" s="2841"/>
      <c r="ADC61" s="2841"/>
      <c r="ADD61" s="2841"/>
      <c r="ADE61" s="2841"/>
      <c r="ADF61" s="2841"/>
      <c r="ADG61" s="2841"/>
      <c r="ADH61" s="2841"/>
      <c r="ADI61" s="2841"/>
      <c r="ADJ61" s="2841"/>
      <c r="ADK61" s="2841"/>
      <c r="ADL61" s="2841"/>
      <c r="ADM61" s="2841"/>
      <c r="ADN61" s="2841"/>
      <c r="ADO61" s="2841"/>
      <c r="ADP61" s="2841"/>
      <c r="ADQ61" s="2841"/>
      <c r="ADR61" s="2841"/>
      <c r="ADS61" s="2841"/>
      <c r="ADT61" s="2841"/>
      <c r="ADU61" s="2841"/>
      <c r="ADV61" s="2841"/>
      <c r="ADW61" s="2841"/>
      <c r="ADX61" s="2841"/>
      <c r="ADY61" s="2841"/>
      <c r="ADZ61" s="2841"/>
      <c r="AEA61" s="2841"/>
      <c r="AEB61" s="2841"/>
      <c r="AEC61" s="2841"/>
      <c r="AED61" s="2841"/>
      <c r="AEE61" s="2841"/>
      <c r="AEF61" s="2841"/>
      <c r="AEG61" s="2841"/>
      <c r="AEH61" s="2841"/>
      <c r="AEI61" s="2841"/>
      <c r="AEJ61" s="2841"/>
      <c r="AEK61" s="2841"/>
      <c r="AEL61" s="2841"/>
      <c r="AEM61" s="2841"/>
      <c r="AEN61" s="2841"/>
      <c r="AEO61" s="2841"/>
      <c r="AEP61" s="2841"/>
      <c r="AEQ61" s="2841"/>
      <c r="AER61" s="2841"/>
      <c r="AES61" s="2841"/>
      <c r="AET61" s="2841"/>
      <c r="AEU61" s="2841"/>
      <c r="AEV61" s="2841"/>
      <c r="AEW61" s="2841"/>
      <c r="AEX61" s="2841"/>
      <c r="AEY61" s="2841"/>
      <c r="AEZ61" s="2841"/>
      <c r="AFA61" s="2841"/>
      <c r="AFB61" s="2841"/>
      <c r="AFC61" s="2841"/>
      <c r="AFD61" s="2841"/>
      <c r="AFE61" s="2841"/>
      <c r="AFF61" s="2841"/>
      <c r="AFG61" s="2841"/>
      <c r="AFH61" s="2841"/>
      <c r="AFI61" s="2841"/>
      <c r="AFJ61" s="2841"/>
      <c r="AFK61" s="2841"/>
      <c r="AFL61" s="2841"/>
      <c r="AFM61" s="2841"/>
      <c r="AFN61" s="2841"/>
      <c r="AFO61" s="2841"/>
      <c r="AFP61" s="2841"/>
      <c r="AFQ61" s="2841"/>
      <c r="AFR61" s="2841"/>
      <c r="AFS61" s="2841"/>
      <c r="AFT61" s="2841"/>
      <c r="AFU61" s="2841"/>
      <c r="AFV61" s="2841"/>
      <c r="AFW61" s="2841"/>
      <c r="AFX61" s="2841"/>
      <c r="AFY61" s="2841"/>
      <c r="AFZ61" s="2841"/>
      <c r="AGA61" s="2841"/>
      <c r="AGB61" s="2841"/>
      <c r="AGC61" s="2841"/>
      <c r="AGD61" s="2841"/>
      <c r="AGE61" s="2841"/>
      <c r="AGF61" s="2841"/>
      <c r="AGG61" s="2841"/>
      <c r="AGH61" s="2841"/>
      <c r="AGI61" s="2841"/>
      <c r="AGJ61" s="2841"/>
      <c r="AGK61" s="2841"/>
      <c r="AGL61" s="2841"/>
      <c r="AGM61" s="2841"/>
      <c r="AGN61" s="2841"/>
      <c r="AGO61" s="2841"/>
      <c r="AGP61" s="2841"/>
      <c r="AGQ61" s="2841"/>
      <c r="AGR61" s="2841"/>
      <c r="AGS61" s="2841"/>
      <c r="AGT61" s="2841"/>
      <c r="AGU61" s="2841"/>
      <c r="AGV61" s="2841"/>
      <c r="AGW61" s="2841"/>
      <c r="AGX61" s="2841"/>
      <c r="AGY61" s="2841"/>
      <c r="AGZ61" s="2841"/>
      <c r="AHA61" s="2841"/>
      <c r="AHB61" s="2841"/>
      <c r="AHC61" s="2841"/>
      <c r="AHD61" s="2841"/>
      <c r="AHE61" s="2841"/>
      <c r="AHF61" s="2841"/>
      <c r="AHG61" s="2841"/>
      <c r="AHH61" s="2841"/>
      <c r="AHI61" s="2841"/>
      <c r="AHJ61" s="2841"/>
      <c r="AHK61" s="2841"/>
      <c r="AHL61" s="2841"/>
      <c r="AHM61" s="2841"/>
      <c r="AHN61" s="2841"/>
      <c r="AHO61" s="2841"/>
      <c r="AHP61" s="2841"/>
      <c r="AHQ61" s="2841"/>
      <c r="AHR61" s="2841"/>
      <c r="AHS61" s="2841"/>
      <c r="AHT61" s="2841"/>
      <c r="AHU61" s="2841"/>
      <c r="AHV61" s="2841"/>
      <c r="AHW61" s="2841"/>
      <c r="AHX61" s="2841"/>
      <c r="AHY61" s="2841"/>
      <c r="AHZ61" s="2841"/>
      <c r="AIA61" s="2841"/>
      <c r="AIB61" s="2841"/>
      <c r="AIC61" s="2841"/>
      <c r="AID61" s="2841"/>
      <c r="AIE61" s="2841"/>
      <c r="AIF61" s="2841"/>
      <c r="AIG61" s="2841"/>
      <c r="AIH61" s="2841"/>
      <c r="AII61" s="2841"/>
      <c r="AIJ61" s="2841"/>
      <c r="AIK61" s="2841"/>
      <c r="AIL61" s="2841"/>
      <c r="AIM61" s="2841"/>
      <c r="AIN61" s="2841"/>
      <c r="AIO61" s="2841"/>
      <c r="AIP61" s="2841"/>
      <c r="AIQ61" s="2841"/>
      <c r="AIR61" s="2841"/>
      <c r="AIS61" s="2841"/>
      <c r="AIT61" s="2841"/>
      <c r="AIU61" s="2841"/>
      <c r="AIV61" s="2841"/>
      <c r="AIW61" s="2841"/>
      <c r="AIX61" s="2841"/>
      <c r="AIY61" s="2841"/>
      <c r="AIZ61" s="2841"/>
      <c r="AJA61" s="2841"/>
      <c r="AJB61" s="2841"/>
      <c r="AJC61" s="2841"/>
      <c r="AJD61" s="2841"/>
      <c r="AJE61" s="2841"/>
      <c r="AJF61" s="2841"/>
      <c r="AJG61" s="2841"/>
      <c r="AJH61" s="2841"/>
      <c r="AJI61" s="2841"/>
      <c r="AJJ61" s="2841"/>
      <c r="AJK61" s="2841"/>
      <c r="AJL61" s="2841"/>
      <c r="AJM61" s="2841"/>
      <c r="AJN61" s="2841"/>
      <c r="AJO61" s="2841"/>
      <c r="AJP61" s="2841"/>
      <c r="AJQ61" s="2841"/>
      <c r="AJR61" s="2841"/>
      <c r="AJS61" s="2841"/>
      <c r="AJT61" s="2841"/>
      <c r="AJU61" s="2841"/>
      <c r="AJV61" s="2841"/>
      <c r="AJW61" s="2841"/>
      <c r="AJX61" s="2841"/>
      <c r="AJY61" s="2841"/>
      <c r="AJZ61" s="2841"/>
      <c r="AKA61" s="2841"/>
      <c r="AKB61" s="2841"/>
      <c r="AKC61" s="2841"/>
      <c r="AKD61" s="2841"/>
      <c r="AKE61" s="2841"/>
      <c r="AKF61" s="2841"/>
      <c r="AKG61" s="2841"/>
      <c r="AKH61" s="2841"/>
      <c r="AKI61" s="2841"/>
      <c r="AKJ61" s="2841"/>
      <c r="AKK61" s="2841"/>
      <c r="AKL61" s="2841"/>
      <c r="AKM61" s="2841"/>
      <c r="AKN61" s="2841"/>
      <c r="AKO61" s="2841"/>
      <c r="AKP61" s="2841"/>
      <c r="AKQ61" s="2841"/>
      <c r="AKR61" s="2841"/>
      <c r="AKS61" s="2841"/>
      <c r="AKT61" s="2841"/>
      <c r="AKU61" s="2841"/>
      <c r="AKV61" s="2841"/>
      <c r="AKW61" s="2841"/>
      <c r="AKX61" s="2841"/>
      <c r="AKY61" s="2841"/>
      <c r="AKZ61" s="2841"/>
      <c r="ALA61" s="2841"/>
      <c r="ALB61" s="2841"/>
      <c r="ALC61" s="2841"/>
      <c r="ALD61" s="2841"/>
      <c r="ALE61" s="2841"/>
      <c r="ALF61" s="2841"/>
      <c r="ALG61" s="2841"/>
      <c r="ALH61" s="2841"/>
      <c r="ALI61" s="2841"/>
      <c r="ALJ61" s="2841"/>
      <c r="ALK61" s="2841"/>
      <c r="ALL61" s="2841"/>
      <c r="ALM61" s="2841"/>
      <c r="ALN61" s="2841"/>
      <c r="ALO61" s="2841"/>
      <c r="ALP61" s="2841"/>
      <c r="ALQ61" s="2841"/>
      <c r="ALR61" s="2841"/>
      <c r="ALS61" s="2841"/>
      <c r="ALT61" s="2841"/>
      <c r="ALU61" s="2841"/>
      <c r="ALV61" s="2841"/>
      <c r="ALW61" s="2841"/>
      <c r="ALX61" s="2841"/>
      <c r="ALY61" s="2841"/>
      <c r="ALZ61" s="2841"/>
      <c r="AMA61" s="2841"/>
      <c r="AMB61" s="2841"/>
      <c r="AMC61" s="2841"/>
      <c r="AMD61" s="2841"/>
      <c r="AME61" s="2841"/>
      <c r="AMF61" s="2841"/>
      <c r="AMG61" s="2841"/>
      <c r="AMH61" s="2841"/>
      <c r="AMI61" s="2841"/>
      <c r="AMJ61" s="2841"/>
      <c r="AMK61" s="2841"/>
      <c r="AML61" s="2841"/>
      <c r="AMM61" s="2841"/>
      <c r="AMN61" s="2841"/>
      <c r="AMO61" s="2841"/>
      <c r="AMP61" s="2841"/>
      <c r="AMQ61" s="2841"/>
      <c r="AMR61" s="2841"/>
      <c r="AMS61" s="2841"/>
      <c r="AMT61" s="2841"/>
      <c r="AMU61" s="2841"/>
      <c r="AMV61" s="2841"/>
      <c r="AMW61" s="2841"/>
      <c r="AMX61" s="2841"/>
      <c r="AMY61" s="2841"/>
      <c r="AMZ61" s="2841"/>
      <c r="ANA61" s="2841"/>
      <c r="ANB61" s="2841"/>
      <c r="ANC61" s="2841"/>
      <c r="AND61" s="2841"/>
      <c r="ANE61" s="2841"/>
      <c r="ANF61" s="2841"/>
      <c r="ANG61" s="2841"/>
      <c r="ANH61" s="2841"/>
      <c r="ANI61" s="2841"/>
      <c r="ANJ61" s="2841"/>
      <c r="ANK61" s="2841"/>
      <c r="ANL61" s="2841"/>
      <c r="ANM61" s="2841"/>
      <c r="ANN61" s="2841"/>
      <c r="ANO61" s="2841"/>
      <c r="ANP61" s="2841"/>
      <c r="ANQ61" s="2841"/>
      <c r="ANR61" s="2841"/>
      <c r="ANS61" s="2841"/>
      <c r="ANT61" s="2841"/>
      <c r="ANU61" s="2841"/>
      <c r="ANV61" s="2841"/>
      <c r="ANW61" s="2841"/>
      <c r="ANX61" s="2841"/>
      <c r="ANY61" s="2841"/>
      <c r="ANZ61" s="2841"/>
      <c r="AOA61" s="2841"/>
      <c r="AOB61" s="2841"/>
      <c r="AOC61" s="2841"/>
      <c r="AOD61" s="2841"/>
      <c r="AOE61" s="2841"/>
      <c r="AOF61" s="2841"/>
      <c r="AOG61" s="2841"/>
      <c r="AOH61" s="2841"/>
      <c r="AOI61" s="2841"/>
      <c r="AOJ61" s="2841"/>
      <c r="AOK61" s="2841"/>
      <c r="AOL61" s="2841"/>
      <c r="AOM61" s="2841"/>
      <c r="AON61" s="2841"/>
      <c r="AOO61" s="2841"/>
      <c r="AOP61" s="2841"/>
      <c r="AOQ61" s="2841"/>
      <c r="AOR61" s="2841"/>
      <c r="AOS61" s="2841"/>
      <c r="AOT61" s="2841"/>
      <c r="AOU61" s="2841"/>
      <c r="AOV61" s="2841"/>
      <c r="AOW61" s="2841"/>
      <c r="AOX61" s="2841"/>
      <c r="AOY61" s="2841"/>
      <c r="AOZ61" s="2841"/>
      <c r="APA61" s="2841"/>
      <c r="APB61" s="2841"/>
      <c r="APC61" s="2841"/>
      <c r="APD61" s="2841"/>
      <c r="APE61" s="2841"/>
      <c r="APF61" s="2841"/>
      <c r="APG61" s="2841"/>
      <c r="APH61" s="2841"/>
      <c r="API61" s="2841"/>
      <c r="APJ61" s="2841"/>
      <c r="APK61" s="2841"/>
      <c r="APL61" s="2841"/>
      <c r="APM61" s="2841"/>
      <c r="APN61" s="2841"/>
      <c r="APO61" s="2841"/>
      <c r="APP61" s="2841"/>
      <c r="APQ61" s="2841"/>
      <c r="APR61" s="2841"/>
      <c r="APS61" s="2841"/>
      <c r="APT61" s="2841"/>
      <c r="APU61" s="2841"/>
      <c r="APV61" s="2841"/>
      <c r="APW61" s="2841"/>
      <c r="APX61" s="2841"/>
      <c r="APY61" s="2841"/>
      <c r="APZ61" s="2841"/>
      <c r="AQA61" s="2841"/>
      <c r="AQB61" s="2841"/>
      <c r="AQC61" s="2841"/>
      <c r="AQD61" s="2841"/>
      <c r="AQE61" s="2841"/>
      <c r="AQF61" s="2841"/>
      <c r="AQG61" s="2841"/>
      <c r="AQH61" s="2841"/>
      <c r="AQI61" s="2841"/>
      <c r="AQJ61" s="2841"/>
      <c r="AQK61" s="2841"/>
      <c r="AQL61" s="2841"/>
      <c r="AQM61" s="2841"/>
      <c r="AQN61" s="2841"/>
      <c r="AQO61" s="2841"/>
      <c r="AQP61" s="2841"/>
      <c r="AQQ61" s="2841"/>
      <c r="AQR61" s="2841"/>
      <c r="AQS61" s="2841"/>
      <c r="AQT61" s="2841"/>
      <c r="AQU61" s="2841"/>
      <c r="AQV61" s="2841"/>
      <c r="AQW61" s="2841"/>
      <c r="AQX61" s="2841"/>
      <c r="AQY61" s="2841"/>
      <c r="AQZ61" s="2841"/>
      <c r="ARA61" s="2841"/>
      <c r="ARB61" s="2841"/>
      <c r="ARC61" s="2841"/>
      <c r="ARD61" s="2841"/>
      <c r="ARE61" s="2841"/>
      <c r="ARF61" s="2841"/>
      <c r="ARG61" s="2841"/>
      <c r="ARH61" s="2841"/>
      <c r="ARI61" s="2841"/>
      <c r="ARJ61" s="2841"/>
      <c r="ARK61" s="2841"/>
      <c r="ARL61" s="2841"/>
      <c r="ARM61" s="2841"/>
      <c r="ARN61" s="2841"/>
      <c r="ARO61" s="2841"/>
      <c r="ARP61" s="2841"/>
      <c r="ARQ61" s="2841"/>
      <c r="ARR61" s="2841"/>
      <c r="ARS61" s="2841"/>
      <c r="ART61" s="2841"/>
      <c r="ARU61" s="2841"/>
      <c r="ARV61" s="2841"/>
      <c r="ARW61" s="2841"/>
      <c r="ARX61" s="2841"/>
      <c r="ARY61" s="2841"/>
      <c r="ARZ61" s="2841"/>
      <c r="ASA61" s="2841"/>
      <c r="ASB61" s="2841"/>
      <c r="ASC61" s="2841"/>
      <c r="ASD61" s="2841"/>
      <c r="ASE61" s="2841"/>
      <c r="ASF61" s="2841"/>
      <c r="ASG61" s="2841"/>
      <c r="ASH61" s="2841"/>
      <c r="ASI61" s="2841"/>
      <c r="ASJ61" s="2841"/>
      <c r="ASK61" s="2841"/>
      <c r="ASL61" s="2841"/>
      <c r="ASM61" s="2841"/>
      <c r="ASN61" s="2841"/>
      <c r="ASO61" s="2841"/>
      <c r="ASP61" s="2841"/>
      <c r="ASQ61" s="2841"/>
      <c r="ASR61" s="2841"/>
      <c r="ASS61" s="2841"/>
      <c r="AST61" s="2841"/>
      <c r="ASU61" s="2841"/>
      <c r="ASV61" s="2841"/>
      <c r="ASW61" s="2841"/>
      <c r="ASX61" s="2841"/>
      <c r="ASY61" s="2841"/>
      <c r="ASZ61" s="2841"/>
      <c r="ATA61" s="2841"/>
      <c r="ATB61" s="2841"/>
      <c r="ATC61" s="2841"/>
      <c r="ATD61" s="2841"/>
      <c r="ATE61" s="2841"/>
      <c r="ATF61" s="2841"/>
      <c r="ATG61" s="2841"/>
      <c r="ATH61" s="2841"/>
      <c r="ATI61" s="2841"/>
      <c r="ATJ61" s="2841"/>
      <c r="ATK61" s="2841"/>
      <c r="ATL61" s="2841"/>
      <c r="ATM61" s="2841"/>
      <c r="ATN61" s="2841"/>
      <c r="ATO61" s="2841"/>
      <c r="ATP61" s="2841"/>
      <c r="ATQ61" s="2841"/>
      <c r="ATR61" s="2841"/>
      <c r="ATS61" s="2841"/>
      <c r="ATT61" s="2841"/>
      <c r="ATU61" s="2841"/>
      <c r="ATV61" s="2841"/>
      <c r="ATW61" s="2841"/>
      <c r="ATX61" s="2841"/>
      <c r="ATY61" s="2841"/>
      <c r="ATZ61" s="2841"/>
      <c r="AUA61" s="2841"/>
      <c r="AUB61" s="2841"/>
      <c r="AUC61" s="2841"/>
      <c r="AUD61" s="2841"/>
      <c r="AUE61" s="2841"/>
      <c r="AUF61" s="2841"/>
      <c r="AUG61" s="2841"/>
      <c r="AUH61" s="2841"/>
      <c r="AUI61" s="2841"/>
      <c r="AUJ61" s="2841"/>
      <c r="AUK61" s="2841"/>
      <c r="AUL61" s="2841"/>
      <c r="AUM61" s="2841"/>
      <c r="AUN61" s="2841"/>
      <c r="AUO61" s="2841"/>
      <c r="AUP61" s="2841"/>
      <c r="AUQ61" s="2841"/>
      <c r="AUR61" s="2841"/>
      <c r="AUS61" s="2841"/>
      <c r="AUT61" s="2841"/>
      <c r="AUU61" s="2841"/>
      <c r="AUV61" s="2841"/>
      <c r="AUW61" s="2841"/>
      <c r="AUX61" s="2841"/>
      <c r="AUY61" s="2841"/>
      <c r="AUZ61" s="2841"/>
      <c r="AVA61" s="2841"/>
      <c r="AVB61" s="2841"/>
      <c r="AVC61" s="2841"/>
      <c r="AVD61" s="2841"/>
      <c r="AVE61" s="2841"/>
      <c r="AVF61" s="2841"/>
      <c r="AVG61" s="2841"/>
      <c r="AVH61" s="2841"/>
      <c r="AVI61" s="2841"/>
      <c r="AVJ61" s="2841"/>
      <c r="AVK61" s="2841"/>
      <c r="AVL61" s="2841"/>
      <c r="AVM61" s="2841"/>
      <c r="AVN61" s="2841"/>
      <c r="AVO61" s="2841"/>
      <c r="AVP61" s="2841"/>
      <c r="AVQ61" s="2841"/>
      <c r="AVR61" s="2841"/>
      <c r="AVS61" s="2841"/>
      <c r="AVT61" s="2841"/>
      <c r="AVU61" s="2841"/>
      <c r="AVV61" s="2841"/>
      <c r="AVW61" s="2841"/>
      <c r="AVX61" s="2841"/>
      <c r="AVY61" s="2841"/>
      <c r="AVZ61" s="2841"/>
      <c r="AWA61" s="2841"/>
      <c r="AWB61" s="2841"/>
      <c r="AWC61" s="2841"/>
      <c r="AWD61" s="2841"/>
      <c r="AWE61" s="2841"/>
      <c r="AWF61" s="2841"/>
      <c r="AWG61" s="2841"/>
      <c r="AWH61" s="2841"/>
      <c r="AWI61" s="2841"/>
      <c r="AWJ61" s="2841"/>
      <c r="AWK61" s="2841"/>
      <c r="AWL61" s="2841"/>
      <c r="AWM61" s="2841"/>
      <c r="AWN61" s="2841"/>
      <c r="AWO61" s="2841"/>
      <c r="AWP61" s="2841"/>
      <c r="AWQ61" s="2841"/>
      <c r="AWR61" s="2841"/>
      <c r="AWS61" s="2841"/>
      <c r="AWT61" s="2841"/>
      <c r="AWU61" s="2841"/>
      <c r="AWV61" s="2841"/>
      <c r="AWW61" s="2841"/>
      <c r="AWX61" s="2841"/>
      <c r="AWY61" s="2841"/>
      <c r="AWZ61" s="2841"/>
      <c r="AXA61" s="2841"/>
      <c r="AXB61" s="2841"/>
      <c r="AXC61" s="2841"/>
      <c r="AXD61" s="2841"/>
      <c r="AXE61" s="2841"/>
      <c r="AXF61" s="2841"/>
      <c r="AXG61" s="2841"/>
      <c r="AXH61" s="2841"/>
      <c r="AXI61" s="2841"/>
      <c r="AXJ61" s="2841"/>
      <c r="AXK61" s="2841"/>
      <c r="AXL61" s="2841"/>
      <c r="AXM61" s="2841"/>
      <c r="AXN61" s="2841"/>
      <c r="AXO61" s="2841"/>
      <c r="AXP61" s="2841"/>
      <c r="AXQ61" s="2841"/>
      <c r="AXR61" s="2841"/>
      <c r="AXS61" s="2841"/>
      <c r="AXT61" s="2841"/>
      <c r="AXU61" s="2841"/>
      <c r="AXV61" s="2841"/>
      <c r="AXW61" s="2841"/>
      <c r="AXX61" s="2841"/>
      <c r="AXY61" s="2841"/>
      <c r="AXZ61" s="2841"/>
      <c r="AYA61" s="2841"/>
      <c r="AYB61" s="2841"/>
      <c r="AYC61" s="2841"/>
      <c r="AYD61" s="2841"/>
      <c r="AYE61" s="2841"/>
      <c r="AYF61" s="2841"/>
      <c r="AYG61" s="2841"/>
      <c r="AYH61" s="2841"/>
      <c r="AYI61" s="2841"/>
      <c r="AYJ61" s="2841"/>
      <c r="AYK61" s="2841"/>
      <c r="AYL61" s="2841"/>
      <c r="AYM61" s="2841"/>
      <c r="AYN61" s="2841"/>
      <c r="AYO61" s="2841"/>
      <c r="AYP61" s="2841"/>
      <c r="AYQ61" s="2841"/>
      <c r="AYR61" s="2841"/>
      <c r="AYS61" s="2841"/>
      <c r="AYT61" s="2841"/>
      <c r="AYU61" s="2841"/>
      <c r="AYV61" s="2841"/>
      <c r="AYW61" s="2841"/>
      <c r="AYX61" s="2841"/>
      <c r="AYY61" s="2841"/>
      <c r="AYZ61" s="2841"/>
      <c r="AZA61" s="2841"/>
      <c r="AZB61" s="2841"/>
      <c r="AZC61" s="2841"/>
      <c r="AZD61" s="2841"/>
      <c r="AZE61" s="2841"/>
      <c r="AZF61" s="2841"/>
      <c r="AZG61" s="2841"/>
      <c r="AZH61" s="2841"/>
      <c r="AZI61" s="2841"/>
      <c r="AZJ61" s="2841"/>
      <c r="AZK61" s="2841"/>
      <c r="AZL61" s="2841"/>
      <c r="AZM61" s="2841"/>
      <c r="AZN61" s="2841"/>
      <c r="AZO61" s="2841"/>
      <c r="AZP61" s="2841"/>
      <c r="AZQ61" s="2841"/>
      <c r="AZR61" s="2841"/>
      <c r="AZS61" s="2841"/>
      <c r="AZT61" s="2841"/>
      <c r="AZU61" s="2841"/>
      <c r="AZV61" s="2841"/>
      <c r="AZW61" s="2841"/>
      <c r="AZX61" s="2841"/>
      <c r="AZY61" s="2841"/>
      <c r="AZZ61" s="2841"/>
      <c r="BAA61" s="2841"/>
      <c r="BAB61" s="2841"/>
      <c r="BAC61" s="2841"/>
      <c r="BAD61" s="2841"/>
      <c r="BAE61" s="2841"/>
      <c r="BAF61" s="2841"/>
      <c r="BAG61" s="2841"/>
      <c r="BAH61" s="2841"/>
      <c r="BAI61" s="2841"/>
      <c r="BAJ61" s="2841"/>
      <c r="BAK61" s="2841"/>
      <c r="BAL61" s="2841"/>
      <c r="BAM61" s="2841"/>
      <c r="BAN61" s="2841"/>
      <c r="BAO61" s="2841"/>
      <c r="BAP61" s="2841"/>
      <c r="BAQ61" s="2841"/>
      <c r="BAR61" s="2841"/>
      <c r="BAS61" s="2841"/>
      <c r="BAT61" s="2841"/>
      <c r="BAU61" s="2841"/>
      <c r="BAV61" s="2841"/>
      <c r="BAW61" s="2841"/>
      <c r="BAX61" s="2841"/>
      <c r="BAY61" s="2841"/>
      <c r="BAZ61" s="2841"/>
      <c r="BBA61" s="2841"/>
      <c r="BBB61" s="2841"/>
      <c r="BBC61" s="2841"/>
      <c r="BBD61" s="2841"/>
      <c r="BBE61" s="2841"/>
      <c r="BBF61" s="2841"/>
      <c r="BBG61" s="2841"/>
      <c r="BBH61" s="2841"/>
      <c r="BBI61" s="2841"/>
      <c r="BBJ61" s="2841"/>
      <c r="BBK61" s="2841"/>
      <c r="BBL61" s="2841"/>
      <c r="BBM61" s="2841"/>
      <c r="BBN61" s="2841"/>
      <c r="BBO61" s="2841"/>
      <c r="BBP61" s="2841"/>
      <c r="BBQ61" s="2841"/>
      <c r="BBR61" s="2841"/>
      <c r="BBS61" s="2841"/>
      <c r="BBT61" s="2841"/>
      <c r="BBU61" s="2841"/>
      <c r="BBV61" s="2841"/>
      <c r="BBW61" s="2841"/>
      <c r="BBX61" s="2841"/>
      <c r="BBY61" s="2841"/>
      <c r="BBZ61" s="2841"/>
      <c r="BCA61" s="2841"/>
      <c r="BCB61" s="2841"/>
      <c r="BCC61" s="2841"/>
      <c r="BCD61" s="2841"/>
      <c r="BCE61" s="2841"/>
      <c r="BCF61" s="2841"/>
      <c r="BCG61" s="2841"/>
      <c r="BCH61" s="2841"/>
      <c r="BCI61" s="2841"/>
      <c r="BCJ61" s="2841"/>
      <c r="BCK61" s="2841"/>
      <c r="BCL61" s="2841"/>
      <c r="BCM61" s="2841"/>
      <c r="BCN61" s="2841"/>
      <c r="BCO61" s="2841"/>
      <c r="BCP61" s="2841"/>
      <c r="BCQ61" s="2841"/>
      <c r="BCR61" s="2841"/>
      <c r="BCS61" s="2841"/>
      <c r="BCT61" s="2841"/>
      <c r="BCU61" s="2841"/>
      <c r="BCV61" s="2841"/>
      <c r="BCW61" s="2841"/>
      <c r="BCX61" s="2841"/>
      <c r="BCY61" s="2841"/>
      <c r="BCZ61" s="2841"/>
      <c r="BDA61" s="2841"/>
      <c r="BDB61" s="2841"/>
      <c r="BDC61" s="2841"/>
      <c r="BDD61" s="2841"/>
      <c r="BDE61" s="2841"/>
      <c r="BDF61" s="2841"/>
      <c r="BDG61" s="2841"/>
      <c r="BDH61" s="2841"/>
      <c r="BDI61" s="2841"/>
      <c r="BDJ61" s="2841"/>
      <c r="BDK61" s="2841"/>
      <c r="BDL61" s="2841"/>
      <c r="BDM61" s="2841"/>
      <c r="BDN61" s="2841"/>
      <c r="BDO61" s="2841"/>
      <c r="BDP61" s="2841"/>
      <c r="BDQ61" s="2841"/>
      <c r="BDR61" s="2841"/>
      <c r="BDS61" s="2841"/>
      <c r="BDT61" s="2841"/>
      <c r="BDU61" s="2841"/>
      <c r="BDV61" s="2841"/>
      <c r="BDW61" s="2841"/>
      <c r="BDX61" s="2841"/>
      <c r="BDY61" s="2841"/>
      <c r="BDZ61" s="2841"/>
      <c r="BEA61" s="2841"/>
      <c r="BEB61" s="2841"/>
      <c r="BEC61" s="2841"/>
      <c r="BED61" s="2841"/>
      <c r="BEE61" s="2841"/>
      <c r="BEF61" s="2841"/>
      <c r="BEG61" s="2841"/>
      <c r="BEH61" s="2841"/>
      <c r="BEI61" s="2841"/>
      <c r="BEJ61" s="2841"/>
      <c r="BEK61" s="2841"/>
      <c r="BEL61" s="2841"/>
      <c r="BEM61" s="2841"/>
      <c r="BEN61" s="2841"/>
      <c r="BEO61" s="2841"/>
      <c r="BEP61" s="2841"/>
      <c r="BEQ61" s="2841"/>
      <c r="BER61" s="2841"/>
      <c r="BES61" s="2841"/>
      <c r="BET61" s="2841"/>
      <c r="BEU61" s="2841"/>
      <c r="BEV61" s="2841"/>
      <c r="BEW61" s="2841"/>
      <c r="BEX61" s="2841"/>
      <c r="BEY61" s="2841"/>
      <c r="BEZ61" s="2841"/>
      <c r="BFA61" s="2841"/>
      <c r="BFB61" s="2841"/>
      <c r="BFC61" s="2841"/>
      <c r="BFD61" s="2841"/>
      <c r="BFE61" s="2841"/>
      <c r="BFF61" s="2841"/>
      <c r="BFG61" s="2841"/>
      <c r="BFH61" s="2841"/>
      <c r="BFI61" s="2841"/>
      <c r="BFJ61" s="2841"/>
      <c r="BFK61" s="2841"/>
      <c r="BFL61" s="2841"/>
      <c r="BFM61" s="2841"/>
      <c r="BFN61" s="2841"/>
      <c r="BFO61" s="2841"/>
      <c r="BFP61" s="2841"/>
      <c r="BFQ61" s="2841"/>
      <c r="BFR61" s="2841"/>
      <c r="BFS61" s="2841"/>
      <c r="BFT61" s="2841"/>
      <c r="BFU61" s="2841"/>
      <c r="BFV61" s="2841"/>
      <c r="BFW61" s="2841"/>
      <c r="BFX61" s="2841"/>
      <c r="BFY61" s="2841"/>
      <c r="BFZ61" s="2841"/>
      <c r="BGA61" s="2841"/>
      <c r="BGB61" s="2841"/>
      <c r="BGC61" s="2841"/>
      <c r="BGD61" s="2841"/>
      <c r="BGE61" s="2841"/>
      <c r="BGF61" s="2841"/>
      <c r="BGG61" s="2841"/>
      <c r="BGH61" s="2841"/>
      <c r="BGI61" s="2841"/>
      <c r="BGJ61" s="2841"/>
      <c r="BGK61" s="2841"/>
      <c r="BGL61" s="2841"/>
      <c r="BGM61" s="2841"/>
      <c r="BGN61" s="2841"/>
      <c r="BGO61" s="2841"/>
      <c r="BGP61" s="2841"/>
      <c r="BGQ61" s="2841"/>
      <c r="BGR61" s="2841"/>
      <c r="BGS61" s="2841"/>
      <c r="BGT61" s="2841"/>
      <c r="BGU61" s="2841"/>
      <c r="BGV61" s="2841"/>
      <c r="BGW61" s="2841"/>
      <c r="BGX61" s="2841"/>
      <c r="BGY61" s="2841"/>
      <c r="BGZ61" s="2841"/>
      <c r="BHA61" s="2841"/>
      <c r="BHB61" s="2841"/>
      <c r="BHC61" s="2841"/>
      <c r="BHD61" s="2841"/>
      <c r="BHE61" s="2841"/>
      <c r="BHF61" s="2841"/>
      <c r="BHG61" s="2841"/>
      <c r="BHH61" s="2841"/>
      <c r="BHI61" s="2841"/>
      <c r="BHJ61" s="2841"/>
      <c r="BHK61" s="2841"/>
      <c r="BHL61" s="2841"/>
      <c r="BHM61" s="2841"/>
      <c r="BHN61" s="2841"/>
      <c r="BHO61" s="2841"/>
      <c r="BHP61" s="2841"/>
      <c r="BHQ61" s="2841"/>
      <c r="BHR61" s="2841"/>
      <c r="BHS61" s="2841"/>
      <c r="BHT61" s="2841"/>
      <c r="BHU61" s="2841"/>
      <c r="BHV61" s="2841"/>
      <c r="BHW61" s="2841"/>
      <c r="BHX61" s="2841"/>
      <c r="BHY61" s="2841"/>
      <c r="BHZ61" s="2841"/>
      <c r="BIA61" s="2841"/>
      <c r="BIB61" s="2841"/>
      <c r="BIC61" s="2841"/>
      <c r="BID61" s="2841"/>
      <c r="BIE61" s="2841"/>
      <c r="BIF61" s="2841"/>
      <c r="BIG61" s="2841"/>
      <c r="BIH61" s="2841"/>
      <c r="BII61" s="2841"/>
      <c r="BIJ61" s="2841"/>
      <c r="BIK61" s="2841"/>
      <c r="BIL61" s="2841"/>
      <c r="BIM61" s="2841"/>
      <c r="BIN61" s="2841"/>
      <c r="BIO61" s="2841"/>
      <c r="BIP61" s="2841"/>
      <c r="BIQ61" s="2841"/>
      <c r="BIR61" s="2841"/>
      <c r="BIS61" s="2841"/>
      <c r="BIT61" s="2841"/>
      <c r="BIU61" s="2841"/>
      <c r="BIV61" s="2841"/>
      <c r="BIW61" s="2841"/>
      <c r="BIX61" s="2841"/>
      <c r="BIY61" s="2841"/>
      <c r="BIZ61" s="2841"/>
      <c r="BJA61" s="2841"/>
      <c r="BJB61" s="2841"/>
      <c r="BJC61" s="2841"/>
      <c r="BJD61" s="2841"/>
      <c r="BJE61" s="2841"/>
      <c r="BJF61" s="2841"/>
      <c r="BJG61" s="2841"/>
      <c r="BJH61" s="2841"/>
      <c r="BJI61" s="2841"/>
      <c r="BJJ61" s="2841"/>
      <c r="BJK61" s="2841"/>
      <c r="BJL61" s="2841"/>
      <c r="BJM61" s="2841"/>
      <c r="BJN61" s="2841"/>
      <c r="BJO61" s="2841"/>
      <c r="BJP61" s="2841"/>
      <c r="BJQ61" s="2841"/>
      <c r="BJR61" s="2841"/>
      <c r="BJS61" s="2841"/>
      <c r="BJT61" s="2841"/>
      <c r="BJU61" s="2841"/>
      <c r="BJV61" s="2841"/>
      <c r="BJW61" s="2841"/>
      <c r="BJX61" s="2841"/>
      <c r="BJY61" s="2841"/>
      <c r="BJZ61" s="2841"/>
      <c r="BKA61" s="2841"/>
      <c r="BKB61" s="2841"/>
      <c r="BKC61" s="2841"/>
      <c r="BKD61" s="2841"/>
      <c r="BKE61" s="2841"/>
      <c r="BKF61" s="2841"/>
      <c r="BKG61" s="2841"/>
      <c r="BKH61" s="2841"/>
      <c r="BKI61" s="2841"/>
      <c r="BKJ61" s="2841"/>
      <c r="BKK61" s="2841"/>
      <c r="BKL61" s="2841"/>
      <c r="BKM61" s="2841"/>
      <c r="BKN61" s="2841"/>
      <c r="BKO61" s="2841"/>
      <c r="BKP61" s="2841"/>
      <c r="BKQ61" s="2841"/>
      <c r="BKR61" s="2841"/>
      <c r="BKS61" s="2841"/>
      <c r="BKT61" s="2841"/>
      <c r="BKU61" s="2841"/>
      <c r="BKV61" s="2841"/>
      <c r="BKW61" s="2841"/>
      <c r="BKX61" s="2841"/>
      <c r="BKY61" s="2841"/>
      <c r="BKZ61" s="2841"/>
      <c r="BLA61" s="2841"/>
      <c r="BLB61" s="2841"/>
      <c r="BLC61" s="2841"/>
      <c r="BLD61" s="2841"/>
      <c r="BLE61" s="2841"/>
      <c r="BLF61" s="2841"/>
      <c r="BLG61" s="2841"/>
      <c r="BLH61" s="2841"/>
      <c r="BLI61" s="2841"/>
      <c r="BLJ61" s="2841"/>
      <c r="BLK61" s="2841"/>
      <c r="BLL61" s="2841"/>
      <c r="BLM61" s="2841"/>
      <c r="BLN61" s="2841"/>
      <c r="BLO61" s="2841"/>
      <c r="BLP61" s="2841"/>
      <c r="BLQ61" s="2841"/>
      <c r="BLR61" s="2841"/>
      <c r="BLS61" s="2841"/>
      <c r="BLT61" s="2841"/>
      <c r="BLU61" s="2841"/>
      <c r="BLV61" s="2841"/>
      <c r="BLW61" s="2841"/>
      <c r="BLX61" s="2841"/>
      <c r="BLY61" s="2841"/>
      <c r="BLZ61" s="2841"/>
      <c r="BMA61" s="2841"/>
      <c r="BMB61" s="2841"/>
      <c r="BMC61" s="2841"/>
      <c r="BMD61" s="2841"/>
      <c r="BME61" s="2841"/>
      <c r="BMF61" s="2841"/>
      <c r="BMG61" s="2841"/>
      <c r="BMH61" s="2841"/>
      <c r="BMI61" s="2841"/>
      <c r="BMJ61" s="2841"/>
      <c r="BMK61" s="2841"/>
      <c r="BML61" s="2841"/>
      <c r="BMM61" s="2841"/>
      <c r="BMN61" s="2841"/>
      <c r="BMO61" s="2841"/>
      <c r="BMP61" s="2841"/>
      <c r="BMQ61" s="2841"/>
      <c r="BMR61" s="2841"/>
      <c r="BMS61" s="2841"/>
      <c r="BMT61" s="2841"/>
      <c r="BMU61" s="2841"/>
      <c r="BMV61" s="2841"/>
      <c r="BMW61" s="2841"/>
      <c r="BMX61" s="2841"/>
      <c r="BMY61" s="2841"/>
      <c r="BMZ61" s="2841"/>
      <c r="BNA61" s="2841"/>
      <c r="BNB61" s="2841"/>
      <c r="BNC61" s="2841"/>
      <c r="BND61" s="2841"/>
      <c r="BNE61" s="2841"/>
      <c r="BNF61" s="2841"/>
      <c r="BNG61" s="2841"/>
      <c r="BNH61" s="2841"/>
      <c r="BNI61" s="2841"/>
      <c r="BNJ61" s="2841"/>
      <c r="BNK61" s="2841"/>
      <c r="BNL61" s="2841"/>
      <c r="BNM61" s="2841"/>
      <c r="BNN61" s="2841"/>
      <c r="BNO61" s="2841"/>
      <c r="BNP61" s="2841"/>
      <c r="BNQ61" s="2841"/>
      <c r="BNR61" s="2841"/>
      <c r="BNS61" s="2841"/>
      <c r="BNT61" s="2841"/>
      <c r="BNU61" s="2841"/>
      <c r="BNV61" s="2841"/>
      <c r="BNW61" s="2841"/>
      <c r="BNX61" s="2841"/>
      <c r="BNY61" s="2841"/>
      <c r="BNZ61" s="2841"/>
      <c r="BOA61" s="2841"/>
      <c r="BOB61" s="2841"/>
      <c r="BOC61" s="2841"/>
      <c r="BOD61" s="2841"/>
      <c r="BOE61" s="2841"/>
      <c r="BOF61" s="2841"/>
      <c r="BOG61" s="2841"/>
      <c r="BOH61" s="2841"/>
      <c r="BOI61" s="2841"/>
      <c r="BOJ61" s="2841"/>
      <c r="BOK61" s="2841"/>
      <c r="BOL61" s="2841"/>
      <c r="BOM61" s="2841"/>
      <c r="BON61" s="2841"/>
      <c r="BOO61" s="2841"/>
      <c r="BOP61" s="2841"/>
      <c r="BOQ61" s="2841"/>
      <c r="BOR61" s="2841"/>
      <c r="BOS61" s="2841"/>
      <c r="BOT61" s="2841"/>
      <c r="BOU61" s="2841"/>
      <c r="BOV61" s="2841"/>
      <c r="BOW61" s="2841"/>
      <c r="BOX61" s="2841"/>
      <c r="BOY61" s="2841"/>
      <c r="BOZ61" s="2841"/>
      <c r="BPA61" s="2841"/>
      <c r="BPB61" s="2841"/>
      <c r="BPC61" s="2841"/>
      <c r="BPD61" s="2841"/>
      <c r="BPE61" s="2841"/>
      <c r="BPF61" s="2841"/>
      <c r="BPG61" s="2841"/>
      <c r="BPH61" s="2841"/>
      <c r="BPI61" s="2841"/>
      <c r="BPJ61" s="2841"/>
      <c r="BPK61" s="2841"/>
      <c r="BPL61" s="2841"/>
      <c r="BPM61" s="2841"/>
      <c r="BPN61" s="2841"/>
      <c r="BPO61" s="2841"/>
      <c r="BPP61" s="2841"/>
      <c r="BPQ61" s="2841"/>
      <c r="BPR61" s="2841"/>
      <c r="BPS61" s="2841"/>
      <c r="BPT61" s="2841"/>
      <c r="BPU61" s="2841"/>
      <c r="BPV61" s="2841"/>
      <c r="BPW61" s="2841"/>
      <c r="BPX61" s="2841"/>
      <c r="BPY61" s="2841"/>
      <c r="BPZ61" s="2841"/>
      <c r="BQA61" s="2841"/>
      <c r="BQB61" s="2841"/>
      <c r="BQC61" s="2841"/>
      <c r="BQD61" s="2841"/>
      <c r="BQE61" s="2841"/>
      <c r="BQF61" s="2841"/>
      <c r="BQG61" s="2841"/>
      <c r="BQH61" s="2841"/>
      <c r="BQI61" s="2841"/>
      <c r="BQJ61" s="2841"/>
      <c r="BQK61" s="2841"/>
      <c r="BQL61" s="2841"/>
      <c r="BQM61" s="2841"/>
      <c r="BQN61" s="2841"/>
      <c r="BQO61" s="2841"/>
      <c r="BQP61" s="2841"/>
      <c r="BQQ61" s="2841"/>
      <c r="BQR61" s="2841"/>
      <c r="BQS61" s="2841"/>
      <c r="BQT61" s="2841"/>
      <c r="BQU61" s="2841"/>
      <c r="BQV61" s="2841"/>
      <c r="BQW61" s="2841"/>
      <c r="BQX61" s="2841"/>
      <c r="BQY61" s="2841"/>
      <c r="BQZ61" s="2841"/>
      <c r="BRA61" s="2841"/>
      <c r="BRB61" s="2841"/>
      <c r="BRC61" s="2841"/>
      <c r="BRD61" s="2841"/>
      <c r="BRE61" s="2841"/>
      <c r="BRF61" s="2841"/>
      <c r="BRG61" s="2841"/>
      <c r="BRH61" s="2841"/>
      <c r="BRI61" s="2841"/>
      <c r="BRJ61" s="2841"/>
      <c r="BRK61" s="2841"/>
      <c r="BRL61" s="2841"/>
      <c r="BRM61" s="2841"/>
      <c r="BRN61" s="2841"/>
      <c r="BRO61" s="2841"/>
      <c r="BRP61" s="2841"/>
      <c r="BRQ61" s="2841"/>
      <c r="BRR61" s="2841"/>
      <c r="BRS61" s="2841"/>
      <c r="BRT61" s="2841"/>
      <c r="BRU61" s="2841"/>
      <c r="BRV61" s="2841"/>
      <c r="BRW61" s="2841"/>
      <c r="BRX61" s="2841"/>
      <c r="BRY61" s="2841"/>
      <c r="BRZ61" s="2841"/>
      <c r="BSA61" s="2841"/>
      <c r="BSB61" s="2841"/>
      <c r="BSC61" s="2841"/>
      <c r="BSD61" s="2841"/>
      <c r="BSE61" s="2841"/>
      <c r="BSF61" s="2841"/>
      <c r="BSG61" s="2841"/>
      <c r="BSH61" s="2841"/>
      <c r="BSI61" s="2841"/>
      <c r="BSJ61" s="2841"/>
      <c r="BSK61" s="2841"/>
      <c r="BSL61" s="2841"/>
      <c r="BSM61" s="2841"/>
      <c r="BSN61" s="2841"/>
      <c r="BSO61" s="2841"/>
      <c r="BSP61" s="2841"/>
      <c r="BSQ61" s="2841"/>
      <c r="BSR61" s="2841"/>
      <c r="BSS61" s="2841"/>
      <c r="BST61" s="2841"/>
      <c r="BSU61" s="2841"/>
      <c r="BSV61" s="2841"/>
      <c r="BSW61" s="2841"/>
      <c r="BSX61" s="2841"/>
      <c r="BSY61" s="2841"/>
      <c r="BSZ61" s="2841"/>
      <c r="BTA61" s="2841"/>
      <c r="BTB61" s="2841"/>
      <c r="BTC61" s="2841"/>
      <c r="BTD61" s="2841"/>
      <c r="BTE61" s="2841"/>
      <c r="BTF61" s="2841"/>
      <c r="BTG61" s="2841"/>
      <c r="BTH61" s="2841"/>
      <c r="BTI61" s="2841"/>
      <c r="BTJ61" s="2841"/>
      <c r="BTK61" s="2841"/>
      <c r="BTL61" s="2841"/>
      <c r="BTM61" s="2841"/>
      <c r="BTN61" s="2841"/>
      <c r="BTO61" s="2841"/>
      <c r="BTP61" s="2841"/>
      <c r="BTQ61" s="2841"/>
      <c r="BTR61" s="2841"/>
      <c r="BTS61" s="2841"/>
      <c r="BTT61" s="2841"/>
      <c r="BTU61" s="2841"/>
      <c r="BTV61" s="2841"/>
      <c r="BTW61" s="2841"/>
      <c r="BTX61" s="2841"/>
      <c r="BTY61" s="2841"/>
      <c r="BTZ61" s="2841"/>
      <c r="BUA61" s="2841"/>
      <c r="BUB61" s="2841"/>
      <c r="BUC61" s="2841"/>
      <c r="BUD61" s="2841"/>
      <c r="BUE61" s="2841"/>
      <c r="BUF61" s="2841"/>
      <c r="BUG61" s="2841"/>
      <c r="BUH61" s="2841"/>
      <c r="BUI61" s="2841"/>
      <c r="BUJ61" s="2841"/>
      <c r="BUK61" s="2841"/>
      <c r="BUL61" s="2841"/>
      <c r="BUM61" s="2841"/>
      <c r="BUN61" s="2841"/>
      <c r="BUO61" s="2841"/>
      <c r="BUP61" s="2841"/>
      <c r="BUQ61" s="2841"/>
      <c r="BUR61" s="2841"/>
      <c r="BUS61" s="2841"/>
      <c r="BUT61" s="2841"/>
      <c r="BUU61" s="2841"/>
      <c r="BUV61" s="2841"/>
      <c r="BUW61" s="2841"/>
      <c r="BUX61" s="2841"/>
      <c r="BUY61" s="2841"/>
      <c r="BUZ61" s="2841"/>
      <c r="BVA61" s="2841"/>
      <c r="BVB61" s="2841"/>
      <c r="BVC61" s="2841"/>
      <c r="BVD61" s="2841"/>
      <c r="BVE61" s="2841"/>
      <c r="BVF61" s="2841"/>
      <c r="BVG61" s="2841"/>
      <c r="BVH61" s="2841"/>
      <c r="BVI61" s="2841"/>
      <c r="BVJ61" s="2841"/>
      <c r="BVK61" s="2841"/>
      <c r="BVL61" s="2841"/>
      <c r="BVM61" s="2841"/>
      <c r="BVN61" s="2841"/>
      <c r="BVO61" s="2841"/>
      <c r="BVP61" s="2841"/>
      <c r="BVQ61" s="2841"/>
      <c r="BVR61" s="2841"/>
      <c r="BVS61" s="2841"/>
      <c r="BVT61" s="2841"/>
      <c r="BVU61" s="2841"/>
      <c r="BVV61" s="2841"/>
      <c r="BVW61" s="2841"/>
      <c r="BVX61" s="2841"/>
      <c r="BVY61" s="2841"/>
      <c r="BVZ61" s="2841"/>
      <c r="BWA61" s="2841"/>
      <c r="BWB61" s="2841"/>
      <c r="BWC61" s="2841"/>
      <c r="BWD61" s="2841"/>
    </row>
    <row r="62" spans="1:1954" ht="16.5" x14ac:dyDescent="0.3">
      <c r="A62" s="2836" t="s">
        <v>2795</v>
      </c>
      <c r="B62" s="2837">
        <v>257.11169418815882</v>
      </c>
      <c r="C62" s="2837">
        <v>127.14072384000001</v>
      </c>
      <c r="D62" s="2837">
        <v>384.25241802815879</v>
      </c>
      <c r="F62" s="691"/>
      <c r="G62" s="691"/>
      <c r="H62" s="691"/>
      <c r="I62" s="691"/>
      <c r="J62" s="2831"/>
      <c r="K62" s="2831"/>
      <c r="L62" s="2831"/>
    </row>
    <row r="63" spans="1:1954" ht="16.5" x14ac:dyDescent="0.3">
      <c r="A63" s="2836" t="s">
        <v>2796</v>
      </c>
      <c r="B63" s="2837">
        <v>28.336035350000003</v>
      </c>
      <c r="C63" s="2837">
        <v>15.482960460000001</v>
      </c>
      <c r="D63" s="2837">
        <v>43.818995810000004</v>
      </c>
      <c r="F63" s="691"/>
      <c r="G63" s="691"/>
      <c r="H63" s="691"/>
      <c r="I63" s="691"/>
      <c r="J63" s="2831"/>
      <c r="K63" s="2831"/>
      <c r="L63" s="2831"/>
    </row>
    <row r="64" spans="1:1954" ht="16.5" x14ac:dyDescent="0.3">
      <c r="A64" s="2836" t="s">
        <v>2797</v>
      </c>
      <c r="B64" s="2837">
        <v>102.06366086999999</v>
      </c>
      <c r="C64" s="2837">
        <v>70.517650799999998</v>
      </c>
      <c r="D64" s="2837">
        <v>172.58131167000002</v>
      </c>
      <c r="F64" s="691"/>
      <c r="G64" s="691"/>
      <c r="H64" s="691"/>
      <c r="I64" s="691"/>
      <c r="J64" s="2831"/>
      <c r="K64" s="2831"/>
      <c r="L64" s="2831"/>
    </row>
    <row r="65" spans="1:12" ht="17.25" thickBot="1" x14ac:dyDescent="0.35">
      <c r="A65" s="2843" t="s">
        <v>2798</v>
      </c>
      <c r="B65" s="2844">
        <v>546.96336857529354</v>
      </c>
      <c r="C65" s="2844">
        <v>9.7996197299999999</v>
      </c>
      <c r="D65" s="2844">
        <v>556.76298830529356</v>
      </c>
      <c r="F65" s="691"/>
      <c r="G65" s="691"/>
      <c r="H65" s="691"/>
      <c r="I65" s="691"/>
      <c r="J65" s="2831"/>
      <c r="K65" s="2831"/>
      <c r="L65" s="2831"/>
    </row>
    <row r="66" spans="1:12" ht="15.75" thickTop="1" x14ac:dyDescent="0.25">
      <c r="A66" s="2845" t="s">
        <v>2799</v>
      </c>
      <c r="B66" s="2846"/>
      <c r="C66" s="2846"/>
      <c r="D66" s="2846"/>
      <c r="G66" s="691"/>
      <c r="H66" s="691"/>
      <c r="I66" s="691"/>
      <c r="J66" s="2831"/>
      <c r="K66" s="2831"/>
      <c r="L66" s="2831"/>
    </row>
    <row r="67" spans="1:12" ht="15.75" thickBot="1" x14ac:dyDescent="0.3">
      <c r="A67" s="2847"/>
      <c r="B67" s="2846"/>
      <c r="C67" s="2846"/>
      <c r="D67" s="1694"/>
      <c r="G67" s="691"/>
      <c r="H67" s="691"/>
      <c r="I67" s="691"/>
      <c r="J67" s="2831"/>
      <c r="K67" s="2831"/>
      <c r="L67" s="2831"/>
    </row>
    <row r="68" spans="1:12" ht="20.45" customHeight="1" thickTop="1" thickBot="1" x14ac:dyDescent="0.35">
      <c r="A68" s="2848" t="s">
        <v>2737</v>
      </c>
      <c r="B68" s="2652" t="s">
        <v>1537</v>
      </c>
      <c r="C68" s="2652" t="s">
        <v>2800</v>
      </c>
      <c r="D68" s="2652" t="s">
        <v>387</v>
      </c>
      <c r="G68" s="691"/>
      <c r="H68" s="691"/>
      <c r="I68" s="691"/>
      <c r="J68" s="2831"/>
      <c r="K68" s="2831"/>
      <c r="L68" s="2831"/>
    </row>
    <row r="69" spans="1:12" ht="17.25" thickTop="1" x14ac:dyDescent="0.3">
      <c r="A69" s="2832" t="s">
        <v>2801</v>
      </c>
      <c r="B69" s="2849">
        <v>2751.4659368146545</v>
      </c>
      <c r="C69" s="2849">
        <v>755.13712000518899</v>
      </c>
      <c r="D69" s="2849">
        <v>3506.6030568198444</v>
      </c>
      <c r="F69" s="691"/>
      <c r="G69" s="691"/>
      <c r="H69" s="691"/>
      <c r="I69" s="691"/>
      <c r="J69" s="2831"/>
      <c r="K69" s="2831"/>
      <c r="L69" s="2831"/>
    </row>
    <row r="70" spans="1:12" ht="16.5" x14ac:dyDescent="0.3">
      <c r="A70" s="2834" t="s">
        <v>2802</v>
      </c>
      <c r="B70" s="2850">
        <v>232.48359568999999</v>
      </c>
      <c r="C70" s="2850">
        <v>67.391043570000008</v>
      </c>
      <c r="D70" s="2850">
        <v>299.87463926000004</v>
      </c>
      <c r="F70" s="691"/>
      <c r="G70" s="691"/>
      <c r="H70" s="691"/>
      <c r="I70" s="691"/>
      <c r="J70" s="2831"/>
      <c r="K70" s="2831"/>
      <c r="L70" s="2831"/>
    </row>
    <row r="71" spans="1:12" ht="16.5" x14ac:dyDescent="0.3">
      <c r="A71" s="2834" t="s">
        <v>2803</v>
      </c>
      <c r="B71" s="2850">
        <v>166.49112410000004</v>
      </c>
      <c r="C71" s="2850">
        <v>7.73418326</v>
      </c>
      <c r="D71" s="2850">
        <v>174.22530736000002</v>
      </c>
      <c r="F71" s="691"/>
      <c r="G71" s="691"/>
      <c r="H71" s="691"/>
      <c r="I71" s="691"/>
      <c r="J71" s="2831"/>
      <c r="K71" s="2831"/>
      <c r="L71" s="2831"/>
    </row>
    <row r="72" spans="1:12" ht="16.5" x14ac:dyDescent="0.3">
      <c r="A72" s="2834" t="s">
        <v>2804</v>
      </c>
      <c r="B72" s="2850">
        <v>158.60460917</v>
      </c>
      <c r="C72" s="2850">
        <v>0</v>
      </c>
      <c r="D72" s="2850">
        <v>158.60460917</v>
      </c>
      <c r="F72" s="691"/>
      <c r="G72" s="691"/>
      <c r="H72" s="691"/>
      <c r="I72" s="691"/>
      <c r="J72" s="2831"/>
      <c r="K72" s="2831"/>
      <c r="L72" s="2831"/>
    </row>
    <row r="73" spans="1:12" ht="16.5" x14ac:dyDescent="0.3">
      <c r="A73" s="2834" t="s">
        <v>2805</v>
      </c>
      <c r="B73" s="2850">
        <v>1866.2911796712624</v>
      </c>
      <c r="C73" s="2850">
        <v>558.18012601518899</v>
      </c>
      <c r="D73" s="2850">
        <v>2424.4713056864512</v>
      </c>
      <c r="F73" s="691"/>
      <c r="G73" s="691"/>
      <c r="H73" s="691"/>
      <c r="I73" s="691"/>
      <c r="J73" s="2831"/>
      <c r="K73" s="2831"/>
      <c r="L73" s="2831"/>
    </row>
    <row r="74" spans="1:12" ht="16.5" x14ac:dyDescent="0.3">
      <c r="A74" s="2834" t="s">
        <v>2806</v>
      </c>
      <c r="B74" s="2850">
        <v>279.75074650825991</v>
      </c>
      <c r="C74" s="2850">
        <v>21.968875079999997</v>
      </c>
      <c r="D74" s="2850">
        <v>301.71962158825994</v>
      </c>
      <c r="F74" s="691"/>
      <c r="G74" s="691"/>
      <c r="H74" s="691"/>
      <c r="I74" s="691"/>
      <c r="J74" s="2831"/>
      <c r="K74" s="2831"/>
      <c r="L74" s="2831"/>
    </row>
    <row r="75" spans="1:12" ht="16.5" x14ac:dyDescent="0.3">
      <c r="A75" s="2834" t="s">
        <v>2807</v>
      </c>
      <c r="B75" s="2850">
        <v>47.844681675132094</v>
      </c>
      <c r="C75" s="2850">
        <v>99.862892080000009</v>
      </c>
      <c r="D75" s="2850">
        <v>147.7075737551321</v>
      </c>
      <c r="F75" s="691"/>
      <c r="G75" s="691"/>
      <c r="H75" s="691"/>
      <c r="I75" s="691"/>
      <c r="J75" s="2831"/>
      <c r="K75" s="2831"/>
      <c r="L75" s="2831"/>
    </row>
    <row r="76" spans="1:12" ht="16.5" x14ac:dyDescent="0.3">
      <c r="A76" s="2832" t="s">
        <v>2808</v>
      </c>
      <c r="B76" s="2849">
        <v>18902.534214592361</v>
      </c>
      <c r="C76" s="2849">
        <v>4450.4442968571821</v>
      </c>
      <c r="D76" s="2849">
        <v>23352.978511449546</v>
      </c>
      <c r="F76" s="691"/>
      <c r="G76" s="691"/>
      <c r="H76" s="691"/>
      <c r="I76" s="691"/>
      <c r="J76" s="2831"/>
      <c r="K76" s="2831"/>
      <c r="L76" s="2831"/>
    </row>
    <row r="77" spans="1:12" ht="16.5" x14ac:dyDescent="0.3">
      <c r="A77" s="2832" t="s">
        <v>2809</v>
      </c>
      <c r="B77" s="2849">
        <v>3733.0075860187249</v>
      </c>
      <c r="C77" s="2849">
        <v>659.88238287929971</v>
      </c>
      <c r="D77" s="2849">
        <v>4392.8899688980246</v>
      </c>
      <c r="F77" s="691"/>
      <c r="G77" s="691"/>
      <c r="H77" s="691"/>
      <c r="I77" s="691"/>
      <c r="J77" s="2831"/>
      <c r="K77" s="2831"/>
      <c r="L77" s="2831"/>
    </row>
    <row r="78" spans="1:12" ht="16.5" x14ac:dyDescent="0.3">
      <c r="A78" s="2834" t="s">
        <v>2810</v>
      </c>
      <c r="B78" s="2850">
        <v>296.36221828999999</v>
      </c>
      <c r="C78" s="2850">
        <v>2.0186578799999997</v>
      </c>
      <c r="D78" s="2850">
        <v>298.38087616999996</v>
      </c>
      <c r="F78" s="691"/>
      <c r="G78" s="691"/>
      <c r="H78" s="691"/>
      <c r="I78" s="691"/>
      <c r="J78" s="2831"/>
      <c r="K78" s="2831"/>
      <c r="L78" s="2831"/>
    </row>
    <row r="79" spans="1:12" ht="16.5" x14ac:dyDescent="0.3">
      <c r="A79" s="2834" t="s">
        <v>2811</v>
      </c>
      <c r="B79" s="2850">
        <v>1917.0760760615046</v>
      </c>
      <c r="C79" s="2850">
        <v>403.37309352</v>
      </c>
      <c r="D79" s="2850">
        <v>2320.4491695815045</v>
      </c>
      <c r="F79" s="691"/>
      <c r="G79" s="691"/>
      <c r="H79" s="691"/>
      <c r="I79" s="691"/>
      <c r="J79" s="2831"/>
      <c r="K79" s="2831"/>
      <c r="L79" s="2831"/>
    </row>
    <row r="80" spans="1:12" ht="16.5" x14ac:dyDescent="0.3">
      <c r="A80" s="2834" t="s">
        <v>2812</v>
      </c>
      <c r="B80" s="2850">
        <v>121.27283754999999</v>
      </c>
      <c r="C80" s="2850">
        <v>2.2792029999999998E-2</v>
      </c>
      <c r="D80" s="2850">
        <v>121.29562958</v>
      </c>
      <c r="F80" s="691"/>
      <c r="G80" s="691"/>
      <c r="H80" s="691"/>
      <c r="I80" s="691"/>
      <c r="J80" s="2831"/>
      <c r="K80" s="2831"/>
      <c r="L80" s="2831"/>
    </row>
    <row r="81" spans="1:12" ht="16.5" x14ac:dyDescent="0.3">
      <c r="A81" s="2834" t="s">
        <v>2813</v>
      </c>
      <c r="B81" s="2850">
        <v>22.105075639999999</v>
      </c>
      <c r="C81" s="2850">
        <v>1.8852000000000002E-4</v>
      </c>
      <c r="D81" s="2850">
        <v>22.105264160000001</v>
      </c>
      <c r="F81" s="691"/>
      <c r="G81" s="691"/>
      <c r="H81" s="691"/>
      <c r="I81" s="691"/>
      <c r="J81" s="2831"/>
      <c r="K81" s="2831"/>
      <c r="L81" s="2831"/>
    </row>
    <row r="82" spans="1:12" ht="16.5" x14ac:dyDescent="0.3">
      <c r="A82" s="2834" t="s">
        <v>2814</v>
      </c>
      <c r="B82" s="2850">
        <v>108.19813159</v>
      </c>
      <c r="C82" s="2850">
        <v>4.8241539999999999E-2</v>
      </c>
      <c r="D82" s="2850">
        <v>108.24637312999999</v>
      </c>
      <c r="F82" s="691"/>
      <c r="G82" s="691"/>
      <c r="H82" s="691"/>
      <c r="I82" s="691"/>
      <c r="J82" s="2831"/>
      <c r="K82" s="2831"/>
      <c r="L82" s="2831"/>
    </row>
    <row r="83" spans="1:12" ht="16.5" x14ac:dyDescent="0.3">
      <c r="A83" s="2834" t="s">
        <v>2815</v>
      </c>
      <c r="B83" s="2850">
        <v>1267.99324688722</v>
      </c>
      <c r="C83" s="2850">
        <v>254.41940938929977</v>
      </c>
      <c r="D83" s="2850">
        <v>1522.4126562765202</v>
      </c>
      <c r="F83" s="691"/>
      <c r="G83" s="691"/>
      <c r="H83" s="691"/>
      <c r="I83" s="691"/>
      <c r="J83" s="2831"/>
      <c r="K83" s="2831"/>
      <c r="L83" s="2831"/>
    </row>
    <row r="84" spans="1:12" ht="16.5" x14ac:dyDescent="0.3">
      <c r="A84" s="2832" t="s">
        <v>2816</v>
      </c>
      <c r="B84" s="2849">
        <v>2603.3422573316902</v>
      </c>
      <c r="C84" s="2849">
        <v>342.46382554336554</v>
      </c>
      <c r="D84" s="2849">
        <v>2945.8060828750558</v>
      </c>
      <c r="F84" s="691"/>
      <c r="G84" s="691"/>
      <c r="H84" s="691"/>
      <c r="I84" s="691"/>
      <c r="J84" s="2831"/>
      <c r="K84" s="2831"/>
      <c r="L84" s="2831"/>
    </row>
    <row r="85" spans="1:12" ht="16.5" x14ac:dyDescent="0.3">
      <c r="A85" s="2834" t="s">
        <v>2817</v>
      </c>
      <c r="B85" s="2850">
        <v>1071.5759331199999</v>
      </c>
      <c r="C85" s="2850">
        <v>216.46331047877291</v>
      </c>
      <c r="D85" s="2850">
        <v>1288.0392435987728</v>
      </c>
      <c r="F85" s="691"/>
      <c r="G85" s="691"/>
      <c r="H85" s="691"/>
      <c r="I85" s="691"/>
      <c r="J85" s="2831"/>
      <c r="K85" s="2831"/>
      <c r="L85" s="2831"/>
    </row>
    <row r="86" spans="1:12" ht="16.5" x14ac:dyDescent="0.3">
      <c r="A86" s="2834" t="s">
        <v>2818</v>
      </c>
      <c r="B86" s="2850">
        <v>23.73059039</v>
      </c>
      <c r="C86" s="2850">
        <v>9.240229824592701</v>
      </c>
      <c r="D86" s="2850">
        <v>32.970820214592692</v>
      </c>
      <c r="F86" s="691"/>
      <c r="G86" s="691"/>
      <c r="H86" s="691"/>
      <c r="I86" s="691"/>
      <c r="J86" s="2831"/>
      <c r="K86" s="2831"/>
      <c r="L86" s="2831"/>
    </row>
    <row r="87" spans="1:12" ht="16.5" x14ac:dyDescent="0.3">
      <c r="A87" s="2834" t="s">
        <v>2819</v>
      </c>
      <c r="B87" s="2850">
        <v>399.02421650423645</v>
      </c>
      <c r="C87" s="2850">
        <v>60.174458280000003</v>
      </c>
      <c r="D87" s="2850">
        <v>459.19867478423646</v>
      </c>
      <c r="F87" s="691"/>
      <c r="G87" s="691"/>
      <c r="H87" s="691"/>
      <c r="I87" s="691"/>
      <c r="J87" s="2831"/>
      <c r="K87" s="2831"/>
      <c r="L87" s="2831"/>
    </row>
    <row r="88" spans="1:12" ht="16.5" x14ac:dyDescent="0.3">
      <c r="A88" s="2834" t="s">
        <v>2820</v>
      </c>
      <c r="B88" s="2850">
        <v>105.75596662999999</v>
      </c>
      <c r="C88" s="2850">
        <v>0</v>
      </c>
      <c r="D88" s="2850">
        <v>105.75596662999999</v>
      </c>
      <c r="F88" s="691"/>
      <c r="G88" s="691"/>
      <c r="H88" s="691"/>
      <c r="I88" s="691"/>
      <c r="J88" s="2831"/>
      <c r="K88" s="2831"/>
      <c r="L88" s="2831"/>
    </row>
    <row r="89" spans="1:12" ht="16.5" x14ac:dyDescent="0.3">
      <c r="A89" s="2834" t="s">
        <v>2821</v>
      </c>
      <c r="B89" s="2850">
        <v>186.55147502</v>
      </c>
      <c r="C89" s="2850">
        <v>31.874838260000001</v>
      </c>
      <c r="D89" s="2850">
        <v>218.42631327999999</v>
      </c>
      <c r="F89" s="691"/>
      <c r="G89" s="691"/>
      <c r="H89" s="691"/>
      <c r="I89" s="691"/>
      <c r="J89" s="2831"/>
      <c r="K89" s="2831"/>
      <c r="L89" s="2831"/>
    </row>
    <row r="90" spans="1:12" ht="16.5" x14ac:dyDescent="0.3">
      <c r="A90" s="2834" t="s">
        <v>2822</v>
      </c>
      <c r="B90" s="2850">
        <v>816.70407566745348</v>
      </c>
      <c r="C90" s="2850">
        <v>24.710988699999998</v>
      </c>
      <c r="D90" s="2850">
        <v>841.41506436745362</v>
      </c>
      <c r="F90" s="691"/>
      <c r="G90" s="691"/>
      <c r="H90" s="691"/>
      <c r="I90" s="691"/>
      <c r="J90" s="2831"/>
      <c r="K90" s="2831"/>
      <c r="L90" s="2831"/>
    </row>
    <row r="91" spans="1:12" ht="16.5" x14ac:dyDescent="0.3">
      <c r="A91" s="2832" t="s">
        <v>2823</v>
      </c>
      <c r="B91" s="2849">
        <v>776.91513755000005</v>
      </c>
      <c r="C91" s="2849">
        <v>147.16955173999997</v>
      </c>
      <c r="D91" s="2849">
        <v>924.08468929000026</v>
      </c>
      <c r="F91" s="691"/>
      <c r="G91" s="691"/>
      <c r="H91" s="691"/>
      <c r="I91" s="691"/>
      <c r="J91" s="2831"/>
      <c r="K91" s="2831"/>
      <c r="L91" s="2831"/>
    </row>
    <row r="92" spans="1:12" ht="16.5" x14ac:dyDescent="0.3">
      <c r="A92" s="2834" t="s">
        <v>2824</v>
      </c>
      <c r="B92" s="2850">
        <v>212.40434556</v>
      </c>
      <c r="C92" s="2850">
        <v>8.1689999999999999E-5</v>
      </c>
      <c r="D92" s="2850">
        <v>212.40442725</v>
      </c>
      <c r="F92" s="691"/>
      <c r="G92" s="691"/>
      <c r="H92" s="691"/>
      <c r="I92" s="691"/>
      <c r="J92" s="2831"/>
      <c r="K92" s="2831"/>
      <c r="L92" s="2831"/>
    </row>
    <row r="93" spans="1:12" ht="16.5" x14ac:dyDescent="0.3">
      <c r="A93" s="2834" t="s">
        <v>2825</v>
      </c>
      <c r="B93" s="2850">
        <v>237.71425136000002</v>
      </c>
      <c r="C93" s="2850">
        <v>1.0855699999999999E-3</v>
      </c>
      <c r="D93" s="2850">
        <v>237.71533693000001</v>
      </c>
      <c r="F93" s="691"/>
      <c r="G93" s="691"/>
      <c r="H93" s="691"/>
      <c r="I93" s="691"/>
      <c r="J93" s="2831"/>
      <c r="K93" s="2831"/>
      <c r="L93" s="2831"/>
    </row>
    <row r="94" spans="1:12" ht="16.5" x14ac:dyDescent="0.3">
      <c r="A94" s="2834" t="s">
        <v>2826</v>
      </c>
      <c r="B94" s="2850">
        <v>29.128779379999997</v>
      </c>
      <c r="C94" s="2850">
        <v>147.11884122999999</v>
      </c>
      <c r="D94" s="2850">
        <v>176.24762061000001</v>
      </c>
      <c r="F94" s="691"/>
      <c r="G94" s="691"/>
      <c r="H94" s="691"/>
      <c r="I94" s="691"/>
      <c r="J94" s="2831"/>
      <c r="K94" s="2831"/>
      <c r="L94" s="2831"/>
    </row>
    <row r="95" spans="1:12" ht="16.5" x14ac:dyDescent="0.3">
      <c r="A95" s="2834" t="s">
        <v>2827</v>
      </c>
      <c r="B95" s="2850">
        <v>207.64136965</v>
      </c>
      <c r="C95" s="2850">
        <v>4.794329E-2</v>
      </c>
      <c r="D95" s="2850">
        <v>207.68931294000001</v>
      </c>
      <c r="F95" s="691"/>
      <c r="G95" s="691"/>
      <c r="H95" s="691"/>
      <c r="I95" s="691"/>
      <c r="J95" s="2831"/>
      <c r="K95" s="2831"/>
      <c r="L95" s="2831"/>
    </row>
    <row r="96" spans="1:12" ht="16.5" x14ac:dyDescent="0.3">
      <c r="A96" s="2834" t="s">
        <v>2828</v>
      </c>
      <c r="B96" s="2850">
        <v>90.026391600000011</v>
      </c>
      <c r="C96" s="2850">
        <v>1.5999600000000001E-3</v>
      </c>
      <c r="D96" s="2850">
        <v>90.027991560000004</v>
      </c>
      <c r="F96" s="691"/>
      <c r="G96" s="691"/>
      <c r="H96" s="691"/>
      <c r="I96" s="691"/>
      <c r="J96" s="2831"/>
      <c r="K96" s="2831"/>
      <c r="L96" s="2831"/>
    </row>
    <row r="97" spans="1:12" ht="16.5" x14ac:dyDescent="0.3">
      <c r="A97" s="2832" t="s">
        <v>2829</v>
      </c>
      <c r="B97" s="2849">
        <v>1658.2526983299999</v>
      </c>
      <c r="C97" s="2849">
        <v>0.33616802999900003</v>
      </c>
      <c r="D97" s="2849">
        <v>1658.5888663599992</v>
      </c>
      <c r="F97" s="691"/>
      <c r="G97" s="691"/>
      <c r="H97" s="691"/>
      <c r="I97" s="691"/>
      <c r="J97" s="2831"/>
      <c r="K97" s="2831"/>
      <c r="L97" s="2831"/>
    </row>
    <row r="98" spans="1:12" ht="16.5" x14ac:dyDescent="0.3">
      <c r="A98" s="2834" t="s">
        <v>2830</v>
      </c>
      <c r="B98" s="2850">
        <v>1287.0461436199998</v>
      </c>
      <c r="C98" s="2850">
        <v>0.33616785999999999</v>
      </c>
      <c r="D98" s="2850">
        <v>1287.3823114800002</v>
      </c>
      <c r="F98" s="691"/>
      <c r="G98" s="691"/>
      <c r="H98" s="691"/>
      <c r="I98" s="691"/>
      <c r="J98" s="2831"/>
      <c r="K98" s="2831"/>
      <c r="L98" s="2831"/>
    </row>
    <row r="99" spans="1:12" ht="16.5" x14ac:dyDescent="0.3">
      <c r="A99" s="2834" t="s">
        <v>2831</v>
      </c>
      <c r="B99" s="2850">
        <v>371.20655470999998</v>
      </c>
      <c r="C99" s="2850">
        <v>1.6999900000000001E-7</v>
      </c>
      <c r="D99" s="2850">
        <v>371.20655487999898</v>
      </c>
      <c r="F99" s="691"/>
      <c r="G99" s="691"/>
      <c r="H99" s="691"/>
      <c r="I99" s="691"/>
      <c r="J99" s="2831"/>
      <c r="K99" s="2831"/>
      <c r="L99" s="2831"/>
    </row>
    <row r="100" spans="1:12" ht="16.5" x14ac:dyDescent="0.3">
      <c r="A100" s="2832" t="s">
        <v>2832</v>
      </c>
      <c r="B100" s="2849">
        <v>1509.64036878</v>
      </c>
      <c r="C100" s="2849">
        <v>212.16609022</v>
      </c>
      <c r="D100" s="2849">
        <v>1721.8064589999999</v>
      </c>
      <c r="F100" s="691"/>
      <c r="G100" s="691"/>
      <c r="H100" s="691"/>
      <c r="I100" s="691"/>
      <c r="J100" s="2831"/>
      <c r="K100" s="2831"/>
      <c r="L100" s="2831"/>
    </row>
    <row r="101" spans="1:12" ht="16.5" x14ac:dyDescent="0.3">
      <c r="A101" s="2834" t="s">
        <v>2833</v>
      </c>
      <c r="B101" s="2850">
        <v>376.55913745000004</v>
      </c>
      <c r="C101" s="2850">
        <v>5.2717649999999991E-2</v>
      </c>
      <c r="D101" s="2850">
        <v>376.61185510000001</v>
      </c>
      <c r="F101" s="691"/>
      <c r="G101" s="691"/>
      <c r="H101" s="691"/>
      <c r="I101" s="691"/>
      <c r="J101" s="2831"/>
      <c r="K101" s="2831"/>
      <c r="L101" s="2831"/>
    </row>
    <row r="102" spans="1:12" ht="16.5" x14ac:dyDescent="0.3">
      <c r="A102" s="2834" t="s">
        <v>2834</v>
      </c>
      <c r="B102" s="2850">
        <v>348.83962442000001</v>
      </c>
      <c r="C102" s="2850">
        <v>0</v>
      </c>
      <c r="D102" s="2850">
        <v>348.83962442000001</v>
      </c>
      <c r="F102" s="691"/>
      <c r="G102" s="691"/>
      <c r="H102" s="691"/>
      <c r="I102" s="691"/>
      <c r="J102" s="2831"/>
      <c r="K102" s="2831"/>
      <c r="L102" s="2831"/>
    </row>
    <row r="103" spans="1:12" ht="16.5" x14ac:dyDescent="0.3">
      <c r="A103" s="2834" t="s">
        <v>2835</v>
      </c>
      <c r="B103" s="2850">
        <v>340.66861398999998</v>
      </c>
      <c r="C103" s="2850">
        <v>3.0151000000000001E-4</v>
      </c>
      <c r="D103" s="2850">
        <v>340.66891550000003</v>
      </c>
      <c r="F103" s="691"/>
      <c r="G103" s="691"/>
      <c r="H103" s="691"/>
      <c r="I103" s="691"/>
      <c r="J103" s="2831"/>
      <c r="K103" s="2831"/>
      <c r="L103" s="2831"/>
    </row>
    <row r="104" spans="1:12" ht="16.5" x14ac:dyDescent="0.3">
      <c r="A104" s="2834" t="s">
        <v>2836</v>
      </c>
      <c r="B104" s="2850">
        <v>443.57299291999999</v>
      </c>
      <c r="C104" s="2850">
        <v>212.11307106000001</v>
      </c>
      <c r="D104" s="2850">
        <v>655.68606397999986</v>
      </c>
      <c r="F104" s="691"/>
      <c r="G104" s="691"/>
      <c r="H104" s="691"/>
      <c r="I104" s="691"/>
      <c r="J104" s="2831"/>
      <c r="K104" s="2831"/>
      <c r="L104" s="2831"/>
    </row>
    <row r="105" spans="1:12" ht="16.5" x14ac:dyDescent="0.3">
      <c r="A105" s="2832" t="s">
        <v>2837</v>
      </c>
      <c r="B105" s="2849">
        <v>404.58463745807398</v>
      </c>
      <c r="C105" s="2849">
        <v>123.73603693</v>
      </c>
      <c r="D105" s="2849">
        <v>528.32067438807394</v>
      </c>
      <c r="F105" s="691"/>
      <c r="G105" s="691"/>
      <c r="H105" s="691"/>
      <c r="I105" s="691"/>
      <c r="J105" s="2831"/>
      <c r="K105" s="2831"/>
      <c r="L105" s="2831"/>
    </row>
    <row r="106" spans="1:12" ht="16.5" x14ac:dyDescent="0.3">
      <c r="A106" s="2834" t="s">
        <v>2838</v>
      </c>
      <c r="B106" s="2850">
        <v>43.34270369</v>
      </c>
      <c r="C106" s="2850">
        <v>1.239169E-2</v>
      </c>
      <c r="D106" s="2850">
        <v>43.355095379999995</v>
      </c>
      <c r="F106" s="691"/>
      <c r="G106" s="691"/>
      <c r="H106" s="691"/>
      <c r="I106" s="691"/>
      <c r="J106" s="2831"/>
      <c r="K106" s="2831"/>
      <c r="L106" s="2831"/>
    </row>
    <row r="107" spans="1:12" ht="16.5" x14ac:dyDescent="0.3">
      <c r="A107" s="2834" t="s">
        <v>2839</v>
      </c>
      <c r="B107" s="2850">
        <v>190.08259738807399</v>
      </c>
      <c r="C107" s="2850">
        <v>123.57103564000001</v>
      </c>
      <c r="D107" s="2850">
        <v>313.65363302807395</v>
      </c>
      <c r="F107" s="691"/>
      <c r="G107" s="691"/>
      <c r="H107" s="691"/>
      <c r="I107" s="691"/>
      <c r="J107" s="2831"/>
      <c r="K107" s="2831"/>
      <c r="L107" s="2831"/>
    </row>
    <row r="108" spans="1:12" ht="17.25" thickBot="1" x14ac:dyDescent="0.35">
      <c r="A108" s="2834" t="s">
        <v>2840</v>
      </c>
      <c r="B108" s="2850">
        <v>171.15933637999998</v>
      </c>
      <c r="C108" s="2850">
        <v>0.15260960000000001</v>
      </c>
      <c r="D108" s="2850">
        <v>171.31194597999999</v>
      </c>
      <c r="F108" s="691"/>
      <c r="G108" s="691"/>
      <c r="H108" s="691"/>
      <c r="I108" s="691"/>
      <c r="J108" s="2831"/>
      <c r="K108" s="2831"/>
      <c r="L108" s="2831"/>
    </row>
    <row r="109" spans="1:12" ht="16.5" x14ac:dyDescent="0.3">
      <c r="A109" s="2851" t="s">
        <v>2841</v>
      </c>
      <c r="B109" s="2852">
        <v>153036.49347194118</v>
      </c>
      <c r="C109" s="2853">
        <v>2659.739944731969</v>
      </c>
      <c r="D109" s="2853">
        <v>155696.23341667315</v>
      </c>
      <c r="F109" s="2854"/>
      <c r="G109" s="691"/>
      <c r="H109" s="691"/>
      <c r="I109" s="691"/>
      <c r="J109" s="2831"/>
      <c r="K109" s="2831"/>
      <c r="L109" s="2831"/>
    </row>
    <row r="110" spans="1:12" ht="16.5" x14ac:dyDescent="0.3">
      <c r="A110" s="2836" t="s">
        <v>2842</v>
      </c>
      <c r="B110" s="2855">
        <v>108292.44363410318</v>
      </c>
      <c r="C110" s="2856">
        <v>1284.6701437594099</v>
      </c>
      <c r="D110" s="2856">
        <v>109577.1137778626</v>
      </c>
      <c r="F110" s="2854"/>
      <c r="G110" s="691"/>
      <c r="H110" s="691"/>
      <c r="I110" s="691"/>
      <c r="J110" s="2831"/>
      <c r="K110" s="2831"/>
      <c r="L110" s="2831"/>
    </row>
    <row r="111" spans="1:12" ht="16.5" x14ac:dyDescent="0.3">
      <c r="A111" s="2829" t="s">
        <v>2843</v>
      </c>
      <c r="B111" s="2857">
        <v>36385.962580056177</v>
      </c>
      <c r="C111" s="2858">
        <v>12175.976167482486</v>
      </c>
      <c r="D111" s="2858">
        <v>48561.938747538668</v>
      </c>
      <c r="F111" s="2854"/>
      <c r="G111" s="691"/>
      <c r="H111" s="691"/>
      <c r="I111" s="691"/>
      <c r="J111" s="2831"/>
      <c r="K111" s="2831"/>
      <c r="L111" s="2831"/>
    </row>
    <row r="112" spans="1:12" ht="17.25" thickBot="1" x14ac:dyDescent="0.35">
      <c r="A112" s="2829" t="s">
        <v>2844</v>
      </c>
      <c r="B112" s="2857">
        <v>5708.9952306199039</v>
      </c>
      <c r="C112" s="2858">
        <v>14098.70115739293</v>
      </c>
      <c r="D112" s="2858">
        <v>19807.696388012831</v>
      </c>
      <c r="F112" s="2854"/>
      <c r="G112" s="691"/>
      <c r="H112" s="691"/>
      <c r="I112" s="691"/>
      <c r="J112" s="2831"/>
      <c r="K112" s="2831"/>
      <c r="L112" s="2831"/>
    </row>
    <row r="113" spans="1:1954" ht="16.5" x14ac:dyDescent="0.3">
      <c r="A113" s="2859" t="s">
        <v>2845</v>
      </c>
      <c r="B113" s="2860">
        <v>1517.0217056500001</v>
      </c>
      <c r="C113" s="2861">
        <v>65701.12498595177</v>
      </c>
      <c r="D113" s="2861">
        <v>67218.146691601782</v>
      </c>
      <c r="F113" s="2854"/>
      <c r="G113" s="691"/>
      <c r="H113" s="691"/>
      <c r="I113" s="691"/>
      <c r="J113" s="2831"/>
      <c r="K113" s="2831"/>
      <c r="L113" s="2831"/>
    </row>
    <row r="114" spans="1:1954" ht="17.25" thickBot="1" x14ac:dyDescent="0.35">
      <c r="A114" s="2862" t="s">
        <v>2846</v>
      </c>
      <c r="B114" s="2863">
        <v>0.34320953000000004</v>
      </c>
      <c r="C114" s="2864">
        <v>6679.4511577861513</v>
      </c>
      <c r="D114" s="2864">
        <v>6679.7943673161508</v>
      </c>
      <c r="F114" s="2854"/>
      <c r="G114" s="691"/>
      <c r="H114" s="691"/>
      <c r="I114" s="691"/>
      <c r="J114" s="2831"/>
      <c r="K114" s="2831"/>
      <c r="L114" s="2831"/>
    </row>
    <row r="115" spans="1:1954" ht="18" thickTop="1" thickBot="1" x14ac:dyDescent="0.35">
      <c r="A115" s="2865" t="s">
        <v>2847</v>
      </c>
      <c r="B115" s="2866">
        <v>316556.14373458829</v>
      </c>
      <c r="C115" s="2867">
        <v>154496.136822411</v>
      </c>
      <c r="D115" s="2867">
        <v>471052.28055699938</v>
      </c>
      <c r="F115" s="2842"/>
      <c r="G115" s="691"/>
      <c r="H115" s="691"/>
      <c r="I115" s="691"/>
      <c r="J115" s="2831"/>
      <c r="K115" s="2831"/>
      <c r="L115" s="2831"/>
    </row>
    <row r="116" spans="1:1954" ht="21" customHeight="1" thickTop="1" thickBot="1" x14ac:dyDescent="0.35">
      <c r="A116" s="2865" t="s">
        <v>2848</v>
      </c>
      <c r="B116" s="2866">
        <v>315038.77881940827</v>
      </c>
      <c r="C116" s="2867">
        <v>82115.560678673079</v>
      </c>
      <c r="D116" s="2867">
        <v>397154.33949808142</v>
      </c>
      <c r="F116" s="2842"/>
      <c r="G116" s="691"/>
      <c r="H116" s="691"/>
      <c r="I116" s="691"/>
      <c r="J116" s="2831"/>
      <c r="K116" s="2831"/>
      <c r="L116" s="2831"/>
    </row>
    <row r="117" spans="1:1954" ht="17.25" customHeight="1" thickTop="1" x14ac:dyDescent="0.25">
      <c r="A117" s="3261" t="s">
        <v>173</v>
      </c>
      <c r="B117" s="3261"/>
      <c r="C117" s="3261"/>
      <c r="D117" s="3261"/>
    </row>
    <row r="118" spans="1:1954" ht="6.75" customHeight="1" x14ac:dyDescent="0.25">
      <c r="A118" s="2868"/>
      <c r="B118" s="1428"/>
      <c r="C118" s="1428"/>
      <c r="D118" s="1428"/>
    </row>
    <row r="119" spans="1:1954" ht="16.5" customHeight="1" x14ac:dyDescent="0.25">
      <c r="A119" s="2131" t="s">
        <v>2849</v>
      </c>
      <c r="B119" s="1428"/>
      <c r="C119" s="1428"/>
      <c r="D119" s="1428"/>
    </row>
    <row r="120" spans="1:1954" ht="16.5" customHeight="1" x14ac:dyDescent="0.25">
      <c r="A120" s="2131" t="s">
        <v>2850</v>
      </c>
      <c r="B120" s="1428"/>
      <c r="C120" s="1428"/>
      <c r="D120" s="1428"/>
    </row>
    <row r="121" spans="1:1954" ht="16.5" customHeight="1" x14ac:dyDescent="0.25">
      <c r="A121" s="2131" t="s">
        <v>2851</v>
      </c>
      <c r="B121" s="1428"/>
      <c r="C121" s="1428"/>
      <c r="D121" s="1428"/>
    </row>
    <row r="122" spans="1:1954" ht="16.5" customHeight="1" x14ac:dyDescent="0.25">
      <c r="A122" s="2131" t="s">
        <v>2852</v>
      </c>
      <c r="B122" s="1428"/>
      <c r="C122" s="1428"/>
      <c r="D122" s="1428"/>
    </row>
    <row r="123" spans="1:1954" s="476" customFormat="1" ht="16.5" customHeight="1" x14ac:dyDescent="0.25">
      <c r="A123" s="2131" t="s">
        <v>290</v>
      </c>
      <c r="B123" s="1427"/>
      <c r="C123" s="1427"/>
      <c r="D123" s="1427"/>
      <c r="E123" s="631"/>
      <c r="F123" s="631"/>
      <c r="G123" s="631"/>
      <c r="H123" s="631"/>
      <c r="I123" s="631"/>
      <c r="J123" s="631"/>
      <c r="K123" s="631"/>
      <c r="L123" s="631"/>
      <c r="M123" s="631"/>
      <c r="N123" s="631"/>
      <c r="O123" s="631"/>
      <c r="P123" s="631"/>
      <c r="Q123" s="631"/>
      <c r="R123" s="631"/>
      <c r="S123" s="631"/>
      <c r="T123" s="631"/>
      <c r="U123" s="631"/>
      <c r="V123" s="631"/>
      <c r="W123" s="631"/>
      <c r="X123" s="631"/>
      <c r="Y123" s="631"/>
      <c r="Z123" s="631"/>
      <c r="AA123" s="631"/>
      <c r="AB123" s="631"/>
      <c r="AC123" s="631"/>
      <c r="AD123" s="631"/>
      <c r="AE123" s="631"/>
      <c r="AF123" s="631"/>
      <c r="AG123" s="631"/>
      <c r="AH123" s="631"/>
      <c r="AI123" s="631"/>
      <c r="AJ123" s="631"/>
      <c r="AK123" s="631"/>
      <c r="AL123" s="631"/>
      <c r="AM123" s="631"/>
      <c r="AN123" s="631"/>
      <c r="AO123" s="631"/>
      <c r="AP123" s="631"/>
      <c r="AQ123" s="631"/>
      <c r="AR123" s="631"/>
      <c r="AS123" s="631"/>
      <c r="AT123" s="631"/>
      <c r="AU123" s="631"/>
      <c r="AV123" s="631"/>
      <c r="AW123" s="631"/>
      <c r="AX123" s="631"/>
      <c r="AY123" s="631"/>
      <c r="AZ123" s="631"/>
      <c r="BA123" s="631"/>
      <c r="BB123" s="631"/>
      <c r="BC123" s="631"/>
      <c r="BD123" s="631"/>
      <c r="BE123" s="631"/>
      <c r="BF123" s="631"/>
      <c r="BG123" s="631"/>
      <c r="BH123" s="631"/>
      <c r="BI123" s="631"/>
      <c r="BJ123" s="631"/>
      <c r="BK123" s="631"/>
      <c r="BL123" s="631"/>
      <c r="BM123" s="631"/>
      <c r="BN123" s="631"/>
      <c r="BO123" s="631"/>
      <c r="BP123" s="631"/>
      <c r="BQ123" s="631"/>
      <c r="BR123" s="631"/>
      <c r="BS123" s="631"/>
      <c r="BT123" s="631"/>
      <c r="BU123" s="631"/>
      <c r="BV123" s="631"/>
      <c r="BW123" s="631"/>
      <c r="BX123" s="631"/>
      <c r="BY123" s="631"/>
      <c r="BZ123" s="631"/>
      <c r="CA123" s="631"/>
      <c r="CB123" s="631"/>
      <c r="CC123" s="631"/>
      <c r="CD123" s="631"/>
      <c r="CE123" s="631"/>
      <c r="CF123" s="631"/>
      <c r="CG123" s="631"/>
      <c r="CH123" s="631"/>
      <c r="CI123" s="631"/>
      <c r="CJ123" s="631"/>
      <c r="CK123" s="631"/>
      <c r="CL123" s="631"/>
      <c r="CM123" s="631"/>
      <c r="CN123" s="631"/>
      <c r="CO123" s="631"/>
      <c r="CP123" s="631"/>
      <c r="CQ123" s="631"/>
      <c r="CR123" s="631"/>
      <c r="CS123" s="631"/>
      <c r="CT123" s="631"/>
      <c r="CU123" s="631"/>
      <c r="CV123" s="631"/>
      <c r="CW123" s="631"/>
      <c r="CX123" s="631"/>
      <c r="CY123" s="631"/>
      <c r="CZ123" s="631"/>
      <c r="DA123" s="631"/>
      <c r="DB123" s="631"/>
      <c r="DC123" s="631"/>
      <c r="DD123" s="631"/>
      <c r="DE123" s="631"/>
      <c r="DF123" s="631"/>
      <c r="DG123" s="631"/>
      <c r="DH123" s="631"/>
      <c r="DI123" s="631"/>
      <c r="DJ123" s="631"/>
      <c r="DK123" s="631"/>
      <c r="DL123" s="631"/>
      <c r="DM123" s="631"/>
      <c r="DN123" s="631"/>
      <c r="DO123" s="631"/>
      <c r="DP123" s="631"/>
      <c r="DQ123" s="631"/>
      <c r="DR123" s="631"/>
      <c r="DS123" s="631"/>
      <c r="DT123" s="631"/>
      <c r="DU123" s="631"/>
      <c r="DV123" s="631"/>
      <c r="DW123" s="631"/>
      <c r="DX123" s="631"/>
      <c r="DY123" s="631"/>
      <c r="DZ123" s="631"/>
      <c r="EA123" s="631"/>
      <c r="EB123" s="631"/>
      <c r="EC123" s="631"/>
      <c r="ED123" s="631"/>
      <c r="EE123" s="631"/>
      <c r="EF123" s="631"/>
      <c r="EG123" s="631"/>
      <c r="EH123" s="631"/>
      <c r="EI123" s="631"/>
      <c r="EJ123" s="631"/>
      <c r="EK123" s="631"/>
      <c r="EL123" s="631"/>
      <c r="EM123" s="631"/>
      <c r="EN123" s="631"/>
      <c r="EO123" s="631"/>
      <c r="EP123" s="631"/>
      <c r="EQ123" s="631"/>
      <c r="ER123" s="631"/>
      <c r="ES123" s="631"/>
      <c r="ET123" s="631"/>
      <c r="EU123" s="631"/>
      <c r="EV123" s="631"/>
      <c r="EW123" s="631"/>
      <c r="EX123" s="631"/>
      <c r="EY123" s="631"/>
      <c r="EZ123" s="631"/>
      <c r="FA123" s="631"/>
      <c r="FB123" s="631"/>
      <c r="FC123" s="631"/>
      <c r="FD123" s="631"/>
      <c r="FE123" s="631"/>
      <c r="FF123" s="631"/>
      <c r="FG123" s="631"/>
      <c r="FH123" s="631"/>
      <c r="FI123" s="631"/>
      <c r="FJ123" s="631"/>
      <c r="FK123" s="631"/>
      <c r="FL123" s="631"/>
      <c r="FM123" s="631"/>
      <c r="FN123" s="631"/>
      <c r="FO123" s="631"/>
      <c r="FP123" s="631"/>
      <c r="FQ123" s="631"/>
      <c r="FR123" s="631"/>
      <c r="FS123" s="631"/>
      <c r="FT123" s="631"/>
      <c r="FU123" s="631"/>
      <c r="FV123" s="631"/>
      <c r="FW123" s="631"/>
      <c r="FX123" s="631"/>
      <c r="FY123" s="631"/>
      <c r="FZ123" s="631"/>
      <c r="GA123" s="631"/>
      <c r="GB123" s="631"/>
      <c r="GC123" s="631"/>
      <c r="GD123" s="631"/>
      <c r="GE123" s="631"/>
      <c r="GF123" s="631"/>
      <c r="GG123" s="631"/>
      <c r="GH123" s="631"/>
      <c r="GI123" s="631"/>
      <c r="GJ123" s="631"/>
      <c r="GK123" s="631"/>
      <c r="GL123" s="631"/>
      <c r="GM123" s="631"/>
      <c r="GN123" s="631"/>
      <c r="GO123" s="631"/>
      <c r="GP123" s="631"/>
      <c r="GQ123" s="631"/>
      <c r="GR123" s="631"/>
      <c r="GS123" s="631"/>
      <c r="GT123" s="631"/>
      <c r="GU123" s="631"/>
      <c r="GV123" s="631"/>
      <c r="GW123" s="631"/>
      <c r="GX123" s="631"/>
      <c r="GY123" s="631"/>
      <c r="GZ123" s="631"/>
      <c r="HA123" s="631"/>
      <c r="HB123" s="631"/>
      <c r="HC123" s="631"/>
      <c r="HD123" s="631"/>
      <c r="HE123" s="631"/>
      <c r="HF123" s="631"/>
      <c r="HG123" s="631"/>
      <c r="HH123" s="631"/>
      <c r="HI123" s="631"/>
      <c r="HJ123" s="631"/>
      <c r="HK123" s="631"/>
      <c r="HL123" s="631"/>
      <c r="HM123" s="631"/>
      <c r="HN123" s="631"/>
      <c r="HO123" s="631"/>
      <c r="HP123" s="631"/>
      <c r="HQ123" s="631"/>
      <c r="HR123" s="631"/>
      <c r="HS123" s="631"/>
      <c r="HT123" s="631"/>
      <c r="HU123" s="631"/>
      <c r="HV123" s="631"/>
      <c r="HW123" s="631"/>
      <c r="HX123" s="631"/>
      <c r="HY123" s="631"/>
      <c r="HZ123" s="631"/>
      <c r="IA123" s="631"/>
      <c r="IB123" s="631"/>
      <c r="IC123" s="631"/>
      <c r="ID123" s="631"/>
      <c r="IE123" s="631"/>
      <c r="IF123" s="631"/>
      <c r="IG123" s="631"/>
      <c r="IH123" s="631"/>
      <c r="II123" s="631"/>
      <c r="IJ123" s="631"/>
      <c r="IK123" s="631"/>
      <c r="IL123" s="631"/>
      <c r="IM123" s="631"/>
      <c r="IN123" s="631"/>
      <c r="IO123" s="631"/>
      <c r="IP123" s="631"/>
      <c r="IQ123" s="631"/>
      <c r="IR123" s="631"/>
      <c r="IS123" s="631"/>
      <c r="IT123" s="631"/>
      <c r="IU123" s="631"/>
      <c r="IV123" s="631"/>
      <c r="IW123" s="631"/>
      <c r="IX123" s="631"/>
      <c r="IY123" s="631"/>
      <c r="IZ123" s="631"/>
      <c r="JA123" s="631"/>
      <c r="JB123" s="631"/>
      <c r="JC123" s="631"/>
      <c r="JD123" s="631"/>
      <c r="JE123" s="631"/>
      <c r="JF123" s="631"/>
      <c r="JG123" s="631"/>
      <c r="JH123" s="631"/>
      <c r="JI123" s="631"/>
      <c r="JJ123" s="631"/>
      <c r="JK123" s="631"/>
      <c r="JL123" s="631"/>
      <c r="JM123" s="631"/>
      <c r="JN123" s="631"/>
      <c r="JO123" s="631"/>
      <c r="JP123" s="631"/>
      <c r="JQ123" s="631"/>
      <c r="JR123" s="631"/>
      <c r="JS123" s="631"/>
      <c r="JT123" s="631"/>
      <c r="JU123" s="631"/>
      <c r="JV123" s="631"/>
      <c r="JW123" s="631"/>
      <c r="JX123" s="631"/>
      <c r="JY123" s="631"/>
      <c r="JZ123" s="631"/>
      <c r="KA123" s="631"/>
      <c r="KB123" s="631"/>
      <c r="KC123" s="631"/>
      <c r="KD123" s="631"/>
      <c r="KE123" s="631"/>
      <c r="KF123" s="631"/>
      <c r="KG123" s="631"/>
      <c r="KH123" s="631"/>
      <c r="KI123" s="631"/>
      <c r="KJ123" s="631"/>
      <c r="KK123" s="631"/>
      <c r="KL123" s="631"/>
      <c r="KM123" s="631"/>
      <c r="KN123" s="631"/>
      <c r="KO123" s="631"/>
      <c r="KP123" s="631"/>
      <c r="KQ123" s="631"/>
      <c r="KR123" s="631"/>
      <c r="KS123" s="631"/>
      <c r="KT123" s="631"/>
      <c r="KU123" s="631"/>
      <c r="KV123" s="631"/>
      <c r="KW123" s="631"/>
      <c r="KX123" s="631"/>
      <c r="KY123" s="631"/>
      <c r="KZ123" s="631"/>
      <c r="LA123" s="631"/>
      <c r="LB123" s="631"/>
      <c r="LC123" s="631"/>
      <c r="LD123" s="631"/>
      <c r="LE123" s="631"/>
      <c r="LF123" s="631"/>
      <c r="LG123" s="631"/>
      <c r="LH123" s="631"/>
      <c r="LI123" s="631"/>
      <c r="LJ123" s="631"/>
      <c r="LK123" s="631"/>
      <c r="LL123" s="631"/>
      <c r="LM123" s="631"/>
      <c r="LN123" s="631"/>
      <c r="LO123" s="631"/>
      <c r="LP123" s="631"/>
      <c r="LQ123" s="631"/>
      <c r="LR123" s="631"/>
      <c r="LS123" s="631"/>
      <c r="LT123" s="631"/>
      <c r="LU123" s="631"/>
      <c r="LV123" s="631"/>
      <c r="LW123" s="631"/>
      <c r="LX123" s="631"/>
      <c r="LY123" s="631"/>
      <c r="LZ123" s="631"/>
      <c r="MA123" s="631"/>
      <c r="MB123" s="631"/>
      <c r="MC123" s="631"/>
      <c r="MD123" s="631"/>
      <c r="ME123" s="631"/>
      <c r="MF123" s="631"/>
      <c r="MG123" s="631"/>
      <c r="MH123" s="631"/>
      <c r="MI123" s="631"/>
      <c r="MJ123" s="631"/>
      <c r="MK123" s="631"/>
      <c r="ML123" s="631"/>
      <c r="MM123" s="631"/>
      <c r="MN123" s="631"/>
      <c r="MO123" s="631"/>
      <c r="MP123" s="631"/>
      <c r="MQ123" s="631"/>
      <c r="MR123" s="631"/>
      <c r="MS123" s="631"/>
      <c r="MT123" s="631"/>
      <c r="MU123" s="631"/>
      <c r="MV123" s="631"/>
      <c r="MW123" s="631"/>
      <c r="MX123" s="631"/>
      <c r="MY123" s="631"/>
      <c r="MZ123" s="631"/>
      <c r="NA123" s="631"/>
      <c r="NB123" s="631"/>
      <c r="NC123" s="631"/>
      <c r="ND123" s="631"/>
      <c r="NE123" s="631"/>
      <c r="NF123" s="631"/>
      <c r="NG123" s="631"/>
      <c r="NH123" s="631"/>
      <c r="NI123" s="631"/>
      <c r="NJ123" s="631"/>
      <c r="NK123" s="631"/>
      <c r="NL123" s="631"/>
      <c r="NM123" s="631"/>
      <c r="NN123" s="631"/>
      <c r="NO123" s="631"/>
      <c r="NP123" s="631"/>
      <c r="NQ123" s="631"/>
      <c r="NR123" s="631"/>
      <c r="NS123" s="631"/>
      <c r="NT123" s="631"/>
      <c r="NU123" s="631"/>
      <c r="NV123" s="631"/>
      <c r="NW123" s="631"/>
      <c r="NX123" s="631"/>
      <c r="NY123" s="631"/>
      <c r="NZ123" s="631"/>
      <c r="OA123" s="631"/>
      <c r="OB123" s="631"/>
      <c r="OC123" s="631"/>
      <c r="OD123" s="631"/>
      <c r="OE123" s="631"/>
      <c r="OF123" s="631"/>
      <c r="OG123" s="631"/>
      <c r="OH123" s="631"/>
      <c r="OI123" s="631"/>
      <c r="OJ123" s="631"/>
      <c r="OK123" s="631"/>
      <c r="OL123" s="631"/>
      <c r="OM123" s="631"/>
      <c r="ON123" s="631"/>
      <c r="OO123" s="631"/>
      <c r="OP123" s="631"/>
      <c r="OQ123" s="631"/>
      <c r="OR123" s="631"/>
      <c r="OS123" s="631"/>
      <c r="OT123" s="631"/>
      <c r="OU123" s="631"/>
      <c r="OV123" s="631"/>
      <c r="OW123" s="631"/>
      <c r="OX123" s="631"/>
      <c r="OY123" s="631"/>
      <c r="OZ123" s="631"/>
      <c r="PA123" s="631"/>
      <c r="PB123" s="631"/>
      <c r="PC123" s="631"/>
      <c r="PD123" s="631"/>
      <c r="PE123" s="631"/>
      <c r="PF123" s="631"/>
      <c r="PG123" s="631"/>
      <c r="PH123" s="631"/>
      <c r="PI123" s="631"/>
      <c r="PJ123" s="631"/>
      <c r="PK123" s="631"/>
      <c r="PL123" s="631"/>
      <c r="PM123" s="631"/>
      <c r="PN123" s="631"/>
      <c r="PO123" s="631"/>
      <c r="PP123" s="631"/>
      <c r="PQ123" s="631"/>
      <c r="PR123" s="631"/>
      <c r="PS123" s="631"/>
      <c r="PT123" s="631"/>
      <c r="PU123" s="631"/>
      <c r="PV123" s="631"/>
      <c r="PW123" s="631"/>
      <c r="PX123" s="631"/>
      <c r="PY123" s="631"/>
      <c r="PZ123" s="631"/>
      <c r="QA123" s="631"/>
      <c r="QB123" s="631"/>
      <c r="QC123" s="631"/>
      <c r="QD123" s="631"/>
      <c r="QE123" s="631"/>
      <c r="QF123" s="631"/>
      <c r="QG123" s="631"/>
      <c r="QH123" s="631"/>
      <c r="QI123" s="631"/>
      <c r="QJ123" s="631"/>
      <c r="QK123" s="631"/>
      <c r="QL123" s="631"/>
      <c r="QM123" s="631"/>
      <c r="QN123" s="631"/>
      <c r="QO123" s="631"/>
      <c r="QP123" s="631"/>
      <c r="QQ123" s="631"/>
      <c r="QR123" s="631"/>
      <c r="QS123" s="631"/>
      <c r="QT123" s="631"/>
      <c r="QU123" s="631"/>
      <c r="QV123" s="631"/>
      <c r="QW123" s="631"/>
      <c r="QX123" s="631"/>
      <c r="QY123" s="631"/>
      <c r="QZ123" s="631"/>
      <c r="RA123" s="631"/>
      <c r="RB123" s="631"/>
      <c r="RC123" s="631"/>
      <c r="RD123" s="631"/>
      <c r="RE123" s="631"/>
      <c r="RF123" s="631"/>
      <c r="RG123" s="631"/>
      <c r="RH123" s="631"/>
      <c r="RI123" s="631"/>
      <c r="RJ123" s="631"/>
      <c r="RK123" s="631"/>
      <c r="RL123" s="631"/>
      <c r="RM123" s="631"/>
      <c r="RN123" s="631"/>
      <c r="RO123" s="631"/>
      <c r="RP123" s="631"/>
      <c r="RQ123" s="631"/>
      <c r="RR123" s="631"/>
      <c r="RS123" s="631"/>
      <c r="RT123" s="631"/>
      <c r="RU123" s="631"/>
      <c r="RV123" s="631"/>
      <c r="RW123" s="631"/>
      <c r="RX123" s="631"/>
      <c r="RY123" s="631"/>
      <c r="RZ123" s="631"/>
      <c r="SA123" s="631"/>
      <c r="SB123" s="631"/>
      <c r="SC123" s="631"/>
      <c r="SD123" s="631"/>
      <c r="SE123" s="631"/>
      <c r="SF123" s="631"/>
      <c r="SG123" s="631"/>
      <c r="SH123" s="631"/>
      <c r="SI123" s="631"/>
      <c r="SJ123" s="631"/>
      <c r="SK123" s="631"/>
      <c r="SL123" s="631"/>
      <c r="SM123" s="631"/>
      <c r="SN123" s="631"/>
      <c r="SO123" s="631"/>
      <c r="SP123" s="631"/>
      <c r="SQ123" s="631"/>
      <c r="SR123" s="631"/>
      <c r="SS123" s="631"/>
      <c r="ST123" s="631"/>
      <c r="SU123" s="631"/>
      <c r="SV123" s="631"/>
      <c r="SW123" s="631"/>
      <c r="SX123" s="631"/>
      <c r="SY123" s="631"/>
      <c r="SZ123" s="631"/>
      <c r="TA123" s="631"/>
      <c r="TB123" s="631"/>
      <c r="TC123" s="631"/>
      <c r="TD123" s="631"/>
      <c r="TE123" s="631"/>
      <c r="TF123" s="631"/>
      <c r="TG123" s="631"/>
      <c r="TH123" s="631"/>
      <c r="TI123" s="631"/>
      <c r="TJ123" s="631"/>
      <c r="TK123" s="631"/>
      <c r="TL123" s="631"/>
      <c r="TM123" s="631"/>
      <c r="TN123" s="631"/>
      <c r="TO123" s="631"/>
      <c r="TP123" s="631"/>
      <c r="TQ123" s="631"/>
      <c r="TR123" s="631"/>
      <c r="TS123" s="631"/>
      <c r="TT123" s="631"/>
      <c r="TU123" s="631"/>
      <c r="TV123" s="631"/>
      <c r="TW123" s="631"/>
      <c r="TX123" s="631"/>
      <c r="TY123" s="631"/>
      <c r="TZ123" s="631"/>
      <c r="UA123" s="631"/>
      <c r="UB123" s="631"/>
      <c r="UC123" s="631"/>
      <c r="UD123" s="631"/>
      <c r="UE123" s="631"/>
      <c r="UF123" s="631"/>
      <c r="UG123" s="631"/>
      <c r="UH123" s="631"/>
      <c r="UI123" s="631"/>
      <c r="UJ123" s="631"/>
      <c r="UK123" s="631"/>
      <c r="UL123" s="631"/>
      <c r="UM123" s="631"/>
      <c r="UN123" s="631"/>
      <c r="UO123" s="631"/>
      <c r="UP123" s="631"/>
      <c r="UQ123" s="631"/>
      <c r="UR123" s="631"/>
      <c r="US123" s="631"/>
      <c r="UT123" s="631"/>
      <c r="UU123" s="631"/>
      <c r="UV123" s="631"/>
      <c r="UW123" s="631"/>
      <c r="UX123" s="631"/>
      <c r="UY123" s="631"/>
      <c r="UZ123" s="631"/>
      <c r="VA123" s="631"/>
      <c r="VB123" s="631"/>
      <c r="VC123" s="631"/>
      <c r="VD123" s="631"/>
      <c r="VE123" s="631"/>
      <c r="VF123" s="631"/>
      <c r="VG123" s="631"/>
      <c r="VH123" s="631"/>
      <c r="VI123" s="631"/>
      <c r="VJ123" s="631"/>
      <c r="VK123" s="631"/>
      <c r="VL123" s="631"/>
      <c r="VM123" s="631"/>
      <c r="VN123" s="631"/>
      <c r="VO123" s="631"/>
      <c r="VP123" s="631"/>
      <c r="VQ123" s="631"/>
      <c r="VR123" s="631"/>
      <c r="VS123" s="631"/>
      <c r="VT123" s="631"/>
      <c r="VU123" s="631"/>
      <c r="VV123" s="631"/>
      <c r="VW123" s="631"/>
      <c r="VX123" s="631"/>
      <c r="VY123" s="631"/>
      <c r="VZ123" s="631"/>
      <c r="WA123" s="631"/>
      <c r="WB123" s="631"/>
      <c r="WC123" s="631"/>
      <c r="WD123" s="631"/>
      <c r="WE123" s="631"/>
      <c r="WF123" s="631"/>
      <c r="WG123" s="631"/>
      <c r="WH123" s="631"/>
      <c r="WI123" s="631"/>
      <c r="WJ123" s="631"/>
      <c r="WK123" s="631"/>
      <c r="WL123" s="631"/>
      <c r="WM123" s="631"/>
      <c r="WN123" s="631"/>
      <c r="WO123" s="631"/>
      <c r="WP123" s="631"/>
      <c r="WQ123" s="631"/>
      <c r="WR123" s="631"/>
      <c r="WS123" s="631"/>
      <c r="WT123" s="631"/>
      <c r="WU123" s="631"/>
      <c r="WV123" s="631"/>
      <c r="WW123" s="631"/>
      <c r="WX123" s="631"/>
      <c r="WY123" s="631"/>
      <c r="WZ123" s="631"/>
      <c r="XA123" s="631"/>
      <c r="XB123" s="631"/>
      <c r="XC123" s="631"/>
      <c r="XD123" s="631"/>
      <c r="XE123" s="631"/>
      <c r="XF123" s="631"/>
      <c r="XG123" s="631"/>
      <c r="XH123" s="631"/>
      <c r="XI123" s="631"/>
      <c r="XJ123" s="631"/>
      <c r="XK123" s="631"/>
      <c r="XL123" s="631"/>
      <c r="XM123" s="631"/>
      <c r="XN123" s="631"/>
      <c r="XO123" s="631"/>
      <c r="XP123" s="631"/>
      <c r="XQ123" s="631"/>
      <c r="XR123" s="631"/>
      <c r="XS123" s="631"/>
      <c r="XT123" s="631"/>
      <c r="XU123" s="631"/>
      <c r="XV123" s="631"/>
      <c r="XW123" s="631"/>
      <c r="XX123" s="631"/>
      <c r="XY123" s="631"/>
      <c r="XZ123" s="631"/>
      <c r="YA123" s="631"/>
      <c r="YB123" s="631"/>
      <c r="YC123" s="631"/>
      <c r="YD123" s="631"/>
      <c r="YE123" s="631"/>
      <c r="YF123" s="631"/>
      <c r="YG123" s="631"/>
      <c r="YH123" s="631"/>
      <c r="YI123" s="631"/>
      <c r="YJ123" s="631"/>
      <c r="YK123" s="631"/>
      <c r="YL123" s="631"/>
      <c r="YM123" s="631"/>
      <c r="YN123" s="631"/>
      <c r="YO123" s="631"/>
      <c r="YP123" s="631"/>
      <c r="YQ123" s="631"/>
      <c r="YR123" s="631"/>
      <c r="YS123" s="631"/>
      <c r="YT123" s="631"/>
      <c r="YU123" s="631"/>
      <c r="YV123" s="631"/>
      <c r="YW123" s="631"/>
      <c r="YX123" s="631"/>
      <c r="YY123" s="631"/>
      <c r="YZ123" s="631"/>
      <c r="ZA123" s="631"/>
      <c r="ZB123" s="631"/>
      <c r="ZC123" s="631"/>
      <c r="ZD123" s="631"/>
      <c r="ZE123" s="631"/>
      <c r="ZF123" s="631"/>
      <c r="ZG123" s="631"/>
      <c r="ZH123" s="631"/>
      <c r="ZI123" s="631"/>
      <c r="ZJ123" s="631"/>
      <c r="ZK123" s="631"/>
      <c r="ZL123" s="631"/>
      <c r="ZM123" s="631"/>
      <c r="ZN123" s="631"/>
      <c r="ZO123" s="631"/>
      <c r="ZP123" s="631"/>
      <c r="ZQ123" s="631"/>
      <c r="ZR123" s="631"/>
      <c r="ZS123" s="631"/>
      <c r="ZT123" s="631"/>
      <c r="ZU123" s="631"/>
      <c r="ZV123" s="631"/>
      <c r="ZW123" s="631"/>
      <c r="ZX123" s="631"/>
      <c r="ZY123" s="631"/>
      <c r="ZZ123" s="631"/>
      <c r="AAA123" s="631"/>
      <c r="AAB123" s="631"/>
      <c r="AAC123" s="631"/>
      <c r="AAD123" s="631"/>
      <c r="AAE123" s="631"/>
      <c r="AAF123" s="631"/>
      <c r="AAG123" s="631"/>
      <c r="AAH123" s="631"/>
      <c r="AAI123" s="631"/>
      <c r="AAJ123" s="631"/>
      <c r="AAK123" s="631"/>
      <c r="AAL123" s="631"/>
      <c r="AAM123" s="631"/>
      <c r="AAN123" s="631"/>
      <c r="AAO123" s="631"/>
      <c r="AAP123" s="631"/>
      <c r="AAQ123" s="631"/>
      <c r="AAR123" s="631"/>
      <c r="AAS123" s="631"/>
      <c r="AAT123" s="631"/>
      <c r="AAU123" s="631"/>
      <c r="AAV123" s="631"/>
      <c r="AAW123" s="631"/>
      <c r="AAX123" s="631"/>
      <c r="AAY123" s="631"/>
      <c r="AAZ123" s="631"/>
      <c r="ABA123" s="631"/>
      <c r="ABB123" s="631"/>
      <c r="ABC123" s="631"/>
      <c r="ABD123" s="631"/>
      <c r="ABE123" s="631"/>
      <c r="ABF123" s="631"/>
      <c r="ABG123" s="631"/>
      <c r="ABH123" s="631"/>
      <c r="ABI123" s="631"/>
      <c r="ABJ123" s="631"/>
      <c r="ABK123" s="631"/>
      <c r="ABL123" s="631"/>
      <c r="ABM123" s="631"/>
      <c r="ABN123" s="631"/>
      <c r="ABO123" s="631"/>
      <c r="ABP123" s="631"/>
      <c r="ABQ123" s="631"/>
      <c r="ABR123" s="631"/>
      <c r="ABS123" s="631"/>
      <c r="ABT123" s="631"/>
      <c r="ABU123" s="631"/>
      <c r="ABV123" s="631"/>
      <c r="ABW123" s="631"/>
      <c r="ABX123" s="631"/>
      <c r="ABY123" s="631"/>
      <c r="ABZ123" s="631"/>
      <c r="ACA123" s="631"/>
      <c r="ACB123" s="631"/>
      <c r="ACC123" s="631"/>
      <c r="ACD123" s="631"/>
      <c r="ACE123" s="631"/>
      <c r="ACF123" s="631"/>
      <c r="ACG123" s="631"/>
      <c r="ACH123" s="631"/>
      <c r="ACI123" s="631"/>
      <c r="ACJ123" s="631"/>
      <c r="ACK123" s="631"/>
      <c r="ACL123" s="631"/>
      <c r="ACM123" s="631"/>
      <c r="ACN123" s="631"/>
      <c r="ACO123" s="631"/>
      <c r="ACP123" s="631"/>
      <c r="ACQ123" s="631"/>
      <c r="ACR123" s="631"/>
      <c r="ACS123" s="631"/>
      <c r="ACT123" s="631"/>
      <c r="ACU123" s="631"/>
      <c r="ACV123" s="631"/>
      <c r="ACW123" s="631"/>
      <c r="ACX123" s="631"/>
      <c r="ACY123" s="631"/>
      <c r="ACZ123" s="631"/>
      <c r="ADA123" s="631"/>
      <c r="ADB123" s="631"/>
      <c r="ADC123" s="631"/>
      <c r="ADD123" s="631"/>
      <c r="ADE123" s="631"/>
      <c r="ADF123" s="631"/>
      <c r="ADG123" s="631"/>
      <c r="ADH123" s="631"/>
      <c r="ADI123" s="631"/>
      <c r="ADJ123" s="631"/>
      <c r="ADK123" s="631"/>
      <c r="ADL123" s="631"/>
      <c r="ADM123" s="631"/>
      <c r="ADN123" s="631"/>
      <c r="ADO123" s="631"/>
      <c r="ADP123" s="631"/>
      <c r="ADQ123" s="631"/>
      <c r="ADR123" s="631"/>
      <c r="ADS123" s="631"/>
      <c r="ADT123" s="631"/>
      <c r="ADU123" s="631"/>
      <c r="ADV123" s="631"/>
      <c r="ADW123" s="631"/>
      <c r="ADX123" s="631"/>
      <c r="ADY123" s="631"/>
      <c r="ADZ123" s="631"/>
      <c r="AEA123" s="631"/>
      <c r="AEB123" s="631"/>
      <c r="AEC123" s="631"/>
      <c r="AED123" s="631"/>
      <c r="AEE123" s="631"/>
      <c r="AEF123" s="631"/>
      <c r="AEG123" s="631"/>
      <c r="AEH123" s="631"/>
      <c r="AEI123" s="631"/>
      <c r="AEJ123" s="631"/>
      <c r="AEK123" s="631"/>
      <c r="AEL123" s="631"/>
      <c r="AEM123" s="631"/>
      <c r="AEN123" s="631"/>
      <c r="AEO123" s="631"/>
      <c r="AEP123" s="631"/>
      <c r="AEQ123" s="631"/>
      <c r="AER123" s="631"/>
      <c r="AES123" s="631"/>
      <c r="AET123" s="631"/>
      <c r="AEU123" s="631"/>
      <c r="AEV123" s="631"/>
      <c r="AEW123" s="631"/>
      <c r="AEX123" s="631"/>
      <c r="AEY123" s="631"/>
      <c r="AEZ123" s="631"/>
      <c r="AFA123" s="631"/>
      <c r="AFB123" s="631"/>
      <c r="AFC123" s="631"/>
      <c r="AFD123" s="631"/>
      <c r="AFE123" s="631"/>
      <c r="AFF123" s="631"/>
      <c r="AFG123" s="631"/>
      <c r="AFH123" s="631"/>
      <c r="AFI123" s="631"/>
      <c r="AFJ123" s="631"/>
      <c r="AFK123" s="631"/>
      <c r="AFL123" s="631"/>
      <c r="AFM123" s="631"/>
      <c r="AFN123" s="631"/>
      <c r="AFO123" s="631"/>
      <c r="AFP123" s="631"/>
      <c r="AFQ123" s="631"/>
      <c r="AFR123" s="631"/>
      <c r="AFS123" s="631"/>
      <c r="AFT123" s="631"/>
      <c r="AFU123" s="631"/>
      <c r="AFV123" s="631"/>
      <c r="AFW123" s="631"/>
      <c r="AFX123" s="631"/>
      <c r="AFY123" s="631"/>
      <c r="AFZ123" s="631"/>
      <c r="AGA123" s="631"/>
      <c r="AGB123" s="631"/>
      <c r="AGC123" s="631"/>
      <c r="AGD123" s="631"/>
      <c r="AGE123" s="631"/>
      <c r="AGF123" s="631"/>
      <c r="AGG123" s="631"/>
      <c r="AGH123" s="631"/>
      <c r="AGI123" s="631"/>
      <c r="AGJ123" s="631"/>
      <c r="AGK123" s="631"/>
      <c r="AGL123" s="631"/>
      <c r="AGM123" s="631"/>
      <c r="AGN123" s="631"/>
      <c r="AGO123" s="631"/>
      <c r="AGP123" s="631"/>
      <c r="AGQ123" s="631"/>
      <c r="AGR123" s="631"/>
      <c r="AGS123" s="631"/>
      <c r="AGT123" s="631"/>
      <c r="AGU123" s="631"/>
      <c r="AGV123" s="631"/>
      <c r="AGW123" s="631"/>
      <c r="AGX123" s="631"/>
      <c r="AGY123" s="631"/>
      <c r="AGZ123" s="631"/>
      <c r="AHA123" s="631"/>
      <c r="AHB123" s="631"/>
      <c r="AHC123" s="631"/>
      <c r="AHD123" s="631"/>
      <c r="AHE123" s="631"/>
      <c r="AHF123" s="631"/>
      <c r="AHG123" s="631"/>
      <c r="AHH123" s="631"/>
      <c r="AHI123" s="631"/>
      <c r="AHJ123" s="631"/>
      <c r="AHK123" s="631"/>
      <c r="AHL123" s="631"/>
      <c r="AHM123" s="631"/>
      <c r="AHN123" s="631"/>
      <c r="AHO123" s="631"/>
      <c r="AHP123" s="631"/>
      <c r="AHQ123" s="631"/>
      <c r="AHR123" s="631"/>
      <c r="AHS123" s="631"/>
      <c r="AHT123" s="631"/>
      <c r="AHU123" s="631"/>
      <c r="AHV123" s="631"/>
      <c r="AHW123" s="631"/>
      <c r="AHX123" s="631"/>
      <c r="AHY123" s="631"/>
      <c r="AHZ123" s="631"/>
      <c r="AIA123" s="631"/>
      <c r="AIB123" s="631"/>
      <c r="AIC123" s="631"/>
      <c r="AID123" s="631"/>
      <c r="AIE123" s="631"/>
      <c r="AIF123" s="631"/>
      <c r="AIG123" s="631"/>
      <c r="AIH123" s="631"/>
      <c r="AII123" s="631"/>
      <c r="AIJ123" s="631"/>
      <c r="AIK123" s="631"/>
      <c r="AIL123" s="631"/>
      <c r="AIM123" s="631"/>
      <c r="AIN123" s="631"/>
      <c r="AIO123" s="631"/>
      <c r="AIP123" s="631"/>
      <c r="AIQ123" s="631"/>
      <c r="AIR123" s="631"/>
      <c r="AIS123" s="631"/>
      <c r="AIT123" s="631"/>
      <c r="AIU123" s="631"/>
      <c r="AIV123" s="631"/>
      <c r="AIW123" s="631"/>
      <c r="AIX123" s="631"/>
      <c r="AIY123" s="631"/>
      <c r="AIZ123" s="631"/>
      <c r="AJA123" s="631"/>
      <c r="AJB123" s="631"/>
      <c r="AJC123" s="631"/>
      <c r="AJD123" s="631"/>
      <c r="AJE123" s="631"/>
      <c r="AJF123" s="631"/>
      <c r="AJG123" s="631"/>
      <c r="AJH123" s="631"/>
      <c r="AJI123" s="631"/>
      <c r="AJJ123" s="631"/>
      <c r="AJK123" s="631"/>
      <c r="AJL123" s="631"/>
      <c r="AJM123" s="631"/>
      <c r="AJN123" s="631"/>
      <c r="AJO123" s="631"/>
      <c r="AJP123" s="631"/>
      <c r="AJQ123" s="631"/>
      <c r="AJR123" s="631"/>
      <c r="AJS123" s="631"/>
      <c r="AJT123" s="631"/>
      <c r="AJU123" s="631"/>
      <c r="AJV123" s="631"/>
      <c r="AJW123" s="631"/>
      <c r="AJX123" s="631"/>
      <c r="AJY123" s="631"/>
      <c r="AJZ123" s="631"/>
      <c r="AKA123" s="631"/>
      <c r="AKB123" s="631"/>
      <c r="AKC123" s="631"/>
      <c r="AKD123" s="631"/>
      <c r="AKE123" s="631"/>
      <c r="AKF123" s="631"/>
      <c r="AKG123" s="631"/>
      <c r="AKH123" s="631"/>
      <c r="AKI123" s="631"/>
      <c r="AKJ123" s="631"/>
      <c r="AKK123" s="631"/>
      <c r="AKL123" s="631"/>
      <c r="AKM123" s="631"/>
      <c r="AKN123" s="631"/>
      <c r="AKO123" s="631"/>
      <c r="AKP123" s="631"/>
      <c r="AKQ123" s="631"/>
      <c r="AKR123" s="631"/>
      <c r="AKS123" s="631"/>
      <c r="AKT123" s="631"/>
      <c r="AKU123" s="631"/>
      <c r="AKV123" s="631"/>
      <c r="AKW123" s="631"/>
      <c r="AKX123" s="631"/>
      <c r="AKY123" s="631"/>
      <c r="AKZ123" s="631"/>
      <c r="ALA123" s="631"/>
      <c r="ALB123" s="631"/>
      <c r="ALC123" s="631"/>
      <c r="ALD123" s="631"/>
      <c r="ALE123" s="631"/>
      <c r="ALF123" s="631"/>
      <c r="ALG123" s="631"/>
      <c r="ALH123" s="631"/>
      <c r="ALI123" s="631"/>
      <c r="ALJ123" s="631"/>
      <c r="ALK123" s="631"/>
      <c r="ALL123" s="631"/>
      <c r="ALM123" s="631"/>
      <c r="ALN123" s="631"/>
      <c r="ALO123" s="631"/>
      <c r="ALP123" s="631"/>
      <c r="ALQ123" s="631"/>
      <c r="ALR123" s="631"/>
      <c r="ALS123" s="631"/>
      <c r="ALT123" s="631"/>
      <c r="ALU123" s="631"/>
      <c r="ALV123" s="631"/>
      <c r="ALW123" s="631"/>
      <c r="ALX123" s="631"/>
      <c r="ALY123" s="631"/>
      <c r="ALZ123" s="631"/>
      <c r="AMA123" s="631"/>
      <c r="AMB123" s="631"/>
      <c r="AMC123" s="631"/>
      <c r="AMD123" s="631"/>
      <c r="AME123" s="631"/>
      <c r="AMF123" s="631"/>
      <c r="AMG123" s="631"/>
      <c r="AMH123" s="631"/>
      <c r="AMI123" s="631"/>
      <c r="AMJ123" s="631"/>
      <c r="AMK123" s="631"/>
      <c r="AML123" s="631"/>
      <c r="AMM123" s="631"/>
      <c r="AMN123" s="631"/>
      <c r="AMO123" s="631"/>
      <c r="AMP123" s="631"/>
      <c r="AMQ123" s="631"/>
      <c r="AMR123" s="631"/>
      <c r="AMS123" s="631"/>
      <c r="AMT123" s="631"/>
      <c r="AMU123" s="631"/>
      <c r="AMV123" s="631"/>
      <c r="AMW123" s="631"/>
      <c r="AMX123" s="631"/>
      <c r="AMY123" s="631"/>
      <c r="AMZ123" s="631"/>
      <c r="ANA123" s="631"/>
      <c r="ANB123" s="631"/>
      <c r="ANC123" s="631"/>
      <c r="AND123" s="631"/>
      <c r="ANE123" s="631"/>
      <c r="ANF123" s="631"/>
      <c r="ANG123" s="631"/>
      <c r="ANH123" s="631"/>
      <c r="ANI123" s="631"/>
      <c r="ANJ123" s="631"/>
      <c r="ANK123" s="631"/>
      <c r="ANL123" s="631"/>
      <c r="ANM123" s="631"/>
      <c r="ANN123" s="631"/>
      <c r="ANO123" s="631"/>
      <c r="ANP123" s="631"/>
      <c r="ANQ123" s="631"/>
      <c r="ANR123" s="631"/>
      <c r="ANS123" s="631"/>
      <c r="ANT123" s="631"/>
      <c r="ANU123" s="631"/>
      <c r="ANV123" s="631"/>
      <c r="ANW123" s="631"/>
      <c r="ANX123" s="631"/>
      <c r="ANY123" s="631"/>
      <c r="ANZ123" s="631"/>
      <c r="AOA123" s="631"/>
      <c r="AOB123" s="631"/>
      <c r="AOC123" s="631"/>
      <c r="AOD123" s="631"/>
      <c r="AOE123" s="631"/>
      <c r="AOF123" s="631"/>
      <c r="AOG123" s="631"/>
      <c r="AOH123" s="631"/>
      <c r="AOI123" s="631"/>
      <c r="AOJ123" s="631"/>
      <c r="AOK123" s="631"/>
      <c r="AOL123" s="631"/>
      <c r="AOM123" s="631"/>
      <c r="AON123" s="631"/>
      <c r="AOO123" s="631"/>
      <c r="AOP123" s="631"/>
      <c r="AOQ123" s="631"/>
      <c r="AOR123" s="631"/>
      <c r="AOS123" s="631"/>
      <c r="AOT123" s="631"/>
      <c r="AOU123" s="631"/>
      <c r="AOV123" s="631"/>
      <c r="AOW123" s="631"/>
      <c r="AOX123" s="631"/>
      <c r="AOY123" s="631"/>
      <c r="AOZ123" s="631"/>
      <c r="APA123" s="631"/>
      <c r="APB123" s="631"/>
      <c r="APC123" s="631"/>
      <c r="APD123" s="631"/>
      <c r="APE123" s="631"/>
      <c r="APF123" s="631"/>
      <c r="APG123" s="631"/>
      <c r="APH123" s="631"/>
      <c r="API123" s="631"/>
      <c r="APJ123" s="631"/>
      <c r="APK123" s="631"/>
      <c r="APL123" s="631"/>
      <c r="APM123" s="631"/>
      <c r="APN123" s="631"/>
      <c r="APO123" s="631"/>
      <c r="APP123" s="631"/>
      <c r="APQ123" s="631"/>
      <c r="APR123" s="631"/>
      <c r="APS123" s="631"/>
      <c r="APT123" s="631"/>
      <c r="APU123" s="631"/>
      <c r="APV123" s="631"/>
      <c r="APW123" s="631"/>
      <c r="APX123" s="631"/>
      <c r="APY123" s="631"/>
      <c r="APZ123" s="631"/>
      <c r="AQA123" s="631"/>
      <c r="AQB123" s="631"/>
      <c r="AQC123" s="631"/>
      <c r="AQD123" s="631"/>
      <c r="AQE123" s="631"/>
      <c r="AQF123" s="631"/>
      <c r="AQG123" s="631"/>
      <c r="AQH123" s="631"/>
      <c r="AQI123" s="631"/>
      <c r="AQJ123" s="631"/>
      <c r="AQK123" s="631"/>
      <c r="AQL123" s="631"/>
      <c r="AQM123" s="631"/>
      <c r="AQN123" s="631"/>
      <c r="AQO123" s="631"/>
      <c r="AQP123" s="631"/>
      <c r="AQQ123" s="631"/>
      <c r="AQR123" s="631"/>
      <c r="AQS123" s="631"/>
      <c r="AQT123" s="631"/>
      <c r="AQU123" s="631"/>
      <c r="AQV123" s="631"/>
      <c r="AQW123" s="631"/>
      <c r="AQX123" s="631"/>
      <c r="AQY123" s="631"/>
      <c r="AQZ123" s="631"/>
      <c r="ARA123" s="631"/>
      <c r="ARB123" s="631"/>
      <c r="ARC123" s="631"/>
      <c r="ARD123" s="631"/>
      <c r="ARE123" s="631"/>
      <c r="ARF123" s="631"/>
      <c r="ARG123" s="631"/>
      <c r="ARH123" s="631"/>
      <c r="ARI123" s="631"/>
      <c r="ARJ123" s="631"/>
      <c r="ARK123" s="631"/>
      <c r="ARL123" s="631"/>
      <c r="ARM123" s="631"/>
      <c r="ARN123" s="631"/>
      <c r="ARO123" s="631"/>
      <c r="ARP123" s="631"/>
      <c r="ARQ123" s="631"/>
      <c r="ARR123" s="631"/>
      <c r="ARS123" s="631"/>
      <c r="ART123" s="631"/>
      <c r="ARU123" s="631"/>
      <c r="ARV123" s="631"/>
      <c r="ARW123" s="631"/>
      <c r="ARX123" s="631"/>
      <c r="ARY123" s="631"/>
      <c r="ARZ123" s="631"/>
      <c r="ASA123" s="631"/>
      <c r="ASB123" s="631"/>
      <c r="ASC123" s="631"/>
      <c r="ASD123" s="631"/>
      <c r="ASE123" s="631"/>
      <c r="ASF123" s="631"/>
      <c r="ASG123" s="631"/>
      <c r="ASH123" s="631"/>
      <c r="ASI123" s="631"/>
      <c r="ASJ123" s="631"/>
      <c r="ASK123" s="631"/>
      <c r="ASL123" s="631"/>
      <c r="ASM123" s="631"/>
      <c r="ASN123" s="631"/>
      <c r="ASO123" s="631"/>
      <c r="ASP123" s="631"/>
      <c r="ASQ123" s="631"/>
      <c r="ASR123" s="631"/>
      <c r="ASS123" s="631"/>
      <c r="AST123" s="631"/>
      <c r="ASU123" s="631"/>
      <c r="ASV123" s="631"/>
      <c r="ASW123" s="631"/>
      <c r="ASX123" s="631"/>
      <c r="ASY123" s="631"/>
      <c r="ASZ123" s="631"/>
      <c r="ATA123" s="631"/>
      <c r="ATB123" s="631"/>
      <c r="ATC123" s="631"/>
      <c r="ATD123" s="631"/>
      <c r="ATE123" s="631"/>
      <c r="ATF123" s="631"/>
      <c r="ATG123" s="631"/>
      <c r="ATH123" s="631"/>
      <c r="ATI123" s="631"/>
      <c r="ATJ123" s="631"/>
      <c r="ATK123" s="631"/>
      <c r="ATL123" s="631"/>
      <c r="ATM123" s="631"/>
      <c r="ATN123" s="631"/>
      <c r="ATO123" s="631"/>
      <c r="ATP123" s="631"/>
      <c r="ATQ123" s="631"/>
      <c r="ATR123" s="631"/>
      <c r="ATS123" s="631"/>
      <c r="ATT123" s="631"/>
      <c r="ATU123" s="631"/>
      <c r="ATV123" s="631"/>
      <c r="ATW123" s="631"/>
      <c r="ATX123" s="631"/>
      <c r="ATY123" s="631"/>
      <c r="ATZ123" s="631"/>
      <c r="AUA123" s="631"/>
      <c r="AUB123" s="631"/>
      <c r="AUC123" s="631"/>
      <c r="AUD123" s="631"/>
      <c r="AUE123" s="631"/>
      <c r="AUF123" s="631"/>
      <c r="AUG123" s="631"/>
      <c r="AUH123" s="631"/>
      <c r="AUI123" s="631"/>
      <c r="AUJ123" s="631"/>
      <c r="AUK123" s="631"/>
      <c r="AUL123" s="631"/>
      <c r="AUM123" s="631"/>
      <c r="AUN123" s="631"/>
      <c r="AUO123" s="631"/>
      <c r="AUP123" s="631"/>
      <c r="AUQ123" s="631"/>
      <c r="AUR123" s="631"/>
      <c r="AUS123" s="631"/>
      <c r="AUT123" s="631"/>
      <c r="AUU123" s="631"/>
      <c r="AUV123" s="631"/>
      <c r="AUW123" s="631"/>
      <c r="AUX123" s="631"/>
      <c r="AUY123" s="631"/>
      <c r="AUZ123" s="631"/>
      <c r="AVA123" s="631"/>
      <c r="AVB123" s="631"/>
      <c r="AVC123" s="631"/>
      <c r="AVD123" s="631"/>
      <c r="AVE123" s="631"/>
      <c r="AVF123" s="631"/>
      <c r="AVG123" s="631"/>
      <c r="AVH123" s="631"/>
      <c r="AVI123" s="631"/>
      <c r="AVJ123" s="631"/>
      <c r="AVK123" s="631"/>
      <c r="AVL123" s="631"/>
      <c r="AVM123" s="631"/>
      <c r="AVN123" s="631"/>
      <c r="AVO123" s="631"/>
      <c r="AVP123" s="631"/>
      <c r="AVQ123" s="631"/>
      <c r="AVR123" s="631"/>
      <c r="AVS123" s="631"/>
      <c r="AVT123" s="631"/>
      <c r="AVU123" s="631"/>
      <c r="AVV123" s="631"/>
      <c r="AVW123" s="631"/>
      <c r="AVX123" s="631"/>
      <c r="AVY123" s="631"/>
      <c r="AVZ123" s="631"/>
      <c r="AWA123" s="631"/>
      <c r="AWB123" s="631"/>
      <c r="AWC123" s="631"/>
      <c r="AWD123" s="631"/>
      <c r="AWE123" s="631"/>
      <c r="AWF123" s="631"/>
      <c r="AWG123" s="631"/>
      <c r="AWH123" s="631"/>
      <c r="AWI123" s="631"/>
      <c r="AWJ123" s="631"/>
      <c r="AWK123" s="631"/>
      <c r="AWL123" s="631"/>
      <c r="AWM123" s="631"/>
      <c r="AWN123" s="631"/>
      <c r="AWO123" s="631"/>
      <c r="AWP123" s="631"/>
      <c r="AWQ123" s="631"/>
      <c r="AWR123" s="631"/>
      <c r="AWS123" s="631"/>
      <c r="AWT123" s="631"/>
      <c r="AWU123" s="631"/>
      <c r="AWV123" s="631"/>
      <c r="AWW123" s="631"/>
      <c r="AWX123" s="631"/>
      <c r="AWY123" s="631"/>
      <c r="AWZ123" s="631"/>
      <c r="AXA123" s="631"/>
      <c r="AXB123" s="631"/>
      <c r="AXC123" s="631"/>
      <c r="AXD123" s="631"/>
      <c r="AXE123" s="631"/>
      <c r="AXF123" s="631"/>
      <c r="AXG123" s="631"/>
      <c r="AXH123" s="631"/>
      <c r="AXI123" s="631"/>
      <c r="AXJ123" s="631"/>
      <c r="AXK123" s="631"/>
      <c r="AXL123" s="631"/>
      <c r="AXM123" s="631"/>
      <c r="AXN123" s="631"/>
      <c r="AXO123" s="631"/>
      <c r="AXP123" s="631"/>
      <c r="AXQ123" s="631"/>
      <c r="AXR123" s="631"/>
      <c r="AXS123" s="631"/>
      <c r="AXT123" s="631"/>
      <c r="AXU123" s="631"/>
      <c r="AXV123" s="631"/>
      <c r="AXW123" s="631"/>
      <c r="AXX123" s="631"/>
      <c r="AXY123" s="631"/>
      <c r="AXZ123" s="631"/>
      <c r="AYA123" s="631"/>
      <c r="AYB123" s="631"/>
      <c r="AYC123" s="631"/>
      <c r="AYD123" s="631"/>
      <c r="AYE123" s="631"/>
      <c r="AYF123" s="631"/>
      <c r="AYG123" s="631"/>
      <c r="AYH123" s="631"/>
      <c r="AYI123" s="631"/>
      <c r="AYJ123" s="631"/>
      <c r="AYK123" s="631"/>
      <c r="AYL123" s="631"/>
      <c r="AYM123" s="631"/>
      <c r="AYN123" s="631"/>
      <c r="AYO123" s="631"/>
      <c r="AYP123" s="631"/>
      <c r="AYQ123" s="631"/>
      <c r="AYR123" s="631"/>
      <c r="AYS123" s="631"/>
      <c r="AYT123" s="631"/>
      <c r="AYU123" s="631"/>
      <c r="AYV123" s="631"/>
      <c r="AYW123" s="631"/>
      <c r="AYX123" s="631"/>
      <c r="AYY123" s="631"/>
      <c r="AYZ123" s="631"/>
      <c r="AZA123" s="631"/>
      <c r="AZB123" s="631"/>
      <c r="AZC123" s="631"/>
      <c r="AZD123" s="631"/>
      <c r="AZE123" s="631"/>
      <c r="AZF123" s="631"/>
      <c r="AZG123" s="631"/>
      <c r="AZH123" s="631"/>
      <c r="AZI123" s="631"/>
      <c r="AZJ123" s="631"/>
      <c r="AZK123" s="631"/>
      <c r="AZL123" s="631"/>
      <c r="AZM123" s="631"/>
      <c r="AZN123" s="631"/>
      <c r="AZO123" s="631"/>
      <c r="AZP123" s="631"/>
      <c r="AZQ123" s="631"/>
      <c r="AZR123" s="631"/>
      <c r="AZS123" s="631"/>
      <c r="AZT123" s="631"/>
      <c r="AZU123" s="631"/>
      <c r="AZV123" s="631"/>
      <c r="AZW123" s="631"/>
      <c r="AZX123" s="631"/>
      <c r="AZY123" s="631"/>
      <c r="AZZ123" s="631"/>
      <c r="BAA123" s="631"/>
      <c r="BAB123" s="631"/>
      <c r="BAC123" s="631"/>
      <c r="BAD123" s="631"/>
      <c r="BAE123" s="631"/>
      <c r="BAF123" s="631"/>
      <c r="BAG123" s="631"/>
      <c r="BAH123" s="631"/>
      <c r="BAI123" s="631"/>
      <c r="BAJ123" s="631"/>
      <c r="BAK123" s="631"/>
      <c r="BAL123" s="631"/>
      <c r="BAM123" s="631"/>
      <c r="BAN123" s="631"/>
      <c r="BAO123" s="631"/>
      <c r="BAP123" s="631"/>
      <c r="BAQ123" s="631"/>
      <c r="BAR123" s="631"/>
      <c r="BAS123" s="631"/>
      <c r="BAT123" s="631"/>
      <c r="BAU123" s="631"/>
      <c r="BAV123" s="631"/>
      <c r="BAW123" s="631"/>
      <c r="BAX123" s="631"/>
      <c r="BAY123" s="631"/>
      <c r="BAZ123" s="631"/>
      <c r="BBA123" s="631"/>
      <c r="BBB123" s="631"/>
      <c r="BBC123" s="631"/>
      <c r="BBD123" s="631"/>
      <c r="BBE123" s="631"/>
      <c r="BBF123" s="631"/>
      <c r="BBG123" s="631"/>
      <c r="BBH123" s="631"/>
      <c r="BBI123" s="631"/>
      <c r="BBJ123" s="631"/>
      <c r="BBK123" s="631"/>
      <c r="BBL123" s="631"/>
      <c r="BBM123" s="631"/>
      <c r="BBN123" s="631"/>
      <c r="BBO123" s="631"/>
      <c r="BBP123" s="631"/>
      <c r="BBQ123" s="631"/>
      <c r="BBR123" s="631"/>
      <c r="BBS123" s="631"/>
      <c r="BBT123" s="631"/>
      <c r="BBU123" s="631"/>
      <c r="BBV123" s="631"/>
      <c r="BBW123" s="631"/>
      <c r="BBX123" s="631"/>
      <c r="BBY123" s="631"/>
      <c r="BBZ123" s="631"/>
      <c r="BCA123" s="631"/>
      <c r="BCB123" s="631"/>
      <c r="BCC123" s="631"/>
      <c r="BCD123" s="631"/>
      <c r="BCE123" s="631"/>
      <c r="BCF123" s="631"/>
      <c r="BCG123" s="631"/>
      <c r="BCH123" s="631"/>
      <c r="BCI123" s="631"/>
      <c r="BCJ123" s="631"/>
      <c r="BCK123" s="631"/>
      <c r="BCL123" s="631"/>
      <c r="BCM123" s="631"/>
      <c r="BCN123" s="631"/>
      <c r="BCO123" s="631"/>
      <c r="BCP123" s="631"/>
      <c r="BCQ123" s="631"/>
      <c r="BCR123" s="631"/>
      <c r="BCS123" s="631"/>
      <c r="BCT123" s="631"/>
      <c r="BCU123" s="631"/>
      <c r="BCV123" s="631"/>
      <c r="BCW123" s="631"/>
      <c r="BCX123" s="631"/>
      <c r="BCY123" s="631"/>
      <c r="BCZ123" s="631"/>
      <c r="BDA123" s="631"/>
      <c r="BDB123" s="631"/>
      <c r="BDC123" s="631"/>
      <c r="BDD123" s="631"/>
      <c r="BDE123" s="631"/>
      <c r="BDF123" s="631"/>
      <c r="BDG123" s="631"/>
      <c r="BDH123" s="631"/>
      <c r="BDI123" s="631"/>
      <c r="BDJ123" s="631"/>
      <c r="BDK123" s="631"/>
      <c r="BDL123" s="631"/>
      <c r="BDM123" s="631"/>
      <c r="BDN123" s="631"/>
      <c r="BDO123" s="631"/>
      <c r="BDP123" s="631"/>
      <c r="BDQ123" s="631"/>
      <c r="BDR123" s="631"/>
      <c r="BDS123" s="631"/>
      <c r="BDT123" s="631"/>
      <c r="BDU123" s="631"/>
      <c r="BDV123" s="631"/>
      <c r="BDW123" s="631"/>
      <c r="BDX123" s="631"/>
      <c r="BDY123" s="631"/>
      <c r="BDZ123" s="631"/>
      <c r="BEA123" s="631"/>
      <c r="BEB123" s="631"/>
      <c r="BEC123" s="631"/>
      <c r="BED123" s="631"/>
      <c r="BEE123" s="631"/>
      <c r="BEF123" s="631"/>
      <c r="BEG123" s="631"/>
      <c r="BEH123" s="631"/>
      <c r="BEI123" s="631"/>
      <c r="BEJ123" s="631"/>
      <c r="BEK123" s="631"/>
      <c r="BEL123" s="631"/>
      <c r="BEM123" s="631"/>
      <c r="BEN123" s="631"/>
      <c r="BEO123" s="631"/>
      <c r="BEP123" s="631"/>
      <c r="BEQ123" s="631"/>
      <c r="BER123" s="631"/>
      <c r="BES123" s="631"/>
      <c r="BET123" s="631"/>
      <c r="BEU123" s="631"/>
      <c r="BEV123" s="631"/>
      <c r="BEW123" s="631"/>
      <c r="BEX123" s="631"/>
      <c r="BEY123" s="631"/>
      <c r="BEZ123" s="631"/>
      <c r="BFA123" s="631"/>
      <c r="BFB123" s="631"/>
      <c r="BFC123" s="631"/>
      <c r="BFD123" s="631"/>
      <c r="BFE123" s="631"/>
      <c r="BFF123" s="631"/>
      <c r="BFG123" s="631"/>
      <c r="BFH123" s="631"/>
      <c r="BFI123" s="631"/>
      <c r="BFJ123" s="631"/>
      <c r="BFK123" s="631"/>
      <c r="BFL123" s="631"/>
      <c r="BFM123" s="631"/>
      <c r="BFN123" s="631"/>
      <c r="BFO123" s="631"/>
      <c r="BFP123" s="631"/>
      <c r="BFQ123" s="631"/>
      <c r="BFR123" s="631"/>
      <c r="BFS123" s="631"/>
      <c r="BFT123" s="631"/>
      <c r="BFU123" s="631"/>
      <c r="BFV123" s="631"/>
      <c r="BFW123" s="631"/>
      <c r="BFX123" s="631"/>
      <c r="BFY123" s="631"/>
      <c r="BFZ123" s="631"/>
      <c r="BGA123" s="631"/>
      <c r="BGB123" s="631"/>
      <c r="BGC123" s="631"/>
      <c r="BGD123" s="631"/>
      <c r="BGE123" s="631"/>
      <c r="BGF123" s="631"/>
      <c r="BGG123" s="631"/>
      <c r="BGH123" s="631"/>
      <c r="BGI123" s="631"/>
      <c r="BGJ123" s="631"/>
      <c r="BGK123" s="631"/>
      <c r="BGL123" s="631"/>
      <c r="BGM123" s="631"/>
      <c r="BGN123" s="631"/>
      <c r="BGO123" s="631"/>
      <c r="BGP123" s="631"/>
      <c r="BGQ123" s="631"/>
      <c r="BGR123" s="631"/>
      <c r="BGS123" s="631"/>
      <c r="BGT123" s="631"/>
      <c r="BGU123" s="631"/>
      <c r="BGV123" s="631"/>
      <c r="BGW123" s="631"/>
      <c r="BGX123" s="631"/>
      <c r="BGY123" s="631"/>
      <c r="BGZ123" s="631"/>
      <c r="BHA123" s="631"/>
      <c r="BHB123" s="631"/>
      <c r="BHC123" s="631"/>
      <c r="BHD123" s="631"/>
      <c r="BHE123" s="631"/>
      <c r="BHF123" s="631"/>
      <c r="BHG123" s="631"/>
      <c r="BHH123" s="631"/>
      <c r="BHI123" s="631"/>
      <c r="BHJ123" s="631"/>
      <c r="BHK123" s="631"/>
      <c r="BHL123" s="631"/>
      <c r="BHM123" s="631"/>
      <c r="BHN123" s="631"/>
      <c r="BHO123" s="631"/>
      <c r="BHP123" s="631"/>
      <c r="BHQ123" s="631"/>
      <c r="BHR123" s="631"/>
      <c r="BHS123" s="631"/>
      <c r="BHT123" s="631"/>
      <c r="BHU123" s="631"/>
      <c r="BHV123" s="631"/>
      <c r="BHW123" s="631"/>
      <c r="BHX123" s="631"/>
      <c r="BHY123" s="631"/>
      <c r="BHZ123" s="631"/>
      <c r="BIA123" s="631"/>
      <c r="BIB123" s="631"/>
      <c r="BIC123" s="631"/>
      <c r="BID123" s="631"/>
      <c r="BIE123" s="631"/>
      <c r="BIF123" s="631"/>
      <c r="BIG123" s="631"/>
      <c r="BIH123" s="631"/>
      <c r="BII123" s="631"/>
      <c r="BIJ123" s="631"/>
      <c r="BIK123" s="631"/>
      <c r="BIL123" s="631"/>
      <c r="BIM123" s="631"/>
      <c r="BIN123" s="631"/>
      <c r="BIO123" s="631"/>
      <c r="BIP123" s="631"/>
      <c r="BIQ123" s="631"/>
      <c r="BIR123" s="631"/>
      <c r="BIS123" s="631"/>
      <c r="BIT123" s="631"/>
      <c r="BIU123" s="631"/>
      <c r="BIV123" s="631"/>
      <c r="BIW123" s="631"/>
      <c r="BIX123" s="631"/>
      <c r="BIY123" s="631"/>
      <c r="BIZ123" s="631"/>
      <c r="BJA123" s="631"/>
      <c r="BJB123" s="631"/>
      <c r="BJC123" s="631"/>
      <c r="BJD123" s="631"/>
      <c r="BJE123" s="631"/>
      <c r="BJF123" s="631"/>
      <c r="BJG123" s="631"/>
      <c r="BJH123" s="631"/>
      <c r="BJI123" s="631"/>
      <c r="BJJ123" s="631"/>
      <c r="BJK123" s="631"/>
      <c r="BJL123" s="631"/>
      <c r="BJM123" s="631"/>
      <c r="BJN123" s="631"/>
      <c r="BJO123" s="631"/>
      <c r="BJP123" s="631"/>
      <c r="BJQ123" s="631"/>
      <c r="BJR123" s="631"/>
      <c r="BJS123" s="631"/>
      <c r="BJT123" s="631"/>
      <c r="BJU123" s="631"/>
      <c r="BJV123" s="631"/>
      <c r="BJW123" s="631"/>
      <c r="BJX123" s="631"/>
      <c r="BJY123" s="631"/>
      <c r="BJZ123" s="631"/>
      <c r="BKA123" s="631"/>
      <c r="BKB123" s="631"/>
      <c r="BKC123" s="631"/>
      <c r="BKD123" s="631"/>
      <c r="BKE123" s="631"/>
      <c r="BKF123" s="631"/>
      <c r="BKG123" s="631"/>
      <c r="BKH123" s="631"/>
      <c r="BKI123" s="631"/>
      <c r="BKJ123" s="631"/>
      <c r="BKK123" s="631"/>
      <c r="BKL123" s="631"/>
      <c r="BKM123" s="631"/>
      <c r="BKN123" s="631"/>
      <c r="BKO123" s="631"/>
      <c r="BKP123" s="631"/>
      <c r="BKQ123" s="631"/>
      <c r="BKR123" s="631"/>
      <c r="BKS123" s="631"/>
      <c r="BKT123" s="631"/>
      <c r="BKU123" s="631"/>
      <c r="BKV123" s="631"/>
      <c r="BKW123" s="631"/>
      <c r="BKX123" s="631"/>
      <c r="BKY123" s="631"/>
      <c r="BKZ123" s="631"/>
      <c r="BLA123" s="631"/>
      <c r="BLB123" s="631"/>
      <c r="BLC123" s="631"/>
      <c r="BLD123" s="631"/>
      <c r="BLE123" s="631"/>
      <c r="BLF123" s="631"/>
      <c r="BLG123" s="631"/>
      <c r="BLH123" s="631"/>
      <c r="BLI123" s="631"/>
      <c r="BLJ123" s="631"/>
      <c r="BLK123" s="631"/>
      <c r="BLL123" s="631"/>
      <c r="BLM123" s="631"/>
      <c r="BLN123" s="631"/>
      <c r="BLO123" s="631"/>
      <c r="BLP123" s="631"/>
      <c r="BLQ123" s="631"/>
      <c r="BLR123" s="631"/>
      <c r="BLS123" s="631"/>
      <c r="BLT123" s="631"/>
      <c r="BLU123" s="631"/>
      <c r="BLV123" s="631"/>
      <c r="BLW123" s="631"/>
      <c r="BLX123" s="631"/>
      <c r="BLY123" s="631"/>
      <c r="BLZ123" s="631"/>
      <c r="BMA123" s="631"/>
      <c r="BMB123" s="631"/>
      <c r="BMC123" s="631"/>
      <c r="BMD123" s="631"/>
      <c r="BME123" s="631"/>
      <c r="BMF123" s="631"/>
      <c r="BMG123" s="631"/>
      <c r="BMH123" s="631"/>
      <c r="BMI123" s="631"/>
      <c r="BMJ123" s="631"/>
      <c r="BMK123" s="631"/>
      <c r="BML123" s="631"/>
      <c r="BMM123" s="631"/>
      <c r="BMN123" s="631"/>
      <c r="BMO123" s="631"/>
      <c r="BMP123" s="631"/>
      <c r="BMQ123" s="631"/>
      <c r="BMR123" s="631"/>
      <c r="BMS123" s="631"/>
      <c r="BMT123" s="631"/>
      <c r="BMU123" s="631"/>
      <c r="BMV123" s="631"/>
      <c r="BMW123" s="631"/>
      <c r="BMX123" s="631"/>
      <c r="BMY123" s="631"/>
      <c r="BMZ123" s="631"/>
      <c r="BNA123" s="631"/>
      <c r="BNB123" s="631"/>
      <c r="BNC123" s="631"/>
      <c r="BND123" s="631"/>
      <c r="BNE123" s="631"/>
      <c r="BNF123" s="631"/>
      <c r="BNG123" s="631"/>
      <c r="BNH123" s="631"/>
      <c r="BNI123" s="631"/>
      <c r="BNJ123" s="631"/>
      <c r="BNK123" s="631"/>
      <c r="BNL123" s="631"/>
      <c r="BNM123" s="631"/>
      <c r="BNN123" s="631"/>
      <c r="BNO123" s="631"/>
      <c r="BNP123" s="631"/>
      <c r="BNQ123" s="631"/>
      <c r="BNR123" s="631"/>
      <c r="BNS123" s="631"/>
      <c r="BNT123" s="631"/>
      <c r="BNU123" s="631"/>
      <c r="BNV123" s="631"/>
      <c r="BNW123" s="631"/>
      <c r="BNX123" s="631"/>
      <c r="BNY123" s="631"/>
      <c r="BNZ123" s="631"/>
      <c r="BOA123" s="631"/>
      <c r="BOB123" s="631"/>
      <c r="BOC123" s="631"/>
      <c r="BOD123" s="631"/>
      <c r="BOE123" s="631"/>
      <c r="BOF123" s="631"/>
      <c r="BOG123" s="631"/>
      <c r="BOH123" s="631"/>
      <c r="BOI123" s="631"/>
      <c r="BOJ123" s="631"/>
      <c r="BOK123" s="631"/>
      <c r="BOL123" s="631"/>
      <c r="BOM123" s="631"/>
      <c r="BON123" s="631"/>
      <c r="BOO123" s="631"/>
      <c r="BOP123" s="631"/>
      <c r="BOQ123" s="631"/>
      <c r="BOR123" s="631"/>
      <c r="BOS123" s="631"/>
      <c r="BOT123" s="631"/>
      <c r="BOU123" s="631"/>
      <c r="BOV123" s="631"/>
      <c r="BOW123" s="631"/>
      <c r="BOX123" s="631"/>
      <c r="BOY123" s="631"/>
      <c r="BOZ123" s="631"/>
      <c r="BPA123" s="631"/>
      <c r="BPB123" s="631"/>
      <c r="BPC123" s="631"/>
      <c r="BPD123" s="631"/>
      <c r="BPE123" s="631"/>
      <c r="BPF123" s="631"/>
      <c r="BPG123" s="631"/>
      <c r="BPH123" s="631"/>
      <c r="BPI123" s="631"/>
      <c r="BPJ123" s="631"/>
      <c r="BPK123" s="631"/>
      <c r="BPL123" s="631"/>
      <c r="BPM123" s="631"/>
      <c r="BPN123" s="631"/>
      <c r="BPO123" s="631"/>
      <c r="BPP123" s="631"/>
      <c r="BPQ123" s="631"/>
      <c r="BPR123" s="631"/>
      <c r="BPS123" s="631"/>
      <c r="BPT123" s="631"/>
      <c r="BPU123" s="631"/>
      <c r="BPV123" s="631"/>
      <c r="BPW123" s="631"/>
      <c r="BPX123" s="631"/>
      <c r="BPY123" s="631"/>
      <c r="BPZ123" s="631"/>
      <c r="BQA123" s="631"/>
      <c r="BQB123" s="631"/>
      <c r="BQC123" s="631"/>
      <c r="BQD123" s="631"/>
      <c r="BQE123" s="631"/>
      <c r="BQF123" s="631"/>
      <c r="BQG123" s="631"/>
      <c r="BQH123" s="631"/>
      <c r="BQI123" s="631"/>
      <c r="BQJ123" s="631"/>
      <c r="BQK123" s="631"/>
      <c r="BQL123" s="631"/>
      <c r="BQM123" s="631"/>
      <c r="BQN123" s="631"/>
      <c r="BQO123" s="631"/>
      <c r="BQP123" s="631"/>
      <c r="BQQ123" s="631"/>
      <c r="BQR123" s="631"/>
      <c r="BQS123" s="631"/>
      <c r="BQT123" s="631"/>
      <c r="BQU123" s="631"/>
      <c r="BQV123" s="631"/>
      <c r="BQW123" s="631"/>
      <c r="BQX123" s="631"/>
      <c r="BQY123" s="631"/>
      <c r="BQZ123" s="631"/>
      <c r="BRA123" s="631"/>
      <c r="BRB123" s="631"/>
      <c r="BRC123" s="631"/>
      <c r="BRD123" s="631"/>
      <c r="BRE123" s="631"/>
      <c r="BRF123" s="631"/>
      <c r="BRG123" s="631"/>
      <c r="BRH123" s="631"/>
      <c r="BRI123" s="631"/>
      <c r="BRJ123" s="631"/>
      <c r="BRK123" s="631"/>
      <c r="BRL123" s="631"/>
      <c r="BRM123" s="631"/>
      <c r="BRN123" s="631"/>
      <c r="BRO123" s="631"/>
      <c r="BRP123" s="631"/>
      <c r="BRQ123" s="631"/>
      <c r="BRR123" s="631"/>
      <c r="BRS123" s="631"/>
      <c r="BRT123" s="631"/>
      <c r="BRU123" s="631"/>
      <c r="BRV123" s="631"/>
      <c r="BRW123" s="631"/>
      <c r="BRX123" s="631"/>
      <c r="BRY123" s="631"/>
      <c r="BRZ123" s="631"/>
      <c r="BSA123" s="631"/>
      <c r="BSB123" s="631"/>
      <c r="BSC123" s="631"/>
      <c r="BSD123" s="631"/>
      <c r="BSE123" s="631"/>
      <c r="BSF123" s="631"/>
      <c r="BSG123" s="631"/>
      <c r="BSH123" s="631"/>
      <c r="BSI123" s="631"/>
      <c r="BSJ123" s="631"/>
      <c r="BSK123" s="631"/>
      <c r="BSL123" s="631"/>
      <c r="BSM123" s="631"/>
      <c r="BSN123" s="631"/>
      <c r="BSO123" s="631"/>
      <c r="BSP123" s="631"/>
      <c r="BSQ123" s="631"/>
      <c r="BSR123" s="631"/>
      <c r="BSS123" s="631"/>
      <c r="BST123" s="631"/>
      <c r="BSU123" s="631"/>
      <c r="BSV123" s="631"/>
      <c r="BSW123" s="631"/>
      <c r="BSX123" s="631"/>
      <c r="BSY123" s="631"/>
      <c r="BSZ123" s="631"/>
      <c r="BTA123" s="631"/>
      <c r="BTB123" s="631"/>
      <c r="BTC123" s="631"/>
      <c r="BTD123" s="631"/>
      <c r="BTE123" s="631"/>
      <c r="BTF123" s="631"/>
      <c r="BTG123" s="631"/>
      <c r="BTH123" s="631"/>
      <c r="BTI123" s="631"/>
      <c r="BTJ123" s="631"/>
      <c r="BTK123" s="631"/>
      <c r="BTL123" s="631"/>
      <c r="BTM123" s="631"/>
      <c r="BTN123" s="631"/>
      <c r="BTO123" s="631"/>
      <c r="BTP123" s="631"/>
      <c r="BTQ123" s="631"/>
      <c r="BTR123" s="631"/>
      <c r="BTS123" s="631"/>
      <c r="BTT123" s="631"/>
      <c r="BTU123" s="631"/>
      <c r="BTV123" s="631"/>
      <c r="BTW123" s="631"/>
      <c r="BTX123" s="631"/>
      <c r="BTY123" s="631"/>
      <c r="BTZ123" s="631"/>
      <c r="BUA123" s="631"/>
      <c r="BUB123" s="631"/>
      <c r="BUC123" s="631"/>
      <c r="BUD123" s="631"/>
      <c r="BUE123" s="631"/>
      <c r="BUF123" s="631"/>
      <c r="BUG123" s="631"/>
      <c r="BUH123" s="631"/>
      <c r="BUI123" s="631"/>
      <c r="BUJ123" s="631"/>
      <c r="BUK123" s="631"/>
      <c r="BUL123" s="631"/>
      <c r="BUM123" s="631"/>
      <c r="BUN123" s="631"/>
      <c r="BUO123" s="631"/>
      <c r="BUP123" s="631"/>
      <c r="BUQ123" s="631"/>
      <c r="BUR123" s="631"/>
      <c r="BUS123" s="631"/>
      <c r="BUT123" s="631"/>
      <c r="BUU123" s="631"/>
      <c r="BUV123" s="631"/>
      <c r="BUW123" s="631"/>
      <c r="BUX123" s="631"/>
      <c r="BUY123" s="631"/>
      <c r="BUZ123" s="631"/>
      <c r="BVA123" s="631"/>
      <c r="BVB123" s="631"/>
      <c r="BVC123" s="631"/>
      <c r="BVD123" s="631"/>
      <c r="BVE123" s="631"/>
      <c r="BVF123" s="631"/>
      <c r="BVG123" s="631"/>
      <c r="BVH123" s="631"/>
      <c r="BVI123" s="631"/>
      <c r="BVJ123" s="631"/>
      <c r="BVK123" s="631"/>
      <c r="BVL123" s="631"/>
      <c r="BVM123" s="631"/>
      <c r="BVN123" s="631"/>
      <c r="BVO123" s="631"/>
      <c r="BVP123" s="631"/>
      <c r="BVQ123" s="631"/>
      <c r="BVR123" s="631"/>
      <c r="BVS123" s="631"/>
      <c r="BVT123" s="631"/>
      <c r="BVU123" s="631"/>
      <c r="BVV123" s="631"/>
      <c r="BVW123" s="631"/>
      <c r="BVX123" s="631"/>
      <c r="BVY123" s="631"/>
      <c r="BVZ123" s="631"/>
      <c r="BWA123" s="631"/>
      <c r="BWB123" s="631"/>
      <c r="BWC123" s="631"/>
      <c r="BWD123" s="631"/>
    </row>
    <row r="127" spans="1:1954" x14ac:dyDescent="0.25">
      <c r="D127" s="2869"/>
    </row>
    <row r="128" spans="1:1954" x14ac:dyDescent="0.25">
      <c r="D128" s="2869"/>
    </row>
  </sheetData>
  <mergeCells count="2">
    <mergeCell ref="A1:D1"/>
    <mergeCell ref="A117:D117"/>
  </mergeCells>
  <pageMargins left="0.75" right="0.75" top="0.75" bottom="0.75" header="0.3" footer="0"/>
  <pageSetup paperSize="9" scale="55" fitToHeight="0" orientation="portrait" r:id="rId1"/>
  <headerFooter alignWithMargins="0"/>
  <rowBreaks count="1" manualBreakCount="1">
    <brk id="6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XM126"/>
  <sheetViews>
    <sheetView zoomScale="70" zoomScaleNormal="70" zoomScaleSheetLayoutView="85" workbookViewId="0">
      <pane xSplit="39" ySplit="3" topLeftCell="AN4" activePane="bottomRight" state="frozen"/>
      <selection activeCell="A38" sqref="A38"/>
      <selection pane="topRight" activeCell="A38" sqref="A38"/>
      <selection pane="bottomLeft" activeCell="A38" sqref="A38"/>
      <selection pane="bottomRight" activeCell="A38" sqref="A38"/>
    </sheetView>
  </sheetViews>
  <sheetFormatPr defaultColWidth="74.28515625" defaultRowHeight="14.25" x14ac:dyDescent="0.25"/>
  <cols>
    <col min="1" max="1" width="97.85546875" style="627" customWidth="1"/>
    <col min="2" max="3" width="10.42578125" style="627" hidden="1" customWidth="1"/>
    <col min="4" max="5" width="9.140625" style="627" hidden="1" customWidth="1"/>
    <col min="6" max="7" width="10.7109375" style="627" hidden="1" customWidth="1"/>
    <col min="8" max="8" width="12.85546875" style="627" hidden="1" customWidth="1"/>
    <col min="9" max="27" width="10.7109375" style="627" hidden="1" customWidth="1"/>
    <col min="28" max="40" width="13" style="627" customWidth="1"/>
    <col min="41" max="16384" width="74.28515625" style="627"/>
  </cols>
  <sheetData>
    <row r="1" spans="1:40" s="1967" customFormat="1" ht="20.25" customHeight="1" x14ac:dyDescent="0.25">
      <c r="A1" s="623" t="s">
        <v>2853</v>
      </c>
      <c r="B1" s="2870"/>
    </row>
    <row r="2" spans="1:40" ht="18" customHeight="1" thickBot="1" x14ac:dyDescent="0.35">
      <c r="A2" s="2871"/>
      <c r="B2" s="2871"/>
      <c r="C2" s="1694"/>
      <c r="D2" s="1694"/>
      <c r="E2" s="1694"/>
      <c r="F2" s="1694"/>
      <c r="G2" s="1694"/>
      <c r="H2" s="1694"/>
      <c r="I2" s="1694"/>
      <c r="J2" s="2676"/>
      <c r="K2" s="2676"/>
      <c r="L2" s="2676"/>
      <c r="M2" s="2676"/>
      <c r="N2" s="2676"/>
      <c r="O2" s="2676"/>
      <c r="P2" s="2676"/>
      <c r="Q2" s="2676"/>
      <c r="R2" s="2676"/>
      <c r="S2" s="2676"/>
      <c r="T2" s="2676"/>
      <c r="U2" s="2676"/>
      <c r="V2" s="2676"/>
      <c r="W2" s="2676"/>
      <c r="X2" s="2676"/>
      <c r="Y2" s="2676"/>
      <c r="Z2" s="2676"/>
      <c r="AA2" s="2676"/>
      <c r="AB2" s="2676"/>
      <c r="AC2" s="2676"/>
      <c r="AD2" s="2676"/>
      <c r="AE2" s="2676"/>
      <c r="AF2" s="2676"/>
      <c r="AG2" s="2676"/>
      <c r="AH2" s="2676"/>
      <c r="AI2" s="2676"/>
      <c r="AJ2" s="2676"/>
      <c r="AK2" s="2676"/>
      <c r="AL2" s="2676"/>
      <c r="AM2" s="2676"/>
      <c r="AN2" s="2676"/>
    </row>
    <row r="3" spans="1:40" s="624" customFormat="1" ht="19.5" customHeight="1" thickTop="1" thickBot="1" x14ac:dyDescent="0.35">
      <c r="A3" s="2872"/>
      <c r="B3" s="2873">
        <v>43404</v>
      </c>
      <c r="C3" s="2873">
        <v>43434</v>
      </c>
      <c r="D3" s="2873">
        <v>43465</v>
      </c>
      <c r="E3" s="2873" t="s">
        <v>2854</v>
      </c>
      <c r="F3" s="2873">
        <v>43524</v>
      </c>
      <c r="G3" s="2873">
        <v>43555</v>
      </c>
      <c r="H3" s="2873">
        <v>43585</v>
      </c>
      <c r="I3" s="2873">
        <v>43616</v>
      </c>
      <c r="J3" s="2873">
        <v>43646</v>
      </c>
      <c r="K3" s="2873">
        <v>43677</v>
      </c>
      <c r="L3" s="2873">
        <v>43708</v>
      </c>
      <c r="M3" s="2873">
        <v>43738</v>
      </c>
      <c r="N3" s="2873">
        <v>43769</v>
      </c>
      <c r="O3" s="2873">
        <v>43799</v>
      </c>
      <c r="P3" s="2873">
        <v>43830</v>
      </c>
      <c r="Q3" s="2873">
        <v>43861</v>
      </c>
      <c r="R3" s="2873">
        <v>43890</v>
      </c>
      <c r="S3" s="2873">
        <v>43921</v>
      </c>
      <c r="T3" s="2873">
        <v>43951</v>
      </c>
      <c r="U3" s="2873">
        <v>43982</v>
      </c>
      <c r="V3" s="2873">
        <v>44012</v>
      </c>
      <c r="W3" s="2873">
        <v>44043</v>
      </c>
      <c r="X3" s="2873">
        <v>44074</v>
      </c>
      <c r="Y3" s="2873">
        <v>44104</v>
      </c>
      <c r="Z3" s="2873">
        <v>44135</v>
      </c>
      <c r="AA3" s="2873">
        <v>44165</v>
      </c>
      <c r="AB3" s="2873">
        <v>44196</v>
      </c>
      <c r="AC3" s="2873">
        <v>44227</v>
      </c>
      <c r="AD3" s="2873">
        <v>44255</v>
      </c>
      <c r="AE3" s="2873">
        <v>44286</v>
      </c>
      <c r="AF3" s="2873">
        <v>44316</v>
      </c>
      <c r="AG3" s="2873">
        <v>44347</v>
      </c>
      <c r="AH3" s="2873">
        <v>44377</v>
      </c>
      <c r="AI3" s="2873">
        <v>44408</v>
      </c>
      <c r="AJ3" s="2873">
        <v>44439</v>
      </c>
      <c r="AK3" s="2873">
        <v>44469</v>
      </c>
      <c r="AL3" s="2873">
        <v>44500</v>
      </c>
      <c r="AM3" s="2873">
        <v>44530</v>
      </c>
      <c r="AN3" s="2873">
        <v>44561</v>
      </c>
    </row>
    <row r="4" spans="1:40" s="624" customFormat="1" ht="17.25" x14ac:dyDescent="0.3">
      <c r="A4" s="2829" t="s">
        <v>2737</v>
      </c>
      <c r="B4" s="2874">
        <v>158112.37067189105</v>
      </c>
      <c r="C4" s="2874">
        <v>158320.13562407048</v>
      </c>
      <c r="D4" s="2874">
        <v>151131.10224633795</v>
      </c>
      <c r="E4" s="2874">
        <v>148881.68553278878</v>
      </c>
      <c r="F4" s="2874">
        <v>148336.22842182399</v>
      </c>
      <c r="G4" s="2874">
        <v>149963.55860127389</v>
      </c>
      <c r="H4" s="2874">
        <v>148616.39742200274</v>
      </c>
      <c r="I4" s="2874">
        <v>148893.79751813624</v>
      </c>
      <c r="J4" s="2874">
        <v>149691.62734699284</v>
      </c>
      <c r="K4" s="2874">
        <v>148883.18300449962</v>
      </c>
      <c r="L4" s="2874">
        <v>148253.70404718886</v>
      </c>
      <c r="M4" s="2874">
        <v>148561.01673122763</v>
      </c>
      <c r="N4" s="2874">
        <v>150395.53940851861</v>
      </c>
      <c r="O4" s="2874">
        <v>152687.58841738536</v>
      </c>
      <c r="P4" s="2874">
        <v>151334.36098302665</v>
      </c>
      <c r="Q4" s="2874">
        <v>150905.87884313759</v>
      </c>
      <c r="R4" s="2874">
        <v>150058</v>
      </c>
      <c r="S4" s="2874">
        <v>152210.45181760873</v>
      </c>
      <c r="T4" s="2874">
        <v>153286.94938511332</v>
      </c>
      <c r="U4" s="2874">
        <v>154646.96500343311</v>
      </c>
      <c r="V4" s="2874">
        <v>157854.04823070139</v>
      </c>
      <c r="W4" s="2874">
        <v>159153.37434033523</v>
      </c>
      <c r="X4" s="2874">
        <v>160420.64620032659</v>
      </c>
      <c r="Y4" s="2874">
        <v>161499.62602871121</v>
      </c>
      <c r="Z4" s="2874">
        <v>162486.6830556659</v>
      </c>
      <c r="AA4" s="2874">
        <v>167576.00513014413</v>
      </c>
      <c r="AB4" s="2874">
        <v>168595.85604853008</v>
      </c>
      <c r="AC4" s="2874">
        <v>169837.77760487146</v>
      </c>
      <c r="AD4" s="2874">
        <v>172862.86382340864</v>
      </c>
      <c r="AE4" s="2874">
        <v>170582.39782994482</v>
      </c>
      <c r="AF4" s="2874">
        <v>171384.73097060563</v>
      </c>
      <c r="AG4" s="2874">
        <v>172069.08260150393</v>
      </c>
      <c r="AH4" s="2874">
        <v>171432.8365547311</v>
      </c>
      <c r="AI4" s="2874">
        <v>168650.52178382879</v>
      </c>
      <c r="AJ4" s="2874">
        <v>167550.12931619803</v>
      </c>
      <c r="AK4" s="2874">
        <v>166201.24173266257</v>
      </c>
      <c r="AL4" s="2874">
        <v>168266.85813701063</v>
      </c>
      <c r="AM4" s="2874">
        <v>168828.03256796021</v>
      </c>
      <c r="AN4" s="2874">
        <v>166941.21217420549</v>
      </c>
    </row>
    <row r="5" spans="1:40" s="624" customFormat="1" ht="15.95" customHeight="1" x14ac:dyDescent="0.3">
      <c r="A5" s="2832" t="s">
        <v>2738</v>
      </c>
      <c r="B5" s="2875">
        <v>15576.720441735975</v>
      </c>
      <c r="C5" s="2875">
        <v>15540.190394506337</v>
      </c>
      <c r="D5" s="2875">
        <v>12608.086206315449</v>
      </c>
      <c r="E5" s="2875">
        <v>12610.683690823673</v>
      </c>
      <c r="F5" s="2875">
        <v>12925.407147584547</v>
      </c>
      <c r="G5" s="2875">
        <v>13487.573664522839</v>
      </c>
      <c r="H5" s="2875">
        <v>12700.661383249408</v>
      </c>
      <c r="I5" s="2875">
        <v>12031.199488007072</v>
      </c>
      <c r="J5" s="2875">
        <v>13679.396906016911</v>
      </c>
      <c r="K5" s="2875">
        <v>13332.843052937007</v>
      </c>
      <c r="L5" s="2875">
        <v>10781.954731402247</v>
      </c>
      <c r="M5" s="2875">
        <v>11003.852303175619</v>
      </c>
      <c r="N5" s="2875">
        <v>11245.588278228455</v>
      </c>
      <c r="O5" s="2875">
        <v>12022.075158580581</v>
      </c>
      <c r="P5" s="2875">
        <v>12715.217938644248</v>
      </c>
      <c r="Q5" s="2875">
        <v>12400.767148230645</v>
      </c>
      <c r="R5" s="2875">
        <v>11827</v>
      </c>
      <c r="S5" s="2875">
        <v>11654.773365073392</v>
      </c>
      <c r="T5" s="2875">
        <v>12358.412645208115</v>
      </c>
      <c r="U5" s="2875">
        <v>11779.796828219285</v>
      </c>
      <c r="V5" s="2875">
        <v>11840.446828736243</v>
      </c>
      <c r="W5" s="2875">
        <v>11795.068358482355</v>
      </c>
      <c r="X5" s="2875">
        <v>12202.367681125599</v>
      </c>
      <c r="Y5" s="2875">
        <v>12810.534010299541</v>
      </c>
      <c r="Z5" s="2875">
        <v>13517.592354476701</v>
      </c>
      <c r="AA5" s="2875">
        <v>13758.089355246102</v>
      </c>
      <c r="AB5" s="2875">
        <v>14294.257467494117</v>
      </c>
      <c r="AC5" s="2875">
        <v>14142.478694260764</v>
      </c>
      <c r="AD5" s="2875">
        <v>14031.897639671233</v>
      </c>
      <c r="AE5" s="2875">
        <v>13866.671178547085</v>
      </c>
      <c r="AF5" s="2875">
        <v>12391.305264490837</v>
      </c>
      <c r="AG5" s="2875">
        <v>12413.929944406342</v>
      </c>
      <c r="AH5" s="2875">
        <v>12211.575252877976</v>
      </c>
      <c r="AI5" s="2875">
        <v>12167.640526570003</v>
      </c>
      <c r="AJ5" s="2875">
        <v>12010.512480676842</v>
      </c>
      <c r="AK5" s="2875">
        <v>11801.987013409016</v>
      </c>
      <c r="AL5" s="2875">
        <v>11125.146668282629</v>
      </c>
      <c r="AM5" s="2875">
        <v>11083.38443639917</v>
      </c>
      <c r="AN5" s="2875">
        <v>10626.627810652146</v>
      </c>
    </row>
    <row r="6" spans="1:40" s="624" customFormat="1" ht="14.25" customHeight="1" x14ac:dyDescent="0.3">
      <c r="A6" s="2834" t="s">
        <v>2739</v>
      </c>
      <c r="B6" s="2876">
        <v>15248.908082765975</v>
      </c>
      <c r="C6" s="2876">
        <v>15212.300362836339</v>
      </c>
      <c r="D6" s="2876">
        <v>12375.72555597545</v>
      </c>
      <c r="E6" s="2876">
        <v>12372.025075703674</v>
      </c>
      <c r="F6" s="2876">
        <v>12683.155936684547</v>
      </c>
      <c r="G6" s="2876">
        <v>13279.036058362839</v>
      </c>
      <c r="H6" s="2876">
        <v>12515.745676589408</v>
      </c>
      <c r="I6" s="2876">
        <v>11876.128953857073</v>
      </c>
      <c r="J6" s="2876">
        <v>13526.16715426691</v>
      </c>
      <c r="K6" s="2876">
        <v>13169.09310590701</v>
      </c>
      <c r="L6" s="2876">
        <v>10574.215116472247</v>
      </c>
      <c r="M6" s="2876">
        <v>10787.08771386562</v>
      </c>
      <c r="N6" s="2876">
        <v>11014.361423828455</v>
      </c>
      <c r="O6" s="2876">
        <v>11773.844156060581</v>
      </c>
      <c r="P6" s="2876">
        <v>12496.177144704247</v>
      </c>
      <c r="Q6" s="2876">
        <v>12157.156862200645</v>
      </c>
      <c r="R6" s="2876">
        <v>11652</v>
      </c>
      <c r="S6" s="2876">
        <v>11421.373264373393</v>
      </c>
      <c r="T6" s="2876">
        <v>12113.207947678115</v>
      </c>
      <c r="U6" s="2876">
        <v>11518.056444919286</v>
      </c>
      <c r="V6" s="2876">
        <v>11612.956607816242</v>
      </c>
      <c r="W6" s="2876">
        <v>11514.838624442356</v>
      </c>
      <c r="X6" s="2876">
        <v>11918.545530205602</v>
      </c>
      <c r="Y6" s="2876">
        <v>12540.429039779541</v>
      </c>
      <c r="Z6" s="2876">
        <v>13243.465201396702</v>
      </c>
      <c r="AA6" s="2876">
        <v>13492.9116105961</v>
      </c>
      <c r="AB6" s="2876">
        <v>14006.312355614116</v>
      </c>
      <c r="AC6" s="2876">
        <v>13868.304175930767</v>
      </c>
      <c r="AD6" s="2876">
        <v>13746.765890681232</v>
      </c>
      <c r="AE6" s="2876">
        <v>13589.047080617087</v>
      </c>
      <c r="AF6" s="2876">
        <v>12135.696001110839</v>
      </c>
      <c r="AG6" s="2876">
        <v>12180.121267196342</v>
      </c>
      <c r="AH6" s="2876">
        <v>11945.851003167976</v>
      </c>
      <c r="AI6" s="2876">
        <v>11890.460742210003</v>
      </c>
      <c r="AJ6" s="2876">
        <v>11738.634651516842</v>
      </c>
      <c r="AK6" s="2876">
        <v>11579.700446059016</v>
      </c>
      <c r="AL6" s="2876">
        <v>10888.308292942629</v>
      </c>
      <c r="AM6" s="2876">
        <v>10854.97322496917</v>
      </c>
      <c r="AN6" s="2876">
        <v>10377.366797542145</v>
      </c>
    </row>
    <row r="7" spans="1:40" s="624" customFormat="1" ht="14.25" customHeight="1" x14ac:dyDescent="0.3">
      <c r="A7" s="2836" t="s">
        <v>2855</v>
      </c>
      <c r="B7" s="2877">
        <v>10142.518363032874</v>
      </c>
      <c r="C7" s="2877">
        <v>9132.525898003676</v>
      </c>
      <c r="D7" s="2877">
        <v>6514.7588661074124</v>
      </c>
      <c r="E7" s="2877">
        <v>7104.3473943749559</v>
      </c>
      <c r="F7" s="2877">
        <v>7447.9463858439431</v>
      </c>
      <c r="G7" s="2877">
        <v>7610.8977286097534</v>
      </c>
      <c r="H7" s="2877">
        <v>7559.083962414391</v>
      </c>
      <c r="I7" s="2877">
        <v>7472.4793075996195</v>
      </c>
      <c r="J7" s="2877">
        <v>9217.4126923283966</v>
      </c>
      <c r="K7" s="2877">
        <v>8612.0989339277985</v>
      </c>
      <c r="L7" s="2877">
        <v>6736.9022043578034</v>
      </c>
      <c r="M7" s="2877">
        <v>7131.4393199056831</v>
      </c>
      <c r="N7" s="2877">
        <v>7086.7746024860435</v>
      </c>
      <c r="O7" s="2877">
        <v>7347.2397823158035</v>
      </c>
      <c r="P7" s="2877">
        <v>7608.6292370237543</v>
      </c>
      <c r="Q7" s="2877">
        <v>7388.6737709027193</v>
      </c>
      <c r="R7" s="2877">
        <v>7234</v>
      </c>
      <c r="S7" s="2877">
        <v>7172.8665835284519</v>
      </c>
      <c r="T7" s="2877">
        <v>7522.0749078418148</v>
      </c>
      <c r="U7" s="2877">
        <v>7639.0863278819252</v>
      </c>
      <c r="V7" s="2877">
        <v>8146.2760868747291</v>
      </c>
      <c r="W7" s="2877">
        <v>7930.8638374594257</v>
      </c>
      <c r="X7" s="2877">
        <v>7942.5835820172233</v>
      </c>
      <c r="Y7" s="2877">
        <v>7988.7346072278297</v>
      </c>
      <c r="Z7" s="2877">
        <v>8496.3028302571092</v>
      </c>
      <c r="AA7" s="2877">
        <v>8539.3345460747078</v>
      </c>
      <c r="AB7" s="2877">
        <v>9177.4575893191522</v>
      </c>
      <c r="AC7" s="2877">
        <v>9149.4924704179175</v>
      </c>
      <c r="AD7" s="2877">
        <v>9461.2985910816315</v>
      </c>
      <c r="AE7" s="2877">
        <v>9503.9642327065922</v>
      </c>
      <c r="AF7" s="2877">
        <v>8467.1477880762886</v>
      </c>
      <c r="AG7" s="2877">
        <v>8105.378790520138</v>
      </c>
      <c r="AH7" s="2877">
        <v>8010.6899953802758</v>
      </c>
      <c r="AI7" s="2877">
        <v>7914.8780899093881</v>
      </c>
      <c r="AJ7" s="2877">
        <v>7818.3407918050425</v>
      </c>
      <c r="AK7" s="2877">
        <v>8285.921462040571</v>
      </c>
      <c r="AL7" s="2877">
        <v>8141.7747534168884</v>
      </c>
      <c r="AM7" s="2877">
        <v>8086.4012380593213</v>
      </c>
      <c r="AN7" s="2877">
        <v>7442.2199474896588</v>
      </c>
    </row>
    <row r="8" spans="1:40" s="624" customFormat="1" ht="14.25" customHeight="1" x14ac:dyDescent="0.3">
      <c r="A8" s="2836" t="s">
        <v>2856</v>
      </c>
      <c r="B8" s="2877">
        <v>5106.3897197331016</v>
      </c>
      <c r="C8" s="2877">
        <v>6079.7744648326607</v>
      </c>
      <c r="D8" s="2877">
        <v>5860.966689868038</v>
      </c>
      <c r="E8" s="2877">
        <v>5267.6776813287161</v>
      </c>
      <c r="F8" s="2877">
        <v>5235.2095508406046</v>
      </c>
      <c r="G8" s="2877">
        <v>5668.1383297530865</v>
      </c>
      <c r="H8" s="2877">
        <v>4956.6617141750157</v>
      </c>
      <c r="I8" s="2877">
        <v>4403.6496462574532</v>
      </c>
      <c r="J8" s="2877">
        <v>4308.7544619385135</v>
      </c>
      <c r="K8" s="2877">
        <v>4556.9941719792096</v>
      </c>
      <c r="L8" s="2877">
        <v>3837.3129121144434</v>
      </c>
      <c r="M8" s="2877">
        <v>3655.648393959937</v>
      </c>
      <c r="N8" s="2877">
        <v>3927.5868213424092</v>
      </c>
      <c r="O8" s="2877">
        <v>4426.604373744779</v>
      </c>
      <c r="P8" s="2877">
        <v>4887.5479076804922</v>
      </c>
      <c r="Q8" s="2877">
        <v>4768.4830912979232</v>
      </c>
      <c r="R8" s="2877">
        <v>4418</v>
      </c>
      <c r="S8" s="2877">
        <v>4248.506680844941</v>
      </c>
      <c r="T8" s="2877">
        <v>4591.1330398362998</v>
      </c>
      <c r="U8" s="2877">
        <v>3878.9701170373605</v>
      </c>
      <c r="V8" s="2877">
        <v>3466.680520941512</v>
      </c>
      <c r="W8" s="2877">
        <v>3583.9747869829298</v>
      </c>
      <c r="X8" s="2877">
        <v>3975.9619481883747</v>
      </c>
      <c r="Y8" s="2877">
        <v>4551.6944325517125</v>
      </c>
      <c r="Z8" s="2877">
        <v>4747.1623711395932</v>
      </c>
      <c r="AA8" s="2877">
        <v>4953.5770645213925</v>
      </c>
      <c r="AB8" s="2877">
        <v>4828.8547662949641</v>
      </c>
      <c r="AC8" s="2877">
        <v>4718.8117055128496</v>
      </c>
      <c r="AD8" s="2877">
        <v>4285.4672995996034</v>
      </c>
      <c r="AE8" s="2877">
        <v>4085.0828479104939</v>
      </c>
      <c r="AF8" s="2877">
        <v>3668.5482130345476</v>
      </c>
      <c r="AG8" s="2877">
        <v>4074.7424766762028</v>
      </c>
      <c r="AH8" s="2877">
        <v>3935.1610077877012</v>
      </c>
      <c r="AI8" s="2877">
        <v>3975.5826523006135</v>
      </c>
      <c r="AJ8" s="2877">
        <v>3920.2938597117991</v>
      </c>
      <c r="AK8" s="2877">
        <v>3293.7789840184455</v>
      </c>
      <c r="AL8" s="2877">
        <v>2746.5335395257412</v>
      </c>
      <c r="AM8" s="2877">
        <v>2768.5719869098484</v>
      </c>
      <c r="AN8" s="2877">
        <v>2935.1468500524857</v>
      </c>
    </row>
    <row r="9" spans="1:40" s="624" customFormat="1" ht="14.25" customHeight="1" x14ac:dyDescent="0.3">
      <c r="A9" s="2834" t="s">
        <v>2742</v>
      </c>
      <c r="B9" s="2876">
        <v>218.81794346000001</v>
      </c>
      <c r="C9" s="2876">
        <v>217.00304772999999</v>
      </c>
      <c r="D9" s="2876">
        <v>121.86799941</v>
      </c>
      <c r="E9" s="2876">
        <v>118.47014707999999</v>
      </c>
      <c r="F9" s="2876">
        <v>117.00411534999999</v>
      </c>
      <c r="G9" s="2876">
        <v>107.99553382000001</v>
      </c>
      <c r="H9" s="2876">
        <v>84.937684050000001</v>
      </c>
      <c r="I9" s="2876">
        <v>87.643909960000002</v>
      </c>
      <c r="J9" s="2876">
        <v>79.691854429999992</v>
      </c>
      <c r="K9" s="2876">
        <v>78.057045410000001</v>
      </c>
      <c r="L9" s="2876">
        <v>78.423064319999995</v>
      </c>
      <c r="M9" s="2876">
        <v>75.988557029999996</v>
      </c>
      <c r="N9" s="2876">
        <v>74.905010779999998</v>
      </c>
      <c r="O9" s="2876">
        <v>95.039392509999985</v>
      </c>
      <c r="P9" s="2876">
        <v>72.20683004</v>
      </c>
      <c r="Q9" s="2876">
        <v>98.372661289999996</v>
      </c>
      <c r="R9" s="2876">
        <v>84</v>
      </c>
      <c r="S9" s="2876">
        <v>75.715235369999988</v>
      </c>
      <c r="T9" s="2876">
        <v>85.978274780000007</v>
      </c>
      <c r="U9" s="2876">
        <v>75.415730659999994</v>
      </c>
      <c r="V9" s="2876">
        <v>80.726506329999992</v>
      </c>
      <c r="W9" s="2876">
        <v>77.974801929999998</v>
      </c>
      <c r="X9" s="2876">
        <v>79.990629319999996</v>
      </c>
      <c r="Y9" s="2876">
        <v>80.75723318</v>
      </c>
      <c r="Z9" s="2876">
        <v>76.001433560000009</v>
      </c>
      <c r="AA9" s="2876">
        <v>74.083997789999998</v>
      </c>
      <c r="AB9" s="2876">
        <v>81.625961539999992</v>
      </c>
      <c r="AC9" s="2876">
        <v>64.441153780000008</v>
      </c>
      <c r="AD9" s="2876">
        <v>67.874240629999989</v>
      </c>
      <c r="AE9" s="2876">
        <v>72.549834099999998</v>
      </c>
      <c r="AF9" s="2876">
        <v>47.861601749999998</v>
      </c>
      <c r="AG9" s="2876">
        <v>46.163787149999997</v>
      </c>
      <c r="AH9" s="2876">
        <v>39.118973189999998</v>
      </c>
      <c r="AI9" s="2876">
        <v>39.528114030000005</v>
      </c>
      <c r="AJ9" s="2876">
        <v>42.425547170000002</v>
      </c>
      <c r="AK9" s="2876">
        <v>40.698531899999999</v>
      </c>
      <c r="AL9" s="2876">
        <v>35.068809719999997</v>
      </c>
      <c r="AM9" s="2876">
        <v>35.699707479999994</v>
      </c>
      <c r="AN9" s="2876">
        <v>34.46592965</v>
      </c>
    </row>
    <row r="10" spans="1:40" s="624" customFormat="1" ht="14.25" customHeight="1" x14ac:dyDescent="0.3">
      <c r="A10" s="2834" t="s">
        <v>2743</v>
      </c>
      <c r="B10" s="2876">
        <v>108.99441551000001</v>
      </c>
      <c r="C10" s="2876">
        <v>110.88698393999999</v>
      </c>
      <c r="D10" s="2876">
        <v>110.49265093</v>
      </c>
      <c r="E10" s="2876">
        <v>120.18846804000002</v>
      </c>
      <c r="F10" s="2876">
        <v>125.24709555000001</v>
      </c>
      <c r="G10" s="2876">
        <v>100.54207234000002</v>
      </c>
      <c r="H10" s="2876">
        <v>99.978022609999996</v>
      </c>
      <c r="I10" s="2876">
        <v>67.426624189999998</v>
      </c>
      <c r="J10" s="2876">
        <v>73.537897319999999</v>
      </c>
      <c r="K10" s="2876">
        <v>85.692901620000001</v>
      </c>
      <c r="L10" s="2876">
        <v>129.31655061000001</v>
      </c>
      <c r="M10" s="2876">
        <v>140.77603228000001</v>
      </c>
      <c r="N10" s="2876">
        <v>156.32184362000001</v>
      </c>
      <c r="O10" s="2876">
        <v>153.19161000999998</v>
      </c>
      <c r="P10" s="2876">
        <v>146.83396390000001</v>
      </c>
      <c r="Q10" s="2876">
        <v>145.23762473999997</v>
      </c>
      <c r="R10" s="2876">
        <v>91</v>
      </c>
      <c r="S10" s="2876">
        <v>157.68486532999998</v>
      </c>
      <c r="T10" s="2876">
        <v>159.22642275000001</v>
      </c>
      <c r="U10" s="2876">
        <v>186.32465263999998</v>
      </c>
      <c r="V10" s="2876">
        <v>146.76371459000001</v>
      </c>
      <c r="W10" s="2876">
        <v>202.25493211000003</v>
      </c>
      <c r="X10" s="2876">
        <v>203.8315216</v>
      </c>
      <c r="Y10" s="2876">
        <v>189.34773733999998</v>
      </c>
      <c r="Z10" s="2876">
        <v>198.12571951999999</v>
      </c>
      <c r="AA10" s="2876">
        <v>191.09374685999995</v>
      </c>
      <c r="AB10" s="2876">
        <v>206.31915033999999</v>
      </c>
      <c r="AC10" s="2876">
        <v>209.73336455</v>
      </c>
      <c r="AD10" s="2876">
        <v>217.25750835999997</v>
      </c>
      <c r="AE10" s="2876">
        <v>205.07426382999998</v>
      </c>
      <c r="AF10" s="2876">
        <v>207.74766162999998</v>
      </c>
      <c r="AG10" s="2876">
        <v>187.64489005999999</v>
      </c>
      <c r="AH10" s="2876">
        <v>226.60527652000002</v>
      </c>
      <c r="AI10" s="2876">
        <v>237.65167032999997</v>
      </c>
      <c r="AJ10" s="2876">
        <v>229.45228199000002</v>
      </c>
      <c r="AK10" s="2876">
        <v>181.58803544999998</v>
      </c>
      <c r="AL10" s="2876">
        <v>201.76956562000001</v>
      </c>
      <c r="AM10" s="2876">
        <v>192.71150394999998</v>
      </c>
      <c r="AN10" s="2876">
        <v>214.79508346</v>
      </c>
    </row>
    <row r="11" spans="1:40" s="2871" customFormat="1" ht="15.95" customHeight="1" x14ac:dyDescent="0.3">
      <c r="A11" s="2832" t="s">
        <v>2744</v>
      </c>
      <c r="B11" s="2875">
        <v>46.78068837</v>
      </c>
      <c r="C11" s="2875">
        <v>46.253067969999996</v>
      </c>
      <c r="D11" s="2875">
        <v>45.738551770000001</v>
      </c>
      <c r="E11" s="2875">
        <v>45.235207109999997</v>
      </c>
      <c r="F11" s="2875">
        <v>44.715972039999997</v>
      </c>
      <c r="G11" s="2875">
        <v>44.217266020000004</v>
      </c>
      <c r="H11" s="2875">
        <v>43.708316170000003</v>
      </c>
      <c r="I11" s="2875">
        <v>43.204010420000003</v>
      </c>
      <c r="J11" s="2875">
        <v>42.689947739999994</v>
      </c>
      <c r="K11" s="2875">
        <v>0.10134737999999999</v>
      </c>
      <c r="L11" s="2875">
        <v>1.54262616</v>
      </c>
      <c r="M11" s="2875">
        <v>1.3345721199999998</v>
      </c>
      <c r="N11" s="2875">
        <v>2.08886818</v>
      </c>
      <c r="O11" s="2875">
        <v>1.91670644</v>
      </c>
      <c r="P11" s="2875">
        <v>2.1180915599999994</v>
      </c>
      <c r="Q11" s="2875">
        <v>1.7728799</v>
      </c>
      <c r="R11" s="2875">
        <v>2</v>
      </c>
      <c r="S11" s="2875">
        <v>2.1371951199999999</v>
      </c>
      <c r="T11" s="2875">
        <v>2.1541849399999999</v>
      </c>
      <c r="U11" s="2875">
        <v>2.0021408199999997</v>
      </c>
      <c r="V11" s="2875">
        <v>2.11590795</v>
      </c>
      <c r="W11" s="2875">
        <v>2.1219770099999997</v>
      </c>
      <c r="X11" s="2875">
        <v>2.1363432100000002</v>
      </c>
      <c r="Y11" s="2875">
        <v>2.1504089999999998</v>
      </c>
      <c r="Z11" s="2875">
        <v>2.1650823099999998</v>
      </c>
      <c r="AA11" s="2875">
        <v>2.2737708599999999</v>
      </c>
      <c r="AB11" s="2875">
        <v>2.2504919900000004</v>
      </c>
      <c r="AC11" s="2875">
        <v>2.2670240000000002</v>
      </c>
      <c r="AD11" s="2875">
        <v>2.2869962000000004</v>
      </c>
      <c r="AE11" s="2875">
        <v>2.30494332</v>
      </c>
      <c r="AF11" s="2875">
        <v>0.81232177000000005</v>
      </c>
      <c r="AG11" s="2875">
        <v>1.3217221499999998</v>
      </c>
      <c r="AH11" s="2875">
        <v>1.86552451</v>
      </c>
      <c r="AI11" s="2875">
        <v>2.2260569100000001</v>
      </c>
      <c r="AJ11" s="2875">
        <v>2.3274240600000002</v>
      </c>
      <c r="AK11" s="2875">
        <v>2.3436036699999998</v>
      </c>
      <c r="AL11" s="2875">
        <v>2.18749086</v>
      </c>
      <c r="AM11" s="2875">
        <v>2.308065</v>
      </c>
      <c r="AN11" s="2875">
        <v>2.3050745099999999</v>
      </c>
    </row>
    <row r="12" spans="1:40" s="2871" customFormat="1" ht="15.95" customHeight="1" x14ac:dyDescent="0.3">
      <c r="A12" s="2832" t="s">
        <v>2745</v>
      </c>
      <c r="B12" s="2875">
        <v>22876.844872821352</v>
      </c>
      <c r="C12" s="2875">
        <v>22906.131681845905</v>
      </c>
      <c r="D12" s="2875">
        <v>22717.413743283916</v>
      </c>
      <c r="E12" s="2875">
        <v>22783.962305745543</v>
      </c>
      <c r="F12" s="2875">
        <v>22035.616435129999</v>
      </c>
      <c r="G12" s="2875">
        <v>22810.249160305873</v>
      </c>
      <c r="H12" s="2875">
        <v>22491.822245968186</v>
      </c>
      <c r="I12" s="2875">
        <v>22994.384426489883</v>
      </c>
      <c r="J12" s="2875">
        <v>21316.68678281848</v>
      </c>
      <c r="K12" s="2875">
        <v>21475.533027094014</v>
      </c>
      <c r="L12" s="2875">
        <v>20800.794300217956</v>
      </c>
      <c r="M12" s="2875">
        <v>20379.948837976892</v>
      </c>
      <c r="N12" s="2875">
        <v>20377.523695492771</v>
      </c>
      <c r="O12" s="2875">
        <v>20474.449334142366</v>
      </c>
      <c r="P12" s="2875">
        <v>20769.895746274982</v>
      </c>
      <c r="Q12" s="2875">
        <v>21047.005710265115</v>
      </c>
      <c r="R12" s="2875">
        <v>20714</v>
      </c>
      <c r="S12" s="2875">
        <v>20923.781789139342</v>
      </c>
      <c r="T12" s="2875">
        <v>21194.211315989363</v>
      </c>
      <c r="U12" s="2875">
        <v>22158.855892786225</v>
      </c>
      <c r="V12" s="2875">
        <v>22356.790943245567</v>
      </c>
      <c r="W12" s="2875">
        <v>21761.923995715617</v>
      </c>
      <c r="X12" s="2875">
        <v>21413.412493664033</v>
      </c>
      <c r="Y12" s="2875">
        <v>20327.555801014802</v>
      </c>
      <c r="Z12" s="2875">
        <v>20466.218986647262</v>
      </c>
      <c r="AA12" s="2875">
        <v>20582.572873174249</v>
      </c>
      <c r="AB12" s="2875">
        <v>20485.440475909862</v>
      </c>
      <c r="AC12" s="2875">
        <v>21342.512195115847</v>
      </c>
      <c r="AD12" s="2875">
        <v>20576.105258317908</v>
      </c>
      <c r="AE12" s="2875">
        <v>19826.213305778248</v>
      </c>
      <c r="AF12" s="2875">
        <v>19944.956740838621</v>
      </c>
      <c r="AG12" s="2875">
        <v>19823.839065634133</v>
      </c>
      <c r="AH12" s="2875">
        <v>19930.893898488954</v>
      </c>
      <c r="AI12" s="2875">
        <v>19746.782120895154</v>
      </c>
      <c r="AJ12" s="2875">
        <v>19626.270139881908</v>
      </c>
      <c r="AK12" s="2875">
        <v>19070.717588364379</v>
      </c>
      <c r="AL12" s="2875">
        <v>20133.36656696803</v>
      </c>
      <c r="AM12" s="2875">
        <v>20019.453025598748</v>
      </c>
      <c r="AN12" s="2875">
        <v>19566.715739051917</v>
      </c>
    </row>
    <row r="13" spans="1:40" s="624" customFormat="1" ht="14.25" customHeight="1" x14ac:dyDescent="0.3">
      <c r="A13" s="2834" t="s">
        <v>2746</v>
      </c>
      <c r="B13" s="2876">
        <v>6078.6116408922389</v>
      </c>
      <c r="C13" s="2876">
        <v>6383.342836509979</v>
      </c>
      <c r="D13" s="2876">
        <v>6775.9082574406111</v>
      </c>
      <c r="E13" s="2876">
        <v>6132.4288020331314</v>
      </c>
      <c r="F13" s="2876">
        <v>6010.2163219069162</v>
      </c>
      <c r="G13" s="2876">
        <v>6286.2604282572256</v>
      </c>
      <c r="H13" s="2876">
        <v>5656.1059444064849</v>
      </c>
      <c r="I13" s="2876">
        <v>5686.0613108936923</v>
      </c>
      <c r="J13" s="2876">
        <v>4421.4409081122985</v>
      </c>
      <c r="K13" s="2876">
        <v>4411.8598819493118</v>
      </c>
      <c r="L13" s="2876">
        <v>4108.5726855317889</v>
      </c>
      <c r="M13" s="2876">
        <v>3699.0401551199284</v>
      </c>
      <c r="N13" s="2876">
        <v>3948.6478992943134</v>
      </c>
      <c r="O13" s="2876">
        <v>2.5</v>
      </c>
      <c r="P13" s="2876">
        <v>4206.8079111032339</v>
      </c>
      <c r="Q13" s="2876">
        <v>4379.0598858899466</v>
      </c>
      <c r="R13" s="2876">
        <v>4130</v>
      </c>
      <c r="S13" s="2876">
        <v>4198.9157072211674</v>
      </c>
      <c r="T13" s="2876">
        <v>3959.9156203974294</v>
      </c>
      <c r="U13" s="2876">
        <v>3925.6137307151175</v>
      </c>
      <c r="V13" s="2876">
        <v>4136.7391998347366</v>
      </c>
      <c r="W13" s="2876">
        <v>3670.220663352969</v>
      </c>
      <c r="X13" s="2876">
        <v>3588.2060598763619</v>
      </c>
      <c r="Y13" s="2876">
        <v>3119.1330819948921</v>
      </c>
      <c r="Z13" s="2876">
        <v>3496.2799695135363</v>
      </c>
      <c r="AA13" s="2876">
        <v>3878.5078825964147</v>
      </c>
      <c r="AB13" s="2876">
        <v>3680.8321270041838</v>
      </c>
      <c r="AC13" s="2876">
        <v>4307.6608531595666</v>
      </c>
      <c r="AD13" s="2876">
        <v>3983.6111208895823</v>
      </c>
      <c r="AE13" s="2876">
        <v>3326.3516301685509</v>
      </c>
      <c r="AF13" s="2876">
        <v>4058.0882914427848</v>
      </c>
      <c r="AG13" s="2876">
        <v>3762.9226344178601</v>
      </c>
      <c r="AH13" s="2876">
        <v>3960.6297760774323</v>
      </c>
      <c r="AI13" s="2876">
        <v>4085.3132332617693</v>
      </c>
      <c r="AJ13" s="2876">
        <v>4123.3007407695877</v>
      </c>
      <c r="AK13" s="2876">
        <v>3695.4035907584484</v>
      </c>
      <c r="AL13" s="2876">
        <v>4197.0224431519209</v>
      </c>
      <c r="AM13" s="2876">
        <v>4102.311454128816</v>
      </c>
      <c r="AN13" s="2876">
        <v>3844.7716922701725</v>
      </c>
    </row>
    <row r="14" spans="1:40" s="624" customFormat="1" ht="14.25" customHeight="1" x14ac:dyDescent="0.3">
      <c r="A14" s="2836" t="s">
        <v>2857</v>
      </c>
      <c r="B14" s="2877">
        <v>1725.0367880000003</v>
      </c>
      <c r="C14" s="2877">
        <v>1722.82356682</v>
      </c>
      <c r="D14" s="2877">
        <v>1776.88906658</v>
      </c>
      <c r="E14" s="2877">
        <v>1790.3594569300001</v>
      </c>
      <c r="F14" s="2877">
        <v>1579.6892615100001</v>
      </c>
      <c r="G14" s="2877">
        <v>1859.69548545</v>
      </c>
      <c r="H14" s="2877">
        <v>1342.5706088100003</v>
      </c>
      <c r="I14" s="2877">
        <v>1378.0966122799998</v>
      </c>
      <c r="J14" s="2877">
        <v>1584.7408102300001</v>
      </c>
      <c r="K14" s="2877">
        <v>1611.2656958945913</v>
      </c>
      <c r="L14" s="2877">
        <v>1500.4376187945215</v>
      </c>
      <c r="M14" s="2877">
        <v>1438.0123258799999</v>
      </c>
      <c r="N14" s="2877">
        <v>1608.6824826813868</v>
      </c>
      <c r="O14" s="2877">
        <v>1615.6773392640102</v>
      </c>
      <c r="P14" s="2877">
        <v>1475.2839567400001</v>
      </c>
      <c r="Q14" s="2877">
        <v>1689.3565262197392</v>
      </c>
      <c r="R14" s="2877">
        <v>1498</v>
      </c>
      <c r="S14" s="2877">
        <v>1630.4447456788339</v>
      </c>
      <c r="T14" s="2877">
        <v>1262.3194005451253</v>
      </c>
      <c r="U14" s="2877">
        <v>1202.68203206</v>
      </c>
      <c r="V14" s="2877">
        <v>1416.8444053978569</v>
      </c>
      <c r="W14" s="2877">
        <v>885.98997534</v>
      </c>
      <c r="X14" s="2877">
        <v>1018.1102124499999</v>
      </c>
      <c r="Y14" s="2877">
        <v>649.81515833000003</v>
      </c>
      <c r="Z14" s="2877">
        <v>982.00521029021013</v>
      </c>
      <c r="AA14" s="2877">
        <v>1479.6137718346615</v>
      </c>
      <c r="AB14" s="2877">
        <v>1239.22106904</v>
      </c>
      <c r="AC14" s="2877">
        <v>1825.8866424431985</v>
      </c>
      <c r="AD14" s="2877">
        <v>1428.2243009475346</v>
      </c>
      <c r="AE14" s="2877">
        <v>1079.4864690631086</v>
      </c>
      <c r="AF14" s="2877">
        <v>1789.1254256732004</v>
      </c>
      <c r="AG14" s="2877">
        <v>1457.4911570997649</v>
      </c>
      <c r="AH14" s="2877">
        <v>1275.522717782929</v>
      </c>
      <c r="AI14" s="2877">
        <v>1190.305741185045</v>
      </c>
      <c r="AJ14" s="2877">
        <v>1217.4736689900001</v>
      </c>
      <c r="AK14" s="2877">
        <v>925.8458713</v>
      </c>
      <c r="AL14" s="2877">
        <v>1170.1691362072506</v>
      </c>
      <c r="AM14" s="2877">
        <v>1243.2813037004832</v>
      </c>
      <c r="AN14" s="2877">
        <v>1418.2383078</v>
      </c>
    </row>
    <row r="15" spans="1:40" s="624" customFormat="1" ht="14.25" customHeight="1" x14ac:dyDescent="0.3">
      <c r="A15" s="2836" t="s">
        <v>2858</v>
      </c>
      <c r="B15" s="2877">
        <v>3176.0777133534057</v>
      </c>
      <c r="C15" s="2877">
        <v>3475.1179721951153</v>
      </c>
      <c r="D15" s="2877">
        <v>3566.2145212584096</v>
      </c>
      <c r="E15" s="2877">
        <v>3009.11249481</v>
      </c>
      <c r="F15" s="2877">
        <v>3042.2449606999999</v>
      </c>
      <c r="G15" s="2877">
        <v>3050.9457545699997</v>
      </c>
      <c r="H15" s="2877">
        <v>3031.0000445400001</v>
      </c>
      <c r="I15" s="2877">
        <v>2842.6563902399998</v>
      </c>
      <c r="J15" s="2877">
        <v>1107.8326978499999</v>
      </c>
      <c r="K15" s="2877">
        <v>1080.9332879900001</v>
      </c>
      <c r="L15" s="2877">
        <v>1072.44033603</v>
      </c>
      <c r="M15" s="2877">
        <v>904.35903862999999</v>
      </c>
      <c r="N15" s="2877">
        <v>1053.0871796700001</v>
      </c>
      <c r="O15" s="2877">
        <v>1154.9171173299999</v>
      </c>
      <c r="P15" s="2877">
        <v>1115.0446303199999</v>
      </c>
      <c r="Q15" s="2877">
        <v>1130.99991507</v>
      </c>
      <c r="R15" s="2877">
        <v>1111</v>
      </c>
      <c r="S15" s="2877">
        <v>1144.5932108900001</v>
      </c>
      <c r="T15" s="2877">
        <v>1142.4622516400002</v>
      </c>
      <c r="U15" s="2877">
        <v>1202.4434004699999</v>
      </c>
      <c r="V15" s="2877">
        <v>1227.34561016</v>
      </c>
      <c r="W15" s="2877">
        <v>1230.1435072000002</v>
      </c>
      <c r="X15" s="2877">
        <v>995.18506174000004</v>
      </c>
      <c r="Y15" s="2877">
        <v>986.17920735999996</v>
      </c>
      <c r="Z15" s="2877">
        <v>975.62341738999999</v>
      </c>
      <c r="AA15" s="2877">
        <v>879.03069530000005</v>
      </c>
      <c r="AB15" s="2877">
        <v>817.75854204000007</v>
      </c>
      <c r="AC15" s="2877">
        <v>879.5938533499999</v>
      </c>
      <c r="AD15" s="2877">
        <v>857.60273500999995</v>
      </c>
      <c r="AE15" s="2877">
        <v>849.16135096000005</v>
      </c>
      <c r="AF15" s="2877">
        <v>863.54133297999999</v>
      </c>
      <c r="AG15" s="2877">
        <v>841.56044501999997</v>
      </c>
      <c r="AH15" s="2877">
        <v>863.22616200999983</v>
      </c>
      <c r="AI15" s="2877">
        <v>797.47581687000002</v>
      </c>
      <c r="AJ15" s="2877">
        <v>785.46847919999993</v>
      </c>
      <c r="AK15" s="2877">
        <v>766.86565985000004</v>
      </c>
      <c r="AL15" s="2877">
        <v>736.6065671099999</v>
      </c>
      <c r="AM15" s="2877">
        <v>523.79800743999999</v>
      </c>
      <c r="AN15" s="2877">
        <v>526.83879349999995</v>
      </c>
    </row>
    <row r="16" spans="1:40" s="624" customFormat="1" ht="14.25" customHeight="1" x14ac:dyDescent="0.3">
      <c r="A16" s="2836" t="s">
        <v>2859</v>
      </c>
      <c r="B16" s="2877">
        <v>1177.4971395388332</v>
      </c>
      <c r="C16" s="2877">
        <v>1185.401297494865</v>
      </c>
      <c r="D16" s="2877">
        <v>1432.8046696022006</v>
      </c>
      <c r="E16" s="2877">
        <v>1332.9568502931313</v>
      </c>
      <c r="F16" s="2877">
        <v>1388.2820996969165</v>
      </c>
      <c r="G16" s="2877">
        <v>1375.6191882372257</v>
      </c>
      <c r="H16" s="2877">
        <v>1282.5352910564843</v>
      </c>
      <c r="I16" s="2877">
        <v>1465.308308373691</v>
      </c>
      <c r="J16" s="2877">
        <v>1728.8674000322997</v>
      </c>
      <c r="K16" s="2877">
        <v>1719.6608980647213</v>
      </c>
      <c r="L16" s="2877">
        <v>1535.6947307072674</v>
      </c>
      <c r="M16" s="2877">
        <v>1356.6687906099285</v>
      </c>
      <c r="N16" s="2877">
        <v>1286.8782369429268</v>
      </c>
      <c r="O16" s="2877">
        <v>1435.7913854839649</v>
      </c>
      <c r="P16" s="2877">
        <v>1616.4793240432343</v>
      </c>
      <c r="Q16" s="2877">
        <v>1558.7034446002078</v>
      </c>
      <c r="R16" s="2877">
        <v>1522</v>
      </c>
      <c r="S16" s="2877">
        <v>1423.8777506523338</v>
      </c>
      <c r="T16" s="2877">
        <v>1555.1339682123037</v>
      </c>
      <c r="U16" s="2877">
        <v>1520.4882981851169</v>
      </c>
      <c r="V16" s="2877">
        <v>1492.5491842768797</v>
      </c>
      <c r="W16" s="2877">
        <v>1554.0871808129691</v>
      </c>
      <c r="X16" s="2877">
        <v>1574.910785686362</v>
      </c>
      <c r="Y16" s="2877">
        <v>1483.1387163048921</v>
      </c>
      <c r="Z16" s="2877">
        <v>1538.6513418333266</v>
      </c>
      <c r="AA16" s="2877">
        <v>1519.8634154617532</v>
      </c>
      <c r="AB16" s="2877">
        <v>1623.8525159241838</v>
      </c>
      <c r="AC16" s="2877">
        <v>1602.1803573663683</v>
      </c>
      <c r="AD16" s="2877">
        <v>1697.7840849320478</v>
      </c>
      <c r="AE16" s="2877">
        <v>1397.703810145442</v>
      </c>
      <c r="AF16" s="2877">
        <v>1405.4215327895843</v>
      </c>
      <c r="AG16" s="2877">
        <v>1463.8710322980949</v>
      </c>
      <c r="AH16" s="2877">
        <v>1821.880896284503</v>
      </c>
      <c r="AI16" s="2877">
        <v>2097.5316752067247</v>
      </c>
      <c r="AJ16" s="2877">
        <v>2120.3585925795878</v>
      </c>
      <c r="AK16" s="2877">
        <v>2002.692059608449</v>
      </c>
      <c r="AL16" s="2877">
        <v>2290.2467398346707</v>
      </c>
      <c r="AM16" s="2877">
        <v>2335.2321429883327</v>
      </c>
      <c r="AN16" s="2877">
        <v>1899.6945909701731</v>
      </c>
    </row>
    <row r="17" spans="1:40" s="624" customFormat="1" ht="14.25" customHeight="1" x14ac:dyDescent="0.3">
      <c r="A17" s="2834" t="s">
        <v>2750</v>
      </c>
      <c r="B17" s="2876">
        <v>1242.3605788899999</v>
      </c>
      <c r="C17" s="2876">
        <v>1119.7909658900001</v>
      </c>
      <c r="D17" s="2876">
        <v>1219.5887337899999</v>
      </c>
      <c r="E17" s="2876">
        <v>1205.0318490299999</v>
      </c>
      <c r="F17" s="2876">
        <v>1114.8822148799998</v>
      </c>
      <c r="G17" s="2876">
        <v>1022.9489218599999</v>
      </c>
      <c r="H17" s="2876">
        <v>963.67748205000009</v>
      </c>
      <c r="I17" s="2876">
        <v>994.24992150000003</v>
      </c>
      <c r="J17" s="2876">
        <v>995.26922568000009</v>
      </c>
      <c r="K17" s="2876">
        <v>967.84829107999997</v>
      </c>
      <c r="L17" s="2876">
        <v>1070.1400984100001</v>
      </c>
      <c r="M17" s="2876">
        <v>1091.6310350399999</v>
      </c>
      <c r="N17" s="2876">
        <v>1018.14515743</v>
      </c>
      <c r="O17" s="2876">
        <v>1014.26371525</v>
      </c>
      <c r="P17" s="2876">
        <v>1206.4256972599999</v>
      </c>
      <c r="Q17" s="2876">
        <v>1142.26866492</v>
      </c>
      <c r="R17" s="2876">
        <v>1160</v>
      </c>
      <c r="S17" s="2876">
        <v>1132.4526343699999</v>
      </c>
      <c r="T17" s="2876">
        <v>1133.9696202800001</v>
      </c>
      <c r="U17" s="2876">
        <v>1610.92555967</v>
      </c>
      <c r="V17" s="2876">
        <v>1652.4288111300002</v>
      </c>
      <c r="W17" s="2876">
        <v>1735.22777455</v>
      </c>
      <c r="X17" s="2876">
        <v>1623.5030842900001</v>
      </c>
      <c r="Y17" s="2876">
        <v>1612.7692425099997</v>
      </c>
      <c r="Z17" s="2876">
        <v>1671.2897117699999</v>
      </c>
      <c r="AA17" s="2876">
        <v>1709.3666813299999</v>
      </c>
      <c r="AB17" s="2876">
        <v>1771.0809322599998</v>
      </c>
      <c r="AC17" s="2876">
        <v>1321.5454435100003</v>
      </c>
      <c r="AD17" s="2876">
        <v>1221.1996142799999</v>
      </c>
      <c r="AE17" s="2876">
        <v>1194.2932031199998</v>
      </c>
      <c r="AF17" s="2876">
        <v>1172.91865424</v>
      </c>
      <c r="AG17" s="2876">
        <v>1468.9547484699997</v>
      </c>
      <c r="AH17" s="2876">
        <v>1031.4220510499999</v>
      </c>
      <c r="AI17" s="2876">
        <v>1212.5969323400002</v>
      </c>
      <c r="AJ17" s="2876">
        <v>992.12835749999999</v>
      </c>
      <c r="AK17" s="2876">
        <v>997.47270128000002</v>
      </c>
      <c r="AL17" s="2876">
        <v>1011.11198998</v>
      </c>
      <c r="AM17" s="2876">
        <v>1068.55212936</v>
      </c>
      <c r="AN17" s="2876">
        <v>957.09820052000009</v>
      </c>
    </row>
    <row r="18" spans="1:40" s="624" customFormat="1" ht="14.25" customHeight="1" x14ac:dyDescent="0.3">
      <c r="A18" s="2834" t="s">
        <v>2751</v>
      </c>
      <c r="B18" s="2876">
        <v>4229.7205462498723</v>
      </c>
      <c r="C18" s="2876">
        <v>4455.6878373370328</v>
      </c>
      <c r="D18" s="2876">
        <v>4374.3895707233651</v>
      </c>
      <c r="E18" s="2876">
        <v>4408.2245502178785</v>
      </c>
      <c r="F18" s="2876">
        <v>4138.9636685304858</v>
      </c>
      <c r="G18" s="2876">
        <v>4084.3540800230476</v>
      </c>
      <c r="H18" s="2876">
        <v>4337.758950214472</v>
      </c>
      <c r="I18" s="2876">
        <v>4473.7411919807128</v>
      </c>
      <c r="J18" s="2876">
        <v>4654.3956163357207</v>
      </c>
      <c r="K18" s="2876">
        <v>4457.1722176075245</v>
      </c>
      <c r="L18" s="2876">
        <v>4195.9461102864034</v>
      </c>
      <c r="M18" s="2876">
        <v>4394.2962205617278</v>
      </c>
      <c r="N18" s="2876">
        <v>4336.2013813324347</v>
      </c>
      <c r="O18" s="2876">
        <v>4314.2660385786003</v>
      </c>
      <c r="P18" s="2876">
        <v>4329.5444639107609</v>
      </c>
      <c r="Q18" s="2876">
        <v>4193.7084447155557</v>
      </c>
      <c r="R18" s="2876">
        <v>4221</v>
      </c>
      <c r="S18" s="2876">
        <v>4310.6691213025915</v>
      </c>
      <c r="T18" s="2876">
        <v>4307.3330999204463</v>
      </c>
      <c r="U18" s="2876">
        <v>4424.5394130307905</v>
      </c>
      <c r="V18" s="2876">
        <v>5331.1274565806898</v>
      </c>
      <c r="W18" s="2876">
        <v>5049.9616380103607</v>
      </c>
      <c r="X18" s="2876">
        <v>4876.7150374924431</v>
      </c>
      <c r="Y18" s="2876">
        <v>4630.69563299745</v>
      </c>
      <c r="Z18" s="2876">
        <v>4510.5822406330417</v>
      </c>
      <c r="AA18" s="2876">
        <v>4249.0455094329127</v>
      </c>
      <c r="AB18" s="2876">
        <v>4355.4373395983475</v>
      </c>
      <c r="AC18" s="2876">
        <v>4652.2998507771372</v>
      </c>
      <c r="AD18" s="2876">
        <v>4533.148081154166</v>
      </c>
      <c r="AE18" s="2876">
        <v>4339.8679415419283</v>
      </c>
      <c r="AF18" s="2876">
        <v>4323.0249599417866</v>
      </c>
      <c r="AG18" s="2876">
        <v>4014.8453678888236</v>
      </c>
      <c r="AH18" s="2876">
        <v>4885.4995963288648</v>
      </c>
      <c r="AI18" s="2876">
        <v>4792.7425410604255</v>
      </c>
      <c r="AJ18" s="2876">
        <v>4966.7125939718926</v>
      </c>
      <c r="AK18" s="2876">
        <v>4774.4904464140945</v>
      </c>
      <c r="AL18" s="2876">
        <v>4781.7678372768032</v>
      </c>
      <c r="AM18" s="2876">
        <v>4735.8344724980443</v>
      </c>
      <c r="AN18" s="2876">
        <v>4629.8552847942829</v>
      </c>
    </row>
    <row r="19" spans="1:40" s="624" customFormat="1" ht="14.25" customHeight="1" x14ac:dyDescent="0.3">
      <c r="A19" s="2834" t="s">
        <v>2752</v>
      </c>
      <c r="B19" s="2876">
        <v>3867.1722109085736</v>
      </c>
      <c r="C19" s="2876">
        <v>3468.3520114851744</v>
      </c>
      <c r="D19" s="2876">
        <v>3845.3640947085337</v>
      </c>
      <c r="E19" s="2876">
        <v>4506.3717713640299</v>
      </c>
      <c r="F19" s="2876">
        <v>4156.1185299868093</v>
      </c>
      <c r="G19" s="2876">
        <v>4874.9489634155716</v>
      </c>
      <c r="H19" s="2876">
        <v>5103.767642483378</v>
      </c>
      <c r="I19" s="2876">
        <v>5180.0443989327996</v>
      </c>
      <c r="J19" s="2876">
        <v>4669.8718503498167</v>
      </c>
      <c r="K19" s="2876">
        <v>4648.9491262937026</v>
      </c>
      <c r="L19" s="2876">
        <v>4255.9811450746301</v>
      </c>
      <c r="M19" s="2876">
        <v>4267.2758404023334</v>
      </c>
      <c r="N19" s="2876">
        <v>4306.4053038333077</v>
      </c>
      <c r="O19" s="2876">
        <v>4280.2622501001824</v>
      </c>
      <c r="P19" s="2876">
        <v>4424.144963899188</v>
      </c>
      <c r="Q19" s="2876">
        <v>4576.5304332888345</v>
      </c>
      <c r="R19" s="2876">
        <v>4481</v>
      </c>
      <c r="S19" s="2876">
        <v>4421.8787081477039</v>
      </c>
      <c r="T19" s="2876">
        <v>4505.5874133246571</v>
      </c>
      <c r="U19" s="2876">
        <v>4517.5237652070291</v>
      </c>
      <c r="V19" s="2876">
        <v>3898.7498491183937</v>
      </c>
      <c r="W19" s="2876">
        <v>4260.51095651789</v>
      </c>
      <c r="X19" s="2876">
        <v>4183.2092286491934</v>
      </c>
      <c r="Y19" s="2876">
        <v>4143.7984874161666</v>
      </c>
      <c r="Z19" s="2876">
        <v>3976.5258816251153</v>
      </c>
      <c r="AA19" s="2876">
        <v>4083.3867484695534</v>
      </c>
      <c r="AB19" s="2876">
        <v>3873.1719450175101</v>
      </c>
      <c r="AC19" s="2876">
        <v>3919.1010242315915</v>
      </c>
      <c r="AD19" s="2876">
        <v>3772.9752353857057</v>
      </c>
      <c r="AE19" s="2876">
        <v>3734.7843278296909</v>
      </c>
      <c r="AF19" s="2876">
        <v>3570.6073195487347</v>
      </c>
      <c r="AG19" s="2876">
        <v>3648.7141790464057</v>
      </c>
      <c r="AH19" s="2876">
        <v>2835.3915778771839</v>
      </c>
      <c r="AI19" s="2876">
        <v>2820.7610796331555</v>
      </c>
      <c r="AJ19" s="2876">
        <v>2847.0498133671354</v>
      </c>
      <c r="AK19" s="2876">
        <v>2677.092414875332</v>
      </c>
      <c r="AL19" s="2876">
        <v>2560.9211206113255</v>
      </c>
      <c r="AM19" s="2876">
        <v>2725.9799375327789</v>
      </c>
      <c r="AN19" s="2876">
        <v>2804.9902023702366</v>
      </c>
    </row>
    <row r="20" spans="1:40" s="624" customFormat="1" ht="14.25" customHeight="1" x14ac:dyDescent="0.3">
      <c r="A20" s="2834" t="s">
        <v>2753</v>
      </c>
      <c r="B20" s="2876">
        <v>83.196141819999994</v>
      </c>
      <c r="C20" s="2876">
        <v>81.037084640000003</v>
      </c>
      <c r="D20" s="2876">
        <v>73.032870300000013</v>
      </c>
      <c r="E20" s="2876">
        <v>76.869256370000002</v>
      </c>
      <c r="F20" s="2876">
        <v>78.956993309999987</v>
      </c>
      <c r="G20" s="2876">
        <v>78.850167289999987</v>
      </c>
      <c r="H20" s="2876">
        <v>78.151786900000005</v>
      </c>
      <c r="I20" s="2876">
        <v>78.386525719999995</v>
      </c>
      <c r="J20" s="2876">
        <v>77.506032919999996</v>
      </c>
      <c r="K20" s="2876">
        <v>77.08219862</v>
      </c>
      <c r="L20" s="2876">
        <v>75.42341424</v>
      </c>
      <c r="M20" s="2876">
        <v>91.218464690000005</v>
      </c>
      <c r="N20" s="2876">
        <v>87.597761610000006</v>
      </c>
      <c r="O20" s="2876">
        <v>86.821140990000004</v>
      </c>
      <c r="P20" s="2876">
        <v>79.039404180000005</v>
      </c>
      <c r="Q20" s="2876">
        <v>84.24307196985167</v>
      </c>
      <c r="R20" s="2876">
        <v>83</v>
      </c>
      <c r="S20" s="2876">
        <v>87.196371358703558</v>
      </c>
      <c r="T20" s="2876">
        <v>91.441989010591641</v>
      </c>
      <c r="U20" s="2876">
        <v>95.817957239242418</v>
      </c>
      <c r="V20" s="2876">
        <v>96.250162440261477</v>
      </c>
      <c r="W20" s="2876">
        <v>94.083536912562991</v>
      </c>
      <c r="X20" s="2876">
        <v>94.120247305293233</v>
      </c>
      <c r="Y20" s="2876">
        <v>91.724816472637997</v>
      </c>
      <c r="Z20" s="2876">
        <v>89.696599243432757</v>
      </c>
      <c r="AA20" s="2876">
        <v>92.674417337510732</v>
      </c>
      <c r="AB20" s="2876">
        <v>89.247441594929199</v>
      </c>
      <c r="AC20" s="2876">
        <v>90.9309004737961</v>
      </c>
      <c r="AD20" s="2876">
        <v>87.649376710249541</v>
      </c>
      <c r="AE20" s="2876">
        <v>93.157300471261351</v>
      </c>
      <c r="AF20" s="2876">
        <v>92.17474723494044</v>
      </c>
      <c r="AG20" s="2876">
        <v>97.641083686941002</v>
      </c>
      <c r="AH20" s="2876">
        <v>97.893538970244649</v>
      </c>
      <c r="AI20" s="2876">
        <v>102.14207771554791</v>
      </c>
      <c r="AJ20" s="2876">
        <v>101.94678032151279</v>
      </c>
      <c r="AK20" s="2876">
        <v>98.481262046487387</v>
      </c>
      <c r="AL20" s="2876">
        <v>98.467648395230626</v>
      </c>
      <c r="AM20" s="2876">
        <v>95.2461184644404</v>
      </c>
      <c r="AN20" s="2876">
        <v>96.691035794151276</v>
      </c>
    </row>
    <row r="21" spans="1:40" s="624" customFormat="1" ht="14.25" customHeight="1" x14ac:dyDescent="0.3">
      <c r="A21" s="2834" t="s">
        <v>2754</v>
      </c>
      <c r="B21" s="2876">
        <v>400.38090321000004</v>
      </c>
      <c r="C21" s="2876">
        <v>410.66323342999999</v>
      </c>
      <c r="D21" s="2876">
        <v>392.38208213000001</v>
      </c>
      <c r="E21" s="2876">
        <v>387.82736387</v>
      </c>
      <c r="F21" s="2876">
        <v>377.62592584999999</v>
      </c>
      <c r="G21" s="2876">
        <v>417.83049287</v>
      </c>
      <c r="H21" s="2876">
        <v>444.06592860999996</v>
      </c>
      <c r="I21" s="2876">
        <v>410.81464686999999</v>
      </c>
      <c r="J21" s="2876">
        <v>430.52824489</v>
      </c>
      <c r="K21" s="2876">
        <v>421.50478228999998</v>
      </c>
      <c r="L21" s="2876">
        <v>391.79311030000002</v>
      </c>
      <c r="M21" s="2876">
        <v>376.45245233670443</v>
      </c>
      <c r="N21" s="2876">
        <v>393.83915668905638</v>
      </c>
      <c r="O21" s="2876">
        <v>387.2275920406197</v>
      </c>
      <c r="P21" s="2876">
        <v>392.48585547728908</v>
      </c>
      <c r="Q21" s="2876">
        <v>390.82576552999996</v>
      </c>
      <c r="R21" s="2876">
        <v>386</v>
      </c>
      <c r="S21" s="2876">
        <v>373.16780619000002</v>
      </c>
      <c r="T21" s="2876">
        <v>375.91464095999999</v>
      </c>
      <c r="U21" s="2876">
        <v>361.63456731999992</v>
      </c>
      <c r="V21" s="2876">
        <v>373.21190694000001</v>
      </c>
      <c r="W21" s="2876">
        <v>371.62551945463207</v>
      </c>
      <c r="X21" s="2876">
        <v>355.26735303000004</v>
      </c>
      <c r="Y21" s="2876">
        <v>357.76716299999998</v>
      </c>
      <c r="Z21" s="2876">
        <v>350.30581903000001</v>
      </c>
      <c r="AA21" s="2876">
        <v>351.68098092000002</v>
      </c>
      <c r="AB21" s="2876">
        <v>335.85760622999999</v>
      </c>
      <c r="AC21" s="2876">
        <v>334.11758202999999</v>
      </c>
      <c r="AD21" s="2876">
        <v>328.34563918999999</v>
      </c>
      <c r="AE21" s="2876">
        <v>326.22141292999999</v>
      </c>
      <c r="AF21" s="2876">
        <v>323.50019253999994</v>
      </c>
      <c r="AG21" s="2876">
        <v>329.13286773000004</v>
      </c>
      <c r="AH21" s="2876">
        <v>661.42085534135447</v>
      </c>
      <c r="AI21" s="2876">
        <v>637.59048709647925</v>
      </c>
      <c r="AJ21" s="2876">
        <v>631.48174343000005</v>
      </c>
      <c r="AK21" s="2876">
        <v>644.14985849000004</v>
      </c>
      <c r="AL21" s="2876">
        <v>654.35074354999995</v>
      </c>
      <c r="AM21" s="2876">
        <v>671.4814788299999</v>
      </c>
      <c r="AN21" s="2876">
        <v>697.11542760999998</v>
      </c>
    </row>
    <row r="22" spans="1:40" s="624" customFormat="1" ht="14.25" customHeight="1" x14ac:dyDescent="0.3">
      <c r="A22" s="2834" t="s">
        <v>2755</v>
      </c>
      <c r="B22" s="2876">
        <v>333.65016684000005</v>
      </c>
      <c r="C22" s="2876">
        <v>324.00079281000001</v>
      </c>
      <c r="D22" s="2876">
        <v>322.00790444</v>
      </c>
      <c r="E22" s="2876">
        <v>334.69484829999993</v>
      </c>
      <c r="F22" s="2876">
        <v>316.44682889999996</v>
      </c>
      <c r="G22" s="2876">
        <v>315.58043707999997</v>
      </c>
      <c r="H22" s="2876">
        <v>300.88405795</v>
      </c>
      <c r="I22" s="2876">
        <v>298.10813186000001</v>
      </c>
      <c r="J22" s="2876">
        <v>307.09242761000002</v>
      </c>
      <c r="K22" s="2876">
        <v>303.30483466999999</v>
      </c>
      <c r="L22" s="2876">
        <v>305.15772965999997</v>
      </c>
      <c r="M22" s="2876">
        <v>310.01842177999998</v>
      </c>
      <c r="N22" s="2876">
        <v>306.04808545000003</v>
      </c>
      <c r="O22" s="2876">
        <v>301.94202794000006</v>
      </c>
      <c r="P22" s="2876">
        <v>300.31185769000001</v>
      </c>
      <c r="Q22" s="2876">
        <v>300.07041323000004</v>
      </c>
      <c r="R22" s="2876">
        <v>300</v>
      </c>
      <c r="S22" s="2876">
        <v>293.70825810000002</v>
      </c>
      <c r="T22" s="2876">
        <v>307.06374877999997</v>
      </c>
      <c r="U22" s="2876">
        <v>298.83154076</v>
      </c>
      <c r="V22" s="2876">
        <v>304.16911948000001</v>
      </c>
      <c r="W22" s="2876">
        <v>302.69976207999997</v>
      </c>
      <c r="X22" s="2876">
        <v>308.40265185999999</v>
      </c>
      <c r="Y22" s="2876">
        <v>319.09152877999998</v>
      </c>
      <c r="Z22" s="2876">
        <v>315.35703437000001</v>
      </c>
      <c r="AA22" s="2876">
        <v>332.70589798000003</v>
      </c>
      <c r="AB22" s="2876">
        <v>335.59059232999999</v>
      </c>
      <c r="AC22" s="2876">
        <v>339.82611185000002</v>
      </c>
      <c r="AD22" s="2876">
        <v>334.40456871000004</v>
      </c>
      <c r="AE22" s="2876">
        <v>330.77559348</v>
      </c>
      <c r="AF22" s="2876">
        <v>334.56168934999994</v>
      </c>
      <c r="AG22" s="2876">
        <v>335.77430985000001</v>
      </c>
      <c r="AH22" s="2876">
        <v>345.80028882000005</v>
      </c>
      <c r="AI22" s="2876">
        <v>337.14226728</v>
      </c>
      <c r="AJ22" s="2876">
        <v>355.54694874</v>
      </c>
      <c r="AK22" s="2876">
        <v>357.15697901999999</v>
      </c>
      <c r="AL22" s="2876">
        <v>351.67910982999996</v>
      </c>
      <c r="AM22" s="2876">
        <v>359.33549312999997</v>
      </c>
      <c r="AN22" s="2876">
        <v>357.15781131</v>
      </c>
    </row>
    <row r="23" spans="1:40" s="624" customFormat="1" ht="14.25" customHeight="1" x14ac:dyDescent="0.3">
      <c r="A23" s="2834" t="s">
        <v>2756</v>
      </c>
      <c r="B23" s="2876">
        <v>819.15063880999992</v>
      </c>
      <c r="C23" s="2876">
        <v>813.9239457299999</v>
      </c>
      <c r="D23" s="2876">
        <v>761.18280902000004</v>
      </c>
      <c r="E23" s="2876">
        <v>798.11122834000003</v>
      </c>
      <c r="F23" s="2876">
        <v>820.46825586</v>
      </c>
      <c r="G23" s="2876">
        <v>809.50641272000007</v>
      </c>
      <c r="H23" s="2876">
        <v>952.28130765999992</v>
      </c>
      <c r="I23" s="2876">
        <v>1037.2983909000002</v>
      </c>
      <c r="J23" s="2876">
        <v>924.7377262</v>
      </c>
      <c r="K23" s="2876">
        <v>924.85220308000009</v>
      </c>
      <c r="L23" s="2876">
        <v>1068.22160506</v>
      </c>
      <c r="M23" s="2876">
        <v>900.77370840999993</v>
      </c>
      <c r="N23" s="2876">
        <v>862.55206397000006</v>
      </c>
      <c r="O23" s="2876">
        <v>970.22267800999998</v>
      </c>
      <c r="P23" s="2876">
        <v>980.01943155999993</v>
      </c>
      <c r="Q23" s="2876">
        <v>1027.8606714599998</v>
      </c>
      <c r="R23" s="2876">
        <v>1005</v>
      </c>
      <c r="S23" s="2876">
        <v>1001.4657449000001</v>
      </c>
      <c r="T23" s="2876">
        <v>1026.3092262099999</v>
      </c>
      <c r="U23" s="2876">
        <v>997.18161326999996</v>
      </c>
      <c r="V23" s="2876">
        <v>1161.6102916</v>
      </c>
      <c r="W23" s="2876">
        <v>1208.8139528800002</v>
      </c>
      <c r="X23" s="2876">
        <v>1114.8445689800001</v>
      </c>
      <c r="Y23" s="2876">
        <v>943.46657939000011</v>
      </c>
      <c r="Z23" s="2876">
        <v>923.44903344000011</v>
      </c>
      <c r="AA23" s="2876">
        <v>960.70653858000003</v>
      </c>
      <c r="AB23" s="2876">
        <v>975.46560435999993</v>
      </c>
      <c r="AC23" s="2876">
        <v>962.69443050000007</v>
      </c>
      <c r="AD23" s="2876">
        <v>940.17083474000003</v>
      </c>
      <c r="AE23" s="2876">
        <v>953.89191760000006</v>
      </c>
      <c r="AF23" s="2876">
        <v>849.37232495000001</v>
      </c>
      <c r="AG23" s="2876">
        <v>925.61690224000006</v>
      </c>
      <c r="AH23" s="2876">
        <v>999.86623367999994</v>
      </c>
      <c r="AI23" s="2876">
        <v>999.48607242000003</v>
      </c>
      <c r="AJ23" s="2876">
        <v>995.11334878999992</v>
      </c>
      <c r="AK23" s="2876">
        <v>961.54633177999995</v>
      </c>
      <c r="AL23" s="2876">
        <v>1071.3117358000002</v>
      </c>
      <c r="AM23" s="2876">
        <v>1039.31706882</v>
      </c>
      <c r="AN23" s="2876">
        <v>973.16003712999998</v>
      </c>
    </row>
    <row r="24" spans="1:40" s="624" customFormat="1" ht="14.25" customHeight="1" x14ac:dyDescent="0.3">
      <c r="A24" s="2834" t="s">
        <v>2757</v>
      </c>
      <c r="B24" s="2876">
        <v>316.322108657792</v>
      </c>
      <c r="C24" s="2876">
        <v>329.83400566622799</v>
      </c>
      <c r="D24" s="2876">
        <v>328.82386541898234</v>
      </c>
      <c r="E24" s="2876">
        <v>288.92747685357301</v>
      </c>
      <c r="F24" s="2876">
        <v>297.60643552781801</v>
      </c>
      <c r="G24" s="2876">
        <v>274.78990367903197</v>
      </c>
      <c r="H24" s="2876">
        <v>232.25281177196499</v>
      </c>
      <c r="I24" s="2876">
        <v>215.85580234999998</v>
      </c>
      <c r="J24" s="2876">
        <v>270.55026740999995</v>
      </c>
      <c r="K24" s="2876">
        <v>412.78336480000002</v>
      </c>
      <c r="L24" s="2876">
        <v>439.05687697000002</v>
      </c>
      <c r="M24" s="2876">
        <v>397.98593277999998</v>
      </c>
      <c r="N24" s="2876">
        <v>392.72267174000001</v>
      </c>
      <c r="O24" s="2876">
        <v>365.86556158999997</v>
      </c>
      <c r="P24" s="2876">
        <v>360.49704569000005</v>
      </c>
      <c r="Q24" s="2876">
        <v>333.87989443999999</v>
      </c>
      <c r="R24" s="2876">
        <v>265</v>
      </c>
      <c r="S24" s="2876">
        <v>233.08548512000002</v>
      </c>
      <c r="T24" s="2876">
        <v>233.87251876999997</v>
      </c>
      <c r="U24" s="2876">
        <v>246.14880077999996</v>
      </c>
      <c r="V24" s="2876">
        <v>274.38839985999999</v>
      </c>
      <c r="W24" s="2876">
        <v>269.99899392999998</v>
      </c>
      <c r="X24" s="2876">
        <v>308.10617583000004</v>
      </c>
      <c r="Y24" s="2876">
        <v>311.73857556000002</v>
      </c>
      <c r="Z24" s="2876">
        <v>361.26342997</v>
      </c>
      <c r="AA24" s="2876">
        <v>165.45958906000001</v>
      </c>
      <c r="AB24" s="2876">
        <v>164.84583219999999</v>
      </c>
      <c r="AC24" s="2876">
        <v>169.32376494068401</v>
      </c>
      <c r="AD24" s="2876">
        <v>165.25885530000002</v>
      </c>
      <c r="AE24" s="2876">
        <v>195.63800273999999</v>
      </c>
      <c r="AF24" s="2876">
        <v>120.30267911</v>
      </c>
      <c r="AG24" s="2876">
        <v>172.38404954999999</v>
      </c>
      <c r="AH24" s="2876">
        <v>216.94805981999997</v>
      </c>
      <c r="AI24" s="2876">
        <v>241.85367818</v>
      </c>
      <c r="AJ24" s="2876">
        <v>223.57051709999999</v>
      </c>
      <c r="AK24" s="2876">
        <v>252.23646149000001</v>
      </c>
      <c r="AL24" s="2876">
        <v>274.90490512999997</v>
      </c>
      <c r="AM24" s="2876">
        <v>260.53893498999997</v>
      </c>
      <c r="AN24" s="2876">
        <v>298.28524788000004</v>
      </c>
    </row>
    <row r="25" spans="1:40" s="624" customFormat="1" ht="16.149999999999999" customHeight="1" x14ac:dyDescent="0.3">
      <c r="A25" s="2834" t="s">
        <v>2758</v>
      </c>
      <c r="B25" s="2876">
        <v>339.74995690827518</v>
      </c>
      <c r="C25" s="2876">
        <v>336.07308984144777</v>
      </c>
      <c r="D25" s="2876">
        <v>312.33110838218147</v>
      </c>
      <c r="E25" s="2876">
        <v>323.87251306425935</v>
      </c>
      <c r="F25" s="2876">
        <v>325.74970419112208</v>
      </c>
      <c r="G25" s="2876">
        <v>340.74335615731485</v>
      </c>
      <c r="H25" s="2876">
        <v>343.99057994488589</v>
      </c>
      <c r="I25" s="2876">
        <v>359.68408638670871</v>
      </c>
      <c r="J25" s="2876">
        <v>375.79061612513016</v>
      </c>
      <c r="K25" s="2876">
        <v>377.63436830075801</v>
      </c>
      <c r="L25" s="2876">
        <v>325.21134568532898</v>
      </c>
      <c r="M25" s="2876">
        <v>330.64563557879796</v>
      </c>
      <c r="N25" s="2876">
        <v>318.72365983366694</v>
      </c>
      <c r="O25" s="2876">
        <v>333.72414783369385</v>
      </c>
      <c r="P25" s="2876">
        <v>319.75517576274768</v>
      </c>
      <c r="Q25" s="2876">
        <v>364.50889356035066</v>
      </c>
      <c r="R25" s="2876">
        <v>361</v>
      </c>
      <c r="S25" s="2876">
        <v>388.6810778861672</v>
      </c>
      <c r="T25" s="2876">
        <v>392.67018187750637</v>
      </c>
      <c r="U25" s="2876">
        <v>403.46613841151265</v>
      </c>
      <c r="V25" s="2876">
        <v>415.46652127741356</v>
      </c>
      <c r="W25" s="2876">
        <v>392.71105489239608</v>
      </c>
      <c r="X25" s="2876">
        <v>391.45674535790943</v>
      </c>
      <c r="Y25" s="2876">
        <v>414.68995819974066</v>
      </c>
      <c r="Z25" s="2876">
        <v>392.8854775694457</v>
      </c>
      <c r="AA25" s="2876">
        <v>407.44487627070794</v>
      </c>
      <c r="AB25" s="2876">
        <v>401.13678008144944</v>
      </c>
      <c r="AC25" s="2876">
        <v>426.50741612760044</v>
      </c>
      <c r="AD25" s="2876">
        <v>410.57825537490515</v>
      </c>
      <c r="AE25" s="2876">
        <v>403.1650070702554</v>
      </c>
      <c r="AF25" s="2876">
        <v>356.23387488138343</v>
      </c>
      <c r="AG25" s="2876">
        <v>358.30955133898698</v>
      </c>
      <c r="AH25" s="2876">
        <v>375.14243412391329</v>
      </c>
      <c r="AI25" s="2876">
        <v>366.72312385014726</v>
      </c>
      <c r="AJ25" s="2876">
        <v>379.24462903049482</v>
      </c>
      <c r="AK25" s="2876">
        <v>352.23502938377436</v>
      </c>
      <c r="AL25" s="2876">
        <v>378.95402650195859</v>
      </c>
      <c r="AM25" s="2876">
        <v>385.60248976765479</v>
      </c>
      <c r="AN25" s="2876">
        <v>377.8968854404489</v>
      </c>
    </row>
    <row r="26" spans="1:40" s="624" customFormat="1" ht="14.25" customHeight="1" x14ac:dyDescent="0.3">
      <c r="A26" s="2834" t="s">
        <v>2759</v>
      </c>
      <c r="B26" s="2876">
        <v>559.74435507999999</v>
      </c>
      <c r="C26" s="2876">
        <v>567.97843852999995</v>
      </c>
      <c r="D26" s="2876">
        <v>566.43445328999996</v>
      </c>
      <c r="E26" s="2876">
        <v>592.53280693000011</v>
      </c>
      <c r="F26" s="2876">
        <v>606.91017834000002</v>
      </c>
      <c r="G26" s="2876">
        <v>586.13380057999996</v>
      </c>
      <c r="H26" s="2876">
        <v>551.03562126999998</v>
      </c>
      <c r="I26" s="2876">
        <v>558.24415569000007</v>
      </c>
      <c r="J26" s="2876">
        <v>552.17721347000008</v>
      </c>
      <c r="K26" s="2876">
        <v>594.68816377999997</v>
      </c>
      <c r="L26" s="2876">
        <v>656.86030676999997</v>
      </c>
      <c r="M26" s="2876">
        <v>781.28752398000006</v>
      </c>
      <c r="N26" s="2876">
        <v>604.41323811999996</v>
      </c>
      <c r="O26" s="2876">
        <v>556.34389186999999</v>
      </c>
      <c r="P26" s="2876">
        <v>582.97242534999998</v>
      </c>
      <c r="Q26" s="2876">
        <v>560.09235255999999</v>
      </c>
      <c r="R26" s="2876">
        <v>550</v>
      </c>
      <c r="S26" s="2876">
        <v>567.31413845000009</v>
      </c>
      <c r="T26" s="2876">
        <v>605.10463958271987</v>
      </c>
      <c r="U26" s="2876">
        <v>732.46142781455808</v>
      </c>
      <c r="V26" s="2876">
        <v>261.12719960999999</v>
      </c>
      <c r="W26" s="2876">
        <v>149.22425698517483</v>
      </c>
      <c r="X26" s="2876">
        <v>180.94108703312861</v>
      </c>
      <c r="Y26" s="2876">
        <v>161.14286075000001</v>
      </c>
      <c r="Z26" s="2876">
        <v>283.12305816999998</v>
      </c>
      <c r="AA26" s="2876">
        <v>217.25296251999998</v>
      </c>
      <c r="AB26" s="2876">
        <v>233.38515776</v>
      </c>
      <c r="AC26" s="2876">
        <v>198.40357336000002</v>
      </c>
      <c r="AD26" s="2876">
        <v>209.25257168000002</v>
      </c>
      <c r="AE26" s="2876">
        <v>372.71046114000001</v>
      </c>
      <c r="AF26" s="2876">
        <v>373.43279496999997</v>
      </c>
      <c r="AG26" s="2876">
        <v>212.49760719999998</v>
      </c>
      <c r="AH26" s="2876">
        <v>343.26896398000002</v>
      </c>
      <c r="AI26" s="2876">
        <v>206.34698374000001</v>
      </c>
      <c r="AJ26" s="2876">
        <v>211.11033025999998</v>
      </c>
      <c r="AK26" s="2876">
        <v>289.76077937999997</v>
      </c>
      <c r="AL26" s="2876">
        <v>623.60448278999991</v>
      </c>
      <c r="AM26" s="2876">
        <v>647.88466286000005</v>
      </c>
      <c r="AN26" s="2876">
        <v>584.01537971000005</v>
      </c>
    </row>
    <row r="27" spans="1:40" s="624" customFormat="1" ht="14.25" customHeight="1" x14ac:dyDescent="0.3">
      <c r="A27" s="2834" t="s">
        <v>2760</v>
      </c>
      <c r="B27" s="2876">
        <v>833.50649227281542</v>
      </c>
      <c r="C27" s="2876">
        <v>841.30422192732647</v>
      </c>
      <c r="D27" s="2876">
        <v>691.91160113675335</v>
      </c>
      <c r="E27" s="2876">
        <v>656.75944985319143</v>
      </c>
      <c r="F27" s="2876">
        <v>648.67455009601258</v>
      </c>
      <c r="G27" s="2876">
        <v>609.05982854839101</v>
      </c>
      <c r="H27" s="2876">
        <v>628.72422069463391</v>
      </c>
      <c r="I27" s="2876">
        <v>648.54890347686558</v>
      </c>
      <c r="J27" s="2876">
        <v>690.82715339329422</v>
      </c>
      <c r="K27" s="2876">
        <v>692.1521478530384</v>
      </c>
      <c r="L27" s="2876">
        <v>674.61966462483667</v>
      </c>
      <c r="M27" s="2876">
        <v>617.95525200655982</v>
      </c>
      <c r="N27" s="2876">
        <v>635.1178525839498</v>
      </c>
      <c r="O27" s="2876">
        <v>657.01031845356158</v>
      </c>
      <c r="P27" s="2876">
        <v>615.48075812874504</v>
      </c>
      <c r="Q27" s="2876">
        <v>655.14559743774078</v>
      </c>
      <c r="R27" s="2876">
        <v>687</v>
      </c>
      <c r="S27" s="2876">
        <v>606.89926688964636</v>
      </c>
      <c r="T27" s="2876">
        <v>630.18877683260405</v>
      </c>
      <c r="U27" s="2876">
        <v>795.4512021760911</v>
      </c>
      <c r="V27" s="2876">
        <v>905.10828126677086</v>
      </c>
      <c r="W27" s="2876">
        <v>800.97051340460303</v>
      </c>
      <c r="X27" s="2876">
        <v>751.78964369388257</v>
      </c>
      <c r="Y27" s="2876">
        <v>697.22061565675165</v>
      </c>
      <c r="Z27" s="2876">
        <v>678.14773429394484</v>
      </c>
      <c r="AA27" s="2876">
        <v>658.3311326716356</v>
      </c>
      <c r="AB27" s="2876">
        <v>705.96826520681998</v>
      </c>
      <c r="AC27" s="2876">
        <v>817.8514120771847</v>
      </c>
      <c r="AD27" s="2876">
        <v>755.46871009748861</v>
      </c>
      <c r="AE27" s="2876">
        <v>791.05599208211856</v>
      </c>
      <c r="AF27" s="2876">
        <v>831.01006004389978</v>
      </c>
      <c r="AG27" s="2876">
        <v>950.0995076153738</v>
      </c>
      <c r="AH27" s="2876">
        <v>920.44731534457731</v>
      </c>
      <c r="AI27" s="2876">
        <v>825.9657558675151</v>
      </c>
      <c r="AJ27" s="2876">
        <v>870.16117069373922</v>
      </c>
      <c r="AK27" s="2876">
        <v>1003.2724003259411</v>
      </c>
      <c r="AL27" s="2876">
        <v>1025.7521224323418</v>
      </c>
      <c r="AM27" s="2876">
        <v>981.49543867415639</v>
      </c>
      <c r="AN27" s="2876">
        <v>884.26280689577197</v>
      </c>
    </row>
    <row r="28" spans="1:40" s="624" customFormat="1" ht="14.25" customHeight="1" x14ac:dyDescent="0.3">
      <c r="A28" s="2834" t="s">
        <v>2761</v>
      </c>
      <c r="B28" s="2876">
        <v>87.38332321</v>
      </c>
      <c r="C28" s="2876">
        <v>92.124331899999987</v>
      </c>
      <c r="D28" s="2876">
        <v>123.51049855000001</v>
      </c>
      <c r="E28" s="2876">
        <v>137.42891609999998</v>
      </c>
      <c r="F28" s="2876">
        <v>152.90128025999999</v>
      </c>
      <c r="G28" s="2876">
        <v>149.89991172000001</v>
      </c>
      <c r="H28" s="2876">
        <v>157.61707473000001</v>
      </c>
      <c r="I28" s="2876">
        <v>156.38652171999999</v>
      </c>
      <c r="J28" s="2876">
        <v>128.54908674000001</v>
      </c>
      <c r="K28" s="2876">
        <v>156.65959336</v>
      </c>
      <c r="L28" s="2876">
        <v>146.58147668000001</v>
      </c>
      <c r="M28" s="2876">
        <v>144.49985734000001</v>
      </c>
      <c r="N28" s="2876">
        <v>143.60162674</v>
      </c>
      <c r="O28" s="2876">
        <v>143.69573987000001</v>
      </c>
      <c r="P28" s="2876">
        <v>154.02697394999998</v>
      </c>
      <c r="Q28" s="2876">
        <v>152.74422759999999</v>
      </c>
      <c r="R28" s="2876">
        <v>153</v>
      </c>
      <c r="S28" s="2876">
        <v>144.53948808999999</v>
      </c>
      <c r="T28" s="2876">
        <v>184.63162151999998</v>
      </c>
      <c r="U28" s="2876">
        <v>181.44145553000001</v>
      </c>
      <c r="V28" s="2876">
        <v>181.41013572</v>
      </c>
      <c r="W28" s="2876">
        <v>178.62319919999999</v>
      </c>
      <c r="X28" s="2876">
        <v>173.54896812000001</v>
      </c>
      <c r="Y28" s="2876">
        <v>167.39142636000003</v>
      </c>
      <c r="Z28" s="2876">
        <v>165.31401724</v>
      </c>
      <c r="AA28" s="2876">
        <v>169.03413457999997</v>
      </c>
      <c r="AB28" s="2876">
        <v>172.65960849999999</v>
      </c>
      <c r="AC28" s="2876">
        <v>172.13071686000001</v>
      </c>
      <c r="AD28" s="2876">
        <v>168.72288069000001</v>
      </c>
      <c r="AE28" s="2876">
        <v>166.3534827</v>
      </c>
      <c r="AF28" s="2876">
        <v>177.59643699</v>
      </c>
      <c r="AG28" s="2876">
        <v>172.43206867000001</v>
      </c>
      <c r="AH28" s="2876">
        <v>181.87372097032141</v>
      </c>
      <c r="AI28" s="2876">
        <v>172.60999634999999</v>
      </c>
      <c r="AJ28" s="2876">
        <v>169.59104705999999</v>
      </c>
      <c r="AK28" s="2876">
        <v>167.64337583000002</v>
      </c>
      <c r="AL28" s="2876">
        <v>166.95586181000002</v>
      </c>
      <c r="AM28" s="2876">
        <v>174.60757404</v>
      </c>
      <c r="AN28" s="2876">
        <v>177.45813737</v>
      </c>
    </row>
    <row r="29" spans="1:40" s="624" customFormat="1" ht="13.9" customHeight="1" x14ac:dyDescent="0.3">
      <c r="A29" s="2834" t="s">
        <v>2762</v>
      </c>
      <c r="B29" s="2876">
        <v>49.351418439999996</v>
      </c>
      <c r="C29" s="2876">
        <v>56.968977409999994</v>
      </c>
      <c r="D29" s="2876">
        <v>55.254341109999999</v>
      </c>
      <c r="E29" s="2876">
        <v>58.532932199999998</v>
      </c>
      <c r="F29" s="2876">
        <v>70.874071120000011</v>
      </c>
      <c r="G29" s="2876">
        <v>67.71442691</v>
      </c>
      <c r="H29" s="2876">
        <v>64.503831890000001</v>
      </c>
      <c r="I29" s="2876">
        <v>63.240576920000002</v>
      </c>
      <c r="J29" s="2876">
        <v>66.030917549999998</v>
      </c>
      <c r="K29" s="2876">
        <v>61.834631810000005</v>
      </c>
      <c r="L29" s="2876">
        <v>66.308124120000002</v>
      </c>
      <c r="M29" s="2876">
        <v>67.267227429999991</v>
      </c>
      <c r="N29" s="2876">
        <v>61.617121299999994</v>
      </c>
      <c r="O29" s="2876">
        <v>64.604371010000008</v>
      </c>
      <c r="P29" s="2876">
        <v>61.587329759999996</v>
      </c>
      <c r="Q29" s="2876">
        <v>65.283209970000001</v>
      </c>
      <c r="R29" s="2876">
        <v>66</v>
      </c>
      <c r="S29" s="2876">
        <v>66.482621870000003</v>
      </c>
      <c r="T29" s="2876">
        <v>66.235029480000009</v>
      </c>
      <c r="U29" s="2876">
        <v>80.238375290000008</v>
      </c>
      <c r="V29" s="2876">
        <v>74.276867230000008</v>
      </c>
      <c r="W29" s="2876">
        <v>76.469721629999995</v>
      </c>
      <c r="X29" s="2876">
        <v>73.658043289999995</v>
      </c>
      <c r="Y29" s="2876">
        <v>75.088947099999999</v>
      </c>
      <c r="Z29" s="2876">
        <v>76.55729101</v>
      </c>
      <c r="AA29" s="2876">
        <v>73.233166280000006</v>
      </c>
      <c r="AB29" s="2876">
        <v>71.821610030000002</v>
      </c>
      <c r="AC29" s="2876">
        <v>177.52053437999999</v>
      </c>
      <c r="AD29" s="2876">
        <v>241.43283415999997</v>
      </c>
      <c r="AE29" s="2876">
        <v>309.21357705679475</v>
      </c>
      <c r="AF29" s="2876">
        <v>307.90707666897697</v>
      </c>
      <c r="AG29" s="2876">
        <v>312.82163893339401</v>
      </c>
      <c r="AH29" s="2876">
        <v>307.52941555999996</v>
      </c>
      <c r="AI29" s="2876">
        <v>311.80534898353221</v>
      </c>
      <c r="AJ29" s="2876">
        <v>301.93845750000003</v>
      </c>
      <c r="AK29" s="2876">
        <v>302.59338986</v>
      </c>
      <c r="AL29" s="2876">
        <v>292.88801311999993</v>
      </c>
      <c r="AM29" s="2876">
        <v>302.52022807999998</v>
      </c>
      <c r="AN29" s="2876">
        <v>298.00342030000002</v>
      </c>
    </row>
    <row r="30" spans="1:40" s="624" customFormat="1" ht="14.25" customHeight="1" x14ac:dyDescent="0.3">
      <c r="A30" s="2834" t="s">
        <v>2763</v>
      </c>
      <c r="B30" s="2876">
        <v>232.24800708402432</v>
      </c>
      <c r="C30" s="2876">
        <v>236.89997812657256</v>
      </c>
      <c r="D30" s="2876">
        <v>155.33619553566015</v>
      </c>
      <c r="E30" s="2876">
        <v>159.02526079782984</v>
      </c>
      <c r="F30" s="2876">
        <v>161.0461840571096</v>
      </c>
      <c r="G30" s="2876">
        <v>170.0730113944941</v>
      </c>
      <c r="H30" s="2876">
        <v>168.69707656795234</v>
      </c>
      <c r="I30" s="2876">
        <v>170.31354667525056</v>
      </c>
      <c r="J30" s="2876">
        <v>165.72861467651782</v>
      </c>
      <c r="K30" s="2876">
        <v>177.32184930055081</v>
      </c>
      <c r="L30" s="2876">
        <v>177.21381510315783</v>
      </c>
      <c r="M30" s="2876">
        <v>177.76429893965428</v>
      </c>
      <c r="N30" s="2876">
        <v>162.76269990384938</v>
      </c>
      <c r="O30" s="2876">
        <v>173.74811567376162</v>
      </c>
      <c r="P30" s="2876">
        <v>172.3926509571167</v>
      </c>
      <c r="Q30" s="2876">
        <v>168.78911487620908</v>
      </c>
      <c r="R30" s="2876">
        <v>168</v>
      </c>
      <c r="S30" s="2876">
        <v>165.81955963365348</v>
      </c>
      <c r="T30" s="2876">
        <v>172.65578083279806</v>
      </c>
      <c r="U30" s="2876">
        <v>171.05372096796077</v>
      </c>
      <c r="V30" s="2876">
        <v>179.98187521576898</v>
      </c>
      <c r="W30" s="2876">
        <v>167.62238342323562</v>
      </c>
      <c r="X30" s="2876">
        <v>176.68696670547402</v>
      </c>
      <c r="Y30" s="2876">
        <v>177.79855865933601</v>
      </c>
      <c r="Z30" s="2876">
        <v>179.02330748105538</v>
      </c>
      <c r="AA30" s="2876">
        <v>192.28740082581299</v>
      </c>
      <c r="AB30" s="2876">
        <v>195.9906193907417</v>
      </c>
      <c r="AC30" s="2876">
        <v>199.80122097419047</v>
      </c>
      <c r="AD30" s="2876">
        <v>194.96468683742296</v>
      </c>
      <c r="AE30" s="2876">
        <v>199.48986652670206</v>
      </c>
      <c r="AF30" s="2876">
        <v>197.37840407987952</v>
      </c>
      <c r="AG30" s="2876">
        <v>203.73069087194003</v>
      </c>
      <c r="AH30" s="2876">
        <v>211.39668345034417</v>
      </c>
      <c r="AI30" s="2876">
        <v>209.56122472892577</v>
      </c>
      <c r="AJ30" s="2876">
        <v>215.19602836609727</v>
      </c>
      <c r="AK30" s="2876">
        <v>214.45736520250782</v>
      </c>
      <c r="AL30" s="2876">
        <v>202.14417244092107</v>
      </c>
      <c r="AM30" s="2876">
        <v>208.89392525820398</v>
      </c>
      <c r="AN30" s="2876">
        <v>202.96453999039937</v>
      </c>
    </row>
    <row r="31" spans="1:40" s="624" customFormat="1" ht="14.25" customHeight="1" x14ac:dyDescent="0.3">
      <c r="A31" s="2834" t="s">
        <v>2764</v>
      </c>
      <c r="B31" s="2876">
        <v>3230.0342495977602</v>
      </c>
      <c r="C31" s="2876">
        <v>3218.2046796121431</v>
      </c>
      <c r="D31" s="2876">
        <v>2549.733782647832</v>
      </c>
      <c r="E31" s="2876">
        <v>2546.2805320916564</v>
      </c>
      <c r="F31" s="2876">
        <v>2591.5767472937246</v>
      </c>
      <c r="G31" s="2876">
        <v>2555.2174021808</v>
      </c>
      <c r="H31" s="2876">
        <v>2341.448229344413</v>
      </c>
      <c r="I31" s="2876">
        <v>2495.0202469738551</v>
      </c>
      <c r="J31" s="2876">
        <v>2416.4817196857025</v>
      </c>
      <c r="K31" s="2876">
        <v>2475.5624878991252</v>
      </c>
      <c r="L31" s="2876">
        <v>2553.4547408918083</v>
      </c>
      <c r="M31" s="2876">
        <v>2443.2690099611818</v>
      </c>
      <c r="N31" s="2876">
        <v>2512.4539900121945</v>
      </c>
      <c r="O31" s="2876">
        <v>2334.4046708339729</v>
      </c>
      <c r="P31" s="2876">
        <v>2301.7514699758999</v>
      </c>
      <c r="Q31" s="2876">
        <v>2371.1760330166267</v>
      </c>
      <c r="R31" s="2876">
        <v>2421</v>
      </c>
      <c r="S31" s="2876">
        <v>2632.2736654197101</v>
      </c>
      <c r="T31" s="2876">
        <v>2893.2568198606136</v>
      </c>
      <c r="U31" s="2876">
        <v>3018.6173414539244</v>
      </c>
      <c r="V31" s="2876">
        <v>2824.7128540815297</v>
      </c>
      <c r="W31" s="2876">
        <v>2752.4154248217947</v>
      </c>
      <c r="X31" s="2876">
        <v>2934.1157131203481</v>
      </c>
      <c r="Y31" s="2876">
        <v>2826.8698706678297</v>
      </c>
      <c r="Z31" s="2876">
        <v>2720.7414304784961</v>
      </c>
      <c r="AA31" s="2876">
        <v>2769.119411646388</v>
      </c>
      <c r="AB31" s="2876">
        <v>2855.1837544445448</v>
      </c>
      <c r="AC31" s="2876">
        <v>2972.858478924602</v>
      </c>
      <c r="AD31" s="2876">
        <v>2951.5037959691249</v>
      </c>
      <c r="AE31" s="2876">
        <v>2813.8505441023071</v>
      </c>
      <c r="AF31" s="2876">
        <v>2584.3250944478195</v>
      </c>
      <c r="AG31" s="2876">
        <v>2592.2228062221889</v>
      </c>
      <c r="AH31" s="2876">
        <v>2384.0991754347133</v>
      </c>
      <c r="AI31" s="2876">
        <v>2249.1538000426985</v>
      </c>
      <c r="AJ31" s="2876">
        <v>2066.9297791308941</v>
      </c>
      <c r="AK31" s="2876">
        <v>2108.2701385859054</v>
      </c>
      <c r="AL31" s="2876">
        <v>2269.5446450636859</v>
      </c>
      <c r="AM31" s="2876">
        <v>2088.8858171087445</v>
      </c>
      <c r="AN31" s="2876">
        <v>2213.7529555162869</v>
      </c>
    </row>
    <row r="32" spans="1:40" s="2878" customFormat="1" ht="14.25" customHeight="1" x14ac:dyDescent="0.3">
      <c r="A32" s="2836" t="s">
        <v>2860</v>
      </c>
      <c r="B32" s="2877">
        <v>88.875228341647372</v>
      </c>
      <c r="C32" s="2877">
        <v>86.649312866544122</v>
      </c>
      <c r="D32" s="2877">
        <v>70.236069420571184</v>
      </c>
      <c r="E32" s="2877">
        <v>71.702774887692726</v>
      </c>
      <c r="F32" s="2877">
        <v>84.990014276098364</v>
      </c>
      <c r="G32" s="2877">
        <v>91.589489450657823</v>
      </c>
      <c r="H32" s="2877">
        <v>99.257090999422047</v>
      </c>
      <c r="I32" s="2877">
        <v>102.71513394557824</v>
      </c>
      <c r="J32" s="2877">
        <v>112.05350500484994</v>
      </c>
      <c r="K32" s="2877">
        <v>114.98332421343321</v>
      </c>
      <c r="L32" s="2877">
        <v>110.78934517029171</v>
      </c>
      <c r="M32" s="2877">
        <v>112.2925087541191</v>
      </c>
      <c r="N32" s="2877">
        <v>112.67959711964258</v>
      </c>
      <c r="O32" s="2877">
        <v>118.50720089942888</v>
      </c>
      <c r="P32" s="2877">
        <v>111.58684494304715</v>
      </c>
      <c r="Q32" s="2877">
        <v>111.47795916445058</v>
      </c>
      <c r="R32" s="2877">
        <v>110</v>
      </c>
      <c r="S32" s="2877">
        <v>113.91276786207312</v>
      </c>
      <c r="T32" s="2877">
        <v>120.24448197495649</v>
      </c>
      <c r="U32" s="2877">
        <v>125.55189421148526</v>
      </c>
      <c r="V32" s="2877">
        <v>115.93258462827421</v>
      </c>
      <c r="W32" s="2877">
        <v>120.41746014284315</v>
      </c>
      <c r="X32" s="2877">
        <v>128.19148324526739</v>
      </c>
      <c r="Y32" s="2877">
        <v>132.2572070763355</v>
      </c>
      <c r="Z32" s="2877">
        <v>150.43400726715171</v>
      </c>
      <c r="AA32" s="2877">
        <v>141.28261079303192</v>
      </c>
      <c r="AB32" s="2877">
        <v>126.34783821265708</v>
      </c>
      <c r="AC32" s="2877">
        <v>134.12556007000001</v>
      </c>
      <c r="AD32" s="2877">
        <v>134.2868876769414</v>
      </c>
      <c r="AE32" s="2877">
        <v>132.63945347999999</v>
      </c>
      <c r="AF32" s="2877">
        <v>132.92439068000002</v>
      </c>
      <c r="AG32" s="2877">
        <v>127.72964743999999</v>
      </c>
      <c r="AH32" s="2877">
        <v>131.02673114697473</v>
      </c>
      <c r="AI32" s="2877">
        <v>126.98196077999999</v>
      </c>
      <c r="AJ32" s="2877">
        <v>122.71478214999999</v>
      </c>
      <c r="AK32" s="2877">
        <v>114.74708988999998</v>
      </c>
      <c r="AL32" s="2877">
        <v>120.02757892</v>
      </c>
      <c r="AM32" s="2877">
        <v>120.41094529999999</v>
      </c>
      <c r="AN32" s="2877">
        <v>118.29160904</v>
      </c>
    </row>
    <row r="33" spans="1:40" s="2878" customFormat="1" ht="14.25" customHeight="1" x14ac:dyDescent="0.3">
      <c r="A33" s="2836" t="s">
        <v>2861</v>
      </c>
      <c r="B33" s="2877">
        <v>3141.1590212561132</v>
      </c>
      <c r="C33" s="2877">
        <v>3131.5553667455988</v>
      </c>
      <c r="D33" s="2877">
        <v>2479.4977132272606</v>
      </c>
      <c r="E33" s="2877">
        <v>2474.5777572039633</v>
      </c>
      <c r="F33" s="2877">
        <v>2506.5867330176256</v>
      </c>
      <c r="G33" s="2877">
        <v>2463.6279127301423</v>
      </c>
      <c r="H33" s="2877">
        <v>2242.1911383449906</v>
      </c>
      <c r="I33" s="2877">
        <v>2392.3051130282774</v>
      </c>
      <c r="J33" s="2877">
        <v>2304.4282146808528</v>
      </c>
      <c r="K33" s="2877">
        <v>2360.579163685692</v>
      </c>
      <c r="L33" s="2877">
        <v>2442.6653957215167</v>
      </c>
      <c r="M33" s="2877">
        <v>2330.9765012070629</v>
      </c>
      <c r="N33" s="2877">
        <v>2399.7743928925515</v>
      </c>
      <c r="O33" s="2877">
        <v>2215.897469934544</v>
      </c>
      <c r="P33" s="2877">
        <v>2190.1646250328531</v>
      </c>
      <c r="Q33" s="2877">
        <v>2259.6980738521765</v>
      </c>
      <c r="R33" s="2877">
        <v>2311</v>
      </c>
      <c r="S33" s="2877">
        <v>2518.3608975576371</v>
      </c>
      <c r="T33" s="2877">
        <v>2773.0123378856574</v>
      </c>
      <c r="U33" s="2877">
        <v>2893.0654472424385</v>
      </c>
      <c r="V33" s="2877">
        <v>2708.7802694532552</v>
      </c>
      <c r="W33" s="2877">
        <v>2631.9979646789511</v>
      </c>
      <c r="X33" s="2877">
        <v>2805.9242298750801</v>
      </c>
      <c r="Y33" s="2877">
        <v>2694.6126635914943</v>
      </c>
      <c r="Z33" s="2877">
        <v>2570.3074232113449</v>
      </c>
      <c r="AA33" s="2877">
        <v>2627.8368008533562</v>
      </c>
      <c r="AB33" s="2877">
        <v>2728.8359162318879</v>
      </c>
      <c r="AC33" s="2877">
        <v>2838.7329188546023</v>
      </c>
      <c r="AD33" s="2877">
        <v>2817.2169082921828</v>
      </c>
      <c r="AE33" s="2877">
        <v>2681.211090622307</v>
      </c>
      <c r="AF33" s="2877">
        <v>2451.4007037678193</v>
      </c>
      <c r="AG33" s="2877">
        <v>2464.4931587821893</v>
      </c>
      <c r="AH33" s="2877">
        <v>2253.072444287739</v>
      </c>
      <c r="AI33" s="2877">
        <v>2122.1718392626985</v>
      </c>
      <c r="AJ33" s="2877">
        <v>1944.2149969808938</v>
      </c>
      <c r="AK33" s="2877">
        <v>1993.5230486959056</v>
      </c>
      <c r="AL33" s="2877">
        <v>2149.5170661436864</v>
      </c>
      <c r="AM33" s="2877">
        <v>1968.4748718087444</v>
      </c>
      <c r="AN33" s="2877">
        <v>2095.461346476287</v>
      </c>
    </row>
    <row r="34" spans="1:40" s="624" customFormat="1" ht="14.25" customHeight="1" x14ac:dyDescent="0.3">
      <c r="A34" s="2834" t="s">
        <v>2767</v>
      </c>
      <c r="B34" s="2876">
        <v>174.26213394999999</v>
      </c>
      <c r="C34" s="2876">
        <v>169.94525100000001</v>
      </c>
      <c r="D34" s="2876">
        <v>170.22157465999999</v>
      </c>
      <c r="E34" s="2876">
        <v>171.04274833000002</v>
      </c>
      <c r="F34" s="2876">
        <v>166.59854501999996</v>
      </c>
      <c r="G34" s="2876">
        <v>166.33761561999998</v>
      </c>
      <c r="H34" s="2876">
        <v>166.85969947999999</v>
      </c>
      <c r="I34" s="2876">
        <v>168.38606764000002</v>
      </c>
      <c r="J34" s="2876">
        <v>169.70916166999999</v>
      </c>
      <c r="K34" s="2876">
        <v>314.32288439999996</v>
      </c>
      <c r="L34" s="2876">
        <v>290.25205081000001</v>
      </c>
      <c r="M34" s="2876">
        <v>288.56780162000001</v>
      </c>
      <c r="N34" s="2876">
        <v>286.67402564999998</v>
      </c>
      <c r="O34" s="2876">
        <v>283.66123202</v>
      </c>
      <c r="P34" s="2876">
        <v>282.65233161999993</v>
      </c>
      <c r="Q34" s="2876">
        <v>280.81903579999994</v>
      </c>
      <c r="R34" s="2876">
        <v>277</v>
      </c>
      <c r="S34" s="2876">
        <v>299.23213419000001</v>
      </c>
      <c r="T34" s="2876">
        <v>308.06058834999999</v>
      </c>
      <c r="U34" s="2876">
        <v>297.90928314999996</v>
      </c>
      <c r="V34" s="2876">
        <v>286.03201186000001</v>
      </c>
      <c r="W34" s="2876">
        <v>280.74464366999996</v>
      </c>
      <c r="X34" s="2876">
        <v>278.8409190299999</v>
      </c>
      <c r="Y34" s="2876">
        <v>277.16845549999999</v>
      </c>
      <c r="Z34" s="2876">
        <v>275.6769508091981</v>
      </c>
      <c r="AA34" s="2876">
        <v>272.3355426733109</v>
      </c>
      <c r="AB34" s="2876">
        <v>267.7652599013345</v>
      </c>
      <c r="AC34" s="2876">
        <v>279.93888093949772</v>
      </c>
      <c r="AD34" s="2876">
        <v>277.41819714926521</v>
      </c>
      <c r="AE34" s="2876">
        <v>275.39304521864005</v>
      </c>
      <c r="AF34" s="2876">
        <v>272.5221403984126</v>
      </c>
      <c r="AG34" s="2876">
        <v>265.73905190222001</v>
      </c>
      <c r="AH34" s="2876">
        <v>172.26421165999997</v>
      </c>
      <c r="AI34" s="2876">
        <v>174.9875183449528</v>
      </c>
      <c r="AJ34" s="2876">
        <v>175.24785385055617</v>
      </c>
      <c r="AK34" s="2876">
        <v>174.45506364188836</v>
      </c>
      <c r="AL34" s="2876">
        <v>171.98570908384301</v>
      </c>
      <c r="AM34" s="2876">
        <v>170.96580205590837</v>
      </c>
      <c r="AN34" s="2876">
        <v>169.23667415016911</v>
      </c>
    </row>
    <row r="35" spans="1:40" s="2871" customFormat="1" ht="13.9" customHeight="1" x14ac:dyDescent="0.3">
      <c r="A35" s="2832" t="s">
        <v>2768</v>
      </c>
      <c r="B35" s="2875">
        <v>4225.5645835439354</v>
      </c>
      <c r="C35" s="2875">
        <v>4432.3012075969773</v>
      </c>
      <c r="D35" s="2875">
        <v>4396.7565108091512</v>
      </c>
      <c r="E35" s="2875">
        <v>4426.212174799999</v>
      </c>
      <c r="F35" s="2875">
        <v>4101.97838916</v>
      </c>
      <c r="G35" s="2875">
        <v>4174.1479624354015</v>
      </c>
      <c r="H35" s="2875">
        <v>4247.4528030194288</v>
      </c>
      <c r="I35" s="2875">
        <v>4320.4216664188079</v>
      </c>
      <c r="J35" s="2875">
        <v>4728.7522135699674</v>
      </c>
      <c r="K35" s="2875">
        <v>4520.2165262899989</v>
      </c>
      <c r="L35" s="2875">
        <v>4546.6219040100004</v>
      </c>
      <c r="M35" s="2875">
        <v>4533.70067604</v>
      </c>
      <c r="N35" s="2875">
        <v>4590.8406842900004</v>
      </c>
      <c r="O35" s="2875">
        <v>4678.4419705953896</v>
      </c>
      <c r="P35" s="2875">
        <v>4277.7751985000004</v>
      </c>
      <c r="Q35" s="2875">
        <v>4244.1533262900002</v>
      </c>
      <c r="R35" s="2875">
        <v>4122</v>
      </c>
      <c r="S35" s="2875">
        <v>4232.5560896300003</v>
      </c>
      <c r="T35" s="2875">
        <v>4219.01135591</v>
      </c>
      <c r="U35" s="2875">
        <v>4281.8670578699994</v>
      </c>
      <c r="V35" s="2875">
        <v>4279.0573688999993</v>
      </c>
      <c r="W35" s="2875">
        <v>3427.60200132</v>
      </c>
      <c r="X35" s="2875">
        <v>3535.21343905</v>
      </c>
      <c r="Y35" s="2875">
        <v>3472.0559644599994</v>
      </c>
      <c r="Z35" s="2875">
        <v>3497.0838096800003</v>
      </c>
      <c r="AA35" s="2875">
        <v>3490.74283943</v>
      </c>
      <c r="AB35" s="2875">
        <v>3334.4851762000008</v>
      </c>
      <c r="AC35" s="2875">
        <v>3486.9955894</v>
      </c>
      <c r="AD35" s="2875">
        <v>3517.0039046500001</v>
      </c>
      <c r="AE35" s="2875">
        <v>3407.0515097200005</v>
      </c>
      <c r="AF35" s="2875">
        <v>3848.7142355699998</v>
      </c>
      <c r="AG35" s="2875">
        <v>3896.2692322899998</v>
      </c>
      <c r="AH35" s="2875">
        <v>3805.4816707799996</v>
      </c>
      <c r="AI35" s="2875">
        <v>3819.75342525</v>
      </c>
      <c r="AJ35" s="2875">
        <v>3895.1905691699994</v>
      </c>
      <c r="AK35" s="2875">
        <v>3929.5238174199994</v>
      </c>
      <c r="AL35" s="2875">
        <v>4086.1542310699997</v>
      </c>
      <c r="AM35" s="2875">
        <v>4192.4456990199997</v>
      </c>
      <c r="AN35" s="2875">
        <v>4064.7820115500003</v>
      </c>
    </row>
    <row r="36" spans="1:40" s="2871" customFormat="1" ht="15.6" customHeight="1" x14ac:dyDescent="0.3">
      <c r="A36" s="2879" t="s">
        <v>2769</v>
      </c>
      <c r="B36" s="2875">
        <v>262.93256024999999</v>
      </c>
      <c r="C36" s="2875">
        <v>266.0313554</v>
      </c>
      <c r="D36" s="2875">
        <v>126.44644856000001</v>
      </c>
      <c r="E36" s="2875">
        <v>127.12447191</v>
      </c>
      <c r="F36" s="2875">
        <v>136.69527812999999</v>
      </c>
      <c r="G36" s="2875">
        <v>123.61457903</v>
      </c>
      <c r="H36" s="2875">
        <v>134.44196633999999</v>
      </c>
      <c r="I36" s="2875">
        <v>126.76625395000001</v>
      </c>
      <c r="J36" s="2875">
        <v>127.03377569</v>
      </c>
      <c r="K36" s="2875">
        <v>126.65461569999999</v>
      </c>
      <c r="L36" s="2875">
        <v>121.09022164</v>
      </c>
      <c r="M36" s="2875">
        <v>122.97682979999999</v>
      </c>
      <c r="N36" s="2875">
        <v>128.11106566000001</v>
      </c>
      <c r="O36" s="2875">
        <v>121.28410835000001</v>
      </c>
      <c r="P36" s="2875">
        <v>130.16506996999999</v>
      </c>
      <c r="Q36" s="2875">
        <v>131.93561353999999</v>
      </c>
      <c r="R36" s="2875">
        <v>133</v>
      </c>
      <c r="S36" s="2875">
        <v>133.77664871000002</v>
      </c>
      <c r="T36" s="2875">
        <v>122.9786556</v>
      </c>
      <c r="U36" s="2875">
        <v>122.85177211999999</v>
      </c>
      <c r="V36" s="2875">
        <v>115.41674755</v>
      </c>
      <c r="W36" s="2875">
        <v>122.13057759</v>
      </c>
      <c r="X36" s="2875">
        <v>122.73562763000001</v>
      </c>
      <c r="Y36" s="2875">
        <v>120.67620619000002</v>
      </c>
      <c r="Z36" s="2875">
        <v>121.34374518000001</v>
      </c>
      <c r="AA36" s="2875">
        <v>120.62778673000001</v>
      </c>
      <c r="AB36" s="2875">
        <v>125.21032073000001</v>
      </c>
      <c r="AC36" s="2875">
        <v>128.41911939000002</v>
      </c>
      <c r="AD36" s="2875">
        <v>120.02354565</v>
      </c>
      <c r="AE36" s="2875">
        <v>119.96826439</v>
      </c>
      <c r="AF36" s="2875">
        <v>101.59989892999999</v>
      </c>
      <c r="AG36" s="2875">
        <v>102.87450053999999</v>
      </c>
      <c r="AH36" s="2875">
        <v>96.403493270000013</v>
      </c>
      <c r="AI36" s="2875">
        <v>129.18875383</v>
      </c>
      <c r="AJ36" s="2875">
        <v>177.91967253000004</v>
      </c>
      <c r="AK36" s="2875">
        <v>231.97110601999998</v>
      </c>
      <c r="AL36" s="2875">
        <v>230.77377257999999</v>
      </c>
      <c r="AM36" s="2875">
        <v>322.55187307</v>
      </c>
      <c r="AN36" s="2875">
        <v>321.83081715000003</v>
      </c>
    </row>
    <row r="37" spans="1:40" s="624" customFormat="1" ht="15.95" customHeight="1" x14ac:dyDescent="0.3">
      <c r="A37" s="2832" t="s">
        <v>2770</v>
      </c>
      <c r="B37" s="2875">
        <v>20514.697427252864</v>
      </c>
      <c r="C37" s="2875">
        <v>20582.986135484152</v>
      </c>
      <c r="D37" s="2875">
        <v>19592.077157690699</v>
      </c>
      <c r="E37" s="2875">
        <v>19124.796855768956</v>
      </c>
      <c r="F37" s="2875">
        <v>18963.432834036874</v>
      </c>
      <c r="G37" s="2875">
        <v>19145.609206298966</v>
      </c>
      <c r="H37" s="2875">
        <v>18721.723219670825</v>
      </c>
      <c r="I37" s="2875">
        <v>18835.753371323153</v>
      </c>
      <c r="J37" s="2875">
        <v>17811.697299219817</v>
      </c>
      <c r="K37" s="2875">
        <v>17880.613500888634</v>
      </c>
      <c r="L37" s="2875">
        <v>18150.231736064412</v>
      </c>
      <c r="M37" s="2875">
        <v>18195.411330878786</v>
      </c>
      <c r="N37" s="2875">
        <v>18781.217082907759</v>
      </c>
      <c r="O37" s="2875">
        <v>18920.313146261939</v>
      </c>
      <c r="P37" s="2875">
        <v>19203.65139726863</v>
      </c>
      <c r="Q37" s="2875">
        <v>19157.819770174294</v>
      </c>
      <c r="R37" s="2875">
        <v>19053</v>
      </c>
      <c r="S37" s="2875">
        <v>18615.932342449494</v>
      </c>
      <c r="T37" s="2875">
        <v>18830.840921983632</v>
      </c>
      <c r="U37" s="2875">
        <v>18777.247378054926</v>
      </c>
      <c r="V37" s="2875">
        <v>19263.663829807563</v>
      </c>
      <c r="W37" s="2875">
        <v>19295.925314018899</v>
      </c>
      <c r="X37" s="2875">
        <v>19371.84695555257</v>
      </c>
      <c r="Y37" s="2875">
        <v>19598.736441756319</v>
      </c>
      <c r="Z37" s="2875">
        <v>19248.650015813269</v>
      </c>
      <c r="AA37" s="2875">
        <v>19708.938539322367</v>
      </c>
      <c r="AB37" s="2875">
        <v>19574.137837698243</v>
      </c>
      <c r="AC37" s="2875">
        <v>19761.934965774857</v>
      </c>
      <c r="AD37" s="2875">
        <v>20163.914732075787</v>
      </c>
      <c r="AE37" s="2875">
        <v>20223.982932000858</v>
      </c>
      <c r="AF37" s="2875">
        <v>16257.279474246496</v>
      </c>
      <c r="AG37" s="2875">
        <v>16264.649258187288</v>
      </c>
      <c r="AH37" s="2875">
        <v>16682.981880455038</v>
      </c>
      <c r="AI37" s="2875">
        <v>16116.253419935159</v>
      </c>
      <c r="AJ37" s="2875">
        <v>16026.683637511376</v>
      </c>
      <c r="AK37" s="2875">
        <v>16065.337943776958</v>
      </c>
      <c r="AL37" s="2875">
        <v>16296.708668877414</v>
      </c>
      <c r="AM37" s="2875">
        <v>16355.560532365596</v>
      </c>
      <c r="AN37" s="2875">
        <v>16267.786969630166</v>
      </c>
    </row>
    <row r="38" spans="1:40" s="624" customFormat="1" ht="13.9" customHeight="1" x14ac:dyDescent="0.3">
      <c r="A38" s="2834" t="s">
        <v>2771</v>
      </c>
      <c r="B38" s="2876">
        <v>16926.746389027503</v>
      </c>
      <c r="C38" s="2876">
        <v>17086.730593019303</v>
      </c>
      <c r="D38" s="2876">
        <v>16824.198223946747</v>
      </c>
      <c r="E38" s="2876">
        <v>16391.616807716731</v>
      </c>
      <c r="F38" s="2876">
        <v>16173.722264163471</v>
      </c>
      <c r="G38" s="2876">
        <v>16320.051185616439</v>
      </c>
      <c r="H38" s="2876">
        <v>15761.096158093624</v>
      </c>
      <c r="I38" s="2876">
        <v>15863.856278539177</v>
      </c>
      <c r="J38" s="2876">
        <v>14824.200528306101</v>
      </c>
      <c r="K38" s="2876">
        <v>14934.363876270745</v>
      </c>
      <c r="L38" s="2876">
        <v>15160.402095913529</v>
      </c>
      <c r="M38" s="2876">
        <v>15188.376263776881</v>
      </c>
      <c r="N38" s="2876">
        <v>15581.18162135608</v>
      </c>
      <c r="O38" s="2876">
        <v>15725.969213260883</v>
      </c>
      <c r="P38" s="2876">
        <v>15916.880657407952</v>
      </c>
      <c r="Q38" s="2876">
        <v>15976.086062642604</v>
      </c>
      <c r="R38" s="2876">
        <v>15915</v>
      </c>
      <c r="S38" s="2876">
        <v>15479.948853297001</v>
      </c>
      <c r="T38" s="2876">
        <v>15591.786194870421</v>
      </c>
      <c r="U38" s="2876">
        <v>15708.533160753765</v>
      </c>
      <c r="V38" s="2876">
        <v>16200.40004454271</v>
      </c>
      <c r="W38" s="2876">
        <v>16226.181823167926</v>
      </c>
      <c r="X38" s="2876">
        <v>16247.245115736696</v>
      </c>
      <c r="Y38" s="2876">
        <v>16414.202209122162</v>
      </c>
      <c r="Z38" s="2876">
        <v>16404.738259177979</v>
      </c>
      <c r="AA38" s="2876">
        <v>16400.783642513372</v>
      </c>
      <c r="AB38" s="2876">
        <v>16393.681439383545</v>
      </c>
      <c r="AC38" s="2876">
        <v>16545.676230133748</v>
      </c>
      <c r="AD38" s="2876">
        <v>16753.812065550424</v>
      </c>
      <c r="AE38" s="2876">
        <v>16770.459570921379</v>
      </c>
      <c r="AF38" s="2876">
        <v>13230.925516082492</v>
      </c>
      <c r="AG38" s="2876">
        <v>13344.436415691818</v>
      </c>
      <c r="AH38" s="2876">
        <v>13728.762079424427</v>
      </c>
      <c r="AI38" s="2876">
        <v>13066.619179254589</v>
      </c>
      <c r="AJ38" s="2876">
        <v>12806.655832646664</v>
      </c>
      <c r="AK38" s="2876">
        <v>12768.060633824985</v>
      </c>
      <c r="AL38" s="2876">
        <v>12939.978579005112</v>
      </c>
      <c r="AM38" s="2876">
        <v>12941.633063519439</v>
      </c>
      <c r="AN38" s="2876">
        <v>12817.266358913597</v>
      </c>
    </row>
    <row r="39" spans="1:40" s="624" customFormat="1" ht="15.95" customHeight="1" x14ac:dyDescent="0.3">
      <c r="A39" s="2836" t="s">
        <v>2862</v>
      </c>
      <c r="B39" s="2877">
        <v>5547.6330026325222</v>
      </c>
      <c r="C39" s="2877">
        <v>5525.5353169534656</v>
      </c>
      <c r="D39" s="2877">
        <v>5545.0787436808378</v>
      </c>
      <c r="E39" s="2877">
        <v>5473.2524255038206</v>
      </c>
      <c r="F39" s="2877">
        <v>5382.2363842120194</v>
      </c>
      <c r="G39" s="2877">
        <v>5366.1213646804927</v>
      </c>
      <c r="H39" s="2877">
        <v>5169.7213248716162</v>
      </c>
      <c r="I39" s="2877">
        <v>5206.3056006588095</v>
      </c>
      <c r="J39" s="2877">
        <v>5031.9307972084189</v>
      </c>
      <c r="K39" s="2877">
        <v>5050.8090378503912</v>
      </c>
      <c r="L39" s="2877">
        <v>5070.3262172612631</v>
      </c>
      <c r="M39" s="2877">
        <v>5033.1747395908242</v>
      </c>
      <c r="N39" s="2877">
        <v>5264.5758037586338</v>
      </c>
      <c r="O39" s="2877">
        <v>5196.9636420992329</v>
      </c>
      <c r="P39" s="2877">
        <v>5329.9421425126484</v>
      </c>
      <c r="Q39" s="2877">
        <v>5253.0664618984956</v>
      </c>
      <c r="R39" s="2877">
        <v>5275</v>
      </c>
      <c r="S39" s="2877">
        <v>5112.177273906681</v>
      </c>
      <c r="T39" s="2877">
        <v>5235.867363676979</v>
      </c>
      <c r="U39" s="2877">
        <v>5276.6610225893855</v>
      </c>
      <c r="V39" s="2877">
        <v>5383.7044889640256</v>
      </c>
      <c r="W39" s="2877">
        <v>5493.9111888461712</v>
      </c>
      <c r="X39" s="2877">
        <v>5537.4457415982433</v>
      </c>
      <c r="Y39" s="2877">
        <v>5552.664864989837</v>
      </c>
      <c r="Z39" s="2877">
        <v>5509.1200033650302</v>
      </c>
      <c r="AA39" s="2877">
        <v>5647.8616525155767</v>
      </c>
      <c r="AB39" s="2877">
        <v>5597.4719777886794</v>
      </c>
      <c r="AC39" s="2877">
        <v>5700.528986254797</v>
      </c>
      <c r="AD39" s="2877">
        <v>5838.1240978159922</v>
      </c>
      <c r="AE39" s="2877">
        <v>5917.0980745434017</v>
      </c>
      <c r="AF39" s="2877">
        <v>5382.5595130784304</v>
      </c>
      <c r="AG39" s="2877">
        <v>5440.7149972235266</v>
      </c>
      <c r="AH39" s="2877">
        <v>5534.3230162324562</v>
      </c>
      <c r="AI39" s="2877">
        <v>5459.3853462090374</v>
      </c>
      <c r="AJ39" s="2877">
        <v>5467.5479801894589</v>
      </c>
      <c r="AK39" s="2877">
        <v>5422.9970116194572</v>
      </c>
      <c r="AL39" s="2877">
        <v>5407.9783248354415</v>
      </c>
      <c r="AM39" s="2877">
        <v>5417.4408071390444</v>
      </c>
      <c r="AN39" s="2877">
        <v>5233.8740853007175</v>
      </c>
    </row>
    <row r="40" spans="1:40" s="624" customFormat="1" ht="15.95" customHeight="1" x14ac:dyDescent="0.3">
      <c r="A40" s="2836" t="s">
        <v>2863</v>
      </c>
      <c r="B40" s="2877">
        <v>11379.11338639498</v>
      </c>
      <c r="C40" s="2877">
        <v>11561.195276065839</v>
      </c>
      <c r="D40" s="2877">
        <v>11279.119480265912</v>
      </c>
      <c r="E40" s="2877">
        <v>10918.364382212912</v>
      </c>
      <c r="F40" s="2877">
        <v>10791.485879951451</v>
      </c>
      <c r="G40" s="2877">
        <v>10953.929820935948</v>
      </c>
      <c r="H40" s="2877">
        <v>10591.374833222011</v>
      </c>
      <c r="I40" s="2877">
        <v>10657.550677880368</v>
      </c>
      <c r="J40" s="2877">
        <v>9792.2697310976819</v>
      </c>
      <c r="K40" s="2877">
        <v>9883.5548384203503</v>
      </c>
      <c r="L40" s="2877">
        <v>10090.075878652266</v>
      </c>
      <c r="M40" s="2877">
        <v>10155.201524186055</v>
      </c>
      <c r="N40" s="2877">
        <v>10316.605817597447</v>
      </c>
      <c r="O40" s="2877">
        <v>10529.005571161651</v>
      </c>
      <c r="P40" s="2877">
        <v>10586.938514895304</v>
      </c>
      <c r="Q40" s="2877">
        <v>10723.019600744108</v>
      </c>
      <c r="R40" s="2877">
        <v>10640</v>
      </c>
      <c r="S40" s="2877">
        <v>10367.771579390319</v>
      </c>
      <c r="T40" s="2877">
        <v>10355.918831193443</v>
      </c>
      <c r="U40" s="2877">
        <v>10431.872138164379</v>
      </c>
      <c r="V40" s="2877">
        <v>10816.695555578683</v>
      </c>
      <c r="W40" s="2877">
        <v>10732.270634321754</v>
      </c>
      <c r="X40" s="2877">
        <v>10709.799374138451</v>
      </c>
      <c r="Y40" s="2877">
        <v>10861.537344132325</v>
      </c>
      <c r="Z40" s="2877">
        <v>10895.618255812949</v>
      </c>
      <c r="AA40" s="2877">
        <v>10752.921989997794</v>
      </c>
      <c r="AB40" s="2877">
        <v>10796.209461594864</v>
      </c>
      <c r="AC40" s="2877">
        <v>10845.147243878951</v>
      </c>
      <c r="AD40" s="2877">
        <v>10915.687967734428</v>
      </c>
      <c r="AE40" s="2877">
        <v>10853.361496377978</v>
      </c>
      <c r="AF40" s="2877">
        <v>7848.3660030040637</v>
      </c>
      <c r="AG40" s="2877">
        <v>7903.7214184682898</v>
      </c>
      <c r="AH40" s="2877">
        <v>8194.4390631919705</v>
      </c>
      <c r="AI40" s="2877">
        <v>7607.2338330455514</v>
      </c>
      <c r="AJ40" s="2877">
        <v>7339.107852457204</v>
      </c>
      <c r="AK40" s="2877">
        <v>7345.0636222055282</v>
      </c>
      <c r="AL40" s="2877">
        <v>7532.0002541696704</v>
      </c>
      <c r="AM40" s="2877">
        <v>7524.1922563803955</v>
      </c>
      <c r="AN40" s="2877">
        <v>7583.3922736128807</v>
      </c>
    </row>
    <row r="41" spans="1:40" s="624" customFormat="1" ht="15.95" customHeight="1" x14ac:dyDescent="0.3">
      <c r="A41" s="2836" t="s">
        <v>2864</v>
      </c>
      <c r="B41" s="2877">
        <v>604.70406859917057</v>
      </c>
      <c r="C41" s="2877">
        <v>563.59862104000013</v>
      </c>
      <c r="D41" s="2877">
        <v>568.23353265434571</v>
      </c>
      <c r="E41" s="2877">
        <v>305.37615929795066</v>
      </c>
      <c r="F41" s="2877">
        <v>311.05110519000004</v>
      </c>
      <c r="G41" s="2877">
        <v>329.99597535999999</v>
      </c>
      <c r="H41" s="2877">
        <v>333.27278352999997</v>
      </c>
      <c r="I41" s="2877">
        <v>350.01529484000002</v>
      </c>
      <c r="J41" s="2877">
        <v>362.84055194999996</v>
      </c>
      <c r="K41" s="2877">
        <v>432.56326203999998</v>
      </c>
      <c r="L41" s="2877">
        <v>449.38266777999996</v>
      </c>
      <c r="M41" s="2877">
        <v>439.21782592000005</v>
      </c>
      <c r="N41" s="2877">
        <v>533.90300703999992</v>
      </c>
      <c r="O41" s="2877">
        <v>658.95539973000007</v>
      </c>
      <c r="P41" s="2877">
        <v>685.80204063148517</v>
      </c>
      <c r="Q41" s="2877">
        <v>795.03191497</v>
      </c>
      <c r="R41" s="2877">
        <v>895</v>
      </c>
      <c r="S41" s="2877">
        <v>952.21339017000003</v>
      </c>
      <c r="T41" s="2877">
        <v>1035.8890396900001</v>
      </c>
      <c r="U41" s="2877">
        <v>1046.01588502</v>
      </c>
      <c r="V41" s="2877">
        <v>1055.7465982200001</v>
      </c>
      <c r="W41" s="2877">
        <v>1061.9708716</v>
      </c>
      <c r="X41" s="2877">
        <v>1061.893186886587</v>
      </c>
      <c r="Y41" s="2877">
        <v>1050.6443903299999</v>
      </c>
      <c r="Z41" s="2877">
        <v>1074.77617725</v>
      </c>
      <c r="AA41" s="2877">
        <v>1064.57169118</v>
      </c>
      <c r="AB41" s="2877">
        <v>1018.86147976</v>
      </c>
      <c r="AC41" s="2877">
        <v>1045.6936880799999</v>
      </c>
      <c r="AD41" s="2877">
        <v>1168.5988150000001</v>
      </c>
      <c r="AE41" s="2877">
        <v>1140.2712662026768</v>
      </c>
      <c r="AF41" s="2877">
        <v>256.70362799082835</v>
      </c>
      <c r="AG41" s="2877">
        <v>266.49388824072099</v>
      </c>
      <c r="AH41" s="2877">
        <v>223.68704477563793</v>
      </c>
      <c r="AI41" s="2877">
        <v>224.56543831272609</v>
      </c>
      <c r="AJ41" s="2877">
        <v>194.73453714312834</v>
      </c>
      <c r="AK41" s="2877">
        <v>188.56109576</v>
      </c>
      <c r="AL41" s="2877">
        <v>179.29573949000002</v>
      </c>
      <c r="AM41" s="2877">
        <v>186.16546321000001</v>
      </c>
      <c r="AN41" s="2877">
        <v>185.82692184999999</v>
      </c>
    </row>
    <row r="42" spans="1:40" s="624" customFormat="1" ht="15.95" customHeight="1" x14ac:dyDescent="0.3">
      <c r="A42" s="2836" t="s">
        <v>2865</v>
      </c>
      <c r="B42" s="2877">
        <v>541.03363950999994</v>
      </c>
      <c r="C42" s="2877">
        <v>576.44278122277478</v>
      </c>
      <c r="D42" s="2877">
        <v>562.18400341000006</v>
      </c>
      <c r="E42" s="2877">
        <v>573.32986420999987</v>
      </c>
      <c r="F42" s="2877">
        <v>533.50475608223269</v>
      </c>
      <c r="G42" s="2877">
        <v>540.93574581588518</v>
      </c>
      <c r="H42" s="2877">
        <v>537.37526410248449</v>
      </c>
      <c r="I42" s="2877">
        <v>585.42459783781942</v>
      </c>
      <c r="J42" s="2877">
        <v>578.44172612207808</v>
      </c>
      <c r="K42" s="2877">
        <v>597.6905099692882</v>
      </c>
      <c r="L42" s="2877">
        <v>595.19557956644303</v>
      </c>
      <c r="M42" s="2877">
        <v>593.3595501358235</v>
      </c>
      <c r="N42" s="2877">
        <v>578.80578683749195</v>
      </c>
      <c r="O42" s="2877">
        <v>579.20292626381979</v>
      </c>
      <c r="P42" s="2877">
        <v>544.87890609999988</v>
      </c>
      <c r="Q42" s="2877">
        <v>520.15817269508602</v>
      </c>
      <c r="R42" s="2877">
        <v>519</v>
      </c>
      <c r="S42" s="2877">
        <v>519.61132175552552</v>
      </c>
      <c r="T42" s="2877">
        <v>518.24605141999996</v>
      </c>
      <c r="U42" s="2877">
        <v>519.37279023381211</v>
      </c>
      <c r="V42" s="2877">
        <v>518.82724315084556</v>
      </c>
      <c r="W42" s="2877">
        <v>515.54428565435342</v>
      </c>
      <c r="X42" s="2877">
        <v>506.53341483999998</v>
      </c>
      <c r="Y42" s="2877">
        <v>475.34433618950908</v>
      </c>
      <c r="Z42" s="2877">
        <v>487.60651655295072</v>
      </c>
      <c r="AA42" s="2877">
        <v>475.77608634779659</v>
      </c>
      <c r="AB42" s="2877">
        <v>470.57660997486465</v>
      </c>
      <c r="AC42" s="2877">
        <v>467.64874115895213</v>
      </c>
      <c r="AD42" s="2877">
        <v>477.29435425442881</v>
      </c>
      <c r="AE42" s="2877">
        <v>463.62486541530075</v>
      </c>
      <c r="AF42" s="2877">
        <v>419.26746592323531</v>
      </c>
      <c r="AG42" s="2877">
        <v>415.56385497756901</v>
      </c>
      <c r="AH42" s="2877">
        <v>436.19360459633259</v>
      </c>
      <c r="AI42" s="2877">
        <v>454.89387326282491</v>
      </c>
      <c r="AJ42" s="2877">
        <v>468.86198844407591</v>
      </c>
      <c r="AK42" s="2877">
        <v>516.07599448552833</v>
      </c>
      <c r="AL42" s="2877">
        <v>543.38321575967041</v>
      </c>
      <c r="AM42" s="2877">
        <v>554.24427485039473</v>
      </c>
      <c r="AN42" s="2877">
        <v>577.56680225288073</v>
      </c>
    </row>
    <row r="43" spans="1:40" s="624" customFormat="1" ht="15.95" customHeight="1" x14ac:dyDescent="0.3">
      <c r="A43" s="2836" t="s">
        <v>2866</v>
      </c>
      <c r="B43" s="2877">
        <v>7644.65529013581</v>
      </c>
      <c r="C43" s="2877">
        <v>7859.5540654330625</v>
      </c>
      <c r="D43" s="2877">
        <v>8040.4188842915664</v>
      </c>
      <c r="E43" s="2877">
        <v>7950.8074390849606</v>
      </c>
      <c r="F43" s="2877">
        <v>7791.4703820592204</v>
      </c>
      <c r="G43" s="2877">
        <v>7884.5130949300628</v>
      </c>
      <c r="H43" s="2877">
        <v>7533.0482422695259</v>
      </c>
      <c r="I43" s="2877">
        <v>7474.0907761825501</v>
      </c>
      <c r="J43" s="2877">
        <v>6527.1066424556038</v>
      </c>
      <c r="K43" s="2877">
        <v>6491.7929509810629</v>
      </c>
      <c r="L43" s="2877">
        <v>6609.1405694658224</v>
      </c>
      <c r="M43" s="2877">
        <v>6593.6275960802313</v>
      </c>
      <c r="N43" s="2877">
        <v>6627.5356670099536</v>
      </c>
      <c r="O43" s="2877">
        <v>6663.1363475178305</v>
      </c>
      <c r="P43" s="2877">
        <v>6730.1857777038185</v>
      </c>
      <c r="Q43" s="2877">
        <v>6693.5800052190225</v>
      </c>
      <c r="R43" s="2877">
        <v>6614</v>
      </c>
      <c r="S43" s="2877">
        <v>6312.5734521247941</v>
      </c>
      <c r="T43" s="2877">
        <v>6290.8405402813714</v>
      </c>
      <c r="U43" s="2877">
        <v>6319.9423759805668</v>
      </c>
      <c r="V43" s="2877">
        <v>6501.6059078978378</v>
      </c>
      <c r="W43" s="2877">
        <v>6283.0373566210574</v>
      </c>
      <c r="X43" s="2877">
        <v>6321.2176163318645</v>
      </c>
      <c r="Y43" s="2877">
        <v>6569.574184092814</v>
      </c>
      <c r="Z43" s="2877">
        <v>6679.3915356000007</v>
      </c>
      <c r="AA43" s="2877">
        <v>6531.4101480499994</v>
      </c>
      <c r="AB43" s="2877">
        <v>6619.3328580299985</v>
      </c>
      <c r="AC43" s="2877">
        <v>6656.8428500699993</v>
      </c>
      <c r="AD43" s="2877">
        <v>6558.718665620001</v>
      </c>
      <c r="AE43" s="2877">
        <v>6596.2985792999998</v>
      </c>
      <c r="AF43" s="2877">
        <v>4795.4408988700006</v>
      </c>
      <c r="AG43" s="2877">
        <v>4876.1784608400012</v>
      </c>
      <c r="AH43" s="2877">
        <v>5315.1187448700011</v>
      </c>
      <c r="AI43" s="2877">
        <v>4693.5676993400002</v>
      </c>
      <c r="AJ43" s="2877">
        <v>4336.9613238299999</v>
      </c>
      <c r="AK43" s="2877">
        <v>4359.7330052399993</v>
      </c>
      <c r="AL43" s="2877">
        <v>4487.7730046799998</v>
      </c>
      <c r="AM43" s="2877">
        <v>4512.2135979299992</v>
      </c>
      <c r="AN43" s="2877">
        <v>4526.0794275799999</v>
      </c>
    </row>
    <row r="44" spans="1:40" s="624" customFormat="1" ht="15.95" customHeight="1" x14ac:dyDescent="0.3">
      <c r="A44" s="2836" t="s">
        <v>2867</v>
      </c>
      <c r="B44" s="2877">
        <v>2588.7203881499995</v>
      </c>
      <c r="C44" s="2877">
        <v>2561.5998083699997</v>
      </c>
      <c r="D44" s="2877">
        <v>2108.2830599099998</v>
      </c>
      <c r="E44" s="2877">
        <v>2088.8509196199998</v>
      </c>
      <c r="F44" s="2877">
        <v>2155.4596366199999</v>
      </c>
      <c r="G44" s="2877">
        <v>2198.48500483</v>
      </c>
      <c r="H44" s="2877">
        <v>2187.6785433200002</v>
      </c>
      <c r="I44" s="2877">
        <v>2248.0200090200005</v>
      </c>
      <c r="J44" s="2877">
        <v>2323.88081057</v>
      </c>
      <c r="K44" s="2877">
        <v>2361.5081154299996</v>
      </c>
      <c r="L44" s="2877">
        <v>2436.3570618400004</v>
      </c>
      <c r="M44" s="2877">
        <v>2528.9965520499995</v>
      </c>
      <c r="N44" s="2877">
        <v>2576.3613567100001</v>
      </c>
      <c r="O44" s="2877">
        <v>2627.7108976499999</v>
      </c>
      <c r="P44" s="2877">
        <v>2626.0717904599996</v>
      </c>
      <c r="Q44" s="2877">
        <v>2714.2495078599995</v>
      </c>
      <c r="R44" s="2877">
        <v>2613</v>
      </c>
      <c r="S44" s="2877">
        <v>2583.3734153399996</v>
      </c>
      <c r="T44" s="2877">
        <v>2510.9431998020732</v>
      </c>
      <c r="U44" s="2877">
        <v>2546.5410869300003</v>
      </c>
      <c r="V44" s="2877">
        <v>2740.5158063099998</v>
      </c>
      <c r="W44" s="2877">
        <v>2871.7181204463441</v>
      </c>
      <c r="X44" s="2877">
        <v>2820.1551560799999</v>
      </c>
      <c r="Y44" s="2877">
        <v>2765.9744335199998</v>
      </c>
      <c r="Z44" s="2877">
        <v>2653.84402641</v>
      </c>
      <c r="AA44" s="2877">
        <v>2681.1640644200002</v>
      </c>
      <c r="AB44" s="2877">
        <v>2687.4385138300004</v>
      </c>
      <c r="AC44" s="2877">
        <v>2674.96196457</v>
      </c>
      <c r="AD44" s="2877">
        <v>2711.0761328599997</v>
      </c>
      <c r="AE44" s="2877">
        <v>2653.16678546</v>
      </c>
      <c r="AF44" s="2877">
        <v>2376.9540102199999</v>
      </c>
      <c r="AG44" s="2877">
        <v>2345.48521441</v>
      </c>
      <c r="AH44" s="2877">
        <v>2219.4396689499999</v>
      </c>
      <c r="AI44" s="2877">
        <v>2234.2068221300001</v>
      </c>
      <c r="AJ44" s="2877">
        <v>2338.5500030399999</v>
      </c>
      <c r="AK44" s="2877">
        <v>2280.6935267199997</v>
      </c>
      <c r="AL44" s="2877">
        <v>2321.5482942400004</v>
      </c>
      <c r="AM44" s="2877">
        <v>2271.5689203900001</v>
      </c>
      <c r="AN44" s="2877">
        <v>2293.9191219299996</v>
      </c>
    </row>
    <row r="45" spans="1:40" s="624" customFormat="1" ht="15.95" customHeight="1" x14ac:dyDescent="0.3">
      <c r="A45" s="2834" t="s">
        <v>2778</v>
      </c>
      <c r="B45" s="2876">
        <v>1577.3254320911904</v>
      </c>
      <c r="C45" s="2876">
        <v>1567.6778143766389</v>
      </c>
      <c r="D45" s="2876">
        <v>989.40731985540538</v>
      </c>
      <c r="E45" s="2876">
        <v>1014.9886873834777</v>
      </c>
      <c r="F45" s="2876">
        <v>1006.6127516360677</v>
      </c>
      <c r="G45" s="2876">
        <v>1026.117176043176</v>
      </c>
      <c r="H45" s="2876">
        <v>1197.3982447687715</v>
      </c>
      <c r="I45" s="2876">
        <v>1209.3480740123662</v>
      </c>
      <c r="J45" s="2876">
        <v>1187.4819223591267</v>
      </c>
      <c r="K45" s="2876">
        <v>1076.3861449511887</v>
      </c>
      <c r="L45" s="2876">
        <v>1075.9430810561782</v>
      </c>
      <c r="M45" s="2876">
        <v>938.1763768898993</v>
      </c>
      <c r="N45" s="2876">
        <v>1072.8344975321259</v>
      </c>
      <c r="O45" s="2876">
        <v>1052.8422423723005</v>
      </c>
      <c r="P45" s="2876">
        <v>1169.9335506883444</v>
      </c>
      <c r="Q45" s="2876">
        <v>1101.5580602314622</v>
      </c>
      <c r="R45" s="2876">
        <v>1154</v>
      </c>
      <c r="S45" s="2876">
        <v>1175.0307780293031</v>
      </c>
      <c r="T45" s="2876">
        <v>1173.6110045025721</v>
      </c>
      <c r="U45" s="2876">
        <v>1110.4309155356725</v>
      </c>
      <c r="V45" s="2876">
        <v>1112.409945813014</v>
      </c>
      <c r="W45" s="2876">
        <v>1042.4053388891207</v>
      </c>
      <c r="X45" s="2876">
        <v>1104.2233279689553</v>
      </c>
      <c r="Y45" s="2876">
        <v>1160.0875274910779</v>
      </c>
      <c r="Z45" s="2876">
        <v>1084.8258779099249</v>
      </c>
      <c r="AA45" s="2876">
        <v>1164.1025963229752</v>
      </c>
      <c r="AB45" s="2876">
        <v>1094.7002172899281</v>
      </c>
      <c r="AC45" s="2876">
        <v>1058.1601646040829</v>
      </c>
      <c r="AD45" s="2876">
        <v>1126.3713257262916</v>
      </c>
      <c r="AE45" s="2876">
        <v>1215.0945300966689</v>
      </c>
      <c r="AF45" s="2876">
        <v>1289.2457959971543</v>
      </c>
      <c r="AG45" s="2876">
        <v>1360.591053880536</v>
      </c>
      <c r="AH45" s="2876">
        <v>1182.5473848221727</v>
      </c>
      <c r="AI45" s="2876">
        <v>1221.2142806745085</v>
      </c>
      <c r="AJ45" s="2876">
        <v>1311.0448016754453</v>
      </c>
      <c r="AK45" s="2876">
        <v>1353.6417168407286</v>
      </c>
      <c r="AL45" s="2876">
        <v>1377.019582700729</v>
      </c>
      <c r="AM45" s="2876">
        <v>1310.9808402968797</v>
      </c>
      <c r="AN45" s="2876">
        <v>1258.7932532171776</v>
      </c>
    </row>
    <row r="46" spans="1:40" s="624" customFormat="1" ht="15.95" customHeight="1" x14ac:dyDescent="0.3">
      <c r="A46" s="2834" t="s">
        <v>2779</v>
      </c>
      <c r="B46" s="2876">
        <v>2010.6256061341708</v>
      </c>
      <c r="C46" s="2876">
        <v>1928.5777280882135</v>
      </c>
      <c r="D46" s="2876">
        <v>1778.4716138885456</v>
      </c>
      <c r="E46" s="2876">
        <v>1718.1913606687465</v>
      </c>
      <c r="F46" s="2876">
        <v>1783.0978182373346</v>
      </c>
      <c r="G46" s="2876">
        <v>1799.4408446393488</v>
      </c>
      <c r="H46" s="2876">
        <v>1763.2288168084287</v>
      </c>
      <c r="I46" s="2876">
        <v>1762.5490187716098</v>
      </c>
      <c r="J46" s="2876">
        <v>1800.014848554591</v>
      </c>
      <c r="K46" s="2876">
        <v>1869.8634796667004</v>
      </c>
      <c r="L46" s="2876">
        <v>1913.8865590947046</v>
      </c>
      <c r="M46" s="2876">
        <v>2068.8586902120023</v>
      </c>
      <c r="N46" s="2876">
        <v>2127.2009640195542</v>
      </c>
      <c r="O46" s="2876">
        <v>2141.5016906287542</v>
      </c>
      <c r="P46" s="2876">
        <v>2116.8371891723364</v>
      </c>
      <c r="Q46" s="2876">
        <v>2080.1756473002297</v>
      </c>
      <c r="R46" s="2876">
        <v>1985</v>
      </c>
      <c r="S46" s="2876">
        <v>1960.9527111231871</v>
      </c>
      <c r="T46" s="2876">
        <v>2065.4437226106361</v>
      </c>
      <c r="U46" s="2876">
        <v>1958.2833017654916</v>
      </c>
      <c r="V46" s="2876">
        <v>1950.8538394518362</v>
      </c>
      <c r="W46" s="2876">
        <v>2027.3381519618492</v>
      </c>
      <c r="X46" s="2876">
        <v>2020.3785118469191</v>
      </c>
      <c r="Y46" s="2876">
        <v>2024.4467051430759</v>
      </c>
      <c r="Z46" s="2876">
        <v>1759.0858787253662</v>
      </c>
      <c r="AA46" s="2876">
        <v>2144.0523004860211</v>
      </c>
      <c r="AB46" s="2876">
        <v>2085.756181024768</v>
      </c>
      <c r="AC46" s="2876">
        <v>2158.0985710370242</v>
      </c>
      <c r="AD46" s="2876">
        <v>2283.7313407990755</v>
      </c>
      <c r="AE46" s="2876">
        <v>2238.4288309828089</v>
      </c>
      <c r="AF46" s="2876">
        <v>1737.1081621668504</v>
      </c>
      <c r="AG46" s="2876">
        <v>1559.6217886149341</v>
      </c>
      <c r="AH46" s="2876">
        <v>1771.6724162084367</v>
      </c>
      <c r="AI46" s="2876">
        <v>1828.4199600060601</v>
      </c>
      <c r="AJ46" s="2876">
        <v>1908.9830031892682</v>
      </c>
      <c r="AK46" s="2876">
        <v>1943.6355931112457</v>
      </c>
      <c r="AL46" s="2876">
        <v>1979.7105071715732</v>
      </c>
      <c r="AM46" s="2876">
        <v>2102.9466285492781</v>
      </c>
      <c r="AN46" s="2876">
        <v>2191.7273574993883</v>
      </c>
    </row>
    <row r="47" spans="1:40" s="624" customFormat="1" ht="15.95" customHeight="1" x14ac:dyDescent="0.3">
      <c r="A47" s="2832" t="s">
        <v>2780</v>
      </c>
      <c r="B47" s="2875">
        <v>23962.633695209064</v>
      </c>
      <c r="C47" s="2875">
        <v>24253.146530139755</v>
      </c>
      <c r="D47" s="2875">
        <v>22800.160001165212</v>
      </c>
      <c r="E47" s="2875">
        <v>22621.234766486712</v>
      </c>
      <c r="F47" s="2875">
        <v>23389.722091938071</v>
      </c>
      <c r="G47" s="2875">
        <v>23346.371980791162</v>
      </c>
      <c r="H47" s="2875">
        <v>22817.496019220376</v>
      </c>
      <c r="I47" s="2875">
        <v>23178.002699930086</v>
      </c>
      <c r="J47" s="2875">
        <v>23971.517592841905</v>
      </c>
      <c r="K47" s="2875">
        <v>23284.87831428822</v>
      </c>
      <c r="L47" s="2875">
        <v>23802.841502894935</v>
      </c>
      <c r="M47" s="2875">
        <v>24760.823204534339</v>
      </c>
      <c r="N47" s="2875">
        <v>24801.656489212259</v>
      </c>
      <c r="O47" s="2875">
        <v>25174.410240200858</v>
      </c>
      <c r="P47" s="2875">
        <v>22318.089768967991</v>
      </c>
      <c r="Q47" s="2875">
        <v>22803.325770057323</v>
      </c>
      <c r="R47" s="2875">
        <v>23253</v>
      </c>
      <c r="S47" s="2875">
        <v>23216.983513130173</v>
      </c>
      <c r="T47" s="2875">
        <v>22544.429520658217</v>
      </c>
      <c r="U47" s="2875">
        <v>22895.872969374883</v>
      </c>
      <c r="V47" s="2875">
        <v>23332.370542887045</v>
      </c>
      <c r="W47" s="2875">
        <v>23271.385900812889</v>
      </c>
      <c r="X47" s="2875">
        <v>22730.821508621761</v>
      </c>
      <c r="Y47" s="2875">
        <v>23575.808224288397</v>
      </c>
      <c r="Z47" s="2875">
        <v>22974.972795542497</v>
      </c>
      <c r="AA47" s="2875">
        <v>23500.886108985596</v>
      </c>
      <c r="AB47" s="2875">
        <v>22845.650407360085</v>
      </c>
      <c r="AC47" s="2875">
        <v>23325.926005267804</v>
      </c>
      <c r="AD47" s="2875">
        <v>22877.96102159363</v>
      </c>
      <c r="AE47" s="2875">
        <v>23115.584469075129</v>
      </c>
      <c r="AF47" s="2875">
        <v>23331.805042445496</v>
      </c>
      <c r="AG47" s="2875">
        <v>22871.533465243185</v>
      </c>
      <c r="AH47" s="2875">
        <v>22526.044200875978</v>
      </c>
      <c r="AI47" s="2875">
        <v>21887.639638236327</v>
      </c>
      <c r="AJ47" s="2875">
        <v>20885.884153915376</v>
      </c>
      <c r="AK47" s="2875">
        <v>20784.534861114036</v>
      </c>
      <c r="AL47" s="2875">
        <v>21036.77645414682</v>
      </c>
      <c r="AM47" s="2875">
        <v>22176.037343079563</v>
      </c>
      <c r="AN47" s="2875">
        <v>21190.271054103629</v>
      </c>
    </row>
    <row r="48" spans="1:40" s="624" customFormat="1" ht="14.25" customHeight="1" x14ac:dyDescent="0.3">
      <c r="A48" s="2834" t="s">
        <v>2781</v>
      </c>
      <c r="B48" s="2876">
        <v>3778.0475328846037</v>
      </c>
      <c r="C48" s="2876">
        <v>4064.7016525571407</v>
      </c>
      <c r="D48" s="2876">
        <v>3713.2344964130989</v>
      </c>
      <c r="E48" s="2876">
        <v>3815.747709788589</v>
      </c>
      <c r="F48" s="2876">
        <v>3887.0825125679053</v>
      </c>
      <c r="G48" s="2876">
        <v>3810.713366604135</v>
      </c>
      <c r="H48" s="2876">
        <v>3812.2124472141954</v>
      </c>
      <c r="I48" s="2876">
        <v>3738.5891830179071</v>
      </c>
      <c r="J48" s="2876">
        <v>3617.3107827808426</v>
      </c>
      <c r="K48" s="2876">
        <v>3681.502133249031</v>
      </c>
      <c r="L48" s="2876">
        <v>3779.543497020034</v>
      </c>
      <c r="M48" s="2876">
        <v>3714.528285114252</v>
      </c>
      <c r="N48" s="2876">
        <v>3484.5717649994776</v>
      </c>
      <c r="O48" s="2876">
        <v>3753.3973432598509</v>
      </c>
      <c r="P48" s="2876">
        <v>3814.1415699260692</v>
      </c>
      <c r="Q48" s="2876">
        <v>3918.9055441391852</v>
      </c>
      <c r="R48" s="2876">
        <v>4008</v>
      </c>
      <c r="S48" s="2876">
        <v>4149.2853312686757</v>
      </c>
      <c r="T48" s="2876">
        <v>4355.8316604087013</v>
      </c>
      <c r="U48" s="2876">
        <v>4635.3719877647209</v>
      </c>
      <c r="V48" s="2876">
        <v>4053.2150431282748</v>
      </c>
      <c r="W48" s="2876">
        <v>3986.4212496552295</v>
      </c>
      <c r="X48" s="2876">
        <v>3584.7152183370163</v>
      </c>
      <c r="Y48" s="2876">
        <v>3694.1439067072897</v>
      </c>
      <c r="Z48" s="2876">
        <v>3451.2235143735711</v>
      </c>
      <c r="AA48" s="2876">
        <v>3441.3422304398055</v>
      </c>
      <c r="AB48" s="2876">
        <v>3514.8360819092013</v>
      </c>
      <c r="AC48" s="2876">
        <v>3536.1794166795898</v>
      </c>
      <c r="AD48" s="2876">
        <v>3393.1163390955239</v>
      </c>
      <c r="AE48" s="2876">
        <v>3673.8412776304808</v>
      </c>
      <c r="AF48" s="2876">
        <v>3986.2497655155144</v>
      </c>
      <c r="AG48" s="2876">
        <v>3572.4802392227907</v>
      </c>
      <c r="AH48" s="2876">
        <v>3515.3768409270401</v>
      </c>
      <c r="AI48" s="2876">
        <v>3529.5737354811263</v>
      </c>
      <c r="AJ48" s="2876">
        <v>3121.369616430607</v>
      </c>
      <c r="AK48" s="2876">
        <v>3064.3155657893685</v>
      </c>
      <c r="AL48" s="2876">
        <v>2973.422899182041</v>
      </c>
      <c r="AM48" s="2876">
        <v>3150.8682078969923</v>
      </c>
      <c r="AN48" s="2876">
        <v>3235.9865084961416</v>
      </c>
    </row>
    <row r="49" spans="1:40" s="624" customFormat="1" ht="14.25" customHeight="1" x14ac:dyDescent="0.3">
      <c r="A49" s="2834" t="s">
        <v>2782</v>
      </c>
      <c r="B49" s="2876">
        <v>12263.928715429061</v>
      </c>
      <c r="C49" s="2876">
        <v>12228.271117473751</v>
      </c>
      <c r="D49" s="2876">
        <v>12371.716636078914</v>
      </c>
      <c r="E49" s="2876">
        <v>12353.493117937285</v>
      </c>
      <c r="F49" s="2876">
        <v>12774.849182351081</v>
      </c>
      <c r="G49" s="2876">
        <v>12794.54387487189</v>
      </c>
      <c r="H49" s="2876">
        <v>12485.006800516465</v>
      </c>
      <c r="I49" s="2876">
        <v>12723.745819182981</v>
      </c>
      <c r="J49" s="2876">
        <v>13507.188684761388</v>
      </c>
      <c r="K49" s="2876">
        <v>12845.015455620198</v>
      </c>
      <c r="L49" s="2876">
        <v>13136.365336421499</v>
      </c>
      <c r="M49" s="2876">
        <v>13807.620299238864</v>
      </c>
      <c r="N49" s="2876">
        <v>14210.798280712072</v>
      </c>
      <c r="O49" s="2876">
        <v>14071.793664156963</v>
      </c>
      <c r="P49" s="2876">
        <v>11908.607755565188</v>
      </c>
      <c r="Q49" s="2876">
        <v>12507.527912061738</v>
      </c>
      <c r="R49" s="2876">
        <v>12539</v>
      </c>
      <c r="S49" s="2876">
        <v>12796.362858232404</v>
      </c>
      <c r="T49" s="2876">
        <v>11749.916344107991</v>
      </c>
      <c r="U49" s="2876">
        <v>11795.534474368897</v>
      </c>
      <c r="V49" s="2876">
        <v>12779.425594003713</v>
      </c>
      <c r="W49" s="2876">
        <v>12723.125656962784</v>
      </c>
      <c r="X49" s="2876">
        <v>12602.487237214076</v>
      </c>
      <c r="Y49" s="2876">
        <v>13187.436041511872</v>
      </c>
      <c r="Z49" s="2876">
        <v>12797.394517105782</v>
      </c>
      <c r="AA49" s="2876">
        <v>13116.2049636011</v>
      </c>
      <c r="AB49" s="2876">
        <v>12511.912683659613</v>
      </c>
      <c r="AC49" s="2876">
        <v>12868.750130713448</v>
      </c>
      <c r="AD49" s="2876">
        <v>12298.072143251817</v>
      </c>
      <c r="AE49" s="2876">
        <v>12334.948448863137</v>
      </c>
      <c r="AF49" s="2876">
        <v>12248.494450126886</v>
      </c>
      <c r="AG49" s="2876">
        <v>12207.502319564059</v>
      </c>
      <c r="AH49" s="2876">
        <v>11879.312819921577</v>
      </c>
      <c r="AI49" s="2876">
        <v>11287.090532726694</v>
      </c>
      <c r="AJ49" s="2876">
        <v>10855.328867471477</v>
      </c>
      <c r="AK49" s="2876">
        <v>10634.771546110989</v>
      </c>
      <c r="AL49" s="2876">
        <v>10873.975478590884</v>
      </c>
      <c r="AM49" s="2876">
        <v>11797.428746759455</v>
      </c>
      <c r="AN49" s="2876">
        <v>10778.685768538202</v>
      </c>
    </row>
    <row r="50" spans="1:40" s="624" customFormat="1" ht="14.25" customHeight="1" x14ac:dyDescent="0.3">
      <c r="A50" s="2834" t="s">
        <v>2783</v>
      </c>
      <c r="B50" s="2876">
        <v>7920.6574468953968</v>
      </c>
      <c r="C50" s="2876">
        <v>7960.1737601088635</v>
      </c>
      <c r="D50" s="2876">
        <v>6715.2088686731986</v>
      </c>
      <c r="E50" s="2876">
        <v>6451.993938760842</v>
      </c>
      <c r="F50" s="2876">
        <v>6727.7903970190791</v>
      </c>
      <c r="G50" s="2876">
        <v>6741.1147393151341</v>
      </c>
      <c r="H50" s="2876">
        <v>6520.2767714897118</v>
      </c>
      <c r="I50" s="2876">
        <v>6715.6676977292027</v>
      </c>
      <c r="J50" s="2876">
        <v>6847.0181252996717</v>
      </c>
      <c r="K50" s="2876">
        <v>6758.3607254189938</v>
      </c>
      <c r="L50" s="2876">
        <v>6886.9326694533984</v>
      </c>
      <c r="M50" s="2876">
        <v>7238.6746201812211</v>
      </c>
      <c r="N50" s="2876">
        <v>7106.2864435007068</v>
      </c>
      <c r="O50" s="2876">
        <v>7349.2192327840448</v>
      </c>
      <c r="P50" s="2876">
        <v>6595.3404434767344</v>
      </c>
      <c r="Q50" s="2876">
        <v>6376.8923138563996</v>
      </c>
      <c r="R50" s="2876">
        <v>6706</v>
      </c>
      <c r="S50" s="2876">
        <v>6271.3353236290932</v>
      </c>
      <c r="T50" s="2876">
        <v>6438.6815161415288</v>
      </c>
      <c r="U50" s="2876">
        <v>6464.9665072412663</v>
      </c>
      <c r="V50" s="2876">
        <v>6499.7299057550563</v>
      </c>
      <c r="W50" s="2876">
        <v>6561.8389941948717</v>
      </c>
      <c r="X50" s="2876">
        <v>6543.6190530706672</v>
      </c>
      <c r="Y50" s="2876">
        <v>6694.2282760692369</v>
      </c>
      <c r="Z50" s="2876">
        <v>6726.3547640631432</v>
      </c>
      <c r="AA50" s="2876">
        <v>6943.3389149446921</v>
      </c>
      <c r="AB50" s="2876">
        <v>6818.901641791268</v>
      </c>
      <c r="AC50" s="2876">
        <v>6920.9964578747677</v>
      </c>
      <c r="AD50" s="2876">
        <v>7186.7725392462953</v>
      </c>
      <c r="AE50" s="2876">
        <v>7106.7947425815146</v>
      </c>
      <c r="AF50" s="2876">
        <v>7097.0608268030965</v>
      </c>
      <c r="AG50" s="2876">
        <v>7091.550906456333</v>
      </c>
      <c r="AH50" s="2876">
        <v>7131.3545400273597</v>
      </c>
      <c r="AI50" s="2876">
        <v>7070.9753700285091</v>
      </c>
      <c r="AJ50" s="2876">
        <v>6909.1856700132903</v>
      </c>
      <c r="AK50" s="2876">
        <v>7085.4477492136803</v>
      </c>
      <c r="AL50" s="2876">
        <v>7189.378076373896</v>
      </c>
      <c r="AM50" s="2876">
        <v>7227.7403884231126</v>
      </c>
      <c r="AN50" s="2876">
        <v>7175.5987770692891</v>
      </c>
    </row>
    <row r="51" spans="1:40" s="624" customFormat="1" ht="15.95" customHeight="1" x14ac:dyDescent="0.3">
      <c r="A51" s="2832" t="s">
        <v>2784</v>
      </c>
      <c r="B51" s="2875">
        <v>3193.6182486182147</v>
      </c>
      <c r="C51" s="2875">
        <v>3199.1898550946503</v>
      </c>
      <c r="D51" s="2875">
        <v>3064.0438195343104</v>
      </c>
      <c r="E51" s="2875">
        <v>3071.7787922107809</v>
      </c>
      <c r="F51" s="2875">
        <v>3046.4291142759284</v>
      </c>
      <c r="G51" s="2875">
        <v>3099.3553457032644</v>
      </c>
      <c r="H51" s="2875">
        <v>3095.0157402864834</v>
      </c>
      <c r="I51" s="2875">
        <v>3033.4509475174395</v>
      </c>
      <c r="J51" s="2875">
        <v>3042.1115722111017</v>
      </c>
      <c r="K51" s="2875">
        <v>3059.8191339619698</v>
      </c>
      <c r="L51" s="2875">
        <v>2961.9841797336262</v>
      </c>
      <c r="M51" s="2875">
        <v>3166.1356544781488</v>
      </c>
      <c r="N51" s="2875">
        <v>3226.1688876011081</v>
      </c>
      <c r="O51" s="2875">
        <v>3365.2447596454126</v>
      </c>
      <c r="P51" s="2875">
        <v>3070.1268158295575</v>
      </c>
      <c r="Q51" s="2875">
        <v>3022.6021884599277</v>
      </c>
      <c r="R51" s="2875">
        <v>3068</v>
      </c>
      <c r="S51" s="2875">
        <v>3436.9295564398603</v>
      </c>
      <c r="T51" s="2875">
        <v>3419.0168021311579</v>
      </c>
      <c r="U51" s="2875">
        <v>3434.9386686287125</v>
      </c>
      <c r="V51" s="2875">
        <v>4052.0900823642855</v>
      </c>
      <c r="W51" s="2875">
        <v>4046.3098990749504</v>
      </c>
      <c r="X51" s="2875">
        <v>4214.1137555310333</v>
      </c>
      <c r="Y51" s="2875">
        <v>4397.3966398147104</v>
      </c>
      <c r="Z51" s="2875">
        <v>4440.5219854017441</v>
      </c>
      <c r="AA51" s="2875">
        <v>4374.6212744014529</v>
      </c>
      <c r="AB51" s="2875">
        <v>4396.7778437849438</v>
      </c>
      <c r="AC51" s="2875">
        <v>4462.0133609771565</v>
      </c>
      <c r="AD51" s="2875">
        <v>4463.5963724999028</v>
      </c>
      <c r="AE51" s="2875">
        <v>5628.8182832054827</v>
      </c>
      <c r="AF51" s="2875">
        <v>5801.0709944900091</v>
      </c>
      <c r="AG51" s="2875">
        <v>5909.3444782406159</v>
      </c>
      <c r="AH51" s="2875">
        <v>5653.2245831068612</v>
      </c>
      <c r="AI51" s="2875">
        <v>4429.6531578178538</v>
      </c>
      <c r="AJ51" s="2875">
        <v>4385.1749789104406</v>
      </c>
      <c r="AK51" s="2875">
        <v>4381.5008632019099</v>
      </c>
      <c r="AL51" s="2875">
        <v>4463.8824727601814</v>
      </c>
      <c r="AM51" s="2875">
        <v>4652.5264040200464</v>
      </c>
      <c r="AN51" s="2875">
        <v>4506.0062946713206</v>
      </c>
    </row>
    <row r="52" spans="1:40" s="624" customFormat="1" ht="14.25" customHeight="1" x14ac:dyDescent="0.3">
      <c r="A52" s="2834" t="s">
        <v>2785</v>
      </c>
      <c r="B52" s="2876">
        <v>931.74069313286134</v>
      </c>
      <c r="C52" s="2876">
        <v>956.38414498215411</v>
      </c>
      <c r="D52" s="2876">
        <v>904.36691607397006</v>
      </c>
      <c r="E52" s="2876">
        <v>877.10285545696729</v>
      </c>
      <c r="F52" s="2876">
        <v>900.13671493227548</v>
      </c>
      <c r="G52" s="2876">
        <v>903.40365967742946</v>
      </c>
      <c r="H52" s="2876">
        <v>891.81884526841509</v>
      </c>
      <c r="I52" s="2876">
        <v>888.3609584289668</v>
      </c>
      <c r="J52" s="2876">
        <v>899.40024615560105</v>
      </c>
      <c r="K52" s="2876">
        <v>906.41783080522941</v>
      </c>
      <c r="L52" s="2876">
        <v>924.36979917421604</v>
      </c>
      <c r="M52" s="2876">
        <v>971.11004101187928</v>
      </c>
      <c r="N52" s="2876">
        <v>969.34085172377047</v>
      </c>
      <c r="O52" s="2876">
        <v>968.51089699748297</v>
      </c>
      <c r="P52" s="2876">
        <v>754.76534295986914</v>
      </c>
      <c r="Q52" s="2876">
        <v>756.23571423451961</v>
      </c>
      <c r="R52" s="2876">
        <v>765</v>
      </c>
      <c r="S52" s="2876">
        <v>799.04656767286986</v>
      </c>
      <c r="T52" s="2876">
        <v>797.03063591445164</v>
      </c>
      <c r="U52" s="2876">
        <v>796.18205182591078</v>
      </c>
      <c r="V52" s="2876">
        <v>804.76959730603619</v>
      </c>
      <c r="W52" s="2876">
        <v>809.95964548155939</v>
      </c>
      <c r="X52" s="2876">
        <v>827.1854671951578</v>
      </c>
      <c r="Y52" s="2876">
        <v>839.55787589723764</v>
      </c>
      <c r="Z52" s="2876">
        <v>850.47815099669958</v>
      </c>
      <c r="AA52" s="2876">
        <v>831.31688328500218</v>
      </c>
      <c r="AB52" s="2876">
        <v>835.58216850195652</v>
      </c>
      <c r="AC52" s="2876">
        <v>887.21233198378968</v>
      </c>
      <c r="AD52" s="2876">
        <v>876.90425548074768</v>
      </c>
      <c r="AE52" s="2876">
        <v>869.19589696581352</v>
      </c>
      <c r="AF52" s="2876">
        <v>838.21358359184637</v>
      </c>
      <c r="AG52" s="2876">
        <v>830.02942606536294</v>
      </c>
      <c r="AH52" s="2876">
        <v>906.21682989214037</v>
      </c>
      <c r="AI52" s="2876">
        <v>902.13517097211161</v>
      </c>
      <c r="AJ52" s="2876">
        <v>905.54225629405732</v>
      </c>
      <c r="AK52" s="2876">
        <v>902.59797970931675</v>
      </c>
      <c r="AL52" s="2876">
        <v>897.48423247321898</v>
      </c>
      <c r="AM52" s="2876">
        <v>929.45855917865322</v>
      </c>
      <c r="AN52" s="2876">
        <v>920.09416589149498</v>
      </c>
    </row>
    <row r="53" spans="1:40" s="624" customFormat="1" ht="14.25" customHeight="1" x14ac:dyDescent="0.3">
      <c r="A53" s="2834" t="s">
        <v>2786</v>
      </c>
      <c r="B53" s="2876">
        <v>673.07615951976766</v>
      </c>
      <c r="C53" s="2876">
        <v>664.92876795315544</v>
      </c>
      <c r="D53" s="2876">
        <v>635.61867838635669</v>
      </c>
      <c r="E53" s="2876">
        <v>644.0768055446714</v>
      </c>
      <c r="F53" s="2876">
        <v>632.01370877152624</v>
      </c>
      <c r="G53" s="2876">
        <v>641.97427811443754</v>
      </c>
      <c r="H53" s="2876">
        <v>646.50582361246643</v>
      </c>
      <c r="I53" s="2876">
        <v>643.46943274109663</v>
      </c>
      <c r="J53" s="2876">
        <v>651.85286605231465</v>
      </c>
      <c r="K53" s="2876">
        <v>659.82571557327822</v>
      </c>
      <c r="L53" s="2876">
        <v>603.25033425315246</v>
      </c>
      <c r="M53" s="2876">
        <v>720.0352246370071</v>
      </c>
      <c r="N53" s="2876">
        <v>721.29055107587646</v>
      </c>
      <c r="O53" s="2876">
        <v>725.74306001474963</v>
      </c>
      <c r="P53" s="2876">
        <v>716.94814714231836</v>
      </c>
      <c r="Q53" s="2876">
        <v>724.68100282113937</v>
      </c>
      <c r="R53" s="2876">
        <v>742</v>
      </c>
      <c r="S53" s="2876">
        <v>744.50525392426277</v>
      </c>
      <c r="T53" s="2876">
        <v>747.31269842050051</v>
      </c>
      <c r="U53" s="2876">
        <v>732.98168773121779</v>
      </c>
      <c r="V53" s="2876">
        <v>745.36967961141215</v>
      </c>
      <c r="W53" s="2876">
        <v>730.02005163323906</v>
      </c>
      <c r="X53" s="2876">
        <v>718.15130837814343</v>
      </c>
      <c r="Y53" s="2876">
        <v>691.7013046138336</v>
      </c>
      <c r="Z53" s="2876">
        <v>685.0627606815367</v>
      </c>
      <c r="AA53" s="2876">
        <v>681.88988024754042</v>
      </c>
      <c r="AB53" s="2876">
        <v>697.61683736661871</v>
      </c>
      <c r="AC53" s="2876">
        <v>692.47302946835089</v>
      </c>
      <c r="AD53" s="2876">
        <v>677.25192175199129</v>
      </c>
      <c r="AE53" s="2876">
        <v>683.72304247071474</v>
      </c>
      <c r="AF53" s="2876">
        <v>676.75663200130941</v>
      </c>
      <c r="AG53" s="2876">
        <v>674.58605196830501</v>
      </c>
      <c r="AH53" s="2876">
        <v>203.78764681485731</v>
      </c>
      <c r="AI53" s="2876">
        <v>171.31241867633068</v>
      </c>
      <c r="AJ53" s="2876">
        <v>157.15111146233363</v>
      </c>
      <c r="AK53" s="2876">
        <v>147.14180489079487</v>
      </c>
      <c r="AL53" s="2876">
        <v>126.62928494909323</v>
      </c>
      <c r="AM53" s="2876">
        <v>223.94154169570641</v>
      </c>
      <c r="AN53" s="2876">
        <v>125.19524559817758</v>
      </c>
    </row>
    <row r="54" spans="1:40" s="624" customFormat="1" ht="14.25" customHeight="1" x14ac:dyDescent="0.3">
      <c r="A54" s="2834" t="s">
        <v>2787</v>
      </c>
      <c r="B54" s="2876">
        <v>139.65703707699197</v>
      </c>
      <c r="C54" s="2876">
        <v>120.9114110071244</v>
      </c>
      <c r="D54" s="2876">
        <v>120.6073428149967</v>
      </c>
      <c r="E54" s="2876">
        <v>119.72234537652031</v>
      </c>
      <c r="F54" s="2876">
        <v>108.33100608397578</v>
      </c>
      <c r="G54" s="2876">
        <v>102.29587852789648</v>
      </c>
      <c r="H54" s="2876">
        <v>104.98387100341948</v>
      </c>
      <c r="I54" s="2876">
        <v>90.235445539025605</v>
      </c>
      <c r="J54" s="2876">
        <v>84.733542670379592</v>
      </c>
      <c r="K54" s="2876">
        <v>85.880616461360802</v>
      </c>
      <c r="L54" s="2876">
        <v>68.001508737365384</v>
      </c>
      <c r="M54" s="2876">
        <v>15.818908462301982</v>
      </c>
      <c r="N54" s="2876">
        <v>10.936683393666391</v>
      </c>
      <c r="O54" s="2876">
        <v>10.188169602354559</v>
      </c>
      <c r="P54" s="2876">
        <v>9.8832286462264403</v>
      </c>
      <c r="Q54" s="2876">
        <v>10.15950174950056</v>
      </c>
      <c r="R54" s="2876">
        <v>9</v>
      </c>
      <c r="S54" s="2876">
        <v>13.55448541</v>
      </c>
      <c r="T54" s="2876">
        <v>13.540187450000001</v>
      </c>
      <c r="U54" s="2876">
        <v>13.010514179999999</v>
      </c>
      <c r="V54" s="2876">
        <v>12.320105330000001</v>
      </c>
      <c r="W54" s="2876">
        <v>14.242809110000001</v>
      </c>
      <c r="X54" s="2876">
        <v>16.500537510000001</v>
      </c>
      <c r="Y54" s="2876">
        <v>16.04048719</v>
      </c>
      <c r="Z54" s="2876">
        <v>16.58963236</v>
      </c>
      <c r="AA54" s="2876">
        <v>17.080637249999999</v>
      </c>
      <c r="AB54" s="2876">
        <v>14.19248617</v>
      </c>
      <c r="AC54" s="2876">
        <v>13.42879634</v>
      </c>
      <c r="AD54" s="2876">
        <v>13.505448880000001</v>
      </c>
      <c r="AE54" s="2876">
        <v>1189.2859798099998</v>
      </c>
      <c r="AF54" s="2876">
        <v>1192.36864831</v>
      </c>
      <c r="AG54" s="2876">
        <v>1188.6167286099999</v>
      </c>
      <c r="AH54" s="2876">
        <v>1221.5165414200001</v>
      </c>
      <c r="AI54" s="2876">
        <v>12.619509850000002</v>
      </c>
      <c r="AJ54" s="2876">
        <v>12.475425810000003</v>
      </c>
      <c r="AK54" s="2876">
        <v>13.107966350000002</v>
      </c>
      <c r="AL54" s="2876">
        <v>13.135992129999998</v>
      </c>
      <c r="AM54" s="2876">
        <v>12.870036189999999</v>
      </c>
      <c r="AN54" s="2876">
        <v>12.799744030000001</v>
      </c>
    </row>
    <row r="55" spans="1:40" s="624" customFormat="1" ht="14.25" customHeight="1" x14ac:dyDescent="0.3">
      <c r="A55" s="2834" t="s">
        <v>2788</v>
      </c>
      <c r="B55" s="2876">
        <v>1437.7176323685937</v>
      </c>
      <c r="C55" s="2876">
        <v>1446.4975108722165</v>
      </c>
      <c r="D55" s="2876">
        <v>1397.9948982689866</v>
      </c>
      <c r="E55" s="2876">
        <v>1427.7053431526222</v>
      </c>
      <c r="F55" s="2876">
        <v>1402.3395918181502</v>
      </c>
      <c r="G55" s="2876">
        <v>1448.5171796035008</v>
      </c>
      <c r="H55" s="2876">
        <v>1446.5939971721825</v>
      </c>
      <c r="I55" s="2876">
        <v>1408.5941680183503</v>
      </c>
      <c r="J55" s="2876">
        <v>1403.1444127628065</v>
      </c>
      <c r="K55" s="2876">
        <v>1405.0588653221012</v>
      </c>
      <c r="L55" s="2876">
        <v>1363.6750576288928</v>
      </c>
      <c r="M55" s="2876">
        <v>1455.5937054469607</v>
      </c>
      <c r="N55" s="2876">
        <v>1520.6214259177946</v>
      </c>
      <c r="O55" s="2876">
        <v>1656.0148037608255</v>
      </c>
      <c r="P55" s="2876">
        <v>1585.7384394811438</v>
      </c>
      <c r="Q55" s="2876">
        <v>1528.9532153847681</v>
      </c>
      <c r="R55" s="2876">
        <v>1547</v>
      </c>
      <c r="S55" s="2876">
        <v>1874.4884151027275</v>
      </c>
      <c r="T55" s="2876">
        <v>1847.847536796206</v>
      </c>
      <c r="U55" s="2876">
        <v>1882.8610698715843</v>
      </c>
      <c r="V55" s="2876">
        <v>2478.9354204068372</v>
      </c>
      <c r="W55" s="2876">
        <v>2483.1073268101518</v>
      </c>
      <c r="X55" s="2876">
        <v>2643.4664268277329</v>
      </c>
      <c r="Y55" s="2876">
        <v>2841.6763496236385</v>
      </c>
      <c r="Z55" s="2876">
        <v>2879.5402452835074</v>
      </c>
      <c r="AA55" s="2876">
        <v>2842.2757180489098</v>
      </c>
      <c r="AB55" s="2876">
        <v>2847.7298031063679</v>
      </c>
      <c r="AC55" s="2876">
        <v>2867.5156658050159</v>
      </c>
      <c r="AD55" s="2876">
        <v>2893.5350098071631</v>
      </c>
      <c r="AE55" s="2876">
        <v>2884.3982391289537</v>
      </c>
      <c r="AF55" s="2876">
        <v>3092.2744912168532</v>
      </c>
      <c r="AG55" s="2876">
        <v>3214.6302101869478</v>
      </c>
      <c r="AH55" s="2876">
        <v>3319.294620839863</v>
      </c>
      <c r="AI55" s="2876">
        <v>3342.105100119411</v>
      </c>
      <c r="AJ55" s="2876">
        <v>3308.5156358140498</v>
      </c>
      <c r="AK55" s="2876">
        <v>3317.1330959517986</v>
      </c>
      <c r="AL55" s="2876">
        <v>3425.1143426278686</v>
      </c>
      <c r="AM55" s="2876">
        <v>3484.6831259656869</v>
      </c>
      <c r="AN55" s="2876">
        <v>3446.3786115516477</v>
      </c>
    </row>
    <row r="56" spans="1:40" s="624" customFormat="1" ht="14.25" customHeight="1" x14ac:dyDescent="0.3">
      <c r="A56" s="2834" t="s">
        <v>2789</v>
      </c>
      <c r="B56" s="2876">
        <v>11.426726519999999</v>
      </c>
      <c r="C56" s="2876">
        <v>10.468020280000001</v>
      </c>
      <c r="D56" s="2876">
        <v>5.45598399</v>
      </c>
      <c r="E56" s="2876">
        <v>3.1714426800000002</v>
      </c>
      <c r="F56" s="2876">
        <v>3.60809267</v>
      </c>
      <c r="G56" s="2876">
        <v>3.1643497799999998</v>
      </c>
      <c r="H56" s="2876">
        <v>5.1132032300000008</v>
      </c>
      <c r="I56" s="2876">
        <v>2.7909427899999999</v>
      </c>
      <c r="J56" s="2876">
        <v>2.9805045699999999</v>
      </c>
      <c r="K56" s="2876">
        <v>2.6361058000000002</v>
      </c>
      <c r="L56" s="2876">
        <v>2.6874799399999998</v>
      </c>
      <c r="M56" s="2876">
        <v>3.57777492</v>
      </c>
      <c r="N56" s="2876">
        <v>3.9793754899999998</v>
      </c>
      <c r="O56" s="2876">
        <v>4.7878292700000005</v>
      </c>
      <c r="P56" s="2876">
        <v>2.7916576000000002</v>
      </c>
      <c r="Q56" s="2876">
        <v>2.5727542699999999</v>
      </c>
      <c r="R56" s="2876">
        <v>4</v>
      </c>
      <c r="S56" s="2876">
        <v>5.3348343300000014</v>
      </c>
      <c r="T56" s="2876">
        <v>13.285743550000001</v>
      </c>
      <c r="U56" s="2876">
        <v>9.9033450199999997</v>
      </c>
      <c r="V56" s="2876">
        <v>10.695279710000001</v>
      </c>
      <c r="W56" s="2876">
        <v>8.9800660400000005</v>
      </c>
      <c r="X56" s="2876">
        <v>8.8100156199999997</v>
      </c>
      <c r="Y56" s="2876">
        <v>8.4206224899999995</v>
      </c>
      <c r="Z56" s="2876">
        <v>8.8511960799999994</v>
      </c>
      <c r="AA56" s="2876">
        <v>2.0581555700000003</v>
      </c>
      <c r="AB56" s="2876">
        <v>1.6565486400000002</v>
      </c>
      <c r="AC56" s="2876">
        <v>1.3835373800000001</v>
      </c>
      <c r="AD56" s="2876">
        <v>2.3997365799999999</v>
      </c>
      <c r="AE56" s="2876">
        <v>2.2151248300000002</v>
      </c>
      <c r="AF56" s="2876">
        <v>1.4576393700000001</v>
      </c>
      <c r="AG56" s="2876">
        <v>1.48206141</v>
      </c>
      <c r="AH56" s="2876">
        <v>2.4089441399999996</v>
      </c>
      <c r="AI56" s="2876">
        <v>1.4809581999999999</v>
      </c>
      <c r="AJ56" s="2876">
        <v>1.49054953</v>
      </c>
      <c r="AK56" s="2876">
        <v>1.5200163</v>
      </c>
      <c r="AL56" s="2876">
        <v>1.5186205800000001</v>
      </c>
      <c r="AM56" s="2876">
        <v>1.5731409900000002</v>
      </c>
      <c r="AN56" s="2876">
        <v>1.5385275999999999</v>
      </c>
    </row>
    <row r="57" spans="1:40" s="624" customFormat="1" ht="15.95" customHeight="1" x14ac:dyDescent="0.3">
      <c r="A57" s="2832" t="s">
        <v>2790</v>
      </c>
      <c r="B57" s="2875">
        <v>38790.150709270143</v>
      </c>
      <c r="C57" s="2875">
        <v>38439.363678269285</v>
      </c>
      <c r="D57" s="2875">
        <v>38425.15141115641</v>
      </c>
      <c r="E57" s="2875">
        <v>37458.873942421837</v>
      </c>
      <c r="F57" s="2875">
        <v>37384.294059947548</v>
      </c>
      <c r="G57" s="2875">
        <v>37260.823240504069</v>
      </c>
      <c r="H57" s="2875">
        <v>37296.186375046404</v>
      </c>
      <c r="I57" s="2875">
        <v>37848.702449556651</v>
      </c>
      <c r="J57" s="2875">
        <v>37576.815314067702</v>
      </c>
      <c r="K57" s="2875">
        <v>37802.894062558211</v>
      </c>
      <c r="L57" s="2875">
        <v>38451.151052079018</v>
      </c>
      <c r="M57" s="2875">
        <v>37943.771475520036</v>
      </c>
      <c r="N57" s="2875">
        <v>38682.93301931017</v>
      </c>
      <c r="O57" s="2875">
        <v>38802.894411246547</v>
      </c>
      <c r="P57" s="2875">
        <v>39236.836205219035</v>
      </c>
      <c r="Q57" s="2875">
        <v>38654.599878715468</v>
      </c>
      <c r="R57" s="2875">
        <v>38034</v>
      </c>
      <c r="S57" s="2875">
        <v>39195.497280352283</v>
      </c>
      <c r="T57" s="2875">
        <v>39885.37547009113</v>
      </c>
      <c r="U57" s="2875">
        <v>40837.520229209695</v>
      </c>
      <c r="V57" s="2875">
        <v>41818.610427558546</v>
      </c>
      <c r="W57" s="2875">
        <v>44108.965633215215</v>
      </c>
      <c r="X57" s="2875">
        <v>45252.19514917746</v>
      </c>
      <c r="Y57" s="2875">
        <v>46013.467429506396</v>
      </c>
      <c r="Z57" s="2875">
        <v>46550.509845701628</v>
      </c>
      <c r="AA57" s="2875">
        <v>50069.326890158933</v>
      </c>
      <c r="AB57" s="2875">
        <v>51149.231236305932</v>
      </c>
      <c r="AC57" s="2875">
        <v>51239.200645928715</v>
      </c>
      <c r="AD57" s="2875">
        <v>52154.503054167668</v>
      </c>
      <c r="AE57" s="2875">
        <v>52130.46134844159</v>
      </c>
      <c r="AF57" s="2875">
        <v>55402.770106956894</v>
      </c>
      <c r="AG57" s="2875">
        <v>56963.092427654839</v>
      </c>
      <c r="AH57" s="2875">
        <v>56298.783059324312</v>
      </c>
      <c r="AI57" s="2875">
        <v>56278.845907392679</v>
      </c>
      <c r="AJ57" s="2875">
        <v>55947.347583744522</v>
      </c>
      <c r="AK57" s="2875">
        <v>54963.711103650603</v>
      </c>
      <c r="AL57" s="2875">
        <v>55634.95685894513</v>
      </c>
      <c r="AM57" s="2875">
        <v>54774.985503615069</v>
      </c>
      <c r="AN57" s="2875">
        <v>54886.028257178441</v>
      </c>
    </row>
    <row r="58" spans="1:40" s="624" customFormat="1" ht="15.95" customHeight="1" x14ac:dyDescent="0.3">
      <c r="A58" s="2834" t="s">
        <v>2791</v>
      </c>
      <c r="B58" s="2876">
        <v>37942.748229120654</v>
      </c>
      <c r="C58" s="2876">
        <v>37573.073082295617</v>
      </c>
      <c r="D58" s="2876">
        <v>37627.832906042779</v>
      </c>
      <c r="E58" s="2876">
        <v>36667.753718648251</v>
      </c>
      <c r="F58" s="2876">
        <v>36588.660721203334</v>
      </c>
      <c r="G58" s="2876">
        <v>36464.419702185187</v>
      </c>
      <c r="H58" s="2876">
        <v>36522.28629161456</v>
      </c>
      <c r="I58" s="2876">
        <v>37066.11077454593</v>
      </c>
      <c r="J58" s="2876">
        <v>36782.077236660567</v>
      </c>
      <c r="K58" s="2876">
        <v>37032.272596530172</v>
      </c>
      <c r="L58" s="2876">
        <v>37691.755071905485</v>
      </c>
      <c r="M58" s="2876">
        <v>37166.97672109781</v>
      </c>
      <c r="N58" s="2876">
        <v>37876.357662039518</v>
      </c>
      <c r="O58" s="2876">
        <v>37971.767224939184</v>
      </c>
      <c r="P58" s="2876">
        <v>38398.727954893737</v>
      </c>
      <c r="Q58" s="2876">
        <v>37868.57710401791</v>
      </c>
      <c r="R58" s="2876">
        <v>37230</v>
      </c>
      <c r="S58" s="2876">
        <v>38387.537625487457</v>
      </c>
      <c r="T58" s="2876">
        <v>38992.61805293239</v>
      </c>
      <c r="U58" s="2876">
        <v>39928.218580961257</v>
      </c>
      <c r="V58" s="2876">
        <v>40967.941442010022</v>
      </c>
      <c r="W58" s="2876">
        <v>43230.539231426956</v>
      </c>
      <c r="X58" s="2876">
        <v>44330.401085975114</v>
      </c>
      <c r="Y58" s="2876">
        <v>45036.726454541778</v>
      </c>
      <c r="Z58" s="2876">
        <v>45569.791467802053</v>
      </c>
      <c r="AA58" s="2876">
        <v>49087.529399987579</v>
      </c>
      <c r="AB58" s="2876">
        <v>50091.129614651785</v>
      </c>
      <c r="AC58" s="2876">
        <v>50170.006206108243</v>
      </c>
      <c r="AD58" s="2876">
        <v>51084.543879989353</v>
      </c>
      <c r="AE58" s="2876">
        <v>51004.081241595195</v>
      </c>
      <c r="AF58" s="2876">
        <v>54290.991234458968</v>
      </c>
      <c r="AG58" s="2876">
        <v>55884.637217288771</v>
      </c>
      <c r="AH58" s="2876">
        <v>55185.759423670046</v>
      </c>
      <c r="AI58" s="2876">
        <v>55229.915176074814</v>
      </c>
      <c r="AJ58" s="2876">
        <v>54893.822915217526</v>
      </c>
      <c r="AK58" s="2876">
        <v>53922.557002714799</v>
      </c>
      <c r="AL58" s="2876">
        <v>54599.148762447061</v>
      </c>
      <c r="AM58" s="2876">
        <v>53681.513378318879</v>
      </c>
      <c r="AN58" s="2876">
        <v>53811.277809843072</v>
      </c>
    </row>
    <row r="59" spans="1:40" s="624" customFormat="1" ht="14.25" customHeight="1" x14ac:dyDescent="0.3">
      <c r="A59" s="2836" t="s">
        <v>2868</v>
      </c>
      <c r="B59" s="2877">
        <v>32563.626778492904</v>
      </c>
      <c r="C59" s="2877">
        <v>32169.589062586208</v>
      </c>
      <c r="D59" s="2877">
        <v>32315.189260816154</v>
      </c>
      <c r="E59" s="2877">
        <v>31458.993750506866</v>
      </c>
      <c r="F59" s="2877">
        <v>31371.41715080967</v>
      </c>
      <c r="G59" s="2877">
        <v>31371.90847568664</v>
      </c>
      <c r="H59" s="2877">
        <v>31420.173784893286</v>
      </c>
      <c r="I59" s="2877">
        <v>31661.192400787109</v>
      </c>
      <c r="J59" s="2877">
        <v>31881.813088923805</v>
      </c>
      <c r="K59" s="2877">
        <v>32149.469728256867</v>
      </c>
      <c r="L59" s="2877">
        <v>32720.33581976399</v>
      </c>
      <c r="M59" s="2877">
        <v>32128.001168065304</v>
      </c>
      <c r="N59" s="2877">
        <v>32808.811969940318</v>
      </c>
      <c r="O59" s="2877">
        <v>32920.127830838246</v>
      </c>
      <c r="P59" s="2877">
        <v>33238.504580495865</v>
      </c>
      <c r="Q59" s="2877">
        <v>33233.507670538202</v>
      </c>
      <c r="R59" s="2877">
        <v>32545</v>
      </c>
      <c r="S59" s="2877">
        <v>33492.981966193707</v>
      </c>
      <c r="T59" s="2877">
        <v>33970.895782680222</v>
      </c>
      <c r="U59" s="2877">
        <v>34837.538790905593</v>
      </c>
      <c r="V59" s="2877">
        <v>35757.028684142453</v>
      </c>
      <c r="W59" s="2877">
        <v>37834.615381906602</v>
      </c>
      <c r="X59" s="2877">
        <v>38930.478227132095</v>
      </c>
      <c r="Y59" s="2877">
        <v>39612.77394355178</v>
      </c>
      <c r="Z59" s="2877">
        <v>40249.967271679765</v>
      </c>
      <c r="AA59" s="2877">
        <v>43603.147724212598</v>
      </c>
      <c r="AB59" s="2877">
        <v>44741.221968635837</v>
      </c>
      <c r="AC59" s="2877">
        <v>44866.072043531691</v>
      </c>
      <c r="AD59" s="2877">
        <v>45709.922577010337</v>
      </c>
      <c r="AE59" s="2877">
        <v>45636.774759882232</v>
      </c>
      <c r="AF59" s="2877">
        <v>48927.602798757383</v>
      </c>
      <c r="AG59" s="2877">
        <v>50189.87942189406</v>
      </c>
      <c r="AH59" s="2877">
        <v>49012.90204925873</v>
      </c>
      <c r="AI59" s="2877">
        <v>48873.106439310781</v>
      </c>
      <c r="AJ59" s="2877">
        <v>48447.41069854411</v>
      </c>
      <c r="AK59" s="2877">
        <v>47662.80077724826</v>
      </c>
      <c r="AL59" s="2877">
        <v>48263.866370968237</v>
      </c>
      <c r="AM59" s="2877">
        <v>47434.017108434069</v>
      </c>
      <c r="AN59" s="2877">
        <v>47154.34577557617</v>
      </c>
    </row>
    <row r="60" spans="1:40" s="2665" customFormat="1" ht="14.25" customHeight="1" x14ac:dyDescent="0.3">
      <c r="A60" s="2836" t="s">
        <v>2869</v>
      </c>
      <c r="B60" s="2877">
        <v>4091.3265444442704</v>
      </c>
      <c r="C60" s="2877">
        <v>4094.8410224426734</v>
      </c>
      <c r="D60" s="2877">
        <v>4178.5445180746656</v>
      </c>
      <c r="E60" s="2877">
        <v>4059.8245084814512</v>
      </c>
      <c r="F60" s="2877">
        <v>4042.5361965900056</v>
      </c>
      <c r="G60" s="2877">
        <v>3968.7089165724178</v>
      </c>
      <c r="H60" s="2877">
        <v>3946.4214012248708</v>
      </c>
      <c r="I60" s="2877">
        <v>4218.7275567465831</v>
      </c>
      <c r="J60" s="2877">
        <v>3765.4603284280843</v>
      </c>
      <c r="K60" s="2877">
        <v>3756.4534485963936</v>
      </c>
      <c r="L60" s="2877">
        <v>3849.7753649237966</v>
      </c>
      <c r="M60" s="2877">
        <v>3951.6345083856545</v>
      </c>
      <c r="N60" s="2877">
        <v>4019.1359824620868</v>
      </c>
      <c r="O60" s="2877">
        <v>4002.9136739227934</v>
      </c>
      <c r="P60" s="2877">
        <v>4108.8525092024993</v>
      </c>
      <c r="Q60" s="2877">
        <v>3836.7131549344504</v>
      </c>
      <c r="R60" s="2877">
        <v>3890</v>
      </c>
      <c r="S60" s="2877">
        <v>4088.7023783590444</v>
      </c>
      <c r="T60" s="2877">
        <v>4209.179365229018</v>
      </c>
      <c r="U60" s="2877">
        <v>4272.9827907280587</v>
      </c>
      <c r="V60" s="2877">
        <v>4382.2186662337645</v>
      </c>
      <c r="W60" s="2877">
        <v>4554.9830848540296</v>
      </c>
      <c r="X60" s="2877">
        <v>4557.9572982158343</v>
      </c>
      <c r="Y60" s="2877">
        <v>4583.1894298155385</v>
      </c>
      <c r="Z60" s="2877">
        <v>4484.735021896272</v>
      </c>
      <c r="AA60" s="2877">
        <v>4639.9698721760706</v>
      </c>
      <c r="AB60" s="2877">
        <v>4501.7338889366347</v>
      </c>
      <c r="AC60" s="2877">
        <v>4459.4328219289418</v>
      </c>
      <c r="AD60" s="2877">
        <v>4525.6962189623318</v>
      </c>
      <c r="AE60" s="2877">
        <v>4524.8978818810365</v>
      </c>
      <c r="AF60" s="2877">
        <v>4672.8660211370543</v>
      </c>
      <c r="AG60" s="2877">
        <v>4987.3766756182094</v>
      </c>
      <c r="AH60" s="2877">
        <v>5383.9218563031136</v>
      </c>
      <c r="AI60" s="2877">
        <v>5573.2595981844252</v>
      </c>
      <c r="AJ60" s="2877">
        <v>5713.837173321228</v>
      </c>
      <c r="AK60" s="2877">
        <v>5566.0608872046068</v>
      </c>
      <c r="AL60" s="2877">
        <v>5646.701663064845</v>
      </c>
      <c r="AM60" s="2877">
        <v>5566.5035503715762</v>
      </c>
      <c r="AN60" s="2877">
        <v>5937.3419018935665</v>
      </c>
    </row>
    <row r="61" spans="1:40" s="2665" customFormat="1" ht="14.25" customHeight="1" x14ac:dyDescent="0.3">
      <c r="A61" s="2836" t="s">
        <v>2870</v>
      </c>
      <c r="B61" s="2877">
        <v>446.40088808999997</v>
      </c>
      <c r="C61" s="2877">
        <v>442.69404897000004</v>
      </c>
      <c r="D61" s="2877">
        <v>417.28972320999998</v>
      </c>
      <c r="E61" s="2877">
        <v>415.27088543000002</v>
      </c>
      <c r="F61" s="2877">
        <v>400.51761098000003</v>
      </c>
      <c r="G61" s="2877">
        <v>370.73095796999996</v>
      </c>
      <c r="H61" s="2877">
        <v>371.19765808</v>
      </c>
      <c r="I61" s="2877">
        <v>371.54005065999996</v>
      </c>
      <c r="J61" s="2877">
        <v>360.06386327000001</v>
      </c>
      <c r="K61" s="2877">
        <v>342.38548840999999</v>
      </c>
      <c r="L61" s="2877">
        <v>336.58438227000005</v>
      </c>
      <c r="M61" s="2877">
        <v>335.47961348000001</v>
      </c>
      <c r="N61" s="2877">
        <v>338.68282826999996</v>
      </c>
      <c r="O61" s="2877">
        <v>339.22045931999997</v>
      </c>
      <c r="P61" s="2877">
        <v>323.40930238999999</v>
      </c>
      <c r="Q61" s="2877">
        <v>320.12834788999999</v>
      </c>
      <c r="R61" s="2877">
        <v>321</v>
      </c>
      <c r="S61" s="2877">
        <v>328.67185695000001</v>
      </c>
      <c r="T61" s="2877">
        <v>333.37914519999998</v>
      </c>
      <c r="U61" s="2877">
        <v>335.33499198999999</v>
      </c>
      <c r="V61" s="2877">
        <v>343.20719116000004</v>
      </c>
      <c r="W61" s="2877">
        <v>344.29939209999998</v>
      </c>
      <c r="X61" s="2877">
        <v>345.58627528</v>
      </c>
      <c r="Y61" s="2877">
        <v>346.61794798</v>
      </c>
      <c r="Z61" s="2877">
        <v>344.00177431999998</v>
      </c>
      <c r="AA61" s="2877">
        <v>352.35199759999995</v>
      </c>
      <c r="AB61" s="2877">
        <v>356.25432298000004</v>
      </c>
      <c r="AC61" s="2877">
        <v>355.6671154</v>
      </c>
      <c r="AD61" s="2877">
        <v>360.11429085000003</v>
      </c>
      <c r="AE61" s="2877">
        <v>363.29069435000002</v>
      </c>
      <c r="AF61" s="2877">
        <v>208.36589733</v>
      </c>
      <c r="AG61" s="2877">
        <v>207.15191831999999</v>
      </c>
      <c r="AH61" s="2877">
        <v>208.52222476</v>
      </c>
      <c r="AI61" s="2877">
        <v>207.53720718</v>
      </c>
      <c r="AJ61" s="2877">
        <v>95.688558170000007</v>
      </c>
      <c r="AK61" s="2877">
        <v>105.83719470999999</v>
      </c>
      <c r="AL61" s="2877">
        <v>108.31286138999999</v>
      </c>
      <c r="AM61" s="2877">
        <v>112.30356609</v>
      </c>
      <c r="AN61" s="2877">
        <v>93.891544379999999</v>
      </c>
    </row>
    <row r="62" spans="1:40" s="624" customFormat="1" ht="14.25" customHeight="1" x14ac:dyDescent="0.3">
      <c r="A62" s="2836" t="s">
        <v>2871</v>
      </c>
      <c r="B62" s="2877">
        <v>254.09193336347906</v>
      </c>
      <c r="C62" s="2877">
        <v>258.04751187673565</v>
      </c>
      <c r="D62" s="2877">
        <v>263.53905661195387</v>
      </c>
      <c r="E62" s="2877">
        <v>262.72029219993908</v>
      </c>
      <c r="F62" s="2877">
        <v>283.72282319365189</v>
      </c>
      <c r="G62" s="2877">
        <v>256.37098233613625</v>
      </c>
      <c r="H62" s="2877">
        <v>260.60478383640361</v>
      </c>
      <c r="I62" s="2877">
        <v>257.25928732223906</v>
      </c>
      <c r="J62" s="2877">
        <v>258.30163045867329</v>
      </c>
      <c r="K62" s="2877">
        <v>258.8464993869182</v>
      </c>
      <c r="L62" s="2877">
        <v>262.10011084769599</v>
      </c>
      <c r="M62" s="2877">
        <v>261.77859388685215</v>
      </c>
      <c r="N62" s="2877">
        <v>223.87726388712827</v>
      </c>
      <c r="O62" s="2877">
        <v>225.11753823813945</v>
      </c>
      <c r="P62" s="2877">
        <v>225.3428865353782</v>
      </c>
      <c r="Q62" s="2877">
        <v>223.04373734524944</v>
      </c>
      <c r="R62" s="2877">
        <v>221</v>
      </c>
      <c r="S62" s="2877">
        <v>223.54349638471018</v>
      </c>
      <c r="T62" s="2877">
        <v>225.15408614315399</v>
      </c>
      <c r="U62" s="2877">
        <v>228.08340947760612</v>
      </c>
      <c r="V62" s="2877">
        <v>230.16335569380286</v>
      </c>
      <c r="W62" s="2877">
        <v>234.87010481632132</v>
      </c>
      <c r="X62" s="2877">
        <v>235.87197582719224</v>
      </c>
      <c r="Y62" s="2877">
        <v>234.811948924456</v>
      </c>
      <c r="Z62" s="2877">
        <v>236.09845994601582</v>
      </c>
      <c r="AA62" s="2877">
        <v>237.70791748890747</v>
      </c>
      <c r="AB62" s="2877">
        <v>241.17135848931554</v>
      </c>
      <c r="AC62" s="2877">
        <v>240.87413736761988</v>
      </c>
      <c r="AD62" s="2877">
        <v>241.72796507667596</v>
      </c>
      <c r="AE62" s="2877">
        <v>239.79887504192146</v>
      </c>
      <c r="AF62" s="2877">
        <v>242.25867514452415</v>
      </c>
      <c r="AG62" s="2877">
        <v>244.73810918650898</v>
      </c>
      <c r="AH62" s="2877">
        <v>266.20154514820643</v>
      </c>
      <c r="AI62" s="2877">
        <v>266.12659167960533</v>
      </c>
      <c r="AJ62" s="2877">
        <v>314.81762155217967</v>
      </c>
      <c r="AK62" s="2877">
        <v>311.9132688719381</v>
      </c>
      <c r="AL62" s="2877">
        <v>308.60661598397627</v>
      </c>
      <c r="AM62" s="2877">
        <v>305.30140845323638</v>
      </c>
      <c r="AN62" s="2877">
        <v>304.75191224332815</v>
      </c>
    </row>
    <row r="63" spans="1:40" s="624" customFormat="1" ht="14.25" customHeight="1" x14ac:dyDescent="0.3">
      <c r="A63" s="2836" t="s">
        <v>2872</v>
      </c>
      <c r="B63" s="2877">
        <v>21.52293762</v>
      </c>
      <c r="C63" s="2877">
        <v>21.369805700000001</v>
      </c>
      <c r="D63" s="2877">
        <v>20.896761630000004</v>
      </c>
      <c r="E63" s="2877">
        <v>21.37175813</v>
      </c>
      <c r="F63" s="2877">
        <v>20.831184180000001</v>
      </c>
      <c r="G63" s="2877">
        <v>20.980346540000003</v>
      </c>
      <c r="H63" s="2877">
        <v>21.304462140000002</v>
      </c>
      <c r="I63" s="2877">
        <v>20.550004169999998</v>
      </c>
      <c r="J63" s="2877">
        <v>20.454626299999997</v>
      </c>
      <c r="K63" s="2877">
        <v>20.604630670000002</v>
      </c>
      <c r="L63" s="2877">
        <v>20.66010189</v>
      </c>
      <c r="M63" s="2877">
        <v>20.980720870000003</v>
      </c>
      <c r="N63" s="2877">
        <v>21.575808630000001</v>
      </c>
      <c r="O63" s="2877">
        <v>20.834974729999999</v>
      </c>
      <c r="P63" s="2877">
        <v>20.494934709999995</v>
      </c>
      <c r="Q63" s="2877">
        <v>20.498711910000001</v>
      </c>
      <c r="R63" s="2877">
        <v>20</v>
      </c>
      <c r="S63" s="2877">
        <v>19.763613299999999</v>
      </c>
      <c r="T63" s="2877">
        <v>19.868413659999998</v>
      </c>
      <c r="U63" s="2877">
        <v>19.385619290000001</v>
      </c>
      <c r="V63" s="2877">
        <v>18.35045525</v>
      </c>
      <c r="W63" s="2877">
        <v>17.887568239999997</v>
      </c>
      <c r="X63" s="2877">
        <v>17.563406489999998</v>
      </c>
      <c r="Y63" s="2877">
        <v>17.751320660000005</v>
      </c>
      <c r="Z63" s="2877">
        <v>17.7316012</v>
      </c>
      <c r="AA63" s="2877">
        <v>17.207492250000001</v>
      </c>
      <c r="AB63" s="2877">
        <v>17.273380539999998</v>
      </c>
      <c r="AC63" s="2877">
        <v>17.280191239999997</v>
      </c>
      <c r="AD63" s="2877">
        <v>16.704248879999998</v>
      </c>
      <c r="AE63" s="2877">
        <v>16.7675059</v>
      </c>
      <c r="AF63" s="2877">
        <v>16.79091481</v>
      </c>
      <c r="AG63" s="2877">
        <v>33.958814450000006</v>
      </c>
      <c r="AH63" s="2877">
        <v>103.28121556000001</v>
      </c>
      <c r="AI63" s="2877">
        <v>100.73325128</v>
      </c>
      <c r="AJ63" s="2877">
        <v>109.80556734000001</v>
      </c>
      <c r="AK63" s="2877">
        <v>64.623414999999994</v>
      </c>
      <c r="AL63" s="2877">
        <v>61.368496439999994</v>
      </c>
      <c r="AM63" s="2877">
        <v>58.512740849999993</v>
      </c>
      <c r="AN63" s="2877">
        <v>92.465029449999989</v>
      </c>
    </row>
    <row r="64" spans="1:40" s="624" customFormat="1" ht="15" customHeight="1" x14ac:dyDescent="0.3">
      <c r="A64" s="2836" t="s">
        <v>2873</v>
      </c>
      <c r="B64" s="2877">
        <v>565.77914710999994</v>
      </c>
      <c r="C64" s="2877">
        <v>586.53163071999995</v>
      </c>
      <c r="D64" s="2877">
        <v>432.37358570000004</v>
      </c>
      <c r="E64" s="2877">
        <v>449.57252389999996</v>
      </c>
      <c r="F64" s="2877">
        <v>469.63575544999998</v>
      </c>
      <c r="G64" s="2877">
        <v>475.72002307999992</v>
      </c>
      <c r="H64" s="2877">
        <v>502.58420144000002</v>
      </c>
      <c r="I64" s="2877">
        <v>536.84147486000006</v>
      </c>
      <c r="J64" s="2877">
        <v>495.98369928</v>
      </c>
      <c r="K64" s="2877">
        <v>504.51280120999996</v>
      </c>
      <c r="L64" s="2877">
        <v>502.29929220999998</v>
      </c>
      <c r="M64" s="2877">
        <v>469.10211640999995</v>
      </c>
      <c r="N64" s="2877">
        <v>464.27380885000002</v>
      </c>
      <c r="O64" s="2877">
        <v>463.55274788999998</v>
      </c>
      <c r="P64" s="2877">
        <v>482.12374155999993</v>
      </c>
      <c r="Q64" s="2877">
        <v>234.68548140000001</v>
      </c>
      <c r="R64" s="2877">
        <v>232</v>
      </c>
      <c r="S64" s="2877">
        <v>233.87431430000001</v>
      </c>
      <c r="T64" s="2877">
        <v>234.14126001999998</v>
      </c>
      <c r="U64" s="2877">
        <v>234.89297857</v>
      </c>
      <c r="V64" s="2877">
        <v>236.97308953000001</v>
      </c>
      <c r="W64" s="2877">
        <v>243.88369951000001</v>
      </c>
      <c r="X64" s="2877">
        <v>242.94390303000003</v>
      </c>
      <c r="Y64" s="2877">
        <v>241.58186361000003</v>
      </c>
      <c r="Z64" s="2877">
        <v>237.25733875999998</v>
      </c>
      <c r="AA64" s="2877">
        <v>237.14439625999998</v>
      </c>
      <c r="AB64" s="2877">
        <v>233.47469507</v>
      </c>
      <c r="AC64" s="2877">
        <v>230.67989663999995</v>
      </c>
      <c r="AD64" s="2877">
        <v>230.37857921000003</v>
      </c>
      <c r="AE64" s="2877">
        <v>222.55152454000003</v>
      </c>
      <c r="AF64" s="2877">
        <v>223.10692728000001</v>
      </c>
      <c r="AG64" s="2877">
        <v>221.53227781999999</v>
      </c>
      <c r="AH64" s="2877">
        <v>210.93053264000002</v>
      </c>
      <c r="AI64" s="2877">
        <v>209.15208844000003</v>
      </c>
      <c r="AJ64" s="2877">
        <v>212.26329629</v>
      </c>
      <c r="AK64" s="2877">
        <v>211.32145968</v>
      </c>
      <c r="AL64" s="2877">
        <v>210.29275459999999</v>
      </c>
      <c r="AM64" s="2877">
        <v>204.87500412</v>
      </c>
      <c r="AN64" s="2877">
        <v>228.48164630000002</v>
      </c>
    </row>
    <row r="65" spans="1:40" s="624" customFormat="1" ht="14.25" customHeight="1" thickBot="1" x14ac:dyDescent="0.35">
      <c r="A65" s="2843" t="s">
        <v>2798</v>
      </c>
      <c r="B65" s="2880">
        <v>847.40248014948929</v>
      </c>
      <c r="C65" s="2880">
        <v>866.290595973667</v>
      </c>
      <c r="D65" s="2880">
        <v>797.31850511363166</v>
      </c>
      <c r="E65" s="2880">
        <v>791.12022377357823</v>
      </c>
      <c r="F65" s="2880">
        <v>795.63333874421608</v>
      </c>
      <c r="G65" s="2880">
        <v>796.40353831888081</v>
      </c>
      <c r="H65" s="2880">
        <v>773.900083431844</v>
      </c>
      <c r="I65" s="2880">
        <v>782.59167501071829</v>
      </c>
      <c r="J65" s="2880">
        <v>794.73807740713903</v>
      </c>
      <c r="K65" s="2880">
        <v>770.62146602803659</v>
      </c>
      <c r="L65" s="2880">
        <v>759.39598017353114</v>
      </c>
      <c r="M65" s="2880">
        <v>776.79475442222497</v>
      </c>
      <c r="N65" s="2880">
        <v>806.57535727064601</v>
      </c>
      <c r="O65" s="2880">
        <v>831.12718630736492</v>
      </c>
      <c r="P65" s="2880">
        <v>838.1082503252909</v>
      </c>
      <c r="Q65" s="2880">
        <v>786.02277469756348</v>
      </c>
      <c r="R65" s="2880">
        <v>804</v>
      </c>
      <c r="S65" s="2880">
        <v>807.95965486482407</v>
      </c>
      <c r="T65" s="2880">
        <v>892.75741715873789</v>
      </c>
      <c r="U65" s="2880">
        <v>909.30164824843382</v>
      </c>
      <c r="V65" s="2880">
        <v>850.66898554852628</v>
      </c>
      <c r="W65" s="2880">
        <v>878.4264017882598</v>
      </c>
      <c r="X65" s="2880">
        <v>921.79406320234284</v>
      </c>
      <c r="Y65" s="2880">
        <v>976.74097496461945</v>
      </c>
      <c r="Z65" s="2880">
        <v>980.71837789958261</v>
      </c>
      <c r="AA65" s="2880">
        <v>981.79749017135885</v>
      </c>
      <c r="AB65" s="2880">
        <v>1058.1016216541464</v>
      </c>
      <c r="AC65" s="2880">
        <v>1069.1944398204669</v>
      </c>
      <c r="AD65" s="2880">
        <v>1069.9591741783256</v>
      </c>
      <c r="AE65" s="2880">
        <v>1126.3801068463974</v>
      </c>
      <c r="AF65" s="2880">
        <v>1111.7788724979287</v>
      </c>
      <c r="AG65" s="2880">
        <v>1078.4552103660669</v>
      </c>
      <c r="AH65" s="2880">
        <v>1113.0236356542664</v>
      </c>
      <c r="AI65" s="2880">
        <v>1048.9307313178592</v>
      </c>
      <c r="AJ65" s="2880">
        <v>1053.5246685270033</v>
      </c>
      <c r="AK65" s="2880">
        <v>1041.1541009357986</v>
      </c>
      <c r="AL65" s="2880">
        <v>1035.8080964980668</v>
      </c>
      <c r="AM65" s="2880">
        <v>1093.4721252961931</v>
      </c>
      <c r="AN65" s="2880">
        <v>1074.7504473353752</v>
      </c>
    </row>
    <row r="66" spans="1:40" s="624" customFormat="1" ht="18" thickTop="1" x14ac:dyDescent="0.3">
      <c r="A66" s="2881" t="s">
        <v>2799</v>
      </c>
      <c r="B66" s="2882"/>
      <c r="C66" s="2882"/>
      <c r="D66" s="2883"/>
      <c r="E66" s="2883"/>
      <c r="F66" s="2883"/>
      <c r="G66" s="2883"/>
      <c r="H66" s="2883"/>
      <c r="I66" s="2883"/>
      <c r="J66" s="2883"/>
      <c r="K66" s="2883"/>
      <c r="L66" s="2883"/>
      <c r="M66" s="2883"/>
      <c r="N66" s="2883"/>
      <c r="O66" s="2883"/>
      <c r="P66" s="2883"/>
      <c r="Q66" s="2883"/>
      <c r="R66" s="2883"/>
      <c r="S66" s="2883"/>
      <c r="T66" s="2883"/>
      <c r="U66" s="2883"/>
      <c r="V66" s="2883"/>
      <c r="W66" s="2883"/>
      <c r="X66" s="2883"/>
      <c r="Y66" s="2883"/>
      <c r="Z66" s="2883"/>
      <c r="AA66" s="2883"/>
      <c r="AB66" s="2883"/>
      <c r="AC66" s="2883"/>
      <c r="AD66" s="2883"/>
      <c r="AE66" s="2883"/>
      <c r="AF66" s="2883"/>
      <c r="AG66" s="2883"/>
      <c r="AH66" s="2883"/>
      <c r="AI66" s="2883"/>
      <c r="AJ66" s="2883"/>
      <c r="AK66" s="2883"/>
      <c r="AL66" s="2883"/>
      <c r="AM66" s="2883"/>
      <c r="AN66" s="2883"/>
    </row>
    <row r="67" spans="1:40" s="624" customFormat="1" ht="17.25" x14ac:dyDescent="0.3">
      <c r="A67" s="2881"/>
      <c r="B67" s="2882"/>
      <c r="C67" s="2882"/>
      <c r="D67" s="2883"/>
      <c r="E67" s="2883"/>
      <c r="F67" s="2883"/>
      <c r="G67" s="2883"/>
      <c r="H67" s="2883"/>
      <c r="I67" s="2883"/>
      <c r="J67" s="2883"/>
      <c r="K67" s="2883"/>
      <c r="L67" s="2883"/>
      <c r="M67" s="2883"/>
      <c r="N67" s="2883"/>
      <c r="O67" s="2883"/>
      <c r="P67" s="2883"/>
      <c r="Q67" s="2883"/>
      <c r="R67" s="2883"/>
      <c r="S67" s="2883"/>
      <c r="T67" s="2883"/>
      <c r="U67" s="2883"/>
      <c r="V67" s="2883"/>
      <c r="W67" s="2883"/>
      <c r="X67" s="2883"/>
      <c r="Y67" s="2883"/>
      <c r="Z67" s="2883"/>
      <c r="AA67" s="2883"/>
      <c r="AB67" s="2883"/>
      <c r="AC67" s="2883"/>
      <c r="AD67" s="2883"/>
      <c r="AE67" s="2883"/>
      <c r="AF67" s="2883"/>
      <c r="AG67" s="2883"/>
      <c r="AH67" s="2883"/>
      <c r="AI67" s="2883"/>
      <c r="AJ67" s="2883"/>
      <c r="AK67" s="2883"/>
      <c r="AL67" s="2883"/>
      <c r="AM67" s="2883"/>
      <c r="AN67" s="2883"/>
    </row>
    <row r="68" spans="1:40" s="624" customFormat="1" ht="17.25" x14ac:dyDescent="0.3">
      <c r="A68" s="2881"/>
      <c r="B68" s="2882"/>
      <c r="C68" s="2882"/>
      <c r="D68" s="2883"/>
      <c r="E68" s="2883"/>
      <c r="F68" s="2883"/>
      <c r="G68" s="2883"/>
      <c r="H68" s="2883"/>
      <c r="I68" s="2883"/>
      <c r="J68" s="2883"/>
      <c r="K68" s="2883"/>
      <c r="L68" s="2883"/>
      <c r="M68" s="2883"/>
      <c r="N68" s="2883"/>
      <c r="O68" s="2883"/>
      <c r="P68" s="2883"/>
      <c r="Q68" s="2883"/>
      <c r="R68" s="2883"/>
      <c r="S68" s="2883"/>
      <c r="T68" s="2883"/>
      <c r="U68" s="2883"/>
      <c r="V68" s="2883"/>
      <c r="W68" s="2883"/>
      <c r="X68" s="2883"/>
      <c r="Y68" s="2883"/>
      <c r="Z68" s="2883"/>
      <c r="AA68" s="2883"/>
      <c r="AB68" s="2883"/>
      <c r="AC68" s="2883"/>
      <c r="AD68" s="2883"/>
      <c r="AE68" s="2883"/>
      <c r="AF68" s="2883"/>
      <c r="AG68" s="2883"/>
      <c r="AH68" s="2883"/>
      <c r="AI68" s="2883"/>
      <c r="AJ68" s="2883"/>
      <c r="AK68" s="2883"/>
      <c r="AL68" s="2883"/>
      <c r="AM68" s="2883"/>
      <c r="AN68" s="2883"/>
    </row>
    <row r="69" spans="1:40" s="624" customFormat="1" ht="29.25" customHeight="1" thickBot="1" x14ac:dyDescent="0.35">
      <c r="A69" s="2881"/>
      <c r="B69" s="2882"/>
      <c r="C69" s="2882"/>
      <c r="D69" s="2883"/>
      <c r="E69" s="2883"/>
      <c r="F69" s="2883"/>
      <c r="G69" s="2883"/>
      <c r="H69" s="2883"/>
      <c r="I69" s="2883"/>
      <c r="J69" s="2883"/>
      <c r="K69" s="2883"/>
      <c r="L69" s="2883"/>
      <c r="M69" s="2650"/>
      <c r="N69" s="2650"/>
      <c r="O69" s="2650"/>
      <c r="P69" s="2650"/>
      <c r="Q69" s="2650"/>
      <c r="R69" s="2650"/>
      <c r="S69" s="2650"/>
      <c r="T69" s="2650"/>
      <c r="U69" s="2650"/>
      <c r="V69" s="2650"/>
      <c r="W69" s="2650"/>
      <c r="X69" s="2650"/>
      <c r="Y69" s="2650"/>
      <c r="Z69" s="2650"/>
      <c r="AA69" s="2650"/>
      <c r="AB69" s="2650"/>
      <c r="AC69" s="2650"/>
      <c r="AD69" s="2650"/>
      <c r="AE69" s="2650"/>
      <c r="AF69" s="2650"/>
      <c r="AG69" s="2650"/>
      <c r="AH69" s="2650"/>
      <c r="AI69" s="2650"/>
      <c r="AJ69" s="2650"/>
      <c r="AK69" s="2650"/>
      <c r="AL69" s="2650"/>
      <c r="AM69" s="2650"/>
      <c r="AN69" s="2650"/>
    </row>
    <row r="70" spans="1:40" s="624" customFormat="1" ht="18.600000000000001" customHeight="1" thickTop="1" thickBot="1" x14ac:dyDescent="0.35">
      <c r="A70" s="2884" t="s">
        <v>2737</v>
      </c>
      <c r="B70" s="2885">
        <v>43404</v>
      </c>
      <c r="C70" s="2885">
        <v>43434</v>
      </c>
      <c r="D70" s="2885">
        <v>43465</v>
      </c>
      <c r="E70" s="2885" t="s">
        <v>2854</v>
      </c>
      <c r="F70" s="2886">
        <v>43524</v>
      </c>
      <c r="G70" s="2886">
        <v>43555</v>
      </c>
      <c r="H70" s="2886">
        <v>43585</v>
      </c>
      <c r="I70" s="2886">
        <v>43616</v>
      </c>
      <c r="J70" s="2885">
        <v>43646</v>
      </c>
      <c r="K70" s="2885">
        <v>43677</v>
      </c>
      <c r="L70" s="2885">
        <v>43708</v>
      </c>
      <c r="M70" s="2885">
        <v>43738</v>
      </c>
      <c r="N70" s="2885">
        <v>43769</v>
      </c>
      <c r="O70" s="2885">
        <v>43799</v>
      </c>
      <c r="P70" s="2885">
        <v>43830</v>
      </c>
      <c r="Q70" s="2885">
        <v>43861</v>
      </c>
      <c r="R70" s="2887" t="s">
        <v>2590</v>
      </c>
      <c r="S70" s="2887" t="s">
        <v>477</v>
      </c>
      <c r="T70" s="2887" t="s">
        <v>311</v>
      </c>
      <c r="U70" s="2887" t="s">
        <v>2504</v>
      </c>
      <c r="V70" s="2887">
        <v>44012</v>
      </c>
      <c r="W70" s="2887">
        <v>44043</v>
      </c>
      <c r="X70" s="2887">
        <v>44074</v>
      </c>
      <c r="Y70" s="2887">
        <v>44104</v>
      </c>
      <c r="Z70" s="2887">
        <v>44135</v>
      </c>
      <c r="AA70" s="2887">
        <v>44165</v>
      </c>
      <c r="AB70" s="2887">
        <v>44196</v>
      </c>
      <c r="AC70" s="2887">
        <v>44227</v>
      </c>
      <c r="AD70" s="2887">
        <v>44255</v>
      </c>
      <c r="AE70" s="2887">
        <v>44286</v>
      </c>
      <c r="AF70" s="2887">
        <v>44316</v>
      </c>
      <c r="AG70" s="2887">
        <v>44347</v>
      </c>
      <c r="AH70" s="2887">
        <v>44377</v>
      </c>
      <c r="AI70" s="2873">
        <v>44408</v>
      </c>
      <c r="AJ70" s="2887">
        <v>44439</v>
      </c>
      <c r="AK70" s="2873">
        <v>44469</v>
      </c>
      <c r="AL70" s="2873">
        <v>44499</v>
      </c>
      <c r="AM70" s="2873">
        <v>44530</v>
      </c>
      <c r="AN70" s="2873">
        <v>44560</v>
      </c>
    </row>
    <row r="71" spans="1:40" s="624" customFormat="1" ht="18" thickTop="1" x14ac:dyDescent="0.3">
      <c r="A71" s="2832" t="s">
        <v>2801</v>
      </c>
      <c r="B71" s="2875">
        <v>2768.5121417164846</v>
      </c>
      <c r="C71" s="2875">
        <v>2900.2070490928049</v>
      </c>
      <c r="D71" s="2875">
        <v>3016.8562111851979</v>
      </c>
      <c r="E71" s="2875">
        <v>2948.9768716175536</v>
      </c>
      <c r="F71" s="2875">
        <v>2864.5377498028142</v>
      </c>
      <c r="G71" s="2875">
        <v>2880.3809256666104</v>
      </c>
      <c r="H71" s="2875">
        <v>3564.1434693661004</v>
      </c>
      <c r="I71" s="2875">
        <v>3485.8303772557201</v>
      </c>
      <c r="J71" s="2875">
        <v>3000.7260748703566</v>
      </c>
      <c r="K71" s="2875">
        <v>3172.782385761157</v>
      </c>
      <c r="L71" s="2875">
        <v>2856.5097372505261</v>
      </c>
      <c r="M71" s="2875">
        <v>3001.7373633614784</v>
      </c>
      <c r="N71" s="2875">
        <v>3004.4796035352379</v>
      </c>
      <c r="O71" s="2875">
        <v>3239.9103726817361</v>
      </c>
      <c r="P71" s="2875">
        <v>3452.1531829052497</v>
      </c>
      <c r="Q71" s="2875">
        <v>3261.5227342159196</v>
      </c>
      <c r="R71" s="2875">
        <v>3138</v>
      </c>
      <c r="S71" s="2875">
        <v>3722.2575140118856</v>
      </c>
      <c r="T71" s="2875">
        <v>3270.0816655019212</v>
      </c>
      <c r="U71" s="2875">
        <v>2749.2618413770051</v>
      </c>
      <c r="V71" s="2875">
        <v>2700.2238497938433</v>
      </c>
      <c r="W71" s="2875">
        <v>2722.1665027899458</v>
      </c>
      <c r="X71" s="2875">
        <v>2927.4645011685488</v>
      </c>
      <c r="Y71" s="2875">
        <v>2325.5364759644654</v>
      </c>
      <c r="Z71" s="2875">
        <v>2391.6102913618033</v>
      </c>
      <c r="AA71" s="2875">
        <v>2425.9925858510219</v>
      </c>
      <c r="AB71" s="2875">
        <v>2410.224351236292</v>
      </c>
      <c r="AC71" s="2875">
        <v>2338.330496450666</v>
      </c>
      <c r="AD71" s="2875">
        <v>2343.1582609658922</v>
      </c>
      <c r="AE71" s="2875">
        <v>2365.2609550168695</v>
      </c>
      <c r="AF71" s="2875">
        <v>2328.5503083919607</v>
      </c>
      <c r="AG71" s="2875">
        <v>2221.0189459199746</v>
      </c>
      <c r="AH71" s="2875">
        <v>2152.8634960419417</v>
      </c>
      <c r="AI71" s="2875">
        <v>2100.0447607174337</v>
      </c>
      <c r="AJ71" s="2875">
        <v>2007.510215958562</v>
      </c>
      <c r="AK71" s="2875">
        <v>2048.3335590976185</v>
      </c>
      <c r="AL71" s="2875">
        <v>1966.4120530933537</v>
      </c>
      <c r="AM71" s="2875">
        <v>2044.5899944027826</v>
      </c>
      <c r="AN71" s="2875">
        <v>2383.1227982853748</v>
      </c>
    </row>
    <row r="72" spans="1:40" s="624" customFormat="1" ht="15.75" customHeight="1" x14ac:dyDescent="0.3">
      <c r="A72" s="2834" t="s">
        <v>2802</v>
      </c>
      <c r="B72" s="2876">
        <v>775.61798527999997</v>
      </c>
      <c r="C72" s="2876">
        <v>775.1922413100001</v>
      </c>
      <c r="D72" s="2876">
        <v>777.40931433000003</v>
      </c>
      <c r="E72" s="2876">
        <v>767.22818126000004</v>
      </c>
      <c r="F72" s="2876">
        <v>753.93314114999998</v>
      </c>
      <c r="G72" s="2876">
        <v>754.63944513000001</v>
      </c>
      <c r="H72" s="2876">
        <v>812.90443923999999</v>
      </c>
      <c r="I72" s="2876">
        <v>807.12868035999998</v>
      </c>
      <c r="J72" s="2876">
        <v>823.64883978</v>
      </c>
      <c r="K72" s="2876">
        <v>859.83854622000001</v>
      </c>
      <c r="L72" s="2876">
        <v>846.63696895999999</v>
      </c>
      <c r="M72" s="2876">
        <v>851.21896079999999</v>
      </c>
      <c r="N72" s="2876">
        <v>922.92527984999992</v>
      </c>
      <c r="O72" s="2876">
        <v>923.49960835000013</v>
      </c>
      <c r="P72" s="2876">
        <v>927.36373035999998</v>
      </c>
      <c r="Q72" s="2876">
        <v>936.65212425000004</v>
      </c>
      <c r="R72" s="2876">
        <v>938</v>
      </c>
      <c r="S72" s="2876">
        <v>956.89488877999997</v>
      </c>
      <c r="T72" s="2876">
        <v>969.04638056999988</v>
      </c>
      <c r="U72" s="2876">
        <v>935.28331177000007</v>
      </c>
      <c r="V72" s="2876">
        <v>944.80694749999998</v>
      </c>
      <c r="W72" s="2876">
        <v>969.80502476000004</v>
      </c>
      <c r="X72" s="2876">
        <v>976.10490385999992</v>
      </c>
      <c r="Y72" s="2876">
        <v>967.20038748000002</v>
      </c>
      <c r="Z72" s="2876">
        <v>925.29982473999996</v>
      </c>
      <c r="AA72" s="2876">
        <v>913.79471250999995</v>
      </c>
      <c r="AB72" s="2876">
        <v>920.85854840000013</v>
      </c>
      <c r="AC72" s="2876">
        <v>911.88043506999998</v>
      </c>
      <c r="AD72" s="2876">
        <v>901.02560799000003</v>
      </c>
      <c r="AE72" s="2876">
        <v>895.25044114000002</v>
      </c>
      <c r="AF72" s="2876">
        <v>890.16681334999998</v>
      </c>
      <c r="AG72" s="2876">
        <v>897.86527916</v>
      </c>
      <c r="AH72" s="2876">
        <v>614.26932185999988</v>
      </c>
      <c r="AI72" s="2876">
        <v>621.35029468999994</v>
      </c>
      <c r="AJ72" s="2876">
        <v>617.00869372</v>
      </c>
      <c r="AK72" s="2876">
        <v>614.57169998000006</v>
      </c>
      <c r="AL72" s="2876">
        <v>598.73539582000001</v>
      </c>
      <c r="AM72" s="2876">
        <v>599.54555355000002</v>
      </c>
      <c r="AN72" s="2876">
        <v>592.66321988000004</v>
      </c>
    </row>
    <row r="73" spans="1:40" s="624" customFormat="1" ht="15.75" customHeight="1" x14ac:dyDescent="0.3">
      <c r="A73" s="2888" t="s">
        <v>2803</v>
      </c>
      <c r="B73" s="2876">
        <v>250.5124572</v>
      </c>
      <c r="C73" s="2876">
        <v>256.28397602999996</v>
      </c>
      <c r="D73" s="2876">
        <v>236.71544947000001</v>
      </c>
      <c r="E73" s="2876">
        <v>260.73204059</v>
      </c>
      <c r="F73" s="2876">
        <v>263.65285599000003</v>
      </c>
      <c r="G73" s="2876">
        <v>265.99052308999995</v>
      </c>
      <c r="H73" s="2876">
        <v>271.45901932999999</v>
      </c>
      <c r="I73" s="2876">
        <v>274.52494490999999</v>
      </c>
      <c r="J73" s="2876">
        <v>270.72897452000007</v>
      </c>
      <c r="K73" s="2876">
        <v>201.84693806000001</v>
      </c>
      <c r="L73" s="2876">
        <v>208.49066536999999</v>
      </c>
      <c r="M73" s="2876">
        <v>223.49361134999995</v>
      </c>
      <c r="N73" s="2876">
        <v>226.54096943999997</v>
      </c>
      <c r="O73" s="2876">
        <v>227.26395092999996</v>
      </c>
      <c r="P73" s="2876">
        <v>207.46484647</v>
      </c>
      <c r="Q73" s="2876">
        <v>207.170467</v>
      </c>
      <c r="R73" s="2876">
        <v>209</v>
      </c>
      <c r="S73" s="2876">
        <v>208.47990227</v>
      </c>
      <c r="T73" s="2876">
        <v>208.97890383999999</v>
      </c>
      <c r="U73" s="2876">
        <v>210.05846843999998</v>
      </c>
      <c r="V73" s="2876">
        <v>211.92540763</v>
      </c>
      <c r="W73" s="2876">
        <v>212.31438685999998</v>
      </c>
      <c r="X73" s="2876">
        <v>214.15910960999994</v>
      </c>
      <c r="Y73" s="2876">
        <v>209.35079618999995</v>
      </c>
      <c r="Z73" s="2876">
        <v>212.48142607</v>
      </c>
      <c r="AA73" s="2876">
        <v>212.87600277000001</v>
      </c>
      <c r="AB73" s="2876">
        <v>211.02562740000002</v>
      </c>
      <c r="AC73" s="2876">
        <v>211.64275679999997</v>
      </c>
      <c r="AD73" s="2876">
        <v>210.13429385999999</v>
      </c>
      <c r="AE73" s="2876">
        <v>207.88267201000002</v>
      </c>
      <c r="AF73" s="2876">
        <v>208.10559496000002</v>
      </c>
      <c r="AG73" s="2876">
        <v>200.28839649</v>
      </c>
      <c r="AH73" s="2876">
        <v>201.75356842000002</v>
      </c>
      <c r="AI73" s="2876">
        <v>191.72796161000005</v>
      </c>
      <c r="AJ73" s="2876">
        <v>192.10137184000001</v>
      </c>
      <c r="AK73" s="2876">
        <v>193.01374610000002</v>
      </c>
      <c r="AL73" s="2876">
        <v>189.64093025</v>
      </c>
      <c r="AM73" s="2876">
        <v>186.39764521000004</v>
      </c>
      <c r="AN73" s="2876">
        <v>221.22642310999998</v>
      </c>
    </row>
    <row r="74" spans="1:40" s="624" customFormat="1" ht="15.75" customHeight="1" x14ac:dyDescent="0.3">
      <c r="A74" s="2834" t="s">
        <v>2804</v>
      </c>
      <c r="B74" s="2876">
        <v>16.73095519</v>
      </c>
      <c r="C74" s="2876">
        <v>15.930482289999999</v>
      </c>
      <c r="D74" s="2876">
        <v>15.904865060000001</v>
      </c>
      <c r="E74" s="2876">
        <v>16.30869461</v>
      </c>
      <c r="F74" s="2876">
        <v>16.558436789999998</v>
      </c>
      <c r="G74" s="2876">
        <v>15.022977979999999</v>
      </c>
      <c r="H74" s="2876">
        <v>14.706792650000002</v>
      </c>
      <c r="I74" s="2876">
        <v>11.691440319999998</v>
      </c>
      <c r="J74" s="2876">
        <v>11.593181269999999</v>
      </c>
      <c r="K74" s="2876">
        <v>10.346237350000001</v>
      </c>
      <c r="L74" s="2876">
        <v>10.11654311</v>
      </c>
      <c r="M74" s="2876">
        <v>10.726471310000001</v>
      </c>
      <c r="N74" s="2876">
        <v>9.0316912799999987</v>
      </c>
      <c r="O74" s="2876">
        <v>7.2547528200000002</v>
      </c>
      <c r="P74" s="2876">
        <v>133.54397635999999</v>
      </c>
      <c r="Q74" s="2876">
        <v>157.0260907</v>
      </c>
      <c r="R74" s="2876">
        <v>88</v>
      </c>
      <c r="S74" s="2876">
        <v>72.947123330000011</v>
      </c>
      <c r="T74" s="2876">
        <v>73.399406690000006</v>
      </c>
      <c r="U74" s="2876">
        <v>4.7239749800000004</v>
      </c>
      <c r="V74" s="2876">
        <v>10.214740599999999</v>
      </c>
      <c r="W74" s="2876">
        <v>4.7047030199999993</v>
      </c>
      <c r="X74" s="2876">
        <v>99.288502940000001</v>
      </c>
      <c r="Y74" s="2876">
        <v>90.023444549999994</v>
      </c>
      <c r="Z74" s="2876">
        <v>113.68741107</v>
      </c>
      <c r="AA74" s="2876">
        <v>65.221567880000009</v>
      </c>
      <c r="AB74" s="2876">
        <v>83.493815730000009</v>
      </c>
      <c r="AC74" s="2876">
        <v>132.79299082</v>
      </c>
      <c r="AD74" s="2876">
        <v>133.13688956999999</v>
      </c>
      <c r="AE74" s="2876">
        <v>132.54700377</v>
      </c>
      <c r="AF74" s="2876">
        <v>135.32533310999997</v>
      </c>
      <c r="AG74" s="2876">
        <v>135.79928240000001</v>
      </c>
      <c r="AH74" s="2876">
        <v>205.69837826000003</v>
      </c>
      <c r="AI74" s="2876">
        <v>206.96890458000001</v>
      </c>
      <c r="AJ74" s="2876">
        <v>206.72152426</v>
      </c>
      <c r="AK74" s="2876">
        <v>204.97181610999999</v>
      </c>
      <c r="AL74" s="2876">
        <v>207.03401165</v>
      </c>
      <c r="AM74" s="2876">
        <v>208.76275988</v>
      </c>
      <c r="AN74" s="2876">
        <v>209.56289960999999</v>
      </c>
    </row>
    <row r="75" spans="1:40" s="624" customFormat="1" ht="15.75" customHeight="1" x14ac:dyDescent="0.3">
      <c r="A75" s="2834" t="s">
        <v>2805</v>
      </c>
      <c r="B75" s="2876">
        <v>1230.9719081264843</v>
      </c>
      <c r="C75" s="2876">
        <v>1237.5294444928049</v>
      </c>
      <c r="D75" s="2876">
        <v>1443.7463754851981</v>
      </c>
      <c r="E75" s="2876">
        <v>1374.7540298675538</v>
      </c>
      <c r="F75" s="2876">
        <v>1284.1143380018973</v>
      </c>
      <c r="G75" s="2876">
        <v>1278.6448935763235</v>
      </c>
      <c r="H75" s="2876">
        <v>1320.5760173671995</v>
      </c>
      <c r="I75" s="2876">
        <v>1233.1072665344554</v>
      </c>
      <c r="J75" s="2876">
        <v>749.72287513429274</v>
      </c>
      <c r="K75" s="2876">
        <v>965.48654654876452</v>
      </c>
      <c r="L75" s="2876">
        <v>657.48240753681819</v>
      </c>
      <c r="M75" s="2876">
        <v>791.763493759737</v>
      </c>
      <c r="N75" s="2876">
        <v>706.32270960896426</v>
      </c>
      <c r="O75" s="2876">
        <v>948.90263712276248</v>
      </c>
      <c r="P75" s="2876">
        <v>1081.3183266424242</v>
      </c>
      <c r="Q75" s="2876">
        <v>839.04314464839501</v>
      </c>
      <c r="R75" s="2876">
        <v>751</v>
      </c>
      <c r="S75" s="2876">
        <v>1303.4179735844784</v>
      </c>
      <c r="T75" s="2876">
        <v>821.54091733659925</v>
      </c>
      <c r="U75" s="2876">
        <v>407.05192002302624</v>
      </c>
      <c r="V75" s="2876">
        <v>357.90057310793372</v>
      </c>
      <c r="W75" s="2876">
        <v>344.02252206205941</v>
      </c>
      <c r="X75" s="2876">
        <v>439.37120655332683</v>
      </c>
      <c r="Y75" s="2876">
        <v>474.64055937649454</v>
      </c>
      <c r="Z75" s="2876">
        <v>558.63969656531901</v>
      </c>
      <c r="AA75" s="2876">
        <v>640.37252082274426</v>
      </c>
      <c r="AB75" s="2876">
        <v>610.98343291747904</v>
      </c>
      <c r="AC75" s="2876">
        <v>508.93171907846232</v>
      </c>
      <c r="AD75" s="2876">
        <v>525.394377722066</v>
      </c>
      <c r="AE75" s="2876">
        <v>688.66723014471165</v>
      </c>
      <c r="AF75" s="2876">
        <v>646.97636073491788</v>
      </c>
      <c r="AG75" s="2876">
        <v>537.88429022172295</v>
      </c>
      <c r="AH75" s="2876">
        <v>678.9634257845496</v>
      </c>
      <c r="AI75" s="2876">
        <v>619.63505933131739</v>
      </c>
      <c r="AJ75" s="2876">
        <v>569.34044641069443</v>
      </c>
      <c r="AK75" s="2876">
        <v>618.70053233387478</v>
      </c>
      <c r="AL75" s="2876">
        <v>561.78058718078648</v>
      </c>
      <c r="AM75" s="2876">
        <v>597.13581270638849</v>
      </c>
      <c r="AN75" s="2876">
        <v>866.5726080183689</v>
      </c>
    </row>
    <row r="76" spans="1:40" s="624" customFormat="1" ht="15.75" customHeight="1" x14ac:dyDescent="0.3">
      <c r="A76" s="2834" t="s">
        <v>2806</v>
      </c>
      <c r="B76" s="2876">
        <v>403.84955013999996</v>
      </c>
      <c r="C76" s="2876">
        <v>411.70845238999999</v>
      </c>
      <c r="D76" s="2876">
        <v>348.26765365</v>
      </c>
      <c r="E76" s="2876">
        <v>338.16866047000002</v>
      </c>
      <c r="F76" s="2876">
        <v>348.11914607999904</v>
      </c>
      <c r="G76" s="2876">
        <v>360.68007355999998</v>
      </c>
      <c r="H76" s="2876">
        <v>939.17504153999994</v>
      </c>
      <c r="I76" s="2876">
        <v>951.83037141000011</v>
      </c>
      <c r="J76" s="2876">
        <v>954.10243352000009</v>
      </c>
      <c r="K76" s="2876">
        <v>974.79302808</v>
      </c>
      <c r="L76" s="2876">
        <v>973.4222116799998</v>
      </c>
      <c r="M76" s="2876">
        <v>955.12761432000013</v>
      </c>
      <c r="N76" s="2876">
        <v>969.61226958999987</v>
      </c>
      <c r="O76" s="2876">
        <v>962.05729120000001</v>
      </c>
      <c r="P76" s="2876">
        <v>931.48849087999997</v>
      </c>
      <c r="Q76" s="2876">
        <v>946.77371268000002</v>
      </c>
      <c r="R76" s="2876">
        <v>975</v>
      </c>
      <c r="S76" s="2876">
        <v>1004.6872676600001</v>
      </c>
      <c r="T76" s="2876">
        <v>1016.25949337</v>
      </c>
      <c r="U76" s="2876">
        <v>1012.4168901499999</v>
      </c>
      <c r="V76" s="2876">
        <v>1006.7512443200001</v>
      </c>
      <c r="W76" s="2876">
        <v>1029.28300657</v>
      </c>
      <c r="X76" s="2876">
        <v>1038.8996598799999</v>
      </c>
      <c r="Y76" s="2876">
        <v>424.57077001000005</v>
      </c>
      <c r="Z76" s="2876">
        <v>407.02997682904339</v>
      </c>
      <c r="AA76" s="2876">
        <v>419.30891600991032</v>
      </c>
      <c r="AB76" s="2876">
        <v>414.448663021242</v>
      </c>
      <c r="AC76" s="2876">
        <v>405.6793076693678</v>
      </c>
      <c r="AD76" s="2876">
        <v>405.16453012167204</v>
      </c>
      <c r="AE76" s="2876">
        <v>334.36166676215828</v>
      </c>
      <c r="AF76" s="2876">
        <v>283.58345293704258</v>
      </c>
      <c r="AG76" s="2876">
        <v>282.268639338252</v>
      </c>
      <c r="AH76" s="2876">
        <v>281.47121635739234</v>
      </c>
      <c r="AI76" s="2876">
        <v>288.56478582233621</v>
      </c>
      <c r="AJ76" s="2876">
        <v>270.54376480991999</v>
      </c>
      <c r="AK76" s="2876">
        <v>260.85097160376472</v>
      </c>
      <c r="AL76" s="2876">
        <v>252.79911169133308</v>
      </c>
      <c r="AM76" s="2876">
        <v>297.20814450015877</v>
      </c>
      <c r="AN76" s="2876">
        <v>295.56950096794037</v>
      </c>
    </row>
    <row r="77" spans="1:40" s="624" customFormat="1" ht="15.75" customHeight="1" x14ac:dyDescent="0.3">
      <c r="A77" s="2834" t="s">
        <v>2807</v>
      </c>
      <c r="B77" s="2876">
        <v>90.829285780000006</v>
      </c>
      <c r="C77" s="2876">
        <v>203.56245257999998</v>
      </c>
      <c r="D77" s="2876">
        <v>194.81255318999999</v>
      </c>
      <c r="E77" s="2876">
        <v>191.78526481999998</v>
      </c>
      <c r="F77" s="2876">
        <v>198.15983179091756</v>
      </c>
      <c r="G77" s="2876">
        <v>205.40301233028697</v>
      </c>
      <c r="H77" s="2876">
        <v>205.32215923890095</v>
      </c>
      <c r="I77" s="2876">
        <v>207.5476737212646</v>
      </c>
      <c r="J77" s="2876">
        <v>190.92977064606393</v>
      </c>
      <c r="K77" s="2876">
        <v>160.4710895023922</v>
      </c>
      <c r="L77" s="2876">
        <v>160.36094059370765</v>
      </c>
      <c r="M77" s="2876">
        <v>169.4072118217411</v>
      </c>
      <c r="N77" s="2876">
        <v>170.0466837662741</v>
      </c>
      <c r="O77" s="2876">
        <v>170.93213225897333</v>
      </c>
      <c r="P77" s="2876">
        <v>170.97381219282576</v>
      </c>
      <c r="Q77" s="2876">
        <v>174.85719493752455</v>
      </c>
      <c r="R77" s="2876">
        <v>177</v>
      </c>
      <c r="S77" s="2876">
        <v>175.83035838740659</v>
      </c>
      <c r="T77" s="2876">
        <v>180.85656369532182</v>
      </c>
      <c r="U77" s="2876">
        <v>179.72727601397821</v>
      </c>
      <c r="V77" s="2876">
        <v>168.62493663590971</v>
      </c>
      <c r="W77" s="2876">
        <v>162.03685951788643</v>
      </c>
      <c r="X77" s="2876">
        <v>159.64111832522244</v>
      </c>
      <c r="Y77" s="2876">
        <v>159.75051835797021</v>
      </c>
      <c r="Z77" s="2876">
        <v>174.47195608744127</v>
      </c>
      <c r="AA77" s="2876">
        <v>174.41886585836721</v>
      </c>
      <c r="AB77" s="2876">
        <v>169.41426376757073</v>
      </c>
      <c r="AC77" s="2876">
        <v>167.40328701283622</v>
      </c>
      <c r="AD77" s="2876">
        <v>168.30256170215455</v>
      </c>
      <c r="AE77" s="2876">
        <v>106.55194118999999</v>
      </c>
      <c r="AF77" s="2876">
        <v>164.39275329999998</v>
      </c>
      <c r="AG77" s="2876">
        <v>166.91305831</v>
      </c>
      <c r="AH77" s="2876">
        <v>170.70758536</v>
      </c>
      <c r="AI77" s="2876">
        <v>171.79775468377974</v>
      </c>
      <c r="AJ77" s="2876">
        <v>151.79441491794736</v>
      </c>
      <c r="AK77" s="2876">
        <v>156.22479296997844</v>
      </c>
      <c r="AL77" s="2876">
        <v>156.42201650123414</v>
      </c>
      <c r="AM77" s="2876">
        <v>155.54007855623558</v>
      </c>
      <c r="AN77" s="2876">
        <v>197.52814669906559</v>
      </c>
    </row>
    <row r="78" spans="1:40" s="624" customFormat="1" ht="15.6" customHeight="1" x14ac:dyDescent="0.3">
      <c r="A78" s="2832" t="s">
        <v>2808</v>
      </c>
      <c r="B78" s="2875">
        <v>14016.483559145596</v>
      </c>
      <c r="C78" s="2875">
        <v>13832.027679637218</v>
      </c>
      <c r="D78" s="2875">
        <v>13054.165974237629</v>
      </c>
      <c r="E78" s="2875">
        <v>12917.141639846024</v>
      </c>
      <c r="F78" s="2875">
        <v>13493.708766612968</v>
      </c>
      <c r="G78" s="2875">
        <v>13709.306785392579</v>
      </c>
      <c r="H78" s="2875">
        <v>13387.453674932174</v>
      </c>
      <c r="I78" s="2875">
        <v>13012.443493798475</v>
      </c>
      <c r="J78" s="2875">
        <v>14542.993504490509</v>
      </c>
      <c r="K78" s="2875">
        <v>14436.146967468307</v>
      </c>
      <c r="L78" s="2875">
        <v>15641.227005508003</v>
      </c>
      <c r="M78" s="2875">
        <v>15829.892703301246</v>
      </c>
      <c r="N78" s="2875">
        <v>15931.26108158297</v>
      </c>
      <c r="O78" s="2875">
        <v>16184.484829059378</v>
      </c>
      <c r="P78" s="2875">
        <v>16271.864887986461</v>
      </c>
      <c r="Q78" s="2875">
        <v>16314.31687421447</v>
      </c>
      <c r="R78" s="2875">
        <v>16440</v>
      </c>
      <c r="S78" s="2875">
        <v>16636.659172444968</v>
      </c>
      <c r="T78" s="2875">
        <v>16844.975627926055</v>
      </c>
      <c r="U78" s="2875">
        <v>16965.942705476169</v>
      </c>
      <c r="V78" s="2875">
        <v>16968.417968745809</v>
      </c>
      <c r="W78" s="2875">
        <v>17539.534458460559</v>
      </c>
      <c r="X78" s="2875">
        <v>17649.898101594979</v>
      </c>
      <c r="Y78" s="2875">
        <v>17826.183958267837</v>
      </c>
      <c r="Z78" s="2875">
        <v>18082.529356959356</v>
      </c>
      <c r="AA78" s="2875">
        <v>18222.323639940132</v>
      </c>
      <c r="AB78" s="2875">
        <v>18524.224251554497</v>
      </c>
      <c r="AC78" s="2875">
        <v>18431.175342205766</v>
      </c>
      <c r="AD78" s="2875">
        <v>19071.831907100335</v>
      </c>
      <c r="AE78" s="2875">
        <v>18880.962756097968</v>
      </c>
      <c r="AF78" s="2875">
        <v>22755.045510936543</v>
      </c>
      <c r="AG78" s="2875">
        <v>22772.414998467619</v>
      </c>
      <c r="AH78" s="2875">
        <v>23006.543453143742</v>
      </c>
      <c r="AI78" s="2875">
        <v>22930.158500632457</v>
      </c>
      <c r="AJ78" s="2875">
        <v>23421.38901315803</v>
      </c>
      <c r="AK78" s="2875">
        <v>23668.910627510573</v>
      </c>
      <c r="AL78" s="2875">
        <v>23881.128765563008</v>
      </c>
      <c r="AM78" s="2875">
        <v>23668.664192002081</v>
      </c>
      <c r="AN78" s="2875">
        <v>23308.671074883354</v>
      </c>
    </row>
    <row r="79" spans="1:40" s="624" customFormat="1" ht="16.899999999999999" customHeight="1" x14ac:dyDescent="0.3">
      <c r="A79" s="2832" t="s">
        <v>2809</v>
      </c>
      <c r="B79" s="2875">
        <v>3622.1856756967504</v>
      </c>
      <c r="C79" s="2875">
        <v>3555.1045294714127</v>
      </c>
      <c r="D79" s="2875">
        <v>3320.50109802103</v>
      </c>
      <c r="E79" s="2875">
        <v>2950.9880445655831</v>
      </c>
      <c r="F79" s="2875">
        <v>2395.6724086259837</v>
      </c>
      <c r="G79" s="2875">
        <v>2253.7108650298223</v>
      </c>
      <c r="H79" s="2875">
        <v>1916.3822133040233</v>
      </c>
      <c r="I79" s="2875">
        <v>2010.9160564582783</v>
      </c>
      <c r="J79" s="2875">
        <v>1890.0014816514674</v>
      </c>
      <c r="K79" s="2875">
        <v>1780.9903104423838</v>
      </c>
      <c r="L79" s="2875">
        <v>2091.173266460577</v>
      </c>
      <c r="M79" s="2875">
        <v>1586.4483151318484</v>
      </c>
      <c r="N79" s="2875">
        <v>1644.8618107349585</v>
      </c>
      <c r="O79" s="2875">
        <v>1720.3215620571032</v>
      </c>
      <c r="P79" s="2875">
        <v>1851.7628743980026</v>
      </c>
      <c r="Q79" s="2875">
        <v>1833.1452465303403</v>
      </c>
      <c r="R79" s="2875">
        <v>2019</v>
      </c>
      <c r="S79" s="2875">
        <v>2034.9744039831678</v>
      </c>
      <c r="T79" s="2875">
        <v>2117.933259885021</v>
      </c>
      <c r="U79" s="2875">
        <v>2181.911456249989</v>
      </c>
      <c r="V79" s="2875">
        <v>2489.5301849900006</v>
      </c>
      <c r="W79" s="2875">
        <v>2482.6699483700017</v>
      </c>
      <c r="X79" s="2875">
        <v>2373.5546708699999</v>
      </c>
      <c r="Y79" s="2875">
        <v>2372.3978858407204</v>
      </c>
      <c r="Z79" s="2875">
        <v>2524.1552849034756</v>
      </c>
      <c r="AA79" s="2875">
        <v>2549.9535353864849</v>
      </c>
      <c r="AB79" s="2875">
        <v>2586.8472115756244</v>
      </c>
      <c r="AC79" s="2875">
        <v>2443.6403013104382</v>
      </c>
      <c r="AD79" s="2875">
        <v>2391.0481770798319</v>
      </c>
      <c r="AE79" s="2875">
        <v>2520.9265303365632</v>
      </c>
      <c r="AF79" s="2875">
        <v>1947.6464616576957</v>
      </c>
      <c r="AG79" s="2875">
        <v>1899.9359757000011</v>
      </c>
      <c r="AH79" s="2875">
        <v>1915.916892417689</v>
      </c>
      <c r="AI79" s="2875">
        <v>1916.2078814222646</v>
      </c>
      <c r="AJ79" s="2875">
        <v>2010.4502142706524</v>
      </c>
      <c r="AK79" s="2875">
        <v>2030.6399773734063</v>
      </c>
      <c r="AL79" s="2875">
        <v>2202.565390646937</v>
      </c>
      <c r="AM79" s="2875">
        <v>2312.9226252899998</v>
      </c>
      <c r="AN79" s="2875">
        <v>2350.29977442381</v>
      </c>
    </row>
    <row r="80" spans="1:40" s="624" customFormat="1" ht="15.6" customHeight="1" x14ac:dyDescent="0.3">
      <c r="A80" s="2834" t="s">
        <v>2810</v>
      </c>
      <c r="B80" s="2876">
        <v>231.01043298472894</v>
      </c>
      <c r="C80" s="2876">
        <v>225.70717548470395</v>
      </c>
      <c r="D80" s="2876">
        <v>228.27805297346137</v>
      </c>
      <c r="E80" s="2876">
        <v>218.22555775561975</v>
      </c>
      <c r="F80" s="2876">
        <v>251.05843959939892</v>
      </c>
      <c r="G80" s="2876">
        <v>221.78688512952795</v>
      </c>
      <c r="H80" s="2876">
        <v>370.71592675001142</v>
      </c>
      <c r="I80" s="2876">
        <v>363.67530641606368</v>
      </c>
      <c r="J80" s="2876">
        <v>361.05799170420983</v>
      </c>
      <c r="K80" s="2876">
        <v>360.05030492434503</v>
      </c>
      <c r="L80" s="2876">
        <v>358.84567154980601</v>
      </c>
      <c r="M80" s="2876">
        <v>351.68800431095013</v>
      </c>
      <c r="N80" s="2876">
        <v>340.92063920582518</v>
      </c>
      <c r="O80" s="2876">
        <v>308.51626544419349</v>
      </c>
      <c r="P80" s="2876">
        <v>321.25809224132172</v>
      </c>
      <c r="Q80" s="2876">
        <v>327.48673714</v>
      </c>
      <c r="R80" s="2876">
        <v>321</v>
      </c>
      <c r="S80" s="2876">
        <v>315.60201279</v>
      </c>
      <c r="T80" s="2876">
        <v>336.51630920999997</v>
      </c>
      <c r="U80" s="2876">
        <v>327.53006358998999</v>
      </c>
      <c r="V80" s="2876">
        <v>345.06032173000102</v>
      </c>
      <c r="W80" s="2876">
        <v>359.07169764000201</v>
      </c>
      <c r="X80" s="2876">
        <v>337.61051436000002</v>
      </c>
      <c r="Y80" s="2876">
        <v>369.89224394999997</v>
      </c>
      <c r="Z80" s="2876">
        <v>346.35795651000001</v>
      </c>
      <c r="AA80" s="2876">
        <v>362.61148300999997</v>
      </c>
      <c r="AB80" s="2876">
        <v>359.24243548000004</v>
      </c>
      <c r="AC80" s="2876">
        <v>356.72122623000001</v>
      </c>
      <c r="AD80" s="2876">
        <v>351.58536650000002</v>
      </c>
      <c r="AE80" s="2876">
        <v>354.34890711999998</v>
      </c>
      <c r="AF80" s="2876">
        <v>251.76661433999999</v>
      </c>
      <c r="AG80" s="2876">
        <v>251.02053764000001</v>
      </c>
      <c r="AH80" s="2876">
        <v>166.84467018999999</v>
      </c>
      <c r="AI80" s="2876">
        <v>149.68791571</v>
      </c>
      <c r="AJ80" s="2876">
        <v>171.55820148000001</v>
      </c>
      <c r="AK80" s="2876">
        <v>280.49428579999994</v>
      </c>
      <c r="AL80" s="2876">
        <v>243.17127213000001</v>
      </c>
      <c r="AM80" s="2876">
        <v>251.95422927999996</v>
      </c>
      <c r="AN80" s="2876">
        <v>255.71201957</v>
      </c>
    </row>
    <row r="81" spans="1:40" s="624" customFormat="1" ht="15.6" customHeight="1" x14ac:dyDescent="0.3">
      <c r="A81" s="2834" t="s">
        <v>2811</v>
      </c>
      <c r="B81" s="2876">
        <v>2622.6922096520216</v>
      </c>
      <c r="C81" s="2876">
        <v>2574.2388773567086</v>
      </c>
      <c r="D81" s="2876">
        <v>2339.5853679675688</v>
      </c>
      <c r="E81" s="2876">
        <v>1973.0899729699631</v>
      </c>
      <c r="F81" s="2876">
        <v>1410.8610342865843</v>
      </c>
      <c r="G81" s="2876">
        <v>1282.3625598002945</v>
      </c>
      <c r="H81" s="2876">
        <v>1239.3539231040118</v>
      </c>
      <c r="I81" s="2876">
        <v>1354.1566438222144</v>
      </c>
      <c r="J81" s="2876">
        <v>1234.717400327258</v>
      </c>
      <c r="K81" s="2876">
        <v>1113.9868535980386</v>
      </c>
      <c r="L81" s="2876">
        <v>1413.1827343007706</v>
      </c>
      <c r="M81" s="2876">
        <v>875.61388999089809</v>
      </c>
      <c r="N81" s="2876">
        <v>930.61212002913305</v>
      </c>
      <c r="O81" s="2876">
        <v>902.29623207290967</v>
      </c>
      <c r="P81" s="2876">
        <v>1016.9366556266809</v>
      </c>
      <c r="Q81" s="2876">
        <v>989.54171890034013</v>
      </c>
      <c r="R81" s="2876">
        <v>1151</v>
      </c>
      <c r="S81" s="2876">
        <v>1155.416708603168</v>
      </c>
      <c r="T81" s="2876">
        <v>1213.6573697550209</v>
      </c>
      <c r="U81" s="2876">
        <v>1199.5232335399999</v>
      </c>
      <c r="V81" s="2876">
        <v>1458.9375791500001</v>
      </c>
      <c r="W81" s="2876">
        <v>1430.5841434200001</v>
      </c>
      <c r="X81" s="2876">
        <v>1387.5310737699999</v>
      </c>
      <c r="Y81" s="2876">
        <v>1331.1593113507199</v>
      </c>
      <c r="Z81" s="2876">
        <v>1510.4629502434757</v>
      </c>
      <c r="AA81" s="2876">
        <v>1504.1377655364849</v>
      </c>
      <c r="AB81" s="2876">
        <v>1523.6840246356248</v>
      </c>
      <c r="AC81" s="2876">
        <v>1380.5523921704378</v>
      </c>
      <c r="AD81" s="2876">
        <v>1398.7424254898322</v>
      </c>
      <c r="AE81" s="2876">
        <v>1489.6391870865621</v>
      </c>
      <c r="AF81" s="2876">
        <v>1289.6177639676951</v>
      </c>
      <c r="AG81" s="2876">
        <v>1231.7581910700001</v>
      </c>
      <c r="AH81" s="2876">
        <v>1209.4821566176888</v>
      </c>
      <c r="AI81" s="2876">
        <v>1197.9029469722648</v>
      </c>
      <c r="AJ81" s="2876">
        <v>1131.8968080406523</v>
      </c>
      <c r="AK81" s="2876">
        <v>1163.6512664734066</v>
      </c>
      <c r="AL81" s="2876">
        <v>1298.3762415669366</v>
      </c>
      <c r="AM81" s="2876">
        <v>1248.3590636199999</v>
      </c>
      <c r="AN81" s="2876">
        <v>1455.9438551038102</v>
      </c>
    </row>
    <row r="82" spans="1:40" s="624" customFormat="1" ht="15" customHeight="1" x14ac:dyDescent="0.3">
      <c r="A82" s="2834" t="s">
        <v>2812</v>
      </c>
      <c r="B82" s="2876">
        <v>73.214730750000001</v>
      </c>
      <c r="C82" s="2876">
        <v>52.620925160000006</v>
      </c>
      <c r="D82" s="2876">
        <v>39.429345579999996</v>
      </c>
      <c r="E82" s="2876">
        <v>40.77997079</v>
      </c>
      <c r="F82" s="2876">
        <v>37.810613269999997</v>
      </c>
      <c r="G82" s="2876">
        <v>53.708851609999996</v>
      </c>
      <c r="H82" s="2876">
        <v>60.242617689999996</v>
      </c>
      <c r="I82" s="2876">
        <v>57.767559649999995</v>
      </c>
      <c r="J82" s="2876">
        <v>56.936301299999997</v>
      </c>
      <c r="K82" s="2876">
        <v>52.897202150000005</v>
      </c>
      <c r="L82" s="2876">
        <v>55.882452999999998</v>
      </c>
      <c r="M82" s="2876">
        <v>50.552567159999995</v>
      </c>
      <c r="N82" s="2876">
        <v>46.8322973</v>
      </c>
      <c r="O82" s="2876">
        <v>48.286218679999998</v>
      </c>
      <c r="P82" s="2876">
        <v>50.461594609999999</v>
      </c>
      <c r="Q82" s="2876">
        <v>53.183537369999996</v>
      </c>
      <c r="R82" s="2876">
        <v>61</v>
      </c>
      <c r="S82" s="2876">
        <v>57.879829560000005</v>
      </c>
      <c r="T82" s="2876">
        <v>64.041388389999995</v>
      </c>
      <c r="U82" s="2876">
        <v>56.520673850000001</v>
      </c>
      <c r="V82" s="2876">
        <v>62.630106600000005</v>
      </c>
      <c r="W82" s="2876">
        <v>65.281049909999993</v>
      </c>
      <c r="X82" s="2876">
        <v>65.37957415000001</v>
      </c>
      <c r="Y82" s="2876">
        <v>67.460428329999999</v>
      </c>
      <c r="Z82" s="2876">
        <v>59.823382869999996</v>
      </c>
      <c r="AA82" s="2876">
        <v>67.943731070000013</v>
      </c>
      <c r="AB82" s="2876">
        <v>64.565927279999997</v>
      </c>
      <c r="AC82" s="2876">
        <v>63.522195549999999</v>
      </c>
      <c r="AD82" s="2876">
        <v>62.420495290000005</v>
      </c>
      <c r="AE82" s="2876">
        <v>65.230707409999994</v>
      </c>
      <c r="AF82" s="2876">
        <v>61.087996689999997</v>
      </c>
      <c r="AG82" s="2876">
        <v>68.932322150000005</v>
      </c>
      <c r="AH82" s="2876">
        <v>105.05773098</v>
      </c>
      <c r="AI82" s="2876">
        <v>104.1070776</v>
      </c>
      <c r="AJ82" s="2876">
        <v>100.04255466999999</v>
      </c>
      <c r="AK82" s="2876">
        <v>103.84309423000001</v>
      </c>
      <c r="AL82" s="2876">
        <v>98.149475409999994</v>
      </c>
      <c r="AM82" s="2876">
        <v>104.27511820000001</v>
      </c>
      <c r="AN82" s="2876">
        <v>94.549467100000001</v>
      </c>
    </row>
    <row r="83" spans="1:40" s="624" customFormat="1" ht="15.6" customHeight="1" x14ac:dyDescent="0.3">
      <c r="A83" s="2834" t="s">
        <v>2813</v>
      </c>
      <c r="B83" s="2876">
        <v>14.007833300000001</v>
      </c>
      <c r="C83" s="2876">
        <v>14.670040419999998</v>
      </c>
      <c r="D83" s="2876">
        <v>14.86773691</v>
      </c>
      <c r="E83" s="2876">
        <v>13.50231393</v>
      </c>
      <c r="F83" s="2876">
        <v>6.8043196500000001</v>
      </c>
      <c r="G83" s="2876">
        <v>7.5746905600000005</v>
      </c>
      <c r="H83" s="2876">
        <v>10.389419629999999</v>
      </c>
      <c r="I83" s="2876">
        <v>8.524747060000001</v>
      </c>
      <c r="J83" s="2876">
        <v>9.70926358</v>
      </c>
      <c r="K83" s="2876">
        <v>8.8257014600000012</v>
      </c>
      <c r="L83" s="2876">
        <v>9.1846387899999993</v>
      </c>
      <c r="M83" s="2876">
        <v>9.0058675099999999</v>
      </c>
      <c r="N83" s="2876">
        <v>6.5386222500000004</v>
      </c>
      <c r="O83" s="2876">
        <v>5.1807066899999992</v>
      </c>
      <c r="P83" s="2876">
        <v>8.3106228200000007</v>
      </c>
      <c r="Q83" s="2876">
        <v>9.4594420699999997</v>
      </c>
      <c r="R83" s="2876">
        <v>9</v>
      </c>
      <c r="S83" s="2876">
        <v>10.775588490000001</v>
      </c>
      <c r="T83" s="2876">
        <v>6.5230652100000004</v>
      </c>
      <c r="U83" s="2876">
        <v>7.1049174500000003</v>
      </c>
      <c r="V83" s="2876">
        <v>10.17810798</v>
      </c>
      <c r="W83" s="2876">
        <v>10.870148940000002</v>
      </c>
      <c r="X83" s="2876">
        <v>8.2667677899999994</v>
      </c>
      <c r="Y83" s="2876">
        <v>4.4771826799999994</v>
      </c>
      <c r="Z83" s="2876">
        <v>6.9531605000000001</v>
      </c>
      <c r="AA83" s="2876">
        <v>5.7700131099999998</v>
      </c>
      <c r="AB83" s="2876">
        <v>10.21300963</v>
      </c>
      <c r="AC83" s="2876">
        <v>9.1596789899999997</v>
      </c>
      <c r="AD83" s="2876">
        <v>6.8922611400000005</v>
      </c>
      <c r="AE83" s="2876">
        <v>4.2879523800000001</v>
      </c>
      <c r="AF83" s="2876">
        <v>7.22719983</v>
      </c>
      <c r="AG83" s="2876">
        <v>5.4293217499999997</v>
      </c>
      <c r="AH83" s="2876">
        <v>5.7631681700000001</v>
      </c>
      <c r="AI83" s="2876">
        <v>5.0585945800000003</v>
      </c>
      <c r="AJ83" s="2876">
        <v>5.2838437799999998</v>
      </c>
      <c r="AK83" s="2876">
        <v>5.0581292500000004</v>
      </c>
      <c r="AL83" s="2876">
        <v>13.122542629999998</v>
      </c>
      <c r="AM83" s="2876">
        <v>23.982223940000001</v>
      </c>
      <c r="AN83" s="2876">
        <v>24.447420699999999</v>
      </c>
    </row>
    <row r="84" spans="1:40" s="624" customFormat="1" ht="15" customHeight="1" x14ac:dyDescent="0.3">
      <c r="A84" s="2834" t="s">
        <v>2814</v>
      </c>
      <c r="B84" s="2876">
        <v>97.387107669999992</v>
      </c>
      <c r="C84" s="2876">
        <v>90.277790120000006</v>
      </c>
      <c r="D84" s="2876">
        <v>88.267082079999994</v>
      </c>
      <c r="E84" s="2876">
        <v>91.098502819999993</v>
      </c>
      <c r="F84" s="2876">
        <v>93.654553710000002</v>
      </c>
      <c r="G84" s="2876">
        <v>92.479294870000004</v>
      </c>
      <c r="H84" s="2876">
        <v>89.566909429999995</v>
      </c>
      <c r="I84" s="2876">
        <v>91.146370079999997</v>
      </c>
      <c r="J84" s="2876">
        <v>91.66910652</v>
      </c>
      <c r="K84" s="2876">
        <v>96.310288909999997</v>
      </c>
      <c r="L84" s="2876">
        <v>100.77097921000001</v>
      </c>
      <c r="M84" s="2876">
        <v>100.19883498999999</v>
      </c>
      <c r="N84" s="2876">
        <v>99.982802219999996</v>
      </c>
      <c r="O84" s="2876">
        <v>93.321811690000004</v>
      </c>
      <c r="P84" s="2876">
        <v>97.898222779999998</v>
      </c>
      <c r="Q84" s="2876">
        <v>92.663571289999993</v>
      </c>
      <c r="R84" s="2876">
        <v>89</v>
      </c>
      <c r="S84" s="2876">
        <v>91.811482369999993</v>
      </c>
      <c r="T84" s="2876">
        <v>88.294088119999998</v>
      </c>
      <c r="U84" s="2876">
        <v>87.889925469999994</v>
      </c>
      <c r="V84" s="2876">
        <v>81.835896050000002</v>
      </c>
      <c r="W84" s="2876">
        <v>84.12332416000001</v>
      </c>
      <c r="X84" s="2876">
        <v>86.241870480000003</v>
      </c>
      <c r="Y84" s="2876">
        <v>85.781006120000001</v>
      </c>
      <c r="Z84" s="2876">
        <v>82.486207960000002</v>
      </c>
      <c r="AA84" s="2876">
        <v>81.276999539999991</v>
      </c>
      <c r="AB84" s="2876">
        <v>83.902402850000016</v>
      </c>
      <c r="AC84" s="2876">
        <v>82.627824230000002</v>
      </c>
      <c r="AD84" s="2876">
        <v>87.478991950000008</v>
      </c>
      <c r="AE84" s="2876">
        <v>85.940461219999989</v>
      </c>
      <c r="AF84" s="2876">
        <v>84.587141479999985</v>
      </c>
      <c r="AG84" s="2876">
        <v>90.322992249999999</v>
      </c>
      <c r="AH84" s="2876">
        <v>86.684825200000006</v>
      </c>
      <c r="AI84" s="2876">
        <v>84.383928520000012</v>
      </c>
      <c r="AJ84" s="2876">
        <v>82.952794460000007</v>
      </c>
      <c r="AK84" s="2876">
        <v>83.915497770000002</v>
      </c>
      <c r="AL84" s="2876">
        <v>92.226962239999992</v>
      </c>
      <c r="AM84" s="2876">
        <v>95.397146080000013</v>
      </c>
      <c r="AN84" s="2876">
        <v>89.639681710000005</v>
      </c>
    </row>
    <row r="85" spans="1:40" s="624" customFormat="1" ht="15.6" customHeight="1" x14ac:dyDescent="0.3">
      <c r="A85" s="2834" t="s">
        <v>2815</v>
      </c>
      <c r="B85" s="2876">
        <v>583.87336134000009</v>
      </c>
      <c r="C85" s="2876">
        <v>597.58972093000011</v>
      </c>
      <c r="D85" s="2876">
        <v>610.07351251</v>
      </c>
      <c r="E85" s="2876">
        <v>614.29172630000005</v>
      </c>
      <c r="F85" s="2876">
        <v>595.48344811000004</v>
      </c>
      <c r="G85" s="2876">
        <v>595.79858306000006</v>
      </c>
      <c r="H85" s="2876">
        <v>146.11341669999999</v>
      </c>
      <c r="I85" s="2876">
        <v>135.64542943000001</v>
      </c>
      <c r="J85" s="2876">
        <v>135.91141821999898</v>
      </c>
      <c r="K85" s="2876">
        <v>148.91995940000001</v>
      </c>
      <c r="L85" s="2876">
        <v>153.30678960999998</v>
      </c>
      <c r="M85" s="2876">
        <v>199.38915117000002</v>
      </c>
      <c r="N85" s="2876">
        <v>219.97532973</v>
      </c>
      <c r="O85" s="2876">
        <v>362.72032748000004</v>
      </c>
      <c r="P85" s="2876">
        <v>356.89768631999999</v>
      </c>
      <c r="Q85" s="2876">
        <v>360.81023976</v>
      </c>
      <c r="R85" s="2876">
        <v>387</v>
      </c>
      <c r="S85" s="2876">
        <v>403.48878216999998</v>
      </c>
      <c r="T85" s="2876">
        <v>408.90103920000001</v>
      </c>
      <c r="U85" s="2876">
        <v>503.34264234999893</v>
      </c>
      <c r="V85" s="2876">
        <v>530.88817347999998</v>
      </c>
      <c r="W85" s="2876">
        <v>532.73958430000005</v>
      </c>
      <c r="X85" s="2876">
        <v>488.52487031999999</v>
      </c>
      <c r="Y85" s="2876">
        <v>513.62771340999996</v>
      </c>
      <c r="Z85" s="2876">
        <v>518.07162682000001</v>
      </c>
      <c r="AA85" s="2876">
        <v>528.21354312000005</v>
      </c>
      <c r="AB85" s="2876">
        <v>545.23941170000001</v>
      </c>
      <c r="AC85" s="2876">
        <v>551.05698413999983</v>
      </c>
      <c r="AD85" s="2876">
        <v>483.92863670999998</v>
      </c>
      <c r="AE85" s="2876">
        <v>521.47931512000093</v>
      </c>
      <c r="AF85" s="2876">
        <v>253.35974535000102</v>
      </c>
      <c r="AG85" s="2876">
        <v>252.47261084000101</v>
      </c>
      <c r="AH85" s="2876">
        <v>342.08434126000003</v>
      </c>
      <c r="AI85" s="2876">
        <v>375.06741803999995</v>
      </c>
      <c r="AJ85" s="2876">
        <v>518.71601184000008</v>
      </c>
      <c r="AK85" s="2876">
        <v>393.67770384999994</v>
      </c>
      <c r="AL85" s="2876">
        <v>457.51889667</v>
      </c>
      <c r="AM85" s="2876">
        <v>588.95484417000011</v>
      </c>
      <c r="AN85" s="2876">
        <v>430.00733023999999</v>
      </c>
    </row>
    <row r="86" spans="1:40" s="624" customFormat="1" ht="18" customHeight="1" x14ac:dyDescent="0.3">
      <c r="A86" s="2832" t="s">
        <v>2816</v>
      </c>
      <c r="B86" s="2875">
        <v>4750.8290667585643</v>
      </c>
      <c r="C86" s="2875">
        <v>4831.7400407947416</v>
      </c>
      <c r="D86" s="2875">
        <v>4735.6540993549061</v>
      </c>
      <c r="E86" s="2875">
        <v>4585.674603561577</v>
      </c>
      <c r="F86" s="2875">
        <v>4376.527378809762</v>
      </c>
      <c r="G86" s="2875">
        <v>4430.7842093904255</v>
      </c>
      <c r="H86" s="2875">
        <v>4354.7073448039109</v>
      </c>
      <c r="I86" s="2875">
        <v>4399.8219113006762</v>
      </c>
      <c r="J86" s="2875">
        <v>4415.2162853766877</v>
      </c>
      <c r="K86" s="2875">
        <v>4416.3779241202756</v>
      </c>
      <c r="L86" s="2875">
        <v>4460.767777686754</v>
      </c>
      <c r="M86" s="2875">
        <v>4512.1174207604699</v>
      </c>
      <c r="N86" s="2875">
        <v>4429.6594329756699</v>
      </c>
      <c r="O86" s="2875">
        <v>4364.210422825382</v>
      </c>
      <c r="P86" s="2875">
        <v>4394.0427824351282</v>
      </c>
      <c r="Q86" s="2875">
        <v>4443.5970413757932</v>
      </c>
      <c r="R86" s="2875">
        <v>4645</v>
      </c>
      <c r="S86" s="2875">
        <v>4655.7270097857081</v>
      </c>
      <c r="T86" s="2875">
        <v>4690.941049906417</v>
      </c>
      <c r="U86" s="2875">
        <v>4699.4606518831006</v>
      </c>
      <c r="V86" s="2875">
        <v>4919.1803682813079</v>
      </c>
      <c r="W86" s="2875">
        <v>4877.6031592052213</v>
      </c>
      <c r="X86" s="2875">
        <v>4967.3395627003329</v>
      </c>
      <c r="Y86" s="2875">
        <v>4963.2101042374443</v>
      </c>
      <c r="Z86" s="2875">
        <v>4902.4168744752187</v>
      </c>
      <c r="AA86" s="2875">
        <v>4974.9858572523117</v>
      </c>
      <c r="AB86" s="2875">
        <v>5024.9421323928482</v>
      </c>
      <c r="AC86" s="2875">
        <v>4900.8671665660986</v>
      </c>
      <c r="AD86" s="2875">
        <v>7180.5948444919568</v>
      </c>
      <c r="AE86" s="2875">
        <v>4468.8579578013732</v>
      </c>
      <c r="AF86" s="2875">
        <v>2725.5668727500952</v>
      </c>
      <c r="AG86" s="2875">
        <v>2408.6953841782797</v>
      </c>
      <c r="AH86" s="2875">
        <v>2519.8500406022977</v>
      </c>
      <c r="AI86" s="2875">
        <v>2428.3630749788281</v>
      </c>
      <c r="AJ86" s="2875">
        <v>2425.9680385486695</v>
      </c>
      <c r="AK86" s="2875">
        <v>2419.4820434462526</v>
      </c>
      <c r="AL86" s="2875">
        <v>2412.5799685071661</v>
      </c>
      <c r="AM86" s="2875">
        <v>2375.7905783657407</v>
      </c>
      <c r="AN86" s="2875">
        <v>2431.6630100413422</v>
      </c>
    </row>
    <row r="87" spans="1:40" s="624" customFormat="1" ht="17.25" x14ac:dyDescent="0.3">
      <c r="A87" s="2834" t="s">
        <v>2817</v>
      </c>
      <c r="B87" s="2876">
        <v>897.78639792000013</v>
      </c>
      <c r="C87" s="2876">
        <v>917.90160922000007</v>
      </c>
      <c r="D87" s="2876">
        <v>929.12326751000012</v>
      </c>
      <c r="E87" s="2876">
        <v>884.44455290999997</v>
      </c>
      <c r="F87" s="2876">
        <v>939.11635990000002</v>
      </c>
      <c r="G87" s="2876">
        <v>931.02090552999994</v>
      </c>
      <c r="H87" s="2876">
        <v>926.35888463000003</v>
      </c>
      <c r="I87" s="2876">
        <v>964.44093307999992</v>
      </c>
      <c r="J87" s="2876">
        <v>940.29080826000006</v>
      </c>
      <c r="K87" s="2876">
        <v>1048.7294110799999</v>
      </c>
      <c r="L87" s="2876">
        <v>1079.9360459700001</v>
      </c>
      <c r="M87" s="2876">
        <v>1123.3115463299998</v>
      </c>
      <c r="N87" s="2876">
        <v>1074.6192702499991</v>
      </c>
      <c r="O87" s="2876">
        <v>1110.1525378400002</v>
      </c>
      <c r="P87" s="2876">
        <v>1081.49816319</v>
      </c>
      <c r="Q87" s="2876">
        <v>1076.6237138299998</v>
      </c>
      <c r="R87" s="2876">
        <v>1218</v>
      </c>
      <c r="S87" s="2876">
        <v>1222.39263082</v>
      </c>
      <c r="T87" s="2876">
        <v>1195.5583256800001</v>
      </c>
      <c r="U87" s="2876">
        <v>1196.19824722</v>
      </c>
      <c r="V87" s="2876">
        <v>1376.1112304600001</v>
      </c>
      <c r="W87" s="2876">
        <v>1193.3328509400001</v>
      </c>
      <c r="X87" s="2876">
        <v>1186.94073149</v>
      </c>
      <c r="Y87" s="2876">
        <v>1190.9892231299998</v>
      </c>
      <c r="Z87" s="2876">
        <v>1165.1530920499999</v>
      </c>
      <c r="AA87" s="2876">
        <v>1162.12527591</v>
      </c>
      <c r="AB87" s="2876">
        <v>1157.8905846800001</v>
      </c>
      <c r="AC87" s="2876">
        <v>1145.88509552</v>
      </c>
      <c r="AD87" s="2876">
        <v>1127.1320921999998</v>
      </c>
      <c r="AE87" s="2876">
        <v>1126.6541293399998</v>
      </c>
      <c r="AF87" s="2876">
        <v>978.02667348</v>
      </c>
      <c r="AG87" s="2876">
        <v>965.89013484999998</v>
      </c>
      <c r="AH87" s="2876">
        <v>1088.1556843699998</v>
      </c>
      <c r="AI87" s="2876">
        <v>1089.59411374</v>
      </c>
      <c r="AJ87" s="2876">
        <v>1084.8842535899998</v>
      </c>
      <c r="AK87" s="2876">
        <v>1070.4721039799999</v>
      </c>
      <c r="AL87" s="2876">
        <v>1067.9183433999999</v>
      </c>
      <c r="AM87" s="2876">
        <v>1007.11866415</v>
      </c>
      <c r="AN87" s="2876">
        <v>987.05806806000021</v>
      </c>
    </row>
    <row r="88" spans="1:40" s="624" customFormat="1" ht="15.6" customHeight="1" x14ac:dyDescent="0.3">
      <c r="A88" s="2834" t="s">
        <v>2818</v>
      </c>
      <c r="B88" s="2876">
        <v>2.0391060699999999</v>
      </c>
      <c r="C88" s="2876">
        <v>1.9495328399999998</v>
      </c>
      <c r="D88" s="2876">
        <v>0.60937330000000001</v>
      </c>
      <c r="E88" s="2876">
        <v>0.24278323000000002</v>
      </c>
      <c r="F88" s="2876">
        <v>2.4378461200000001</v>
      </c>
      <c r="G88" s="2876">
        <v>3.3579647299999995</v>
      </c>
      <c r="H88" s="2876">
        <v>8.2406152600000002</v>
      </c>
      <c r="I88" s="2876">
        <v>8.2135818699999987</v>
      </c>
      <c r="J88" s="2876">
        <v>8.3241847999999994</v>
      </c>
      <c r="K88" s="2876">
        <v>8.0739075099999997</v>
      </c>
      <c r="L88" s="2876">
        <v>9.6505650500000009</v>
      </c>
      <c r="M88" s="2876">
        <v>9.3797539499999996</v>
      </c>
      <c r="N88" s="2876">
        <v>8.9407027100000001</v>
      </c>
      <c r="O88" s="2876">
        <v>9.4153176599999995</v>
      </c>
      <c r="P88" s="2876">
        <v>9.292908409999999</v>
      </c>
      <c r="Q88" s="2876">
        <v>8.1952424100000005</v>
      </c>
      <c r="R88" s="2876">
        <v>8</v>
      </c>
      <c r="S88" s="2876">
        <v>7.7903841299999996</v>
      </c>
      <c r="T88" s="2876">
        <v>8.170227370000001</v>
      </c>
      <c r="U88" s="2876">
        <v>14.542499293411861</v>
      </c>
      <c r="V88" s="2876">
        <v>13.58480957154778</v>
      </c>
      <c r="W88" s="2876">
        <v>12.315196642884242</v>
      </c>
      <c r="X88" s="2876">
        <v>11.552343434893411</v>
      </c>
      <c r="Y88" s="2876">
        <v>10.8861371004704</v>
      </c>
      <c r="Z88" s="2876">
        <v>9.4495369962717994</v>
      </c>
      <c r="AA88" s="2876">
        <v>11.074076604701519</v>
      </c>
      <c r="AB88" s="2876">
        <v>12.65968279067687</v>
      </c>
      <c r="AC88" s="2876">
        <v>13.387519397334469</v>
      </c>
      <c r="AD88" s="2876">
        <v>12.71391927265423</v>
      </c>
      <c r="AE88" s="2876">
        <v>13.198311873263201</v>
      </c>
      <c r="AF88" s="2876">
        <v>12.1830712358105</v>
      </c>
      <c r="AG88" s="2876">
        <v>13.819734206644</v>
      </c>
      <c r="AH88" s="2876">
        <v>9.0492012063391982</v>
      </c>
      <c r="AI88" s="2876">
        <v>6.7143628955683408</v>
      </c>
      <c r="AJ88" s="2876">
        <v>6.036554390154719</v>
      </c>
      <c r="AK88" s="2876">
        <v>5.1594601145867598</v>
      </c>
      <c r="AL88" s="2876">
        <v>2.2323079849225</v>
      </c>
      <c r="AM88" s="2876">
        <v>1.3878095400000001</v>
      </c>
      <c r="AN88" s="2876">
        <v>1.4682725832686401</v>
      </c>
    </row>
    <row r="89" spans="1:40" s="624" customFormat="1" ht="15.6" customHeight="1" x14ac:dyDescent="0.3">
      <c r="A89" s="2834" t="s">
        <v>2819</v>
      </c>
      <c r="B89" s="2876">
        <v>707.36644527516864</v>
      </c>
      <c r="C89" s="2876">
        <v>706.38003038496788</v>
      </c>
      <c r="D89" s="2876">
        <v>699.18219595781102</v>
      </c>
      <c r="E89" s="2876">
        <v>708.25280252663447</v>
      </c>
      <c r="F89" s="2876">
        <v>456.89657968487762</v>
      </c>
      <c r="G89" s="2876">
        <v>498.33067586753617</v>
      </c>
      <c r="H89" s="2876">
        <v>433.0787094978262</v>
      </c>
      <c r="I89" s="2876">
        <v>423.1654711910694</v>
      </c>
      <c r="J89" s="2876">
        <v>428.4874636661707</v>
      </c>
      <c r="K89" s="2876">
        <v>446.82778394838755</v>
      </c>
      <c r="L89" s="2876">
        <v>432.76092661352033</v>
      </c>
      <c r="M89" s="2876">
        <v>492.6050031945166</v>
      </c>
      <c r="N89" s="2876">
        <v>413.99019712431567</v>
      </c>
      <c r="O89" s="2876">
        <v>441.57848155735502</v>
      </c>
      <c r="P89" s="2876">
        <v>462.4409699676267</v>
      </c>
      <c r="Q89" s="2876">
        <v>478.34758616889172</v>
      </c>
      <c r="R89" s="2876">
        <v>546</v>
      </c>
      <c r="S89" s="2876">
        <v>595.33012119353941</v>
      </c>
      <c r="T89" s="2876">
        <v>610.28073278052818</v>
      </c>
      <c r="U89" s="2876">
        <v>608.01989650011001</v>
      </c>
      <c r="V89" s="2876">
        <v>618.09235725204155</v>
      </c>
      <c r="W89" s="2876">
        <v>632.61129047695567</v>
      </c>
      <c r="X89" s="2876">
        <v>652.0580201764102</v>
      </c>
      <c r="Y89" s="2876">
        <v>666.65363553291729</v>
      </c>
      <c r="Z89" s="2876">
        <v>655.30250948392825</v>
      </c>
      <c r="AA89" s="2876">
        <v>673.48121987082459</v>
      </c>
      <c r="AB89" s="2876">
        <v>662.05491978533576</v>
      </c>
      <c r="AC89" s="2876">
        <v>670.94200959674845</v>
      </c>
      <c r="AD89" s="2876">
        <v>706.37301738191024</v>
      </c>
      <c r="AE89" s="2876">
        <v>608.59577606033758</v>
      </c>
      <c r="AF89" s="2876">
        <v>598.20317988900081</v>
      </c>
      <c r="AG89" s="2876">
        <v>610.204797459975</v>
      </c>
      <c r="AH89" s="2876">
        <v>653.33077623755571</v>
      </c>
      <c r="AI89" s="2876">
        <v>642.9209389981462</v>
      </c>
      <c r="AJ89" s="2876">
        <v>630.48950121385826</v>
      </c>
      <c r="AK89" s="2876">
        <v>638.01227439558511</v>
      </c>
      <c r="AL89" s="2876">
        <v>636.91749784936258</v>
      </c>
      <c r="AM89" s="2876">
        <v>650.25159864889315</v>
      </c>
      <c r="AN89" s="2876">
        <v>649.69424580113764</v>
      </c>
    </row>
    <row r="90" spans="1:40" s="624" customFormat="1" ht="15" customHeight="1" x14ac:dyDescent="0.3">
      <c r="A90" s="2834" t="s">
        <v>2820</v>
      </c>
      <c r="B90" s="2876">
        <v>116.5242267</v>
      </c>
      <c r="C90" s="2876">
        <v>111.94069625</v>
      </c>
      <c r="D90" s="2876">
        <v>42.945483719999999</v>
      </c>
      <c r="E90" s="2876">
        <v>41.503882060000002</v>
      </c>
      <c r="F90" s="2876">
        <v>43.331386649999999</v>
      </c>
      <c r="G90" s="2876">
        <v>39.139712029999998</v>
      </c>
      <c r="H90" s="2876">
        <v>44.465784530000001</v>
      </c>
      <c r="I90" s="2876">
        <v>34.77216301</v>
      </c>
      <c r="J90" s="2876">
        <v>41.871732649999998</v>
      </c>
      <c r="K90" s="2876">
        <v>40.050147010000003</v>
      </c>
      <c r="L90" s="2876">
        <v>34.53631506</v>
      </c>
      <c r="M90" s="2876">
        <v>30.986262670000002</v>
      </c>
      <c r="N90" s="2876">
        <v>29.090104380000003</v>
      </c>
      <c r="O90" s="2876">
        <v>37.642404509999999</v>
      </c>
      <c r="P90" s="2876">
        <v>32.667780919999998</v>
      </c>
      <c r="Q90" s="2876">
        <v>40.186201830000002</v>
      </c>
      <c r="R90" s="2876">
        <v>36</v>
      </c>
      <c r="S90" s="2876">
        <v>45.235719100000004</v>
      </c>
      <c r="T90" s="2876">
        <v>34.938905720000001</v>
      </c>
      <c r="U90" s="2876">
        <v>31.304904060000002</v>
      </c>
      <c r="V90" s="2876">
        <v>32.392677059999997</v>
      </c>
      <c r="W90" s="2876">
        <v>26.851128469999999</v>
      </c>
      <c r="X90" s="2876">
        <v>24.319345529999996</v>
      </c>
      <c r="Y90" s="2876">
        <v>28.003286929999998</v>
      </c>
      <c r="Z90" s="2876">
        <v>28.96787011</v>
      </c>
      <c r="AA90" s="2876">
        <v>33.995688350000002</v>
      </c>
      <c r="AB90" s="2876">
        <v>47.240680670000003</v>
      </c>
      <c r="AC90" s="2876">
        <v>41.672618499999999</v>
      </c>
      <c r="AD90" s="2876">
        <v>39.068093399999995</v>
      </c>
      <c r="AE90" s="2876">
        <v>40.715877879999994</v>
      </c>
      <c r="AF90" s="2876">
        <v>39.51570692</v>
      </c>
      <c r="AG90" s="2876">
        <v>62.474407819999996</v>
      </c>
      <c r="AH90" s="2876">
        <v>71.251757569999995</v>
      </c>
      <c r="AI90" s="2876">
        <v>60.608093279999999</v>
      </c>
      <c r="AJ90" s="2876">
        <v>76.473867030000008</v>
      </c>
      <c r="AK90" s="2876">
        <v>75.771479589999998</v>
      </c>
      <c r="AL90" s="2876">
        <v>74.253463170000003</v>
      </c>
      <c r="AM90" s="2876">
        <v>77.083348009999995</v>
      </c>
      <c r="AN90" s="2876">
        <v>79.36008369999999</v>
      </c>
    </row>
    <row r="91" spans="1:40" s="624" customFormat="1" ht="15" customHeight="1" x14ac:dyDescent="0.3">
      <c r="A91" s="2834" t="s">
        <v>2821</v>
      </c>
      <c r="B91" s="2876">
        <v>84.029160139999988</v>
      </c>
      <c r="C91" s="2876">
        <v>83.32705464</v>
      </c>
      <c r="D91" s="2876">
        <v>68.371613060000001</v>
      </c>
      <c r="E91" s="2876">
        <v>63.012376400000008</v>
      </c>
      <c r="F91" s="2876">
        <v>60.658251840000005</v>
      </c>
      <c r="G91" s="2876">
        <v>63.684182999999997</v>
      </c>
      <c r="H91" s="2876">
        <v>65.1529089</v>
      </c>
      <c r="I91" s="2876">
        <v>63.831390180000007</v>
      </c>
      <c r="J91" s="2876">
        <v>64.10505929</v>
      </c>
      <c r="K91" s="2876">
        <v>67.850538880000002</v>
      </c>
      <c r="L91" s="2876">
        <v>66.582431470000003</v>
      </c>
      <c r="M91" s="2876">
        <v>65.568573709999995</v>
      </c>
      <c r="N91" s="2876">
        <v>69.197873670000007</v>
      </c>
      <c r="O91" s="2876">
        <v>65.24837488</v>
      </c>
      <c r="P91" s="2876">
        <v>67.540155549999994</v>
      </c>
      <c r="Q91" s="2876">
        <v>67.253084162788895</v>
      </c>
      <c r="R91" s="2876">
        <v>78</v>
      </c>
      <c r="S91" s="2876">
        <v>81.453596055754375</v>
      </c>
      <c r="T91" s="2876">
        <v>81.485748376841514</v>
      </c>
      <c r="U91" s="2876">
        <v>82.963411550539121</v>
      </c>
      <c r="V91" s="2876">
        <v>82.302767367229748</v>
      </c>
      <c r="W91" s="2876">
        <v>90.878742088772071</v>
      </c>
      <c r="X91" s="2876">
        <v>94.821014312508083</v>
      </c>
      <c r="Y91" s="2876">
        <v>93.170602958385814</v>
      </c>
      <c r="Z91" s="2876">
        <v>99.327185150712339</v>
      </c>
      <c r="AA91" s="2876">
        <v>105.3395488814552</v>
      </c>
      <c r="AB91" s="2876">
        <v>97.391507345739754</v>
      </c>
      <c r="AC91" s="2876">
        <v>95.412130496209883</v>
      </c>
      <c r="AD91" s="2876">
        <v>106.7013291613605</v>
      </c>
      <c r="AE91" s="2876">
        <v>99.764113206354878</v>
      </c>
      <c r="AF91" s="2876">
        <v>86.877425859649662</v>
      </c>
      <c r="AG91" s="2876">
        <v>86.184957540747007</v>
      </c>
      <c r="AH91" s="2876">
        <v>121.98770000143314</v>
      </c>
      <c r="AI91" s="2876">
        <v>123.2493751799345</v>
      </c>
      <c r="AJ91" s="2876">
        <v>121.70624881227118</v>
      </c>
      <c r="AK91" s="2876">
        <v>117.23869888801428</v>
      </c>
      <c r="AL91" s="2876">
        <v>113.56958549274492</v>
      </c>
      <c r="AM91" s="2876">
        <v>140.70772925728357</v>
      </c>
      <c r="AN91" s="2876">
        <v>134.04932781967855</v>
      </c>
    </row>
    <row r="92" spans="1:40" s="624" customFormat="1" ht="14.45" customHeight="1" x14ac:dyDescent="0.3">
      <c r="A92" s="2834" t="s">
        <v>2822</v>
      </c>
      <c r="B92" s="2876">
        <v>2943.0837306533949</v>
      </c>
      <c r="C92" s="2876">
        <v>3010.2411174597742</v>
      </c>
      <c r="D92" s="2876">
        <v>2995.4221658070951</v>
      </c>
      <c r="E92" s="2876">
        <v>2888.2182064349427</v>
      </c>
      <c r="F92" s="2876">
        <v>2874.0869546148842</v>
      </c>
      <c r="G92" s="2876">
        <v>2895.2507682328892</v>
      </c>
      <c r="H92" s="2876">
        <v>2877.4104419860851</v>
      </c>
      <c r="I92" s="2876">
        <v>2905.3983719696075</v>
      </c>
      <c r="J92" s="2876">
        <v>2932.1370367105169</v>
      </c>
      <c r="K92" s="2876">
        <v>2804.8461356918879</v>
      </c>
      <c r="L92" s="2876">
        <v>2837.3014935232341</v>
      </c>
      <c r="M92" s="2876">
        <v>2790.2662809059534</v>
      </c>
      <c r="N92" s="2876">
        <v>2833.8212848413555</v>
      </c>
      <c r="O92" s="2876">
        <v>2700.173306378028</v>
      </c>
      <c r="P92" s="2876">
        <v>2740.6028043975016</v>
      </c>
      <c r="Q92" s="2876">
        <v>2772.9912129741128</v>
      </c>
      <c r="R92" s="2876">
        <v>2760</v>
      </c>
      <c r="S92" s="2876">
        <v>2703.5245584864142</v>
      </c>
      <c r="T92" s="2876">
        <v>2760.5071099790466</v>
      </c>
      <c r="U92" s="2876">
        <v>2766.43169325904</v>
      </c>
      <c r="V92" s="2876">
        <v>2796.6965265704894</v>
      </c>
      <c r="W92" s="2876">
        <v>2921.6139505866086</v>
      </c>
      <c r="X92" s="2876">
        <v>2997.6481077565209</v>
      </c>
      <c r="Y92" s="2876">
        <v>2973.5072185856707</v>
      </c>
      <c r="Z92" s="2876">
        <v>2944.2166806843061</v>
      </c>
      <c r="AA92" s="2876">
        <v>2988.9700476353305</v>
      </c>
      <c r="AB92" s="2876">
        <v>3047.7047571210951</v>
      </c>
      <c r="AC92" s="2876">
        <v>2933.5677930558054</v>
      </c>
      <c r="AD92" s="2876">
        <v>5188.606393076032</v>
      </c>
      <c r="AE92" s="2876">
        <v>2579.9297494414177</v>
      </c>
      <c r="AF92" s="2876">
        <v>1010.7608153656348</v>
      </c>
      <c r="AG92" s="2876">
        <v>670.12135230091405</v>
      </c>
      <c r="AH92" s="2876">
        <v>576.07492121697021</v>
      </c>
      <c r="AI92" s="2876">
        <v>505.27619088517895</v>
      </c>
      <c r="AJ92" s="2876">
        <v>506.37761351238527</v>
      </c>
      <c r="AK92" s="2876">
        <v>512.82802647806636</v>
      </c>
      <c r="AL92" s="2876">
        <v>517.68877061013552</v>
      </c>
      <c r="AM92" s="2876">
        <v>499.24142875956397</v>
      </c>
      <c r="AN92" s="2876">
        <v>580.03301207725713</v>
      </c>
    </row>
    <row r="93" spans="1:40" s="624" customFormat="1" ht="16.899999999999999" customHeight="1" x14ac:dyDescent="0.3">
      <c r="A93" s="2832" t="s">
        <v>2823</v>
      </c>
      <c r="B93" s="2875">
        <v>1198.9722477481389</v>
      </c>
      <c r="C93" s="2875">
        <v>1206.7208284166536</v>
      </c>
      <c r="D93" s="2875">
        <v>1242.0332390300002</v>
      </c>
      <c r="E93" s="2875">
        <v>1220.4205975299999</v>
      </c>
      <c r="F93" s="2875">
        <v>1212.8522091799998</v>
      </c>
      <c r="G93" s="2875">
        <v>1207.3114739099999</v>
      </c>
      <c r="H93" s="2875">
        <v>1173.5182279600001</v>
      </c>
      <c r="I93" s="2875">
        <v>1177.01094644</v>
      </c>
      <c r="J93" s="2875">
        <v>1183.61637952</v>
      </c>
      <c r="K93" s="2875">
        <v>1191.7840735999998</v>
      </c>
      <c r="L93" s="2875">
        <v>1173.4994562899999</v>
      </c>
      <c r="M93" s="2875">
        <v>1162.0022747200001</v>
      </c>
      <c r="N93" s="2875">
        <v>1172.1327933699999</v>
      </c>
      <c r="O93" s="2875">
        <v>1161.0589610900001</v>
      </c>
      <c r="P93" s="2875">
        <v>1172.8917102400001</v>
      </c>
      <c r="Q93" s="2875">
        <v>1149.87555202</v>
      </c>
      <c r="R93" s="2875">
        <v>1175</v>
      </c>
      <c r="S93" s="2875">
        <v>1191.98213573</v>
      </c>
      <c r="T93" s="2875">
        <v>1185.24509646</v>
      </c>
      <c r="U93" s="2875">
        <v>1182.8907609300002</v>
      </c>
      <c r="V93" s="2875">
        <v>1121.7663914000002</v>
      </c>
      <c r="W93" s="2875">
        <v>1118.0905055200001</v>
      </c>
      <c r="X93" s="2875">
        <v>1118.57693735</v>
      </c>
      <c r="Y93" s="2875">
        <v>1122.9791891399998</v>
      </c>
      <c r="Z93" s="2875">
        <v>1116.2918105199999</v>
      </c>
      <c r="AA93" s="2875">
        <v>1112.4926204099997</v>
      </c>
      <c r="AB93" s="2875">
        <v>1120.3092196800001</v>
      </c>
      <c r="AC93" s="2875">
        <v>1100.92073813</v>
      </c>
      <c r="AD93" s="2875">
        <v>1132.3158338500002</v>
      </c>
      <c r="AE93" s="2875">
        <v>1139.2509441200002</v>
      </c>
      <c r="AF93" s="2875">
        <v>1125.1119416199999</v>
      </c>
      <c r="AG93" s="2875">
        <v>1128.0793008700002</v>
      </c>
      <c r="AH93" s="2875">
        <v>1093.3292602399999</v>
      </c>
      <c r="AI93" s="2875">
        <v>1075.56898252</v>
      </c>
      <c r="AJ93" s="2875">
        <v>1059.2305144800002</v>
      </c>
      <c r="AK93" s="2875">
        <v>1071.5258337999999</v>
      </c>
      <c r="AL93" s="2875">
        <v>1054.0853758999999</v>
      </c>
      <c r="AM93" s="2875">
        <v>1055.7370891400001</v>
      </c>
      <c r="AN93" s="2875">
        <v>1058.21250274</v>
      </c>
    </row>
    <row r="94" spans="1:40" s="624" customFormat="1" ht="17.45" customHeight="1" x14ac:dyDescent="0.3">
      <c r="A94" s="2834" t="s">
        <v>2824</v>
      </c>
      <c r="B94" s="2876">
        <v>115.27252138</v>
      </c>
      <c r="C94" s="2876">
        <v>124.42809394</v>
      </c>
      <c r="D94" s="2876">
        <v>112.00596852</v>
      </c>
      <c r="E94" s="2876">
        <v>121.29385818</v>
      </c>
      <c r="F94" s="2876">
        <v>120.70950309999999</v>
      </c>
      <c r="G94" s="2876">
        <v>127.98534345</v>
      </c>
      <c r="H94" s="2876">
        <v>127.03370808</v>
      </c>
      <c r="I94" s="2876">
        <v>127.51675046</v>
      </c>
      <c r="J94" s="2876">
        <v>128.25556170000002</v>
      </c>
      <c r="K94" s="2876">
        <v>132.51207950999998</v>
      </c>
      <c r="L94" s="2876">
        <v>131.72863250999998</v>
      </c>
      <c r="M94" s="2876">
        <v>119.27840032</v>
      </c>
      <c r="N94" s="2876">
        <v>119.68321983</v>
      </c>
      <c r="O94" s="2876">
        <v>132.8970727</v>
      </c>
      <c r="P94" s="2876">
        <v>133.23064553</v>
      </c>
      <c r="Q94" s="2876">
        <v>131.40027744</v>
      </c>
      <c r="R94" s="2876">
        <v>130</v>
      </c>
      <c r="S94" s="2876">
        <v>129.70001532999999</v>
      </c>
      <c r="T94" s="2876">
        <v>129.07231254000001</v>
      </c>
      <c r="U94" s="2876">
        <v>127.47674846000001</v>
      </c>
      <c r="V94" s="2876">
        <v>136.20900207</v>
      </c>
      <c r="W94" s="2876">
        <v>139.3569641</v>
      </c>
      <c r="X94" s="2876">
        <v>137.35504935</v>
      </c>
      <c r="Y94" s="2876">
        <v>137.53980372999999</v>
      </c>
      <c r="Z94" s="2876">
        <v>135.78806968999999</v>
      </c>
      <c r="AA94" s="2876">
        <v>134.12795410999999</v>
      </c>
      <c r="AB94" s="2876">
        <v>135.42150240999999</v>
      </c>
      <c r="AC94" s="2876">
        <v>133.98294858</v>
      </c>
      <c r="AD94" s="2876">
        <v>132.58466200999999</v>
      </c>
      <c r="AE94" s="2876">
        <v>143.39203412999998</v>
      </c>
      <c r="AF94" s="2876">
        <v>142.14169509000001</v>
      </c>
      <c r="AG94" s="2876">
        <v>141.31797324000001</v>
      </c>
      <c r="AH94" s="2876">
        <v>141.29891526</v>
      </c>
      <c r="AI94" s="2876">
        <v>139.53314968000001</v>
      </c>
      <c r="AJ94" s="2876">
        <v>189.20864974</v>
      </c>
      <c r="AK94" s="2876">
        <v>189.77674894999998</v>
      </c>
      <c r="AL94" s="2876">
        <v>192.54897285000001</v>
      </c>
      <c r="AM94" s="2876">
        <v>191.28679303999999</v>
      </c>
      <c r="AN94" s="2876">
        <v>194.92753049999999</v>
      </c>
    </row>
    <row r="95" spans="1:40" s="624" customFormat="1" ht="12.6" customHeight="1" x14ac:dyDescent="0.3">
      <c r="A95" s="2834" t="s">
        <v>2825</v>
      </c>
      <c r="B95" s="2876">
        <v>180.67773067813889</v>
      </c>
      <c r="C95" s="2876">
        <v>179.99926637665379</v>
      </c>
      <c r="D95" s="2876">
        <v>203.84719863999999</v>
      </c>
      <c r="E95" s="2876">
        <v>202.59770900000001</v>
      </c>
      <c r="F95" s="2876">
        <v>200.85179880000001</v>
      </c>
      <c r="G95" s="2876">
        <v>201.35907596999999</v>
      </c>
      <c r="H95" s="2876">
        <v>200.1232143</v>
      </c>
      <c r="I95" s="2876">
        <v>200.18041590999999</v>
      </c>
      <c r="J95" s="2876">
        <v>199.89508910000001</v>
      </c>
      <c r="K95" s="2876">
        <v>210.54515116000002</v>
      </c>
      <c r="L95" s="2876">
        <v>208.25001987000002</v>
      </c>
      <c r="M95" s="2876">
        <v>216.24837832999998</v>
      </c>
      <c r="N95" s="2876">
        <v>229.04212312000001</v>
      </c>
      <c r="O95" s="2876">
        <v>226.24812668999999</v>
      </c>
      <c r="P95" s="2876">
        <v>230.65142306000001</v>
      </c>
      <c r="Q95" s="2876">
        <v>193.47472622000001</v>
      </c>
      <c r="R95" s="2876">
        <v>203</v>
      </c>
      <c r="S95" s="2876">
        <v>211.93967125</v>
      </c>
      <c r="T95" s="2876">
        <v>212.3912239</v>
      </c>
      <c r="U95" s="2876">
        <v>211.93224819</v>
      </c>
      <c r="V95" s="2876">
        <v>210.87296698000003</v>
      </c>
      <c r="W95" s="2876">
        <v>215.06362045</v>
      </c>
      <c r="X95" s="2876">
        <v>207.71581815000002</v>
      </c>
      <c r="Y95" s="2876">
        <v>207.71991863</v>
      </c>
      <c r="Z95" s="2876">
        <v>205.90324040000002</v>
      </c>
      <c r="AA95" s="2876">
        <v>202.96397052</v>
      </c>
      <c r="AB95" s="2876">
        <v>206.35035854000003</v>
      </c>
      <c r="AC95" s="2876">
        <v>214.01311914999999</v>
      </c>
      <c r="AD95" s="2876">
        <v>211.65633120999999</v>
      </c>
      <c r="AE95" s="2876">
        <v>213.51127359999998</v>
      </c>
      <c r="AF95" s="2876">
        <v>210.34707935</v>
      </c>
      <c r="AG95" s="2876">
        <v>208.92850467</v>
      </c>
      <c r="AH95" s="2876">
        <v>206.33295270999997</v>
      </c>
      <c r="AI95" s="2876">
        <v>204.97511222999998</v>
      </c>
      <c r="AJ95" s="2876">
        <v>202.36424918</v>
      </c>
      <c r="AK95" s="2876">
        <v>200.84546708000002</v>
      </c>
      <c r="AL95" s="2876">
        <v>199.54841553999998</v>
      </c>
      <c r="AM95" s="2876">
        <v>198.50530335000002</v>
      </c>
      <c r="AN95" s="2876">
        <v>197.61297599</v>
      </c>
    </row>
    <row r="96" spans="1:40" s="624" customFormat="1" ht="15" customHeight="1" x14ac:dyDescent="0.3">
      <c r="A96" s="2834" t="s">
        <v>2826</v>
      </c>
      <c r="B96" s="2876">
        <v>601.0366318099999</v>
      </c>
      <c r="C96" s="2876">
        <v>596.56513855999992</v>
      </c>
      <c r="D96" s="2876">
        <v>603.03403987000002</v>
      </c>
      <c r="E96" s="2876">
        <v>597.81503897000005</v>
      </c>
      <c r="F96" s="2876">
        <v>596.96874378999996</v>
      </c>
      <c r="G96" s="2876">
        <v>599.47326662</v>
      </c>
      <c r="H96" s="2876">
        <v>564.21523355999989</v>
      </c>
      <c r="I96" s="2876">
        <v>561.88215632000004</v>
      </c>
      <c r="J96" s="2876">
        <v>560.85747159999994</v>
      </c>
      <c r="K96" s="2876">
        <v>557.85522730999992</v>
      </c>
      <c r="L96" s="2876">
        <v>547.69432147999999</v>
      </c>
      <c r="M96" s="2876">
        <v>549.52636900999994</v>
      </c>
      <c r="N96" s="2876">
        <v>537.68327481999995</v>
      </c>
      <c r="O96" s="2876">
        <v>505.84393560999996</v>
      </c>
      <c r="P96" s="2876">
        <v>504.73322657</v>
      </c>
      <c r="Q96" s="2876">
        <v>494.19538882999996</v>
      </c>
      <c r="R96" s="2876">
        <v>500</v>
      </c>
      <c r="S96" s="2876">
        <v>515.77646691999996</v>
      </c>
      <c r="T96" s="2876">
        <v>509.95039658000002</v>
      </c>
      <c r="U96" s="2876">
        <v>514.53670518000001</v>
      </c>
      <c r="V96" s="2876">
        <v>437.40131772000001</v>
      </c>
      <c r="W96" s="2876">
        <v>423.66925272000003</v>
      </c>
      <c r="X96" s="2876">
        <v>424.61905292999995</v>
      </c>
      <c r="Y96" s="2876">
        <v>425.82399248000002</v>
      </c>
      <c r="Z96" s="2876">
        <v>416.04315413</v>
      </c>
      <c r="AA96" s="2876">
        <v>414.50075373000004</v>
      </c>
      <c r="AB96" s="2876">
        <v>412.14656841999999</v>
      </c>
      <c r="AC96" s="2876">
        <v>399.87705648999997</v>
      </c>
      <c r="AD96" s="2876">
        <v>397.27758842999998</v>
      </c>
      <c r="AE96" s="2876">
        <v>397.62400686000001</v>
      </c>
      <c r="AF96" s="2876">
        <v>388.42959319000005</v>
      </c>
      <c r="AG96" s="2876">
        <v>390.07531412999998</v>
      </c>
      <c r="AH96" s="2876">
        <v>357.67640828999998</v>
      </c>
      <c r="AI96" s="2876">
        <v>326.76654150000002</v>
      </c>
      <c r="AJ96" s="2876">
        <v>308.92400558000003</v>
      </c>
      <c r="AK96" s="2876">
        <v>322.22582369999998</v>
      </c>
      <c r="AL96" s="2876">
        <v>309.44235176000001</v>
      </c>
      <c r="AM96" s="2876">
        <v>302.47794856000002</v>
      </c>
      <c r="AN96" s="2876">
        <v>305.08607035</v>
      </c>
    </row>
    <row r="97" spans="1:40" s="624" customFormat="1" ht="13.9" customHeight="1" x14ac:dyDescent="0.3">
      <c r="A97" s="2834" t="s">
        <v>2827</v>
      </c>
      <c r="B97" s="2876">
        <v>254.99875416999996</v>
      </c>
      <c r="C97" s="2876">
        <v>257.80863546</v>
      </c>
      <c r="D97" s="2876">
        <v>252.28236833</v>
      </c>
      <c r="E97" s="2876">
        <v>228.89098423999997</v>
      </c>
      <c r="F97" s="2876">
        <v>225.10205770000002</v>
      </c>
      <c r="G97" s="2876">
        <v>215.33380713</v>
      </c>
      <c r="H97" s="2876">
        <v>219.57987753999998</v>
      </c>
      <c r="I97" s="2876">
        <v>226.34401070000001</v>
      </c>
      <c r="J97" s="2876">
        <v>232.90834913</v>
      </c>
      <c r="K97" s="2876">
        <v>238.18888127999998</v>
      </c>
      <c r="L97" s="2876">
        <v>232.36095010999998</v>
      </c>
      <c r="M97" s="2876">
        <v>228.60931556</v>
      </c>
      <c r="N97" s="2876">
        <v>235.13968419</v>
      </c>
      <c r="O97" s="2876">
        <v>242.9619653</v>
      </c>
      <c r="P97" s="2876">
        <v>251.59415559000001</v>
      </c>
      <c r="Q97" s="2876">
        <v>243.92323575</v>
      </c>
      <c r="R97" s="2876">
        <v>255</v>
      </c>
      <c r="S97" s="2876">
        <v>248.00359700000001</v>
      </c>
      <c r="T97" s="2876">
        <v>247.59032933999998</v>
      </c>
      <c r="U97" s="2876">
        <v>239.92320131</v>
      </c>
      <c r="V97" s="2876">
        <v>246.49111336000001</v>
      </c>
      <c r="W97" s="2876">
        <v>249.24390212</v>
      </c>
      <c r="X97" s="2876">
        <v>254.66402196000001</v>
      </c>
      <c r="Y97" s="2876">
        <v>257.88521825999999</v>
      </c>
      <c r="Z97" s="2876">
        <v>265.03558929000002</v>
      </c>
      <c r="AA97" s="2876">
        <v>267.94706818000003</v>
      </c>
      <c r="AB97" s="2876">
        <v>273.80471265000006</v>
      </c>
      <c r="AC97" s="2876">
        <v>262.06457383000003</v>
      </c>
      <c r="AD97" s="2876">
        <v>301.71252272000004</v>
      </c>
      <c r="AE97" s="2876">
        <v>295.76698894999998</v>
      </c>
      <c r="AF97" s="2876">
        <v>291.36943772000001</v>
      </c>
      <c r="AG97" s="2876">
        <v>294.01260641000005</v>
      </c>
      <c r="AH97" s="2876">
        <v>294.55202133</v>
      </c>
      <c r="AI97" s="2876">
        <v>311.66000241999996</v>
      </c>
      <c r="AJ97" s="2876">
        <v>258.19566000999998</v>
      </c>
      <c r="AK97" s="2876">
        <v>258.40260731000001</v>
      </c>
      <c r="AL97" s="2876">
        <v>254.00232077999999</v>
      </c>
      <c r="AM97" s="2876">
        <v>255.32482355000002</v>
      </c>
      <c r="AN97" s="2876">
        <v>254.10085648000003</v>
      </c>
    </row>
    <row r="98" spans="1:40" s="624" customFormat="1" ht="15.6" customHeight="1" x14ac:dyDescent="0.3">
      <c r="A98" s="2834" t="s">
        <v>2828</v>
      </c>
      <c r="B98" s="2876">
        <v>46.986609709999996</v>
      </c>
      <c r="C98" s="2876">
        <v>47.919694079999999</v>
      </c>
      <c r="D98" s="2876">
        <v>70.863663670000008</v>
      </c>
      <c r="E98" s="2876">
        <v>69.823007140000001</v>
      </c>
      <c r="F98" s="2876">
        <v>69.220105790000005</v>
      </c>
      <c r="G98" s="2876">
        <v>63.159980740000002</v>
      </c>
      <c r="H98" s="2876">
        <v>62.56619448</v>
      </c>
      <c r="I98" s="2876">
        <v>61.087613049999995</v>
      </c>
      <c r="J98" s="2876">
        <v>61.699907989999993</v>
      </c>
      <c r="K98" s="2876">
        <v>52.682734339999996</v>
      </c>
      <c r="L98" s="2876">
        <v>53.465532320000001</v>
      </c>
      <c r="M98" s="2876">
        <v>48.339811500000003</v>
      </c>
      <c r="N98" s="2876">
        <v>50.584491410000005</v>
      </c>
      <c r="O98" s="2876">
        <v>53.107860790000004</v>
      </c>
      <c r="P98" s="2876">
        <v>52.68225949</v>
      </c>
      <c r="Q98" s="2876">
        <v>86.88192377999998</v>
      </c>
      <c r="R98" s="2876">
        <v>86</v>
      </c>
      <c r="S98" s="2876">
        <v>86.56238522999999</v>
      </c>
      <c r="T98" s="2876">
        <v>86.240834100000001</v>
      </c>
      <c r="U98" s="2876">
        <v>89.021857789999999</v>
      </c>
      <c r="V98" s="2876">
        <v>90.791991269999997</v>
      </c>
      <c r="W98" s="2876">
        <v>90.756766129999988</v>
      </c>
      <c r="X98" s="2876">
        <v>94.222994959999994</v>
      </c>
      <c r="Y98" s="2876">
        <v>94.010256039999987</v>
      </c>
      <c r="Z98" s="2876">
        <v>93.521757010000002</v>
      </c>
      <c r="AA98" s="2876">
        <v>92.952873870000005</v>
      </c>
      <c r="AB98" s="2876">
        <v>92.586077660000001</v>
      </c>
      <c r="AC98" s="2876">
        <v>90.983040079999995</v>
      </c>
      <c r="AD98" s="2876">
        <v>89.084729479999993</v>
      </c>
      <c r="AE98" s="2876">
        <v>88.956640580000013</v>
      </c>
      <c r="AF98" s="2876">
        <v>92.824136269999997</v>
      </c>
      <c r="AG98" s="2876">
        <v>93.744902420000003</v>
      </c>
      <c r="AH98" s="2876">
        <v>93.468962650000009</v>
      </c>
      <c r="AI98" s="2876">
        <v>92.634176690000004</v>
      </c>
      <c r="AJ98" s="2876">
        <v>100.53794997</v>
      </c>
      <c r="AK98" s="2876">
        <v>100.27518676000001</v>
      </c>
      <c r="AL98" s="2876">
        <v>98.543314969999997</v>
      </c>
      <c r="AM98" s="2876">
        <v>108.14222064000001</v>
      </c>
      <c r="AN98" s="2876">
        <v>106.48506942</v>
      </c>
    </row>
    <row r="99" spans="1:40" s="624" customFormat="1" ht="17.25" x14ac:dyDescent="0.3">
      <c r="A99" s="2832" t="s">
        <v>2829</v>
      </c>
      <c r="B99" s="2875">
        <v>304.69558275000003</v>
      </c>
      <c r="C99" s="2875">
        <v>300.37714884000002</v>
      </c>
      <c r="D99" s="2875">
        <v>332.88160106999999</v>
      </c>
      <c r="E99" s="2875">
        <v>319.64084076999995</v>
      </c>
      <c r="F99" s="2875">
        <v>277.95334107999997</v>
      </c>
      <c r="G99" s="2875">
        <v>308.66915324000001</v>
      </c>
      <c r="H99" s="2875">
        <v>731.32644420000008</v>
      </c>
      <c r="I99" s="2875">
        <v>730.29076631000021</v>
      </c>
      <c r="J99" s="2875">
        <v>723.30159024999989</v>
      </c>
      <c r="K99" s="2875">
        <v>738.39291130999993</v>
      </c>
      <c r="L99" s="2875">
        <v>753.05859494000003</v>
      </c>
      <c r="M99" s="2875">
        <v>730.62024424000094</v>
      </c>
      <c r="N99" s="2875">
        <v>751.78762297999992</v>
      </c>
      <c r="O99" s="2875">
        <v>806.84337547999996</v>
      </c>
      <c r="P99" s="2875">
        <v>817.84299290000001</v>
      </c>
      <c r="Q99" s="2875">
        <v>813.32287893000012</v>
      </c>
      <c r="R99" s="2875">
        <v>846</v>
      </c>
      <c r="S99" s="2875">
        <v>876.61261027999797</v>
      </c>
      <c r="T99" s="2875">
        <v>887.51210380999999</v>
      </c>
      <c r="U99" s="2875">
        <v>899.44059964999997</v>
      </c>
      <c r="V99" s="2875">
        <v>912.60302328</v>
      </c>
      <c r="W99" s="2875">
        <v>931.27013339999996</v>
      </c>
      <c r="X99" s="2875">
        <v>940.91422799999998</v>
      </c>
      <c r="Y99" s="2875">
        <v>935.83959533000007</v>
      </c>
      <c r="Z99" s="2875">
        <v>1014.73653348</v>
      </c>
      <c r="AA99" s="2875">
        <v>1067.1250059700001</v>
      </c>
      <c r="AB99" s="2875">
        <v>1124.98194339</v>
      </c>
      <c r="AC99" s="2875">
        <v>1124.0055019200001</v>
      </c>
      <c r="AD99" s="2875">
        <v>1228.5926582100001</v>
      </c>
      <c r="AE99" s="2875">
        <v>1242.5902098900001</v>
      </c>
      <c r="AF99" s="2875">
        <v>1271.9247596100001</v>
      </c>
      <c r="AG99" s="2875">
        <v>1297.7704063799999</v>
      </c>
      <c r="AH99" s="2875">
        <v>1609.0216872299998</v>
      </c>
      <c r="AI99" s="2875">
        <v>1721.0440534800002</v>
      </c>
      <c r="AJ99" s="2875">
        <v>1676.3710573600001</v>
      </c>
      <c r="AK99" s="2875">
        <v>1687.6388842599999</v>
      </c>
      <c r="AL99" s="2875">
        <v>1819.1079010399981</v>
      </c>
      <c r="AM99" s="2875">
        <v>1867.55603726</v>
      </c>
      <c r="AN99" s="2875">
        <v>1924.6786421600011</v>
      </c>
    </row>
    <row r="100" spans="1:40" s="624" customFormat="1" ht="15" customHeight="1" x14ac:dyDescent="0.3">
      <c r="A100" s="2834" t="s">
        <v>2830</v>
      </c>
      <c r="B100" s="2876">
        <v>279.48106758000006</v>
      </c>
      <c r="C100" s="2876">
        <v>273.99688928</v>
      </c>
      <c r="D100" s="2876">
        <v>276.79939337000002</v>
      </c>
      <c r="E100" s="2876">
        <v>264.61982850999999</v>
      </c>
      <c r="F100" s="2876">
        <v>256.72105005000003</v>
      </c>
      <c r="G100" s="2876">
        <v>282.05754899999999</v>
      </c>
      <c r="H100" s="2876">
        <v>704.55506718999982</v>
      </c>
      <c r="I100" s="2876">
        <v>708.22447202000012</v>
      </c>
      <c r="J100" s="2876">
        <v>697.51944897999988</v>
      </c>
      <c r="K100" s="2876">
        <v>706.57764734999989</v>
      </c>
      <c r="L100" s="2876">
        <v>729.94084442999997</v>
      </c>
      <c r="M100" s="2876">
        <v>710.2349762900011</v>
      </c>
      <c r="N100" s="2876">
        <v>723.5777425</v>
      </c>
      <c r="O100" s="2876">
        <v>726.63339428000006</v>
      </c>
      <c r="P100" s="2876">
        <v>708.66899586999989</v>
      </c>
      <c r="Q100" s="2876">
        <v>708.56145293000009</v>
      </c>
      <c r="R100" s="2876">
        <v>706</v>
      </c>
      <c r="S100" s="2876">
        <v>725.48496748999787</v>
      </c>
      <c r="T100" s="2876">
        <v>723.10605453000005</v>
      </c>
      <c r="U100" s="2876">
        <v>727.91141333999997</v>
      </c>
      <c r="V100" s="2876">
        <v>716.15697751000005</v>
      </c>
      <c r="W100" s="2876">
        <v>725.23768406000011</v>
      </c>
      <c r="X100" s="2876">
        <v>702.26976203999993</v>
      </c>
      <c r="Y100" s="2876">
        <v>697.32065585000009</v>
      </c>
      <c r="Z100" s="2876">
        <v>752.66048079999996</v>
      </c>
      <c r="AA100" s="2876">
        <v>783.77687105000007</v>
      </c>
      <c r="AB100" s="2876">
        <v>808.21633487999986</v>
      </c>
      <c r="AC100" s="2876">
        <v>803.66646782999987</v>
      </c>
      <c r="AD100" s="2876">
        <v>820.65511430999993</v>
      </c>
      <c r="AE100" s="2876">
        <v>807.4667569500001</v>
      </c>
      <c r="AF100" s="2876">
        <v>806.2797477900001</v>
      </c>
      <c r="AG100" s="2876">
        <v>801.09182963000001</v>
      </c>
      <c r="AH100" s="2876">
        <v>1052.2638878</v>
      </c>
      <c r="AI100" s="2876">
        <v>1052.6972165300001</v>
      </c>
      <c r="AJ100" s="2876">
        <v>987.78573400999994</v>
      </c>
      <c r="AK100" s="2876">
        <v>986.42115735000004</v>
      </c>
      <c r="AL100" s="2876">
        <v>1006.7470219499979</v>
      </c>
      <c r="AM100" s="2876">
        <v>1019.3901601299999</v>
      </c>
      <c r="AN100" s="2876">
        <v>981.59791008000116</v>
      </c>
    </row>
    <row r="101" spans="1:40" s="624" customFormat="1" ht="15.6" customHeight="1" x14ac:dyDescent="0.3">
      <c r="A101" s="2834" t="s">
        <v>2831</v>
      </c>
      <c r="B101" s="2876">
        <v>25.214515170000002</v>
      </c>
      <c r="C101" s="2876">
        <v>26.380259559999999</v>
      </c>
      <c r="D101" s="2876">
        <v>56.082207700000005</v>
      </c>
      <c r="E101" s="2876">
        <v>55.021012259999999</v>
      </c>
      <c r="F101" s="2876">
        <v>21.232291029999999</v>
      </c>
      <c r="G101" s="2876">
        <v>26.611604240000002</v>
      </c>
      <c r="H101" s="2876">
        <v>26.771377009999998</v>
      </c>
      <c r="I101" s="2876">
        <v>22.066294289999998</v>
      </c>
      <c r="J101" s="2876">
        <v>25.782141270000004</v>
      </c>
      <c r="K101" s="2876">
        <v>31.815263959999999</v>
      </c>
      <c r="L101" s="2876">
        <v>23.117750509999997</v>
      </c>
      <c r="M101" s="2876">
        <v>20.385267950000003</v>
      </c>
      <c r="N101" s="2876">
        <v>28.209880479999999</v>
      </c>
      <c r="O101" s="2876">
        <v>80.209981200000001</v>
      </c>
      <c r="P101" s="2876">
        <v>109.17399703</v>
      </c>
      <c r="Q101" s="2876">
        <v>104.761426</v>
      </c>
      <c r="R101" s="2876">
        <v>139</v>
      </c>
      <c r="S101" s="2876">
        <v>151.12764279000001</v>
      </c>
      <c r="T101" s="2876">
        <v>164.40604928000002</v>
      </c>
      <c r="U101" s="2876">
        <v>171.52918631</v>
      </c>
      <c r="V101" s="2876">
        <v>196.44604576999998</v>
      </c>
      <c r="W101" s="2876">
        <v>206.03244934</v>
      </c>
      <c r="X101" s="2876">
        <v>238.64446595999999</v>
      </c>
      <c r="Y101" s="2876">
        <v>238.51893948000003</v>
      </c>
      <c r="Z101" s="2876">
        <v>262.07605267999998</v>
      </c>
      <c r="AA101" s="2876">
        <v>283.34813492000001</v>
      </c>
      <c r="AB101" s="2876">
        <v>316.76560851000005</v>
      </c>
      <c r="AC101" s="2876">
        <v>320.33903408999998</v>
      </c>
      <c r="AD101" s="2876">
        <v>407.93754390000004</v>
      </c>
      <c r="AE101" s="2876">
        <v>435.12345294000005</v>
      </c>
      <c r="AF101" s="2876">
        <v>465.64501181999998</v>
      </c>
      <c r="AG101" s="2876">
        <v>496.67857674999993</v>
      </c>
      <c r="AH101" s="2876">
        <v>556.75779943000009</v>
      </c>
      <c r="AI101" s="2876">
        <v>668.3468369499999</v>
      </c>
      <c r="AJ101" s="2876">
        <v>688.58532335000007</v>
      </c>
      <c r="AK101" s="2876">
        <v>701.21772691000012</v>
      </c>
      <c r="AL101" s="2876">
        <v>812.36087908999991</v>
      </c>
      <c r="AM101" s="2876">
        <v>848.16587713000001</v>
      </c>
      <c r="AN101" s="2876">
        <v>943.08073207999996</v>
      </c>
    </row>
    <row r="102" spans="1:40" s="624" customFormat="1" ht="17.25" x14ac:dyDescent="0.3">
      <c r="A102" s="2832" t="s">
        <v>2832</v>
      </c>
      <c r="B102" s="2875">
        <v>835.29775215000006</v>
      </c>
      <c r="C102" s="2875">
        <v>812.35333787000013</v>
      </c>
      <c r="D102" s="2875">
        <v>752.56871347000003</v>
      </c>
      <c r="E102" s="2875">
        <v>786.68442192999998</v>
      </c>
      <c r="F102" s="2875">
        <v>814.79923051000003</v>
      </c>
      <c r="G102" s="2875">
        <v>803.95136647000004</v>
      </c>
      <c r="H102" s="2875">
        <v>799.82639061999987</v>
      </c>
      <c r="I102" s="2875">
        <v>790.25253862999796</v>
      </c>
      <c r="J102" s="2875">
        <v>801.59003049</v>
      </c>
      <c r="K102" s="2875">
        <v>752.73845382999787</v>
      </c>
      <c r="L102" s="2875">
        <v>730.24842722999813</v>
      </c>
      <c r="M102" s="2875">
        <v>753.004274479998</v>
      </c>
      <c r="N102" s="2875">
        <v>751.50463206999996</v>
      </c>
      <c r="O102" s="2875">
        <v>763.69488651999688</v>
      </c>
      <c r="P102" s="2875">
        <v>781.24142451000012</v>
      </c>
      <c r="Q102" s="2875">
        <v>770.59227351000004</v>
      </c>
      <c r="R102" s="2875">
        <v>789</v>
      </c>
      <c r="S102" s="2875">
        <v>823.07404320999808</v>
      </c>
      <c r="T102" s="2875">
        <v>843.63391014000013</v>
      </c>
      <c r="U102" s="2875">
        <v>827.72904607999999</v>
      </c>
      <c r="V102" s="2875">
        <v>864.43540826999993</v>
      </c>
      <c r="W102" s="2875">
        <v>836.56136473000004</v>
      </c>
      <c r="X102" s="2875">
        <v>828.55314572999998</v>
      </c>
      <c r="Y102" s="2875">
        <v>828.40094221000004</v>
      </c>
      <c r="Z102" s="2875">
        <v>833.84795466999992</v>
      </c>
      <c r="AA102" s="2875">
        <v>839.19487748000006</v>
      </c>
      <c r="AB102" s="2875">
        <v>821.90183944</v>
      </c>
      <c r="AC102" s="2875">
        <v>818.03174001000002</v>
      </c>
      <c r="AD102" s="2875">
        <v>811.20157073999997</v>
      </c>
      <c r="AE102" s="2875">
        <v>826.82049061999908</v>
      </c>
      <c r="AF102" s="2875">
        <v>1156.1143723099999</v>
      </c>
      <c r="AG102" s="2875">
        <v>1353.2239458999998</v>
      </c>
      <c r="AH102" s="2875">
        <v>1367.600164010001</v>
      </c>
      <c r="AI102" s="2875">
        <v>1370.8443302900009</v>
      </c>
      <c r="AJ102" s="2875">
        <v>1379.3936833700002</v>
      </c>
      <c r="AK102" s="2875">
        <v>1437.099666579998</v>
      </c>
      <c r="AL102" s="2875">
        <v>1384.213328230001</v>
      </c>
      <c r="AM102" s="2875">
        <v>1377.55211983001</v>
      </c>
      <c r="AN102" s="2875">
        <v>1276.97762149</v>
      </c>
    </row>
    <row r="103" spans="1:40" s="624" customFormat="1" ht="13.9" customHeight="1" x14ac:dyDescent="0.3">
      <c r="A103" s="2834" t="s">
        <v>2833</v>
      </c>
      <c r="B103" s="2876">
        <v>165.16120190000001</v>
      </c>
      <c r="C103" s="2876">
        <v>146.22229801</v>
      </c>
      <c r="D103" s="2876">
        <v>104.623650010001</v>
      </c>
      <c r="E103" s="2876">
        <v>119.19377007999998</v>
      </c>
      <c r="F103" s="2876">
        <v>133.26626752999999</v>
      </c>
      <c r="G103" s="2876">
        <v>139.81103347000001</v>
      </c>
      <c r="H103" s="2876">
        <v>137.90591399000002</v>
      </c>
      <c r="I103" s="2876">
        <v>136.235443119998</v>
      </c>
      <c r="J103" s="2876">
        <v>140.19505695999999</v>
      </c>
      <c r="K103" s="2876">
        <v>137.20547023999802</v>
      </c>
      <c r="L103" s="2876">
        <v>135.00425435999801</v>
      </c>
      <c r="M103" s="2876">
        <v>148.47166233999801</v>
      </c>
      <c r="N103" s="2876">
        <v>167.37461604000003</v>
      </c>
      <c r="O103" s="2876">
        <v>179.837641209997</v>
      </c>
      <c r="P103" s="2876">
        <v>188.57867988999999</v>
      </c>
      <c r="Q103" s="2876">
        <v>183.00739590999999</v>
      </c>
      <c r="R103" s="2876">
        <v>191</v>
      </c>
      <c r="S103" s="2876">
        <v>202.99926724999801</v>
      </c>
      <c r="T103" s="2876">
        <v>205.73774771999999</v>
      </c>
      <c r="U103" s="2876">
        <v>203.67102519999997</v>
      </c>
      <c r="V103" s="2876">
        <v>218.04534312000001</v>
      </c>
      <c r="W103" s="2876">
        <v>218.12773569999999</v>
      </c>
      <c r="X103" s="2876">
        <v>206.65255389000001</v>
      </c>
      <c r="Y103" s="2876">
        <v>205.46024401</v>
      </c>
      <c r="Z103" s="2876">
        <v>205.97520069999999</v>
      </c>
      <c r="AA103" s="2876">
        <v>205.00048243000001</v>
      </c>
      <c r="AB103" s="2876">
        <v>203.08415210999999</v>
      </c>
      <c r="AC103" s="2876">
        <v>202.45907591000002</v>
      </c>
      <c r="AD103" s="2876">
        <v>204.21699333999999</v>
      </c>
      <c r="AE103" s="2876">
        <v>209.86834300000001</v>
      </c>
      <c r="AF103" s="2876">
        <v>263.60019756000003</v>
      </c>
      <c r="AG103" s="2876">
        <v>300.17008546000005</v>
      </c>
      <c r="AH103" s="2876">
        <v>302.60765708000099</v>
      </c>
      <c r="AI103" s="2876">
        <v>298.07229785000095</v>
      </c>
      <c r="AJ103" s="2876">
        <v>286.60224836999998</v>
      </c>
      <c r="AK103" s="2876">
        <v>293.027257179998</v>
      </c>
      <c r="AL103" s="2876">
        <v>300.43674713999997</v>
      </c>
      <c r="AM103" s="2876">
        <v>303.87659817000997</v>
      </c>
      <c r="AN103" s="2876">
        <v>294.17140074999998</v>
      </c>
    </row>
    <row r="104" spans="1:40" s="624" customFormat="1" ht="17.45" customHeight="1" x14ac:dyDescent="0.3">
      <c r="A104" s="2834" t="s">
        <v>2834</v>
      </c>
      <c r="B104" s="2876">
        <v>0.12551682</v>
      </c>
      <c r="C104" s="2876">
        <v>0.12708405</v>
      </c>
      <c r="D104" s="2876">
        <v>0.13283904000000002</v>
      </c>
      <c r="E104" s="2876">
        <v>0.14987702</v>
      </c>
      <c r="F104" s="2876">
        <v>0.12929682000000001</v>
      </c>
      <c r="G104" s="2876">
        <v>0.12806745</v>
      </c>
      <c r="H104" s="2876">
        <v>9.9450320000000009E-2</v>
      </c>
      <c r="I104" s="2876">
        <v>0.13173287</v>
      </c>
      <c r="J104" s="2876">
        <v>0.48726587999999993</v>
      </c>
      <c r="K104" s="2876">
        <v>0.51146448</v>
      </c>
      <c r="L104" s="2876">
        <v>0.81406307999999994</v>
      </c>
      <c r="M104" s="2876">
        <v>1.47160603</v>
      </c>
      <c r="N104" s="2876">
        <v>0.98125980000000002</v>
      </c>
      <c r="O104" s="2876">
        <v>0.77953059999999996</v>
      </c>
      <c r="P104" s="2876">
        <v>1.68442589</v>
      </c>
      <c r="Q104" s="2876">
        <v>3.4493045499999999</v>
      </c>
      <c r="R104" s="2876">
        <v>3</v>
      </c>
      <c r="S104" s="2876">
        <v>3.3573702000000001</v>
      </c>
      <c r="T104" s="2876">
        <v>3.29133546</v>
      </c>
      <c r="U104" s="2876">
        <v>3.6563031600000002</v>
      </c>
      <c r="V104" s="2876">
        <v>3.7617874900000001</v>
      </c>
      <c r="W104" s="2876">
        <v>3.32400166</v>
      </c>
      <c r="X104" s="2876">
        <v>3.6836168300000001</v>
      </c>
      <c r="Y104" s="2876">
        <v>3.8405797000000002</v>
      </c>
      <c r="Z104" s="2876">
        <v>3.77156738</v>
      </c>
      <c r="AA104" s="2876">
        <v>3.6347839300000002</v>
      </c>
      <c r="AB104" s="2876">
        <v>3.7877809300000003</v>
      </c>
      <c r="AC104" s="2876">
        <v>3.0684849700000001</v>
      </c>
      <c r="AD104" s="2876">
        <v>3.2121997000000002</v>
      </c>
      <c r="AE104" s="2876">
        <v>3.26140461</v>
      </c>
      <c r="AF104" s="2876">
        <v>6.1295883499999997</v>
      </c>
      <c r="AG104" s="2876">
        <v>13.30148724</v>
      </c>
      <c r="AH104" s="2876">
        <v>20.724422130000001</v>
      </c>
      <c r="AI104" s="2876">
        <v>20.595963279999999</v>
      </c>
      <c r="AJ104" s="2876">
        <v>20.717217859999998</v>
      </c>
      <c r="AK104" s="2876">
        <v>30.621552699999999</v>
      </c>
      <c r="AL104" s="2876">
        <v>30.67816247</v>
      </c>
      <c r="AM104" s="2876">
        <v>30.831305690000001</v>
      </c>
      <c r="AN104" s="2876">
        <v>30.315687489999998</v>
      </c>
    </row>
    <row r="105" spans="1:40" s="624" customFormat="1" ht="16.899999999999999" customHeight="1" x14ac:dyDescent="0.3">
      <c r="A105" s="2834" t="s">
        <v>2835</v>
      </c>
      <c r="B105" s="2876">
        <v>25.082215999999999</v>
      </c>
      <c r="C105" s="2876">
        <v>24.348019689999997</v>
      </c>
      <c r="D105" s="2876">
        <v>20.850048260000001</v>
      </c>
      <c r="E105" s="2876">
        <v>20.83768431</v>
      </c>
      <c r="F105" s="2876">
        <v>20.075001329999999</v>
      </c>
      <c r="G105" s="2876">
        <v>19.494366289999999</v>
      </c>
      <c r="H105" s="2876">
        <v>18.823532059999998</v>
      </c>
      <c r="I105" s="2876">
        <v>18.39818721</v>
      </c>
      <c r="J105" s="2876">
        <v>17.638744989999999</v>
      </c>
      <c r="K105" s="2876">
        <v>16.975998329999999</v>
      </c>
      <c r="L105" s="2876">
        <v>18.866716359999998</v>
      </c>
      <c r="M105" s="2876">
        <v>21.208298489999997</v>
      </c>
      <c r="N105" s="2876">
        <v>21.378376969999998</v>
      </c>
      <c r="O105" s="2876">
        <v>22.12118272</v>
      </c>
      <c r="P105" s="2876">
        <v>27.01073057</v>
      </c>
      <c r="Q105" s="2876">
        <v>31.484494319999996</v>
      </c>
      <c r="R105" s="2876">
        <v>32</v>
      </c>
      <c r="S105" s="2876">
        <v>32.648077719999996</v>
      </c>
      <c r="T105" s="2876">
        <v>39.811742209999998</v>
      </c>
      <c r="U105" s="2876">
        <v>40.441799480000007</v>
      </c>
      <c r="V105" s="2876">
        <v>44.944974729999998</v>
      </c>
      <c r="W105" s="2876">
        <v>41.639250879999999</v>
      </c>
      <c r="X105" s="2876">
        <v>40.435885030000001</v>
      </c>
      <c r="Y105" s="2876">
        <v>44.906091549999999</v>
      </c>
      <c r="Z105" s="2876">
        <v>41.892061989999995</v>
      </c>
      <c r="AA105" s="2876">
        <v>50.244650139999997</v>
      </c>
      <c r="AB105" s="2876">
        <v>40.726439710000001</v>
      </c>
      <c r="AC105" s="2876">
        <v>38.521549690000001</v>
      </c>
      <c r="AD105" s="2876">
        <v>35.590662430000002</v>
      </c>
      <c r="AE105" s="2876">
        <v>31.518717139999996</v>
      </c>
      <c r="AF105" s="2876">
        <v>44.5716611</v>
      </c>
      <c r="AG105" s="2876">
        <v>69.42756086</v>
      </c>
      <c r="AH105" s="2876">
        <v>77.192818900000006</v>
      </c>
      <c r="AI105" s="2876">
        <v>92.504653869999999</v>
      </c>
      <c r="AJ105" s="2876">
        <v>94.777807469999985</v>
      </c>
      <c r="AK105" s="2876">
        <v>129.83820908999999</v>
      </c>
      <c r="AL105" s="2876">
        <v>130.91279005999999</v>
      </c>
      <c r="AM105" s="2876">
        <v>129.91312712000001</v>
      </c>
      <c r="AN105" s="2876">
        <v>129.03482446000001</v>
      </c>
    </row>
    <row r="106" spans="1:40" s="624" customFormat="1" ht="12.6" customHeight="1" x14ac:dyDescent="0.3">
      <c r="A106" s="2834" t="s">
        <v>2836</v>
      </c>
      <c r="B106" s="2876">
        <v>644.92881743000009</v>
      </c>
      <c r="C106" s="2876">
        <v>641.65593611999998</v>
      </c>
      <c r="D106" s="2876">
        <v>626.96217615999899</v>
      </c>
      <c r="E106" s="2876">
        <v>646.50309051999989</v>
      </c>
      <c r="F106" s="2876">
        <v>661.32866483000009</v>
      </c>
      <c r="G106" s="2876">
        <v>644.51789926000004</v>
      </c>
      <c r="H106" s="2876">
        <v>642.99749425000005</v>
      </c>
      <c r="I106" s="2876">
        <v>635.48717542999998</v>
      </c>
      <c r="J106" s="2876">
        <v>643.26896266000006</v>
      </c>
      <c r="K106" s="2876">
        <v>598.04552077999995</v>
      </c>
      <c r="L106" s="2876">
        <v>575.56339343000002</v>
      </c>
      <c r="M106" s="2876">
        <v>581.85270762000005</v>
      </c>
      <c r="N106" s="2876">
        <v>561.77037926000003</v>
      </c>
      <c r="O106" s="2876">
        <v>560.95653199000003</v>
      </c>
      <c r="P106" s="2876">
        <v>563.9675881600001</v>
      </c>
      <c r="Q106" s="2876">
        <v>552.65107872999999</v>
      </c>
      <c r="R106" s="2876">
        <v>563</v>
      </c>
      <c r="S106" s="2876">
        <v>584.06932803999996</v>
      </c>
      <c r="T106" s="2876">
        <v>594.79308475000005</v>
      </c>
      <c r="U106" s="2876">
        <v>579.95991823999998</v>
      </c>
      <c r="V106" s="2876">
        <v>597.68330293000008</v>
      </c>
      <c r="W106" s="2876">
        <v>573.47037649000004</v>
      </c>
      <c r="X106" s="2876">
        <v>577.78108998000005</v>
      </c>
      <c r="Y106" s="2876">
        <v>574.19402694999997</v>
      </c>
      <c r="Z106" s="2876">
        <v>582.2091246</v>
      </c>
      <c r="AA106" s="2876">
        <v>580.31496098000002</v>
      </c>
      <c r="AB106" s="2876">
        <v>574.30346669000005</v>
      </c>
      <c r="AC106" s="2876">
        <v>573.9826294400001</v>
      </c>
      <c r="AD106" s="2876">
        <v>568.18171526999993</v>
      </c>
      <c r="AE106" s="2876">
        <v>582.17202586999895</v>
      </c>
      <c r="AF106" s="2876">
        <v>841.81292530000007</v>
      </c>
      <c r="AG106" s="2876">
        <v>970.32481233999988</v>
      </c>
      <c r="AH106" s="2876">
        <v>967.07526589999998</v>
      </c>
      <c r="AI106" s="2876">
        <v>959.67141528999991</v>
      </c>
      <c r="AJ106" s="2876">
        <v>977.29640967</v>
      </c>
      <c r="AK106" s="2876">
        <v>983.61264761000007</v>
      </c>
      <c r="AL106" s="2876">
        <v>922.18562856000096</v>
      </c>
      <c r="AM106" s="2876">
        <v>912.93108885000004</v>
      </c>
      <c r="AN106" s="2876">
        <v>823.45570879000002</v>
      </c>
    </row>
    <row r="107" spans="1:40" s="624" customFormat="1" ht="17.25" x14ac:dyDescent="0.3">
      <c r="A107" s="2832" t="s">
        <v>2837</v>
      </c>
      <c r="B107" s="2875">
        <v>1165.4514188539367</v>
      </c>
      <c r="C107" s="2875">
        <v>1216.0111036406001</v>
      </c>
      <c r="D107" s="2875">
        <v>900.56745968404528</v>
      </c>
      <c r="E107" s="2875">
        <v>882.25630569052203</v>
      </c>
      <c r="F107" s="2875">
        <v>871.88601495949968</v>
      </c>
      <c r="G107" s="2875">
        <v>877.48141656286566</v>
      </c>
      <c r="H107" s="2875">
        <v>1140.5315878454251</v>
      </c>
      <c r="I107" s="2875">
        <v>875.34611432997178</v>
      </c>
      <c r="J107" s="2875">
        <v>837.48059616792227</v>
      </c>
      <c r="K107" s="2875">
        <v>910.41639686944814</v>
      </c>
      <c r="L107" s="2875">
        <v>929.00752762078093</v>
      </c>
      <c r="M107" s="2875">
        <v>877.23925070873577</v>
      </c>
      <c r="N107" s="2875">
        <v>873.72436038728983</v>
      </c>
      <c r="O107" s="2875">
        <v>886.03417220865322</v>
      </c>
      <c r="P107" s="2875">
        <v>868.68489541737688</v>
      </c>
      <c r="Q107" s="2875">
        <v>855.52395670832425</v>
      </c>
      <c r="R107" s="2875">
        <v>801</v>
      </c>
      <c r="S107" s="2875">
        <v>856.79714811845679</v>
      </c>
      <c r="T107" s="2875">
        <v>870.19579897226151</v>
      </c>
      <c r="U107" s="2875">
        <v>849.37500470313785</v>
      </c>
      <c r="V107" s="2875">
        <v>817.32835694117523</v>
      </c>
      <c r="W107" s="2875">
        <v>814.04461061958125</v>
      </c>
      <c r="X107" s="2875">
        <v>769.50209935028181</v>
      </c>
      <c r="Y107" s="2875">
        <v>806.69675139054812</v>
      </c>
      <c r="Z107" s="2875">
        <v>802.0363285429122</v>
      </c>
      <c r="AA107" s="2875">
        <v>775.8575695454897</v>
      </c>
      <c r="AB107" s="2875">
        <v>774.98384178762785</v>
      </c>
      <c r="AC107" s="2875">
        <v>789.0587181633706</v>
      </c>
      <c r="AD107" s="2875">
        <v>796.8280461445047</v>
      </c>
      <c r="AE107" s="2875">
        <v>816.67175158365274</v>
      </c>
      <c r="AF107" s="2875">
        <v>994.4566635910021</v>
      </c>
      <c r="AG107" s="2875">
        <v>741.08954974160679</v>
      </c>
      <c r="AH107" s="2875">
        <v>560.45799735630783</v>
      </c>
      <c r="AI107" s="2875">
        <v>530.30719295066683</v>
      </c>
      <c r="AJ107" s="2875">
        <v>612.50593865168094</v>
      </c>
      <c r="AK107" s="2875">
        <v>605.98323996780994</v>
      </c>
      <c r="AL107" s="2875">
        <v>536.81216953998944</v>
      </c>
      <c r="AM107" s="2875">
        <v>545.96704950141987</v>
      </c>
      <c r="AN107" s="2875">
        <v>775.2327216839733</v>
      </c>
    </row>
    <row r="108" spans="1:40" s="624" customFormat="1" ht="14.45" customHeight="1" x14ac:dyDescent="0.3">
      <c r="A108" s="2834" t="s">
        <v>2838</v>
      </c>
      <c r="B108" s="2876">
        <v>83.49382688999998</v>
      </c>
      <c r="C108" s="2876">
        <v>83.750169050000011</v>
      </c>
      <c r="D108" s="2876">
        <v>56.644757870000007</v>
      </c>
      <c r="E108" s="2876">
        <v>56.589147089999997</v>
      </c>
      <c r="F108" s="2876">
        <v>57.274945950000003</v>
      </c>
      <c r="G108" s="2876">
        <v>55.837607980000001</v>
      </c>
      <c r="H108" s="2876">
        <v>55.408039980000005</v>
      </c>
      <c r="I108" s="2876">
        <v>54.496259589999994</v>
      </c>
      <c r="J108" s="2876">
        <v>54.584443410000006</v>
      </c>
      <c r="K108" s="2876">
        <v>55.377934479999993</v>
      </c>
      <c r="L108" s="2876">
        <v>53.42491733</v>
      </c>
      <c r="M108" s="2876">
        <v>41.713011109999997</v>
      </c>
      <c r="N108" s="2876">
        <v>39.938761400000004</v>
      </c>
      <c r="O108" s="2876">
        <v>41.232565280000003</v>
      </c>
      <c r="P108" s="2876">
        <v>40.533767599999997</v>
      </c>
      <c r="Q108" s="2876">
        <v>39.628145619999998</v>
      </c>
      <c r="R108" s="2876">
        <v>41</v>
      </c>
      <c r="S108" s="2876">
        <v>38.484270989999999</v>
      </c>
      <c r="T108" s="2876">
        <v>39.372916289999999</v>
      </c>
      <c r="U108" s="2876">
        <v>39.24032004</v>
      </c>
      <c r="V108" s="2876">
        <v>38.878140260000002</v>
      </c>
      <c r="W108" s="2876">
        <v>38.256647569999998</v>
      </c>
      <c r="X108" s="2876">
        <v>27.404274659999995</v>
      </c>
      <c r="Y108" s="2876">
        <v>27.283325600000001</v>
      </c>
      <c r="Z108" s="2876">
        <v>26.508295589999999</v>
      </c>
      <c r="AA108" s="2876">
        <v>27.150646129999998</v>
      </c>
      <c r="AB108" s="2876">
        <v>26.94917994</v>
      </c>
      <c r="AC108" s="2876">
        <v>26.267033060000003</v>
      </c>
      <c r="AD108" s="2876">
        <v>26.115858429999999</v>
      </c>
      <c r="AE108" s="2876">
        <v>25.797168249999999</v>
      </c>
      <c r="AF108" s="2876">
        <v>27.092881309999999</v>
      </c>
      <c r="AG108" s="2876">
        <v>45.972891570000002</v>
      </c>
      <c r="AH108" s="2876">
        <v>47.394859409999995</v>
      </c>
      <c r="AI108" s="2876">
        <v>46.934829810000004</v>
      </c>
      <c r="AJ108" s="2876">
        <v>55.228607009999998</v>
      </c>
      <c r="AK108" s="2876">
        <v>47.250627150000007</v>
      </c>
      <c r="AL108" s="2876">
        <v>47.621006649999998</v>
      </c>
      <c r="AM108" s="2876">
        <v>54.624941579999998</v>
      </c>
      <c r="AN108" s="2876">
        <v>52.371883239995121</v>
      </c>
    </row>
    <row r="109" spans="1:40" s="624" customFormat="1" ht="16.149999999999999" customHeight="1" x14ac:dyDescent="0.3">
      <c r="A109" s="2834" t="s">
        <v>2839</v>
      </c>
      <c r="B109" s="2876">
        <v>498.06299753391369</v>
      </c>
      <c r="C109" s="2876">
        <v>500.69022945060135</v>
      </c>
      <c r="D109" s="2876">
        <v>226.98111864404731</v>
      </c>
      <c r="E109" s="2876">
        <v>228.66858790052106</v>
      </c>
      <c r="F109" s="2876">
        <v>229.62589953949987</v>
      </c>
      <c r="G109" s="2876">
        <v>221.98971058286753</v>
      </c>
      <c r="H109" s="2876">
        <v>214.4259122054242</v>
      </c>
      <c r="I109" s="2876">
        <v>217.00681971997085</v>
      </c>
      <c r="J109" s="2876">
        <v>214.21333299792232</v>
      </c>
      <c r="K109" s="2876">
        <v>219.70989999944922</v>
      </c>
      <c r="L109" s="2876">
        <v>217.38014615078097</v>
      </c>
      <c r="M109" s="2876">
        <v>215.76818756873675</v>
      </c>
      <c r="N109" s="2876">
        <v>212.76992380729288</v>
      </c>
      <c r="O109" s="2876">
        <v>211.99073168865013</v>
      </c>
      <c r="P109" s="2876">
        <v>212.89760684737499</v>
      </c>
      <c r="Q109" s="2876">
        <v>221.84361746832516</v>
      </c>
      <c r="R109" s="2876">
        <v>222</v>
      </c>
      <c r="S109" s="2876">
        <v>218.46398277845691</v>
      </c>
      <c r="T109" s="2876">
        <v>205.45989203225943</v>
      </c>
      <c r="U109" s="2876">
        <v>195.10136199313806</v>
      </c>
      <c r="V109" s="2876">
        <v>225.69536855117491</v>
      </c>
      <c r="W109" s="2876">
        <v>231.46591397958693</v>
      </c>
      <c r="X109" s="2876">
        <v>204.70076538864413</v>
      </c>
      <c r="Y109" s="2876">
        <v>221.6368391205481</v>
      </c>
      <c r="Z109" s="2876">
        <v>219.5298482729122</v>
      </c>
      <c r="AA109" s="2876">
        <v>195.51869464548963</v>
      </c>
      <c r="AB109" s="2876">
        <v>180.81893496762785</v>
      </c>
      <c r="AC109" s="2876">
        <v>177.44294857337053</v>
      </c>
      <c r="AD109" s="2876">
        <v>187.78620094450469</v>
      </c>
      <c r="AE109" s="2876">
        <v>192.27599449366028</v>
      </c>
      <c r="AF109" s="2876">
        <v>436.83508993100571</v>
      </c>
      <c r="AG109" s="2876">
        <v>276.156083821609</v>
      </c>
      <c r="AH109" s="2876">
        <v>188.18462552631166</v>
      </c>
      <c r="AI109" s="2876">
        <v>189.36016078066584</v>
      </c>
      <c r="AJ109" s="2876">
        <v>265.26260299167768</v>
      </c>
      <c r="AK109" s="2876">
        <v>265.87575040781002</v>
      </c>
      <c r="AL109" s="2876">
        <v>201.95062719998691</v>
      </c>
      <c r="AM109" s="2876">
        <v>202.0047817914184</v>
      </c>
      <c r="AN109" s="2876">
        <v>435.11081194397718</v>
      </c>
    </row>
    <row r="110" spans="1:40" s="624" customFormat="1" ht="18" thickBot="1" x14ac:dyDescent="0.35">
      <c r="A110" s="2834" t="s">
        <v>2840</v>
      </c>
      <c r="B110" s="2876">
        <v>583.89459443002306</v>
      </c>
      <c r="C110" s="2876">
        <v>631.57070513999906</v>
      </c>
      <c r="D110" s="2876">
        <v>616.94158316999801</v>
      </c>
      <c r="E110" s="2876">
        <v>596.99857070000098</v>
      </c>
      <c r="F110" s="2876">
        <v>584.98516946999996</v>
      </c>
      <c r="G110" s="2876">
        <v>599.65409799999793</v>
      </c>
      <c r="H110" s="2876">
        <v>870.69763566000097</v>
      </c>
      <c r="I110" s="2876">
        <v>603.84303502000091</v>
      </c>
      <c r="J110" s="2876">
        <v>568.68281976000003</v>
      </c>
      <c r="K110" s="2876">
        <v>635.32856238999898</v>
      </c>
      <c r="L110" s="2876">
        <v>658.20246413999985</v>
      </c>
      <c r="M110" s="2876">
        <v>619.75805202999902</v>
      </c>
      <c r="N110" s="2876">
        <v>621.01567517999695</v>
      </c>
      <c r="O110" s="2876">
        <v>632.81087524000316</v>
      </c>
      <c r="P110" s="2876">
        <v>615.25352097000189</v>
      </c>
      <c r="Q110" s="2876">
        <v>594.05219361999889</v>
      </c>
      <c r="R110" s="2876">
        <v>538</v>
      </c>
      <c r="S110" s="2876">
        <v>599.84889434999991</v>
      </c>
      <c r="T110" s="2876">
        <v>625.36299065000208</v>
      </c>
      <c r="U110" s="2876">
        <v>615.03332266999996</v>
      </c>
      <c r="V110" s="2876">
        <v>552.75484813000025</v>
      </c>
      <c r="W110" s="2876">
        <v>544.32204906999448</v>
      </c>
      <c r="X110" s="2876">
        <v>537.39705930163768</v>
      </c>
      <c r="Y110" s="2876">
        <v>557.77658666999992</v>
      </c>
      <c r="Z110" s="2876">
        <v>555.99818467999989</v>
      </c>
      <c r="AA110" s="2876">
        <v>553.18822877000014</v>
      </c>
      <c r="AB110" s="2876">
        <v>567.21572688000003</v>
      </c>
      <c r="AC110" s="2876">
        <v>585.34873653000011</v>
      </c>
      <c r="AD110" s="2876">
        <v>582.92598677000001</v>
      </c>
      <c r="AE110" s="2876">
        <v>598.59858883999243</v>
      </c>
      <c r="AF110" s="2876">
        <v>530.5286923499965</v>
      </c>
      <c r="AG110" s="2876">
        <v>418.96057434999784</v>
      </c>
      <c r="AH110" s="2876">
        <v>324.87851241999618</v>
      </c>
      <c r="AI110" s="2876">
        <v>294.01220236000103</v>
      </c>
      <c r="AJ110" s="2876">
        <v>292.01472865000335</v>
      </c>
      <c r="AK110" s="2876">
        <v>292.85686240999985</v>
      </c>
      <c r="AL110" s="2876">
        <v>287.24053569000256</v>
      </c>
      <c r="AM110" s="2876">
        <v>289.33732613000143</v>
      </c>
      <c r="AN110" s="2876">
        <v>287.75002650000101</v>
      </c>
    </row>
    <row r="111" spans="1:40" s="624" customFormat="1" ht="17.25" x14ac:dyDescent="0.3">
      <c r="A111" s="2851" t="s">
        <v>2841</v>
      </c>
      <c r="B111" s="2889">
        <v>101827.67731590261</v>
      </c>
      <c r="C111" s="2889">
        <v>101566.34279117921</v>
      </c>
      <c r="D111" s="2889">
        <v>100690.27895274188</v>
      </c>
      <c r="E111" s="2889">
        <v>101155.66818200347</v>
      </c>
      <c r="F111" s="2889">
        <v>102191.18482721728</v>
      </c>
      <c r="G111" s="2889">
        <v>104013.00916807755</v>
      </c>
      <c r="H111" s="2889">
        <v>104911.38732969725</v>
      </c>
      <c r="I111" s="2889">
        <v>106184.72026019136</v>
      </c>
      <c r="J111" s="2889">
        <v>107533.71357428757</v>
      </c>
      <c r="K111" s="2889">
        <v>107751.81712756233</v>
      </c>
      <c r="L111" s="2889">
        <v>108527.46633098245</v>
      </c>
      <c r="M111" s="2889">
        <v>109795.26413277503</v>
      </c>
      <c r="N111" s="2889">
        <v>110601.30367501736</v>
      </c>
      <c r="O111" s="2889">
        <v>112098.32566453954</v>
      </c>
      <c r="P111" s="2889">
        <v>112119.3569155748</v>
      </c>
      <c r="Q111" s="2889">
        <v>112924.51598385395</v>
      </c>
      <c r="R111" s="2889">
        <v>113833</v>
      </c>
      <c r="S111" s="2889">
        <v>113597.39892824087</v>
      </c>
      <c r="T111" s="2889">
        <v>112762.80705982607</v>
      </c>
      <c r="U111" s="2889">
        <v>112526.86420953783</v>
      </c>
      <c r="V111" s="2889">
        <v>112971.71263527471</v>
      </c>
      <c r="W111" s="2889">
        <v>113860.25250365576</v>
      </c>
      <c r="X111" s="2889">
        <v>114672.46212670382</v>
      </c>
      <c r="Y111" s="2889">
        <v>115466.34448587886</v>
      </c>
      <c r="Z111" s="2889">
        <v>116168.04858855253</v>
      </c>
      <c r="AA111" s="2889">
        <v>116663.883886929</v>
      </c>
      <c r="AB111" s="2889">
        <v>116918.85983055862</v>
      </c>
      <c r="AC111" s="2889">
        <v>117606.28767179324</v>
      </c>
      <c r="AD111" s="2889">
        <v>117996.72344363194</v>
      </c>
      <c r="AE111" s="2889">
        <v>117018.35302388696</v>
      </c>
      <c r="AF111" s="2889">
        <v>117224.37572508343</v>
      </c>
      <c r="AG111" s="2889">
        <v>118568.32872566361</v>
      </c>
      <c r="AH111" s="2889">
        <v>119209.62092707849</v>
      </c>
      <c r="AI111" s="2889">
        <v>120133.69810548665</v>
      </c>
      <c r="AJ111" s="2889">
        <v>121316.46747991076</v>
      </c>
      <c r="AK111" s="2889">
        <v>122723.00360220489</v>
      </c>
      <c r="AL111" s="2889">
        <v>125330.47432240806</v>
      </c>
      <c r="AM111" s="2889">
        <v>125450.51345029706</v>
      </c>
      <c r="AN111" s="2889">
        <v>126352.10356316934</v>
      </c>
    </row>
    <row r="112" spans="1:40" s="624" customFormat="1" ht="15" customHeight="1" x14ac:dyDescent="0.3">
      <c r="A112" s="2836" t="s">
        <v>2874</v>
      </c>
      <c r="B112" s="2890">
        <v>65454.022924167752</v>
      </c>
      <c r="C112" s="2890">
        <v>65819.366004071489</v>
      </c>
      <c r="D112" s="2890">
        <v>65721.019359793965</v>
      </c>
      <c r="E112" s="2890">
        <v>66172.019291859862</v>
      </c>
      <c r="F112" s="2890">
        <v>66587.002342734282</v>
      </c>
      <c r="G112" s="2890">
        <v>67205.165347480448</v>
      </c>
      <c r="H112" s="2890">
        <v>67742.764730943425</v>
      </c>
      <c r="I112" s="2890">
        <v>68467.823421426408</v>
      </c>
      <c r="J112" s="2890">
        <v>69082.919850680119</v>
      </c>
      <c r="K112" s="2890">
        <v>69627.66103182215</v>
      </c>
      <c r="L112" s="2890">
        <v>70225.773570447273</v>
      </c>
      <c r="M112" s="2890">
        <v>70772.78217988777</v>
      </c>
      <c r="N112" s="2890">
        <v>71530.246731485182</v>
      </c>
      <c r="O112" s="2890">
        <v>71968.679674689702</v>
      </c>
      <c r="P112" s="2890">
        <v>72564.117397860013</v>
      </c>
      <c r="Q112" s="2890">
        <v>73103.844681200833</v>
      </c>
      <c r="R112" s="2890">
        <v>73599</v>
      </c>
      <c r="S112" s="2890">
        <v>73640.132001444494</v>
      </c>
      <c r="T112" s="2890">
        <v>73455.999701780936</v>
      </c>
      <c r="U112" s="2890">
        <v>73492.910650964259</v>
      </c>
      <c r="V112" s="2890">
        <v>73925.966686795859</v>
      </c>
      <c r="W112" s="2890">
        <v>74662.125246537573</v>
      </c>
      <c r="X112" s="2890">
        <v>75084.85956544803</v>
      </c>
      <c r="Y112" s="2890">
        <v>75684.942947643809</v>
      </c>
      <c r="Z112" s="2890">
        <v>76296.857987871466</v>
      </c>
      <c r="AA112" s="2890">
        <v>76968.803415005706</v>
      </c>
      <c r="AB112" s="2890">
        <v>77468.719801086962</v>
      </c>
      <c r="AC112" s="2890">
        <v>77748.299302734769</v>
      </c>
      <c r="AD112" s="2890">
        <v>77966.406986151822</v>
      </c>
      <c r="AE112" s="2890">
        <v>77970.828201750308</v>
      </c>
      <c r="AF112" s="2890">
        <v>78079.099514952963</v>
      </c>
      <c r="AG112" s="2890">
        <v>78585.109841408994</v>
      </c>
      <c r="AH112" s="2890">
        <v>79716.520630578612</v>
      </c>
      <c r="AI112" s="2890">
        <v>80217.054946897828</v>
      </c>
      <c r="AJ112" s="2890">
        <v>80466.0914063909</v>
      </c>
      <c r="AK112" s="2890">
        <v>82534.118999651837</v>
      </c>
      <c r="AL112" s="2890">
        <v>83720.09653353531</v>
      </c>
      <c r="AM112" s="2890">
        <v>84168.296203066129</v>
      </c>
      <c r="AN112" s="2890">
        <v>85006.773203957346</v>
      </c>
    </row>
    <row r="113" spans="1:1989" s="2892" customFormat="1" ht="17.25" x14ac:dyDescent="0.3">
      <c r="A113" s="2829" t="s">
        <v>2875</v>
      </c>
      <c r="B113" s="2891">
        <v>37926.15914899081</v>
      </c>
      <c r="C113" s="2891">
        <v>38027.62136121199</v>
      </c>
      <c r="D113" s="2891">
        <v>41062.730670763878</v>
      </c>
      <c r="E113" s="2891">
        <v>40609.504340946616</v>
      </c>
      <c r="F113" s="2891">
        <v>41031.122921827264</v>
      </c>
      <c r="G113" s="2891">
        <v>40629.291774646044</v>
      </c>
      <c r="H113" s="2891">
        <v>42325.239536532063</v>
      </c>
      <c r="I113" s="2891">
        <v>41967.419507891565</v>
      </c>
      <c r="J113" s="2891">
        <v>43046.445477026762</v>
      </c>
      <c r="K113" s="2891">
        <v>42746.324673189629</v>
      </c>
      <c r="L113" s="2891">
        <v>44584.86126135532</v>
      </c>
      <c r="M113" s="2891">
        <v>46443.514166772125</v>
      </c>
      <c r="N113" s="2891">
        <v>42586.718244732881</v>
      </c>
      <c r="O113" s="2891">
        <v>42624.547351633671</v>
      </c>
      <c r="P113" s="2891">
        <v>41961.010925317125</v>
      </c>
      <c r="Q113" s="2891">
        <v>41412.803957008771</v>
      </c>
      <c r="R113" s="2891">
        <v>43608</v>
      </c>
      <c r="S113" s="2891">
        <v>44597.909221826521</v>
      </c>
      <c r="T113" s="2891">
        <v>45280.240078865347</v>
      </c>
      <c r="U113" s="2891">
        <v>44306.911873565674</v>
      </c>
      <c r="V113" s="2891">
        <v>43520.714937338023</v>
      </c>
      <c r="W113" s="2891">
        <v>43296.66099297491</v>
      </c>
      <c r="X113" s="2891">
        <v>40973.322533522558</v>
      </c>
      <c r="Y113" s="2891">
        <v>32645.855703825717</v>
      </c>
      <c r="Z113" s="2891">
        <v>32616.494650579101</v>
      </c>
      <c r="AA113" s="2891">
        <v>32853.254421667327</v>
      </c>
      <c r="AB113" s="2891">
        <v>32638.816112019726</v>
      </c>
      <c r="AC113" s="2891">
        <v>33445.940530395674</v>
      </c>
      <c r="AD113" s="2891">
        <v>32647.155405877107</v>
      </c>
      <c r="AE113" s="2891">
        <v>31964.101455423872</v>
      </c>
      <c r="AF113" s="2891">
        <v>33381.393647742778</v>
      </c>
      <c r="AG113" s="2891">
        <v>36683.045817680693</v>
      </c>
      <c r="AH113" s="2891">
        <v>34521.596720840847</v>
      </c>
      <c r="AI113" s="2891">
        <v>35817.703448725806</v>
      </c>
      <c r="AJ113" s="2891">
        <v>34393.914112519793</v>
      </c>
      <c r="AK113" s="2891">
        <v>32235.049898481455</v>
      </c>
      <c r="AL113" s="2891">
        <v>34640.666105347897</v>
      </c>
      <c r="AM113" s="2891">
        <v>34910.298768231412</v>
      </c>
      <c r="AN113" s="2891">
        <v>35649.778191535195</v>
      </c>
      <c r="AO113" s="624"/>
      <c r="AP113" s="624"/>
      <c r="AQ113" s="624"/>
      <c r="AR113" s="624"/>
      <c r="AS113" s="624"/>
      <c r="AT113" s="624"/>
      <c r="AU113" s="624"/>
      <c r="AV113" s="624"/>
      <c r="AW113" s="624"/>
      <c r="AX113" s="624"/>
      <c r="AY113" s="624"/>
      <c r="AZ113" s="624"/>
      <c r="BA113" s="624"/>
      <c r="BB113" s="624"/>
      <c r="BC113" s="624"/>
      <c r="BD113" s="624"/>
      <c r="BE113" s="624"/>
      <c r="BF113" s="624"/>
      <c r="BG113" s="624"/>
      <c r="BH113" s="624"/>
      <c r="BI113" s="624"/>
      <c r="BJ113" s="624"/>
      <c r="BK113" s="624"/>
      <c r="BL113" s="624"/>
      <c r="BM113" s="624"/>
      <c r="BN113" s="624"/>
      <c r="BO113" s="624"/>
      <c r="BP113" s="624"/>
      <c r="BQ113" s="624"/>
      <c r="BR113" s="624"/>
      <c r="BS113" s="624"/>
      <c r="BT113" s="624"/>
      <c r="BU113" s="624"/>
      <c r="BV113" s="624"/>
      <c r="BW113" s="624"/>
      <c r="BX113" s="624"/>
      <c r="BY113" s="624"/>
      <c r="BZ113" s="624"/>
      <c r="CA113" s="624"/>
      <c r="CB113" s="624"/>
      <c r="CC113" s="624"/>
      <c r="CD113" s="624"/>
      <c r="CE113" s="624"/>
      <c r="CF113" s="624"/>
      <c r="CG113" s="624"/>
      <c r="CH113" s="624"/>
      <c r="CI113" s="624"/>
      <c r="CJ113" s="624"/>
      <c r="CK113" s="624"/>
      <c r="CL113" s="624"/>
      <c r="CM113" s="624"/>
      <c r="CN113" s="624"/>
      <c r="CO113" s="624"/>
      <c r="CP113" s="624"/>
      <c r="CQ113" s="624"/>
      <c r="CR113" s="624"/>
      <c r="CS113" s="624"/>
      <c r="CT113" s="624"/>
      <c r="CU113" s="624"/>
      <c r="CV113" s="624"/>
      <c r="CW113" s="624"/>
      <c r="CX113" s="624"/>
      <c r="CY113" s="624"/>
      <c r="CZ113" s="624"/>
      <c r="DA113" s="624"/>
      <c r="DB113" s="624"/>
      <c r="DC113" s="624"/>
      <c r="DD113" s="624"/>
      <c r="DE113" s="624"/>
      <c r="DF113" s="624"/>
      <c r="DG113" s="624"/>
      <c r="DH113" s="624"/>
      <c r="DI113" s="624"/>
      <c r="DJ113" s="624"/>
      <c r="DK113" s="624"/>
      <c r="DL113" s="624"/>
      <c r="DM113" s="624"/>
      <c r="DN113" s="624"/>
      <c r="DO113" s="624"/>
      <c r="DP113" s="624"/>
      <c r="DQ113" s="624"/>
      <c r="DR113" s="624"/>
      <c r="DS113" s="624"/>
      <c r="DT113" s="624"/>
      <c r="DU113" s="624"/>
      <c r="DV113" s="624"/>
      <c r="DW113" s="624"/>
      <c r="DX113" s="624"/>
      <c r="DY113" s="624"/>
      <c r="DZ113" s="624"/>
      <c r="EA113" s="624"/>
      <c r="EB113" s="624"/>
      <c r="EC113" s="624"/>
      <c r="ED113" s="624"/>
      <c r="EE113" s="624"/>
      <c r="EF113" s="624"/>
      <c r="EG113" s="624"/>
      <c r="EH113" s="624"/>
      <c r="EI113" s="624"/>
      <c r="EJ113" s="624"/>
      <c r="EK113" s="624"/>
      <c r="EL113" s="624"/>
      <c r="EM113" s="624"/>
      <c r="EN113" s="624"/>
      <c r="EO113" s="624"/>
      <c r="EP113" s="624"/>
      <c r="EQ113" s="624"/>
      <c r="ER113" s="624"/>
      <c r="ES113" s="624"/>
      <c r="ET113" s="624"/>
      <c r="EU113" s="624"/>
      <c r="EV113" s="624"/>
      <c r="EW113" s="624"/>
      <c r="EX113" s="624"/>
      <c r="EY113" s="624"/>
      <c r="EZ113" s="624"/>
      <c r="FA113" s="624"/>
      <c r="FB113" s="624"/>
      <c r="FC113" s="624"/>
      <c r="FD113" s="624"/>
      <c r="FE113" s="624"/>
      <c r="FF113" s="624"/>
      <c r="FG113" s="624"/>
      <c r="FH113" s="624"/>
      <c r="FI113" s="624"/>
      <c r="FJ113" s="624"/>
      <c r="FK113" s="624"/>
      <c r="FL113" s="624"/>
      <c r="FM113" s="624"/>
      <c r="FN113" s="624"/>
      <c r="FO113" s="624"/>
      <c r="FP113" s="624"/>
      <c r="FQ113" s="624"/>
      <c r="FR113" s="624"/>
      <c r="FS113" s="624"/>
      <c r="FT113" s="624"/>
      <c r="FU113" s="624"/>
      <c r="FV113" s="624"/>
      <c r="FW113" s="624"/>
      <c r="FX113" s="624"/>
      <c r="FY113" s="624"/>
      <c r="FZ113" s="624"/>
      <c r="GA113" s="624"/>
      <c r="GB113" s="624"/>
      <c r="GC113" s="624"/>
      <c r="GD113" s="624"/>
      <c r="GE113" s="624"/>
      <c r="GF113" s="624"/>
      <c r="GG113" s="624"/>
      <c r="GH113" s="624"/>
      <c r="GI113" s="624"/>
      <c r="GJ113" s="624"/>
      <c r="GK113" s="624"/>
      <c r="GL113" s="624"/>
      <c r="GM113" s="624"/>
      <c r="GN113" s="624"/>
      <c r="GO113" s="624"/>
      <c r="GP113" s="624"/>
      <c r="GQ113" s="624"/>
      <c r="GR113" s="624"/>
      <c r="GS113" s="624"/>
      <c r="GT113" s="624"/>
      <c r="GU113" s="624"/>
      <c r="GV113" s="624"/>
      <c r="GW113" s="624"/>
      <c r="GX113" s="624"/>
      <c r="GY113" s="624"/>
      <c r="GZ113" s="624"/>
      <c r="HA113" s="624"/>
      <c r="HB113" s="624"/>
      <c r="HC113" s="624"/>
      <c r="HD113" s="624"/>
      <c r="HE113" s="624"/>
      <c r="HF113" s="624"/>
      <c r="HG113" s="624"/>
      <c r="HH113" s="624"/>
      <c r="HI113" s="624"/>
      <c r="HJ113" s="624"/>
      <c r="HK113" s="624"/>
      <c r="HL113" s="624"/>
      <c r="HM113" s="624"/>
      <c r="HN113" s="624"/>
      <c r="HO113" s="624"/>
      <c r="HP113" s="624"/>
      <c r="HQ113" s="624"/>
      <c r="HR113" s="624"/>
      <c r="HS113" s="624"/>
      <c r="HT113" s="624"/>
      <c r="HU113" s="624"/>
      <c r="HV113" s="624"/>
      <c r="HW113" s="624"/>
      <c r="HX113" s="624"/>
      <c r="HY113" s="624"/>
      <c r="HZ113" s="624"/>
      <c r="IA113" s="624"/>
      <c r="IB113" s="624"/>
      <c r="IC113" s="624"/>
      <c r="ID113" s="624"/>
      <c r="IE113" s="624"/>
      <c r="IF113" s="624"/>
      <c r="IG113" s="624"/>
      <c r="IH113" s="624"/>
      <c r="II113" s="624"/>
      <c r="IJ113" s="624"/>
      <c r="IK113" s="624"/>
      <c r="IL113" s="624"/>
      <c r="IM113" s="624"/>
      <c r="IN113" s="624"/>
      <c r="IO113" s="624"/>
      <c r="IP113" s="624"/>
      <c r="IQ113" s="624"/>
      <c r="IR113" s="624"/>
      <c r="IS113" s="624"/>
      <c r="IT113" s="624"/>
      <c r="IU113" s="624"/>
      <c r="IV113" s="624"/>
      <c r="IW113" s="624"/>
      <c r="IX113" s="624"/>
      <c r="IY113" s="624"/>
      <c r="IZ113" s="624"/>
      <c r="JA113" s="624"/>
      <c r="JB113" s="624"/>
      <c r="JC113" s="624"/>
      <c r="JD113" s="624"/>
      <c r="JE113" s="624"/>
      <c r="JF113" s="624"/>
      <c r="JG113" s="624"/>
      <c r="JH113" s="624"/>
      <c r="JI113" s="624"/>
      <c r="JJ113" s="624"/>
      <c r="JK113" s="624"/>
      <c r="JL113" s="624"/>
      <c r="JM113" s="624"/>
      <c r="JN113" s="624"/>
      <c r="JO113" s="624"/>
      <c r="JP113" s="624"/>
      <c r="JQ113" s="624"/>
      <c r="JR113" s="624"/>
      <c r="JS113" s="624"/>
      <c r="JT113" s="624"/>
      <c r="JU113" s="624"/>
      <c r="JV113" s="624"/>
      <c r="JW113" s="624"/>
      <c r="JX113" s="624"/>
      <c r="JY113" s="624"/>
      <c r="JZ113" s="624"/>
      <c r="KA113" s="624"/>
      <c r="KB113" s="624"/>
      <c r="KC113" s="624"/>
      <c r="KD113" s="624"/>
      <c r="KE113" s="624"/>
      <c r="KF113" s="624"/>
      <c r="KG113" s="624"/>
      <c r="KH113" s="624"/>
      <c r="KI113" s="624"/>
      <c r="KJ113" s="624"/>
      <c r="KK113" s="624"/>
      <c r="KL113" s="624"/>
      <c r="KM113" s="624"/>
      <c r="KN113" s="624"/>
      <c r="KO113" s="624"/>
      <c r="KP113" s="624"/>
      <c r="KQ113" s="624"/>
      <c r="KR113" s="624"/>
      <c r="KS113" s="624"/>
      <c r="KT113" s="624"/>
      <c r="KU113" s="624"/>
      <c r="KV113" s="624"/>
      <c r="KW113" s="624"/>
      <c r="KX113" s="624"/>
      <c r="KY113" s="624"/>
      <c r="KZ113" s="624"/>
      <c r="LA113" s="624"/>
      <c r="LB113" s="624"/>
      <c r="LC113" s="624"/>
      <c r="LD113" s="624"/>
      <c r="LE113" s="624"/>
      <c r="LF113" s="624"/>
      <c r="LG113" s="624"/>
      <c r="LH113" s="624"/>
      <c r="LI113" s="624"/>
      <c r="LJ113" s="624"/>
      <c r="LK113" s="624"/>
      <c r="LL113" s="624"/>
      <c r="LM113" s="624"/>
      <c r="LN113" s="624"/>
      <c r="LO113" s="624"/>
      <c r="LP113" s="624"/>
      <c r="LQ113" s="624"/>
      <c r="LR113" s="624"/>
      <c r="LS113" s="624"/>
      <c r="LT113" s="624"/>
      <c r="LU113" s="624"/>
      <c r="LV113" s="624"/>
      <c r="LW113" s="624"/>
      <c r="LX113" s="624"/>
      <c r="LY113" s="624"/>
      <c r="LZ113" s="624"/>
      <c r="MA113" s="624"/>
      <c r="MB113" s="624"/>
      <c r="MC113" s="624"/>
      <c r="MD113" s="624"/>
      <c r="ME113" s="624"/>
      <c r="MF113" s="624"/>
      <c r="MG113" s="624"/>
      <c r="MH113" s="624"/>
      <c r="MI113" s="624"/>
      <c r="MJ113" s="624"/>
      <c r="MK113" s="624"/>
      <c r="ML113" s="624"/>
      <c r="MM113" s="624"/>
      <c r="MN113" s="624"/>
      <c r="MO113" s="624"/>
      <c r="MP113" s="624"/>
      <c r="MQ113" s="624"/>
      <c r="MR113" s="624"/>
      <c r="MS113" s="624"/>
      <c r="MT113" s="624"/>
      <c r="MU113" s="624"/>
      <c r="MV113" s="624"/>
      <c r="MW113" s="624"/>
      <c r="MX113" s="624"/>
      <c r="MY113" s="624"/>
      <c r="MZ113" s="624"/>
      <c r="NA113" s="624"/>
      <c r="NB113" s="624"/>
      <c r="NC113" s="624"/>
      <c r="ND113" s="624"/>
      <c r="NE113" s="624"/>
      <c r="NF113" s="624"/>
      <c r="NG113" s="624"/>
      <c r="NH113" s="624"/>
      <c r="NI113" s="624"/>
      <c r="NJ113" s="624"/>
      <c r="NK113" s="624"/>
      <c r="NL113" s="624"/>
      <c r="NM113" s="624"/>
      <c r="NN113" s="624"/>
      <c r="NO113" s="624"/>
      <c r="NP113" s="624"/>
      <c r="NQ113" s="624"/>
      <c r="NR113" s="624"/>
      <c r="NS113" s="624"/>
      <c r="NT113" s="624"/>
      <c r="NU113" s="624"/>
      <c r="NV113" s="624"/>
      <c r="NW113" s="624"/>
      <c r="NX113" s="624"/>
      <c r="NY113" s="624"/>
      <c r="NZ113" s="624"/>
      <c r="OA113" s="624"/>
      <c r="OB113" s="624"/>
      <c r="OC113" s="624"/>
      <c r="OD113" s="624"/>
      <c r="OE113" s="624"/>
      <c r="OF113" s="624"/>
      <c r="OG113" s="624"/>
      <c r="OH113" s="624"/>
      <c r="OI113" s="624"/>
      <c r="OJ113" s="624"/>
      <c r="OK113" s="624"/>
      <c r="OL113" s="624"/>
      <c r="OM113" s="624"/>
      <c r="ON113" s="624"/>
      <c r="OO113" s="624"/>
      <c r="OP113" s="624"/>
      <c r="OQ113" s="624"/>
      <c r="OR113" s="624"/>
      <c r="OS113" s="624"/>
      <c r="OT113" s="624"/>
      <c r="OU113" s="624"/>
      <c r="OV113" s="624"/>
      <c r="OW113" s="624"/>
      <c r="OX113" s="624"/>
      <c r="OY113" s="624"/>
      <c r="OZ113" s="624"/>
      <c r="PA113" s="624"/>
      <c r="PB113" s="624"/>
      <c r="PC113" s="624"/>
      <c r="PD113" s="624"/>
      <c r="PE113" s="624"/>
      <c r="PF113" s="624"/>
      <c r="PG113" s="624"/>
      <c r="PH113" s="624"/>
      <c r="PI113" s="624"/>
      <c r="PJ113" s="624"/>
      <c r="PK113" s="624"/>
      <c r="PL113" s="624"/>
      <c r="PM113" s="624"/>
      <c r="PN113" s="624"/>
      <c r="PO113" s="624"/>
      <c r="PP113" s="624"/>
      <c r="PQ113" s="624"/>
      <c r="PR113" s="624"/>
      <c r="PS113" s="624"/>
      <c r="PT113" s="624"/>
      <c r="PU113" s="624"/>
      <c r="PV113" s="624"/>
      <c r="PW113" s="624"/>
      <c r="PX113" s="624"/>
      <c r="PY113" s="624"/>
      <c r="PZ113" s="624"/>
      <c r="QA113" s="624"/>
      <c r="QB113" s="624"/>
      <c r="QC113" s="624"/>
      <c r="QD113" s="624"/>
      <c r="QE113" s="624"/>
      <c r="QF113" s="624"/>
      <c r="QG113" s="624"/>
      <c r="QH113" s="624"/>
      <c r="QI113" s="624"/>
      <c r="QJ113" s="624"/>
      <c r="QK113" s="624"/>
      <c r="QL113" s="624"/>
      <c r="QM113" s="624"/>
      <c r="QN113" s="624"/>
      <c r="QO113" s="624"/>
      <c r="QP113" s="624"/>
      <c r="QQ113" s="624"/>
      <c r="QR113" s="624"/>
      <c r="QS113" s="624"/>
      <c r="QT113" s="624"/>
      <c r="QU113" s="624"/>
      <c r="QV113" s="624"/>
      <c r="QW113" s="624"/>
      <c r="QX113" s="624"/>
      <c r="QY113" s="624"/>
      <c r="QZ113" s="624"/>
      <c r="RA113" s="624"/>
      <c r="RB113" s="624"/>
      <c r="RC113" s="624"/>
      <c r="RD113" s="624"/>
      <c r="RE113" s="624"/>
      <c r="RF113" s="624"/>
      <c r="RG113" s="624"/>
      <c r="RH113" s="624"/>
      <c r="RI113" s="624"/>
      <c r="RJ113" s="624"/>
      <c r="RK113" s="624"/>
      <c r="RL113" s="624"/>
      <c r="RM113" s="624"/>
      <c r="RN113" s="624"/>
      <c r="RO113" s="624"/>
      <c r="RP113" s="624"/>
      <c r="RQ113" s="624"/>
      <c r="RR113" s="624"/>
      <c r="RS113" s="624"/>
      <c r="RT113" s="624"/>
      <c r="RU113" s="624"/>
      <c r="RV113" s="624"/>
      <c r="RW113" s="624"/>
      <c r="RX113" s="624"/>
      <c r="RY113" s="624"/>
      <c r="RZ113" s="624"/>
      <c r="SA113" s="624"/>
      <c r="SB113" s="624"/>
      <c r="SC113" s="624"/>
      <c r="SD113" s="624"/>
      <c r="SE113" s="624"/>
      <c r="SF113" s="624"/>
      <c r="SG113" s="624"/>
      <c r="SH113" s="624"/>
      <c r="SI113" s="624"/>
      <c r="SJ113" s="624"/>
      <c r="SK113" s="624"/>
      <c r="SL113" s="624"/>
      <c r="SM113" s="624"/>
      <c r="SN113" s="624"/>
      <c r="SO113" s="624"/>
      <c r="SP113" s="624"/>
      <c r="SQ113" s="624"/>
      <c r="SR113" s="624"/>
      <c r="SS113" s="624"/>
      <c r="ST113" s="624"/>
      <c r="SU113" s="624"/>
      <c r="SV113" s="624"/>
      <c r="SW113" s="624"/>
      <c r="SX113" s="624"/>
      <c r="SY113" s="624"/>
      <c r="SZ113" s="624"/>
      <c r="TA113" s="624"/>
      <c r="TB113" s="624"/>
      <c r="TC113" s="624"/>
      <c r="TD113" s="624"/>
      <c r="TE113" s="624"/>
      <c r="TF113" s="624"/>
      <c r="TG113" s="624"/>
      <c r="TH113" s="624"/>
      <c r="TI113" s="624"/>
      <c r="TJ113" s="624"/>
      <c r="TK113" s="624"/>
      <c r="TL113" s="624"/>
      <c r="TM113" s="624"/>
      <c r="TN113" s="624"/>
      <c r="TO113" s="624"/>
      <c r="TP113" s="624"/>
      <c r="TQ113" s="624"/>
      <c r="TR113" s="624"/>
      <c r="TS113" s="624"/>
      <c r="TT113" s="624"/>
      <c r="TU113" s="624"/>
      <c r="TV113" s="624"/>
      <c r="TW113" s="624"/>
      <c r="TX113" s="624"/>
      <c r="TY113" s="624"/>
      <c r="TZ113" s="624"/>
      <c r="UA113" s="624"/>
      <c r="UB113" s="624"/>
      <c r="UC113" s="624"/>
      <c r="UD113" s="624"/>
      <c r="UE113" s="624"/>
      <c r="UF113" s="624"/>
      <c r="UG113" s="624"/>
      <c r="UH113" s="624"/>
      <c r="UI113" s="624"/>
      <c r="UJ113" s="624"/>
      <c r="UK113" s="624"/>
      <c r="UL113" s="624"/>
      <c r="UM113" s="624"/>
      <c r="UN113" s="624"/>
      <c r="UO113" s="624"/>
      <c r="UP113" s="624"/>
      <c r="UQ113" s="624"/>
      <c r="UR113" s="624"/>
      <c r="US113" s="624"/>
      <c r="UT113" s="624"/>
      <c r="UU113" s="624"/>
      <c r="UV113" s="624"/>
      <c r="UW113" s="624"/>
      <c r="UX113" s="624"/>
      <c r="UY113" s="624"/>
      <c r="UZ113" s="624"/>
      <c r="VA113" s="624"/>
      <c r="VB113" s="624"/>
      <c r="VC113" s="624"/>
      <c r="VD113" s="624"/>
      <c r="VE113" s="624"/>
      <c r="VF113" s="624"/>
      <c r="VG113" s="624"/>
      <c r="VH113" s="624"/>
      <c r="VI113" s="624"/>
      <c r="VJ113" s="624"/>
      <c r="VK113" s="624"/>
      <c r="VL113" s="624"/>
      <c r="VM113" s="624"/>
      <c r="VN113" s="624"/>
      <c r="VO113" s="624"/>
      <c r="VP113" s="624"/>
      <c r="VQ113" s="624"/>
      <c r="VR113" s="624"/>
      <c r="VS113" s="624"/>
      <c r="VT113" s="624"/>
      <c r="VU113" s="624"/>
      <c r="VV113" s="624"/>
      <c r="VW113" s="624"/>
      <c r="VX113" s="624"/>
      <c r="VY113" s="624"/>
      <c r="VZ113" s="624"/>
      <c r="WA113" s="624"/>
      <c r="WB113" s="624"/>
      <c r="WC113" s="624"/>
      <c r="WD113" s="624"/>
      <c r="WE113" s="624"/>
      <c r="WF113" s="624"/>
      <c r="WG113" s="624"/>
      <c r="WH113" s="624"/>
      <c r="WI113" s="624"/>
      <c r="WJ113" s="624"/>
      <c r="WK113" s="624"/>
      <c r="WL113" s="624"/>
      <c r="WM113" s="624"/>
      <c r="WN113" s="624"/>
      <c r="WO113" s="624"/>
      <c r="WP113" s="624"/>
      <c r="WQ113" s="624"/>
      <c r="WR113" s="624"/>
      <c r="WS113" s="624"/>
      <c r="WT113" s="624"/>
      <c r="WU113" s="624"/>
      <c r="WV113" s="624"/>
      <c r="WW113" s="624"/>
      <c r="WX113" s="624"/>
      <c r="WY113" s="624"/>
      <c r="WZ113" s="624"/>
      <c r="XA113" s="624"/>
      <c r="XB113" s="624"/>
      <c r="XC113" s="624"/>
      <c r="XD113" s="624"/>
      <c r="XE113" s="624"/>
      <c r="XF113" s="624"/>
      <c r="XG113" s="624"/>
      <c r="XH113" s="624"/>
      <c r="XI113" s="624"/>
      <c r="XJ113" s="624"/>
      <c r="XK113" s="624"/>
      <c r="XL113" s="624"/>
      <c r="XM113" s="624"/>
      <c r="XN113" s="624"/>
      <c r="XO113" s="624"/>
      <c r="XP113" s="624"/>
      <c r="XQ113" s="624"/>
      <c r="XR113" s="624"/>
      <c r="XS113" s="624"/>
      <c r="XT113" s="624"/>
      <c r="XU113" s="624"/>
      <c r="XV113" s="624"/>
      <c r="XW113" s="624"/>
      <c r="XX113" s="624"/>
      <c r="XY113" s="624"/>
      <c r="XZ113" s="624"/>
      <c r="YA113" s="624"/>
      <c r="YB113" s="624"/>
      <c r="YC113" s="624"/>
      <c r="YD113" s="624"/>
      <c r="YE113" s="624"/>
      <c r="YF113" s="624"/>
      <c r="YG113" s="624"/>
      <c r="YH113" s="624"/>
      <c r="YI113" s="624"/>
      <c r="YJ113" s="624"/>
      <c r="YK113" s="624"/>
      <c r="YL113" s="624"/>
      <c r="YM113" s="624"/>
      <c r="YN113" s="624"/>
      <c r="YO113" s="624"/>
      <c r="YP113" s="624"/>
      <c r="YQ113" s="624"/>
      <c r="YR113" s="624"/>
      <c r="YS113" s="624"/>
      <c r="YT113" s="624"/>
      <c r="YU113" s="624"/>
      <c r="YV113" s="624"/>
      <c r="YW113" s="624"/>
      <c r="YX113" s="624"/>
      <c r="YY113" s="624"/>
      <c r="YZ113" s="624"/>
      <c r="ZA113" s="624"/>
      <c r="ZB113" s="624"/>
      <c r="ZC113" s="624"/>
      <c r="ZD113" s="624"/>
      <c r="ZE113" s="624"/>
      <c r="ZF113" s="624"/>
      <c r="ZG113" s="624"/>
      <c r="ZH113" s="624"/>
      <c r="ZI113" s="624"/>
      <c r="ZJ113" s="624"/>
      <c r="ZK113" s="624"/>
      <c r="ZL113" s="624"/>
      <c r="ZM113" s="624"/>
      <c r="ZN113" s="624"/>
      <c r="ZO113" s="624"/>
      <c r="ZP113" s="624"/>
      <c r="ZQ113" s="624"/>
      <c r="ZR113" s="624"/>
      <c r="ZS113" s="624"/>
      <c r="ZT113" s="624"/>
      <c r="ZU113" s="624"/>
      <c r="ZV113" s="624"/>
      <c r="ZW113" s="624"/>
      <c r="ZX113" s="624"/>
      <c r="ZY113" s="624"/>
      <c r="ZZ113" s="624"/>
      <c r="AAA113" s="624"/>
      <c r="AAB113" s="624"/>
      <c r="AAC113" s="624"/>
      <c r="AAD113" s="624"/>
      <c r="AAE113" s="624"/>
      <c r="AAF113" s="624"/>
      <c r="AAG113" s="624"/>
      <c r="AAH113" s="624"/>
      <c r="AAI113" s="624"/>
      <c r="AAJ113" s="624"/>
      <c r="AAK113" s="624"/>
      <c r="AAL113" s="624"/>
      <c r="AAM113" s="624"/>
      <c r="AAN113" s="624"/>
      <c r="AAO113" s="624"/>
      <c r="AAP113" s="624"/>
      <c r="AAQ113" s="624"/>
      <c r="AAR113" s="624"/>
      <c r="AAS113" s="624"/>
      <c r="AAT113" s="624"/>
      <c r="AAU113" s="624"/>
      <c r="AAV113" s="624"/>
      <c r="AAW113" s="624"/>
      <c r="AAX113" s="624"/>
      <c r="AAY113" s="624"/>
      <c r="AAZ113" s="624"/>
      <c r="ABA113" s="624"/>
      <c r="ABB113" s="624"/>
      <c r="ABC113" s="624"/>
      <c r="ABD113" s="624"/>
      <c r="ABE113" s="624"/>
      <c r="ABF113" s="624"/>
      <c r="ABG113" s="624"/>
      <c r="ABH113" s="624"/>
      <c r="ABI113" s="624"/>
      <c r="ABJ113" s="624"/>
      <c r="ABK113" s="624"/>
      <c r="ABL113" s="624"/>
      <c r="ABM113" s="624"/>
      <c r="ABN113" s="624"/>
      <c r="ABO113" s="624"/>
      <c r="ABP113" s="624"/>
      <c r="ABQ113" s="624"/>
      <c r="ABR113" s="624"/>
      <c r="ABS113" s="624"/>
      <c r="ABT113" s="624"/>
      <c r="ABU113" s="624"/>
      <c r="ABV113" s="624"/>
      <c r="ABW113" s="624"/>
      <c r="ABX113" s="624"/>
      <c r="ABY113" s="624"/>
      <c r="ABZ113" s="624"/>
      <c r="ACA113" s="624"/>
      <c r="ACB113" s="624"/>
      <c r="ACC113" s="624"/>
      <c r="ACD113" s="624"/>
      <c r="ACE113" s="624"/>
      <c r="ACF113" s="624"/>
      <c r="ACG113" s="624"/>
      <c r="ACH113" s="624"/>
      <c r="ACI113" s="624"/>
      <c r="ACJ113" s="624"/>
      <c r="ACK113" s="624"/>
      <c r="ACL113" s="624"/>
      <c r="ACM113" s="624"/>
      <c r="ACN113" s="624"/>
      <c r="ACO113" s="624"/>
      <c r="ACP113" s="624"/>
      <c r="ACQ113" s="624"/>
      <c r="ACR113" s="624"/>
      <c r="ACS113" s="624"/>
      <c r="ACT113" s="624"/>
      <c r="ACU113" s="624"/>
      <c r="ACV113" s="624"/>
      <c r="ACW113" s="624"/>
      <c r="ACX113" s="624"/>
      <c r="ACY113" s="624"/>
      <c r="ACZ113" s="624"/>
      <c r="ADA113" s="624"/>
      <c r="ADB113" s="624"/>
      <c r="ADC113" s="624"/>
      <c r="ADD113" s="624"/>
      <c r="ADE113" s="624"/>
      <c r="ADF113" s="624"/>
      <c r="ADG113" s="624"/>
      <c r="ADH113" s="624"/>
      <c r="ADI113" s="624"/>
      <c r="ADJ113" s="624"/>
      <c r="ADK113" s="624"/>
      <c r="ADL113" s="624"/>
      <c r="ADM113" s="624"/>
      <c r="ADN113" s="624"/>
      <c r="ADO113" s="624"/>
      <c r="ADP113" s="624"/>
      <c r="ADQ113" s="624"/>
      <c r="ADR113" s="624"/>
      <c r="ADS113" s="624"/>
      <c r="ADT113" s="624"/>
      <c r="ADU113" s="624"/>
      <c r="ADV113" s="624"/>
      <c r="ADW113" s="624"/>
      <c r="ADX113" s="624"/>
      <c r="ADY113" s="624"/>
      <c r="ADZ113" s="624"/>
      <c r="AEA113" s="624"/>
      <c r="AEB113" s="624"/>
      <c r="AEC113" s="624"/>
      <c r="AED113" s="624"/>
      <c r="AEE113" s="624"/>
      <c r="AEF113" s="624"/>
      <c r="AEG113" s="624"/>
      <c r="AEH113" s="624"/>
      <c r="AEI113" s="624"/>
      <c r="AEJ113" s="624"/>
      <c r="AEK113" s="624"/>
      <c r="AEL113" s="624"/>
      <c r="AEM113" s="624"/>
      <c r="AEN113" s="624"/>
      <c r="AEO113" s="624"/>
      <c r="AEP113" s="624"/>
      <c r="AEQ113" s="624"/>
      <c r="AER113" s="624"/>
      <c r="AES113" s="624"/>
      <c r="AET113" s="624"/>
      <c r="AEU113" s="624"/>
      <c r="AEV113" s="624"/>
      <c r="AEW113" s="624"/>
      <c r="AEX113" s="624"/>
      <c r="AEY113" s="624"/>
      <c r="AEZ113" s="624"/>
      <c r="AFA113" s="624"/>
      <c r="AFB113" s="624"/>
      <c r="AFC113" s="624"/>
      <c r="AFD113" s="624"/>
      <c r="AFE113" s="624"/>
      <c r="AFF113" s="624"/>
      <c r="AFG113" s="624"/>
      <c r="AFH113" s="624"/>
      <c r="AFI113" s="624"/>
      <c r="AFJ113" s="624"/>
      <c r="AFK113" s="624"/>
      <c r="AFL113" s="624"/>
      <c r="AFM113" s="624"/>
      <c r="AFN113" s="624"/>
      <c r="AFO113" s="624"/>
      <c r="AFP113" s="624"/>
      <c r="AFQ113" s="624"/>
      <c r="AFR113" s="624"/>
      <c r="AFS113" s="624"/>
      <c r="AFT113" s="624"/>
      <c r="AFU113" s="624"/>
      <c r="AFV113" s="624"/>
      <c r="AFW113" s="624"/>
      <c r="AFX113" s="624"/>
      <c r="AFY113" s="624"/>
      <c r="AFZ113" s="624"/>
      <c r="AGA113" s="624"/>
      <c r="AGB113" s="624"/>
      <c r="AGC113" s="624"/>
      <c r="AGD113" s="624"/>
      <c r="AGE113" s="624"/>
      <c r="AGF113" s="624"/>
      <c r="AGG113" s="624"/>
      <c r="AGH113" s="624"/>
      <c r="AGI113" s="624"/>
      <c r="AGJ113" s="624"/>
      <c r="AGK113" s="624"/>
      <c r="AGL113" s="624"/>
      <c r="AGM113" s="624"/>
      <c r="AGN113" s="624"/>
      <c r="AGO113" s="624"/>
      <c r="AGP113" s="624"/>
      <c r="AGQ113" s="624"/>
      <c r="AGR113" s="624"/>
      <c r="AGS113" s="624"/>
      <c r="AGT113" s="624"/>
      <c r="AGU113" s="624"/>
      <c r="AGV113" s="624"/>
      <c r="AGW113" s="624"/>
      <c r="AGX113" s="624"/>
      <c r="AGY113" s="624"/>
      <c r="AGZ113" s="624"/>
      <c r="AHA113" s="624"/>
      <c r="AHB113" s="624"/>
      <c r="AHC113" s="624"/>
      <c r="AHD113" s="624"/>
      <c r="AHE113" s="624"/>
      <c r="AHF113" s="624"/>
      <c r="AHG113" s="624"/>
      <c r="AHH113" s="624"/>
      <c r="AHI113" s="624"/>
      <c r="AHJ113" s="624"/>
      <c r="AHK113" s="624"/>
      <c r="AHL113" s="624"/>
      <c r="AHM113" s="624"/>
      <c r="AHN113" s="624"/>
      <c r="AHO113" s="624"/>
      <c r="AHP113" s="624"/>
      <c r="AHQ113" s="624"/>
      <c r="AHR113" s="624"/>
      <c r="AHS113" s="624"/>
      <c r="AHT113" s="624"/>
      <c r="AHU113" s="624"/>
      <c r="AHV113" s="624"/>
      <c r="AHW113" s="624"/>
      <c r="AHX113" s="624"/>
      <c r="AHY113" s="624"/>
      <c r="AHZ113" s="624"/>
      <c r="AIA113" s="624"/>
      <c r="AIB113" s="624"/>
      <c r="AIC113" s="624"/>
      <c r="AID113" s="624"/>
      <c r="AIE113" s="624"/>
      <c r="AIF113" s="624"/>
      <c r="AIG113" s="624"/>
      <c r="AIH113" s="624"/>
      <c r="AII113" s="624"/>
      <c r="AIJ113" s="624"/>
      <c r="AIK113" s="624"/>
      <c r="AIL113" s="624"/>
      <c r="AIM113" s="624"/>
      <c r="AIN113" s="624"/>
      <c r="AIO113" s="624"/>
      <c r="AIP113" s="624"/>
      <c r="AIQ113" s="624"/>
      <c r="AIR113" s="624"/>
      <c r="AIS113" s="624"/>
      <c r="AIT113" s="624"/>
      <c r="AIU113" s="624"/>
      <c r="AIV113" s="624"/>
      <c r="AIW113" s="624"/>
      <c r="AIX113" s="624"/>
      <c r="AIY113" s="624"/>
      <c r="AIZ113" s="624"/>
      <c r="AJA113" s="624"/>
      <c r="AJB113" s="624"/>
      <c r="AJC113" s="624"/>
      <c r="AJD113" s="624"/>
      <c r="AJE113" s="624"/>
      <c r="AJF113" s="624"/>
      <c r="AJG113" s="624"/>
      <c r="AJH113" s="624"/>
      <c r="AJI113" s="624"/>
      <c r="AJJ113" s="624"/>
      <c r="AJK113" s="624"/>
      <c r="AJL113" s="624"/>
      <c r="AJM113" s="624"/>
      <c r="AJN113" s="624"/>
      <c r="AJO113" s="624"/>
      <c r="AJP113" s="624"/>
      <c r="AJQ113" s="624"/>
      <c r="AJR113" s="624"/>
      <c r="AJS113" s="624"/>
      <c r="AJT113" s="624"/>
      <c r="AJU113" s="624"/>
      <c r="AJV113" s="624"/>
      <c r="AJW113" s="624"/>
      <c r="AJX113" s="624"/>
      <c r="AJY113" s="624"/>
      <c r="AJZ113" s="624"/>
      <c r="AKA113" s="624"/>
      <c r="AKB113" s="624"/>
      <c r="AKC113" s="624"/>
      <c r="AKD113" s="624"/>
      <c r="AKE113" s="624"/>
      <c r="AKF113" s="624"/>
      <c r="AKG113" s="624"/>
      <c r="AKH113" s="624"/>
      <c r="AKI113" s="624"/>
      <c r="AKJ113" s="624"/>
      <c r="AKK113" s="624"/>
      <c r="AKL113" s="624"/>
      <c r="AKM113" s="624"/>
      <c r="AKN113" s="624"/>
      <c r="AKO113" s="624"/>
      <c r="AKP113" s="624"/>
      <c r="AKQ113" s="624"/>
      <c r="AKR113" s="624"/>
      <c r="AKS113" s="624"/>
      <c r="AKT113" s="624"/>
      <c r="AKU113" s="624"/>
      <c r="AKV113" s="624"/>
      <c r="AKW113" s="624"/>
      <c r="AKX113" s="624"/>
      <c r="AKY113" s="624"/>
      <c r="AKZ113" s="624"/>
      <c r="ALA113" s="624"/>
      <c r="ALB113" s="624"/>
      <c r="ALC113" s="624"/>
      <c r="ALD113" s="624"/>
      <c r="ALE113" s="624"/>
      <c r="ALF113" s="624"/>
      <c r="ALG113" s="624"/>
      <c r="ALH113" s="624"/>
      <c r="ALI113" s="624"/>
      <c r="ALJ113" s="624"/>
      <c r="ALK113" s="624"/>
      <c r="ALL113" s="624"/>
      <c r="ALM113" s="624"/>
      <c r="ALN113" s="624"/>
      <c r="ALO113" s="624"/>
      <c r="ALP113" s="624"/>
      <c r="ALQ113" s="624"/>
      <c r="ALR113" s="624"/>
      <c r="ALS113" s="624"/>
      <c r="ALT113" s="624"/>
      <c r="ALU113" s="624"/>
      <c r="ALV113" s="624"/>
      <c r="ALW113" s="624"/>
      <c r="ALX113" s="624"/>
      <c r="ALY113" s="624"/>
      <c r="ALZ113" s="624"/>
      <c r="AMA113" s="624"/>
      <c r="AMB113" s="624"/>
      <c r="AMC113" s="624"/>
      <c r="AMD113" s="624"/>
      <c r="AME113" s="624"/>
      <c r="AMF113" s="624"/>
      <c r="AMG113" s="624"/>
      <c r="AMH113" s="624"/>
      <c r="AMI113" s="624"/>
      <c r="AMJ113" s="624"/>
      <c r="AMK113" s="624"/>
      <c r="AML113" s="624"/>
      <c r="AMM113" s="624"/>
      <c r="AMN113" s="624"/>
      <c r="AMO113" s="624"/>
      <c r="AMP113" s="624"/>
      <c r="AMQ113" s="624"/>
      <c r="AMR113" s="624"/>
      <c r="AMS113" s="624"/>
      <c r="AMT113" s="624"/>
      <c r="AMU113" s="624"/>
      <c r="AMV113" s="624"/>
      <c r="AMW113" s="624"/>
      <c r="AMX113" s="624"/>
      <c r="AMY113" s="624"/>
      <c r="AMZ113" s="624"/>
      <c r="ANA113" s="624"/>
      <c r="ANB113" s="624"/>
      <c r="ANC113" s="624"/>
      <c r="AND113" s="624"/>
      <c r="ANE113" s="624"/>
      <c r="ANF113" s="624"/>
      <c r="ANG113" s="624"/>
      <c r="ANH113" s="624"/>
      <c r="ANI113" s="624"/>
      <c r="ANJ113" s="624"/>
      <c r="ANK113" s="624"/>
      <c r="ANL113" s="624"/>
      <c r="ANM113" s="624"/>
      <c r="ANN113" s="624"/>
      <c r="ANO113" s="624"/>
      <c r="ANP113" s="624"/>
      <c r="ANQ113" s="624"/>
      <c r="ANR113" s="624"/>
      <c r="ANS113" s="624"/>
      <c r="ANT113" s="624"/>
      <c r="ANU113" s="624"/>
      <c r="ANV113" s="624"/>
      <c r="ANW113" s="624"/>
      <c r="ANX113" s="624"/>
      <c r="ANY113" s="624"/>
      <c r="ANZ113" s="624"/>
      <c r="AOA113" s="624"/>
      <c r="AOB113" s="624"/>
      <c r="AOC113" s="624"/>
      <c r="AOD113" s="624"/>
      <c r="AOE113" s="624"/>
      <c r="AOF113" s="624"/>
      <c r="AOG113" s="624"/>
      <c r="AOH113" s="624"/>
      <c r="AOI113" s="624"/>
      <c r="AOJ113" s="624"/>
      <c r="AOK113" s="624"/>
      <c r="AOL113" s="624"/>
      <c r="AOM113" s="624"/>
      <c r="AON113" s="624"/>
      <c r="AOO113" s="624"/>
      <c r="AOP113" s="624"/>
      <c r="AOQ113" s="624"/>
      <c r="AOR113" s="624"/>
      <c r="AOS113" s="624"/>
      <c r="AOT113" s="624"/>
      <c r="AOU113" s="624"/>
      <c r="AOV113" s="624"/>
      <c r="AOW113" s="624"/>
      <c r="AOX113" s="624"/>
      <c r="AOY113" s="624"/>
      <c r="AOZ113" s="624"/>
      <c r="APA113" s="624"/>
      <c r="APB113" s="624"/>
      <c r="APC113" s="624"/>
      <c r="APD113" s="624"/>
      <c r="APE113" s="624"/>
      <c r="APF113" s="624"/>
      <c r="APG113" s="624"/>
      <c r="APH113" s="624"/>
      <c r="API113" s="624"/>
      <c r="APJ113" s="624"/>
      <c r="APK113" s="624"/>
      <c r="APL113" s="624"/>
      <c r="APM113" s="624"/>
      <c r="APN113" s="624"/>
      <c r="APO113" s="624"/>
      <c r="APP113" s="624"/>
      <c r="APQ113" s="624"/>
      <c r="APR113" s="624"/>
      <c r="APS113" s="624"/>
      <c r="APT113" s="624"/>
      <c r="APU113" s="624"/>
      <c r="APV113" s="624"/>
      <c r="APW113" s="624"/>
      <c r="APX113" s="624"/>
      <c r="APY113" s="624"/>
      <c r="APZ113" s="624"/>
      <c r="AQA113" s="624"/>
      <c r="AQB113" s="624"/>
      <c r="AQC113" s="624"/>
      <c r="AQD113" s="624"/>
      <c r="AQE113" s="624"/>
      <c r="AQF113" s="624"/>
      <c r="AQG113" s="624"/>
      <c r="AQH113" s="624"/>
      <c r="AQI113" s="624"/>
      <c r="AQJ113" s="624"/>
      <c r="AQK113" s="624"/>
      <c r="AQL113" s="624"/>
      <c r="AQM113" s="624"/>
      <c r="AQN113" s="624"/>
      <c r="AQO113" s="624"/>
      <c r="AQP113" s="624"/>
      <c r="AQQ113" s="624"/>
      <c r="AQR113" s="624"/>
      <c r="AQS113" s="624"/>
      <c r="AQT113" s="624"/>
      <c r="AQU113" s="624"/>
      <c r="AQV113" s="624"/>
      <c r="AQW113" s="624"/>
      <c r="AQX113" s="624"/>
      <c r="AQY113" s="624"/>
      <c r="AQZ113" s="624"/>
      <c r="ARA113" s="624"/>
      <c r="ARB113" s="624"/>
      <c r="ARC113" s="624"/>
      <c r="ARD113" s="624"/>
      <c r="ARE113" s="624"/>
      <c r="ARF113" s="624"/>
      <c r="ARG113" s="624"/>
      <c r="ARH113" s="624"/>
      <c r="ARI113" s="624"/>
      <c r="ARJ113" s="624"/>
      <c r="ARK113" s="624"/>
      <c r="ARL113" s="624"/>
      <c r="ARM113" s="624"/>
      <c r="ARN113" s="624"/>
      <c r="ARO113" s="624"/>
      <c r="ARP113" s="624"/>
      <c r="ARQ113" s="624"/>
      <c r="ARR113" s="624"/>
      <c r="ARS113" s="624"/>
      <c r="ART113" s="624"/>
      <c r="ARU113" s="624"/>
      <c r="ARV113" s="624"/>
      <c r="ARW113" s="624"/>
      <c r="ARX113" s="624"/>
      <c r="ARY113" s="624"/>
      <c r="ARZ113" s="624"/>
      <c r="ASA113" s="624"/>
      <c r="ASB113" s="624"/>
      <c r="ASC113" s="624"/>
      <c r="ASD113" s="624"/>
      <c r="ASE113" s="624"/>
      <c r="ASF113" s="624"/>
      <c r="ASG113" s="624"/>
      <c r="ASH113" s="624"/>
      <c r="ASI113" s="624"/>
      <c r="ASJ113" s="624"/>
      <c r="ASK113" s="624"/>
      <c r="ASL113" s="624"/>
      <c r="ASM113" s="624"/>
      <c r="ASN113" s="624"/>
      <c r="ASO113" s="624"/>
      <c r="ASP113" s="624"/>
      <c r="ASQ113" s="624"/>
      <c r="ASR113" s="624"/>
      <c r="ASS113" s="624"/>
      <c r="AST113" s="624"/>
      <c r="ASU113" s="624"/>
      <c r="ASV113" s="624"/>
      <c r="ASW113" s="624"/>
      <c r="ASX113" s="624"/>
      <c r="ASY113" s="624"/>
      <c r="ASZ113" s="624"/>
      <c r="ATA113" s="624"/>
      <c r="ATB113" s="624"/>
      <c r="ATC113" s="624"/>
      <c r="ATD113" s="624"/>
      <c r="ATE113" s="624"/>
      <c r="ATF113" s="624"/>
      <c r="ATG113" s="624"/>
      <c r="ATH113" s="624"/>
      <c r="ATI113" s="624"/>
      <c r="ATJ113" s="624"/>
      <c r="ATK113" s="624"/>
      <c r="ATL113" s="624"/>
      <c r="ATM113" s="624"/>
      <c r="ATN113" s="624"/>
      <c r="ATO113" s="624"/>
      <c r="ATP113" s="624"/>
      <c r="ATQ113" s="624"/>
      <c r="ATR113" s="624"/>
      <c r="ATS113" s="624"/>
      <c r="ATT113" s="624"/>
      <c r="ATU113" s="624"/>
      <c r="ATV113" s="624"/>
      <c r="ATW113" s="624"/>
      <c r="ATX113" s="624"/>
      <c r="ATY113" s="624"/>
      <c r="ATZ113" s="624"/>
      <c r="AUA113" s="624"/>
      <c r="AUB113" s="624"/>
      <c r="AUC113" s="624"/>
      <c r="AUD113" s="624"/>
      <c r="AUE113" s="624"/>
      <c r="AUF113" s="624"/>
      <c r="AUG113" s="624"/>
      <c r="AUH113" s="624"/>
      <c r="AUI113" s="624"/>
      <c r="AUJ113" s="624"/>
      <c r="AUK113" s="624"/>
      <c r="AUL113" s="624"/>
      <c r="AUM113" s="624"/>
      <c r="AUN113" s="624"/>
      <c r="AUO113" s="624"/>
      <c r="AUP113" s="624"/>
      <c r="AUQ113" s="624"/>
      <c r="AUR113" s="624"/>
      <c r="AUS113" s="624"/>
      <c r="AUT113" s="624"/>
      <c r="AUU113" s="624"/>
      <c r="AUV113" s="624"/>
      <c r="AUW113" s="624"/>
      <c r="AUX113" s="624"/>
      <c r="AUY113" s="624"/>
      <c r="AUZ113" s="624"/>
      <c r="AVA113" s="624"/>
      <c r="AVB113" s="624"/>
      <c r="AVC113" s="624"/>
      <c r="AVD113" s="624"/>
      <c r="AVE113" s="624"/>
      <c r="AVF113" s="624"/>
      <c r="AVG113" s="624"/>
      <c r="AVH113" s="624"/>
      <c r="AVI113" s="624"/>
      <c r="AVJ113" s="624"/>
      <c r="AVK113" s="624"/>
      <c r="AVL113" s="624"/>
      <c r="AVM113" s="624"/>
      <c r="AVN113" s="624"/>
      <c r="AVO113" s="624"/>
      <c r="AVP113" s="624"/>
      <c r="AVQ113" s="624"/>
      <c r="AVR113" s="624"/>
      <c r="AVS113" s="624"/>
      <c r="AVT113" s="624"/>
      <c r="AVU113" s="624"/>
      <c r="AVV113" s="624"/>
      <c r="AVW113" s="624"/>
      <c r="AVX113" s="624"/>
      <c r="AVY113" s="624"/>
      <c r="AVZ113" s="624"/>
      <c r="AWA113" s="624"/>
      <c r="AWB113" s="624"/>
      <c r="AWC113" s="624"/>
      <c r="AWD113" s="624"/>
      <c r="AWE113" s="624"/>
      <c r="AWF113" s="624"/>
      <c r="AWG113" s="624"/>
      <c r="AWH113" s="624"/>
      <c r="AWI113" s="624"/>
      <c r="AWJ113" s="624"/>
      <c r="AWK113" s="624"/>
      <c r="AWL113" s="624"/>
      <c r="AWM113" s="624"/>
      <c r="AWN113" s="624"/>
      <c r="AWO113" s="624"/>
      <c r="AWP113" s="624"/>
      <c r="AWQ113" s="624"/>
      <c r="AWR113" s="624"/>
      <c r="AWS113" s="624"/>
      <c r="AWT113" s="624"/>
      <c r="AWU113" s="624"/>
      <c r="AWV113" s="624"/>
      <c r="AWW113" s="624"/>
      <c r="AWX113" s="624"/>
      <c r="AWY113" s="624"/>
      <c r="AWZ113" s="624"/>
      <c r="AXA113" s="624"/>
      <c r="AXB113" s="624"/>
      <c r="AXC113" s="624"/>
      <c r="AXD113" s="624"/>
      <c r="AXE113" s="624"/>
      <c r="AXF113" s="624"/>
      <c r="AXG113" s="624"/>
      <c r="AXH113" s="624"/>
      <c r="AXI113" s="624"/>
      <c r="AXJ113" s="624"/>
      <c r="AXK113" s="624"/>
      <c r="AXL113" s="624"/>
      <c r="AXM113" s="624"/>
      <c r="AXN113" s="624"/>
      <c r="AXO113" s="624"/>
      <c r="AXP113" s="624"/>
      <c r="AXQ113" s="624"/>
      <c r="AXR113" s="624"/>
      <c r="AXS113" s="624"/>
      <c r="AXT113" s="624"/>
      <c r="AXU113" s="624"/>
      <c r="AXV113" s="624"/>
      <c r="AXW113" s="624"/>
      <c r="AXX113" s="624"/>
      <c r="AXY113" s="624"/>
      <c r="AXZ113" s="624"/>
      <c r="AYA113" s="624"/>
      <c r="AYB113" s="624"/>
      <c r="AYC113" s="624"/>
      <c r="AYD113" s="624"/>
      <c r="AYE113" s="624"/>
      <c r="AYF113" s="624"/>
      <c r="AYG113" s="624"/>
      <c r="AYH113" s="624"/>
      <c r="AYI113" s="624"/>
      <c r="AYJ113" s="624"/>
      <c r="AYK113" s="624"/>
      <c r="AYL113" s="624"/>
      <c r="AYM113" s="624"/>
      <c r="AYN113" s="624"/>
      <c r="AYO113" s="624"/>
      <c r="AYP113" s="624"/>
      <c r="AYQ113" s="624"/>
      <c r="AYR113" s="624"/>
      <c r="AYS113" s="624"/>
      <c r="AYT113" s="624"/>
      <c r="AYU113" s="624"/>
      <c r="AYV113" s="624"/>
      <c r="AYW113" s="624"/>
      <c r="AYX113" s="624"/>
      <c r="AYY113" s="624"/>
      <c r="AYZ113" s="624"/>
      <c r="AZA113" s="624"/>
      <c r="AZB113" s="624"/>
      <c r="AZC113" s="624"/>
      <c r="AZD113" s="624"/>
      <c r="AZE113" s="624"/>
      <c r="AZF113" s="624"/>
      <c r="AZG113" s="624"/>
      <c r="AZH113" s="624"/>
      <c r="AZI113" s="624"/>
      <c r="AZJ113" s="624"/>
      <c r="AZK113" s="624"/>
      <c r="AZL113" s="624"/>
      <c r="AZM113" s="624"/>
      <c r="AZN113" s="624"/>
      <c r="AZO113" s="624"/>
      <c r="AZP113" s="624"/>
      <c r="AZQ113" s="624"/>
      <c r="AZR113" s="624"/>
      <c r="AZS113" s="624"/>
      <c r="AZT113" s="624"/>
      <c r="AZU113" s="624"/>
      <c r="AZV113" s="624"/>
      <c r="AZW113" s="624"/>
      <c r="AZX113" s="624"/>
      <c r="AZY113" s="624"/>
      <c r="AZZ113" s="624"/>
      <c r="BAA113" s="624"/>
      <c r="BAB113" s="624"/>
      <c r="BAC113" s="624"/>
      <c r="BAD113" s="624"/>
      <c r="BAE113" s="624"/>
      <c r="BAF113" s="624"/>
      <c r="BAG113" s="624"/>
      <c r="BAH113" s="624"/>
      <c r="BAI113" s="624"/>
      <c r="BAJ113" s="624"/>
      <c r="BAK113" s="624"/>
      <c r="BAL113" s="624"/>
      <c r="BAM113" s="624"/>
      <c r="BAN113" s="624"/>
      <c r="BAO113" s="624"/>
      <c r="BAP113" s="624"/>
      <c r="BAQ113" s="624"/>
      <c r="BAR113" s="624"/>
      <c r="BAS113" s="624"/>
      <c r="BAT113" s="624"/>
      <c r="BAU113" s="624"/>
      <c r="BAV113" s="624"/>
      <c r="BAW113" s="624"/>
      <c r="BAX113" s="624"/>
      <c r="BAY113" s="624"/>
      <c r="BAZ113" s="624"/>
      <c r="BBA113" s="624"/>
      <c r="BBB113" s="624"/>
      <c r="BBC113" s="624"/>
      <c r="BBD113" s="624"/>
      <c r="BBE113" s="624"/>
      <c r="BBF113" s="624"/>
      <c r="BBG113" s="624"/>
      <c r="BBH113" s="624"/>
      <c r="BBI113" s="624"/>
      <c r="BBJ113" s="624"/>
      <c r="BBK113" s="624"/>
      <c r="BBL113" s="624"/>
      <c r="BBM113" s="624"/>
      <c r="BBN113" s="624"/>
      <c r="BBO113" s="624"/>
      <c r="BBP113" s="624"/>
      <c r="BBQ113" s="624"/>
      <c r="BBR113" s="624"/>
      <c r="BBS113" s="624"/>
      <c r="BBT113" s="624"/>
      <c r="BBU113" s="624"/>
      <c r="BBV113" s="624"/>
      <c r="BBW113" s="624"/>
      <c r="BBX113" s="624"/>
      <c r="BBY113" s="624"/>
      <c r="BBZ113" s="624"/>
      <c r="BCA113" s="624"/>
      <c r="BCB113" s="624"/>
      <c r="BCC113" s="624"/>
      <c r="BCD113" s="624"/>
      <c r="BCE113" s="624"/>
      <c r="BCF113" s="624"/>
      <c r="BCG113" s="624"/>
      <c r="BCH113" s="624"/>
      <c r="BCI113" s="624"/>
      <c r="BCJ113" s="624"/>
      <c r="BCK113" s="624"/>
      <c r="BCL113" s="624"/>
      <c r="BCM113" s="624"/>
      <c r="BCN113" s="624"/>
      <c r="BCO113" s="624"/>
      <c r="BCP113" s="624"/>
      <c r="BCQ113" s="624"/>
      <c r="BCR113" s="624"/>
      <c r="BCS113" s="624"/>
      <c r="BCT113" s="624"/>
      <c r="BCU113" s="624"/>
      <c r="BCV113" s="624"/>
      <c r="BCW113" s="624"/>
      <c r="BCX113" s="624"/>
      <c r="BCY113" s="624"/>
      <c r="BCZ113" s="624"/>
      <c r="BDA113" s="624"/>
      <c r="BDB113" s="624"/>
      <c r="BDC113" s="624"/>
      <c r="BDD113" s="624"/>
      <c r="BDE113" s="624"/>
      <c r="BDF113" s="624"/>
      <c r="BDG113" s="624"/>
      <c r="BDH113" s="624"/>
      <c r="BDI113" s="624"/>
      <c r="BDJ113" s="624"/>
      <c r="BDK113" s="624"/>
      <c r="BDL113" s="624"/>
      <c r="BDM113" s="624"/>
      <c r="BDN113" s="624"/>
      <c r="BDO113" s="624"/>
      <c r="BDP113" s="624"/>
      <c r="BDQ113" s="624"/>
      <c r="BDR113" s="624"/>
      <c r="BDS113" s="624"/>
      <c r="BDT113" s="624"/>
      <c r="BDU113" s="624"/>
      <c r="BDV113" s="624"/>
      <c r="BDW113" s="624"/>
      <c r="BDX113" s="624"/>
      <c r="BDY113" s="624"/>
      <c r="BDZ113" s="624"/>
      <c r="BEA113" s="624"/>
      <c r="BEB113" s="624"/>
      <c r="BEC113" s="624"/>
      <c r="BED113" s="624"/>
      <c r="BEE113" s="624"/>
      <c r="BEF113" s="624"/>
      <c r="BEG113" s="624"/>
      <c r="BEH113" s="624"/>
      <c r="BEI113" s="624"/>
      <c r="BEJ113" s="624"/>
      <c r="BEK113" s="624"/>
      <c r="BEL113" s="624"/>
      <c r="BEM113" s="624"/>
      <c r="BEN113" s="624"/>
      <c r="BEO113" s="624"/>
      <c r="BEP113" s="624"/>
      <c r="BEQ113" s="624"/>
      <c r="BER113" s="624"/>
      <c r="BES113" s="624"/>
      <c r="BET113" s="624"/>
      <c r="BEU113" s="624"/>
      <c r="BEV113" s="624"/>
      <c r="BEW113" s="624"/>
      <c r="BEX113" s="624"/>
      <c r="BEY113" s="624"/>
      <c r="BEZ113" s="624"/>
      <c r="BFA113" s="624"/>
      <c r="BFB113" s="624"/>
      <c r="BFC113" s="624"/>
      <c r="BFD113" s="624"/>
      <c r="BFE113" s="624"/>
      <c r="BFF113" s="624"/>
      <c r="BFG113" s="624"/>
      <c r="BFH113" s="624"/>
      <c r="BFI113" s="624"/>
      <c r="BFJ113" s="624"/>
      <c r="BFK113" s="624"/>
      <c r="BFL113" s="624"/>
      <c r="BFM113" s="624"/>
      <c r="BFN113" s="624"/>
      <c r="BFO113" s="624"/>
      <c r="BFP113" s="624"/>
      <c r="BFQ113" s="624"/>
      <c r="BFR113" s="624"/>
      <c r="BFS113" s="624"/>
      <c r="BFT113" s="624"/>
      <c r="BFU113" s="624"/>
      <c r="BFV113" s="624"/>
      <c r="BFW113" s="624"/>
      <c r="BFX113" s="624"/>
      <c r="BFY113" s="624"/>
      <c r="BFZ113" s="624"/>
      <c r="BGA113" s="624"/>
      <c r="BGB113" s="624"/>
      <c r="BGC113" s="624"/>
      <c r="BGD113" s="624"/>
      <c r="BGE113" s="624"/>
      <c r="BGF113" s="624"/>
      <c r="BGG113" s="624"/>
      <c r="BGH113" s="624"/>
      <c r="BGI113" s="624"/>
      <c r="BGJ113" s="624"/>
      <c r="BGK113" s="624"/>
      <c r="BGL113" s="624"/>
      <c r="BGM113" s="624"/>
      <c r="BGN113" s="624"/>
      <c r="BGO113" s="624"/>
      <c r="BGP113" s="624"/>
      <c r="BGQ113" s="624"/>
      <c r="BGR113" s="624"/>
      <c r="BGS113" s="624"/>
      <c r="BGT113" s="624"/>
      <c r="BGU113" s="624"/>
      <c r="BGV113" s="624"/>
      <c r="BGW113" s="624"/>
      <c r="BGX113" s="624"/>
      <c r="BGY113" s="624"/>
      <c r="BGZ113" s="624"/>
      <c r="BHA113" s="624"/>
      <c r="BHB113" s="624"/>
      <c r="BHC113" s="624"/>
      <c r="BHD113" s="624"/>
      <c r="BHE113" s="624"/>
      <c r="BHF113" s="624"/>
      <c r="BHG113" s="624"/>
      <c r="BHH113" s="624"/>
      <c r="BHI113" s="624"/>
      <c r="BHJ113" s="624"/>
      <c r="BHK113" s="624"/>
      <c r="BHL113" s="624"/>
      <c r="BHM113" s="624"/>
      <c r="BHN113" s="624"/>
      <c r="BHO113" s="624"/>
      <c r="BHP113" s="624"/>
      <c r="BHQ113" s="624"/>
      <c r="BHR113" s="624"/>
      <c r="BHS113" s="624"/>
      <c r="BHT113" s="624"/>
      <c r="BHU113" s="624"/>
      <c r="BHV113" s="624"/>
      <c r="BHW113" s="624"/>
      <c r="BHX113" s="624"/>
      <c r="BHY113" s="624"/>
      <c r="BHZ113" s="624"/>
      <c r="BIA113" s="624"/>
      <c r="BIB113" s="624"/>
      <c r="BIC113" s="624"/>
      <c r="BID113" s="624"/>
      <c r="BIE113" s="624"/>
      <c r="BIF113" s="624"/>
      <c r="BIG113" s="624"/>
      <c r="BIH113" s="624"/>
      <c r="BII113" s="624"/>
      <c r="BIJ113" s="624"/>
      <c r="BIK113" s="624"/>
      <c r="BIL113" s="624"/>
      <c r="BIM113" s="624"/>
      <c r="BIN113" s="624"/>
      <c r="BIO113" s="624"/>
      <c r="BIP113" s="624"/>
      <c r="BIQ113" s="624"/>
      <c r="BIR113" s="624"/>
      <c r="BIS113" s="624"/>
      <c r="BIT113" s="624"/>
      <c r="BIU113" s="624"/>
      <c r="BIV113" s="624"/>
      <c r="BIW113" s="624"/>
      <c r="BIX113" s="624"/>
      <c r="BIY113" s="624"/>
      <c r="BIZ113" s="624"/>
      <c r="BJA113" s="624"/>
      <c r="BJB113" s="624"/>
      <c r="BJC113" s="624"/>
      <c r="BJD113" s="624"/>
      <c r="BJE113" s="624"/>
      <c r="BJF113" s="624"/>
      <c r="BJG113" s="624"/>
      <c r="BJH113" s="624"/>
      <c r="BJI113" s="624"/>
      <c r="BJJ113" s="624"/>
      <c r="BJK113" s="624"/>
      <c r="BJL113" s="624"/>
      <c r="BJM113" s="624"/>
      <c r="BJN113" s="624"/>
      <c r="BJO113" s="624"/>
      <c r="BJP113" s="624"/>
      <c r="BJQ113" s="624"/>
      <c r="BJR113" s="624"/>
      <c r="BJS113" s="624"/>
      <c r="BJT113" s="624"/>
      <c r="BJU113" s="624"/>
      <c r="BJV113" s="624"/>
      <c r="BJW113" s="624"/>
      <c r="BJX113" s="624"/>
      <c r="BJY113" s="624"/>
      <c r="BJZ113" s="624"/>
      <c r="BKA113" s="624"/>
      <c r="BKB113" s="624"/>
      <c r="BKC113" s="624"/>
      <c r="BKD113" s="624"/>
      <c r="BKE113" s="624"/>
      <c r="BKF113" s="624"/>
      <c r="BKG113" s="624"/>
      <c r="BKH113" s="624"/>
      <c r="BKI113" s="624"/>
      <c r="BKJ113" s="624"/>
      <c r="BKK113" s="624"/>
      <c r="BKL113" s="624"/>
      <c r="BKM113" s="624"/>
      <c r="BKN113" s="624"/>
      <c r="BKO113" s="624"/>
      <c r="BKP113" s="624"/>
      <c r="BKQ113" s="624"/>
      <c r="BKR113" s="624"/>
      <c r="BKS113" s="624"/>
      <c r="BKT113" s="624"/>
      <c r="BKU113" s="624"/>
      <c r="BKV113" s="624"/>
      <c r="BKW113" s="624"/>
      <c r="BKX113" s="624"/>
      <c r="BKY113" s="624"/>
      <c r="BKZ113" s="624"/>
      <c r="BLA113" s="624"/>
      <c r="BLB113" s="624"/>
      <c r="BLC113" s="624"/>
      <c r="BLD113" s="624"/>
      <c r="BLE113" s="624"/>
      <c r="BLF113" s="624"/>
      <c r="BLG113" s="624"/>
      <c r="BLH113" s="624"/>
      <c r="BLI113" s="624"/>
      <c r="BLJ113" s="624"/>
      <c r="BLK113" s="624"/>
      <c r="BLL113" s="624"/>
      <c r="BLM113" s="624"/>
      <c r="BLN113" s="624"/>
      <c r="BLO113" s="624"/>
      <c r="BLP113" s="624"/>
      <c r="BLQ113" s="624"/>
      <c r="BLR113" s="624"/>
      <c r="BLS113" s="624"/>
      <c r="BLT113" s="624"/>
      <c r="BLU113" s="624"/>
      <c r="BLV113" s="624"/>
      <c r="BLW113" s="624"/>
      <c r="BLX113" s="624"/>
      <c r="BLY113" s="624"/>
      <c r="BLZ113" s="624"/>
      <c r="BMA113" s="624"/>
      <c r="BMB113" s="624"/>
      <c r="BMC113" s="624"/>
      <c r="BMD113" s="624"/>
      <c r="BME113" s="624"/>
      <c r="BMF113" s="624"/>
      <c r="BMG113" s="624"/>
      <c r="BMH113" s="624"/>
      <c r="BMI113" s="624"/>
      <c r="BMJ113" s="624"/>
      <c r="BMK113" s="624"/>
      <c r="BML113" s="624"/>
      <c r="BMM113" s="624"/>
      <c r="BMN113" s="624"/>
      <c r="BMO113" s="624"/>
      <c r="BMP113" s="624"/>
      <c r="BMQ113" s="624"/>
      <c r="BMR113" s="624"/>
      <c r="BMS113" s="624"/>
      <c r="BMT113" s="624"/>
      <c r="BMU113" s="624"/>
      <c r="BMV113" s="624"/>
      <c r="BMW113" s="624"/>
      <c r="BMX113" s="624"/>
      <c r="BMY113" s="624"/>
      <c r="BMZ113" s="624"/>
      <c r="BNA113" s="624"/>
      <c r="BNB113" s="624"/>
      <c r="BNC113" s="624"/>
      <c r="BND113" s="624"/>
      <c r="BNE113" s="624"/>
      <c r="BNF113" s="624"/>
      <c r="BNG113" s="624"/>
      <c r="BNH113" s="624"/>
      <c r="BNI113" s="624"/>
      <c r="BNJ113" s="624"/>
      <c r="BNK113" s="624"/>
      <c r="BNL113" s="624"/>
      <c r="BNM113" s="624"/>
      <c r="BNN113" s="624"/>
      <c r="BNO113" s="624"/>
      <c r="BNP113" s="624"/>
      <c r="BNQ113" s="624"/>
      <c r="BNR113" s="624"/>
      <c r="BNS113" s="624"/>
      <c r="BNT113" s="624"/>
      <c r="BNU113" s="624"/>
      <c r="BNV113" s="624"/>
      <c r="BNW113" s="624"/>
      <c r="BNX113" s="624"/>
      <c r="BNY113" s="624"/>
      <c r="BNZ113" s="624"/>
      <c r="BOA113" s="624"/>
      <c r="BOB113" s="624"/>
      <c r="BOC113" s="624"/>
      <c r="BOD113" s="624"/>
      <c r="BOE113" s="624"/>
      <c r="BOF113" s="624"/>
      <c r="BOG113" s="624"/>
      <c r="BOH113" s="624"/>
      <c r="BOI113" s="624"/>
      <c r="BOJ113" s="624"/>
      <c r="BOK113" s="624"/>
      <c r="BOL113" s="624"/>
      <c r="BOM113" s="624"/>
      <c r="BON113" s="624"/>
      <c r="BOO113" s="624"/>
      <c r="BOP113" s="624"/>
      <c r="BOQ113" s="624"/>
      <c r="BOR113" s="624"/>
      <c r="BOS113" s="624"/>
      <c r="BOT113" s="624"/>
      <c r="BOU113" s="624"/>
      <c r="BOV113" s="624"/>
      <c r="BOW113" s="624"/>
      <c r="BOX113" s="624"/>
      <c r="BOY113" s="624"/>
      <c r="BOZ113" s="624"/>
      <c r="BPA113" s="624"/>
      <c r="BPB113" s="624"/>
      <c r="BPC113" s="624"/>
      <c r="BPD113" s="624"/>
      <c r="BPE113" s="624"/>
      <c r="BPF113" s="624"/>
      <c r="BPG113" s="624"/>
      <c r="BPH113" s="624"/>
      <c r="BPI113" s="624"/>
      <c r="BPJ113" s="624"/>
      <c r="BPK113" s="624"/>
      <c r="BPL113" s="624"/>
      <c r="BPM113" s="624"/>
      <c r="BPN113" s="624"/>
      <c r="BPO113" s="624"/>
      <c r="BPP113" s="624"/>
      <c r="BPQ113" s="624"/>
      <c r="BPR113" s="624"/>
      <c r="BPS113" s="624"/>
      <c r="BPT113" s="624"/>
      <c r="BPU113" s="624"/>
      <c r="BPV113" s="624"/>
      <c r="BPW113" s="624"/>
      <c r="BPX113" s="624"/>
      <c r="BPY113" s="624"/>
      <c r="BPZ113" s="624"/>
      <c r="BQA113" s="624"/>
      <c r="BQB113" s="624"/>
      <c r="BQC113" s="624"/>
      <c r="BQD113" s="624"/>
      <c r="BQE113" s="624"/>
      <c r="BQF113" s="624"/>
      <c r="BQG113" s="624"/>
      <c r="BQH113" s="624"/>
      <c r="BQI113" s="624"/>
      <c r="BQJ113" s="624"/>
      <c r="BQK113" s="624"/>
      <c r="BQL113" s="624"/>
      <c r="BQM113" s="624"/>
      <c r="BQN113" s="624"/>
      <c r="BQO113" s="624"/>
      <c r="BQP113" s="624"/>
      <c r="BQQ113" s="624"/>
      <c r="BQR113" s="624"/>
      <c r="BQS113" s="624"/>
      <c r="BQT113" s="624"/>
      <c r="BQU113" s="624"/>
      <c r="BQV113" s="624"/>
      <c r="BQW113" s="624"/>
      <c r="BQX113" s="624"/>
      <c r="BQY113" s="624"/>
      <c r="BQZ113" s="624"/>
      <c r="BRA113" s="624"/>
      <c r="BRB113" s="624"/>
      <c r="BRC113" s="624"/>
      <c r="BRD113" s="624"/>
      <c r="BRE113" s="624"/>
      <c r="BRF113" s="624"/>
      <c r="BRG113" s="624"/>
      <c r="BRH113" s="624"/>
      <c r="BRI113" s="624"/>
      <c r="BRJ113" s="624"/>
      <c r="BRK113" s="624"/>
      <c r="BRL113" s="624"/>
      <c r="BRM113" s="624"/>
      <c r="BRN113" s="624"/>
      <c r="BRO113" s="624"/>
      <c r="BRP113" s="624"/>
      <c r="BRQ113" s="624"/>
      <c r="BRR113" s="624"/>
      <c r="BRS113" s="624"/>
      <c r="BRT113" s="624"/>
      <c r="BRU113" s="624"/>
      <c r="BRV113" s="624"/>
      <c r="BRW113" s="624"/>
      <c r="BRX113" s="624"/>
      <c r="BRY113" s="624"/>
      <c r="BRZ113" s="624"/>
      <c r="BSA113" s="624"/>
      <c r="BSB113" s="624"/>
      <c r="BSC113" s="624"/>
      <c r="BSD113" s="624"/>
      <c r="BSE113" s="624"/>
      <c r="BSF113" s="624"/>
      <c r="BSG113" s="624"/>
      <c r="BSH113" s="624"/>
      <c r="BSI113" s="624"/>
      <c r="BSJ113" s="624"/>
      <c r="BSK113" s="624"/>
      <c r="BSL113" s="624"/>
      <c r="BSM113" s="624"/>
      <c r="BSN113" s="624"/>
      <c r="BSO113" s="624"/>
      <c r="BSP113" s="624"/>
      <c r="BSQ113" s="624"/>
      <c r="BSR113" s="624"/>
      <c r="BSS113" s="624"/>
      <c r="BST113" s="624"/>
      <c r="BSU113" s="624"/>
      <c r="BSV113" s="624"/>
      <c r="BSW113" s="624"/>
      <c r="BSX113" s="624"/>
      <c r="BSY113" s="624"/>
      <c r="BSZ113" s="624"/>
      <c r="BTA113" s="624"/>
      <c r="BTB113" s="624"/>
      <c r="BTC113" s="624"/>
      <c r="BTD113" s="624"/>
      <c r="BTE113" s="624"/>
      <c r="BTF113" s="624"/>
      <c r="BTG113" s="624"/>
      <c r="BTH113" s="624"/>
      <c r="BTI113" s="624"/>
      <c r="BTJ113" s="624"/>
      <c r="BTK113" s="624"/>
      <c r="BTL113" s="624"/>
      <c r="BTM113" s="624"/>
      <c r="BTN113" s="624"/>
      <c r="BTO113" s="624"/>
      <c r="BTP113" s="624"/>
      <c r="BTQ113" s="624"/>
      <c r="BTR113" s="624"/>
      <c r="BTS113" s="624"/>
      <c r="BTT113" s="624"/>
      <c r="BTU113" s="624"/>
      <c r="BTV113" s="624"/>
      <c r="BTW113" s="624"/>
      <c r="BTX113" s="624"/>
      <c r="BTY113" s="624"/>
      <c r="BTZ113" s="624"/>
      <c r="BUA113" s="624"/>
      <c r="BUB113" s="624"/>
      <c r="BUC113" s="624"/>
      <c r="BUD113" s="624"/>
      <c r="BUE113" s="624"/>
      <c r="BUF113" s="624"/>
      <c r="BUG113" s="624"/>
      <c r="BUH113" s="624"/>
      <c r="BUI113" s="624"/>
      <c r="BUJ113" s="624"/>
      <c r="BUK113" s="624"/>
      <c r="BUL113" s="624"/>
      <c r="BUM113" s="624"/>
      <c r="BUN113" s="624"/>
      <c r="BUO113" s="624"/>
      <c r="BUP113" s="624"/>
      <c r="BUQ113" s="624"/>
      <c r="BUR113" s="624"/>
      <c r="BUS113" s="624"/>
      <c r="BUT113" s="624"/>
      <c r="BUU113" s="624"/>
      <c r="BUV113" s="624"/>
      <c r="BUW113" s="624"/>
      <c r="BUX113" s="624"/>
      <c r="BUY113" s="624"/>
      <c r="BUZ113" s="624"/>
      <c r="BVA113" s="624"/>
      <c r="BVB113" s="624"/>
      <c r="BVC113" s="624"/>
      <c r="BVD113" s="624"/>
      <c r="BVE113" s="624"/>
      <c r="BVF113" s="624"/>
      <c r="BVG113" s="624"/>
      <c r="BVH113" s="624"/>
      <c r="BVI113" s="624"/>
      <c r="BVJ113" s="624"/>
      <c r="BVK113" s="624"/>
      <c r="BVL113" s="624"/>
      <c r="BVM113" s="624"/>
      <c r="BVN113" s="624"/>
      <c r="BVO113" s="624"/>
      <c r="BVP113" s="624"/>
      <c r="BVQ113" s="624"/>
      <c r="BVR113" s="624"/>
      <c r="BVS113" s="624"/>
      <c r="BVT113" s="624"/>
      <c r="BVU113" s="624"/>
      <c r="BVV113" s="624"/>
      <c r="BVW113" s="624"/>
      <c r="BVX113" s="624"/>
      <c r="BVY113" s="624"/>
      <c r="BVZ113" s="624"/>
      <c r="BWA113" s="624"/>
      <c r="BWB113" s="624"/>
      <c r="BWC113" s="624"/>
      <c r="BWD113" s="624"/>
      <c r="BWE113" s="624"/>
      <c r="BWF113" s="624"/>
      <c r="BWG113" s="624"/>
      <c r="BWH113" s="624"/>
      <c r="BWI113" s="624"/>
      <c r="BWJ113" s="624"/>
      <c r="BWK113" s="624"/>
      <c r="BWL113" s="624"/>
      <c r="BWM113" s="624"/>
      <c r="BWN113" s="624"/>
      <c r="BWO113" s="624"/>
      <c r="BWP113" s="624"/>
      <c r="BWQ113" s="624"/>
      <c r="BWR113" s="624"/>
      <c r="BWS113" s="624"/>
      <c r="BWT113" s="624"/>
      <c r="BWU113" s="624"/>
      <c r="BWV113" s="624"/>
      <c r="BWW113" s="624"/>
      <c r="BWX113" s="624"/>
      <c r="BWY113" s="624"/>
      <c r="BWZ113" s="624"/>
      <c r="BXA113" s="624"/>
      <c r="BXB113" s="624"/>
      <c r="BXC113" s="624"/>
      <c r="BXD113" s="624"/>
      <c r="BXE113" s="624"/>
      <c r="BXF113" s="624"/>
      <c r="BXG113" s="624"/>
      <c r="BXH113" s="624"/>
      <c r="BXI113" s="624"/>
      <c r="BXJ113" s="624"/>
      <c r="BXK113" s="624"/>
      <c r="BXL113" s="624"/>
      <c r="BXM113" s="624"/>
    </row>
    <row r="114" spans="1:1989" s="2893" customFormat="1" ht="18" thickBot="1" x14ac:dyDescent="0.35">
      <c r="A114" s="2829" t="s">
        <v>2876</v>
      </c>
      <c r="B114" s="2891">
        <v>3532.9128512415114</v>
      </c>
      <c r="C114" s="2891">
        <v>2748.9086945940776</v>
      </c>
      <c r="D114" s="2891">
        <v>5008.3768700009841</v>
      </c>
      <c r="E114" s="2891">
        <v>4361.3121378660799</v>
      </c>
      <c r="F114" s="2891">
        <v>4419.7145969376297</v>
      </c>
      <c r="G114" s="2891">
        <v>4455.061519959836</v>
      </c>
      <c r="H114" s="2891">
        <v>4478.858752216076</v>
      </c>
      <c r="I114" s="2891">
        <v>4728.3188478540005</v>
      </c>
      <c r="J114" s="2891">
        <v>4260.6765690576894</v>
      </c>
      <c r="K114" s="2891">
        <v>4441.562533897888</v>
      </c>
      <c r="L114" s="2891">
        <v>4716.5937168909541</v>
      </c>
      <c r="M114" s="2891">
        <v>4493.918329979002</v>
      </c>
      <c r="N114" s="2891">
        <v>4739.2467788456452</v>
      </c>
      <c r="O114" s="2891">
        <v>4212.4425018320599</v>
      </c>
      <c r="P114" s="2891">
        <v>3011.8232440220172</v>
      </c>
      <c r="Q114" s="2891">
        <v>2877.7070391999996</v>
      </c>
      <c r="R114" s="2891">
        <v>3237</v>
      </c>
      <c r="S114" s="2891">
        <v>3341.4843172599999</v>
      </c>
      <c r="T114" s="2891">
        <v>3646.2824010499999</v>
      </c>
      <c r="U114" s="2891">
        <v>2639.4629274499998</v>
      </c>
      <c r="V114" s="2891">
        <v>2505.6514496399996</v>
      </c>
      <c r="W114" s="2891">
        <v>3084.4440691099999</v>
      </c>
      <c r="X114" s="2891">
        <v>2764.9529319000003</v>
      </c>
      <c r="Y114" s="2891">
        <v>2481.4023879800002</v>
      </c>
      <c r="Z114" s="2891">
        <v>2470.0378223300004</v>
      </c>
      <c r="AA114" s="2891">
        <v>2624.8461178700004</v>
      </c>
      <c r="AB114" s="2891">
        <v>2587.1946217599998</v>
      </c>
      <c r="AC114" s="2891">
        <v>2972.6673074200007</v>
      </c>
      <c r="AD114" s="2891">
        <v>2658.9261905299995</v>
      </c>
      <c r="AE114" s="2891">
        <v>2920.2991184399998</v>
      </c>
      <c r="AF114" s="2891">
        <v>3878.3389604000004</v>
      </c>
      <c r="AG114" s="2891">
        <v>2980.3911409100001</v>
      </c>
      <c r="AH114" s="2891">
        <v>2968.3595149499997</v>
      </c>
      <c r="AI114" s="2891">
        <v>4175.8540520999995</v>
      </c>
      <c r="AJ114" s="2891">
        <v>6068.1720909000005</v>
      </c>
      <c r="AK114" s="2891">
        <v>4646.8072660499993</v>
      </c>
      <c r="AL114" s="2891">
        <v>5827.5380574499995</v>
      </c>
      <c r="AM114" s="2891">
        <v>5852.0917197899998</v>
      </c>
      <c r="AN114" s="2891">
        <v>5138.0599397099995</v>
      </c>
      <c r="AO114" s="624"/>
      <c r="AP114" s="624"/>
      <c r="AQ114" s="624"/>
      <c r="AR114" s="624"/>
      <c r="AS114" s="624"/>
      <c r="AT114" s="624"/>
      <c r="AU114" s="624"/>
      <c r="AV114" s="624"/>
      <c r="AW114" s="624"/>
      <c r="AX114" s="624"/>
      <c r="AY114" s="624"/>
      <c r="AZ114" s="624"/>
      <c r="BA114" s="624"/>
      <c r="BB114" s="624"/>
      <c r="BC114" s="624"/>
      <c r="BD114" s="624"/>
      <c r="BE114" s="624"/>
      <c r="BF114" s="624"/>
      <c r="BG114" s="624"/>
      <c r="BH114" s="624"/>
      <c r="BI114" s="624"/>
      <c r="BJ114" s="624"/>
      <c r="BK114" s="624"/>
      <c r="BL114" s="624"/>
      <c r="BM114" s="624"/>
      <c r="BN114" s="624"/>
      <c r="BO114" s="624"/>
      <c r="BP114" s="624"/>
      <c r="BQ114" s="624"/>
      <c r="BR114" s="624"/>
      <c r="BS114" s="624"/>
      <c r="BT114" s="624"/>
      <c r="BU114" s="624"/>
      <c r="BV114" s="624"/>
      <c r="BW114" s="624"/>
      <c r="BX114" s="624"/>
      <c r="BY114" s="624"/>
      <c r="BZ114" s="624"/>
      <c r="CA114" s="624"/>
      <c r="CB114" s="624"/>
      <c r="CC114" s="624"/>
      <c r="CD114" s="624"/>
      <c r="CE114" s="624"/>
      <c r="CF114" s="624"/>
      <c r="CG114" s="624"/>
      <c r="CH114" s="624"/>
      <c r="CI114" s="624"/>
      <c r="CJ114" s="624"/>
      <c r="CK114" s="624"/>
      <c r="CL114" s="624"/>
      <c r="CM114" s="624"/>
      <c r="CN114" s="624"/>
      <c r="CO114" s="624"/>
      <c r="CP114" s="624"/>
      <c r="CQ114" s="624"/>
      <c r="CR114" s="624"/>
      <c r="CS114" s="624"/>
      <c r="CT114" s="624"/>
      <c r="CU114" s="624"/>
      <c r="CV114" s="624"/>
      <c r="CW114" s="624"/>
      <c r="CX114" s="624"/>
      <c r="CY114" s="624"/>
      <c r="CZ114" s="624"/>
      <c r="DA114" s="624"/>
      <c r="DB114" s="624"/>
      <c r="DC114" s="624"/>
      <c r="DD114" s="624"/>
      <c r="DE114" s="624"/>
      <c r="DF114" s="624"/>
      <c r="DG114" s="624"/>
      <c r="DH114" s="624"/>
      <c r="DI114" s="624"/>
      <c r="DJ114" s="624"/>
      <c r="DK114" s="624"/>
      <c r="DL114" s="624"/>
      <c r="DM114" s="624"/>
      <c r="DN114" s="624"/>
      <c r="DO114" s="624"/>
      <c r="DP114" s="624"/>
      <c r="DQ114" s="624"/>
      <c r="DR114" s="624"/>
      <c r="DS114" s="624"/>
      <c r="DT114" s="624"/>
      <c r="DU114" s="624"/>
      <c r="DV114" s="624"/>
      <c r="DW114" s="624"/>
      <c r="DX114" s="624"/>
      <c r="DY114" s="624"/>
      <c r="DZ114" s="624"/>
      <c r="EA114" s="624"/>
      <c r="EB114" s="624"/>
      <c r="EC114" s="624"/>
      <c r="ED114" s="624"/>
      <c r="EE114" s="624"/>
      <c r="EF114" s="624"/>
      <c r="EG114" s="624"/>
      <c r="EH114" s="624"/>
      <c r="EI114" s="624"/>
      <c r="EJ114" s="624"/>
      <c r="EK114" s="624"/>
      <c r="EL114" s="624"/>
      <c r="EM114" s="624"/>
      <c r="EN114" s="624"/>
      <c r="EO114" s="624"/>
      <c r="EP114" s="624"/>
      <c r="EQ114" s="624"/>
      <c r="ER114" s="624"/>
      <c r="ES114" s="624"/>
      <c r="ET114" s="624"/>
      <c r="EU114" s="624"/>
      <c r="EV114" s="624"/>
      <c r="EW114" s="624"/>
      <c r="EX114" s="624"/>
      <c r="EY114" s="624"/>
      <c r="EZ114" s="624"/>
      <c r="FA114" s="624"/>
      <c r="FB114" s="624"/>
      <c r="FC114" s="624"/>
      <c r="FD114" s="624"/>
      <c r="FE114" s="624"/>
      <c r="FF114" s="624"/>
      <c r="FG114" s="624"/>
      <c r="FH114" s="624"/>
      <c r="FI114" s="624"/>
      <c r="FJ114" s="624"/>
      <c r="FK114" s="624"/>
      <c r="FL114" s="624"/>
      <c r="FM114" s="624"/>
      <c r="FN114" s="624"/>
      <c r="FO114" s="624"/>
      <c r="FP114" s="624"/>
      <c r="FQ114" s="624"/>
      <c r="FR114" s="624"/>
      <c r="FS114" s="624"/>
      <c r="FT114" s="624"/>
      <c r="FU114" s="624"/>
      <c r="FV114" s="624"/>
      <c r="FW114" s="624"/>
      <c r="FX114" s="624"/>
      <c r="FY114" s="624"/>
      <c r="FZ114" s="624"/>
      <c r="GA114" s="624"/>
      <c r="GB114" s="624"/>
      <c r="GC114" s="624"/>
      <c r="GD114" s="624"/>
      <c r="GE114" s="624"/>
      <c r="GF114" s="624"/>
      <c r="GG114" s="624"/>
      <c r="GH114" s="624"/>
      <c r="GI114" s="624"/>
      <c r="GJ114" s="624"/>
      <c r="GK114" s="624"/>
      <c r="GL114" s="624"/>
      <c r="GM114" s="624"/>
      <c r="GN114" s="624"/>
      <c r="GO114" s="624"/>
      <c r="GP114" s="624"/>
      <c r="GQ114" s="624"/>
      <c r="GR114" s="624"/>
      <c r="GS114" s="624"/>
      <c r="GT114" s="624"/>
      <c r="GU114" s="624"/>
      <c r="GV114" s="624"/>
      <c r="GW114" s="624"/>
      <c r="GX114" s="624"/>
      <c r="GY114" s="624"/>
      <c r="GZ114" s="624"/>
      <c r="HA114" s="624"/>
      <c r="HB114" s="624"/>
      <c r="HC114" s="624"/>
      <c r="HD114" s="624"/>
      <c r="HE114" s="624"/>
      <c r="HF114" s="624"/>
      <c r="HG114" s="624"/>
      <c r="HH114" s="624"/>
      <c r="HI114" s="624"/>
      <c r="HJ114" s="624"/>
      <c r="HK114" s="624"/>
      <c r="HL114" s="624"/>
      <c r="HM114" s="624"/>
      <c r="HN114" s="624"/>
      <c r="HO114" s="624"/>
      <c r="HP114" s="624"/>
      <c r="HQ114" s="624"/>
      <c r="HR114" s="624"/>
      <c r="HS114" s="624"/>
      <c r="HT114" s="624"/>
      <c r="HU114" s="624"/>
      <c r="HV114" s="624"/>
      <c r="HW114" s="624"/>
      <c r="HX114" s="624"/>
      <c r="HY114" s="624"/>
      <c r="HZ114" s="624"/>
      <c r="IA114" s="624"/>
      <c r="IB114" s="624"/>
      <c r="IC114" s="624"/>
      <c r="ID114" s="624"/>
      <c r="IE114" s="624"/>
      <c r="IF114" s="624"/>
      <c r="IG114" s="624"/>
      <c r="IH114" s="624"/>
      <c r="II114" s="624"/>
      <c r="IJ114" s="624"/>
      <c r="IK114" s="624"/>
      <c r="IL114" s="624"/>
      <c r="IM114" s="624"/>
      <c r="IN114" s="624"/>
      <c r="IO114" s="624"/>
      <c r="IP114" s="624"/>
      <c r="IQ114" s="624"/>
      <c r="IR114" s="624"/>
      <c r="IS114" s="624"/>
      <c r="IT114" s="624"/>
      <c r="IU114" s="624"/>
      <c r="IV114" s="624"/>
      <c r="IW114" s="624"/>
      <c r="IX114" s="624"/>
      <c r="IY114" s="624"/>
      <c r="IZ114" s="624"/>
      <c r="JA114" s="624"/>
      <c r="JB114" s="624"/>
      <c r="JC114" s="624"/>
      <c r="JD114" s="624"/>
      <c r="JE114" s="624"/>
      <c r="JF114" s="624"/>
      <c r="JG114" s="624"/>
      <c r="JH114" s="624"/>
      <c r="JI114" s="624"/>
      <c r="JJ114" s="624"/>
      <c r="JK114" s="624"/>
      <c r="JL114" s="624"/>
      <c r="JM114" s="624"/>
      <c r="JN114" s="624"/>
      <c r="JO114" s="624"/>
      <c r="JP114" s="624"/>
      <c r="JQ114" s="624"/>
      <c r="JR114" s="624"/>
      <c r="JS114" s="624"/>
      <c r="JT114" s="624"/>
      <c r="JU114" s="624"/>
      <c r="JV114" s="624"/>
      <c r="JW114" s="624"/>
      <c r="JX114" s="624"/>
      <c r="JY114" s="624"/>
      <c r="JZ114" s="624"/>
      <c r="KA114" s="624"/>
      <c r="KB114" s="624"/>
      <c r="KC114" s="624"/>
      <c r="KD114" s="624"/>
      <c r="KE114" s="624"/>
      <c r="KF114" s="624"/>
      <c r="KG114" s="624"/>
      <c r="KH114" s="624"/>
      <c r="KI114" s="624"/>
      <c r="KJ114" s="624"/>
      <c r="KK114" s="624"/>
      <c r="KL114" s="624"/>
      <c r="KM114" s="624"/>
      <c r="KN114" s="624"/>
      <c r="KO114" s="624"/>
      <c r="KP114" s="624"/>
      <c r="KQ114" s="624"/>
      <c r="KR114" s="624"/>
      <c r="KS114" s="624"/>
      <c r="KT114" s="624"/>
      <c r="KU114" s="624"/>
      <c r="KV114" s="624"/>
      <c r="KW114" s="624"/>
      <c r="KX114" s="624"/>
      <c r="KY114" s="624"/>
      <c r="KZ114" s="624"/>
      <c r="LA114" s="624"/>
      <c r="LB114" s="624"/>
      <c r="LC114" s="624"/>
      <c r="LD114" s="624"/>
      <c r="LE114" s="624"/>
      <c r="LF114" s="624"/>
      <c r="LG114" s="624"/>
      <c r="LH114" s="624"/>
      <c r="LI114" s="624"/>
      <c r="LJ114" s="624"/>
      <c r="LK114" s="624"/>
      <c r="LL114" s="624"/>
      <c r="LM114" s="624"/>
      <c r="LN114" s="624"/>
      <c r="LO114" s="624"/>
      <c r="LP114" s="624"/>
      <c r="LQ114" s="624"/>
      <c r="LR114" s="624"/>
      <c r="LS114" s="624"/>
      <c r="LT114" s="624"/>
      <c r="LU114" s="624"/>
      <c r="LV114" s="624"/>
      <c r="LW114" s="624"/>
      <c r="LX114" s="624"/>
      <c r="LY114" s="624"/>
      <c r="LZ114" s="624"/>
      <c r="MA114" s="624"/>
      <c r="MB114" s="624"/>
      <c r="MC114" s="624"/>
      <c r="MD114" s="624"/>
      <c r="ME114" s="624"/>
      <c r="MF114" s="624"/>
      <c r="MG114" s="624"/>
      <c r="MH114" s="624"/>
      <c r="MI114" s="624"/>
      <c r="MJ114" s="624"/>
      <c r="MK114" s="624"/>
      <c r="ML114" s="624"/>
      <c r="MM114" s="624"/>
      <c r="MN114" s="624"/>
      <c r="MO114" s="624"/>
      <c r="MP114" s="624"/>
      <c r="MQ114" s="624"/>
      <c r="MR114" s="624"/>
      <c r="MS114" s="624"/>
      <c r="MT114" s="624"/>
      <c r="MU114" s="624"/>
      <c r="MV114" s="624"/>
      <c r="MW114" s="624"/>
      <c r="MX114" s="624"/>
      <c r="MY114" s="624"/>
      <c r="MZ114" s="624"/>
      <c r="NA114" s="624"/>
      <c r="NB114" s="624"/>
      <c r="NC114" s="624"/>
      <c r="ND114" s="624"/>
      <c r="NE114" s="624"/>
      <c r="NF114" s="624"/>
      <c r="NG114" s="624"/>
      <c r="NH114" s="624"/>
      <c r="NI114" s="624"/>
      <c r="NJ114" s="624"/>
      <c r="NK114" s="624"/>
      <c r="NL114" s="624"/>
      <c r="NM114" s="624"/>
      <c r="NN114" s="624"/>
      <c r="NO114" s="624"/>
      <c r="NP114" s="624"/>
      <c r="NQ114" s="624"/>
      <c r="NR114" s="624"/>
      <c r="NS114" s="624"/>
      <c r="NT114" s="624"/>
      <c r="NU114" s="624"/>
      <c r="NV114" s="624"/>
      <c r="NW114" s="624"/>
      <c r="NX114" s="624"/>
      <c r="NY114" s="624"/>
      <c r="NZ114" s="624"/>
      <c r="OA114" s="624"/>
      <c r="OB114" s="624"/>
      <c r="OC114" s="624"/>
      <c r="OD114" s="624"/>
      <c r="OE114" s="624"/>
      <c r="OF114" s="624"/>
      <c r="OG114" s="624"/>
      <c r="OH114" s="624"/>
      <c r="OI114" s="624"/>
      <c r="OJ114" s="624"/>
      <c r="OK114" s="624"/>
      <c r="OL114" s="624"/>
      <c r="OM114" s="624"/>
      <c r="ON114" s="624"/>
      <c r="OO114" s="624"/>
      <c r="OP114" s="624"/>
      <c r="OQ114" s="624"/>
      <c r="OR114" s="624"/>
      <c r="OS114" s="624"/>
      <c r="OT114" s="624"/>
      <c r="OU114" s="624"/>
      <c r="OV114" s="624"/>
      <c r="OW114" s="624"/>
      <c r="OX114" s="624"/>
      <c r="OY114" s="624"/>
      <c r="OZ114" s="624"/>
      <c r="PA114" s="624"/>
      <c r="PB114" s="624"/>
      <c r="PC114" s="624"/>
      <c r="PD114" s="624"/>
      <c r="PE114" s="624"/>
      <c r="PF114" s="624"/>
      <c r="PG114" s="624"/>
      <c r="PH114" s="624"/>
      <c r="PI114" s="624"/>
      <c r="PJ114" s="624"/>
      <c r="PK114" s="624"/>
      <c r="PL114" s="624"/>
      <c r="PM114" s="624"/>
      <c r="PN114" s="624"/>
      <c r="PO114" s="624"/>
      <c r="PP114" s="624"/>
      <c r="PQ114" s="624"/>
      <c r="PR114" s="624"/>
      <c r="PS114" s="624"/>
      <c r="PT114" s="624"/>
      <c r="PU114" s="624"/>
      <c r="PV114" s="624"/>
      <c r="PW114" s="624"/>
      <c r="PX114" s="624"/>
      <c r="PY114" s="624"/>
      <c r="PZ114" s="624"/>
      <c r="QA114" s="624"/>
      <c r="QB114" s="624"/>
      <c r="QC114" s="624"/>
      <c r="QD114" s="624"/>
      <c r="QE114" s="624"/>
      <c r="QF114" s="624"/>
      <c r="QG114" s="624"/>
      <c r="QH114" s="624"/>
      <c r="QI114" s="624"/>
      <c r="QJ114" s="624"/>
      <c r="QK114" s="624"/>
      <c r="QL114" s="624"/>
      <c r="QM114" s="624"/>
      <c r="QN114" s="624"/>
      <c r="QO114" s="624"/>
      <c r="QP114" s="624"/>
      <c r="QQ114" s="624"/>
      <c r="QR114" s="624"/>
      <c r="QS114" s="624"/>
      <c r="QT114" s="624"/>
      <c r="QU114" s="624"/>
      <c r="QV114" s="624"/>
      <c r="QW114" s="624"/>
      <c r="QX114" s="624"/>
      <c r="QY114" s="624"/>
      <c r="QZ114" s="624"/>
      <c r="RA114" s="624"/>
      <c r="RB114" s="624"/>
      <c r="RC114" s="624"/>
      <c r="RD114" s="624"/>
      <c r="RE114" s="624"/>
      <c r="RF114" s="624"/>
      <c r="RG114" s="624"/>
      <c r="RH114" s="624"/>
      <c r="RI114" s="624"/>
      <c r="RJ114" s="624"/>
      <c r="RK114" s="624"/>
      <c r="RL114" s="624"/>
      <c r="RM114" s="624"/>
      <c r="RN114" s="624"/>
      <c r="RO114" s="624"/>
      <c r="RP114" s="624"/>
      <c r="RQ114" s="624"/>
      <c r="RR114" s="624"/>
      <c r="RS114" s="624"/>
      <c r="RT114" s="624"/>
      <c r="RU114" s="624"/>
      <c r="RV114" s="624"/>
      <c r="RW114" s="624"/>
      <c r="RX114" s="624"/>
      <c r="RY114" s="624"/>
      <c r="RZ114" s="624"/>
      <c r="SA114" s="624"/>
      <c r="SB114" s="624"/>
      <c r="SC114" s="624"/>
      <c r="SD114" s="624"/>
      <c r="SE114" s="624"/>
      <c r="SF114" s="624"/>
      <c r="SG114" s="624"/>
      <c r="SH114" s="624"/>
      <c r="SI114" s="624"/>
      <c r="SJ114" s="624"/>
      <c r="SK114" s="624"/>
      <c r="SL114" s="624"/>
      <c r="SM114" s="624"/>
      <c r="SN114" s="624"/>
      <c r="SO114" s="624"/>
      <c r="SP114" s="624"/>
      <c r="SQ114" s="624"/>
      <c r="SR114" s="624"/>
      <c r="SS114" s="624"/>
      <c r="ST114" s="624"/>
      <c r="SU114" s="624"/>
      <c r="SV114" s="624"/>
      <c r="SW114" s="624"/>
      <c r="SX114" s="624"/>
      <c r="SY114" s="624"/>
      <c r="SZ114" s="624"/>
      <c r="TA114" s="624"/>
      <c r="TB114" s="624"/>
      <c r="TC114" s="624"/>
      <c r="TD114" s="624"/>
      <c r="TE114" s="624"/>
      <c r="TF114" s="624"/>
      <c r="TG114" s="624"/>
      <c r="TH114" s="624"/>
      <c r="TI114" s="624"/>
      <c r="TJ114" s="624"/>
      <c r="TK114" s="624"/>
      <c r="TL114" s="624"/>
      <c r="TM114" s="624"/>
      <c r="TN114" s="624"/>
      <c r="TO114" s="624"/>
      <c r="TP114" s="624"/>
      <c r="TQ114" s="624"/>
      <c r="TR114" s="624"/>
      <c r="TS114" s="624"/>
      <c r="TT114" s="624"/>
      <c r="TU114" s="624"/>
      <c r="TV114" s="624"/>
      <c r="TW114" s="624"/>
      <c r="TX114" s="624"/>
      <c r="TY114" s="624"/>
      <c r="TZ114" s="624"/>
      <c r="UA114" s="624"/>
      <c r="UB114" s="624"/>
      <c r="UC114" s="624"/>
      <c r="UD114" s="624"/>
      <c r="UE114" s="624"/>
      <c r="UF114" s="624"/>
      <c r="UG114" s="624"/>
      <c r="UH114" s="624"/>
      <c r="UI114" s="624"/>
      <c r="UJ114" s="624"/>
      <c r="UK114" s="624"/>
      <c r="UL114" s="624"/>
      <c r="UM114" s="624"/>
      <c r="UN114" s="624"/>
      <c r="UO114" s="624"/>
      <c r="UP114" s="624"/>
      <c r="UQ114" s="624"/>
      <c r="UR114" s="624"/>
      <c r="US114" s="624"/>
      <c r="UT114" s="624"/>
      <c r="UU114" s="624"/>
      <c r="UV114" s="624"/>
      <c r="UW114" s="624"/>
      <c r="UX114" s="624"/>
      <c r="UY114" s="624"/>
      <c r="UZ114" s="624"/>
      <c r="VA114" s="624"/>
      <c r="VB114" s="624"/>
      <c r="VC114" s="624"/>
      <c r="VD114" s="624"/>
      <c r="VE114" s="624"/>
      <c r="VF114" s="624"/>
      <c r="VG114" s="624"/>
      <c r="VH114" s="624"/>
      <c r="VI114" s="624"/>
      <c r="VJ114" s="624"/>
      <c r="VK114" s="624"/>
      <c r="VL114" s="624"/>
      <c r="VM114" s="624"/>
      <c r="VN114" s="624"/>
      <c r="VO114" s="624"/>
      <c r="VP114" s="624"/>
      <c r="VQ114" s="624"/>
      <c r="VR114" s="624"/>
      <c r="VS114" s="624"/>
      <c r="VT114" s="624"/>
      <c r="VU114" s="624"/>
      <c r="VV114" s="624"/>
      <c r="VW114" s="624"/>
      <c r="VX114" s="624"/>
      <c r="VY114" s="624"/>
      <c r="VZ114" s="624"/>
      <c r="WA114" s="624"/>
      <c r="WB114" s="624"/>
      <c r="WC114" s="624"/>
      <c r="WD114" s="624"/>
      <c r="WE114" s="624"/>
      <c r="WF114" s="624"/>
      <c r="WG114" s="624"/>
      <c r="WH114" s="624"/>
      <c r="WI114" s="624"/>
      <c r="WJ114" s="624"/>
      <c r="WK114" s="624"/>
      <c r="WL114" s="624"/>
      <c r="WM114" s="624"/>
      <c r="WN114" s="624"/>
      <c r="WO114" s="624"/>
      <c r="WP114" s="624"/>
      <c r="WQ114" s="624"/>
      <c r="WR114" s="624"/>
      <c r="WS114" s="624"/>
      <c r="WT114" s="624"/>
      <c r="WU114" s="624"/>
      <c r="WV114" s="624"/>
      <c r="WW114" s="624"/>
      <c r="WX114" s="624"/>
      <c r="WY114" s="624"/>
      <c r="WZ114" s="624"/>
      <c r="XA114" s="624"/>
      <c r="XB114" s="624"/>
      <c r="XC114" s="624"/>
      <c r="XD114" s="624"/>
      <c r="XE114" s="624"/>
      <c r="XF114" s="624"/>
      <c r="XG114" s="624"/>
      <c r="XH114" s="624"/>
      <c r="XI114" s="624"/>
      <c r="XJ114" s="624"/>
      <c r="XK114" s="624"/>
      <c r="XL114" s="624"/>
      <c r="XM114" s="624"/>
      <c r="XN114" s="624"/>
      <c r="XO114" s="624"/>
      <c r="XP114" s="624"/>
      <c r="XQ114" s="624"/>
      <c r="XR114" s="624"/>
      <c r="XS114" s="624"/>
      <c r="XT114" s="624"/>
      <c r="XU114" s="624"/>
      <c r="XV114" s="624"/>
      <c r="XW114" s="624"/>
      <c r="XX114" s="624"/>
      <c r="XY114" s="624"/>
      <c r="XZ114" s="624"/>
      <c r="YA114" s="624"/>
      <c r="YB114" s="624"/>
      <c r="YC114" s="624"/>
      <c r="YD114" s="624"/>
      <c r="YE114" s="624"/>
      <c r="YF114" s="624"/>
      <c r="YG114" s="624"/>
      <c r="YH114" s="624"/>
      <c r="YI114" s="624"/>
      <c r="YJ114" s="624"/>
      <c r="YK114" s="624"/>
      <c r="YL114" s="624"/>
      <c r="YM114" s="624"/>
      <c r="YN114" s="624"/>
      <c r="YO114" s="624"/>
      <c r="YP114" s="624"/>
      <c r="YQ114" s="624"/>
      <c r="YR114" s="624"/>
      <c r="YS114" s="624"/>
      <c r="YT114" s="624"/>
      <c r="YU114" s="624"/>
      <c r="YV114" s="624"/>
      <c r="YW114" s="624"/>
      <c r="YX114" s="624"/>
      <c r="YY114" s="624"/>
      <c r="YZ114" s="624"/>
      <c r="ZA114" s="624"/>
      <c r="ZB114" s="624"/>
      <c r="ZC114" s="624"/>
      <c r="ZD114" s="624"/>
      <c r="ZE114" s="624"/>
      <c r="ZF114" s="624"/>
      <c r="ZG114" s="624"/>
      <c r="ZH114" s="624"/>
      <c r="ZI114" s="624"/>
      <c r="ZJ114" s="624"/>
      <c r="ZK114" s="624"/>
      <c r="ZL114" s="624"/>
      <c r="ZM114" s="624"/>
      <c r="ZN114" s="624"/>
      <c r="ZO114" s="624"/>
      <c r="ZP114" s="624"/>
      <c r="ZQ114" s="624"/>
      <c r="ZR114" s="624"/>
      <c r="ZS114" s="624"/>
      <c r="ZT114" s="624"/>
      <c r="ZU114" s="624"/>
      <c r="ZV114" s="624"/>
      <c r="ZW114" s="624"/>
      <c r="ZX114" s="624"/>
      <c r="ZY114" s="624"/>
      <c r="ZZ114" s="624"/>
      <c r="AAA114" s="624"/>
      <c r="AAB114" s="624"/>
      <c r="AAC114" s="624"/>
      <c r="AAD114" s="624"/>
      <c r="AAE114" s="624"/>
      <c r="AAF114" s="624"/>
      <c r="AAG114" s="624"/>
      <c r="AAH114" s="624"/>
      <c r="AAI114" s="624"/>
      <c r="AAJ114" s="624"/>
      <c r="AAK114" s="624"/>
      <c r="AAL114" s="624"/>
      <c r="AAM114" s="624"/>
      <c r="AAN114" s="624"/>
      <c r="AAO114" s="624"/>
      <c r="AAP114" s="624"/>
      <c r="AAQ114" s="624"/>
      <c r="AAR114" s="624"/>
      <c r="AAS114" s="624"/>
      <c r="AAT114" s="624"/>
      <c r="AAU114" s="624"/>
      <c r="AAV114" s="624"/>
      <c r="AAW114" s="624"/>
      <c r="AAX114" s="624"/>
      <c r="AAY114" s="624"/>
      <c r="AAZ114" s="624"/>
      <c r="ABA114" s="624"/>
      <c r="ABB114" s="624"/>
      <c r="ABC114" s="624"/>
      <c r="ABD114" s="624"/>
      <c r="ABE114" s="624"/>
      <c r="ABF114" s="624"/>
      <c r="ABG114" s="624"/>
      <c r="ABH114" s="624"/>
      <c r="ABI114" s="624"/>
      <c r="ABJ114" s="624"/>
      <c r="ABK114" s="624"/>
      <c r="ABL114" s="624"/>
      <c r="ABM114" s="624"/>
      <c r="ABN114" s="624"/>
      <c r="ABO114" s="624"/>
      <c r="ABP114" s="624"/>
      <c r="ABQ114" s="624"/>
      <c r="ABR114" s="624"/>
      <c r="ABS114" s="624"/>
      <c r="ABT114" s="624"/>
      <c r="ABU114" s="624"/>
      <c r="ABV114" s="624"/>
      <c r="ABW114" s="624"/>
      <c r="ABX114" s="624"/>
      <c r="ABY114" s="624"/>
      <c r="ABZ114" s="624"/>
      <c r="ACA114" s="624"/>
      <c r="ACB114" s="624"/>
      <c r="ACC114" s="624"/>
      <c r="ACD114" s="624"/>
      <c r="ACE114" s="624"/>
      <c r="ACF114" s="624"/>
      <c r="ACG114" s="624"/>
      <c r="ACH114" s="624"/>
      <c r="ACI114" s="624"/>
      <c r="ACJ114" s="624"/>
      <c r="ACK114" s="624"/>
      <c r="ACL114" s="624"/>
      <c r="ACM114" s="624"/>
      <c r="ACN114" s="624"/>
      <c r="ACO114" s="624"/>
      <c r="ACP114" s="624"/>
      <c r="ACQ114" s="624"/>
      <c r="ACR114" s="624"/>
      <c r="ACS114" s="624"/>
      <c r="ACT114" s="624"/>
      <c r="ACU114" s="624"/>
      <c r="ACV114" s="624"/>
      <c r="ACW114" s="624"/>
      <c r="ACX114" s="624"/>
      <c r="ACY114" s="624"/>
      <c r="ACZ114" s="624"/>
      <c r="ADA114" s="624"/>
      <c r="ADB114" s="624"/>
      <c r="ADC114" s="624"/>
      <c r="ADD114" s="624"/>
      <c r="ADE114" s="624"/>
      <c r="ADF114" s="624"/>
      <c r="ADG114" s="624"/>
      <c r="ADH114" s="624"/>
      <c r="ADI114" s="624"/>
      <c r="ADJ114" s="624"/>
      <c r="ADK114" s="624"/>
      <c r="ADL114" s="624"/>
      <c r="ADM114" s="624"/>
      <c r="ADN114" s="624"/>
      <c r="ADO114" s="624"/>
      <c r="ADP114" s="624"/>
      <c r="ADQ114" s="624"/>
      <c r="ADR114" s="624"/>
      <c r="ADS114" s="624"/>
      <c r="ADT114" s="624"/>
      <c r="ADU114" s="624"/>
      <c r="ADV114" s="624"/>
      <c r="ADW114" s="624"/>
      <c r="ADX114" s="624"/>
      <c r="ADY114" s="624"/>
      <c r="ADZ114" s="624"/>
      <c r="AEA114" s="624"/>
      <c r="AEB114" s="624"/>
      <c r="AEC114" s="624"/>
      <c r="AED114" s="624"/>
      <c r="AEE114" s="624"/>
      <c r="AEF114" s="624"/>
      <c r="AEG114" s="624"/>
      <c r="AEH114" s="624"/>
      <c r="AEI114" s="624"/>
      <c r="AEJ114" s="624"/>
      <c r="AEK114" s="624"/>
      <c r="AEL114" s="624"/>
      <c r="AEM114" s="624"/>
      <c r="AEN114" s="624"/>
      <c r="AEO114" s="624"/>
      <c r="AEP114" s="624"/>
      <c r="AEQ114" s="624"/>
      <c r="AER114" s="624"/>
      <c r="AES114" s="624"/>
      <c r="AET114" s="624"/>
      <c r="AEU114" s="624"/>
      <c r="AEV114" s="624"/>
      <c r="AEW114" s="624"/>
      <c r="AEX114" s="624"/>
      <c r="AEY114" s="624"/>
      <c r="AEZ114" s="624"/>
      <c r="AFA114" s="624"/>
      <c r="AFB114" s="624"/>
      <c r="AFC114" s="624"/>
      <c r="AFD114" s="624"/>
      <c r="AFE114" s="624"/>
      <c r="AFF114" s="624"/>
      <c r="AFG114" s="624"/>
      <c r="AFH114" s="624"/>
      <c r="AFI114" s="624"/>
      <c r="AFJ114" s="624"/>
      <c r="AFK114" s="624"/>
      <c r="AFL114" s="624"/>
      <c r="AFM114" s="624"/>
      <c r="AFN114" s="624"/>
      <c r="AFO114" s="624"/>
      <c r="AFP114" s="624"/>
      <c r="AFQ114" s="624"/>
      <c r="AFR114" s="624"/>
      <c r="AFS114" s="624"/>
      <c r="AFT114" s="624"/>
      <c r="AFU114" s="624"/>
      <c r="AFV114" s="624"/>
      <c r="AFW114" s="624"/>
      <c r="AFX114" s="624"/>
      <c r="AFY114" s="624"/>
      <c r="AFZ114" s="624"/>
      <c r="AGA114" s="624"/>
      <c r="AGB114" s="624"/>
      <c r="AGC114" s="624"/>
      <c r="AGD114" s="624"/>
      <c r="AGE114" s="624"/>
      <c r="AGF114" s="624"/>
      <c r="AGG114" s="624"/>
      <c r="AGH114" s="624"/>
      <c r="AGI114" s="624"/>
      <c r="AGJ114" s="624"/>
      <c r="AGK114" s="624"/>
      <c r="AGL114" s="624"/>
      <c r="AGM114" s="624"/>
      <c r="AGN114" s="624"/>
      <c r="AGO114" s="624"/>
      <c r="AGP114" s="624"/>
      <c r="AGQ114" s="624"/>
      <c r="AGR114" s="624"/>
      <c r="AGS114" s="624"/>
      <c r="AGT114" s="624"/>
      <c r="AGU114" s="624"/>
      <c r="AGV114" s="624"/>
      <c r="AGW114" s="624"/>
      <c r="AGX114" s="624"/>
      <c r="AGY114" s="624"/>
      <c r="AGZ114" s="624"/>
      <c r="AHA114" s="624"/>
      <c r="AHB114" s="624"/>
      <c r="AHC114" s="624"/>
      <c r="AHD114" s="624"/>
      <c r="AHE114" s="624"/>
      <c r="AHF114" s="624"/>
      <c r="AHG114" s="624"/>
      <c r="AHH114" s="624"/>
      <c r="AHI114" s="624"/>
      <c r="AHJ114" s="624"/>
      <c r="AHK114" s="624"/>
      <c r="AHL114" s="624"/>
      <c r="AHM114" s="624"/>
      <c r="AHN114" s="624"/>
      <c r="AHO114" s="624"/>
      <c r="AHP114" s="624"/>
      <c r="AHQ114" s="624"/>
      <c r="AHR114" s="624"/>
      <c r="AHS114" s="624"/>
      <c r="AHT114" s="624"/>
      <c r="AHU114" s="624"/>
      <c r="AHV114" s="624"/>
      <c r="AHW114" s="624"/>
      <c r="AHX114" s="624"/>
      <c r="AHY114" s="624"/>
      <c r="AHZ114" s="624"/>
      <c r="AIA114" s="624"/>
      <c r="AIB114" s="624"/>
      <c r="AIC114" s="624"/>
      <c r="AID114" s="624"/>
      <c r="AIE114" s="624"/>
      <c r="AIF114" s="624"/>
      <c r="AIG114" s="624"/>
      <c r="AIH114" s="624"/>
      <c r="AII114" s="624"/>
      <c r="AIJ114" s="624"/>
      <c r="AIK114" s="624"/>
      <c r="AIL114" s="624"/>
      <c r="AIM114" s="624"/>
      <c r="AIN114" s="624"/>
      <c r="AIO114" s="624"/>
      <c r="AIP114" s="624"/>
      <c r="AIQ114" s="624"/>
      <c r="AIR114" s="624"/>
      <c r="AIS114" s="624"/>
      <c r="AIT114" s="624"/>
      <c r="AIU114" s="624"/>
      <c r="AIV114" s="624"/>
      <c r="AIW114" s="624"/>
      <c r="AIX114" s="624"/>
      <c r="AIY114" s="624"/>
      <c r="AIZ114" s="624"/>
      <c r="AJA114" s="624"/>
      <c r="AJB114" s="624"/>
      <c r="AJC114" s="624"/>
      <c r="AJD114" s="624"/>
      <c r="AJE114" s="624"/>
      <c r="AJF114" s="624"/>
      <c r="AJG114" s="624"/>
      <c r="AJH114" s="624"/>
      <c r="AJI114" s="624"/>
      <c r="AJJ114" s="624"/>
      <c r="AJK114" s="624"/>
      <c r="AJL114" s="624"/>
      <c r="AJM114" s="624"/>
      <c r="AJN114" s="624"/>
      <c r="AJO114" s="624"/>
      <c r="AJP114" s="624"/>
      <c r="AJQ114" s="624"/>
      <c r="AJR114" s="624"/>
      <c r="AJS114" s="624"/>
      <c r="AJT114" s="624"/>
      <c r="AJU114" s="624"/>
      <c r="AJV114" s="624"/>
      <c r="AJW114" s="624"/>
      <c r="AJX114" s="624"/>
      <c r="AJY114" s="624"/>
      <c r="AJZ114" s="624"/>
      <c r="AKA114" s="624"/>
      <c r="AKB114" s="624"/>
      <c r="AKC114" s="624"/>
      <c r="AKD114" s="624"/>
      <c r="AKE114" s="624"/>
      <c r="AKF114" s="624"/>
      <c r="AKG114" s="624"/>
      <c r="AKH114" s="624"/>
      <c r="AKI114" s="624"/>
      <c r="AKJ114" s="624"/>
      <c r="AKK114" s="624"/>
      <c r="AKL114" s="624"/>
      <c r="AKM114" s="624"/>
      <c r="AKN114" s="624"/>
      <c r="AKO114" s="624"/>
      <c r="AKP114" s="624"/>
      <c r="AKQ114" s="624"/>
      <c r="AKR114" s="624"/>
      <c r="AKS114" s="624"/>
      <c r="AKT114" s="624"/>
      <c r="AKU114" s="624"/>
      <c r="AKV114" s="624"/>
      <c r="AKW114" s="624"/>
      <c r="AKX114" s="624"/>
      <c r="AKY114" s="624"/>
      <c r="AKZ114" s="624"/>
      <c r="ALA114" s="624"/>
      <c r="ALB114" s="624"/>
      <c r="ALC114" s="624"/>
      <c r="ALD114" s="624"/>
      <c r="ALE114" s="624"/>
      <c r="ALF114" s="624"/>
      <c r="ALG114" s="624"/>
      <c r="ALH114" s="624"/>
      <c r="ALI114" s="624"/>
      <c r="ALJ114" s="624"/>
      <c r="ALK114" s="624"/>
      <c r="ALL114" s="624"/>
      <c r="ALM114" s="624"/>
      <c r="ALN114" s="624"/>
      <c r="ALO114" s="624"/>
      <c r="ALP114" s="624"/>
      <c r="ALQ114" s="624"/>
      <c r="ALR114" s="624"/>
      <c r="ALS114" s="624"/>
      <c r="ALT114" s="624"/>
      <c r="ALU114" s="624"/>
      <c r="ALV114" s="624"/>
      <c r="ALW114" s="624"/>
      <c r="ALX114" s="624"/>
      <c r="ALY114" s="624"/>
      <c r="ALZ114" s="624"/>
      <c r="AMA114" s="624"/>
      <c r="AMB114" s="624"/>
      <c r="AMC114" s="624"/>
      <c r="AMD114" s="624"/>
      <c r="AME114" s="624"/>
      <c r="AMF114" s="624"/>
      <c r="AMG114" s="624"/>
      <c r="AMH114" s="624"/>
      <c r="AMI114" s="624"/>
      <c r="AMJ114" s="624"/>
      <c r="AMK114" s="624"/>
      <c r="AML114" s="624"/>
      <c r="AMM114" s="624"/>
      <c r="AMN114" s="624"/>
      <c r="AMO114" s="624"/>
      <c r="AMP114" s="624"/>
      <c r="AMQ114" s="624"/>
      <c r="AMR114" s="624"/>
      <c r="AMS114" s="624"/>
      <c r="AMT114" s="624"/>
      <c r="AMU114" s="624"/>
      <c r="AMV114" s="624"/>
      <c r="AMW114" s="624"/>
      <c r="AMX114" s="624"/>
      <c r="AMY114" s="624"/>
      <c r="AMZ114" s="624"/>
      <c r="ANA114" s="624"/>
      <c r="ANB114" s="624"/>
      <c r="ANC114" s="624"/>
      <c r="AND114" s="624"/>
      <c r="ANE114" s="624"/>
      <c r="ANF114" s="624"/>
      <c r="ANG114" s="624"/>
      <c r="ANH114" s="624"/>
      <c r="ANI114" s="624"/>
      <c r="ANJ114" s="624"/>
      <c r="ANK114" s="624"/>
      <c r="ANL114" s="624"/>
      <c r="ANM114" s="624"/>
      <c r="ANN114" s="624"/>
      <c r="ANO114" s="624"/>
      <c r="ANP114" s="624"/>
      <c r="ANQ114" s="624"/>
      <c r="ANR114" s="624"/>
      <c r="ANS114" s="624"/>
      <c r="ANT114" s="624"/>
      <c r="ANU114" s="624"/>
      <c r="ANV114" s="624"/>
      <c r="ANW114" s="624"/>
      <c r="ANX114" s="624"/>
      <c r="ANY114" s="624"/>
      <c r="ANZ114" s="624"/>
      <c r="AOA114" s="624"/>
      <c r="AOB114" s="624"/>
      <c r="AOC114" s="624"/>
      <c r="AOD114" s="624"/>
      <c r="AOE114" s="624"/>
      <c r="AOF114" s="624"/>
      <c r="AOG114" s="624"/>
      <c r="AOH114" s="624"/>
      <c r="AOI114" s="624"/>
      <c r="AOJ114" s="624"/>
      <c r="AOK114" s="624"/>
      <c r="AOL114" s="624"/>
      <c r="AOM114" s="624"/>
      <c r="AON114" s="624"/>
      <c r="AOO114" s="624"/>
      <c r="AOP114" s="624"/>
      <c r="AOQ114" s="624"/>
      <c r="AOR114" s="624"/>
      <c r="AOS114" s="624"/>
      <c r="AOT114" s="624"/>
      <c r="AOU114" s="624"/>
      <c r="AOV114" s="624"/>
      <c r="AOW114" s="624"/>
      <c r="AOX114" s="624"/>
      <c r="AOY114" s="624"/>
      <c r="AOZ114" s="624"/>
      <c r="APA114" s="624"/>
      <c r="APB114" s="624"/>
      <c r="APC114" s="624"/>
      <c r="APD114" s="624"/>
      <c r="APE114" s="624"/>
      <c r="APF114" s="624"/>
      <c r="APG114" s="624"/>
      <c r="APH114" s="624"/>
      <c r="API114" s="624"/>
      <c r="APJ114" s="624"/>
      <c r="APK114" s="624"/>
      <c r="APL114" s="624"/>
      <c r="APM114" s="624"/>
      <c r="APN114" s="624"/>
      <c r="APO114" s="624"/>
      <c r="APP114" s="624"/>
      <c r="APQ114" s="624"/>
      <c r="APR114" s="624"/>
      <c r="APS114" s="624"/>
      <c r="APT114" s="624"/>
      <c r="APU114" s="624"/>
      <c r="APV114" s="624"/>
      <c r="APW114" s="624"/>
      <c r="APX114" s="624"/>
      <c r="APY114" s="624"/>
      <c r="APZ114" s="624"/>
      <c r="AQA114" s="624"/>
      <c r="AQB114" s="624"/>
      <c r="AQC114" s="624"/>
      <c r="AQD114" s="624"/>
      <c r="AQE114" s="624"/>
      <c r="AQF114" s="624"/>
      <c r="AQG114" s="624"/>
      <c r="AQH114" s="624"/>
      <c r="AQI114" s="624"/>
      <c r="AQJ114" s="624"/>
      <c r="AQK114" s="624"/>
      <c r="AQL114" s="624"/>
      <c r="AQM114" s="624"/>
      <c r="AQN114" s="624"/>
      <c r="AQO114" s="624"/>
      <c r="AQP114" s="624"/>
      <c r="AQQ114" s="624"/>
      <c r="AQR114" s="624"/>
      <c r="AQS114" s="624"/>
      <c r="AQT114" s="624"/>
      <c r="AQU114" s="624"/>
      <c r="AQV114" s="624"/>
      <c r="AQW114" s="624"/>
      <c r="AQX114" s="624"/>
      <c r="AQY114" s="624"/>
      <c r="AQZ114" s="624"/>
      <c r="ARA114" s="624"/>
      <c r="ARB114" s="624"/>
      <c r="ARC114" s="624"/>
      <c r="ARD114" s="624"/>
      <c r="ARE114" s="624"/>
      <c r="ARF114" s="624"/>
      <c r="ARG114" s="624"/>
      <c r="ARH114" s="624"/>
      <c r="ARI114" s="624"/>
      <c r="ARJ114" s="624"/>
      <c r="ARK114" s="624"/>
      <c r="ARL114" s="624"/>
      <c r="ARM114" s="624"/>
      <c r="ARN114" s="624"/>
      <c r="ARO114" s="624"/>
      <c r="ARP114" s="624"/>
      <c r="ARQ114" s="624"/>
      <c r="ARR114" s="624"/>
      <c r="ARS114" s="624"/>
      <c r="ART114" s="624"/>
      <c r="ARU114" s="624"/>
      <c r="ARV114" s="624"/>
      <c r="ARW114" s="624"/>
      <c r="ARX114" s="624"/>
      <c r="ARY114" s="624"/>
      <c r="ARZ114" s="624"/>
      <c r="ASA114" s="624"/>
      <c r="ASB114" s="624"/>
      <c r="ASC114" s="624"/>
      <c r="ASD114" s="624"/>
      <c r="ASE114" s="624"/>
      <c r="ASF114" s="624"/>
      <c r="ASG114" s="624"/>
      <c r="ASH114" s="624"/>
      <c r="ASI114" s="624"/>
      <c r="ASJ114" s="624"/>
      <c r="ASK114" s="624"/>
      <c r="ASL114" s="624"/>
      <c r="ASM114" s="624"/>
      <c r="ASN114" s="624"/>
      <c r="ASO114" s="624"/>
      <c r="ASP114" s="624"/>
      <c r="ASQ114" s="624"/>
      <c r="ASR114" s="624"/>
      <c r="ASS114" s="624"/>
      <c r="AST114" s="624"/>
      <c r="ASU114" s="624"/>
      <c r="ASV114" s="624"/>
      <c r="ASW114" s="624"/>
      <c r="ASX114" s="624"/>
      <c r="ASY114" s="624"/>
      <c r="ASZ114" s="624"/>
      <c r="ATA114" s="624"/>
      <c r="ATB114" s="624"/>
      <c r="ATC114" s="624"/>
      <c r="ATD114" s="624"/>
      <c r="ATE114" s="624"/>
      <c r="ATF114" s="624"/>
      <c r="ATG114" s="624"/>
      <c r="ATH114" s="624"/>
      <c r="ATI114" s="624"/>
      <c r="ATJ114" s="624"/>
      <c r="ATK114" s="624"/>
      <c r="ATL114" s="624"/>
      <c r="ATM114" s="624"/>
      <c r="ATN114" s="624"/>
      <c r="ATO114" s="624"/>
      <c r="ATP114" s="624"/>
      <c r="ATQ114" s="624"/>
      <c r="ATR114" s="624"/>
      <c r="ATS114" s="624"/>
      <c r="ATT114" s="624"/>
      <c r="ATU114" s="624"/>
      <c r="ATV114" s="624"/>
      <c r="ATW114" s="624"/>
      <c r="ATX114" s="624"/>
      <c r="ATY114" s="624"/>
      <c r="ATZ114" s="624"/>
      <c r="AUA114" s="624"/>
      <c r="AUB114" s="624"/>
      <c r="AUC114" s="624"/>
      <c r="AUD114" s="624"/>
      <c r="AUE114" s="624"/>
      <c r="AUF114" s="624"/>
      <c r="AUG114" s="624"/>
      <c r="AUH114" s="624"/>
      <c r="AUI114" s="624"/>
      <c r="AUJ114" s="624"/>
      <c r="AUK114" s="624"/>
      <c r="AUL114" s="624"/>
      <c r="AUM114" s="624"/>
      <c r="AUN114" s="624"/>
      <c r="AUO114" s="624"/>
      <c r="AUP114" s="624"/>
      <c r="AUQ114" s="624"/>
      <c r="AUR114" s="624"/>
      <c r="AUS114" s="624"/>
      <c r="AUT114" s="624"/>
      <c r="AUU114" s="624"/>
      <c r="AUV114" s="624"/>
      <c r="AUW114" s="624"/>
      <c r="AUX114" s="624"/>
      <c r="AUY114" s="624"/>
      <c r="AUZ114" s="624"/>
      <c r="AVA114" s="624"/>
      <c r="AVB114" s="624"/>
      <c r="AVC114" s="624"/>
      <c r="AVD114" s="624"/>
      <c r="AVE114" s="624"/>
      <c r="AVF114" s="624"/>
      <c r="AVG114" s="624"/>
      <c r="AVH114" s="624"/>
      <c r="AVI114" s="624"/>
      <c r="AVJ114" s="624"/>
      <c r="AVK114" s="624"/>
      <c r="AVL114" s="624"/>
      <c r="AVM114" s="624"/>
      <c r="AVN114" s="624"/>
      <c r="AVO114" s="624"/>
      <c r="AVP114" s="624"/>
      <c r="AVQ114" s="624"/>
      <c r="AVR114" s="624"/>
      <c r="AVS114" s="624"/>
      <c r="AVT114" s="624"/>
      <c r="AVU114" s="624"/>
      <c r="AVV114" s="624"/>
      <c r="AVW114" s="624"/>
      <c r="AVX114" s="624"/>
      <c r="AVY114" s="624"/>
      <c r="AVZ114" s="624"/>
      <c r="AWA114" s="624"/>
      <c r="AWB114" s="624"/>
      <c r="AWC114" s="624"/>
      <c r="AWD114" s="624"/>
      <c r="AWE114" s="624"/>
      <c r="AWF114" s="624"/>
      <c r="AWG114" s="624"/>
      <c r="AWH114" s="624"/>
      <c r="AWI114" s="624"/>
      <c r="AWJ114" s="624"/>
      <c r="AWK114" s="624"/>
      <c r="AWL114" s="624"/>
      <c r="AWM114" s="624"/>
      <c r="AWN114" s="624"/>
      <c r="AWO114" s="624"/>
      <c r="AWP114" s="624"/>
      <c r="AWQ114" s="624"/>
      <c r="AWR114" s="624"/>
      <c r="AWS114" s="624"/>
      <c r="AWT114" s="624"/>
      <c r="AWU114" s="624"/>
      <c r="AWV114" s="624"/>
      <c r="AWW114" s="624"/>
      <c r="AWX114" s="624"/>
      <c r="AWY114" s="624"/>
      <c r="AWZ114" s="624"/>
      <c r="AXA114" s="624"/>
      <c r="AXB114" s="624"/>
      <c r="AXC114" s="624"/>
      <c r="AXD114" s="624"/>
      <c r="AXE114" s="624"/>
      <c r="AXF114" s="624"/>
      <c r="AXG114" s="624"/>
      <c r="AXH114" s="624"/>
      <c r="AXI114" s="624"/>
      <c r="AXJ114" s="624"/>
      <c r="AXK114" s="624"/>
      <c r="AXL114" s="624"/>
      <c r="AXM114" s="624"/>
      <c r="AXN114" s="624"/>
      <c r="AXO114" s="624"/>
      <c r="AXP114" s="624"/>
      <c r="AXQ114" s="624"/>
      <c r="AXR114" s="624"/>
      <c r="AXS114" s="624"/>
      <c r="AXT114" s="624"/>
      <c r="AXU114" s="624"/>
      <c r="AXV114" s="624"/>
      <c r="AXW114" s="624"/>
      <c r="AXX114" s="624"/>
      <c r="AXY114" s="624"/>
      <c r="AXZ114" s="624"/>
      <c r="AYA114" s="624"/>
      <c r="AYB114" s="624"/>
      <c r="AYC114" s="624"/>
      <c r="AYD114" s="624"/>
      <c r="AYE114" s="624"/>
      <c r="AYF114" s="624"/>
      <c r="AYG114" s="624"/>
      <c r="AYH114" s="624"/>
      <c r="AYI114" s="624"/>
      <c r="AYJ114" s="624"/>
      <c r="AYK114" s="624"/>
      <c r="AYL114" s="624"/>
      <c r="AYM114" s="624"/>
      <c r="AYN114" s="624"/>
      <c r="AYO114" s="624"/>
      <c r="AYP114" s="624"/>
      <c r="AYQ114" s="624"/>
      <c r="AYR114" s="624"/>
      <c r="AYS114" s="624"/>
      <c r="AYT114" s="624"/>
      <c r="AYU114" s="624"/>
      <c r="AYV114" s="624"/>
      <c r="AYW114" s="624"/>
      <c r="AYX114" s="624"/>
      <c r="AYY114" s="624"/>
      <c r="AYZ114" s="624"/>
      <c r="AZA114" s="624"/>
      <c r="AZB114" s="624"/>
      <c r="AZC114" s="624"/>
      <c r="AZD114" s="624"/>
      <c r="AZE114" s="624"/>
      <c r="AZF114" s="624"/>
      <c r="AZG114" s="624"/>
      <c r="AZH114" s="624"/>
      <c r="AZI114" s="624"/>
      <c r="AZJ114" s="624"/>
      <c r="AZK114" s="624"/>
      <c r="AZL114" s="624"/>
      <c r="AZM114" s="624"/>
      <c r="AZN114" s="624"/>
      <c r="AZO114" s="624"/>
      <c r="AZP114" s="624"/>
      <c r="AZQ114" s="624"/>
      <c r="AZR114" s="624"/>
      <c r="AZS114" s="624"/>
      <c r="AZT114" s="624"/>
      <c r="AZU114" s="624"/>
      <c r="AZV114" s="624"/>
      <c r="AZW114" s="624"/>
      <c r="AZX114" s="624"/>
      <c r="AZY114" s="624"/>
      <c r="AZZ114" s="624"/>
      <c r="BAA114" s="624"/>
      <c r="BAB114" s="624"/>
      <c r="BAC114" s="624"/>
      <c r="BAD114" s="624"/>
      <c r="BAE114" s="624"/>
      <c r="BAF114" s="624"/>
      <c r="BAG114" s="624"/>
      <c r="BAH114" s="624"/>
      <c r="BAI114" s="624"/>
      <c r="BAJ114" s="624"/>
      <c r="BAK114" s="624"/>
      <c r="BAL114" s="624"/>
      <c r="BAM114" s="624"/>
      <c r="BAN114" s="624"/>
      <c r="BAO114" s="624"/>
      <c r="BAP114" s="624"/>
      <c r="BAQ114" s="624"/>
      <c r="BAR114" s="624"/>
      <c r="BAS114" s="624"/>
      <c r="BAT114" s="624"/>
      <c r="BAU114" s="624"/>
      <c r="BAV114" s="624"/>
      <c r="BAW114" s="624"/>
      <c r="BAX114" s="624"/>
      <c r="BAY114" s="624"/>
      <c r="BAZ114" s="624"/>
      <c r="BBA114" s="624"/>
      <c r="BBB114" s="624"/>
      <c r="BBC114" s="624"/>
      <c r="BBD114" s="624"/>
      <c r="BBE114" s="624"/>
      <c r="BBF114" s="624"/>
      <c r="BBG114" s="624"/>
      <c r="BBH114" s="624"/>
      <c r="BBI114" s="624"/>
      <c r="BBJ114" s="624"/>
      <c r="BBK114" s="624"/>
      <c r="BBL114" s="624"/>
      <c r="BBM114" s="624"/>
      <c r="BBN114" s="624"/>
      <c r="BBO114" s="624"/>
      <c r="BBP114" s="624"/>
      <c r="BBQ114" s="624"/>
      <c r="BBR114" s="624"/>
      <c r="BBS114" s="624"/>
      <c r="BBT114" s="624"/>
      <c r="BBU114" s="624"/>
      <c r="BBV114" s="624"/>
      <c r="BBW114" s="624"/>
      <c r="BBX114" s="624"/>
      <c r="BBY114" s="624"/>
      <c r="BBZ114" s="624"/>
      <c r="BCA114" s="624"/>
      <c r="BCB114" s="624"/>
      <c r="BCC114" s="624"/>
      <c r="BCD114" s="624"/>
      <c r="BCE114" s="624"/>
      <c r="BCF114" s="624"/>
      <c r="BCG114" s="624"/>
      <c r="BCH114" s="624"/>
      <c r="BCI114" s="624"/>
      <c r="BCJ114" s="624"/>
      <c r="BCK114" s="624"/>
      <c r="BCL114" s="624"/>
      <c r="BCM114" s="624"/>
      <c r="BCN114" s="624"/>
      <c r="BCO114" s="624"/>
      <c r="BCP114" s="624"/>
      <c r="BCQ114" s="624"/>
      <c r="BCR114" s="624"/>
      <c r="BCS114" s="624"/>
      <c r="BCT114" s="624"/>
      <c r="BCU114" s="624"/>
      <c r="BCV114" s="624"/>
      <c r="BCW114" s="624"/>
      <c r="BCX114" s="624"/>
      <c r="BCY114" s="624"/>
      <c r="BCZ114" s="624"/>
      <c r="BDA114" s="624"/>
      <c r="BDB114" s="624"/>
      <c r="BDC114" s="624"/>
      <c r="BDD114" s="624"/>
      <c r="BDE114" s="624"/>
      <c r="BDF114" s="624"/>
      <c r="BDG114" s="624"/>
      <c r="BDH114" s="624"/>
      <c r="BDI114" s="624"/>
      <c r="BDJ114" s="624"/>
      <c r="BDK114" s="624"/>
      <c r="BDL114" s="624"/>
      <c r="BDM114" s="624"/>
      <c r="BDN114" s="624"/>
      <c r="BDO114" s="624"/>
      <c r="BDP114" s="624"/>
      <c r="BDQ114" s="624"/>
      <c r="BDR114" s="624"/>
      <c r="BDS114" s="624"/>
      <c r="BDT114" s="624"/>
      <c r="BDU114" s="624"/>
      <c r="BDV114" s="624"/>
      <c r="BDW114" s="624"/>
      <c r="BDX114" s="624"/>
      <c r="BDY114" s="624"/>
      <c r="BDZ114" s="624"/>
      <c r="BEA114" s="624"/>
      <c r="BEB114" s="624"/>
      <c r="BEC114" s="624"/>
      <c r="BED114" s="624"/>
      <c r="BEE114" s="624"/>
      <c r="BEF114" s="624"/>
      <c r="BEG114" s="624"/>
      <c r="BEH114" s="624"/>
      <c r="BEI114" s="624"/>
      <c r="BEJ114" s="624"/>
      <c r="BEK114" s="624"/>
      <c r="BEL114" s="624"/>
      <c r="BEM114" s="624"/>
      <c r="BEN114" s="624"/>
      <c r="BEO114" s="624"/>
      <c r="BEP114" s="624"/>
      <c r="BEQ114" s="624"/>
      <c r="BER114" s="624"/>
      <c r="BES114" s="624"/>
      <c r="BET114" s="624"/>
      <c r="BEU114" s="624"/>
      <c r="BEV114" s="624"/>
      <c r="BEW114" s="624"/>
      <c r="BEX114" s="624"/>
      <c r="BEY114" s="624"/>
      <c r="BEZ114" s="624"/>
      <c r="BFA114" s="624"/>
      <c r="BFB114" s="624"/>
      <c r="BFC114" s="624"/>
      <c r="BFD114" s="624"/>
      <c r="BFE114" s="624"/>
      <c r="BFF114" s="624"/>
      <c r="BFG114" s="624"/>
      <c r="BFH114" s="624"/>
      <c r="BFI114" s="624"/>
      <c r="BFJ114" s="624"/>
      <c r="BFK114" s="624"/>
      <c r="BFL114" s="624"/>
      <c r="BFM114" s="624"/>
      <c r="BFN114" s="624"/>
      <c r="BFO114" s="624"/>
      <c r="BFP114" s="624"/>
      <c r="BFQ114" s="624"/>
      <c r="BFR114" s="624"/>
      <c r="BFS114" s="624"/>
      <c r="BFT114" s="624"/>
      <c r="BFU114" s="624"/>
      <c r="BFV114" s="624"/>
      <c r="BFW114" s="624"/>
      <c r="BFX114" s="624"/>
      <c r="BFY114" s="624"/>
      <c r="BFZ114" s="624"/>
      <c r="BGA114" s="624"/>
      <c r="BGB114" s="624"/>
      <c r="BGC114" s="624"/>
      <c r="BGD114" s="624"/>
      <c r="BGE114" s="624"/>
      <c r="BGF114" s="624"/>
      <c r="BGG114" s="624"/>
      <c r="BGH114" s="624"/>
      <c r="BGI114" s="624"/>
      <c r="BGJ114" s="624"/>
      <c r="BGK114" s="624"/>
      <c r="BGL114" s="624"/>
      <c r="BGM114" s="624"/>
      <c r="BGN114" s="624"/>
      <c r="BGO114" s="624"/>
      <c r="BGP114" s="624"/>
      <c r="BGQ114" s="624"/>
      <c r="BGR114" s="624"/>
      <c r="BGS114" s="624"/>
      <c r="BGT114" s="624"/>
      <c r="BGU114" s="624"/>
      <c r="BGV114" s="624"/>
      <c r="BGW114" s="624"/>
      <c r="BGX114" s="624"/>
      <c r="BGY114" s="624"/>
      <c r="BGZ114" s="624"/>
      <c r="BHA114" s="624"/>
      <c r="BHB114" s="624"/>
      <c r="BHC114" s="624"/>
      <c r="BHD114" s="624"/>
      <c r="BHE114" s="624"/>
      <c r="BHF114" s="624"/>
      <c r="BHG114" s="624"/>
      <c r="BHH114" s="624"/>
      <c r="BHI114" s="624"/>
      <c r="BHJ114" s="624"/>
      <c r="BHK114" s="624"/>
      <c r="BHL114" s="624"/>
      <c r="BHM114" s="624"/>
      <c r="BHN114" s="624"/>
      <c r="BHO114" s="624"/>
      <c r="BHP114" s="624"/>
      <c r="BHQ114" s="624"/>
      <c r="BHR114" s="624"/>
      <c r="BHS114" s="624"/>
      <c r="BHT114" s="624"/>
      <c r="BHU114" s="624"/>
      <c r="BHV114" s="624"/>
      <c r="BHW114" s="624"/>
      <c r="BHX114" s="624"/>
      <c r="BHY114" s="624"/>
      <c r="BHZ114" s="624"/>
      <c r="BIA114" s="624"/>
      <c r="BIB114" s="624"/>
      <c r="BIC114" s="624"/>
      <c r="BID114" s="624"/>
      <c r="BIE114" s="624"/>
      <c r="BIF114" s="624"/>
      <c r="BIG114" s="624"/>
      <c r="BIH114" s="624"/>
      <c r="BII114" s="624"/>
      <c r="BIJ114" s="624"/>
      <c r="BIK114" s="624"/>
      <c r="BIL114" s="624"/>
      <c r="BIM114" s="624"/>
      <c r="BIN114" s="624"/>
      <c r="BIO114" s="624"/>
      <c r="BIP114" s="624"/>
      <c r="BIQ114" s="624"/>
      <c r="BIR114" s="624"/>
      <c r="BIS114" s="624"/>
      <c r="BIT114" s="624"/>
      <c r="BIU114" s="624"/>
      <c r="BIV114" s="624"/>
      <c r="BIW114" s="624"/>
      <c r="BIX114" s="624"/>
      <c r="BIY114" s="624"/>
      <c r="BIZ114" s="624"/>
      <c r="BJA114" s="624"/>
      <c r="BJB114" s="624"/>
      <c r="BJC114" s="624"/>
      <c r="BJD114" s="624"/>
      <c r="BJE114" s="624"/>
      <c r="BJF114" s="624"/>
      <c r="BJG114" s="624"/>
      <c r="BJH114" s="624"/>
      <c r="BJI114" s="624"/>
      <c r="BJJ114" s="624"/>
      <c r="BJK114" s="624"/>
      <c r="BJL114" s="624"/>
      <c r="BJM114" s="624"/>
      <c r="BJN114" s="624"/>
      <c r="BJO114" s="624"/>
      <c r="BJP114" s="624"/>
      <c r="BJQ114" s="624"/>
      <c r="BJR114" s="624"/>
      <c r="BJS114" s="624"/>
      <c r="BJT114" s="624"/>
      <c r="BJU114" s="624"/>
      <c r="BJV114" s="624"/>
      <c r="BJW114" s="624"/>
      <c r="BJX114" s="624"/>
      <c r="BJY114" s="624"/>
      <c r="BJZ114" s="624"/>
      <c r="BKA114" s="624"/>
      <c r="BKB114" s="624"/>
      <c r="BKC114" s="624"/>
      <c r="BKD114" s="624"/>
      <c r="BKE114" s="624"/>
      <c r="BKF114" s="624"/>
      <c r="BKG114" s="624"/>
      <c r="BKH114" s="624"/>
      <c r="BKI114" s="624"/>
      <c r="BKJ114" s="624"/>
      <c r="BKK114" s="624"/>
      <c r="BKL114" s="624"/>
      <c r="BKM114" s="624"/>
      <c r="BKN114" s="624"/>
      <c r="BKO114" s="624"/>
      <c r="BKP114" s="624"/>
      <c r="BKQ114" s="624"/>
      <c r="BKR114" s="624"/>
      <c r="BKS114" s="624"/>
      <c r="BKT114" s="624"/>
      <c r="BKU114" s="624"/>
      <c r="BKV114" s="624"/>
      <c r="BKW114" s="624"/>
      <c r="BKX114" s="624"/>
      <c r="BKY114" s="624"/>
      <c r="BKZ114" s="624"/>
      <c r="BLA114" s="624"/>
      <c r="BLB114" s="624"/>
      <c r="BLC114" s="624"/>
      <c r="BLD114" s="624"/>
      <c r="BLE114" s="624"/>
      <c r="BLF114" s="624"/>
      <c r="BLG114" s="624"/>
      <c r="BLH114" s="624"/>
      <c r="BLI114" s="624"/>
      <c r="BLJ114" s="624"/>
      <c r="BLK114" s="624"/>
      <c r="BLL114" s="624"/>
      <c r="BLM114" s="624"/>
      <c r="BLN114" s="624"/>
      <c r="BLO114" s="624"/>
      <c r="BLP114" s="624"/>
      <c r="BLQ114" s="624"/>
      <c r="BLR114" s="624"/>
      <c r="BLS114" s="624"/>
      <c r="BLT114" s="624"/>
      <c r="BLU114" s="624"/>
      <c r="BLV114" s="624"/>
      <c r="BLW114" s="624"/>
      <c r="BLX114" s="624"/>
      <c r="BLY114" s="624"/>
      <c r="BLZ114" s="624"/>
      <c r="BMA114" s="624"/>
      <c r="BMB114" s="624"/>
      <c r="BMC114" s="624"/>
      <c r="BMD114" s="624"/>
      <c r="BME114" s="624"/>
      <c r="BMF114" s="624"/>
      <c r="BMG114" s="624"/>
      <c r="BMH114" s="624"/>
      <c r="BMI114" s="624"/>
      <c r="BMJ114" s="624"/>
      <c r="BMK114" s="624"/>
      <c r="BML114" s="624"/>
      <c r="BMM114" s="624"/>
      <c r="BMN114" s="624"/>
      <c r="BMO114" s="624"/>
      <c r="BMP114" s="624"/>
      <c r="BMQ114" s="624"/>
      <c r="BMR114" s="624"/>
      <c r="BMS114" s="624"/>
      <c r="BMT114" s="624"/>
      <c r="BMU114" s="624"/>
      <c r="BMV114" s="624"/>
      <c r="BMW114" s="624"/>
      <c r="BMX114" s="624"/>
      <c r="BMY114" s="624"/>
      <c r="BMZ114" s="624"/>
      <c r="BNA114" s="624"/>
      <c r="BNB114" s="624"/>
      <c r="BNC114" s="624"/>
      <c r="BND114" s="624"/>
      <c r="BNE114" s="624"/>
      <c r="BNF114" s="624"/>
      <c r="BNG114" s="624"/>
      <c r="BNH114" s="624"/>
      <c r="BNI114" s="624"/>
      <c r="BNJ114" s="624"/>
      <c r="BNK114" s="624"/>
      <c r="BNL114" s="624"/>
      <c r="BNM114" s="624"/>
      <c r="BNN114" s="624"/>
      <c r="BNO114" s="624"/>
      <c r="BNP114" s="624"/>
      <c r="BNQ114" s="624"/>
      <c r="BNR114" s="624"/>
      <c r="BNS114" s="624"/>
      <c r="BNT114" s="624"/>
      <c r="BNU114" s="624"/>
      <c r="BNV114" s="624"/>
      <c r="BNW114" s="624"/>
      <c r="BNX114" s="624"/>
      <c r="BNY114" s="624"/>
      <c r="BNZ114" s="624"/>
      <c r="BOA114" s="624"/>
      <c r="BOB114" s="624"/>
      <c r="BOC114" s="624"/>
      <c r="BOD114" s="624"/>
      <c r="BOE114" s="624"/>
      <c r="BOF114" s="624"/>
      <c r="BOG114" s="624"/>
      <c r="BOH114" s="624"/>
      <c r="BOI114" s="624"/>
      <c r="BOJ114" s="624"/>
      <c r="BOK114" s="624"/>
      <c r="BOL114" s="624"/>
      <c r="BOM114" s="624"/>
      <c r="BON114" s="624"/>
      <c r="BOO114" s="624"/>
      <c r="BOP114" s="624"/>
      <c r="BOQ114" s="624"/>
      <c r="BOR114" s="624"/>
      <c r="BOS114" s="624"/>
      <c r="BOT114" s="624"/>
      <c r="BOU114" s="624"/>
      <c r="BOV114" s="624"/>
      <c r="BOW114" s="624"/>
      <c r="BOX114" s="624"/>
      <c r="BOY114" s="624"/>
      <c r="BOZ114" s="624"/>
      <c r="BPA114" s="624"/>
      <c r="BPB114" s="624"/>
      <c r="BPC114" s="624"/>
      <c r="BPD114" s="624"/>
      <c r="BPE114" s="624"/>
      <c r="BPF114" s="624"/>
      <c r="BPG114" s="624"/>
      <c r="BPH114" s="624"/>
      <c r="BPI114" s="624"/>
      <c r="BPJ114" s="624"/>
      <c r="BPK114" s="624"/>
      <c r="BPL114" s="624"/>
      <c r="BPM114" s="624"/>
      <c r="BPN114" s="624"/>
      <c r="BPO114" s="624"/>
      <c r="BPP114" s="624"/>
      <c r="BPQ114" s="624"/>
      <c r="BPR114" s="624"/>
      <c r="BPS114" s="624"/>
      <c r="BPT114" s="624"/>
      <c r="BPU114" s="624"/>
      <c r="BPV114" s="624"/>
      <c r="BPW114" s="624"/>
      <c r="BPX114" s="624"/>
      <c r="BPY114" s="624"/>
      <c r="BPZ114" s="624"/>
      <c r="BQA114" s="624"/>
      <c r="BQB114" s="624"/>
      <c r="BQC114" s="624"/>
      <c r="BQD114" s="624"/>
      <c r="BQE114" s="624"/>
      <c r="BQF114" s="624"/>
      <c r="BQG114" s="624"/>
      <c r="BQH114" s="624"/>
      <c r="BQI114" s="624"/>
      <c r="BQJ114" s="624"/>
      <c r="BQK114" s="624"/>
      <c r="BQL114" s="624"/>
      <c r="BQM114" s="624"/>
      <c r="BQN114" s="624"/>
      <c r="BQO114" s="624"/>
      <c r="BQP114" s="624"/>
      <c r="BQQ114" s="624"/>
      <c r="BQR114" s="624"/>
      <c r="BQS114" s="624"/>
      <c r="BQT114" s="624"/>
      <c r="BQU114" s="624"/>
      <c r="BQV114" s="624"/>
      <c r="BQW114" s="624"/>
      <c r="BQX114" s="624"/>
      <c r="BQY114" s="624"/>
      <c r="BQZ114" s="624"/>
      <c r="BRA114" s="624"/>
      <c r="BRB114" s="624"/>
      <c r="BRC114" s="624"/>
      <c r="BRD114" s="624"/>
      <c r="BRE114" s="624"/>
      <c r="BRF114" s="624"/>
      <c r="BRG114" s="624"/>
      <c r="BRH114" s="624"/>
      <c r="BRI114" s="624"/>
      <c r="BRJ114" s="624"/>
      <c r="BRK114" s="624"/>
      <c r="BRL114" s="624"/>
      <c r="BRM114" s="624"/>
      <c r="BRN114" s="624"/>
      <c r="BRO114" s="624"/>
      <c r="BRP114" s="624"/>
      <c r="BRQ114" s="624"/>
      <c r="BRR114" s="624"/>
      <c r="BRS114" s="624"/>
      <c r="BRT114" s="624"/>
      <c r="BRU114" s="624"/>
      <c r="BRV114" s="624"/>
      <c r="BRW114" s="624"/>
      <c r="BRX114" s="624"/>
      <c r="BRY114" s="624"/>
      <c r="BRZ114" s="624"/>
      <c r="BSA114" s="624"/>
      <c r="BSB114" s="624"/>
      <c r="BSC114" s="624"/>
      <c r="BSD114" s="624"/>
      <c r="BSE114" s="624"/>
      <c r="BSF114" s="624"/>
      <c r="BSG114" s="624"/>
      <c r="BSH114" s="624"/>
      <c r="BSI114" s="624"/>
      <c r="BSJ114" s="624"/>
      <c r="BSK114" s="624"/>
      <c r="BSL114" s="624"/>
      <c r="BSM114" s="624"/>
      <c r="BSN114" s="624"/>
      <c r="BSO114" s="624"/>
      <c r="BSP114" s="624"/>
      <c r="BSQ114" s="624"/>
      <c r="BSR114" s="624"/>
      <c r="BSS114" s="624"/>
      <c r="BST114" s="624"/>
      <c r="BSU114" s="624"/>
      <c r="BSV114" s="624"/>
      <c r="BSW114" s="624"/>
      <c r="BSX114" s="624"/>
      <c r="BSY114" s="624"/>
      <c r="BSZ114" s="624"/>
      <c r="BTA114" s="624"/>
      <c r="BTB114" s="624"/>
      <c r="BTC114" s="624"/>
      <c r="BTD114" s="624"/>
      <c r="BTE114" s="624"/>
      <c r="BTF114" s="624"/>
      <c r="BTG114" s="624"/>
      <c r="BTH114" s="624"/>
      <c r="BTI114" s="624"/>
      <c r="BTJ114" s="624"/>
      <c r="BTK114" s="624"/>
      <c r="BTL114" s="624"/>
      <c r="BTM114" s="624"/>
      <c r="BTN114" s="624"/>
      <c r="BTO114" s="624"/>
      <c r="BTP114" s="624"/>
      <c r="BTQ114" s="624"/>
      <c r="BTR114" s="624"/>
      <c r="BTS114" s="624"/>
      <c r="BTT114" s="624"/>
      <c r="BTU114" s="624"/>
      <c r="BTV114" s="624"/>
      <c r="BTW114" s="624"/>
      <c r="BTX114" s="624"/>
      <c r="BTY114" s="624"/>
      <c r="BTZ114" s="624"/>
      <c r="BUA114" s="624"/>
      <c r="BUB114" s="624"/>
      <c r="BUC114" s="624"/>
      <c r="BUD114" s="624"/>
      <c r="BUE114" s="624"/>
      <c r="BUF114" s="624"/>
      <c r="BUG114" s="624"/>
      <c r="BUH114" s="624"/>
      <c r="BUI114" s="624"/>
      <c r="BUJ114" s="624"/>
      <c r="BUK114" s="624"/>
      <c r="BUL114" s="624"/>
      <c r="BUM114" s="624"/>
      <c r="BUN114" s="624"/>
      <c r="BUO114" s="624"/>
      <c r="BUP114" s="624"/>
      <c r="BUQ114" s="624"/>
      <c r="BUR114" s="624"/>
      <c r="BUS114" s="624"/>
      <c r="BUT114" s="624"/>
      <c r="BUU114" s="624"/>
      <c r="BUV114" s="624"/>
      <c r="BUW114" s="624"/>
      <c r="BUX114" s="624"/>
      <c r="BUY114" s="624"/>
      <c r="BUZ114" s="624"/>
      <c r="BVA114" s="624"/>
      <c r="BVB114" s="624"/>
      <c r="BVC114" s="624"/>
      <c r="BVD114" s="624"/>
      <c r="BVE114" s="624"/>
      <c r="BVF114" s="624"/>
      <c r="BVG114" s="624"/>
      <c r="BVH114" s="624"/>
      <c r="BVI114" s="624"/>
      <c r="BVJ114" s="624"/>
      <c r="BVK114" s="624"/>
      <c r="BVL114" s="624"/>
      <c r="BVM114" s="624"/>
      <c r="BVN114" s="624"/>
      <c r="BVO114" s="624"/>
      <c r="BVP114" s="624"/>
      <c r="BVQ114" s="624"/>
      <c r="BVR114" s="624"/>
      <c r="BVS114" s="624"/>
      <c r="BVT114" s="624"/>
      <c r="BVU114" s="624"/>
      <c r="BVV114" s="624"/>
      <c r="BVW114" s="624"/>
      <c r="BVX114" s="624"/>
      <c r="BVY114" s="624"/>
      <c r="BVZ114" s="624"/>
      <c r="BWA114" s="624"/>
      <c r="BWB114" s="624"/>
      <c r="BWC114" s="624"/>
      <c r="BWD114" s="624"/>
      <c r="BWE114" s="624"/>
      <c r="BWF114" s="624"/>
      <c r="BWG114" s="624"/>
      <c r="BWH114" s="624"/>
      <c r="BWI114" s="624"/>
      <c r="BWJ114" s="624"/>
      <c r="BWK114" s="624"/>
      <c r="BWL114" s="624"/>
      <c r="BWM114" s="624"/>
      <c r="BWN114" s="624"/>
      <c r="BWO114" s="624"/>
      <c r="BWP114" s="624"/>
      <c r="BWQ114" s="624"/>
      <c r="BWR114" s="624"/>
      <c r="BWS114" s="624"/>
      <c r="BWT114" s="624"/>
      <c r="BWU114" s="624"/>
      <c r="BWV114" s="624"/>
      <c r="BWW114" s="624"/>
      <c r="BWX114" s="624"/>
      <c r="BWY114" s="624"/>
      <c r="BWZ114" s="624"/>
      <c r="BXA114" s="624"/>
      <c r="BXB114" s="624"/>
      <c r="BXC114" s="624"/>
      <c r="BXD114" s="624"/>
      <c r="BXE114" s="624"/>
      <c r="BXF114" s="624"/>
      <c r="BXG114" s="624"/>
      <c r="BXH114" s="624"/>
      <c r="BXI114" s="624"/>
      <c r="BXJ114" s="624"/>
      <c r="BXK114" s="624"/>
      <c r="BXL114" s="624"/>
      <c r="BXM114" s="624"/>
    </row>
    <row r="115" spans="1:1989" s="624" customFormat="1" ht="17.25" x14ac:dyDescent="0.3">
      <c r="A115" s="2859" t="s">
        <v>2877</v>
      </c>
      <c r="B115" s="2894">
        <v>25452.098162304133</v>
      </c>
      <c r="C115" s="2894">
        <v>26392.334263106917</v>
      </c>
      <c r="D115" s="2894">
        <v>27879.821988639636</v>
      </c>
      <c r="E115" s="2894">
        <v>30461.363556380435</v>
      </c>
      <c r="F115" s="2894">
        <v>33206.556370015569</v>
      </c>
      <c r="G115" s="2894">
        <v>27417.435279189565</v>
      </c>
      <c r="H115" s="2894">
        <v>33314.539733917103</v>
      </c>
      <c r="I115" s="2894">
        <v>34221.138220452791</v>
      </c>
      <c r="J115" s="2894">
        <v>32796.841142713507</v>
      </c>
      <c r="K115" s="2894">
        <v>36082.555985653657</v>
      </c>
      <c r="L115" s="2894">
        <v>34186.378429714605</v>
      </c>
      <c r="M115" s="2894">
        <v>35614.153169986115</v>
      </c>
      <c r="N115" s="2894">
        <v>35814.208349307824</v>
      </c>
      <c r="O115" s="2894">
        <v>36521.832872494888</v>
      </c>
      <c r="P115" s="2894">
        <v>35811.819813221009</v>
      </c>
      <c r="Q115" s="2894">
        <v>36231.420948894694</v>
      </c>
      <c r="R115" s="2894">
        <v>41395</v>
      </c>
      <c r="S115" s="2894">
        <v>38229.582101186337</v>
      </c>
      <c r="T115" s="2894">
        <v>37665.309773291941</v>
      </c>
      <c r="U115" s="2894">
        <v>37602.634743461647</v>
      </c>
      <c r="V115" s="2894">
        <v>36031.892833520331</v>
      </c>
      <c r="W115" s="2894">
        <v>36100.225848013804</v>
      </c>
      <c r="X115" s="2894">
        <v>32574.326303997186</v>
      </c>
      <c r="Y115" s="2894">
        <v>32130.058220190858</v>
      </c>
      <c r="Z115" s="2894">
        <v>32423.860959801914</v>
      </c>
      <c r="AA115" s="2894">
        <v>30809.930446247727</v>
      </c>
      <c r="AB115" s="2894">
        <v>30721.750365527219</v>
      </c>
      <c r="AC115" s="2894">
        <v>37375.954663755409</v>
      </c>
      <c r="AD115" s="2894">
        <v>28839.093697141045</v>
      </c>
      <c r="AE115" s="2894">
        <v>28537.707641981237</v>
      </c>
      <c r="AF115" s="2894">
        <v>32819.983648696165</v>
      </c>
      <c r="AG115" s="2894">
        <v>33231.399067193328</v>
      </c>
      <c r="AH115" s="2894">
        <v>35425.699890329961</v>
      </c>
      <c r="AI115" s="2894">
        <v>36914.535373067571</v>
      </c>
      <c r="AJ115" s="2894">
        <v>34090.992304696971</v>
      </c>
      <c r="AK115" s="2894">
        <v>32901.768176080339</v>
      </c>
      <c r="AL115" s="2894">
        <v>39598.657466262957</v>
      </c>
      <c r="AM115" s="2894">
        <v>33283.595624048343</v>
      </c>
      <c r="AN115" s="2894">
        <v>32695.095199918353</v>
      </c>
    </row>
    <row r="116" spans="1:1989" s="624" customFormat="1" ht="17.25" x14ac:dyDescent="0.3">
      <c r="A116" s="2832" t="s">
        <v>2878</v>
      </c>
      <c r="B116" s="2891">
        <v>24255.435208248742</v>
      </c>
      <c r="C116" s="2891">
        <v>24909.341108679931</v>
      </c>
      <c r="D116" s="2891">
        <v>25822.464193973603</v>
      </c>
      <c r="E116" s="2891">
        <v>24497.074800354119</v>
      </c>
      <c r="F116" s="2891">
        <v>25389.339255708241</v>
      </c>
      <c r="G116" s="2891">
        <v>27624.690030171449</v>
      </c>
      <c r="H116" s="2891">
        <v>26262.570966939977</v>
      </c>
      <c r="I116" s="2891">
        <v>25661.436773562436</v>
      </c>
      <c r="J116" s="2891">
        <v>25416.033621111725</v>
      </c>
      <c r="K116" s="2891">
        <v>25055.740865629581</v>
      </c>
      <c r="L116" s="2891">
        <v>28936.836933392286</v>
      </c>
      <c r="M116" s="2891">
        <v>29040.394491347808</v>
      </c>
      <c r="N116" s="2891">
        <v>30206.752635290501</v>
      </c>
      <c r="O116" s="2891">
        <v>26613.023146541807</v>
      </c>
      <c r="P116" s="2891">
        <v>30913.775075286903</v>
      </c>
      <c r="Q116" s="2891">
        <v>31625.52033900157</v>
      </c>
      <c r="R116" s="2891">
        <v>31061</v>
      </c>
      <c r="S116" s="2891">
        <v>34031.846301889695</v>
      </c>
      <c r="T116" s="2891">
        <v>40404.298701752785</v>
      </c>
      <c r="U116" s="2891">
        <v>39683.892261024783</v>
      </c>
      <c r="V116" s="2891">
        <v>40632.205824751181</v>
      </c>
      <c r="W116" s="2891">
        <v>38729.454275623757</v>
      </c>
      <c r="X116" s="2891">
        <v>38676.413872999474</v>
      </c>
      <c r="Y116" s="2891">
        <v>38251.096890463632</v>
      </c>
      <c r="Z116" s="2891">
        <v>35662.056777422251</v>
      </c>
      <c r="AA116" s="2891">
        <v>32699.903638561413</v>
      </c>
      <c r="AB116" s="2891">
        <v>30507.163362972027</v>
      </c>
      <c r="AC116" s="2891">
        <v>29705.895120775658</v>
      </c>
      <c r="AD116" s="2891">
        <v>27014.125952761944</v>
      </c>
      <c r="AE116" s="2891">
        <v>24745.498201615545</v>
      </c>
      <c r="AF116" s="2891">
        <v>26281.243859083221</v>
      </c>
      <c r="AG116" s="2891">
        <v>26360.414546800872</v>
      </c>
      <c r="AH116" s="2891">
        <v>24241.266431307398</v>
      </c>
      <c r="AI116" s="2891">
        <v>24010.254440021628</v>
      </c>
      <c r="AJ116" s="2891">
        <v>28272.814878883644</v>
      </c>
      <c r="AK116" s="2891">
        <v>28047.028292453695</v>
      </c>
      <c r="AL116" s="2891">
        <v>29293.880749957083</v>
      </c>
      <c r="AM116" s="2891">
        <v>26713.316321624687</v>
      </c>
      <c r="AN116" s="2891">
        <v>26643.307242935021</v>
      </c>
    </row>
    <row r="117" spans="1:1989" s="624" customFormat="1" ht="18" thickBot="1" x14ac:dyDescent="0.35">
      <c r="A117" s="2862" t="s">
        <v>2879</v>
      </c>
      <c r="B117" s="2895">
        <v>9001.918931740167</v>
      </c>
      <c r="C117" s="2895">
        <v>9220.0853788232034</v>
      </c>
      <c r="D117" s="2895">
        <v>8066.5292533628299</v>
      </c>
      <c r="E117" s="2895">
        <v>7844.9024899280539</v>
      </c>
      <c r="F117" s="2895">
        <v>8345.0833143569525</v>
      </c>
      <c r="G117" s="2895">
        <v>7043.3582612301689</v>
      </c>
      <c r="H117" s="2895">
        <v>6488.9626685234362</v>
      </c>
      <c r="I117" s="2895">
        <v>6494.1338326819014</v>
      </c>
      <c r="J117" s="2895">
        <v>6835.3512236725137</v>
      </c>
      <c r="K117" s="2895">
        <v>6802.8645135440938</v>
      </c>
      <c r="L117" s="2895">
        <v>6387.6472653385799</v>
      </c>
      <c r="M117" s="2895">
        <v>6243.5951531516057</v>
      </c>
      <c r="N117" s="2895">
        <v>6329.13518730122</v>
      </c>
      <c r="O117" s="2895">
        <v>6364.2378972829438</v>
      </c>
      <c r="P117" s="2895">
        <v>5912.8337150957932</v>
      </c>
      <c r="Q117" s="2895">
        <v>5653.6435636303031</v>
      </c>
      <c r="R117" s="2895">
        <v>5598</v>
      </c>
      <c r="S117" s="2895">
        <v>6303.2022011372655</v>
      </c>
      <c r="T117" s="2895">
        <v>6659.5224278027836</v>
      </c>
      <c r="U117" s="2895">
        <v>6623.4979409365942</v>
      </c>
      <c r="V117" s="2895">
        <v>6054.6220464448988</v>
      </c>
      <c r="W117" s="2895">
        <v>6059.3199136642424</v>
      </c>
      <c r="X117" s="2895">
        <v>6466.2170134953703</v>
      </c>
      <c r="Y117" s="2895">
        <v>6248.7916776727725</v>
      </c>
      <c r="Z117" s="2895">
        <v>6275.5752936009994</v>
      </c>
      <c r="AA117" s="2895">
        <v>6465.44678993453</v>
      </c>
      <c r="AB117" s="2895">
        <v>6147.0161129987282</v>
      </c>
      <c r="AC117" s="2895">
        <v>5827.7037859241254</v>
      </c>
      <c r="AD117" s="2895">
        <v>5611.5918583078483</v>
      </c>
      <c r="AE117" s="2895">
        <v>5078.9683253890425</v>
      </c>
      <c r="AF117" s="2895">
        <v>4664.5524579250878</v>
      </c>
      <c r="AG117" s="2895">
        <v>4700.3103085897746</v>
      </c>
      <c r="AH117" s="2895">
        <v>4664.0064833478646</v>
      </c>
      <c r="AI117" s="2895">
        <v>6687.8032304480612</v>
      </c>
      <c r="AJ117" s="2895">
        <v>5213.4299335988026</v>
      </c>
      <c r="AK117" s="2895">
        <v>4735.5949235415655</v>
      </c>
      <c r="AL117" s="2895">
        <v>3646.4089196673808</v>
      </c>
      <c r="AM117" s="2895">
        <v>3900.259959023088</v>
      </c>
      <c r="AN117" s="2895">
        <v>2713.3577330917651</v>
      </c>
    </row>
    <row r="118" spans="1:1989" s="624" customFormat="1" ht="18.75" thickTop="1" thickBot="1" x14ac:dyDescent="0.35">
      <c r="A118" s="2865" t="s">
        <v>2880</v>
      </c>
      <c r="B118" s="2896">
        <v>360108.57229031902</v>
      </c>
      <c r="C118" s="2896">
        <v>361184.7692216658</v>
      </c>
      <c r="D118" s="2896">
        <v>359661.30417582073</v>
      </c>
      <c r="E118" s="2896">
        <v>357811.51104026759</v>
      </c>
      <c r="F118" s="2896">
        <v>362919.22970788693</v>
      </c>
      <c r="G118" s="2896">
        <v>361146.40463454847</v>
      </c>
      <c r="H118" s="2896">
        <v>366397.95640982868</v>
      </c>
      <c r="I118" s="2896">
        <v>368150.96496077033</v>
      </c>
      <c r="J118" s="2896">
        <v>369580.68895486259</v>
      </c>
      <c r="K118" s="2896">
        <v>371764.04870397673</v>
      </c>
      <c r="L118" s="2896">
        <v>375593.48798486305</v>
      </c>
      <c r="M118" s="2896">
        <v>380191.85617523931</v>
      </c>
      <c r="N118" s="2896">
        <v>380672.90427901404</v>
      </c>
      <c r="O118" s="2896">
        <v>381121.99785171018</v>
      </c>
      <c r="P118" s="2896">
        <v>381064.98067154427</v>
      </c>
      <c r="Q118" s="2896">
        <v>381631.49067472684</v>
      </c>
      <c r="R118" s="2896">
        <v>388790</v>
      </c>
      <c r="S118" s="2896">
        <v>392311.87488914939</v>
      </c>
      <c r="T118" s="2896">
        <v>399705.40982770221</v>
      </c>
      <c r="U118" s="2896">
        <v>398030.22895940964</v>
      </c>
      <c r="V118" s="2896">
        <v>399570.84795767051</v>
      </c>
      <c r="W118" s="2896">
        <v>400283.7319433777</v>
      </c>
      <c r="X118" s="2896">
        <v>396548.34098294505</v>
      </c>
      <c r="Y118" s="2896">
        <v>388723.17539472302</v>
      </c>
      <c r="Z118" s="2896">
        <v>388102.7571479528</v>
      </c>
      <c r="AA118" s="2896">
        <v>389693.27043135418</v>
      </c>
      <c r="AB118" s="2896">
        <v>388116.6564543664</v>
      </c>
      <c r="AC118" s="2896">
        <v>396772.22668493557</v>
      </c>
      <c r="AD118" s="2896">
        <v>387630.48037165852</v>
      </c>
      <c r="AE118" s="2896">
        <v>380847.32559668145</v>
      </c>
      <c r="AF118" s="2896">
        <v>389634.61926953634</v>
      </c>
      <c r="AG118" s="2896">
        <v>394592.97220834222</v>
      </c>
      <c r="AH118" s="2896">
        <v>392463.3865225857</v>
      </c>
      <c r="AI118" s="2896">
        <v>396390.37043367844</v>
      </c>
      <c r="AJ118" s="2896">
        <v>396905.92011670803</v>
      </c>
      <c r="AK118" s="2896">
        <v>391490.49389147456</v>
      </c>
      <c r="AL118" s="2896">
        <v>406604.48375810392</v>
      </c>
      <c r="AM118" s="2896">
        <v>398938.10841097479</v>
      </c>
      <c r="AN118" s="2896">
        <v>396132.91404456517</v>
      </c>
    </row>
    <row r="119" spans="1:1989" s="624" customFormat="1" ht="18.75" thickTop="1" thickBot="1" x14ac:dyDescent="0.35">
      <c r="A119" s="2865" t="s">
        <v>2881</v>
      </c>
      <c r="B119" s="2896">
        <v>301399.11998802598</v>
      </c>
      <c r="C119" s="2896">
        <v>300663.00847105571</v>
      </c>
      <c r="D119" s="2896">
        <v>297892.48873984459</v>
      </c>
      <c r="E119" s="2896">
        <v>295008.17019360495</v>
      </c>
      <c r="F119" s="2896">
        <v>295978.2507678062</v>
      </c>
      <c r="G119" s="2896">
        <v>299060.92106395727</v>
      </c>
      <c r="H119" s="2896">
        <v>300331.88304044819</v>
      </c>
      <c r="I119" s="2896">
        <v>301774.25613407313</v>
      </c>
      <c r="J119" s="2896">
        <v>304532.46296736487</v>
      </c>
      <c r="K119" s="2896">
        <v>303822.88733914943</v>
      </c>
      <c r="L119" s="2896">
        <v>306082.62535641761</v>
      </c>
      <c r="M119" s="2896">
        <v>309293.71336075378</v>
      </c>
      <c r="N119" s="2896">
        <v>308322.80810711451</v>
      </c>
      <c r="O119" s="2896">
        <v>311622.90393539058</v>
      </c>
      <c r="P119" s="2896">
        <v>308426.55206794059</v>
      </c>
      <c r="Q119" s="2896">
        <v>308120.9058232003</v>
      </c>
      <c r="R119" s="2896">
        <v>310736</v>
      </c>
      <c r="S119" s="2896">
        <v>313747.24428493611</v>
      </c>
      <c r="T119" s="2896">
        <v>314976.27892485471</v>
      </c>
      <c r="U119" s="2896">
        <v>314120.20401398663</v>
      </c>
      <c r="V119" s="2896">
        <v>316852.12725295412</v>
      </c>
      <c r="W119" s="2896">
        <v>319394.73190607585</v>
      </c>
      <c r="X119" s="2896">
        <v>318831.38379245298</v>
      </c>
      <c r="Y119" s="2896">
        <v>312093.22860639577</v>
      </c>
      <c r="Z119" s="2896">
        <v>313741.26411712758</v>
      </c>
      <c r="AA119" s="2896">
        <v>319717.98955661047</v>
      </c>
      <c r="AB119" s="2896">
        <v>320740.72661286843</v>
      </c>
      <c r="AC119" s="2896">
        <v>323862.67311448033</v>
      </c>
      <c r="AD119" s="2896">
        <v>326165.66886344767</v>
      </c>
      <c r="AE119" s="2896">
        <v>322485.15142769564</v>
      </c>
      <c r="AF119" s="2896">
        <v>325868.83930383186</v>
      </c>
      <c r="AG119" s="2896">
        <v>330300.84828575823</v>
      </c>
      <c r="AH119" s="2896">
        <v>328132.41371760046</v>
      </c>
      <c r="AI119" s="2896">
        <v>328777.77739014121</v>
      </c>
      <c r="AJ119" s="2896">
        <v>329328.6829995286</v>
      </c>
      <c r="AK119" s="2896">
        <v>325806.10249939898</v>
      </c>
      <c r="AL119" s="2896">
        <v>334065.53662221658</v>
      </c>
      <c r="AM119" s="2896">
        <v>335040.9365062787</v>
      </c>
      <c r="AN119" s="2896">
        <v>334081.15386862005</v>
      </c>
    </row>
    <row r="120" spans="1:1989" s="2759" customFormat="1" ht="16.5" customHeight="1" thickTop="1" x14ac:dyDescent="0.2">
      <c r="A120" s="2131" t="s">
        <v>173</v>
      </c>
      <c r="B120" s="2897"/>
      <c r="C120" s="2898"/>
      <c r="D120" s="2898"/>
      <c r="E120" s="2898"/>
      <c r="F120" s="2898"/>
      <c r="G120" s="2898"/>
      <c r="H120" s="2898"/>
      <c r="I120" s="2898"/>
      <c r="J120" s="2898"/>
      <c r="K120" s="2898"/>
      <c r="L120" s="2898"/>
      <c r="M120" s="2898"/>
      <c r="N120" s="2898"/>
      <c r="O120" s="2898"/>
      <c r="P120" s="2898"/>
      <c r="Q120" s="2898"/>
      <c r="R120" s="2898"/>
      <c r="S120" s="2898"/>
      <c r="T120" s="2898"/>
      <c r="U120" s="2898"/>
      <c r="V120" s="2898"/>
      <c r="W120" s="2898"/>
      <c r="X120" s="2898"/>
      <c r="Y120" s="2898"/>
      <c r="Z120" s="2898"/>
      <c r="AA120" s="2898"/>
      <c r="AB120" s="2898"/>
      <c r="AC120" s="2898"/>
      <c r="AD120" s="2898"/>
      <c r="AE120" s="2898"/>
      <c r="AF120" s="2898"/>
      <c r="AG120" s="2898"/>
      <c r="AH120" s="2898"/>
      <c r="AI120" s="2898"/>
      <c r="AJ120" s="2898"/>
      <c r="AK120" s="2898"/>
      <c r="AL120" s="2898"/>
      <c r="AM120" s="2898"/>
      <c r="AN120" s="2898"/>
    </row>
    <row r="121" spans="1:1989" s="2776" customFormat="1" ht="14.25" customHeight="1" x14ac:dyDescent="0.2">
      <c r="A121" s="2899" t="s">
        <v>2882</v>
      </c>
      <c r="B121" s="2900"/>
      <c r="C121" s="2900"/>
      <c r="D121" s="2900"/>
      <c r="E121" s="2900"/>
      <c r="F121" s="2900"/>
      <c r="G121" s="2900"/>
      <c r="H121" s="2900"/>
      <c r="I121" s="2900"/>
      <c r="J121" s="2900"/>
      <c r="K121" s="2900"/>
      <c r="L121" s="2901"/>
      <c r="M121" s="2901"/>
      <c r="N121" s="2901"/>
      <c r="O121" s="2901"/>
      <c r="P121" s="2901"/>
      <c r="Q121" s="2901"/>
      <c r="R121" s="2901"/>
      <c r="S121" s="2901"/>
      <c r="T121" s="2901"/>
      <c r="U121" s="2901"/>
      <c r="V121" s="2901"/>
      <c r="W121" s="2901"/>
      <c r="X121" s="2901"/>
      <c r="Y121" s="2901"/>
      <c r="Z121" s="2901"/>
      <c r="AA121" s="2901"/>
      <c r="AB121" s="2901"/>
      <c r="AC121" s="2901"/>
      <c r="AD121" s="2901"/>
      <c r="AE121" s="2901"/>
      <c r="AF121" s="2901"/>
      <c r="AG121" s="2901"/>
      <c r="AH121" s="2901"/>
      <c r="AI121" s="2901"/>
      <c r="AJ121" s="2901"/>
      <c r="AK121" s="2901"/>
      <c r="AL121" s="2131"/>
      <c r="AM121" s="2901"/>
      <c r="AN121" s="2901"/>
    </row>
    <row r="122" spans="1:1989" s="2198" customFormat="1" ht="18.75" customHeight="1" x14ac:dyDescent="0.25">
      <c r="A122" s="2131" t="s">
        <v>290</v>
      </c>
      <c r="B122" s="2758"/>
    </row>
    <row r="125" spans="1:1989" x14ac:dyDescent="0.25">
      <c r="B125" s="2869"/>
      <c r="C125" s="2869"/>
      <c r="D125" s="2869"/>
      <c r="E125" s="2869"/>
      <c r="F125" s="2869"/>
      <c r="G125" s="2869"/>
      <c r="H125" s="2869"/>
      <c r="I125" s="2869"/>
      <c r="J125" s="2869"/>
      <c r="K125" s="2869"/>
      <c r="L125" s="2869"/>
      <c r="M125" s="2869"/>
      <c r="N125" s="2869"/>
      <c r="O125" s="2869"/>
      <c r="P125" s="2869"/>
      <c r="Q125" s="2869"/>
      <c r="R125" s="2869"/>
      <c r="S125" s="2869"/>
      <c r="T125" s="2869"/>
      <c r="U125" s="2869"/>
      <c r="V125" s="2869"/>
      <c r="W125" s="2869"/>
      <c r="X125" s="2869"/>
      <c r="Y125" s="2869"/>
      <c r="Z125" s="2869"/>
      <c r="AA125" s="2869"/>
      <c r="AB125" s="2869"/>
      <c r="AC125" s="2869"/>
      <c r="AD125" s="2869"/>
      <c r="AE125" s="2869"/>
      <c r="AF125" s="2869"/>
      <c r="AG125" s="2869"/>
      <c r="AH125" s="2869"/>
      <c r="AI125" s="2869"/>
      <c r="AJ125" s="2869"/>
      <c r="AK125" s="2869"/>
      <c r="AL125" s="2869"/>
      <c r="AM125" s="2869"/>
      <c r="AN125" s="2869"/>
    </row>
    <row r="126" spans="1:1989" x14ac:dyDescent="0.25">
      <c r="B126" s="2869"/>
      <c r="C126" s="2869"/>
      <c r="D126" s="2869"/>
      <c r="E126" s="2869"/>
      <c r="F126" s="2869"/>
      <c r="G126" s="2869"/>
      <c r="H126" s="2869"/>
      <c r="I126" s="2869"/>
      <c r="J126" s="2869"/>
      <c r="K126" s="2869"/>
      <c r="L126" s="2869"/>
      <c r="M126" s="2869"/>
      <c r="N126" s="2869"/>
      <c r="O126" s="2869"/>
      <c r="P126" s="2869"/>
      <c r="Q126" s="2869"/>
      <c r="R126" s="2869"/>
      <c r="S126" s="2869"/>
      <c r="T126" s="2869"/>
      <c r="U126" s="2869"/>
      <c r="V126" s="2869"/>
      <c r="W126" s="2869"/>
      <c r="X126" s="2869"/>
      <c r="Y126" s="2869"/>
      <c r="Z126" s="2869"/>
      <c r="AA126" s="2869"/>
      <c r="AB126" s="2869"/>
      <c r="AC126" s="2869"/>
      <c r="AD126" s="2869"/>
      <c r="AE126" s="2869"/>
      <c r="AF126" s="2869"/>
      <c r="AG126" s="2869"/>
      <c r="AH126" s="2869"/>
      <c r="AI126" s="2869"/>
      <c r="AJ126" s="2869"/>
      <c r="AK126" s="2869"/>
      <c r="AL126" s="2869"/>
      <c r="AM126" s="2869"/>
      <c r="AN126" s="2869"/>
    </row>
  </sheetData>
  <pageMargins left="0.74803149606299202" right="0.74803149606299202" top="0.31496062992126" bottom="0.59055118110236204" header="0.31496062992126" footer="0"/>
  <pageSetup paperSize="9" scale="47" fitToHeight="0" orientation="landscape" r:id="rId1"/>
  <rowBreaks count="1" manualBreakCount="1">
    <brk id="67" max="5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XF126"/>
  <sheetViews>
    <sheetView zoomScale="70" zoomScaleNormal="70" zoomScaleSheetLayoutView="85" workbookViewId="0">
      <pane xSplit="39" ySplit="3" topLeftCell="AU4" activePane="bottomRight" state="frozen"/>
      <selection activeCell="A38" sqref="A38"/>
      <selection pane="topRight" activeCell="A38" sqref="A38"/>
      <selection pane="bottomLeft" activeCell="A38" sqref="A38"/>
      <selection pane="bottomRight" activeCell="A38" sqref="A38"/>
    </sheetView>
  </sheetViews>
  <sheetFormatPr defaultColWidth="74.28515625" defaultRowHeight="14.25" x14ac:dyDescent="0.25"/>
  <cols>
    <col min="1" max="1" width="97.85546875" style="627" customWidth="1"/>
    <col min="2" max="6" width="12" style="627" hidden="1" customWidth="1"/>
    <col min="7" max="8" width="13.140625" style="627" hidden="1" customWidth="1"/>
    <col min="9" max="21" width="13.140625" style="627" bestFit="1" customWidth="1"/>
    <col min="22" max="38" width="19.28515625" style="627" customWidth="1"/>
    <col min="39" max="16384" width="74.28515625" style="627"/>
  </cols>
  <sheetData>
    <row r="1" spans="1:21" s="1967" customFormat="1" ht="20.25" customHeight="1" x14ac:dyDescent="0.25">
      <c r="A1" s="623" t="s">
        <v>2883</v>
      </c>
    </row>
    <row r="2" spans="1:21" ht="18" customHeight="1" thickBot="1" x14ac:dyDescent="0.35">
      <c r="A2" s="2871"/>
      <c r="B2" s="2676"/>
      <c r="C2" s="2676"/>
      <c r="D2" s="2676"/>
      <c r="E2" s="2676"/>
      <c r="F2" s="2676"/>
      <c r="G2" s="2676"/>
      <c r="H2" s="2676"/>
      <c r="I2" s="2676"/>
      <c r="K2" s="2676"/>
      <c r="L2" s="2676"/>
      <c r="M2" s="2676"/>
      <c r="N2" s="2676"/>
      <c r="O2" s="2676"/>
      <c r="P2" s="2676"/>
      <c r="Q2" s="2676"/>
      <c r="R2" s="2676"/>
      <c r="S2" s="2676"/>
      <c r="T2" s="2676"/>
      <c r="U2" s="2676" t="s">
        <v>281</v>
      </c>
    </row>
    <row r="3" spans="1:21" s="624" customFormat="1" ht="19.5" customHeight="1" thickTop="1" thickBot="1" x14ac:dyDescent="0.35">
      <c r="A3" s="2872"/>
      <c r="B3" s="2873">
        <v>44592</v>
      </c>
      <c r="C3" s="2873">
        <v>44620</v>
      </c>
      <c r="D3" s="2873">
        <v>44651</v>
      </c>
      <c r="E3" s="2873">
        <v>44681</v>
      </c>
      <c r="F3" s="2873">
        <v>44711</v>
      </c>
      <c r="G3" s="2873">
        <v>44742</v>
      </c>
      <c r="H3" s="2873">
        <v>44772</v>
      </c>
      <c r="I3" s="2873">
        <v>44803</v>
      </c>
      <c r="J3" s="2873">
        <v>44834</v>
      </c>
      <c r="K3" s="2873">
        <v>44864</v>
      </c>
      <c r="L3" s="2873">
        <v>44895</v>
      </c>
      <c r="M3" s="2873">
        <v>44925</v>
      </c>
      <c r="N3" s="2873">
        <v>44927</v>
      </c>
      <c r="O3" s="2873">
        <v>44958</v>
      </c>
      <c r="P3" s="2873">
        <v>44986</v>
      </c>
      <c r="Q3" s="2873">
        <v>45017</v>
      </c>
      <c r="R3" s="2873">
        <v>45047</v>
      </c>
      <c r="S3" s="2873">
        <v>45078</v>
      </c>
      <c r="T3" s="2873">
        <v>45108</v>
      </c>
      <c r="U3" s="2873">
        <v>45169</v>
      </c>
    </row>
    <row r="4" spans="1:21" s="624" customFormat="1" ht="17.25" x14ac:dyDescent="0.3">
      <c r="A4" s="2829" t="s">
        <v>2737</v>
      </c>
      <c r="B4" s="2874">
        <v>167705.18225598306</v>
      </c>
      <c r="C4" s="2874">
        <v>168703.45321163521</v>
      </c>
      <c r="D4" s="2874">
        <v>167001.70250872493</v>
      </c>
      <c r="E4" s="2874">
        <v>166028.63205205466</v>
      </c>
      <c r="F4" s="2874">
        <v>167604.92287787452</v>
      </c>
      <c r="G4" s="2874">
        <v>169986.00380595902</v>
      </c>
      <c r="H4" s="2874">
        <v>166637.41560195838</v>
      </c>
      <c r="I4" s="2874">
        <v>168325.81530864068</v>
      </c>
      <c r="J4" s="2874">
        <v>168364.66442220425</v>
      </c>
      <c r="K4" s="2874">
        <v>168440.68971137083</v>
      </c>
      <c r="L4" s="2874">
        <v>172345.24853116338</v>
      </c>
      <c r="M4" s="2874">
        <v>174493.36846884058</v>
      </c>
      <c r="N4" s="2874">
        <v>177151.807617015</v>
      </c>
      <c r="O4" s="2874">
        <v>174559.73952312776</v>
      </c>
      <c r="P4" s="2874">
        <v>172523.3683040294</v>
      </c>
      <c r="Q4" s="2874">
        <v>172600.62685027526</v>
      </c>
      <c r="R4" s="2874">
        <v>171134.06938858441</v>
      </c>
      <c r="S4" s="2874">
        <v>175474.37000113484</v>
      </c>
      <c r="T4" s="2874">
        <v>174319.05497156698</v>
      </c>
      <c r="U4" s="2874">
        <v>173088.47094585674</v>
      </c>
    </row>
    <row r="5" spans="1:21" s="624" customFormat="1" ht="15.95" customHeight="1" x14ac:dyDescent="0.3">
      <c r="A5" s="2832" t="s">
        <v>2738</v>
      </c>
      <c r="B5" s="2875">
        <v>9999.0044223580971</v>
      </c>
      <c r="C5" s="2875">
        <v>9906.1797497642183</v>
      </c>
      <c r="D5" s="2875">
        <v>9865.3649292859991</v>
      </c>
      <c r="E5" s="2875">
        <v>11510.271193932536</v>
      </c>
      <c r="F5" s="2875">
        <v>11085.310202177412</v>
      </c>
      <c r="G5" s="2875">
        <v>11367.977897973462</v>
      </c>
      <c r="H5" s="2875">
        <v>11269.73545766071</v>
      </c>
      <c r="I5" s="2875">
        <v>13914.355470571511</v>
      </c>
      <c r="J5" s="2875">
        <v>12687.851067580408</v>
      </c>
      <c r="K5" s="2875">
        <v>12271.255047640727</v>
      </c>
      <c r="L5" s="2875">
        <v>12688.620260601623</v>
      </c>
      <c r="M5" s="2875">
        <v>13113.750010265909</v>
      </c>
      <c r="N5" s="2875">
        <v>13190.144021926617</v>
      </c>
      <c r="O5" s="2875">
        <v>12398.550295885956</v>
      </c>
      <c r="P5" s="2875">
        <v>12172.183598665553</v>
      </c>
      <c r="Q5" s="2875">
        <v>11513.698786135359</v>
      </c>
      <c r="R5" s="2875">
        <v>11833.886710922307</v>
      </c>
      <c r="S5" s="2875">
        <v>11906.874310411262</v>
      </c>
      <c r="T5" s="2875">
        <v>11791.574323588458</v>
      </c>
      <c r="U5" s="2875">
        <v>12191.95661207627</v>
      </c>
    </row>
    <row r="6" spans="1:21" s="624" customFormat="1" ht="14.25" customHeight="1" x14ac:dyDescent="0.3">
      <c r="A6" s="2834" t="s">
        <v>2739</v>
      </c>
      <c r="B6" s="2876">
        <v>9743.2943733980974</v>
      </c>
      <c r="C6" s="2876">
        <v>9629.0530894242165</v>
      </c>
      <c r="D6" s="2876">
        <v>9574.9914724359987</v>
      </c>
      <c r="E6" s="2876">
        <v>11281.103588562539</v>
      </c>
      <c r="F6" s="2876">
        <v>10799.342006167411</v>
      </c>
      <c r="G6" s="2876">
        <v>11068.192292663462</v>
      </c>
      <c r="H6" s="2876">
        <v>10991.614061060711</v>
      </c>
      <c r="I6" s="2876">
        <v>13647.930214221509</v>
      </c>
      <c r="J6" s="2876">
        <v>12424.379642240408</v>
      </c>
      <c r="K6" s="2876">
        <v>12049.248769170727</v>
      </c>
      <c r="L6" s="2876">
        <v>12408.057417721626</v>
      </c>
      <c r="M6" s="2876">
        <v>12842.36242673591</v>
      </c>
      <c r="N6" s="2876">
        <v>12909.871484306615</v>
      </c>
      <c r="O6" s="2876">
        <v>12112.689400365954</v>
      </c>
      <c r="P6" s="2876">
        <v>11889.689005385555</v>
      </c>
      <c r="Q6" s="2876">
        <v>11263.67506892536</v>
      </c>
      <c r="R6" s="2876">
        <v>11578.209731642308</v>
      </c>
      <c r="S6" s="2876">
        <v>11661.293540341261</v>
      </c>
      <c r="T6" s="2876">
        <v>11567.782379288457</v>
      </c>
      <c r="U6" s="2876">
        <v>11975.974625976269</v>
      </c>
    </row>
    <row r="7" spans="1:21" s="624" customFormat="1" ht="14.25" customHeight="1" x14ac:dyDescent="0.3">
      <c r="A7" s="2836" t="s">
        <v>2855</v>
      </c>
      <c r="B7" s="2877">
        <v>6632.1241804368137</v>
      </c>
      <c r="C7" s="2877">
        <v>6808.5873113001653</v>
      </c>
      <c r="D7" s="2877">
        <v>6735.7101127059132</v>
      </c>
      <c r="E7" s="2877">
        <v>7759.9295892895852</v>
      </c>
      <c r="F7" s="2877">
        <v>7571.5294507954468</v>
      </c>
      <c r="G7" s="2877">
        <v>7935.706361333122</v>
      </c>
      <c r="H7" s="2877">
        <v>7823.6279516480954</v>
      </c>
      <c r="I7" s="2877">
        <v>8126.9718297880627</v>
      </c>
      <c r="J7" s="2877">
        <v>7899.2562361434966</v>
      </c>
      <c r="K7" s="2877">
        <v>7771.7835611019191</v>
      </c>
      <c r="L7" s="2877">
        <v>8235.9137897423461</v>
      </c>
      <c r="M7" s="2877">
        <v>8160.3534568035357</v>
      </c>
      <c r="N7" s="2877">
        <v>8293.4187734580355</v>
      </c>
      <c r="O7" s="2877">
        <v>8265.8980240392866</v>
      </c>
      <c r="P7" s="2877">
        <v>8451.731943214656</v>
      </c>
      <c r="Q7" s="2877">
        <v>8516.1868962525714</v>
      </c>
      <c r="R7" s="2877">
        <v>8819.6190389341391</v>
      </c>
      <c r="S7" s="2877">
        <v>8537.2002179587816</v>
      </c>
      <c r="T7" s="2877">
        <v>7988.577962976593</v>
      </c>
      <c r="U7" s="2877">
        <v>7884.367820874967</v>
      </c>
    </row>
    <row r="8" spans="1:21" s="624" customFormat="1" ht="14.25" customHeight="1" x14ac:dyDescent="0.3">
      <c r="A8" s="2836" t="s">
        <v>2856</v>
      </c>
      <c r="B8" s="2877">
        <v>3111.1701929612836</v>
      </c>
      <c r="C8" s="2877">
        <v>2820.4657781240526</v>
      </c>
      <c r="D8" s="2877">
        <v>2839.2813597300842</v>
      </c>
      <c r="E8" s="2877">
        <v>3521.1739992729531</v>
      </c>
      <c r="F8" s="2877">
        <v>3227.812555371966</v>
      </c>
      <c r="G8" s="2877">
        <v>3132.48593133034</v>
      </c>
      <c r="H8" s="2877">
        <v>3167.986109412615</v>
      </c>
      <c r="I8" s="2877">
        <v>5520.9583844334466</v>
      </c>
      <c r="J8" s="2877">
        <v>4525.1234060969109</v>
      </c>
      <c r="K8" s="2877">
        <v>4277.4652080688065</v>
      </c>
      <c r="L8" s="2877">
        <v>4172.1436279792779</v>
      </c>
      <c r="M8" s="2877">
        <v>4682.0089699323762</v>
      </c>
      <c r="N8" s="2877">
        <v>4616.452710848579</v>
      </c>
      <c r="O8" s="2877">
        <v>3846.7913763266697</v>
      </c>
      <c r="P8" s="2877">
        <v>3437.9570621709004</v>
      </c>
      <c r="Q8" s="2877">
        <v>2747.488172672789</v>
      </c>
      <c r="R8" s="2877">
        <v>2758.590692708166</v>
      </c>
      <c r="S8" s="2877">
        <v>3124.0933223824795</v>
      </c>
      <c r="T8" s="2877">
        <v>3579.2044163118649</v>
      </c>
      <c r="U8" s="2877">
        <v>4091.606805101304</v>
      </c>
    </row>
    <row r="9" spans="1:21" s="624" customFormat="1" ht="14.25" customHeight="1" x14ac:dyDescent="0.3">
      <c r="A9" s="2834" t="s">
        <v>2742</v>
      </c>
      <c r="B9" s="2876">
        <v>39.346168490000004</v>
      </c>
      <c r="C9" s="2876">
        <v>35.421828560000002</v>
      </c>
      <c r="D9" s="2876">
        <v>37.281472310000005</v>
      </c>
      <c r="E9" s="2876">
        <v>34.158555390000004</v>
      </c>
      <c r="F9" s="2876">
        <v>34.491784930000001</v>
      </c>
      <c r="G9" s="2876">
        <v>33.322676030000004</v>
      </c>
      <c r="H9" s="2876">
        <v>39.027000000000001</v>
      </c>
      <c r="I9" s="2876">
        <v>36.158923960000003</v>
      </c>
      <c r="J9" s="2876">
        <v>32.598240189999999</v>
      </c>
      <c r="K9" s="2876">
        <v>31.53332589</v>
      </c>
      <c r="L9" s="2876">
        <v>36.764334159999997</v>
      </c>
      <c r="M9" s="2876">
        <v>30.661791409999999</v>
      </c>
      <c r="N9" s="2876">
        <v>36.118686920000002</v>
      </c>
      <c r="O9" s="2876">
        <v>35.192623249999997</v>
      </c>
      <c r="P9" s="2876">
        <v>29.730891320000001</v>
      </c>
      <c r="Q9" s="2876">
        <v>28.756795730000004</v>
      </c>
      <c r="R9" s="2876">
        <v>96.401954319999987</v>
      </c>
      <c r="S9" s="2876">
        <v>95.21637840999999</v>
      </c>
      <c r="T9" s="2876">
        <v>103.01954505</v>
      </c>
      <c r="U9" s="2876">
        <v>102.4271475</v>
      </c>
    </row>
    <row r="10" spans="1:21" s="624" customFormat="1" ht="14.25" customHeight="1" x14ac:dyDescent="0.3">
      <c r="A10" s="2834" t="s">
        <v>2743</v>
      </c>
      <c r="B10" s="2876">
        <v>216.36388047</v>
      </c>
      <c r="C10" s="2876">
        <v>241.70483178000001</v>
      </c>
      <c r="D10" s="2876">
        <v>253.09198454000003</v>
      </c>
      <c r="E10" s="2876">
        <v>195.00904997999999</v>
      </c>
      <c r="F10" s="2876">
        <v>251.47641107999999</v>
      </c>
      <c r="G10" s="2876">
        <v>266.46292928000003</v>
      </c>
      <c r="H10" s="2876">
        <v>239.09439660000001</v>
      </c>
      <c r="I10" s="2876">
        <v>230.26633239</v>
      </c>
      <c r="J10" s="2876">
        <v>230.87318515000001</v>
      </c>
      <c r="K10" s="2876">
        <v>190.47295258000003</v>
      </c>
      <c r="L10" s="2876">
        <v>243.79850872</v>
      </c>
      <c r="M10" s="2876">
        <v>240.72579211999999</v>
      </c>
      <c r="N10" s="2876">
        <v>244.15385070000002</v>
      </c>
      <c r="O10" s="2876">
        <v>250.66827226999999</v>
      </c>
      <c r="P10" s="2876">
        <v>252.76370196000002</v>
      </c>
      <c r="Q10" s="2876">
        <v>221.26692147999998</v>
      </c>
      <c r="R10" s="2876">
        <v>159.27502495999997</v>
      </c>
      <c r="S10" s="2876">
        <v>150.36439165999997</v>
      </c>
      <c r="T10" s="2876">
        <v>120.77239925000001</v>
      </c>
      <c r="U10" s="2876">
        <v>113.55483860000001</v>
      </c>
    </row>
    <row r="11" spans="1:21" s="2871" customFormat="1" ht="15.95" customHeight="1" x14ac:dyDescent="0.3">
      <c r="A11" s="2832" t="s">
        <v>2744</v>
      </c>
      <c r="B11" s="2875">
        <v>2.3084833199999997</v>
      </c>
      <c r="C11" s="2875">
        <v>2.34566819</v>
      </c>
      <c r="D11" s="2875">
        <v>2.3627327200000003</v>
      </c>
      <c r="E11" s="2875">
        <v>2.3795996600000002</v>
      </c>
      <c r="F11" s="2875">
        <v>7.9563901799999996</v>
      </c>
      <c r="G11" s="2875">
        <v>7.6870969308901005</v>
      </c>
      <c r="H11" s="2875">
        <v>7.4530028799999997</v>
      </c>
      <c r="I11" s="2875">
        <v>7.3720487199999996</v>
      </c>
      <c r="J11" s="2875">
        <v>7.0593956100000002</v>
      </c>
      <c r="K11" s="2875">
        <v>7.14041134</v>
      </c>
      <c r="L11" s="2875">
        <v>7.6510734099999995</v>
      </c>
      <c r="M11" s="2875">
        <v>7.2229859099999993</v>
      </c>
      <c r="N11" s="2875">
        <v>7.2980183699999994</v>
      </c>
      <c r="O11" s="2875">
        <v>7.6684272699999996</v>
      </c>
      <c r="P11" s="2875">
        <v>43.895762481050404</v>
      </c>
      <c r="Q11" s="2875">
        <v>43.255880616426403</v>
      </c>
      <c r="R11" s="2875">
        <v>176.24862914393205</v>
      </c>
      <c r="S11" s="2875">
        <v>83.271524342538299</v>
      </c>
      <c r="T11" s="2875">
        <v>75.041084729551585</v>
      </c>
      <c r="U11" s="2875">
        <v>118.2362177102281</v>
      </c>
    </row>
    <row r="12" spans="1:21" s="2871" customFormat="1" ht="15.95" customHeight="1" x14ac:dyDescent="0.3">
      <c r="A12" s="2832" t="s">
        <v>2745</v>
      </c>
      <c r="B12" s="2875">
        <v>19677.872929169229</v>
      </c>
      <c r="C12" s="2875">
        <v>19416.290234279855</v>
      </c>
      <c r="D12" s="2875">
        <v>18751.196277707117</v>
      </c>
      <c r="E12" s="2875">
        <v>18900.032816927745</v>
      </c>
      <c r="F12" s="2875">
        <v>18623.023232242373</v>
      </c>
      <c r="G12" s="2875">
        <v>20200.514023350584</v>
      </c>
      <c r="H12" s="2875">
        <v>19351.20112241766</v>
      </c>
      <c r="I12" s="2875">
        <v>19605.264889049937</v>
      </c>
      <c r="J12" s="2875">
        <v>19563.374928058973</v>
      </c>
      <c r="K12" s="2875">
        <v>19138.80522674858</v>
      </c>
      <c r="L12" s="2875">
        <v>19318.459214001225</v>
      </c>
      <c r="M12" s="2875">
        <v>20058.796175650503</v>
      </c>
      <c r="N12" s="2875">
        <v>20509.268693690959</v>
      </c>
      <c r="O12" s="2875">
        <v>19894.172023632589</v>
      </c>
      <c r="P12" s="2875">
        <v>19356.226422378088</v>
      </c>
      <c r="Q12" s="2875">
        <v>19814.298402262793</v>
      </c>
      <c r="R12" s="2875">
        <v>19209.533528833868</v>
      </c>
      <c r="S12" s="2875">
        <v>19827.875047208359</v>
      </c>
      <c r="T12" s="2875">
        <v>19524.140266802504</v>
      </c>
      <c r="U12" s="2875">
        <v>18746.490013987212</v>
      </c>
    </row>
    <row r="13" spans="1:21" s="624" customFormat="1" ht="14.25" customHeight="1" x14ac:dyDescent="0.3">
      <c r="A13" s="2834" t="s">
        <v>2746</v>
      </c>
      <c r="B13" s="2876">
        <v>3852.6105654825797</v>
      </c>
      <c r="C13" s="2876">
        <v>4098.3490998392699</v>
      </c>
      <c r="D13" s="2876">
        <v>3700.2866136629159</v>
      </c>
      <c r="E13" s="2876">
        <v>3803.3737769936447</v>
      </c>
      <c r="F13" s="2876">
        <v>3622.4247576578132</v>
      </c>
      <c r="G13" s="2876">
        <v>4602.9999978496944</v>
      </c>
      <c r="H13" s="2876">
        <v>4247.4873994299414</v>
      </c>
      <c r="I13" s="2876">
        <v>4331.9231381284526</v>
      </c>
      <c r="J13" s="2876">
        <v>4083.5506702618522</v>
      </c>
      <c r="K13" s="2876">
        <v>4046.4157891448599</v>
      </c>
      <c r="L13" s="2876">
        <v>3984.0251025041421</v>
      </c>
      <c r="M13" s="2876">
        <v>4325.783018835672</v>
      </c>
      <c r="N13" s="2876">
        <v>4563.2154934707851</v>
      </c>
      <c r="O13" s="2876">
        <v>4439.2247834788832</v>
      </c>
      <c r="P13" s="2876">
        <v>3368.1949256511853</v>
      </c>
      <c r="Q13" s="2876">
        <v>4105.4944159964334</v>
      </c>
      <c r="R13" s="2876">
        <v>3386.8076477869845</v>
      </c>
      <c r="S13" s="2876">
        <v>3596.4299755820834</v>
      </c>
      <c r="T13" s="2876">
        <v>3498.4433102023613</v>
      </c>
      <c r="U13" s="2876">
        <v>3326.8415459873199</v>
      </c>
    </row>
    <row r="14" spans="1:21" s="624" customFormat="1" ht="14.25" customHeight="1" x14ac:dyDescent="0.3">
      <c r="A14" s="2836" t="s">
        <v>2857</v>
      </c>
      <c r="B14" s="2877">
        <v>1153.91965396</v>
      </c>
      <c r="C14" s="2877">
        <v>1465.13851628</v>
      </c>
      <c r="D14" s="2877">
        <v>1197.4829931300001</v>
      </c>
      <c r="E14" s="2877">
        <v>1122.3313272999999</v>
      </c>
      <c r="F14" s="2877">
        <v>1185.8999919199998</v>
      </c>
      <c r="G14" s="2877">
        <v>1166.25111234</v>
      </c>
      <c r="H14" s="2877">
        <v>1117.0129638399999</v>
      </c>
      <c r="I14" s="2877">
        <v>1083.9115823599998</v>
      </c>
      <c r="J14" s="2877">
        <v>895.19806625000001</v>
      </c>
      <c r="K14" s="2877">
        <v>1194.8272570500003</v>
      </c>
      <c r="L14" s="2877">
        <v>1270.14254579</v>
      </c>
      <c r="M14" s="2877">
        <v>1606.4999434533916</v>
      </c>
      <c r="N14" s="2877">
        <v>1441.186929716358</v>
      </c>
      <c r="O14" s="2877">
        <v>1549.1126252654683</v>
      </c>
      <c r="P14" s="2877">
        <v>724.65722462666497</v>
      </c>
      <c r="Q14" s="2877">
        <v>1199.3335189700001</v>
      </c>
      <c r="R14" s="2877">
        <v>820.83723904999999</v>
      </c>
      <c r="S14" s="2877">
        <v>1177.76142437</v>
      </c>
      <c r="T14" s="2877">
        <v>698.7180986699999</v>
      </c>
      <c r="U14" s="2877">
        <v>596.17326892999995</v>
      </c>
    </row>
    <row r="15" spans="1:21" s="624" customFormat="1" ht="14.25" customHeight="1" x14ac:dyDescent="0.3">
      <c r="A15" s="2836" t="s">
        <v>2858</v>
      </c>
      <c r="B15" s="2877">
        <v>521.29409670000007</v>
      </c>
      <c r="C15" s="2877">
        <v>524.85816068999998</v>
      </c>
      <c r="D15" s="2877">
        <v>524.21451679999996</v>
      </c>
      <c r="E15" s="2877">
        <v>496.23176525000002</v>
      </c>
      <c r="F15" s="2877">
        <v>512.25416570999994</v>
      </c>
      <c r="G15" s="2877">
        <v>456.29124560000002</v>
      </c>
      <c r="H15" s="2877">
        <v>442.66318498000004</v>
      </c>
      <c r="I15" s="2877">
        <v>469.78634115</v>
      </c>
      <c r="J15" s="2877">
        <v>471.85792676</v>
      </c>
      <c r="K15" s="2877">
        <v>407.68003326000002</v>
      </c>
      <c r="L15" s="2877">
        <v>421.86726342000003</v>
      </c>
      <c r="M15" s="2877">
        <v>429.82021512000006</v>
      </c>
      <c r="N15" s="2877">
        <v>432.44795097000002</v>
      </c>
      <c r="O15" s="2877">
        <v>432.06522603000002</v>
      </c>
      <c r="P15" s="2877">
        <v>418.38498806000001</v>
      </c>
      <c r="Q15" s="2877">
        <v>407.67240623999999</v>
      </c>
      <c r="R15" s="2877">
        <v>393.66040913000006</v>
      </c>
      <c r="S15" s="2877">
        <v>402.42003956000002</v>
      </c>
      <c r="T15" s="2877">
        <v>403.76538643000004</v>
      </c>
      <c r="U15" s="2877">
        <v>406.16992286999999</v>
      </c>
    </row>
    <row r="16" spans="1:21" s="624" customFormat="1" ht="14.25" customHeight="1" x14ac:dyDescent="0.3">
      <c r="A16" s="2836" t="s">
        <v>2859</v>
      </c>
      <c r="B16" s="2877">
        <v>2177.3968148225799</v>
      </c>
      <c r="C16" s="2877">
        <v>2108.3524228692695</v>
      </c>
      <c r="D16" s="2877">
        <v>1978.5891037329154</v>
      </c>
      <c r="E16" s="2877">
        <v>2184.8106844436452</v>
      </c>
      <c r="F16" s="2877">
        <v>1924.2706000278135</v>
      </c>
      <c r="G16" s="2877">
        <v>2980.4576399096941</v>
      </c>
      <c r="H16" s="2877">
        <v>2687.8112506099415</v>
      </c>
      <c r="I16" s="2877">
        <v>2778.2252146184519</v>
      </c>
      <c r="J16" s="2877">
        <v>2716.494677251852</v>
      </c>
      <c r="K16" s="2877">
        <v>2443.90849883486</v>
      </c>
      <c r="L16" s="2877">
        <v>2292.0152932941423</v>
      </c>
      <c r="M16" s="2877">
        <v>2289.4628602622806</v>
      </c>
      <c r="N16" s="2877">
        <v>2689.5806127844271</v>
      </c>
      <c r="O16" s="2877">
        <v>2458.0469321834144</v>
      </c>
      <c r="P16" s="2877">
        <v>2225.1527129645201</v>
      </c>
      <c r="Q16" s="2877">
        <v>2498.4884907864334</v>
      </c>
      <c r="R16" s="2877">
        <v>2172.3099996069845</v>
      </c>
      <c r="S16" s="2877">
        <v>2016.2485116520834</v>
      </c>
      <c r="T16" s="2877">
        <v>2395.9598251023617</v>
      </c>
      <c r="U16" s="2877">
        <v>2324.4983541873198</v>
      </c>
    </row>
    <row r="17" spans="1:21" s="624" customFormat="1" ht="14.25" customHeight="1" x14ac:dyDescent="0.3">
      <c r="A17" s="2834" t="s">
        <v>2750</v>
      </c>
      <c r="B17" s="2876">
        <v>1043.8815039200001</v>
      </c>
      <c r="C17" s="2876">
        <v>932.09346830999993</v>
      </c>
      <c r="D17" s="2876">
        <v>925.11813088000008</v>
      </c>
      <c r="E17" s="2876">
        <v>916.18129392000003</v>
      </c>
      <c r="F17" s="2876">
        <v>916.70592848000001</v>
      </c>
      <c r="G17" s="2876">
        <v>945.34312202000001</v>
      </c>
      <c r="H17" s="2876">
        <v>919.50015981999991</v>
      </c>
      <c r="I17" s="2876">
        <v>916.38439675999996</v>
      </c>
      <c r="J17" s="2876">
        <v>959.40077729999996</v>
      </c>
      <c r="K17" s="2876">
        <v>852.13113045</v>
      </c>
      <c r="L17" s="2876">
        <v>1021.7865525500001</v>
      </c>
      <c r="M17" s="2876">
        <v>874.85379111999998</v>
      </c>
      <c r="N17" s="2876">
        <v>971.22817697000005</v>
      </c>
      <c r="O17" s="2876">
        <v>855.12939569000002</v>
      </c>
      <c r="P17" s="2876">
        <v>897.87309000999994</v>
      </c>
      <c r="Q17" s="2876">
        <v>895.82962092000002</v>
      </c>
      <c r="R17" s="2876">
        <v>823.01494300000002</v>
      </c>
      <c r="S17" s="2876">
        <v>873.48387174000004</v>
      </c>
      <c r="T17" s="2876">
        <v>827.40809207999996</v>
      </c>
      <c r="U17" s="2876">
        <v>860.45394109000006</v>
      </c>
    </row>
    <row r="18" spans="1:21" s="624" customFormat="1" ht="14.25" customHeight="1" x14ac:dyDescent="0.3">
      <c r="A18" s="2834" t="s">
        <v>2751</v>
      </c>
      <c r="B18" s="2876">
        <v>4325.6293406939803</v>
      </c>
      <c r="C18" s="2876">
        <v>4173.8372564371402</v>
      </c>
      <c r="D18" s="2876">
        <v>4106.1430586766764</v>
      </c>
      <c r="E18" s="2876">
        <v>4348.8424352598277</v>
      </c>
      <c r="F18" s="2876">
        <v>4383.3273092953032</v>
      </c>
      <c r="G18" s="2876">
        <v>4177.4410210721726</v>
      </c>
      <c r="H18" s="2876">
        <v>4124.2970420884812</v>
      </c>
      <c r="I18" s="2876">
        <v>4247.3525211723054</v>
      </c>
      <c r="J18" s="2876">
        <v>4372.6676224516914</v>
      </c>
      <c r="K18" s="2876">
        <v>4128.9039674166006</v>
      </c>
      <c r="L18" s="2876">
        <v>4162.2288579767946</v>
      </c>
      <c r="M18" s="2876">
        <v>4660.3059128586083</v>
      </c>
      <c r="N18" s="2876">
        <v>4701.4328119856818</v>
      </c>
      <c r="O18" s="2876">
        <v>4582.5875659351514</v>
      </c>
      <c r="P18" s="2876">
        <v>4234.235731746815</v>
      </c>
      <c r="Q18" s="2876">
        <v>4150.2567264313229</v>
      </c>
      <c r="R18" s="2876">
        <v>4220.5761296337269</v>
      </c>
      <c r="S18" s="2876">
        <v>4422.1430332186783</v>
      </c>
      <c r="T18" s="2876">
        <v>4353.557808504881</v>
      </c>
      <c r="U18" s="2876">
        <v>4108.1182805717981</v>
      </c>
    </row>
    <row r="19" spans="1:21" s="624" customFormat="1" ht="14.25" customHeight="1" x14ac:dyDescent="0.3">
      <c r="A19" s="2834" t="s">
        <v>2752</v>
      </c>
      <c r="B19" s="2876">
        <v>2825.0846552506305</v>
      </c>
      <c r="C19" s="2876">
        <v>2684.0136137888785</v>
      </c>
      <c r="D19" s="2876">
        <v>2641.6851201677568</v>
      </c>
      <c r="E19" s="2876">
        <v>2583.9602097048455</v>
      </c>
      <c r="F19" s="2876">
        <v>2563.0984910094535</v>
      </c>
      <c r="G19" s="2876">
        <v>2650.6854070690697</v>
      </c>
      <c r="H19" s="2876">
        <v>2580.837128063471</v>
      </c>
      <c r="I19" s="2876">
        <v>2683.0012268701248</v>
      </c>
      <c r="J19" s="2876">
        <v>2732.8134840760949</v>
      </c>
      <c r="K19" s="2876">
        <v>2686.8948237016075</v>
      </c>
      <c r="L19" s="2876">
        <v>2771.1772618394953</v>
      </c>
      <c r="M19" s="2876">
        <v>2800.3963924410109</v>
      </c>
      <c r="N19" s="2876">
        <v>2856.9088128661569</v>
      </c>
      <c r="O19" s="2876">
        <v>2925.5147385387486</v>
      </c>
      <c r="P19" s="2876">
        <v>3090.6691375985251</v>
      </c>
      <c r="Q19" s="2876">
        <v>2883.3727891975777</v>
      </c>
      <c r="R19" s="2876">
        <v>3184.8133873171864</v>
      </c>
      <c r="S19" s="2876">
        <v>3369.7555246868992</v>
      </c>
      <c r="T19" s="2876">
        <v>3315.5878703099243</v>
      </c>
      <c r="U19" s="2876">
        <v>3030.1148735867032</v>
      </c>
    </row>
    <row r="20" spans="1:21" s="624" customFormat="1" ht="14.25" customHeight="1" x14ac:dyDescent="0.3">
      <c r="A20" s="2834" t="s">
        <v>2753</v>
      </c>
      <c r="B20" s="2876">
        <v>98.453616890938918</v>
      </c>
      <c r="C20" s="2876">
        <v>96.261927358847345</v>
      </c>
      <c r="D20" s="2876">
        <v>100.31127760103971</v>
      </c>
      <c r="E20" s="2876">
        <v>94.915406950116747</v>
      </c>
      <c r="F20" s="2876">
        <v>89.670060203523946</v>
      </c>
      <c r="G20" s="2876">
        <v>95.478317525616788</v>
      </c>
      <c r="H20" s="2876">
        <v>89.085794308083209</v>
      </c>
      <c r="I20" s="2876">
        <v>87.104673418773203</v>
      </c>
      <c r="J20" s="2876">
        <v>86.298765151091303</v>
      </c>
      <c r="K20" s="2876">
        <v>85.131416113360473</v>
      </c>
      <c r="L20" s="2876">
        <v>88.667163142974829</v>
      </c>
      <c r="M20" s="2876">
        <v>90.170326819157779</v>
      </c>
      <c r="N20" s="2876">
        <v>91.716480053315266</v>
      </c>
      <c r="O20" s="2876">
        <v>83.997127407474309</v>
      </c>
      <c r="P20" s="2876">
        <v>80.659664147960001</v>
      </c>
      <c r="Q20" s="2876">
        <v>74.794245755334998</v>
      </c>
      <c r="R20" s="2876">
        <v>80.375049603945342</v>
      </c>
      <c r="S20" s="2876">
        <v>76.886271039815696</v>
      </c>
      <c r="T20" s="2876">
        <v>89.130123038621988</v>
      </c>
      <c r="U20" s="2876">
        <v>92.596954282953192</v>
      </c>
    </row>
    <row r="21" spans="1:21" s="624" customFormat="1" ht="14.25" customHeight="1" x14ac:dyDescent="0.3">
      <c r="A21" s="2834" t="s">
        <v>2754</v>
      </c>
      <c r="B21" s="2876">
        <v>719.93837167999993</v>
      </c>
      <c r="C21" s="2876">
        <v>724.41257086999997</v>
      </c>
      <c r="D21" s="2876">
        <v>727.90377880000005</v>
      </c>
      <c r="E21" s="2876">
        <v>732.83524354000008</v>
      </c>
      <c r="F21" s="2876">
        <v>776.65030159000003</v>
      </c>
      <c r="G21" s="2876">
        <v>808.60772172999998</v>
      </c>
      <c r="H21" s="2876">
        <v>829.54010402999995</v>
      </c>
      <c r="I21" s="2876">
        <v>816.89221412999996</v>
      </c>
      <c r="J21" s="2876">
        <v>824.41175704000011</v>
      </c>
      <c r="K21" s="2876">
        <v>824.04856121</v>
      </c>
      <c r="L21" s="2876">
        <v>831.69413623000003</v>
      </c>
      <c r="M21" s="2876">
        <v>881.4764371</v>
      </c>
      <c r="N21" s="2876">
        <v>854.66296657000009</v>
      </c>
      <c r="O21" s="2876">
        <v>855.64699215000007</v>
      </c>
      <c r="P21" s="2876">
        <v>869.73053335999987</v>
      </c>
      <c r="Q21" s="2876">
        <v>856.78419772999985</v>
      </c>
      <c r="R21" s="2876">
        <v>770.90552163000007</v>
      </c>
      <c r="S21" s="2876">
        <v>779.05398501000002</v>
      </c>
      <c r="T21" s="2876">
        <v>776.14396977000013</v>
      </c>
      <c r="U21" s="2876">
        <v>748.21996218999993</v>
      </c>
    </row>
    <row r="22" spans="1:21" s="624" customFormat="1" ht="14.25" customHeight="1" x14ac:dyDescent="0.3">
      <c r="A22" s="2834" t="s">
        <v>2755</v>
      </c>
      <c r="B22" s="2876">
        <v>355.26829961999999</v>
      </c>
      <c r="C22" s="2876">
        <v>331.86600472000003</v>
      </c>
      <c r="D22" s="2876">
        <v>331.95522854999996</v>
      </c>
      <c r="E22" s="2876">
        <v>325.86490990999999</v>
      </c>
      <c r="F22" s="2876">
        <v>325.77711118999997</v>
      </c>
      <c r="G22" s="2876">
        <v>350.36153035000001</v>
      </c>
      <c r="H22" s="2876">
        <v>620.81115031999991</v>
      </c>
      <c r="I22" s="2876">
        <v>626.31577086000004</v>
      </c>
      <c r="J22" s="2876">
        <v>618.41459356999997</v>
      </c>
      <c r="K22" s="2876">
        <v>616.49828002999993</v>
      </c>
      <c r="L22" s="2876">
        <v>617.46799765000003</v>
      </c>
      <c r="M22" s="2876">
        <v>617.33692393999991</v>
      </c>
      <c r="N22" s="2876">
        <v>610.34622896000008</v>
      </c>
      <c r="O22" s="2876">
        <v>609.47674745000006</v>
      </c>
      <c r="P22" s="2876">
        <v>593.21363884999994</v>
      </c>
      <c r="Q22" s="2876">
        <v>550.64993700000002</v>
      </c>
      <c r="R22" s="2876">
        <v>547.87036153999998</v>
      </c>
      <c r="S22" s="2876">
        <v>516.1382069199999</v>
      </c>
      <c r="T22" s="2876">
        <v>525.34134326000003</v>
      </c>
      <c r="U22" s="2876">
        <v>521.47417582000003</v>
      </c>
    </row>
    <row r="23" spans="1:21" s="624" customFormat="1" ht="14.25" customHeight="1" x14ac:dyDescent="0.3">
      <c r="A23" s="2834" t="s">
        <v>2756</v>
      </c>
      <c r="B23" s="2876">
        <v>1000.3792346399999</v>
      </c>
      <c r="C23" s="2876">
        <v>965.33082311999999</v>
      </c>
      <c r="D23" s="2876">
        <v>935.96196385999997</v>
      </c>
      <c r="E23" s="2876">
        <v>946.10936684000001</v>
      </c>
      <c r="F23" s="2876">
        <v>993.17414851880119</v>
      </c>
      <c r="G23" s="2876">
        <v>1046.9785030142457</v>
      </c>
      <c r="H23" s="2876">
        <v>1026.7993736188564</v>
      </c>
      <c r="I23" s="2876">
        <v>1052.1334814177942</v>
      </c>
      <c r="J23" s="2876">
        <v>1069.4368390810916</v>
      </c>
      <c r="K23" s="2876">
        <v>1002.9881431064007</v>
      </c>
      <c r="L23" s="2876">
        <v>1009.6707279475689</v>
      </c>
      <c r="M23" s="2876">
        <v>947.68079089528203</v>
      </c>
      <c r="N23" s="2876">
        <v>938.73468753504699</v>
      </c>
      <c r="O23" s="2876">
        <v>956.1592916829245</v>
      </c>
      <c r="P23" s="2876">
        <v>938.64119364770011</v>
      </c>
      <c r="Q23" s="2876">
        <v>939.62041968014285</v>
      </c>
      <c r="R23" s="2876">
        <v>968.5099765442767</v>
      </c>
      <c r="S23" s="2876">
        <v>970.16318857303906</v>
      </c>
      <c r="T23" s="2876">
        <v>999.54456312740717</v>
      </c>
      <c r="U23" s="2876">
        <v>964.44483625038242</v>
      </c>
    </row>
    <row r="24" spans="1:21" s="624" customFormat="1" ht="14.25" customHeight="1" x14ac:dyDescent="0.3">
      <c r="A24" s="2834" t="s">
        <v>2757</v>
      </c>
      <c r="B24" s="2876">
        <v>278.09460247000004</v>
      </c>
      <c r="C24" s="2876">
        <v>260.09187608999997</v>
      </c>
      <c r="D24" s="2876">
        <v>185.95997598999998</v>
      </c>
      <c r="E24" s="2876">
        <v>146.94857360000003</v>
      </c>
      <c r="F24" s="2876">
        <v>175.53916780000003</v>
      </c>
      <c r="G24" s="2876">
        <v>197.09663813999998</v>
      </c>
      <c r="H24" s="2876">
        <v>205.33631760999998</v>
      </c>
      <c r="I24" s="2876">
        <v>201.52924657999998</v>
      </c>
      <c r="J24" s="2876">
        <v>202.99412832000002</v>
      </c>
      <c r="K24" s="2876">
        <v>268.83779688999999</v>
      </c>
      <c r="L24" s="2876">
        <v>293.39046057999997</v>
      </c>
      <c r="M24" s="2876">
        <v>323.05258879000007</v>
      </c>
      <c r="N24" s="2876">
        <v>301.05108925000002</v>
      </c>
      <c r="O24" s="2876">
        <v>287.74130716000002</v>
      </c>
      <c r="P24" s="2876">
        <v>305.68067674000008</v>
      </c>
      <c r="Q24" s="2876">
        <v>329.25438003999994</v>
      </c>
      <c r="R24" s="2876">
        <v>230.24362851000001</v>
      </c>
      <c r="S24" s="2876">
        <v>323.47244214999995</v>
      </c>
      <c r="T24" s="2876">
        <v>317.95681067000004</v>
      </c>
      <c r="U24" s="2876">
        <v>292.51173239000002</v>
      </c>
    </row>
    <row r="25" spans="1:21" s="624" customFormat="1" ht="16.149999999999999" customHeight="1" x14ac:dyDescent="0.3">
      <c r="A25" s="2834" t="s">
        <v>2758</v>
      </c>
      <c r="B25" s="2876">
        <v>362.78572063825681</v>
      </c>
      <c r="C25" s="2876">
        <v>390.01785620382168</v>
      </c>
      <c r="D25" s="2876">
        <v>374.9253251222911</v>
      </c>
      <c r="E25" s="2876">
        <v>364.45080291676413</v>
      </c>
      <c r="F25" s="2876">
        <v>347.72467363595962</v>
      </c>
      <c r="G25" s="2876">
        <v>373.05735260959852</v>
      </c>
      <c r="H25" s="2876">
        <v>356.35242893398299</v>
      </c>
      <c r="I25" s="2876">
        <v>364.69250405732743</v>
      </c>
      <c r="J25" s="2876">
        <v>352.22051176011331</v>
      </c>
      <c r="K25" s="2876">
        <v>356.68849290754366</v>
      </c>
      <c r="L25" s="2876">
        <v>376.65605989555036</v>
      </c>
      <c r="M25" s="2876">
        <v>360.34030888927344</v>
      </c>
      <c r="N25" s="2876">
        <v>355.2422958145653</v>
      </c>
      <c r="O25" s="2876">
        <v>343.05421194107424</v>
      </c>
      <c r="P25" s="2876">
        <v>353.54585711638498</v>
      </c>
      <c r="Q25" s="2876">
        <v>354.1759452245247</v>
      </c>
      <c r="R25" s="2876">
        <v>348.41229817281902</v>
      </c>
      <c r="S25" s="2876">
        <v>374.22628208081449</v>
      </c>
      <c r="T25" s="2876">
        <v>381.58919588620159</v>
      </c>
      <c r="U25" s="2876">
        <v>332.05407639878513</v>
      </c>
    </row>
    <row r="26" spans="1:21" s="624" customFormat="1" ht="14.25" customHeight="1" x14ac:dyDescent="0.3">
      <c r="A26" s="2834" t="s">
        <v>2759</v>
      </c>
      <c r="B26" s="2876">
        <v>625.40702939000016</v>
      </c>
      <c r="C26" s="2876">
        <v>617.38528192999991</v>
      </c>
      <c r="D26" s="2876">
        <v>555.14071324999998</v>
      </c>
      <c r="E26" s="2876">
        <v>555.25004827999999</v>
      </c>
      <c r="F26" s="2876">
        <v>412.40051402999995</v>
      </c>
      <c r="G26" s="2876">
        <v>734.58240934000003</v>
      </c>
      <c r="H26" s="2876">
        <v>668.62012514000014</v>
      </c>
      <c r="I26" s="2876">
        <v>676.50697671</v>
      </c>
      <c r="J26" s="2876">
        <v>663.79613268000003</v>
      </c>
      <c r="K26" s="2876">
        <v>662.37519736000002</v>
      </c>
      <c r="L26" s="2876">
        <v>719.55232475000003</v>
      </c>
      <c r="M26" s="2876">
        <v>718.56871590000003</v>
      </c>
      <c r="N26" s="2876">
        <v>813.50339575999999</v>
      </c>
      <c r="O26" s="2876">
        <v>730.22614099999998</v>
      </c>
      <c r="P26" s="2876">
        <v>1105.0872373600002</v>
      </c>
      <c r="Q26" s="2876">
        <v>1152.77414817</v>
      </c>
      <c r="R26" s="2876">
        <v>1172.2855846500001</v>
      </c>
      <c r="S26" s="2876">
        <v>1065.6996047600001</v>
      </c>
      <c r="T26" s="2876">
        <v>1008.19436608</v>
      </c>
      <c r="U26" s="2876">
        <v>1041.37501028</v>
      </c>
    </row>
    <row r="27" spans="1:21" s="624" customFormat="1" ht="14.25" customHeight="1" x14ac:dyDescent="0.3">
      <c r="A27" s="2834" t="s">
        <v>2760</v>
      </c>
      <c r="B27" s="2876">
        <v>1056.4073959204775</v>
      </c>
      <c r="C27" s="2876">
        <v>1107.1144869366942</v>
      </c>
      <c r="D27" s="2876">
        <v>1017.2522405499154</v>
      </c>
      <c r="E27" s="2876">
        <v>959.07717519006121</v>
      </c>
      <c r="F27" s="2876">
        <v>977.98071184120772</v>
      </c>
      <c r="G27" s="2876">
        <v>1118.0815618330178</v>
      </c>
      <c r="H27" s="2876">
        <v>962.20988943090413</v>
      </c>
      <c r="I27" s="2876">
        <v>1006.5466097792189</v>
      </c>
      <c r="J27" s="2876">
        <v>984.72426838568595</v>
      </c>
      <c r="K27" s="2876">
        <v>987.2080760485959</v>
      </c>
      <c r="L27" s="2876">
        <v>919.01881779988344</v>
      </c>
      <c r="M27" s="2876">
        <v>896.51338829282236</v>
      </c>
      <c r="N27" s="2876">
        <v>853.16599615132304</v>
      </c>
      <c r="O27" s="2876">
        <v>764.84519602310411</v>
      </c>
      <c r="P27" s="2876">
        <v>834.51567203231502</v>
      </c>
      <c r="Q27" s="2876">
        <v>875.81141710095676</v>
      </c>
      <c r="R27" s="2876">
        <v>852.84984025008782</v>
      </c>
      <c r="S27" s="2876">
        <v>859.8191828216336</v>
      </c>
      <c r="T27" s="2876">
        <v>877.61705363383783</v>
      </c>
      <c r="U27" s="2876">
        <v>849.30787785871371</v>
      </c>
    </row>
    <row r="28" spans="1:21" s="624" customFormat="1" ht="14.25" customHeight="1" x14ac:dyDescent="0.3">
      <c r="A28" s="2834" t="s">
        <v>2761</v>
      </c>
      <c r="B28" s="2876">
        <v>179.38957717000002</v>
      </c>
      <c r="C28" s="2876">
        <v>192.52991750999999</v>
      </c>
      <c r="D28" s="2876">
        <v>190.17019241</v>
      </c>
      <c r="E28" s="2876">
        <v>184.00506827000001</v>
      </c>
      <c r="F28" s="2876">
        <v>100.82602537</v>
      </c>
      <c r="G28" s="2876">
        <v>118.03204623111202</v>
      </c>
      <c r="H28" s="2876">
        <v>111.35459132955893</v>
      </c>
      <c r="I28" s="2876">
        <v>115.69293543452621</v>
      </c>
      <c r="J28" s="2876">
        <v>120.8451562631639</v>
      </c>
      <c r="K28" s="2876">
        <v>114.35718740931016</v>
      </c>
      <c r="L28" s="2876">
        <v>111.93362272242989</v>
      </c>
      <c r="M28" s="2876">
        <v>107.61555881207023</v>
      </c>
      <c r="N28" s="2876">
        <v>113.49292337217207</v>
      </c>
      <c r="O28" s="2876">
        <v>116.96187410646849</v>
      </c>
      <c r="P28" s="2876">
        <v>121.75170786668501</v>
      </c>
      <c r="Q28" s="2876">
        <v>118.48343042800191</v>
      </c>
      <c r="R28" s="2876">
        <v>117.70634495817765</v>
      </c>
      <c r="S28" s="2876">
        <v>113.64577515938532</v>
      </c>
      <c r="T28" s="2876">
        <v>110.75370102381683</v>
      </c>
      <c r="U28" s="2876">
        <v>106.21279666327459</v>
      </c>
    </row>
    <row r="29" spans="1:21" s="624" customFormat="1" ht="13.9" customHeight="1" x14ac:dyDescent="0.3">
      <c r="A29" s="2834" t="s">
        <v>2762</v>
      </c>
      <c r="B29" s="2876">
        <v>280.69260300000002</v>
      </c>
      <c r="C29" s="2876">
        <v>282.55412274999998</v>
      </c>
      <c r="D29" s="2876">
        <v>308.60139020999998</v>
      </c>
      <c r="E29" s="2876">
        <v>306.70374954999994</v>
      </c>
      <c r="F29" s="2876">
        <v>307.09765558999999</v>
      </c>
      <c r="G29" s="2876">
        <v>307.62299393000001</v>
      </c>
      <c r="H29" s="2876">
        <v>301.30306849999999</v>
      </c>
      <c r="I29" s="2876">
        <v>292.80292280000003</v>
      </c>
      <c r="J29" s="2876">
        <v>297.31103478999995</v>
      </c>
      <c r="K29" s="2876">
        <v>313.52781773000004</v>
      </c>
      <c r="L29" s="2876">
        <v>285.08530507</v>
      </c>
      <c r="M29" s="2876">
        <v>296.54396183000006</v>
      </c>
      <c r="N29" s="2876">
        <v>307.22857155999992</v>
      </c>
      <c r="O29" s="2876">
        <v>293.01792936999999</v>
      </c>
      <c r="P29" s="2876">
        <v>291.10036701999996</v>
      </c>
      <c r="Q29" s="2876">
        <v>291.47454613999997</v>
      </c>
      <c r="R29" s="2876">
        <v>286.15811525999999</v>
      </c>
      <c r="S29" s="2876">
        <v>285.89893075999998</v>
      </c>
      <c r="T29" s="2876">
        <v>271.14177367000002</v>
      </c>
      <c r="U29" s="2876">
        <v>265.18291144</v>
      </c>
    </row>
    <row r="30" spans="1:21" s="624" customFormat="1" ht="14.25" customHeight="1" x14ac:dyDescent="0.3">
      <c r="A30" s="2834" t="s">
        <v>2763</v>
      </c>
      <c r="B30" s="2876">
        <v>205.33763972226822</v>
      </c>
      <c r="C30" s="2876">
        <v>205.87339792138252</v>
      </c>
      <c r="D30" s="2876">
        <v>213.68573197227317</v>
      </c>
      <c r="E30" s="2876">
        <v>209.48536504884297</v>
      </c>
      <c r="F30" s="2876">
        <v>205.08440066660108</v>
      </c>
      <c r="G30" s="2876">
        <v>209.08852119679719</v>
      </c>
      <c r="H30" s="2876">
        <v>197.61247702817016</v>
      </c>
      <c r="I30" s="2876">
        <v>200.62252870821661</v>
      </c>
      <c r="J30" s="2876">
        <v>206.5853211925305</v>
      </c>
      <c r="K30" s="2876">
        <v>191.25219251824967</v>
      </c>
      <c r="L30" s="2876">
        <v>191.28001672326451</v>
      </c>
      <c r="M30" s="2876">
        <v>185.37438611780317</v>
      </c>
      <c r="N30" s="2876">
        <v>181.28965123127526</v>
      </c>
      <c r="O30" s="2876">
        <v>184.19926129056336</v>
      </c>
      <c r="P30" s="2876">
        <v>182.39754388642001</v>
      </c>
      <c r="Q30" s="2876">
        <v>184.84128341287828</v>
      </c>
      <c r="R30" s="2876">
        <v>183.93240837835035</v>
      </c>
      <c r="S30" s="2876">
        <v>172.39883908367551</v>
      </c>
      <c r="T30" s="2876">
        <v>174.22507125916079</v>
      </c>
      <c r="U30" s="2876">
        <v>178.59210709127331</v>
      </c>
    </row>
    <row r="31" spans="1:21" s="624" customFormat="1" ht="14.25" customHeight="1" x14ac:dyDescent="0.3">
      <c r="A31" s="2834" t="s">
        <v>2764</v>
      </c>
      <c r="B31" s="2876">
        <v>2297.9223618893357</v>
      </c>
      <c r="C31" s="2876">
        <v>2187.2896364911985</v>
      </c>
      <c r="D31" s="2876">
        <v>2266.3471995174245</v>
      </c>
      <c r="E31" s="2876">
        <v>2258.0798664642616</v>
      </c>
      <c r="F31" s="2876">
        <v>2258.4376139821406</v>
      </c>
      <c r="G31" s="2876">
        <v>2296.8097804371337</v>
      </c>
      <c r="H31" s="2876">
        <v>1941.3285844721465</v>
      </c>
      <c r="I31" s="2876">
        <v>1807.5668074042596</v>
      </c>
      <c r="J31" s="2876">
        <v>1808.4821436700174</v>
      </c>
      <c r="K31" s="2876">
        <v>1822.3723383957824</v>
      </c>
      <c r="L31" s="2876">
        <v>1756.5577147674978</v>
      </c>
      <c r="M31" s="2876">
        <v>1794.7063813843504</v>
      </c>
      <c r="N31" s="2876">
        <v>1826.3674128276655</v>
      </c>
      <c r="O31" s="2876">
        <v>1696.2420374703659</v>
      </c>
      <c r="P31" s="2876">
        <v>1919.8863504436149</v>
      </c>
      <c r="Q31" s="2876">
        <v>1880.8913573024035</v>
      </c>
      <c r="R31" s="2876">
        <v>1865.6399705702006</v>
      </c>
      <c r="S31" s="2876">
        <v>1858.4640254702076</v>
      </c>
      <c r="T31" s="2876">
        <v>1818.0534195258961</v>
      </c>
      <c r="U31" s="2876">
        <v>1842.7381535216962</v>
      </c>
    </row>
    <row r="32" spans="1:21" s="2878" customFormat="1" ht="14.25" customHeight="1" x14ac:dyDescent="0.3">
      <c r="A32" s="2836" t="s">
        <v>2860</v>
      </c>
      <c r="B32" s="2877">
        <v>118.50481581999999</v>
      </c>
      <c r="C32" s="2877">
        <v>174.23945720999998</v>
      </c>
      <c r="D32" s="2877">
        <v>151.01215001000003</v>
      </c>
      <c r="E32" s="2877">
        <v>115.30912529</v>
      </c>
      <c r="F32" s="2877">
        <v>112.78800039000001</v>
      </c>
      <c r="G32" s="2877">
        <v>109.44730458000001</v>
      </c>
      <c r="H32" s="2877">
        <v>107.85545103</v>
      </c>
      <c r="I32" s="2877">
        <v>108.48306733999999</v>
      </c>
      <c r="J32" s="2877">
        <v>106.52385939000001</v>
      </c>
      <c r="K32" s="2877">
        <v>103.75493093999999</v>
      </c>
      <c r="L32" s="2877">
        <v>98.303597628726791</v>
      </c>
      <c r="M32" s="2877">
        <v>100.74492069170415</v>
      </c>
      <c r="N32" s="2877">
        <v>101.1242476727739</v>
      </c>
      <c r="O32" s="2877">
        <v>96.253864441154533</v>
      </c>
      <c r="P32" s="2877">
        <v>151.53075668186997</v>
      </c>
      <c r="Q32" s="2877">
        <v>107.46130568967351</v>
      </c>
      <c r="R32" s="2877">
        <v>111.31115294984581</v>
      </c>
      <c r="S32" s="2877">
        <v>123.91983980197722</v>
      </c>
      <c r="T32" s="2877">
        <v>128.77331962000679</v>
      </c>
      <c r="U32" s="2877">
        <v>128.9443516123184</v>
      </c>
    </row>
    <row r="33" spans="1:21" s="2878" customFormat="1" ht="14.25" customHeight="1" x14ac:dyDescent="0.3">
      <c r="A33" s="2836" t="s">
        <v>2861</v>
      </c>
      <c r="B33" s="2877">
        <v>2179.4175460693355</v>
      </c>
      <c r="C33" s="2877">
        <v>2013.0501792811986</v>
      </c>
      <c r="D33" s="2877">
        <v>2115.3350495074242</v>
      </c>
      <c r="E33" s="2877">
        <v>2142.7707411742617</v>
      </c>
      <c r="F33" s="2877">
        <v>2145.6496135921407</v>
      </c>
      <c r="G33" s="2877">
        <v>2187.3624758571341</v>
      </c>
      <c r="H33" s="2877">
        <v>1833.4731334421467</v>
      </c>
      <c r="I33" s="2877">
        <v>1699.0837400642597</v>
      </c>
      <c r="J33" s="2877">
        <v>1701.9582842800173</v>
      </c>
      <c r="K33" s="2877">
        <v>1718.6174074557823</v>
      </c>
      <c r="L33" s="2877">
        <v>1658.2541171387711</v>
      </c>
      <c r="M33" s="2877">
        <v>1693.9614606926459</v>
      </c>
      <c r="N33" s="2877">
        <v>1725.2431651548916</v>
      </c>
      <c r="O33" s="2877">
        <v>1599.9881730292111</v>
      </c>
      <c r="P33" s="2877">
        <v>1768.355593761745</v>
      </c>
      <c r="Q33" s="2877">
        <v>1773.43005161273</v>
      </c>
      <c r="R33" s="2877">
        <v>1754.3288176203546</v>
      </c>
      <c r="S33" s="2877">
        <v>1734.5441856682305</v>
      </c>
      <c r="T33" s="2877">
        <v>1689.2800999058893</v>
      </c>
      <c r="U33" s="2877">
        <v>1713.7938019093776</v>
      </c>
    </row>
    <row r="34" spans="1:21" s="624" customFormat="1" ht="14.25" customHeight="1" x14ac:dyDescent="0.3">
      <c r="A34" s="2834" t="s">
        <v>2767</v>
      </c>
      <c r="B34" s="2876">
        <v>170.59041079075965</v>
      </c>
      <c r="C34" s="2876">
        <v>167.26889400262155</v>
      </c>
      <c r="D34" s="2876">
        <v>169.74833648682201</v>
      </c>
      <c r="E34" s="2876">
        <v>163.94952448937929</v>
      </c>
      <c r="F34" s="2876">
        <v>167.1043613815693</v>
      </c>
      <c r="G34" s="2876">
        <v>168.24709900212559</v>
      </c>
      <c r="H34" s="2876">
        <v>168.72548829406298</v>
      </c>
      <c r="I34" s="2876">
        <v>178.19693481893816</v>
      </c>
      <c r="J34" s="2876">
        <v>179.42172206563728</v>
      </c>
      <c r="K34" s="2876">
        <v>179.17401631626734</v>
      </c>
      <c r="L34" s="2876">
        <v>178.26709185162275</v>
      </c>
      <c r="M34" s="2876">
        <v>178.07729162444872</v>
      </c>
      <c r="N34" s="2876">
        <v>169.68169931297376</v>
      </c>
      <c r="O34" s="2876">
        <v>170.1474229378295</v>
      </c>
      <c r="P34" s="2876">
        <v>169.04309490048004</v>
      </c>
      <c r="Q34" s="2876">
        <v>169.78954173321793</v>
      </c>
      <c r="R34" s="2876">
        <v>169.43232102810944</v>
      </c>
      <c r="S34" s="2876">
        <v>170.19590815212442</v>
      </c>
      <c r="T34" s="2876">
        <v>179.45179476039837</v>
      </c>
      <c r="U34" s="2876">
        <v>186.25077856431275</v>
      </c>
    </row>
    <row r="35" spans="1:21" s="2871" customFormat="1" ht="13.9" customHeight="1" x14ac:dyDescent="0.3">
      <c r="A35" s="2832" t="s">
        <v>2768</v>
      </c>
      <c r="B35" s="2875">
        <v>4191.4206169400004</v>
      </c>
      <c r="C35" s="2875">
        <v>4276.1668455500003</v>
      </c>
      <c r="D35" s="2875">
        <v>4436.2301184400003</v>
      </c>
      <c r="E35" s="2875">
        <v>4407.4491305416022</v>
      </c>
      <c r="F35" s="2875">
        <v>4892.2474517259679</v>
      </c>
      <c r="G35" s="2875">
        <v>5082.2257285882515</v>
      </c>
      <c r="H35" s="2875">
        <v>4979.4969643686636</v>
      </c>
      <c r="I35" s="2875">
        <v>4594.6959527149711</v>
      </c>
      <c r="J35" s="2875">
        <v>4463.7812081757138</v>
      </c>
      <c r="K35" s="2875">
        <v>3973.9479579042704</v>
      </c>
      <c r="L35" s="2875">
        <v>4125.3238401999997</v>
      </c>
      <c r="M35" s="2875">
        <v>4227.8456203799997</v>
      </c>
      <c r="N35" s="2875">
        <v>4505.8836257499997</v>
      </c>
      <c r="O35" s="2875">
        <v>4171.6575351800002</v>
      </c>
      <c r="P35" s="2875">
        <v>3906.2676229500003</v>
      </c>
      <c r="Q35" s="2875">
        <v>3629.3282740100003</v>
      </c>
      <c r="R35" s="2875">
        <v>3893.9568535399999</v>
      </c>
      <c r="S35" s="2875">
        <v>3784.7556429500005</v>
      </c>
      <c r="T35" s="2875">
        <v>3982.6296987600003</v>
      </c>
      <c r="U35" s="2875">
        <v>3503.9326504300002</v>
      </c>
    </row>
    <row r="36" spans="1:21" s="2871" customFormat="1" ht="15.6" customHeight="1" x14ac:dyDescent="0.3">
      <c r="A36" s="2879" t="s">
        <v>2769</v>
      </c>
      <c r="B36" s="2875">
        <v>322.26122598000001</v>
      </c>
      <c r="C36" s="2875">
        <v>357.02406233000005</v>
      </c>
      <c r="D36" s="2875">
        <v>362.75984398000003</v>
      </c>
      <c r="E36" s="2875">
        <v>353.87770121</v>
      </c>
      <c r="F36" s="2875">
        <v>390.32723922000002</v>
      </c>
      <c r="G36" s="2875">
        <v>386.91363607</v>
      </c>
      <c r="H36" s="2875">
        <v>386.58478734999994</v>
      </c>
      <c r="I36" s="2875">
        <v>399.94550336000003</v>
      </c>
      <c r="J36" s="2875">
        <v>396.93582029999999</v>
      </c>
      <c r="K36" s="2875">
        <v>422.19947780999996</v>
      </c>
      <c r="L36" s="2875">
        <v>435.71832219999999</v>
      </c>
      <c r="M36" s="2875">
        <v>457.56861757000001</v>
      </c>
      <c r="N36" s="2875">
        <v>479.42154846999995</v>
      </c>
      <c r="O36" s="2875">
        <v>476.90713933000006</v>
      </c>
      <c r="P36" s="2875">
        <v>500.72878531999999</v>
      </c>
      <c r="Q36" s="2875">
        <v>500.47979139999995</v>
      </c>
      <c r="R36" s="2875">
        <v>498.92814429999999</v>
      </c>
      <c r="S36" s="2875">
        <v>491.36725374000002</v>
      </c>
      <c r="T36" s="2875">
        <v>495.31449313000007</v>
      </c>
      <c r="U36" s="2875">
        <v>508.38472140999994</v>
      </c>
    </row>
    <row r="37" spans="1:21" s="624" customFormat="1" ht="15.95" customHeight="1" x14ac:dyDescent="0.3">
      <c r="A37" s="2832" t="s">
        <v>2770</v>
      </c>
      <c r="B37" s="2875">
        <v>17359.859210777649</v>
      </c>
      <c r="C37" s="2875">
        <v>17303.471664639485</v>
      </c>
      <c r="D37" s="2875">
        <v>17476.720081402098</v>
      </c>
      <c r="E37" s="2875">
        <v>16656.088294191079</v>
      </c>
      <c r="F37" s="2875">
        <v>17657.938209241689</v>
      </c>
      <c r="G37" s="2875">
        <v>17966.56899105688</v>
      </c>
      <c r="H37" s="2875">
        <v>17332.550444244833</v>
      </c>
      <c r="I37" s="2875">
        <v>17134.423944392758</v>
      </c>
      <c r="J37" s="2875">
        <v>17529.902649725162</v>
      </c>
      <c r="K37" s="2875">
        <v>17658.588176422483</v>
      </c>
      <c r="L37" s="2875">
        <v>17184.718700409194</v>
      </c>
      <c r="M37" s="2875">
        <v>17431.514109810272</v>
      </c>
      <c r="N37" s="2875">
        <v>18578.385259179977</v>
      </c>
      <c r="O37" s="2875">
        <v>18818.256930693049</v>
      </c>
      <c r="P37" s="2875">
        <v>18543.757492923472</v>
      </c>
      <c r="Q37" s="2875">
        <v>18876.849331319929</v>
      </c>
      <c r="R37" s="2875">
        <v>18436.349172565177</v>
      </c>
      <c r="S37" s="2875">
        <v>18478.547248775718</v>
      </c>
      <c r="T37" s="2875">
        <v>17594.138729277791</v>
      </c>
      <c r="U37" s="2875">
        <v>17274.582365691942</v>
      </c>
    </row>
    <row r="38" spans="1:21" s="624" customFormat="1" ht="13.9" customHeight="1" x14ac:dyDescent="0.3">
      <c r="A38" s="2834" t="s">
        <v>2771</v>
      </c>
      <c r="B38" s="2876">
        <v>13756.861037690602</v>
      </c>
      <c r="C38" s="2876">
        <v>13694.918865240437</v>
      </c>
      <c r="D38" s="2876">
        <v>13891.927416000077</v>
      </c>
      <c r="E38" s="2876">
        <v>13176.836362790016</v>
      </c>
      <c r="F38" s="2876">
        <v>14069.710557333439</v>
      </c>
      <c r="G38" s="2876">
        <v>14403.195820547962</v>
      </c>
      <c r="H38" s="2876">
        <v>13548.91031564788</v>
      </c>
      <c r="I38" s="2876">
        <v>13241.161913516949</v>
      </c>
      <c r="J38" s="2876">
        <v>13612.665874105556</v>
      </c>
      <c r="K38" s="2876">
        <v>13753.740679341647</v>
      </c>
      <c r="L38" s="2876">
        <v>13399.523434384815</v>
      </c>
      <c r="M38" s="2876">
        <v>13379.349951873928</v>
      </c>
      <c r="N38" s="2876">
        <v>14445.031285641593</v>
      </c>
      <c r="O38" s="2876">
        <v>14545.018107615448</v>
      </c>
      <c r="P38" s="2876">
        <v>14470.435730919522</v>
      </c>
      <c r="Q38" s="2876">
        <v>14735.025605607989</v>
      </c>
      <c r="R38" s="2876">
        <v>14335.107936565471</v>
      </c>
      <c r="S38" s="2876">
        <v>14443.272301955993</v>
      </c>
      <c r="T38" s="2876">
        <v>13471.064266561136</v>
      </c>
      <c r="U38" s="2876">
        <v>13234.015000188854</v>
      </c>
    </row>
    <row r="39" spans="1:21" s="624" customFormat="1" ht="15.95" customHeight="1" x14ac:dyDescent="0.3">
      <c r="A39" s="2836" t="s">
        <v>2862</v>
      </c>
      <c r="B39" s="2877">
        <v>5118.3759630734849</v>
      </c>
      <c r="C39" s="2877">
        <v>5190.1168810728132</v>
      </c>
      <c r="D39" s="2877">
        <v>5034.2297949084459</v>
      </c>
      <c r="E39" s="2877">
        <v>4682.0380451746723</v>
      </c>
      <c r="F39" s="2877">
        <v>5457.1183563279774</v>
      </c>
      <c r="G39" s="2877">
        <v>5808.1259713696991</v>
      </c>
      <c r="H39" s="2877">
        <v>4941.3124791301434</v>
      </c>
      <c r="I39" s="2877">
        <v>4759.7510597078472</v>
      </c>
      <c r="J39" s="2877">
        <v>4927.8969226020035</v>
      </c>
      <c r="K39" s="2877">
        <v>5034.3852158941518</v>
      </c>
      <c r="L39" s="2877">
        <v>4544.6368538899997</v>
      </c>
      <c r="M39" s="2877">
        <v>4376.3747486100001</v>
      </c>
      <c r="N39" s="2877">
        <v>4387.7718422800008</v>
      </c>
      <c r="O39" s="2877">
        <v>4246.3322159499994</v>
      </c>
      <c r="P39" s="2877">
        <v>4207.8412401000005</v>
      </c>
      <c r="Q39" s="2877">
        <v>4387.0708756900003</v>
      </c>
      <c r="R39" s="2877">
        <v>4264.9489157099997</v>
      </c>
      <c r="S39" s="2877">
        <v>4570.0903845300008</v>
      </c>
      <c r="T39" s="2877">
        <v>3574.1240798199997</v>
      </c>
      <c r="U39" s="2877">
        <v>3556.5487498400003</v>
      </c>
    </row>
    <row r="40" spans="1:21" s="624" customFormat="1" ht="15.95" customHeight="1" x14ac:dyDescent="0.3">
      <c r="A40" s="2836" t="s">
        <v>2863</v>
      </c>
      <c r="B40" s="2877">
        <v>8638.4850746171178</v>
      </c>
      <c r="C40" s="2877">
        <v>8504.8019841676232</v>
      </c>
      <c r="D40" s="2877">
        <v>8857.6976210916328</v>
      </c>
      <c r="E40" s="2877">
        <v>8494.7983176153448</v>
      </c>
      <c r="F40" s="2877">
        <v>8612.5922010054619</v>
      </c>
      <c r="G40" s="2877">
        <v>8595.0698491782605</v>
      </c>
      <c r="H40" s="2877">
        <v>8607.5978365177361</v>
      </c>
      <c r="I40" s="2877">
        <v>8481.4108538091004</v>
      </c>
      <c r="J40" s="2877">
        <v>8684.7689515035545</v>
      </c>
      <c r="K40" s="2877">
        <v>8719.3554634474931</v>
      </c>
      <c r="L40" s="2877">
        <v>8854.8865804948164</v>
      </c>
      <c r="M40" s="2877">
        <v>9002.9752032639281</v>
      </c>
      <c r="N40" s="2877">
        <v>10057.259443361594</v>
      </c>
      <c r="O40" s="2877">
        <v>10298.685891665447</v>
      </c>
      <c r="P40" s="2877">
        <v>10262.59449081952</v>
      </c>
      <c r="Q40" s="2877">
        <v>10347.954729917989</v>
      </c>
      <c r="R40" s="2877">
        <v>10070.159020855472</v>
      </c>
      <c r="S40" s="2877">
        <v>9873.1819174259908</v>
      </c>
      <c r="T40" s="2877">
        <v>9896.9401867411361</v>
      </c>
      <c r="U40" s="2877">
        <v>9677.4662503488544</v>
      </c>
    </row>
    <row r="41" spans="1:21" s="624" customFormat="1" ht="15.95" customHeight="1" x14ac:dyDescent="0.3">
      <c r="A41" s="2836" t="s">
        <v>2864</v>
      </c>
      <c r="B41" s="2877">
        <v>180.97088203999999</v>
      </c>
      <c r="C41" s="2877">
        <v>176.45696436</v>
      </c>
      <c r="D41" s="2877">
        <v>173.72849993</v>
      </c>
      <c r="E41" s="2877">
        <v>164.02464418</v>
      </c>
      <c r="F41" s="2877">
        <v>153.15546886999999</v>
      </c>
      <c r="G41" s="2877">
        <v>161.26012226</v>
      </c>
      <c r="H41" s="2877">
        <v>169.46588862000002</v>
      </c>
      <c r="I41" s="2877">
        <v>160.29805899000002</v>
      </c>
      <c r="J41" s="2877">
        <v>171.33472451</v>
      </c>
      <c r="K41" s="2877">
        <v>148.72880563999999</v>
      </c>
      <c r="L41" s="2877">
        <v>140.73111541</v>
      </c>
      <c r="M41" s="2877">
        <v>144.77545843999999</v>
      </c>
      <c r="N41" s="2877">
        <v>139.59755674000002</v>
      </c>
      <c r="O41" s="2877">
        <v>151.78931463000001</v>
      </c>
      <c r="P41" s="2877">
        <v>175.06101647</v>
      </c>
      <c r="Q41" s="2877">
        <v>192.21031474</v>
      </c>
      <c r="R41" s="2877">
        <v>217.81627103</v>
      </c>
      <c r="S41" s="2877">
        <v>242.84248227</v>
      </c>
      <c r="T41" s="2877">
        <v>253.50942806</v>
      </c>
      <c r="U41" s="2877">
        <v>262.60065863</v>
      </c>
    </row>
    <row r="42" spans="1:21" s="624" customFormat="1" ht="15.95" customHeight="1" x14ac:dyDescent="0.3">
      <c r="A42" s="2836" t="s">
        <v>2865</v>
      </c>
      <c r="B42" s="2877">
        <v>574.43747465711624</v>
      </c>
      <c r="C42" s="2877">
        <v>579.28397584762263</v>
      </c>
      <c r="D42" s="2877">
        <v>572.57762427163198</v>
      </c>
      <c r="E42" s="2877">
        <v>587.87211825534382</v>
      </c>
      <c r="F42" s="2877">
        <v>621.92402843546245</v>
      </c>
      <c r="G42" s="2877">
        <v>616.9586764982613</v>
      </c>
      <c r="H42" s="2877">
        <v>624.63359426773559</v>
      </c>
      <c r="I42" s="2877">
        <v>626.17222308910141</v>
      </c>
      <c r="J42" s="2877">
        <v>618.68509707355429</v>
      </c>
      <c r="K42" s="2877">
        <v>607.75583644749247</v>
      </c>
      <c r="L42" s="2877">
        <v>712.24733166481462</v>
      </c>
      <c r="M42" s="2877">
        <v>713.14908859392824</v>
      </c>
      <c r="N42" s="2877">
        <v>709.420969121594</v>
      </c>
      <c r="O42" s="2877">
        <v>694.51103511544648</v>
      </c>
      <c r="P42" s="2877">
        <v>667.04620473951991</v>
      </c>
      <c r="Q42" s="2877">
        <v>667.01297461798811</v>
      </c>
      <c r="R42" s="2877">
        <v>657.69324274547193</v>
      </c>
      <c r="S42" s="2877">
        <v>644.31981048599062</v>
      </c>
      <c r="T42" s="2877">
        <v>651.25783689113712</v>
      </c>
      <c r="U42" s="2877">
        <v>639.6493529488547</v>
      </c>
    </row>
    <row r="43" spans="1:21" s="624" customFormat="1" ht="15.95" customHeight="1" x14ac:dyDescent="0.3">
      <c r="A43" s="2836" t="s">
        <v>2866</v>
      </c>
      <c r="B43" s="2877">
        <v>5576.2868006899998</v>
      </c>
      <c r="C43" s="2877">
        <v>5499.0139472199999</v>
      </c>
      <c r="D43" s="2877">
        <v>5824.5459559099991</v>
      </c>
      <c r="E43" s="2877">
        <v>5589.5821553699989</v>
      </c>
      <c r="F43" s="2877">
        <v>5624.5365674200002</v>
      </c>
      <c r="G43" s="2877">
        <v>5671.8423866900002</v>
      </c>
      <c r="H43" s="2877">
        <v>5772.2203400600001</v>
      </c>
      <c r="I43" s="2877">
        <v>5609.9850245799989</v>
      </c>
      <c r="J43" s="2877">
        <v>5733.4951845699998</v>
      </c>
      <c r="K43" s="2877">
        <v>5749.4038907799986</v>
      </c>
      <c r="L43" s="2877">
        <v>5798.91544419</v>
      </c>
      <c r="M43" s="2877">
        <v>5826.7078158300001</v>
      </c>
      <c r="N43" s="2877">
        <v>5857.1800184499998</v>
      </c>
      <c r="O43" s="2877">
        <v>6124.0340744399991</v>
      </c>
      <c r="P43" s="2877">
        <v>6112.3056925800001</v>
      </c>
      <c r="Q43" s="2877">
        <v>6143.8977575099998</v>
      </c>
      <c r="R43" s="2877">
        <v>5829.6940320300009</v>
      </c>
      <c r="S43" s="2877">
        <v>5852.8011484899998</v>
      </c>
      <c r="T43" s="2877">
        <v>5920.2314626300004</v>
      </c>
      <c r="U43" s="2877">
        <v>5705.2799594300004</v>
      </c>
    </row>
    <row r="44" spans="1:21" s="624" customFormat="1" ht="15.95" customHeight="1" x14ac:dyDescent="0.3">
      <c r="A44" s="2836" t="s">
        <v>2867</v>
      </c>
      <c r="B44" s="2877">
        <v>2306.7899172299999</v>
      </c>
      <c r="C44" s="2877">
        <v>2250.0470967399997</v>
      </c>
      <c r="D44" s="2877">
        <v>2286.8455409799999</v>
      </c>
      <c r="E44" s="2877">
        <v>2153.31939981</v>
      </c>
      <c r="F44" s="2877">
        <v>2212.9761362799995</v>
      </c>
      <c r="G44" s="2877">
        <v>2145.0086637300001</v>
      </c>
      <c r="H44" s="2877">
        <v>2041.2780135700002</v>
      </c>
      <c r="I44" s="2877">
        <v>2084.9555471499998</v>
      </c>
      <c r="J44" s="2877">
        <v>2161.2539453499999</v>
      </c>
      <c r="K44" s="2877">
        <v>2213.4669305799998</v>
      </c>
      <c r="L44" s="2877">
        <v>2202.99268923</v>
      </c>
      <c r="M44" s="2877">
        <v>2318.3428404000001</v>
      </c>
      <c r="N44" s="2877">
        <v>3351.0608990499995</v>
      </c>
      <c r="O44" s="2877">
        <v>3328.3514674799999</v>
      </c>
      <c r="P44" s="2877">
        <v>3308.1815770300004</v>
      </c>
      <c r="Q44" s="2877">
        <v>3344.8336830499998</v>
      </c>
      <c r="R44" s="2877">
        <v>3364.9554750499997</v>
      </c>
      <c r="S44" s="2877">
        <v>3133.2184761799999</v>
      </c>
      <c r="T44" s="2877">
        <v>3071.9414591599998</v>
      </c>
      <c r="U44" s="2877">
        <v>3069.9362793399996</v>
      </c>
    </row>
    <row r="45" spans="1:21" s="624" customFormat="1" ht="15.95" customHeight="1" x14ac:dyDescent="0.3">
      <c r="A45" s="2834" t="s">
        <v>2778</v>
      </c>
      <c r="B45" s="2876">
        <v>1408.0299514370129</v>
      </c>
      <c r="C45" s="2876">
        <v>1410.9891633529876</v>
      </c>
      <c r="D45" s="2876">
        <v>1475.6251901198302</v>
      </c>
      <c r="E45" s="2876">
        <v>1474.9458953059259</v>
      </c>
      <c r="F45" s="2876">
        <v>1486.6794706103458</v>
      </c>
      <c r="G45" s="2876">
        <v>1573.6494264808341</v>
      </c>
      <c r="H45" s="2876">
        <v>1695.0221713480353</v>
      </c>
      <c r="I45" s="2876">
        <v>1808.2129847443109</v>
      </c>
      <c r="J45" s="2876">
        <v>1886.2465352771485</v>
      </c>
      <c r="K45" s="2876">
        <v>1988.12366751792</v>
      </c>
      <c r="L45" s="2876">
        <v>1884.7080664950242</v>
      </c>
      <c r="M45" s="2876">
        <v>2089.2058502589393</v>
      </c>
      <c r="N45" s="2876">
        <v>2192.3325026914586</v>
      </c>
      <c r="O45" s="2876">
        <v>2164.9199427756835</v>
      </c>
      <c r="P45" s="2876">
        <v>2182.5624308223846</v>
      </c>
      <c r="Q45" s="2876">
        <v>2147.4752500594509</v>
      </c>
      <c r="R45" s="2876">
        <v>2144.8644821084417</v>
      </c>
      <c r="S45" s="2876">
        <v>2160.6674965293937</v>
      </c>
      <c r="T45" s="2876">
        <v>2166.9120410938567</v>
      </c>
      <c r="U45" s="2876">
        <v>2138.6070053293156</v>
      </c>
    </row>
    <row r="46" spans="1:21" s="624" customFormat="1" ht="15.95" customHeight="1" x14ac:dyDescent="0.3">
      <c r="A46" s="2834" t="s">
        <v>2779</v>
      </c>
      <c r="B46" s="2876">
        <v>2194.9682216500373</v>
      </c>
      <c r="C46" s="2876">
        <v>2197.5636360460594</v>
      </c>
      <c r="D46" s="2876">
        <v>2109.1674752821905</v>
      </c>
      <c r="E46" s="2876">
        <v>2004.3060360951367</v>
      </c>
      <c r="F46" s="2876">
        <v>2101.5481812979019</v>
      </c>
      <c r="G46" s="2876">
        <v>1989.7237440280871</v>
      </c>
      <c r="H46" s="2876">
        <v>2088.6179572489168</v>
      </c>
      <c r="I46" s="2876">
        <v>2085.0490461314985</v>
      </c>
      <c r="J46" s="2876">
        <v>2030.9902403424587</v>
      </c>
      <c r="K46" s="2876">
        <v>1916.7238295629172</v>
      </c>
      <c r="L46" s="2876">
        <v>1900.4871995293574</v>
      </c>
      <c r="M46" s="2876">
        <v>1962.9583076774056</v>
      </c>
      <c r="N46" s="2876">
        <v>1941.0214708469277</v>
      </c>
      <c r="O46" s="2876">
        <v>2108.3188803019189</v>
      </c>
      <c r="P46" s="2876">
        <v>1890.7593311815651</v>
      </c>
      <c r="Q46" s="2876">
        <v>1994.3484756524888</v>
      </c>
      <c r="R46" s="2876">
        <v>1956.3767538912607</v>
      </c>
      <c r="S46" s="2876">
        <v>1874.6074502903323</v>
      </c>
      <c r="T46" s="2876">
        <v>1956.1624216227976</v>
      </c>
      <c r="U46" s="2876">
        <v>1901.9603601737708</v>
      </c>
    </row>
    <row r="47" spans="1:21" s="624" customFormat="1" ht="15.95" customHeight="1" x14ac:dyDescent="0.3">
      <c r="A47" s="2832" t="s">
        <v>2780</v>
      </c>
      <c r="B47" s="2875">
        <v>21342.197252998994</v>
      </c>
      <c r="C47" s="2875">
        <v>21673.904148988036</v>
      </c>
      <c r="D47" s="2875">
        <v>21123.461788668483</v>
      </c>
      <c r="E47" s="2875">
        <v>22122.836857303733</v>
      </c>
      <c r="F47" s="2875">
        <v>22587.784741423813</v>
      </c>
      <c r="G47" s="2875">
        <v>25285.575856382013</v>
      </c>
      <c r="H47" s="2875">
        <v>24920.96257210003</v>
      </c>
      <c r="I47" s="2875">
        <v>26288.713552611131</v>
      </c>
      <c r="J47" s="2875">
        <v>26506.925578391889</v>
      </c>
      <c r="K47" s="2875">
        <v>27181.096286875993</v>
      </c>
      <c r="L47" s="2875">
        <v>28099.80340189605</v>
      </c>
      <c r="M47" s="2875">
        <v>27960.773146229651</v>
      </c>
      <c r="N47" s="2875">
        <v>27853.14965232549</v>
      </c>
      <c r="O47" s="2875">
        <v>27574.4898956174</v>
      </c>
      <c r="P47" s="2875">
        <v>26500.546194515729</v>
      </c>
      <c r="Q47" s="2875">
        <v>27170.365097457878</v>
      </c>
      <c r="R47" s="2875">
        <v>27489.382260091614</v>
      </c>
      <c r="S47" s="2875">
        <v>29108.524298872009</v>
      </c>
      <c r="T47" s="2875">
        <v>28381.911213777264</v>
      </c>
      <c r="U47" s="2875">
        <v>28226.678568665855</v>
      </c>
    </row>
    <row r="48" spans="1:21" s="624" customFormat="1" ht="14.25" customHeight="1" x14ac:dyDescent="0.3">
      <c r="A48" s="2834" t="s">
        <v>2781</v>
      </c>
      <c r="B48" s="2876">
        <v>3169.3303806463032</v>
      </c>
      <c r="C48" s="2876">
        <v>3182.5069913551588</v>
      </c>
      <c r="D48" s="2876">
        <v>3651.3872259172053</v>
      </c>
      <c r="E48" s="2876">
        <v>3842.0389499097687</v>
      </c>
      <c r="F48" s="2876">
        <v>4005.9524372458854</v>
      </c>
      <c r="G48" s="2876">
        <v>3736.4007707313217</v>
      </c>
      <c r="H48" s="2876">
        <v>4310.4841177080198</v>
      </c>
      <c r="I48" s="2876">
        <v>4704.3148864091572</v>
      </c>
      <c r="J48" s="2876">
        <v>4438.3602605000115</v>
      </c>
      <c r="K48" s="2876">
        <v>4893.2348803047817</v>
      </c>
      <c r="L48" s="2876">
        <v>5168.0438336754305</v>
      </c>
      <c r="M48" s="2876">
        <v>5307.6749143196039</v>
      </c>
      <c r="N48" s="2876">
        <v>5206.9416117967694</v>
      </c>
      <c r="O48" s="2876">
        <v>5298.0773018883174</v>
      </c>
      <c r="P48" s="2876">
        <v>5309.772330679365</v>
      </c>
      <c r="Q48" s="2876">
        <v>5763.4594893101594</v>
      </c>
      <c r="R48" s="2876">
        <v>5905.5086725431102</v>
      </c>
      <c r="S48" s="2876">
        <v>5827.5913971699638</v>
      </c>
      <c r="T48" s="2876">
        <v>6078.3625344883103</v>
      </c>
      <c r="U48" s="2876">
        <v>5875.7193470049351</v>
      </c>
    </row>
    <row r="49" spans="1:21" s="624" customFormat="1" ht="14.25" customHeight="1" x14ac:dyDescent="0.3">
      <c r="A49" s="2834" t="s">
        <v>2782</v>
      </c>
      <c r="B49" s="2876">
        <v>10955.455863555811</v>
      </c>
      <c r="C49" s="2876">
        <v>11048.008833815142</v>
      </c>
      <c r="D49" s="2876">
        <v>10007.645561630614</v>
      </c>
      <c r="E49" s="2876">
        <v>10875.751253165105</v>
      </c>
      <c r="F49" s="2876">
        <v>11111.261175039155</v>
      </c>
      <c r="G49" s="2876">
        <v>13630.095579374387</v>
      </c>
      <c r="H49" s="2876">
        <v>12081.440496810754</v>
      </c>
      <c r="I49" s="2876">
        <v>12886.985759925876</v>
      </c>
      <c r="J49" s="2876">
        <v>13280.798666564184</v>
      </c>
      <c r="K49" s="2876">
        <v>13440.259068253312</v>
      </c>
      <c r="L49" s="2876">
        <v>14658.874208783485</v>
      </c>
      <c r="M49" s="2876">
        <v>13996.226009089745</v>
      </c>
      <c r="N49" s="2876">
        <v>13832.287972483211</v>
      </c>
      <c r="O49" s="2876">
        <v>13765.230766372963</v>
      </c>
      <c r="P49" s="2876">
        <v>12352.992483792641</v>
      </c>
      <c r="Q49" s="2876">
        <v>12937.257721155122</v>
      </c>
      <c r="R49" s="2876">
        <v>12897.230836393011</v>
      </c>
      <c r="S49" s="2876">
        <v>14394.367325616726</v>
      </c>
      <c r="T49" s="2876">
        <v>13524.364984345093</v>
      </c>
      <c r="U49" s="2876">
        <v>14020.701476694727</v>
      </c>
    </row>
    <row r="50" spans="1:21" s="624" customFormat="1" ht="14.25" customHeight="1" x14ac:dyDescent="0.3">
      <c r="A50" s="2834" t="s">
        <v>2783</v>
      </c>
      <c r="B50" s="2876">
        <v>7217.4110087968775</v>
      </c>
      <c r="C50" s="2876">
        <v>7443.3883238177341</v>
      </c>
      <c r="D50" s="2876">
        <v>7464.4290011206631</v>
      </c>
      <c r="E50" s="2876">
        <v>7405.0466542288596</v>
      </c>
      <c r="F50" s="2876">
        <v>7470.571129138767</v>
      </c>
      <c r="G50" s="2876">
        <v>7919.0795062762982</v>
      </c>
      <c r="H50" s="2876">
        <v>8529.0379575812531</v>
      </c>
      <c r="I50" s="2876">
        <v>8697.4129062760985</v>
      </c>
      <c r="J50" s="2876">
        <v>8787.7666513276981</v>
      </c>
      <c r="K50" s="2876">
        <v>8847.6023383178926</v>
      </c>
      <c r="L50" s="2876">
        <v>8272.8853594371358</v>
      </c>
      <c r="M50" s="2876">
        <v>8656.8722228203042</v>
      </c>
      <c r="N50" s="2876">
        <v>8813.9200680455087</v>
      </c>
      <c r="O50" s="2876">
        <v>8511.1818273561166</v>
      </c>
      <c r="P50" s="2876">
        <v>8837.7813800437198</v>
      </c>
      <c r="Q50" s="2876">
        <v>8469.6478869925977</v>
      </c>
      <c r="R50" s="2876">
        <v>8686.6427511554921</v>
      </c>
      <c r="S50" s="2876">
        <v>8886.5655760853242</v>
      </c>
      <c r="T50" s="2876">
        <v>8779.1836949438584</v>
      </c>
      <c r="U50" s="2876">
        <v>8330.2577449661931</v>
      </c>
    </row>
    <row r="51" spans="1:21" s="624" customFormat="1" ht="15.95" customHeight="1" x14ac:dyDescent="0.3">
      <c r="A51" s="2832" t="s">
        <v>2784</v>
      </c>
      <c r="B51" s="2875">
        <v>4606.9723849771426</v>
      </c>
      <c r="C51" s="2875">
        <v>4611.0445670810104</v>
      </c>
      <c r="D51" s="2875">
        <v>4585.8864635784057</v>
      </c>
      <c r="E51" s="2875">
        <v>4491.3865450075809</v>
      </c>
      <c r="F51" s="2875">
        <v>4438.2739143014333</v>
      </c>
      <c r="G51" s="2875">
        <v>4448.5683052642653</v>
      </c>
      <c r="H51" s="2875">
        <v>4376.7710282214166</v>
      </c>
      <c r="I51" s="2875">
        <v>4310.0216850113402</v>
      </c>
      <c r="J51" s="2875">
        <v>4881.4520666236131</v>
      </c>
      <c r="K51" s="2875">
        <v>4898.8813109888679</v>
      </c>
      <c r="L51" s="2875">
        <v>4413.2927083563773</v>
      </c>
      <c r="M51" s="2875">
        <v>4504.0758040895025</v>
      </c>
      <c r="N51" s="2875">
        <v>4374.4069208036317</v>
      </c>
      <c r="O51" s="2875">
        <v>4458.2270458933808</v>
      </c>
      <c r="P51" s="2875">
        <v>4442.4824620865156</v>
      </c>
      <c r="Q51" s="2875">
        <v>4469.759753637888</v>
      </c>
      <c r="R51" s="2875">
        <v>4412.3867752939523</v>
      </c>
      <c r="S51" s="2875">
        <v>4399.7752053800714</v>
      </c>
      <c r="T51" s="2875">
        <v>4504.8567511669235</v>
      </c>
      <c r="U51" s="2875">
        <v>4413.7648787472908</v>
      </c>
    </row>
    <row r="52" spans="1:21" s="624" customFormat="1" ht="14.25" customHeight="1" x14ac:dyDescent="0.3">
      <c r="A52" s="2834" t="s">
        <v>2785</v>
      </c>
      <c r="B52" s="2876">
        <v>948.92799553596944</v>
      </c>
      <c r="C52" s="2876">
        <v>969.12260776982282</v>
      </c>
      <c r="D52" s="2876">
        <v>959.13172006856223</v>
      </c>
      <c r="E52" s="2876">
        <v>940.78817589543553</v>
      </c>
      <c r="F52" s="2876">
        <v>925.61270529850913</v>
      </c>
      <c r="G52" s="2876">
        <v>937.77907591518237</v>
      </c>
      <c r="H52" s="2876">
        <v>907.8672188471345</v>
      </c>
      <c r="I52" s="2876">
        <v>905.69664285056786</v>
      </c>
      <c r="J52" s="2876">
        <v>908.48012106680414</v>
      </c>
      <c r="K52" s="2876">
        <v>887.67814059014415</v>
      </c>
      <c r="L52" s="2876">
        <v>892.05888678351073</v>
      </c>
      <c r="M52" s="2876">
        <v>873.46313283293171</v>
      </c>
      <c r="N52" s="2876">
        <v>856.90412033584118</v>
      </c>
      <c r="O52" s="2876">
        <v>862.61183257375365</v>
      </c>
      <c r="P52" s="2876">
        <v>863.60768890102008</v>
      </c>
      <c r="Q52" s="2876">
        <v>885.9863972774408</v>
      </c>
      <c r="R52" s="2876">
        <v>912.9681805399764</v>
      </c>
      <c r="S52" s="2876">
        <v>910.22824010736417</v>
      </c>
      <c r="T52" s="2876">
        <v>959.93645249055396</v>
      </c>
      <c r="U52" s="2876">
        <v>938.70986543127469</v>
      </c>
    </row>
    <row r="53" spans="1:21" s="624" customFormat="1" ht="14.25" customHeight="1" x14ac:dyDescent="0.3">
      <c r="A53" s="2834" t="s">
        <v>2786</v>
      </c>
      <c r="B53" s="2876">
        <v>124.80079928757453</v>
      </c>
      <c r="C53" s="2876">
        <v>121.77389397523341</v>
      </c>
      <c r="D53" s="2876">
        <v>120.51303814756599</v>
      </c>
      <c r="E53" s="2876">
        <v>109.0101648594628</v>
      </c>
      <c r="F53" s="2876">
        <v>109.75419905589204</v>
      </c>
      <c r="G53" s="2876">
        <v>114.74252833</v>
      </c>
      <c r="H53" s="2876">
        <v>104.98773779000001</v>
      </c>
      <c r="I53" s="2876">
        <v>97.118908319999989</v>
      </c>
      <c r="J53" s="2876">
        <v>114.82485175999999</v>
      </c>
      <c r="K53" s="2876">
        <v>111.15179637999999</v>
      </c>
      <c r="L53" s="2876">
        <v>252.17260962999998</v>
      </c>
      <c r="M53" s="2876">
        <v>254.27975386000003</v>
      </c>
      <c r="N53" s="2876">
        <v>254.33242240999999</v>
      </c>
      <c r="O53" s="2876">
        <v>254.06508468999999</v>
      </c>
      <c r="P53" s="2876">
        <v>250.16518069999998</v>
      </c>
      <c r="Q53" s="2876">
        <v>243.84198867000001</v>
      </c>
      <c r="R53" s="2876">
        <v>243.96292521999999</v>
      </c>
      <c r="S53" s="2876">
        <v>237.49109781000001</v>
      </c>
      <c r="T53" s="2876">
        <v>240.19679990999995</v>
      </c>
      <c r="U53" s="2876">
        <v>241.00239463000003</v>
      </c>
    </row>
    <row r="54" spans="1:21" s="624" customFormat="1" ht="14.25" customHeight="1" x14ac:dyDescent="0.3">
      <c r="A54" s="2834" t="s">
        <v>2787</v>
      </c>
      <c r="B54" s="2876">
        <v>12.65453055</v>
      </c>
      <c r="C54" s="2876">
        <v>12.498312720000001</v>
      </c>
      <c r="D54" s="2876">
        <v>12.37279562</v>
      </c>
      <c r="E54" s="2876">
        <v>15.048558219999999</v>
      </c>
      <c r="F54" s="2876">
        <v>15.527895860000001</v>
      </c>
      <c r="G54" s="2876">
        <v>14.887940340000002</v>
      </c>
      <c r="H54" s="2876">
        <v>14.658490540000001</v>
      </c>
      <c r="I54" s="2876">
        <v>14.417738110000002</v>
      </c>
      <c r="J54" s="2876">
        <v>14.359158059999999</v>
      </c>
      <c r="K54" s="2876">
        <v>20.04489225</v>
      </c>
      <c r="L54" s="2876">
        <v>13.359944879999999</v>
      </c>
      <c r="M54" s="2876">
        <v>13.121874149999998</v>
      </c>
      <c r="N54" s="2876">
        <v>12.919388340000001</v>
      </c>
      <c r="O54" s="2876">
        <v>13.35891715</v>
      </c>
      <c r="P54" s="2876">
        <v>13.616225319999998</v>
      </c>
      <c r="Q54" s="2876">
        <v>12.859166700000001</v>
      </c>
      <c r="R54" s="2876">
        <v>12.675909300000001</v>
      </c>
      <c r="S54" s="2876">
        <v>10.938954719999998</v>
      </c>
      <c r="T54" s="2876">
        <v>11.888376020000001</v>
      </c>
      <c r="U54" s="2876">
        <v>12.612242760000001</v>
      </c>
    </row>
    <row r="55" spans="1:21" s="624" customFormat="1" ht="14.25" customHeight="1" x14ac:dyDescent="0.3">
      <c r="A55" s="2834" t="s">
        <v>2788</v>
      </c>
      <c r="B55" s="2876">
        <v>3519.075577903599</v>
      </c>
      <c r="C55" s="2876">
        <v>3506.1101458159546</v>
      </c>
      <c r="D55" s="2876">
        <v>3492.3399618022772</v>
      </c>
      <c r="E55" s="2876">
        <v>3424.9949049326824</v>
      </c>
      <c r="F55" s="2876">
        <v>3385.8448975170322</v>
      </c>
      <c r="G55" s="2876">
        <v>3379.6219549490838</v>
      </c>
      <c r="H55" s="2876">
        <v>3347.7155312142818</v>
      </c>
      <c r="I55" s="2876">
        <v>3291.2485106007721</v>
      </c>
      <c r="J55" s="2876">
        <v>3842.2329523068092</v>
      </c>
      <c r="K55" s="2876">
        <v>3878.459761358723</v>
      </c>
      <c r="L55" s="2876">
        <v>3254.1352751228665</v>
      </c>
      <c r="M55" s="2876">
        <v>3361.6540177665702</v>
      </c>
      <c r="N55" s="2876">
        <v>3248.6726565677909</v>
      </c>
      <c r="O55" s="2876">
        <v>3326.6504675296273</v>
      </c>
      <c r="P55" s="2876">
        <v>3313.5429810254946</v>
      </c>
      <c r="Q55" s="2876">
        <v>3325.5243601004477</v>
      </c>
      <c r="R55" s="2876">
        <v>3241.2328414339759</v>
      </c>
      <c r="S55" s="2876">
        <v>3239.5357120727072</v>
      </c>
      <c r="T55" s="2876">
        <v>3291.2865223463691</v>
      </c>
      <c r="U55" s="2876">
        <v>3219.8677966060163</v>
      </c>
    </row>
    <row r="56" spans="1:21" s="624" customFormat="1" ht="14.25" customHeight="1" x14ac:dyDescent="0.3">
      <c r="A56" s="2834" t="s">
        <v>2789</v>
      </c>
      <c r="B56" s="2876">
        <v>1.5134817</v>
      </c>
      <c r="C56" s="2876">
        <v>1.5396068000000001</v>
      </c>
      <c r="D56" s="2876">
        <v>1.5289479399999999</v>
      </c>
      <c r="E56" s="2876">
        <v>1.5447411000000002</v>
      </c>
      <c r="F56" s="2876">
        <v>1.5342165700000001</v>
      </c>
      <c r="G56" s="2876">
        <v>1.5368057300000002</v>
      </c>
      <c r="H56" s="2876">
        <v>1.5420498300000001</v>
      </c>
      <c r="I56" s="2876">
        <v>1.53988513</v>
      </c>
      <c r="J56" s="2876">
        <v>1.5549834299999998</v>
      </c>
      <c r="K56" s="2876">
        <v>1.5467204099999998</v>
      </c>
      <c r="L56" s="2876">
        <v>1.56599194</v>
      </c>
      <c r="M56" s="2876">
        <v>1.5570254800000001</v>
      </c>
      <c r="N56" s="2876">
        <v>1.57833315</v>
      </c>
      <c r="O56" s="2876">
        <v>1.5407439500000002</v>
      </c>
      <c r="P56" s="2876">
        <v>1.5503861399999999</v>
      </c>
      <c r="Q56" s="2876">
        <v>1.54784089</v>
      </c>
      <c r="R56" s="2876">
        <v>1.5469188</v>
      </c>
      <c r="S56" s="2876">
        <v>1.5812006700000001</v>
      </c>
      <c r="T56" s="2876">
        <v>1.5486004000000002</v>
      </c>
      <c r="U56" s="2876">
        <v>1.57257932</v>
      </c>
    </row>
    <row r="57" spans="1:21" s="624" customFormat="1" ht="15.95" customHeight="1" x14ac:dyDescent="0.3">
      <c r="A57" s="2832" t="s">
        <v>2790</v>
      </c>
      <c r="B57" s="2875">
        <v>54050.31893871435</v>
      </c>
      <c r="C57" s="2875">
        <v>54446.267731086795</v>
      </c>
      <c r="D57" s="2875">
        <v>53567.038380555707</v>
      </c>
      <c r="E57" s="2875">
        <v>50845.290952127871</v>
      </c>
      <c r="F57" s="2875">
        <v>51513.680427814448</v>
      </c>
      <c r="G57" s="2875">
        <v>51809.516980281238</v>
      </c>
      <c r="H57" s="2875">
        <v>50727.575423195311</v>
      </c>
      <c r="I57" s="2875">
        <v>49242.830465904044</v>
      </c>
      <c r="J57" s="2875">
        <v>48647.419625385934</v>
      </c>
      <c r="K57" s="2875">
        <v>48902.669818612703</v>
      </c>
      <c r="L57" s="2875">
        <v>50119.594313385554</v>
      </c>
      <c r="M57" s="2875">
        <v>49656.969481437824</v>
      </c>
      <c r="N57" s="2875">
        <v>50763.213487472945</v>
      </c>
      <c r="O57" s="2875">
        <v>49875.223481402478</v>
      </c>
      <c r="P57" s="2875">
        <v>50410.326220854935</v>
      </c>
      <c r="Q57" s="2875">
        <v>49742.113571505812</v>
      </c>
      <c r="R57" s="2875">
        <v>48534.674574234356</v>
      </c>
      <c r="S57" s="2875">
        <v>48834.669637602157</v>
      </c>
      <c r="T57" s="2875">
        <v>49549.634389152758</v>
      </c>
      <c r="U57" s="2875">
        <v>49073.366608057375</v>
      </c>
    </row>
    <row r="58" spans="1:21" s="624" customFormat="1" ht="15.95" customHeight="1" x14ac:dyDescent="0.3">
      <c r="A58" s="2834" t="s">
        <v>2791</v>
      </c>
      <c r="B58" s="2876">
        <v>53005.956923128433</v>
      </c>
      <c r="C58" s="2876">
        <v>53389.00359411868</v>
      </c>
      <c r="D58" s="2876">
        <v>52502.500128702646</v>
      </c>
      <c r="E58" s="2876">
        <v>49764.887138995895</v>
      </c>
      <c r="F58" s="2876">
        <v>50450.625610596006</v>
      </c>
      <c r="G58" s="2876">
        <v>50756.856200517956</v>
      </c>
      <c r="H58" s="2876">
        <v>49934.745013044587</v>
      </c>
      <c r="I58" s="2876">
        <v>48458.461795068142</v>
      </c>
      <c r="J58" s="2876">
        <v>47873.543327678912</v>
      </c>
      <c r="K58" s="2876">
        <v>48127.517344836197</v>
      </c>
      <c r="L58" s="2876">
        <v>49394.938234349109</v>
      </c>
      <c r="M58" s="2876">
        <v>48938.503572288937</v>
      </c>
      <c r="N58" s="2876">
        <v>50082.279258780443</v>
      </c>
      <c r="O58" s="2876">
        <v>49382.744688065948</v>
      </c>
      <c r="P58" s="2876">
        <v>49927.947745963815</v>
      </c>
      <c r="Q58" s="2876">
        <v>49261.379014615493</v>
      </c>
      <c r="R58" s="2876">
        <v>48000.115683826109</v>
      </c>
      <c r="S58" s="2876">
        <v>48292.241312235135</v>
      </c>
      <c r="T58" s="2876">
        <v>49015.601108773415</v>
      </c>
      <c r="U58" s="2876">
        <v>48516.603619752073</v>
      </c>
    </row>
    <row r="59" spans="1:21" s="624" customFormat="1" ht="14.25" customHeight="1" x14ac:dyDescent="0.3">
      <c r="A59" s="2836" t="s">
        <v>2868</v>
      </c>
      <c r="B59" s="2877">
        <v>46354.515378976255</v>
      </c>
      <c r="C59" s="2877">
        <v>46665.475529717391</v>
      </c>
      <c r="D59" s="2877">
        <v>46221.835948726803</v>
      </c>
      <c r="E59" s="2877">
        <v>43785.194575235932</v>
      </c>
      <c r="F59" s="2877">
        <v>44345.395551110945</v>
      </c>
      <c r="G59" s="2877">
        <v>44564.966941762053</v>
      </c>
      <c r="H59" s="2877">
        <v>43174.739537180263</v>
      </c>
      <c r="I59" s="2877">
        <v>41713.397732035126</v>
      </c>
      <c r="J59" s="2877">
        <v>41161.747021675917</v>
      </c>
      <c r="K59" s="2877">
        <v>41619.004274746439</v>
      </c>
      <c r="L59" s="2877">
        <v>42874.813568118778</v>
      </c>
      <c r="M59" s="2877">
        <v>41999.438878393034</v>
      </c>
      <c r="N59" s="2877">
        <v>43074.911773041014</v>
      </c>
      <c r="O59" s="2877">
        <v>42255.595489044004</v>
      </c>
      <c r="P59" s="2877">
        <v>43464.817730776522</v>
      </c>
      <c r="Q59" s="2877">
        <v>42799.3917741474</v>
      </c>
      <c r="R59" s="2877">
        <v>41588.612617661624</v>
      </c>
      <c r="S59" s="2877">
        <v>41895.639390532044</v>
      </c>
      <c r="T59" s="2877">
        <v>42540.784943594532</v>
      </c>
      <c r="U59" s="2877">
        <v>42139.739381473926</v>
      </c>
    </row>
    <row r="60" spans="1:21" s="2665" customFormat="1" ht="14.25" customHeight="1" x14ac:dyDescent="0.3">
      <c r="A60" s="2836" t="s">
        <v>2869</v>
      </c>
      <c r="B60" s="2877">
        <v>5943.7017513014716</v>
      </c>
      <c r="C60" s="2877">
        <v>5998.8554166577032</v>
      </c>
      <c r="D60" s="2877">
        <v>5599.7181682362825</v>
      </c>
      <c r="E60" s="2877">
        <v>5319.0029774381355</v>
      </c>
      <c r="F60" s="2877">
        <v>5433.3630091869873</v>
      </c>
      <c r="G60" s="2877">
        <v>5494.4588381095391</v>
      </c>
      <c r="H60" s="2877">
        <v>5983.1449382706032</v>
      </c>
      <c r="I60" s="2877">
        <v>5988.3614903852504</v>
      </c>
      <c r="J60" s="2877">
        <v>5955.3908464584438</v>
      </c>
      <c r="K60" s="2877">
        <v>5841.3690441905555</v>
      </c>
      <c r="L60" s="2877">
        <v>5853.5854405250529</v>
      </c>
      <c r="M60" s="2877">
        <v>6263.1829431133556</v>
      </c>
      <c r="N60" s="2877">
        <v>6335.7436516983735</v>
      </c>
      <c r="O60" s="2877">
        <v>6434.2392186199995</v>
      </c>
      <c r="P60" s="2877">
        <v>5769.8630792999993</v>
      </c>
      <c r="Q60" s="2877">
        <v>5776.0761427299994</v>
      </c>
      <c r="R60" s="2877">
        <v>5699.0973402399995</v>
      </c>
      <c r="S60" s="2877">
        <v>5701.4129068099992</v>
      </c>
      <c r="T60" s="2877">
        <v>5772.8299850200001</v>
      </c>
      <c r="U60" s="2877">
        <v>5679.0376561399989</v>
      </c>
    </row>
    <row r="61" spans="1:21" s="2665" customFormat="1" ht="14.25" customHeight="1" x14ac:dyDescent="0.3">
      <c r="A61" s="2836" t="s">
        <v>2870</v>
      </c>
      <c r="B61" s="2877">
        <v>92.201644569999999</v>
      </c>
      <c r="C61" s="2877">
        <v>91.805981420000023</v>
      </c>
      <c r="D61" s="2877">
        <v>93.090065620000004</v>
      </c>
      <c r="E61" s="2877">
        <v>92.871467559999999</v>
      </c>
      <c r="F61" s="2877">
        <v>92.721591669999995</v>
      </c>
      <c r="G61" s="2877">
        <v>88.047655379999995</v>
      </c>
      <c r="H61" s="2877">
        <v>86.468984400000011</v>
      </c>
      <c r="I61" s="2877">
        <v>80.738530560000001</v>
      </c>
      <c r="J61" s="2877">
        <v>72.669841289999994</v>
      </c>
      <c r="K61" s="2877">
        <v>74.112487799999997</v>
      </c>
      <c r="L61" s="2877">
        <v>69.000008919999999</v>
      </c>
      <c r="M61" s="2877">
        <v>68.118246999999997</v>
      </c>
      <c r="N61" s="2877">
        <v>63.794465529999997</v>
      </c>
      <c r="O61" s="2877">
        <v>67.33465726</v>
      </c>
      <c r="P61" s="2877">
        <v>76.286443359999993</v>
      </c>
      <c r="Q61" s="2877">
        <v>76.601851960000005</v>
      </c>
      <c r="R61" s="2877">
        <v>85.926034150000007</v>
      </c>
      <c r="S61" s="2877">
        <v>90.85759277999999</v>
      </c>
      <c r="T61" s="2877">
        <v>93.334321689999996</v>
      </c>
      <c r="U61" s="2877">
        <v>97.173856630000003</v>
      </c>
    </row>
    <row r="62" spans="1:21" s="624" customFormat="1" ht="14.25" customHeight="1" x14ac:dyDescent="0.3">
      <c r="A62" s="2836" t="s">
        <v>2871</v>
      </c>
      <c r="B62" s="2877">
        <v>300.91575687070383</v>
      </c>
      <c r="C62" s="2877">
        <v>320.59613060358475</v>
      </c>
      <c r="D62" s="2877">
        <v>317.47496521955918</v>
      </c>
      <c r="E62" s="2877">
        <v>307.69812057183617</v>
      </c>
      <c r="F62" s="2877">
        <v>307.86101464806842</v>
      </c>
      <c r="G62" s="2877">
        <v>335.70397042636381</v>
      </c>
      <c r="H62" s="2877">
        <v>332.8829069637215</v>
      </c>
      <c r="I62" s="2877">
        <v>326.09543781776438</v>
      </c>
      <c r="J62" s="2877">
        <v>321.07019506454156</v>
      </c>
      <c r="K62" s="2877">
        <v>324.5663432792042</v>
      </c>
      <c r="L62" s="2877">
        <v>332.97872222528298</v>
      </c>
      <c r="M62" s="2877">
        <v>346.3143250925491</v>
      </c>
      <c r="N62" s="2877">
        <v>349.79458221105693</v>
      </c>
      <c r="O62" s="2877">
        <v>370.64059689193368</v>
      </c>
      <c r="P62" s="2877">
        <v>366.75405275729003</v>
      </c>
      <c r="Q62" s="2877">
        <v>362.85492455809066</v>
      </c>
      <c r="R62" s="2877">
        <v>378.00141908449154</v>
      </c>
      <c r="S62" s="2877">
        <v>377.70895061310074</v>
      </c>
      <c r="T62" s="2877">
        <v>385.80308780888959</v>
      </c>
      <c r="U62" s="2877">
        <v>384.25241802815879</v>
      </c>
    </row>
    <row r="63" spans="1:21" s="624" customFormat="1" ht="14.25" customHeight="1" x14ac:dyDescent="0.3">
      <c r="A63" s="2836" t="s">
        <v>2872</v>
      </c>
      <c r="B63" s="2877">
        <v>88.516935160000003</v>
      </c>
      <c r="C63" s="2877">
        <v>86.713864389999983</v>
      </c>
      <c r="D63" s="2877">
        <v>45.814808090000007</v>
      </c>
      <c r="E63" s="2877">
        <v>43.697184440000008</v>
      </c>
      <c r="F63" s="2877">
        <v>43.709972829999998</v>
      </c>
      <c r="G63" s="2877">
        <v>43.962668980000004</v>
      </c>
      <c r="H63" s="2877">
        <v>132.95211387000001</v>
      </c>
      <c r="I63" s="2877">
        <v>130.56718985000001</v>
      </c>
      <c r="J63" s="2877">
        <v>143.82035679000001</v>
      </c>
      <c r="K63" s="2877">
        <v>53.98477968000001</v>
      </c>
      <c r="L63" s="2877">
        <v>54.223904410000003</v>
      </c>
      <c r="M63" s="2877">
        <v>48.593370929999999</v>
      </c>
      <c r="N63" s="2877">
        <v>46.524575299999995</v>
      </c>
      <c r="O63" s="2877">
        <v>45.727079859999996</v>
      </c>
      <c r="P63" s="2877">
        <v>45.536015900000002</v>
      </c>
      <c r="Q63" s="2877">
        <v>46.966226690000006</v>
      </c>
      <c r="R63" s="2877">
        <v>45.956956649999995</v>
      </c>
      <c r="S63" s="2877">
        <v>45.607291789999998</v>
      </c>
      <c r="T63" s="2877">
        <v>45.494189270000007</v>
      </c>
      <c r="U63" s="2877">
        <v>43.818995810000004</v>
      </c>
    </row>
    <row r="64" spans="1:21" s="624" customFormat="1" ht="15" customHeight="1" x14ac:dyDescent="0.3">
      <c r="A64" s="2836" t="s">
        <v>2873</v>
      </c>
      <c r="B64" s="2877">
        <v>226.10545624999997</v>
      </c>
      <c r="C64" s="2877">
        <v>225.55667132999994</v>
      </c>
      <c r="D64" s="2877">
        <v>224.56617281000001</v>
      </c>
      <c r="E64" s="2877">
        <v>216.42281374999996</v>
      </c>
      <c r="F64" s="2877">
        <v>227.57447114999999</v>
      </c>
      <c r="G64" s="2877">
        <v>229.71612585999998</v>
      </c>
      <c r="H64" s="2877">
        <v>224.55653236000001</v>
      </c>
      <c r="I64" s="2877">
        <v>219.30141442000001</v>
      </c>
      <c r="J64" s="2877">
        <v>218.84506639999998</v>
      </c>
      <c r="K64" s="2877">
        <v>214.48041514000002</v>
      </c>
      <c r="L64" s="2877">
        <v>210.33659014999998</v>
      </c>
      <c r="M64" s="2877">
        <v>212.85580775999998</v>
      </c>
      <c r="N64" s="2877">
        <v>211.51021099999997</v>
      </c>
      <c r="O64" s="2877">
        <v>209.20764638999998</v>
      </c>
      <c r="P64" s="2877">
        <v>204.69042387000002</v>
      </c>
      <c r="Q64" s="2877">
        <v>199.48809452999998</v>
      </c>
      <c r="R64" s="2877">
        <v>202.52131603999999</v>
      </c>
      <c r="S64" s="2877">
        <v>181.01517971000004</v>
      </c>
      <c r="T64" s="2877">
        <v>177.35458138999999</v>
      </c>
      <c r="U64" s="2877">
        <v>172.58131167000002</v>
      </c>
    </row>
    <row r="65" spans="1:21" s="624" customFormat="1" ht="14.25" customHeight="1" thickBot="1" x14ac:dyDescent="0.35">
      <c r="A65" s="2843" t="s">
        <v>2798</v>
      </c>
      <c r="B65" s="2880">
        <v>1044.3620155859155</v>
      </c>
      <c r="C65" s="2880">
        <v>1057.264136968113</v>
      </c>
      <c r="D65" s="2880">
        <v>1064.5382518530694</v>
      </c>
      <c r="E65" s="2880">
        <v>1080.4038131319646</v>
      </c>
      <c r="F65" s="2880">
        <v>1063.0548172184424</v>
      </c>
      <c r="G65" s="2880">
        <v>1052.6607797632885</v>
      </c>
      <c r="H65" s="2880">
        <v>792.83041015072774</v>
      </c>
      <c r="I65" s="2880">
        <v>784.36867083589868</v>
      </c>
      <c r="J65" s="2880">
        <v>773.87629770702745</v>
      </c>
      <c r="K65" s="2880">
        <v>775.15247377650644</v>
      </c>
      <c r="L65" s="2880">
        <v>724.65607903644582</v>
      </c>
      <c r="M65" s="2880">
        <v>718.4659091488785</v>
      </c>
      <c r="N65" s="2880">
        <v>680.93422869251367</v>
      </c>
      <c r="O65" s="2880">
        <v>492.4787933365343</v>
      </c>
      <c r="P65" s="2880">
        <v>482.37847489112494</v>
      </c>
      <c r="Q65" s="2880">
        <v>480.7345568903205</v>
      </c>
      <c r="R65" s="2880">
        <v>534.55889040823763</v>
      </c>
      <c r="S65" s="2880">
        <v>542.42832536702235</v>
      </c>
      <c r="T65" s="2880">
        <v>534.03328037934364</v>
      </c>
      <c r="U65" s="2880">
        <v>556.76298830529356</v>
      </c>
    </row>
    <row r="66" spans="1:21" s="624" customFormat="1" ht="18" thickTop="1" x14ac:dyDescent="0.3">
      <c r="A66" s="2881" t="s">
        <v>2799</v>
      </c>
      <c r="B66" s="2883"/>
      <c r="C66" s="2883"/>
      <c r="D66" s="2883"/>
      <c r="E66" s="2883"/>
      <c r="F66" s="2883"/>
      <c r="G66" s="2883"/>
      <c r="H66" s="2883"/>
      <c r="I66" s="2883"/>
      <c r="J66" s="2883"/>
      <c r="K66" s="2883"/>
      <c r="L66" s="2883"/>
      <c r="M66" s="2883"/>
      <c r="N66" s="2883"/>
      <c r="O66" s="2883"/>
      <c r="P66" s="2883"/>
      <c r="Q66" s="2883"/>
      <c r="R66" s="2883"/>
      <c r="S66" s="2883"/>
      <c r="T66" s="2883"/>
      <c r="U66" s="2883"/>
    </row>
    <row r="67" spans="1:21" s="624" customFormat="1" ht="17.25" x14ac:dyDescent="0.3">
      <c r="A67" s="2881"/>
      <c r="B67" s="2883"/>
      <c r="C67" s="2883"/>
      <c r="D67" s="2883"/>
      <c r="E67" s="2883"/>
      <c r="F67" s="2883"/>
      <c r="G67" s="2883"/>
      <c r="H67" s="2883"/>
      <c r="I67" s="2883"/>
      <c r="J67" s="2883"/>
      <c r="K67" s="2883"/>
      <c r="L67" s="2883"/>
      <c r="M67" s="2883"/>
      <c r="N67" s="2883"/>
      <c r="O67" s="2883"/>
      <c r="P67" s="2883"/>
      <c r="Q67" s="2883"/>
      <c r="R67" s="2883"/>
      <c r="S67" s="2883"/>
      <c r="T67" s="2883"/>
      <c r="U67" s="2883"/>
    </row>
    <row r="68" spans="1:21" s="624" customFormat="1" ht="17.25" x14ac:dyDescent="0.3">
      <c r="A68" s="2881"/>
      <c r="B68" s="2883"/>
      <c r="C68" s="2883"/>
      <c r="D68" s="2883"/>
      <c r="E68" s="2883"/>
      <c r="F68" s="2883"/>
      <c r="G68" s="2883"/>
      <c r="H68" s="2883"/>
      <c r="I68" s="2883"/>
      <c r="J68" s="2883"/>
      <c r="K68" s="2883"/>
      <c r="L68" s="2883"/>
      <c r="M68" s="2883"/>
      <c r="N68" s="2883"/>
      <c r="O68" s="2883"/>
      <c r="P68" s="2883"/>
      <c r="Q68" s="2883"/>
      <c r="R68" s="2883"/>
      <c r="S68" s="2883"/>
      <c r="T68" s="2883"/>
      <c r="U68" s="2883"/>
    </row>
    <row r="69" spans="1:21" s="624" customFormat="1" ht="29.25" customHeight="1" thickBot="1" x14ac:dyDescent="0.35">
      <c r="A69" s="2881"/>
      <c r="B69" s="2650"/>
      <c r="C69" s="2650"/>
      <c r="D69" s="2650"/>
      <c r="E69" s="2650"/>
      <c r="F69" s="2650"/>
      <c r="G69" s="2650"/>
      <c r="H69" s="2650"/>
      <c r="I69" s="2650"/>
      <c r="J69" s="2650"/>
      <c r="K69" s="2650"/>
      <c r="L69" s="2650"/>
      <c r="M69" s="2650"/>
      <c r="N69" s="2650"/>
      <c r="O69" s="2650"/>
      <c r="P69" s="2650"/>
      <c r="Q69" s="2650"/>
      <c r="R69" s="2650"/>
      <c r="S69" s="2650"/>
      <c r="T69" s="2650"/>
      <c r="U69" s="2650" t="s">
        <v>281</v>
      </c>
    </row>
    <row r="70" spans="1:21" s="624" customFormat="1" ht="18.600000000000001" customHeight="1" thickTop="1" thickBot="1" x14ac:dyDescent="0.35">
      <c r="A70" s="2884" t="s">
        <v>2737</v>
      </c>
      <c r="B70" s="2873">
        <v>44591</v>
      </c>
      <c r="C70" s="2873">
        <v>44620</v>
      </c>
      <c r="D70" s="2873">
        <v>44649</v>
      </c>
      <c r="E70" s="2873">
        <v>44678</v>
      </c>
      <c r="F70" s="2873">
        <v>44707</v>
      </c>
      <c r="G70" s="2873">
        <v>44736</v>
      </c>
      <c r="H70" s="2873">
        <v>44765</v>
      </c>
      <c r="I70" s="2873">
        <f>I3</f>
        <v>44803</v>
      </c>
      <c r="J70" s="2873">
        <f>J3</f>
        <v>44834</v>
      </c>
      <c r="K70" s="2873">
        <v>44864</v>
      </c>
      <c r="L70" s="2873">
        <f t="shared" ref="L70:T70" si="0">L3</f>
        <v>44895</v>
      </c>
      <c r="M70" s="2873">
        <f t="shared" si="0"/>
        <v>44925</v>
      </c>
      <c r="N70" s="2873">
        <f t="shared" si="0"/>
        <v>44927</v>
      </c>
      <c r="O70" s="2873">
        <f t="shared" si="0"/>
        <v>44958</v>
      </c>
      <c r="P70" s="2873">
        <f t="shared" si="0"/>
        <v>44986</v>
      </c>
      <c r="Q70" s="2873">
        <f t="shared" si="0"/>
        <v>45017</v>
      </c>
      <c r="R70" s="2873">
        <f t="shared" si="0"/>
        <v>45047</v>
      </c>
      <c r="S70" s="2873">
        <f t="shared" si="0"/>
        <v>45078</v>
      </c>
      <c r="T70" s="2873">
        <f t="shared" si="0"/>
        <v>45108</v>
      </c>
      <c r="U70" s="2873">
        <v>45169</v>
      </c>
    </row>
    <row r="71" spans="1:21" s="624" customFormat="1" ht="18" thickTop="1" x14ac:dyDescent="0.3">
      <c r="A71" s="2832" t="s">
        <v>2801</v>
      </c>
      <c r="B71" s="2875">
        <v>2317.4920203659476</v>
      </c>
      <c r="C71" s="2875">
        <v>2300.6894628108998</v>
      </c>
      <c r="D71" s="2875">
        <v>2437.0969693781012</v>
      </c>
      <c r="E71" s="2875">
        <v>2499.1934317301698</v>
      </c>
      <c r="F71" s="2875">
        <v>2741.32644803722</v>
      </c>
      <c r="G71" s="2875">
        <v>2654.8596619593736</v>
      </c>
      <c r="H71" s="2875">
        <v>2393.1552622294307</v>
      </c>
      <c r="I71" s="2875">
        <v>2329.0766668317524</v>
      </c>
      <c r="J71" s="2875">
        <v>2377.8650107488561</v>
      </c>
      <c r="K71" s="2875">
        <v>2439.2661432919203</v>
      </c>
      <c r="L71" s="2875">
        <v>2707.8136749286718</v>
      </c>
      <c r="M71" s="2875">
        <v>2675.9216973379521</v>
      </c>
      <c r="N71" s="2875">
        <v>2718.6824112975883</v>
      </c>
      <c r="O71" s="2875">
        <v>2710.6049642907715</v>
      </c>
      <c r="P71" s="2875">
        <v>2663.2221442683526</v>
      </c>
      <c r="Q71" s="2875">
        <v>2722.5649450060882</v>
      </c>
      <c r="R71" s="2875">
        <v>2716.8359405446881</v>
      </c>
      <c r="S71" s="2875">
        <v>2973.973928483862</v>
      </c>
      <c r="T71" s="2875">
        <v>3198.9482472786149</v>
      </c>
      <c r="U71" s="2875">
        <v>3506.6030568198444</v>
      </c>
    </row>
    <row r="72" spans="1:21" s="624" customFormat="1" ht="15.75" customHeight="1" x14ac:dyDescent="0.3">
      <c r="A72" s="2834" t="s">
        <v>2802</v>
      </c>
      <c r="B72" s="2876">
        <v>595.19709936000004</v>
      </c>
      <c r="C72" s="2876">
        <v>590.94939074000001</v>
      </c>
      <c r="D72" s="2876">
        <v>585.87910383000008</v>
      </c>
      <c r="E72" s="2876">
        <v>576.94625530999997</v>
      </c>
      <c r="F72" s="2876">
        <v>580.50274163999995</v>
      </c>
      <c r="G72" s="2876">
        <v>559.54324045999999</v>
      </c>
      <c r="H72" s="2876">
        <v>262.90334056</v>
      </c>
      <c r="I72" s="2876">
        <v>257.80191000000002</v>
      </c>
      <c r="J72" s="2876">
        <v>264.80442346000001</v>
      </c>
      <c r="K72" s="2876">
        <v>247.27039807999998</v>
      </c>
      <c r="L72" s="2876">
        <v>255.29828482000002</v>
      </c>
      <c r="M72" s="2876">
        <v>264.12987853999999</v>
      </c>
      <c r="N72" s="2876">
        <v>267.16921012</v>
      </c>
      <c r="O72" s="2876">
        <v>260.68038051000002</v>
      </c>
      <c r="P72" s="2876">
        <v>247.88186062</v>
      </c>
      <c r="Q72" s="2876">
        <v>278.47511190999995</v>
      </c>
      <c r="R72" s="2876">
        <v>289.98690822000003</v>
      </c>
      <c r="S72" s="2876">
        <v>301.86354655000002</v>
      </c>
      <c r="T72" s="2876">
        <v>297.01258370000005</v>
      </c>
      <c r="U72" s="2876">
        <v>299.87463926000004</v>
      </c>
    </row>
    <row r="73" spans="1:21" s="624" customFormat="1" ht="15.75" customHeight="1" x14ac:dyDescent="0.3">
      <c r="A73" s="2888" t="s">
        <v>2803</v>
      </c>
      <c r="B73" s="2876">
        <v>223.98038626000002</v>
      </c>
      <c r="C73" s="2876">
        <v>226.07118638000003</v>
      </c>
      <c r="D73" s="2876">
        <v>228.62325702000004</v>
      </c>
      <c r="E73" s="2876">
        <v>230.85998940999997</v>
      </c>
      <c r="F73" s="2876">
        <v>232.36429035</v>
      </c>
      <c r="G73" s="2876">
        <v>230.02223606000001</v>
      </c>
      <c r="H73" s="2876">
        <v>229.24978193000004</v>
      </c>
      <c r="I73" s="2876">
        <v>231.12934369999999</v>
      </c>
      <c r="J73" s="2876">
        <v>235.73790299999999</v>
      </c>
      <c r="K73" s="2876">
        <v>192.87634930999999</v>
      </c>
      <c r="L73" s="2876">
        <v>198.71786740000002</v>
      </c>
      <c r="M73" s="2876">
        <v>191.75630502999999</v>
      </c>
      <c r="N73" s="2876">
        <v>189.62688525999999</v>
      </c>
      <c r="O73" s="2876">
        <v>165.78132935999997</v>
      </c>
      <c r="P73" s="2876">
        <v>167.22308390999999</v>
      </c>
      <c r="Q73" s="2876">
        <v>168.19834928999998</v>
      </c>
      <c r="R73" s="2876">
        <v>168.17616587000001</v>
      </c>
      <c r="S73" s="2876">
        <v>172.10746691999998</v>
      </c>
      <c r="T73" s="2876">
        <v>172.72434951</v>
      </c>
      <c r="U73" s="2876">
        <v>174.22530736000002</v>
      </c>
    </row>
    <row r="74" spans="1:21" s="624" customFormat="1" ht="15.75" customHeight="1" x14ac:dyDescent="0.3">
      <c r="A74" s="2834" t="s">
        <v>2804</v>
      </c>
      <c r="B74" s="2876">
        <v>207.57257086999999</v>
      </c>
      <c r="C74" s="2876">
        <v>208.13842658999999</v>
      </c>
      <c r="D74" s="2876">
        <v>208.87175783999999</v>
      </c>
      <c r="E74" s="2876">
        <v>209.49393372</v>
      </c>
      <c r="F74" s="2876">
        <v>209.97466004</v>
      </c>
      <c r="G74" s="2876">
        <v>208.08163773999999</v>
      </c>
      <c r="H74" s="2876">
        <v>158.67147113999999</v>
      </c>
      <c r="I74" s="2876">
        <v>161.30752674999999</v>
      </c>
      <c r="J74" s="2876">
        <v>159.60379214</v>
      </c>
      <c r="K74" s="2876">
        <v>160.06694891000001</v>
      </c>
      <c r="L74" s="2876">
        <v>160.54440732999998</v>
      </c>
      <c r="M74" s="2876">
        <v>158.65189849999996</v>
      </c>
      <c r="N74" s="2876">
        <v>159.31051661000001</v>
      </c>
      <c r="O74" s="2876">
        <v>159.94513222999998</v>
      </c>
      <c r="P74" s="2876">
        <v>157.81828904999998</v>
      </c>
      <c r="Q74" s="2876">
        <v>158.35377578999999</v>
      </c>
      <c r="R74" s="2876">
        <v>162.92859125000001</v>
      </c>
      <c r="S74" s="2876">
        <v>159.91329311999999</v>
      </c>
      <c r="T74" s="2876">
        <v>157.49482541</v>
      </c>
      <c r="U74" s="2876">
        <v>158.60460917</v>
      </c>
    </row>
    <row r="75" spans="1:21" s="624" customFormat="1" ht="15.75" customHeight="1" x14ac:dyDescent="0.3">
      <c r="A75" s="2834" t="s">
        <v>2805</v>
      </c>
      <c r="B75" s="2876">
        <v>795.88761530680404</v>
      </c>
      <c r="C75" s="2876">
        <v>781.21338635909251</v>
      </c>
      <c r="D75" s="2876">
        <v>924.29393798587523</v>
      </c>
      <c r="E75" s="2876">
        <v>987.89647839823135</v>
      </c>
      <c r="F75" s="2876">
        <v>1251.2739297778546</v>
      </c>
      <c r="G75" s="2876">
        <v>1197.8019024881546</v>
      </c>
      <c r="H75" s="2876">
        <v>1285.1650214006661</v>
      </c>
      <c r="I75" s="2876">
        <v>1235.0387957579908</v>
      </c>
      <c r="J75" s="2876">
        <v>1277.940651306802</v>
      </c>
      <c r="K75" s="2876">
        <v>1378.6100185470018</v>
      </c>
      <c r="L75" s="2876">
        <v>1608.9848839385122</v>
      </c>
      <c r="M75" s="2876">
        <v>1565.7729522741083</v>
      </c>
      <c r="N75" s="2876">
        <v>1601.9426770949433</v>
      </c>
      <c r="O75" s="2876">
        <v>1615.750554564821</v>
      </c>
      <c r="P75" s="2876">
        <v>1586.435110957967</v>
      </c>
      <c r="Q75" s="2876">
        <v>1627.3302313415556</v>
      </c>
      <c r="R75" s="2876">
        <v>1610.1028939840342</v>
      </c>
      <c r="S75" s="2876">
        <v>1863.2078879934525</v>
      </c>
      <c r="T75" s="2876">
        <v>2110.7433122735692</v>
      </c>
      <c r="U75" s="2876">
        <v>2424.4713056864512</v>
      </c>
    </row>
    <row r="76" spans="1:21" s="624" customFormat="1" ht="15.75" customHeight="1" x14ac:dyDescent="0.3">
      <c r="A76" s="2834" t="s">
        <v>2806</v>
      </c>
      <c r="B76" s="2876">
        <v>296.31642143293516</v>
      </c>
      <c r="C76" s="2876">
        <v>310.6777093992373</v>
      </c>
      <c r="D76" s="2876">
        <v>310.3983251449859</v>
      </c>
      <c r="E76" s="2876">
        <v>318.10176872063471</v>
      </c>
      <c r="F76" s="2876">
        <v>300.89578358793023</v>
      </c>
      <c r="G76" s="2876">
        <v>288.58430522413317</v>
      </c>
      <c r="H76" s="2876">
        <v>296.61030046230451</v>
      </c>
      <c r="I76" s="2876">
        <v>293.96657727904864</v>
      </c>
      <c r="J76" s="2876">
        <v>291.21535098109143</v>
      </c>
      <c r="K76" s="2876">
        <v>313.60969519091208</v>
      </c>
      <c r="L76" s="2876">
        <v>337.38439577935173</v>
      </c>
      <c r="M76" s="2876">
        <v>341.28312994626651</v>
      </c>
      <c r="N76" s="2876">
        <v>345.28416452658928</v>
      </c>
      <c r="O76" s="2876">
        <v>346.12163742701381</v>
      </c>
      <c r="P76" s="2876">
        <v>338.30001327357002</v>
      </c>
      <c r="Q76" s="2876">
        <v>335.80894314227498</v>
      </c>
      <c r="R76" s="2876">
        <v>332.51372996693533</v>
      </c>
      <c r="S76" s="2876">
        <v>325.59561345389579</v>
      </c>
      <c r="T76" s="2876">
        <v>312.86641168716</v>
      </c>
      <c r="U76" s="2876">
        <v>301.71962158825994</v>
      </c>
    </row>
    <row r="77" spans="1:21" s="624" customFormat="1" ht="15.75" customHeight="1" x14ac:dyDescent="0.3">
      <c r="A77" s="2834" t="s">
        <v>2807</v>
      </c>
      <c r="B77" s="2876">
        <v>198.53792713620871</v>
      </c>
      <c r="C77" s="2876">
        <v>183.63936334256977</v>
      </c>
      <c r="D77" s="2876">
        <v>179.03058755724061</v>
      </c>
      <c r="E77" s="2876">
        <v>175.89500617130358</v>
      </c>
      <c r="F77" s="2876">
        <v>166.3150426414345</v>
      </c>
      <c r="G77" s="2876">
        <v>170.8263399870861</v>
      </c>
      <c r="H77" s="2876">
        <v>160.55534673646051</v>
      </c>
      <c r="I77" s="2876">
        <v>149.83251334471319</v>
      </c>
      <c r="J77" s="2876">
        <v>148.56288986096257</v>
      </c>
      <c r="K77" s="2876">
        <v>146.832733254006</v>
      </c>
      <c r="L77" s="2876">
        <v>146.88383566080776</v>
      </c>
      <c r="M77" s="2876">
        <v>154.32753304757733</v>
      </c>
      <c r="N77" s="2876">
        <v>155.3489576860556</v>
      </c>
      <c r="O77" s="2876">
        <v>162.32593019893611</v>
      </c>
      <c r="P77" s="2876">
        <v>165.56378645681502</v>
      </c>
      <c r="Q77" s="2876">
        <v>154.39853353225831</v>
      </c>
      <c r="R77" s="2876">
        <v>153.12765125371823</v>
      </c>
      <c r="S77" s="2876">
        <v>151.28612044651339</v>
      </c>
      <c r="T77" s="2876">
        <v>148.10676469788598</v>
      </c>
      <c r="U77" s="2876">
        <v>147.7075737551321</v>
      </c>
    </row>
    <row r="78" spans="1:21" s="624" customFormat="1" ht="15.6" customHeight="1" x14ac:dyDescent="0.3">
      <c r="A78" s="2832" t="s">
        <v>2808</v>
      </c>
      <c r="B78" s="2875">
        <v>23781.51360367702</v>
      </c>
      <c r="C78" s="2875">
        <v>24015.332444975327</v>
      </c>
      <c r="D78" s="2875">
        <v>24207.847799157265</v>
      </c>
      <c r="E78" s="2875">
        <v>24309.019251033962</v>
      </c>
      <c r="F78" s="2875">
        <v>23910.52640116098</v>
      </c>
      <c r="G78" s="2875">
        <v>20732.763650600435</v>
      </c>
      <c r="H78" s="2875">
        <v>20557.456559068582</v>
      </c>
      <c r="I78" s="2875">
        <v>20229.688260094597</v>
      </c>
      <c r="J78" s="2875">
        <v>20618.531663243411</v>
      </c>
      <c r="K78" s="2875">
        <v>20884.748108842108</v>
      </c>
      <c r="L78" s="2875">
        <v>22324.665248921985</v>
      </c>
      <c r="M78" s="2875">
        <v>23068.747610944112</v>
      </c>
      <c r="N78" s="2875">
        <v>22751.390982403158</v>
      </c>
      <c r="O78" s="2875">
        <v>22790.993469578614</v>
      </c>
      <c r="P78" s="2875">
        <v>22438.421738896952</v>
      </c>
      <c r="Q78" s="2875">
        <v>22450.852113536926</v>
      </c>
      <c r="R78" s="2875">
        <v>22320.94719009351</v>
      </c>
      <c r="S78" s="2875">
        <v>23595.549111937613</v>
      </c>
      <c r="T78" s="2875">
        <v>23249.258961162584</v>
      </c>
      <c r="U78" s="2875">
        <v>23352.978511449546</v>
      </c>
    </row>
    <row r="79" spans="1:21" s="624" customFormat="1" ht="16.899999999999999" customHeight="1" x14ac:dyDescent="0.3">
      <c r="A79" s="2832" t="s">
        <v>2809</v>
      </c>
      <c r="B79" s="2875">
        <v>2739.8514739651891</v>
      </c>
      <c r="C79" s="2875">
        <v>2796.8438310588613</v>
      </c>
      <c r="D79" s="2875">
        <v>3124.5654805760478</v>
      </c>
      <c r="E79" s="2875">
        <v>3071.1660926435061</v>
      </c>
      <c r="F79" s="2875">
        <v>3099.2308094855989</v>
      </c>
      <c r="G79" s="2875">
        <v>3228.5958246712153</v>
      </c>
      <c r="H79" s="2875">
        <v>3597.6760488656855</v>
      </c>
      <c r="I79" s="2875">
        <v>3540.6698534910702</v>
      </c>
      <c r="J79" s="2875">
        <v>3853.7870978610549</v>
      </c>
      <c r="K79" s="2875">
        <v>3790.3049321678245</v>
      </c>
      <c r="L79" s="2875">
        <v>4024.7169935942038</v>
      </c>
      <c r="M79" s="2875">
        <v>4265.9929626926296</v>
      </c>
      <c r="N79" s="2875">
        <v>4176.558480798275</v>
      </c>
      <c r="O79" s="2875">
        <v>4317.1716238512345</v>
      </c>
      <c r="P79" s="2875">
        <v>4281.8339508763302</v>
      </c>
      <c r="Q79" s="2875">
        <v>4279.0959600957749</v>
      </c>
      <c r="R79" s="2875">
        <v>4262.4717243965806</v>
      </c>
      <c r="S79" s="2875">
        <v>4548.9234120379497</v>
      </c>
      <c r="T79" s="2875">
        <v>4266.2496757221716</v>
      </c>
      <c r="U79" s="2875">
        <v>4392.8899688980246</v>
      </c>
    </row>
    <row r="80" spans="1:21" s="624" customFormat="1" ht="15.6" customHeight="1" x14ac:dyDescent="0.3">
      <c r="A80" s="2834" t="s">
        <v>2810</v>
      </c>
      <c r="B80" s="2876">
        <v>277.72058884999996</v>
      </c>
      <c r="C80" s="2876">
        <v>271.30945502999998</v>
      </c>
      <c r="D80" s="2876">
        <v>332.42468010752549</v>
      </c>
      <c r="E80" s="2876">
        <v>333.78305363477665</v>
      </c>
      <c r="F80" s="2876">
        <v>352.45667193408178</v>
      </c>
      <c r="G80" s="2876">
        <v>341.74492473047485</v>
      </c>
      <c r="H80" s="2876">
        <v>349.94173939580054</v>
      </c>
      <c r="I80" s="2876">
        <v>376.70346631538058</v>
      </c>
      <c r="J80" s="2876">
        <v>371.43609799906193</v>
      </c>
      <c r="K80" s="2876">
        <v>374.52085177999999</v>
      </c>
      <c r="L80" s="2876">
        <v>398.16067439</v>
      </c>
      <c r="M80" s="2876">
        <v>447.96497470000003</v>
      </c>
      <c r="N80" s="2876">
        <v>454.44460017</v>
      </c>
      <c r="O80" s="2876">
        <v>412.75160025000002</v>
      </c>
      <c r="P80" s="2876">
        <v>404.51842156999999</v>
      </c>
      <c r="Q80" s="2876">
        <v>394.37832817999998</v>
      </c>
      <c r="R80" s="2876">
        <v>353.83137295000006</v>
      </c>
      <c r="S80" s="2876">
        <v>373.12120596</v>
      </c>
      <c r="T80" s="2876">
        <v>381.85426040999999</v>
      </c>
      <c r="U80" s="2876">
        <v>298.38087616999996</v>
      </c>
    </row>
    <row r="81" spans="1:21" s="624" customFormat="1" ht="15.6" customHeight="1" x14ac:dyDescent="0.3">
      <c r="A81" s="2834" t="s">
        <v>2811</v>
      </c>
      <c r="B81" s="2876">
        <v>1706.7217860339213</v>
      </c>
      <c r="C81" s="2876">
        <v>1707.9921239046553</v>
      </c>
      <c r="D81" s="2876">
        <v>1979.5278925991493</v>
      </c>
      <c r="E81" s="2876">
        <v>1787.3506346382696</v>
      </c>
      <c r="F81" s="2876">
        <v>1747.1388408299999</v>
      </c>
      <c r="G81" s="2876">
        <v>1875.9687588948364</v>
      </c>
      <c r="H81" s="2876">
        <v>2089.7056009797557</v>
      </c>
      <c r="I81" s="2876">
        <v>1955.891380551144</v>
      </c>
      <c r="J81" s="2876">
        <v>1995.2470215455585</v>
      </c>
      <c r="K81" s="2876">
        <v>1872.1958295480356</v>
      </c>
      <c r="L81" s="2876">
        <v>1913.8950477451408</v>
      </c>
      <c r="M81" s="2876">
        <v>2056.9245003651004</v>
      </c>
      <c r="N81" s="2876">
        <v>1927.0490495304925</v>
      </c>
      <c r="O81" s="2876">
        <v>1956.291754356947</v>
      </c>
      <c r="P81" s="2876">
        <v>1969.5466375571748</v>
      </c>
      <c r="Q81" s="2876">
        <v>2017.2480031199925</v>
      </c>
      <c r="R81" s="2876">
        <v>2062.8524967238232</v>
      </c>
      <c r="S81" s="2876">
        <v>2166.2738284104312</v>
      </c>
      <c r="T81" s="2876">
        <v>2203.4502124812316</v>
      </c>
      <c r="U81" s="2876">
        <v>2320.4491695815045</v>
      </c>
    </row>
    <row r="82" spans="1:21" s="624" customFormat="1" ht="15" customHeight="1" x14ac:dyDescent="0.3">
      <c r="A82" s="2834" t="s">
        <v>2812</v>
      </c>
      <c r="B82" s="2876">
        <v>114.86644919000001</v>
      </c>
      <c r="C82" s="2876">
        <v>120.75601540000001</v>
      </c>
      <c r="D82" s="2876">
        <v>122.0425529</v>
      </c>
      <c r="E82" s="2876">
        <v>122.50813387000001</v>
      </c>
      <c r="F82" s="2876">
        <v>130.04141881000001</v>
      </c>
      <c r="G82" s="2876">
        <v>114.4850126</v>
      </c>
      <c r="H82" s="2876">
        <v>110.95247015000001</v>
      </c>
      <c r="I82" s="2876">
        <v>117.18097155000001</v>
      </c>
      <c r="J82" s="2876">
        <v>121.80922269999999</v>
      </c>
      <c r="K82" s="2876">
        <v>113.70105862</v>
      </c>
      <c r="L82" s="2876">
        <v>122.11106241</v>
      </c>
      <c r="M82" s="2876">
        <v>113.28580665999999</v>
      </c>
      <c r="N82" s="2876">
        <v>120.98425068</v>
      </c>
      <c r="O82" s="2876">
        <v>113.99561047</v>
      </c>
      <c r="P82" s="2876">
        <v>122.27814443999999</v>
      </c>
      <c r="Q82" s="2876">
        <v>129.68743319999999</v>
      </c>
      <c r="R82" s="2876">
        <v>129.21837194999998</v>
      </c>
      <c r="S82" s="2876">
        <v>128.25874673999999</v>
      </c>
      <c r="T82" s="2876">
        <v>118.55766543999999</v>
      </c>
      <c r="U82" s="2876">
        <v>121.29562958</v>
      </c>
    </row>
    <row r="83" spans="1:21" s="624" customFormat="1" ht="15.6" customHeight="1" x14ac:dyDescent="0.3">
      <c r="A83" s="2834" t="s">
        <v>2813</v>
      </c>
      <c r="B83" s="2876">
        <v>24.290278529999998</v>
      </c>
      <c r="C83" s="2876">
        <v>25.369933149999998</v>
      </c>
      <c r="D83" s="2876">
        <v>24.016273549999998</v>
      </c>
      <c r="E83" s="2876">
        <v>25.325010840000001</v>
      </c>
      <c r="F83" s="2876">
        <v>24.597272870000001</v>
      </c>
      <c r="G83" s="2876">
        <v>22.758222239999998</v>
      </c>
      <c r="H83" s="2876">
        <v>24.13595664</v>
      </c>
      <c r="I83" s="2876">
        <v>24.364943030000003</v>
      </c>
      <c r="J83" s="2876">
        <v>23.80680667</v>
      </c>
      <c r="K83" s="2876">
        <v>23.364080300000001</v>
      </c>
      <c r="L83" s="2876">
        <v>23.803730699999999</v>
      </c>
      <c r="M83" s="2876">
        <v>23.637964189999998</v>
      </c>
      <c r="N83" s="2876">
        <v>24.348171779999998</v>
      </c>
      <c r="O83" s="2876">
        <v>22.511545619999996</v>
      </c>
      <c r="P83" s="2876">
        <v>23.746188659999998</v>
      </c>
      <c r="Q83" s="2876">
        <v>23.700531789999999</v>
      </c>
      <c r="R83" s="2876">
        <v>23.256426410000003</v>
      </c>
      <c r="S83" s="2876">
        <v>22.52381827</v>
      </c>
      <c r="T83" s="2876">
        <v>22.200344570000006</v>
      </c>
      <c r="U83" s="2876">
        <v>22.105264160000001</v>
      </c>
    </row>
    <row r="84" spans="1:21" s="624" customFormat="1" ht="15" customHeight="1" x14ac:dyDescent="0.3">
      <c r="A84" s="2834" t="s">
        <v>2814</v>
      </c>
      <c r="B84" s="2876">
        <v>93.898680200000001</v>
      </c>
      <c r="C84" s="2876">
        <v>92.144014660000011</v>
      </c>
      <c r="D84" s="2876">
        <v>98.426812730000009</v>
      </c>
      <c r="E84" s="2876">
        <v>101.10207348000002</v>
      </c>
      <c r="F84" s="2876">
        <v>98.16680667</v>
      </c>
      <c r="G84" s="2876">
        <v>101.81336893</v>
      </c>
      <c r="H84" s="2876">
        <v>101.76430873999999</v>
      </c>
      <c r="I84" s="2876">
        <v>101.73128881000001</v>
      </c>
      <c r="J84" s="2876">
        <v>108.20083755</v>
      </c>
      <c r="K84" s="2876">
        <v>109.03670891</v>
      </c>
      <c r="L84" s="2876">
        <v>106.46260248</v>
      </c>
      <c r="M84" s="2876">
        <v>97.771562539999991</v>
      </c>
      <c r="N84" s="2876">
        <v>100.78332142000002</v>
      </c>
      <c r="O84" s="2876">
        <v>98.609122549999981</v>
      </c>
      <c r="P84" s="2876">
        <v>95.119191170000008</v>
      </c>
      <c r="Q84" s="2876">
        <v>99.242810070000004</v>
      </c>
      <c r="R84" s="2876">
        <v>90.721697359999993</v>
      </c>
      <c r="S84" s="2876">
        <v>100.36990627000002</v>
      </c>
      <c r="T84" s="2876">
        <v>103.95158214</v>
      </c>
      <c r="U84" s="2876">
        <v>108.24637312999999</v>
      </c>
    </row>
    <row r="85" spans="1:21" s="624" customFormat="1" ht="15.6" customHeight="1" x14ac:dyDescent="0.3">
      <c r="A85" s="2834" t="s">
        <v>2815</v>
      </c>
      <c r="B85" s="2876">
        <v>522.35369116126765</v>
      </c>
      <c r="C85" s="2876">
        <v>579.27228891420657</v>
      </c>
      <c r="D85" s="2876">
        <v>568.1272686893725</v>
      </c>
      <c r="E85" s="2876">
        <v>701.09718618045974</v>
      </c>
      <c r="F85" s="2876">
        <v>746.82979837151686</v>
      </c>
      <c r="G85" s="2876">
        <v>771.82553727590368</v>
      </c>
      <c r="H85" s="2876">
        <v>921.17597296012912</v>
      </c>
      <c r="I85" s="2876">
        <v>964.79780323454622</v>
      </c>
      <c r="J85" s="2876">
        <v>1233.2871113964338</v>
      </c>
      <c r="K85" s="2876">
        <v>1297.4864030097895</v>
      </c>
      <c r="L85" s="2876">
        <v>1460.2838758690641</v>
      </c>
      <c r="M85" s="2876">
        <v>1526.4081542375291</v>
      </c>
      <c r="N85" s="2876">
        <v>1548.9490872177826</v>
      </c>
      <c r="O85" s="2876">
        <v>1713.011990604288</v>
      </c>
      <c r="P85" s="2876">
        <v>1666.6253674791549</v>
      </c>
      <c r="Q85" s="2876">
        <v>1614.8388537357821</v>
      </c>
      <c r="R85" s="2876">
        <v>1602.5913590027581</v>
      </c>
      <c r="S85" s="2876">
        <v>1758.3759063875184</v>
      </c>
      <c r="T85" s="2876">
        <v>1436.2356106809395</v>
      </c>
      <c r="U85" s="2876">
        <v>1522.4126562765202</v>
      </c>
    </row>
    <row r="86" spans="1:21" s="624" customFormat="1" ht="18" customHeight="1" x14ac:dyDescent="0.3">
      <c r="A86" s="2832" t="s">
        <v>2816</v>
      </c>
      <c r="B86" s="2875">
        <v>2484.1098226768895</v>
      </c>
      <c r="C86" s="2875">
        <v>2427.1499879914104</v>
      </c>
      <c r="D86" s="2875">
        <v>2786.1758135657165</v>
      </c>
      <c r="E86" s="2875">
        <v>2440.1804197893753</v>
      </c>
      <c r="F86" s="2875">
        <v>2455.2142295141448</v>
      </c>
      <c r="G86" s="2875">
        <v>2466.6207614374011</v>
      </c>
      <c r="H86" s="2875">
        <v>2463.0950463431645</v>
      </c>
      <c r="I86" s="2875">
        <v>2472.0488664520662</v>
      </c>
      <c r="J86" s="2875">
        <v>2568.7084066997404</v>
      </c>
      <c r="K86" s="2875">
        <v>2578.7608917123339</v>
      </c>
      <c r="L86" s="2875">
        <v>2482.4488682757101</v>
      </c>
      <c r="M86" s="2875">
        <v>2526.2224978314753</v>
      </c>
      <c r="N86" s="2875">
        <v>2656.6702145355721</v>
      </c>
      <c r="O86" s="2875">
        <v>2500.8020762245619</v>
      </c>
      <c r="P86" s="2875">
        <v>2589.6454506051778</v>
      </c>
      <c r="Q86" s="2875">
        <v>2709.1223733389643</v>
      </c>
      <c r="R86" s="2875">
        <v>2642.1989388443699</v>
      </c>
      <c r="S86" s="2875">
        <v>2651.1215472996255</v>
      </c>
      <c r="T86" s="2875">
        <v>2920.0525219294177</v>
      </c>
      <c r="U86" s="2875">
        <v>2945.8060828750558</v>
      </c>
    </row>
    <row r="87" spans="1:21" s="624" customFormat="1" ht="17.25" x14ac:dyDescent="0.3">
      <c r="A87" s="2834" t="s">
        <v>2817</v>
      </c>
      <c r="B87" s="2876">
        <v>1001.8626996200001</v>
      </c>
      <c r="C87" s="2876">
        <v>954.26552290000006</v>
      </c>
      <c r="D87" s="2876">
        <v>986.21439257830718</v>
      </c>
      <c r="E87" s="2876">
        <v>973.2180163528501</v>
      </c>
      <c r="F87" s="2876">
        <v>1004.7605070059756</v>
      </c>
      <c r="G87" s="2876">
        <v>1025.753631935451</v>
      </c>
      <c r="H87" s="2876">
        <v>1018.8684442619714</v>
      </c>
      <c r="I87" s="2876">
        <v>1041.7199246705902</v>
      </c>
      <c r="J87" s="2876">
        <v>1104.7388692882553</v>
      </c>
      <c r="K87" s="2876">
        <v>1108.8835813836288</v>
      </c>
      <c r="L87" s="2876">
        <v>1096.5238989360689</v>
      </c>
      <c r="M87" s="2876">
        <v>1136.9383601831439</v>
      </c>
      <c r="N87" s="2876">
        <v>1257.1822286658623</v>
      </c>
      <c r="O87" s="2876">
        <v>1137.2318490927489</v>
      </c>
      <c r="P87" s="2876">
        <v>1220.7697360788698</v>
      </c>
      <c r="Q87" s="2876">
        <v>1185.9885473467427</v>
      </c>
      <c r="R87" s="2876">
        <v>1240.9239108954139</v>
      </c>
      <c r="S87" s="2876">
        <v>1264.3314951884852</v>
      </c>
      <c r="T87" s="2876">
        <v>1255.2140162249168</v>
      </c>
      <c r="U87" s="2876">
        <v>1288.0392435987728</v>
      </c>
    </row>
    <row r="88" spans="1:21" s="624" customFormat="1" ht="15.6" customHeight="1" x14ac:dyDescent="0.3">
      <c r="A88" s="2834" t="s">
        <v>2818</v>
      </c>
      <c r="B88" s="2876">
        <v>1.58186081</v>
      </c>
      <c r="C88" s="2876">
        <v>1.2873069799999999</v>
      </c>
      <c r="D88" s="2876">
        <v>1.3504334899999999</v>
      </c>
      <c r="E88" s="2876">
        <v>1.2286316100000001</v>
      </c>
      <c r="F88" s="2876">
        <v>1.4938436799999999</v>
      </c>
      <c r="G88" s="2876">
        <v>1.1793447399999999</v>
      </c>
      <c r="H88" s="2876">
        <v>1.1040027400000001</v>
      </c>
      <c r="I88" s="2876">
        <v>1.0757178999999999</v>
      </c>
      <c r="J88" s="2876">
        <v>26.513932417890917</v>
      </c>
      <c r="K88" s="2876">
        <v>31.531930957874319</v>
      </c>
      <c r="L88" s="2876">
        <v>28.185636431365538</v>
      </c>
      <c r="M88" s="2876">
        <v>27.165756592654482</v>
      </c>
      <c r="N88" s="2876">
        <v>30.56245430209972</v>
      </c>
      <c r="O88" s="2876">
        <v>30.207718496682332</v>
      </c>
      <c r="P88" s="2876">
        <v>30.784980690798047</v>
      </c>
      <c r="Q88" s="2876">
        <v>30.104054223608319</v>
      </c>
      <c r="R88" s="2876">
        <v>27.69172048535545</v>
      </c>
      <c r="S88" s="2876">
        <v>33.1892931878022</v>
      </c>
      <c r="T88" s="2876">
        <v>33.769043295875996</v>
      </c>
      <c r="U88" s="2876">
        <v>32.970820214592692</v>
      </c>
    </row>
    <row r="89" spans="1:21" s="624" customFormat="1" ht="15.6" customHeight="1" x14ac:dyDescent="0.3">
      <c r="A89" s="2834" t="s">
        <v>2819</v>
      </c>
      <c r="B89" s="2876">
        <v>668.30688793407694</v>
      </c>
      <c r="C89" s="2876">
        <v>650.36788333730669</v>
      </c>
      <c r="D89" s="2876">
        <v>646.31469075823622</v>
      </c>
      <c r="E89" s="2876">
        <v>627.56916845458727</v>
      </c>
      <c r="F89" s="2876">
        <v>641.76902835572912</v>
      </c>
      <c r="G89" s="2876">
        <v>655.97483986324846</v>
      </c>
      <c r="H89" s="2876">
        <v>632.44929856473868</v>
      </c>
      <c r="I89" s="2876">
        <v>598.00867842844821</v>
      </c>
      <c r="J89" s="2876">
        <v>615.06766554289334</v>
      </c>
      <c r="K89" s="2876">
        <v>607.8259630898566</v>
      </c>
      <c r="L89" s="2876">
        <v>540.82696043929639</v>
      </c>
      <c r="M89" s="2876">
        <v>533.42584583993437</v>
      </c>
      <c r="N89" s="2876">
        <v>532.09542765199251</v>
      </c>
      <c r="O89" s="2876">
        <v>503.27564905944678</v>
      </c>
      <c r="P89" s="2876">
        <v>503.14206404059496</v>
      </c>
      <c r="Q89" s="2876">
        <v>505.0492517734699</v>
      </c>
      <c r="R89" s="2876">
        <v>502.41385086315421</v>
      </c>
      <c r="S89" s="2876">
        <v>490.28554619622918</v>
      </c>
      <c r="T89" s="2876">
        <v>469.61174227758158</v>
      </c>
      <c r="U89" s="2876">
        <v>459.19867478423646</v>
      </c>
    </row>
    <row r="90" spans="1:21" s="624" customFormat="1" ht="15" customHeight="1" x14ac:dyDescent="0.3">
      <c r="A90" s="2834" t="s">
        <v>2820</v>
      </c>
      <c r="B90" s="2876">
        <v>93.373441360000001</v>
      </c>
      <c r="C90" s="2876">
        <v>96.322993830000001</v>
      </c>
      <c r="D90" s="2876">
        <v>85.582266790000006</v>
      </c>
      <c r="E90" s="2876">
        <v>97.148148209999988</v>
      </c>
      <c r="F90" s="2876">
        <v>95.730399490000011</v>
      </c>
      <c r="G90" s="2876">
        <v>89.074544860000003</v>
      </c>
      <c r="H90" s="2876">
        <v>88.57101007</v>
      </c>
      <c r="I90" s="2876">
        <v>95.082771050000005</v>
      </c>
      <c r="J90" s="2876">
        <v>95.086262910000002</v>
      </c>
      <c r="K90" s="2876">
        <v>102.24020697</v>
      </c>
      <c r="L90" s="2876">
        <v>98.811980330000011</v>
      </c>
      <c r="M90" s="2876">
        <v>109.46810648</v>
      </c>
      <c r="N90" s="2876">
        <v>121.66804718</v>
      </c>
      <c r="O90" s="2876">
        <v>113.33290396</v>
      </c>
      <c r="P90" s="2876">
        <v>114.52151786</v>
      </c>
      <c r="Q90" s="2876">
        <v>110.83377519</v>
      </c>
      <c r="R90" s="2876">
        <v>118.48397457999999</v>
      </c>
      <c r="S90" s="2876">
        <v>107.98821458</v>
      </c>
      <c r="T90" s="2876">
        <v>118.12043754</v>
      </c>
      <c r="U90" s="2876">
        <v>105.75596662999999</v>
      </c>
    </row>
    <row r="91" spans="1:21" s="624" customFormat="1" ht="15" customHeight="1" x14ac:dyDescent="0.3">
      <c r="A91" s="2834" t="s">
        <v>2821</v>
      </c>
      <c r="B91" s="2876">
        <v>138.45106898380891</v>
      </c>
      <c r="C91" s="2876">
        <v>147.46614246361702</v>
      </c>
      <c r="D91" s="2876">
        <v>143.74120583075083</v>
      </c>
      <c r="E91" s="2876">
        <v>140.24148785630686</v>
      </c>
      <c r="F91" s="2876">
        <v>246.12004877999996</v>
      </c>
      <c r="G91" s="2876">
        <v>236.75285266</v>
      </c>
      <c r="H91" s="2876">
        <v>254.68495596999998</v>
      </c>
      <c r="I91" s="2876">
        <v>246.20882927000002</v>
      </c>
      <c r="J91" s="2876">
        <v>239.62235549000005</v>
      </c>
      <c r="K91" s="2876">
        <v>227.20341792000002</v>
      </c>
      <c r="L91" s="2876">
        <v>226.16881352999999</v>
      </c>
      <c r="M91" s="2876">
        <v>240.18186151999998</v>
      </c>
      <c r="N91" s="2876">
        <v>240.72935633999998</v>
      </c>
      <c r="O91" s="2876">
        <v>244.13611062999999</v>
      </c>
      <c r="P91" s="2876">
        <v>237.45260158000002</v>
      </c>
      <c r="Q91" s="2876">
        <v>235.24745277999997</v>
      </c>
      <c r="R91" s="2876">
        <v>226.49166406999998</v>
      </c>
      <c r="S91" s="2876">
        <v>233.42358919000003</v>
      </c>
      <c r="T91" s="2876">
        <v>234.36611552000002</v>
      </c>
      <c r="U91" s="2876">
        <v>218.42631327999999</v>
      </c>
    </row>
    <row r="92" spans="1:21" s="624" customFormat="1" ht="14.45" customHeight="1" x14ac:dyDescent="0.3">
      <c r="A92" s="2834" t="s">
        <v>2822</v>
      </c>
      <c r="B92" s="2876">
        <v>580.53386396900339</v>
      </c>
      <c r="C92" s="2876">
        <v>577.44013848048689</v>
      </c>
      <c r="D92" s="2876">
        <v>922.9728241184223</v>
      </c>
      <c r="E92" s="2876">
        <v>600.77496730563121</v>
      </c>
      <c r="F92" s="2876">
        <v>465.34040220243986</v>
      </c>
      <c r="G92" s="2876">
        <v>457.88554737870152</v>
      </c>
      <c r="H92" s="2876">
        <v>467.41733473645456</v>
      </c>
      <c r="I92" s="2876">
        <v>489.95294513302804</v>
      </c>
      <c r="J92" s="2876">
        <v>487.67932105070076</v>
      </c>
      <c r="K92" s="2876">
        <v>501.07579139097396</v>
      </c>
      <c r="L92" s="2876">
        <v>491.93157860897844</v>
      </c>
      <c r="M92" s="2876">
        <v>479.04256721574239</v>
      </c>
      <c r="N92" s="2876">
        <v>474.43270039561719</v>
      </c>
      <c r="O92" s="2876">
        <v>472.61784498568386</v>
      </c>
      <c r="P92" s="2876">
        <v>482.97455035491498</v>
      </c>
      <c r="Q92" s="2876">
        <v>641.89929202514361</v>
      </c>
      <c r="R92" s="2876">
        <v>526.19381795044603</v>
      </c>
      <c r="S92" s="2876">
        <v>521.90340895710835</v>
      </c>
      <c r="T92" s="2876">
        <v>808.97116707104328</v>
      </c>
      <c r="U92" s="2876">
        <v>841.41506436745362</v>
      </c>
    </row>
    <row r="93" spans="1:21" s="624" customFormat="1" ht="16.899999999999999" customHeight="1" x14ac:dyDescent="0.3">
      <c r="A93" s="2832" t="s">
        <v>2823</v>
      </c>
      <c r="B93" s="2875">
        <v>1029.5849610999999</v>
      </c>
      <c r="C93" s="2875">
        <v>1021.5338597699999</v>
      </c>
      <c r="D93" s="2875">
        <v>1022.8510584400001</v>
      </c>
      <c r="E93" s="2875">
        <v>1004.19425599</v>
      </c>
      <c r="F93" s="2875">
        <v>1002.7319254400001</v>
      </c>
      <c r="G93" s="2875">
        <v>1011.7937035499999</v>
      </c>
      <c r="H93" s="2875">
        <v>951.92325940000012</v>
      </c>
      <c r="I93" s="2875">
        <v>935.16772402000004</v>
      </c>
      <c r="J93" s="2875">
        <v>952.50824373</v>
      </c>
      <c r="K93" s="2875">
        <v>938.59928875000003</v>
      </c>
      <c r="L93" s="2875">
        <v>934.9563520600002</v>
      </c>
      <c r="M93" s="2875">
        <v>950.8093563299999</v>
      </c>
      <c r="N93" s="2875">
        <v>921.22142096000005</v>
      </c>
      <c r="O93" s="2875">
        <v>912.67596442999991</v>
      </c>
      <c r="P93" s="2875">
        <v>896.85386072999972</v>
      </c>
      <c r="Q93" s="2875">
        <v>888.74643875999982</v>
      </c>
      <c r="R93" s="2875">
        <v>897.33003901999996</v>
      </c>
      <c r="S93" s="2875">
        <v>890.19951800000001</v>
      </c>
      <c r="T93" s="2875">
        <v>887.97255370000005</v>
      </c>
      <c r="U93" s="2875">
        <v>924.08468929000026</v>
      </c>
    </row>
    <row r="94" spans="1:21" s="624" customFormat="1" ht="17.45" customHeight="1" x14ac:dyDescent="0.3">
      <c r="A94" s="2834" t="s">
        <v>2824</v>
      </c>
      <c r="B94" s="2876">
        <v>192.37421583999998</v>
      </c>
      <c r="C94" s="2876">
        <v>189.12078152000001</v>
      </c>
      <c r="D94" s="2876">
        <v>192.31933454000003</v>
      </c>
      <c r="E94" s="2876">
        <v>193.34777882</v>
      </c>
      <c r="F94" s="2876">
        <v>190.31285675999999</v>
      </c>
      <c r="G94" s="2876">
        <v>189.27718425999998</v>
      </c>
      <c r="H94" s="2876">
        <v>186.28277057</v>
      </c>
      <c r="I94" s="2876">
        <v>188.2712981</v>
      </c>
      <c r="J94" s="2876">
        <v>193.66835892</v>
      </c>
      <c r="K94" s="2876">
        <v>198.42490605</v>
      </c>
      <c r="L94" s="2876">
        <v>200.93563498000003</v>
      </c>
      <c r="M94" s="2876">
        <v>214.84164056999998</v>
      </c>
      <c r="N94" s="2876">
        <v>215.49927092000001</v>
      </c>
      <c r="O94" s="2876">
        <v>213.97669627000002</v>
      </c>
      <c r="P94" s="2876">
        <v>211.00049444999999</v>
      </c>
      <c r="Q94" s="2876">
        <v>207.80830481000001</v>
      </c>
      <c r="R94" s="2876">
        <v>205.62682516000001</v>
      </c>
      <c r="S94" s="2876">
        <v>209.14293444999998</v>
      </c>
      <c r="T94" s="2876">
        <v>214.81096376999997</v>
      </c>
      <c r="U94" s="2876">
        <v>212.40442725</v>
      </c>
    </row>
    <row r="95" spans="1:21" s="624" customFormat="1" ht="12.6" customHeight="1" x14ac:dyDescent="0.3">
      <c r="A95" s="2834" t="s">
        <v>2825</v>
      </c>
      <c r="B95" s="2876">
        <v>195.80221910000003</v>
      </c>
      <c r="C95" s="2876">
        <v>194.08175466000003</v>
      </c>
      <c r="D95" s="2876">
        <v>194.49715372000003</v>
      </c>
      <c r="E95" s="2876">
        <v>193.15940491000001</v>
      </c>
      <c r="F95" s="2876">
        <v>204.56491812000002</v>
      </c>
      <c r="G95" s="2876">
        <v>203.97633535</v>
      </c>
      <c r="H95" s="2876">
        <v>208.11196765</v>
      </c>
      <c r="I95" s="2876">
        <v>206.78401875999998</v>
      </c>
      <c r="J95" s="2876">
        <v>207.11171063</v>
      </c>
      <c r="K95" s="2876">
        <v>205.26257358999996</v>
      </c>
      <c r="L95" s="2876">
        <v>198.96054423999999</v>
      </c>
      <c r="M95" s="2876">
        <v>198.64093513</v>
      </c>
      <c r="N95" s="2876">
        <v>195.14189872999998</v>
      </c>
      <c r="O95" s="2876">
        <v>193.85943671000001</v>
      </c>
      <c r="P95" s="2876">
        <v>194.37935198000002</v>
      </c>
      <c r="Q95" s="2876">
        <v>196.24597222999998</v>
      </c>
      <c r="R95" s="2876">
        <v>200.74645477999999</v>
      </c>
      <c r="S95" s="2876">
        <v>199.98291351000003</v>
      </c>
      <c r="T95" s="2876">
        <v>198.53116242999999</v>
      </c>
      <c r="U95" s="2876">
        <v>237.71533693000001</v>
      </c>
    </row>
    <row r="96" spans="1:21" s="624" customFormat="1" ht="15" customHeight="1" x14ac:dyDescent="0.3">
      <c r="A96" s="2834" t="s">
        <v>2826</v>
      </c>
      <c r="B96" s="2876">
        <v>292.90064464</v>
      </c>
      <c r="C96" s="2876">
        <v>296.03902299999999</v>
      </c>
      <c r="D96" s="2876">
        <v>299.72507308999997</v>
      </c>
      <c r="E96" s="2876">
        <v>281.97508078999994</v>
      </c>
      <c r="F96" s="2876">
        <v>285.53563911000003</v>
      </c>
      <c r="G96" s="2876">
        <v>296.24771293000003</v>
      </c>
      <c r="H96" s="2876">
        <v>238.58663709000001</v>
      </c>
      <c r="I96" s="2876">
        <v>223.74630475000001</v>
      </c>
      <c r="J96" s="2876">
        <v>233.96343955</v>
      </c>
      <c r="K96" s="2876">
        <v>215.76032018999999</v>
      </c>
      <c r="L96" s="2876">
        <v>215.85979706999998</v>
      </c>
      <c r="M96" s="2876">
        <v>217.11635292000003</v>
      </c>
      <c r="N96" s="2876">
        <v>207.11767411</v>
      </c>
      <c r="O96" s="2876">
        <v>216.17212165000001</v>
      </c>
      <c r="P96" s="2876">
        <v>216.07795226999997</v>
      </c>
      <c r="Q96" s="2876">
        <v>202.70782001999999</v>
      </c>
      <c r="R96" s="2876">
        <v>209.25442258999996</v>
      </c>
      <c r="S96" s="2876">
        <v>191.31477832000002</v>
      </c>
      <c r="T96" s="2876">
        <v>178.40051077999999</v>
      </c>
      <c r="U96" s="2876">
        <v>176.24762061000001</v>
      </c>
    </row>
    <row r="97" spans="1:21" s="624" customFormat="1" ht="13.9" customHeight="1" x14ac:dyDescent="0.3">
      <c r="A97" s="2834" t="s">
        <v>2827</v>
      </c>
      <c r="B97" s="2876">
        <v>243.22948446000001</v>
      </c>
      <c r="C97" s="2876">
        <v>239.03002444999998</v>
      </c>
      <c r="D97" s="2876">
        <v>233.64253400999999</v>
      </c>
      <c r="E97" s="2876">
        <v>234.27757626999997</v>
      </c>
      <c r="F97" s="2876">
        <v>222.26806590999996</v>
      </c>
      <c r="G97" s="2876">
        <v>223.90136053000001</v>
      </c>
      <c r="H97" s="2876">
        <v>221.92972960000003</v>
      </c>
      <c r="I97" s="2876">
        <v>220.60074616999998</v>
      </c>
      <c r="J97" s="2876">
        <v>223.45758544</v>
      </c>
      <c r="K97" s="2876">
        <v>226.08503772</v>
      </c>
      <c r="L97" s="2876">
        <v>226.68319460000004</v>
      </c>
      <c r="M97" s="2876">
        <v>228.84117410000002</v>
      </c>
      <c r="N97" s="2876">
        <v>213.15288602000001</v>
      </c>
      <c r="O97" s="2876">
        <v>207.16840474</v>
      </c>
      <c r="P97" s="2876">
        <v>203.60317497999998</v>
      </c>
      <c r="Q97" s="2876">
        <v>203.87164262000002</v>
      </c>
      <c r="R97" s="2876">
        <v>202.03309727999999</v>
      </c>
      <c r="S97" s="2876">
        <v>206.39795234000002</v>
      </c>
      <c r="T97" s="2876">
        <v>208.01743483999999</v>
      </c>
      <c r="U97" s="2876">
        <v>207.68931294000001</v>
      </c>
    </row>
    <row r="98" spans="1:21" s="624" customFormat="1" ht="15.6" customHeight="1" x14ac:dyDescent="0.3">
      <c r="A98" s="2834" t="s">
        <v>2828</v>
      </c>
      <c r="B98" s="2876">
        <v>105.27839706</v>
      </c>
      <c r="C98" s="2876">
        <v>103.26227614</v>
      </c>
      <c r="D98" s="2876">
        <v>102.66696308</v>
      </c>
      <c r="E98" s="2876">
        <v>101.4344152</v>
      </c>
      <c r="F98" s="2876">
        <v>100.05044554000001</v>
      </c>
      <c r="G98" s="2876">
        <v>98.391110480000009</v>
      </c>
      <c r="H98" s="2876">
        <v>97.01215449</v>
      </c>
      <c r="I98" s="2876">
        <v>95.765356240000003</v>
      </c>
      <c r="J98" s="2876">
        <v>94.307149190000004</v>
      </c>
      <c r="K98" s="2876">
        <v>93.066451199999989</v>
      </c>
      <c r="L98" s="2876">
        <v>92.517181169999986</v>
      </c>
      <c r="M98" s="2876">
        <v>91.369253610000001</v>
      </c>
      <c r="N98" s="2876">
        <v>90.309691179999987</v>
      </c>
      <c r="O98" s="2876">
        <v>81.499305059999998</v>
      </c>
      <c r="P98" s="2876">
        <v>71.792887050000019</v>
      </c>
      <c r="Q98" s="2876">
        <v>78.112699079999999</v>
      </c>
      <c r="R98" s="2876">
        <v>79.669239210000015</v>
      </c>
      <c r="S98" s="2876">
        <v>83.360939380000005</v>
      </c>
      <c r="T98" s="2876">
        <v>88.212481879999999</v>
      </c>
      <c r="U98" s="2876">
        <v>90.027991560000004</v>
      </c>
    </row>
    <row r="99" spans="1:21" s="624" customFormat="1" ht="17.25" x14ac:dyDescent="0.3">
      <c r="A99" s="2832" t="s">
        <v>2829</v>
      </c>
      <c r="B99" s="2875">
        <v>1678.73350568</v>
      </c>
      <c r="C99" s="2875">
        <v>1858.24732045</v>
      </c>
      <c r="D99" s="2875">
        <v>1257.9620721499989</v>
      </c>
      <c r="E99" s="2875">
        <v>1372.1966897354803</v>
      </c>
      <c r="F99" s="2875">
        <v>1363.0540304594231</v>
      </c>
      <c r="G99" s="2875">
        <v>1342.6143618372564</v>
      </c>
      <c r="H99" s="2875">
        <v>1421.0386137823521</v>
      </c>
      <c r="I99" s="2875">
        <v>1356.8540291899988</v>
      </c>
      <c r="J99" s="2875">
        <v>1376.5056067099988</v>
      </c>
      <c r="K99" s="2875">
        <v>1426.5397530699993</v>
      </c>
      <c r="L99" s="2875">
        <v>1460.9087914799989</v>
      </c>
      <c r="M99" s="2875">
        <v>1444.9457112999992</v>
      </c>
      <c r="N99" s="2875">
        <v>1459.6579421099989</v>
      </c>
      <c r="O99" s="2875">
        <v>1450.8936830299988</v>
      </c>
      <c r="P99" s="2875">
        <v>1488.433930259999</v>
      </c>
      <c r="Q99" s="2875">
        <v>1557.039022539999</v>
      </c>
      <c r="R99" s="2875">
        <v>1568.430390459999</v>
      </c>
      <c r="S99" s="2875">
        <v>1603.961642439999</v>
      </c>
      <c r="T99" s="2875">
        <v>1649.1558727999991</v>
      </c>
      <c r="U99" s="2875">
        <v>1658.5888663599992</v>
      </c>
    </row>
    <row r="100" spans="1:21" s="624" customFormat="1" ht="15" customHeight="1" x14ac:dyDescent="0.3">
      <c r="A100" s="2834" t="s">
        <v>2830</v>
      </c>
      <c r="B100" s="2876">
        <v>738.05560914</v>
      </c>
      <c r="C100" s="2876">
        <v>820.12500557999988</v>
      </c>
      <c r="D100" s="2876">
        <v>750.02962288999879</v>
      </c>
      <c r="E100" s="2876">
        <v>864.43183451548032</v>
      </c>
      <c r="F100" s="2876">
        <v>998.26618332942417</v>
      </c>
      <c r="G100" s="2876">
        <v>978.46283074725727</v>
      </c>
      <c r="H100" s="2876">
        <v>1056.0829567523526</v>
      </c>
      <c r="I100" s="2876">
        <v>993.61876873000028</v>
      </c>
      <c r="J100" s="2876">
        <v>1011.4373155399999</v>
      </c>
      <c r="K100" s="2876">
        <v>1059.6555688599999</v>
      </c>
      <c r="L100" s="2876">
        <v>1093.1870282300001</v>
      </c>
      <c r="M100" s="2876">
        <v>1078.9381831800001</v>
      </c>
      <c r="N100" s="2876">
        <v>1091.18793594</v>
      </c>
      <c r="O100" s="2876">
        <v>1085.3546819199998</v>
      </c>
      <c r="P100" s="2876">
        <v>1121.1112539500002</v>
      </c>
      <c r="Q100" s="2876">
        <v>1187.28506902</v>
      </c>
      <c r="R100" s="2876">
        <v>1203.97291378</v>
      </c>
      <c r="S100" s="2876">
        <v>1237.28724655</v>
      </c>
      <c r="T100" s="2876">
        <v>1280.2507356600001</v>
      </c>
      <c r="U100" s="2876">
        <v>1287.3823114800002</v>
      </c>
    </row>
    <row r="101" spans="1:21" s="624" customFormat="1" ht="15.6" customHeight="1" x14ac:dyDescent="0.3">
      <c r="A101" s="2834" t="s">
        <v>2831</v>
      </c>
      <c r="B101" s="2876">
        <v>940.67789654000012</v>
      </c>
      <c r="C101" s="2876">
        <v>1038.1223148700001</v>
      </c>
      <c r="D101" s="2876">
        <v>507.93244926</v>
      </c>
      <c r="E101" s="2876">
        <v>507.76485522000002</v>
      </c>
      <c r="F101" s="2876">
        <v>364.78784712999897</v>
      </c>
      <c r="G101" s="2876">
        <v>364.15153108999903</v>
      </c>
      <c r="H101" s="2876">
        <v>364.95565702999903</v>
      </c>
      <c r="I101" s="2876">
        <v>363.23526045999904</v>
      </c>
      <c r="J101" s="2876">
        <v>365.06829116999899</v>
      </c>
      <c r="K101" s="2876">
        <v>366.88418420999903</v>
      </c>
      <c r="L101" s="2876">
        <v>367.72176324999901</v>
      </c>
      <c r="M101" s="2876">
        <v>366.00752811999899</v>
      </c>
      <c r="N101" s="2876">
        <v>368.47000616999901</v>
      </c>
      <c r="O101" s="2876">
        <v>365.53900110999899</v>
      </c>
      <c r="P101" s="2876">
        <v>367.322676309999</v>
      </c>
      <c r="Q101" s="2876">
        <v>369.75395351999896</v>
      </c>
      <c r="R101" s="2876">
        <v>364.45747667999905</v>
      </c>
      <c r="S101" s="2876">
        <v>366.674395889999</v>
      </c>
      <c r="T101" s="2876">
        <v>368.90513713999906</v>
      </c>
      <c r="U101" s="2876">
        <v>371.20655487999898</v>
      </c>
    </row>
    <row r="102" spans="1:21" s="624" customFormat="1" ht="17.25" x14ac:dyDescent="0.3">
      <c r="A102" s="2832" t="s">
        <v>2832</v>
      </c>
      <c r="B102" s="2875">
        <v>1313.3926726499981</v>
      </c>
      <c r="C102" s="2875">
        <v>1272.2366336299999</v>
      </c>
      <c r="D102" s="2875">
        <v>1211.4619204600001</v>
      </c>
      <c r="E102" s="2875">
        <v>1229.7967914400001</v>
      </c>
      <c r="F102" s="2875">
        <v>1262.0126664100001</v>
      </c>
      <c r="G102" s="2875">
        <v>1302.6749660099999</v>
      </c>
      <c r="H102" s="2875">
        <v>1320.08402531</v>
      </c>
      <c r="I102" s="2875">
        <v>1376.2574321900001</v>
      </c>
      <c r="J102" s="2875">
        <v>1356.3939261300002</v>
      </c>
      <c r="K102" s="2875">
        <v>1358.3028830000001</v>
      </c>
      <c r="L102" s="2875">
        <v>1447.51464771</v>
      </c>
      <c r="M102" s="2875">
        <v>1512.6169146500001</v>
      </c>
      <c r="N102" s="2875">
        <v>1570.2328599</v>
      </c>
      <c r="O102" s="2875">
        <v>1587.3567836</v>
      </c>
      <c r="P102" s="2875">
        <v>1611.13732267</v>
      </c>
      <c r="Q102" s="2875">
        <v>1682.2813846200004</v>
      </c>
      <c r="R102" s="2875">
        <v>1693.7366542899999</v>
      </c>
      <c r="S102" s="2875">
        <v>1725.75944835</v>
      </c>
      <c r="T102" s="2875">
        <v>1709.1344399899999</v>
      </c>
      <c r="U102" s="2875">
        <v>1721.8064589999999</v>
      </c>
    </row>
    <row r="103" spans="1:21" s="624" customFormat="1" ht="13.9" customHeight="1" x14ac:dyDescent="0.3">
      <c r="A103" s="2834" t="s">
        <v>2833</v>
      </c>
      <c r="B103" s="2876">
        <v>306.313805339998</v>
      </c>
      <c r="C103" s="2876">
        <v>290.51968037</v>
      </c>
      <c r="D103" s="2876">
        <v>348.45800111</v>
      </c>
      <c r="E103" s="2876">
        <v>341.68299294999997</v>
      </c>
      <c r="F103" s="2876">
        <v>337.67884282</v>
      </c>
      <c r="G103" s="2876">
        <v>310.64592900999997</v>
      </c>
      <c r="H103" s="2876">
        <v>313.03579407999996</v>
      </c>
      <c r="I103" s="2876">
        <v>314.40864975</v>
      </c>
      <c r="J103" s="2876">
        <v>309.01559459999999</v>
      </c>
      <c r="K103" s="2876">
        <v>306.74501125</v>
      </c>
      <c r="L103" s="2876">
        <v>357.63136249000001</v>
      </c>
      <c r="M103" s="2876">
        <v>385.92067921</v>
      </c>
      <c r="N103" s="2876">
        <v>387.63792903000001</v>
      </c>
      <c r="O103" s="2876">
        <v>366.98276970000006</v>
      </c>
      <c r="P103" s="2876">
        <v>359.27790564000003</v>
      </c>
      <c r="Q103" s="2876">
        <v>366.32518398000002</v>
      </c>
      <c r="R103" s="2876">
        <v>383.09786498999995</v>
      </c>
      <c r="S103" s="2876">
        <v>382.50817692999993</v>
      </c>
      <c r="T103" s="2876">
        <v>372.40247221999999</v>
      </c>
      <c r="U103" s="2876">
        <v>376.61185510000001</v>
      </c>
    </row>
    <row r="104" spans="1:21" s="624" customFormat="1" ht="17.45" customHeight="1" x14ac:dyDescent="0.3">
      <c r="A104" s="2834" t="s">
        <v>2834</v>
      </c>
      <c r="B104" s="2876">
        <v>42.330868070000001</v>
      </c>
      <c r="C104" s="2876">
        <v>30.72635344</v>
      </c>
      <c r="D104" s="2876">
        <v>29.786628950000001</v>
      </c>
      <c r="E104" s="2876">
        <v>42.225427150000002</v>
      </c>
      <c r="F104" s="2876">
        <v>41.829738649999996</v>
      </c>
      <c r="G104" s="2876">
        <v>44.165409429999997</v>
      </c>
      <c r="H104" s="2876">
        <v>324.71471127999996</v>
      </c>
      <c r="I104" s="2876">
        <v>320.08300400999997</v>
      </c>
      <c r="J104" s="2876">
        <v>316.47885129000002</v>
      </c>
      <c r="K104" s="2876">
        <v>311.36586195000001</v>
      </c>
      <c r="L104" s="2876">
        <v>370.85696201999997</v>
      </c>
      <c r="M104" s="2876">
        <v>367.12663519</v>
      </c>
      <c r="N104" s="2876">
        <v>366.65300808000001</v>
      </c>
      <c r="O104" s="2876">
        <v>363.51336673000003</v>
      </c>
      <c r="P104" s="2876">
        <v>354.36763331000003</v>
      </c>
      <c r="Q104" s="2876">
        <v>351.23894960000001</v>
      </c>
      <c r="R104" s="2876">
        <v>341.16777380000002</v>
      </c>
      <c r="S104" s="2876">
        <v>339.48855086999998</v>
      </c>
      <c r="T104" s="2876">
        <v>334.13531639999997</v>
      </c>
      <c r="U104" s="2876">
        <v>348.83962442000001</v>
      </c>
    </row>
    <row r="105" spans="1:21" s="624" customFormat="1" ht="16.899999999999999" customHeight="1" x14ac:dyDescent="0.3">
      <c r="A105" s="2834" t="s">
        <v>2835</v>
      </c>
      <c r="B105" s="2876">
        <v>130.25304652</v>
      </c>
      <c r="C105" s="2876">
        <v>128.99653032000001</v>
      </c>
      <c r="D105" s="2876">
        <v>143.29021943999999</v>
      </c>
      <c r="E105" s="2876">
        <v>167.45159899000001</v>
      </c>
      <c r="F105" s="2876">
        <v>204.86121296000002</v>
      </c>
      <c r="G105" s="2876">
        <v>233.40235939999997</v>
      </c>
      <c r="H105" s="2876">
        <v>243.48024441000004</v>
      </c>
      <c r="I105" s="2876">
        <v>302.48514322000005</v>
      </c>
      <c r="J105" s="2876">
        <v>278.87103668000003</v>
      </c>
      <c r="K105" s="2876">
        <v>292.00745897000002</v>
      </c>
      <c r="L105" s="2876">
        <v>275.91873140999996</v>
      </c>
      <c r="M105" s="2876">
        <v>310.34603539999995</v>
      </c>
      <c r="N105" s="2876">
        <v>323.98428482999998</v>
      </c>
      <c r="O105" s="2876">
        <v>329.98091920999997</v>
      </c>
      <c r="P105" s="2876">
        <v>343.05564771000002</v>
      </c>
      <c r="Q105" s="2876">
        <v>342.26374511</v>
      </c>
      <c r="R105" s="2876">
        <v>338.50153391000003</v>
      </c>
      <c r="S105" s="2876">
        <v>360.04656545999995</v>
      </c>
      <c r="T105" s="2876">
        <v>355.09281343000004</v>
      </c>
      <c r="U105" s="2876">
        <v>340.66891550000003</v>
      </c>
    </row>
    <row r="106" spans="1:21" s="624" customFormat="1" ht="12.6" customHeight="1" x14ac:dyDescent="0.3">
      <c r="A106" s="2834" t="s">
        <v>2836</v>
      </c>
      <c r="B106" s="2876">
        <v>834.49495272000001</v>
      </c>
      <c r="C106" s="2876">
        <v>821.99406950000002</v>
      </c>
      <c r="D106" s="2876">
        <v>689.92707095999992</v>
      </c>
      <c r="E106" s="2876">
        <v>678.43677235000007</v>
      </c>
      <c r="F106" s="2876">
        <v>677.64287198</v>
      </c>
      <c r="G106" s="2876">
        <v>714.46126816999993</v>
      </c>
      <c r="H106" s="2876">
        <v>438.85327553999997</v>
      </c>
      <c r="I106" s="2876">
        <v>439.28063521000001</v>
      </c>
      <c r="J106" s="2876">
        <v>452.02844356000003</v>
      </c>
      <c r="K106" s="2876">
        <v>448.18455083000003</v>
      </c>
      <c r="L106" s="2876">
        <v>443.10759179000001</v>
      </c>
      <c r="M106" s="2876">
        <v>449.22356484999995</v>
      </c>
      <c r="N106" s="2876">
        <v>491.95763796</v>
      </c>
      <c r="O106" s="2876">
        <v>526.87972796000008</v>
      </c>
      <c r="P106" s="2876">
        <v>554.43613601000004</v>
      </c>
      <c r="Q106" s="2876">
        <v>622.45350593000012</v>
      </c>
      <c r="R106" s="2876">
        <v>630.96948158999987</v>
      </c>
      <c r="S106" s="2876">
        <v>643.71615508999992</v>
      </c>
      <c r="T106" s="2876">
        <v>647.50383794000004</v>
      </c>
      <c r="U106" s="2876">
        <v>655.68606397999986</v>
      </c>
    </row>
    <row r="107" spans="1:21" s="624" customFormat="1" ht="17.25" x14ac:dyDescent="0.3">
      <c r="A107" s="2832" t="s">
        <v>2837</v>
      </c>
      <c r="B107" s="2875">
        <v>808.28873063257788</v>
      </c>
      <c r="C107" s="2875">
        <v>1018.7249990393128</v>
      </c>
      <c r="D107" s="2875">
        <v>782.72077866000723</v>
      </c>
      <c r="E107" s="2875">
        <v>813.27202878999833</v>
      </c>
      <c r="F107" s="2875">
        <v>574.28455903999395</v>
      </c>
      <c r="G107" s="2875">
        <v>690.53235999574929</v>
      </c>
      <c r="H107" s="2875">
        <v>580.65598452050961</v>
      </c>
      <c r="I107" s="2875">
        <v>588.42896403549628</v>
      </c>
      <c r="J107" s="2875">
        <v>575.66212722953571</v>
      </c>
      <c r="K107" s="2875">
        <v>569.58399619303964</v>
      </c>
      <c r="L107" s="2875">
        <v>569.04211973281076</v>
      </c>
      <c r="M107" s="2875">
        <v>629.59576641073124</v>
      </c>
      <c r="N107" s="2875">
        <v>636.222077020759</v>
      </c>
      <c r="O107" s="2875">
        <v>614.08818321770184</v>
      </c>
      <c r="P107" s="2875">
        <v>677.40534354727083</v>
      </c>
      <c r="Q107" s="2875">
        <v>550.77572403138856</v>
      </c>
      <c r="R107" s="2875">
        <v>546.77186201002917</v>
      </c>
      <c r="S107" s="2875">
        <v>569.22122330366585</v>
      </c>
      <c r="T107" s="2875">
        <v>539.04174859892635</v>
      </c>
      <c r="U107" s="2875">
        <v>528.32067438807394</v>
      </c>
    </row>
    <row r="108" spans="1:21" s="624" customFormat="1" ht="14.45" customHeight="1" x14ac:dyDescent="0.3">
      <c r="A108" s="2834" t="s">
        <v>2838</v>
      </c>
      <c r="B108" s="2876">
        <v>52.204925649995509</v>
      </c>
      <c r="C108" s="2876">
        <v>52.775681060000004</v>
      </c>
      <c r="D108" s="2876">
        <v>60.531063719999999</v>
      </c>
      <c r="E108" s="2876">
        <v>60.667772459999995</v>
      </c>
      <c r="F108" s="2876">
        <v>61.97255354</v>
      </c>
      <c r="G108" s="2876">
        <v>63.612459849999993</v>
      </c>
      <c r="H108" s="2876">
        <v>63.338093619999995</v>
      </c>
      <c r="I108" s="2876">
        <v>62.276079530000004</v>
      </c>
      <c r="J108" s="2876">
        <v>57.356012019999994</v>
      </c>
      <c r="K108" s="2876">
        <v>55.644163739999996</v>
      </c>
      <c r="L108" s="2876">
        <v>54.885000500000011</v>
      </c>
      <c r="M108" s="2876">
        <v>55.267315739999994</v>
      </c>
      <c r="N108" s="2876">
        <v>55.240569130000004</v>
      </c>
      <c r="O108" s="2876">
        <v>55.196395899999992</v>
      </c>
      <c r="P108" s="2876">
        <v>54.326507979999995</v>
      </c>
      <c r="Q108" s="2876">
        <v>53.854494509999995</v>
      </c>
      <c r="R108" s="2876">
        <v>53.624593229999995</v>
      </c>
      <c r="S108" s="2876">
        <v>53.491739219999999</v>
      </c>
      <c r="T108" s="2876">
        <v>52.629229659999993</v>
      </c>
      <c r="U108" s="2876">
        <v>43.355095379999995</v>
      </c>
    </row>
    <row r="109" spans="1:21" s="624" customFormat="1" ht="16.149999999999999" customHeight="1" x14ac:dyDescent="0.3">
      <c r="A109" s="2834" t="s">
        <v>2839</v>
      </c>
      <c r="B109" s="2876">
        <v>469.99780028258238</v>
      </c>
      <c r="C109" s="2876">
        <v>652.32935100930683</v>
      </c>
      <c r="D109" s="2876">
        <v>393.62076358000098</v>
      </c>
      <c r="E109" s="2876">
        <v>389.93984211999998</v>
      </c>
      <c r="F109" s="2876">
        <v>344.02397729</v>
      </c>
      <c r="G109" s="2876">
        <v>458.69282806574421</v>
      </c>
      <c r="H109" s="2876">
        <v>340.7105462805095</v>
      </c>
      <c r="I109" s="2876">
        <v>348.83912250549628</v>
      </c>
      <c r="J109" s="2876">
        <v>340.49276009953564</v>
      </c>
      <c r="K109" s="2876">
        <v>325.03679636303963</v>
      </c>
      <c r="L109" s="2876">
        <v>322.12035290281079</v>
      </c>
      <c r="M109" s="2876">
        <v>382.9819181607312</v>
      </c>
      <c r="N109" s="2876">
        <v>393.94403414075902</v>
      </c>
      <c r="O109" s="2876">
        <v>373.28848626770178</v>
      </c>
      <c r="P109" s="2876">
        <v>441.17617656727077</v>
      </c>
      <c r="Q109" s="2876">
        <v>316.92800479138856</v>
      </c>
      <c r="R109" s="2876">
        <v>315.15267252002923</v>
      </c>
      <c r="S109" s="2876">
        <v>338.65928981366591</v>
      </c>
      <c r="T109" s="2876">
        <v>305.98448194892637</v>
      </c>
      <c r="U109" s="2876">
        <v>313.65363302807395</v>
      </c>
    </row>
    <row r="110" spans="1:21" s="624" customFormat="1" ht="18" thickBot="1" x14ac:dyDescent="0.35">
      <c r="A110" s="2834" t="s">
        <v>2840</v>
      </c>
      <c r="B110" s="2876">
        <v>286.08600469999999</v>
      </c>
      <c r="C110" s="2876">
        <v>313.61996697000609</v>
      </c>
      <c r="D110" s="2876">
        <v>328.56895136000611</v>
      </c>
      <c r="E110" s="2876">
        <v>362.66441420999837</v>
      </c>
      <c r="F110" s="2876">
        <v>168.28802820999397</v>
      </c>
      <c r="G110" s="2876">
        <v>168.22707208000512</v>
      </c>
      <c r="H110" s="2876">
        <v>176.60734461999999</v>
      </c>
      <c r="I110" s="2876">
        <v>177.31376199999997</v>
      </c>
      <c r="J110" s="2876">
        <v>177.81335511</v>
      </c>
      <c r="K110" s="2876">
        <v>188.90303609</v>
      </c>
      <c r="L110" s="2876">
        <v>192.03676633000001</v>
      </c>
      <c r="M110" s="2876">
        <v>191.34653251</v>
      </c>
      <c r="N110" s="2876">
        <v>187.03747375</v>
      </c>
      <c r="O110" s="2876">
        <v>185.60330105</v>
      </c>
      <c r="P110" s="2876">
        <v>181.902659</v>
      </c>
      <c r="Q110" s="2876">
        <v>179.99322472999998</v>
      </c>
      <c r="R110" s="2876">
        <v>177.99459625999998</v>
      </c>
      <c r="S110" s="2876">
        <v>177.07019426999997</v>
      </c>
      <c r="T110" s="2876">
        <v>180.42803698999998</v>
      </c>
      <c r="U110" s="2876">
        <v>171.31194597999999</v>
      </c>
    </row>
    <row r="111" spans="1:21" s="624" customFormat="1" ht="17.25" x14ac:dyDescent="0.3">
      <c r="A111" s="2851" t="s">
        <v>2841</v>
      </c>
      <c r="B111" s="2889">
        <v>127413.03404754364</v>
      </c>
      <c r="C111" s="2889">
        <v>128911.00772012366</v>
      </c>
      <c r="D111" s="2889">
        <v>129371.31879527328</v>
      </c>
      <c r="E111" s="2889">
        <v>131092.43055709408</v>
      </c>
      <c r="F111" s="2889">
        <v>132924.37225123745</v>
      </c>
      <c r="G111" s="2889">
        <v>135082.11349189619</v>
      </c>
      <c r="H111" s="2889">
        <v>137548.94317565655</v>
      </c>
      <c r="I111" s="2889">
        <v>138911.25730442023</v>
      </c>
      <c r="J111" s="2889">
        <v>140803.89246211873</v>
      </c>
      <c r="K111" s="2889">
        <v>142349.95020041271</v>
      </c>
      <c r="L111" s="2889">
        <v>144366.94894163305</v>
      </c>
      <c r="M111" s="2889">
        <v>145540.18378127227</v>
      </c>
      <c r="N111" s="2889">
        <v>146002.35664645606</v>
      </c>
      <c r="O111" s="2889">
        <v>147177.82696641315</v>
      </c>
      <c r="P111" s="2889">
        <v>148776.76332434278</v>
      </c>
      <c r="Q111" s="2889">
        <v>149665.99540657157</v>
      </c>
      <c r="R111" s="2889">
        <v>150893.25683649592</v>
      </c>
      <c r="S111" s="2889">
        <v>152440.59484433301</v>
      </c>
      <c r="T111" s="2889">
        <v>154281.35772856229</v>
      </c>
      <c r="U111" s="2889">
        <v>155696.23341667315</v>
      </c>
    </row>
    <row r="112" spans="1:21" s="624" customFormat="1" ht="15" customHeight="1" x14ac:dyDescent="0.3">
      <c r="A112" s="2836" t="s">
        <v>2874</v>
      </c>
      <c r="B112" s="2890">
        <v>85729.425506669679</v>
      </c>
      <c r="C112" s="2890">
        <v>86148.252844431787</v>
      </c>
      <c r="D112" s="2890">
        <v>87205.187079217227</v>
      </c>
      <c r="E112" s="2890">
        <v>88011.01790383835</v>
      </c>
      <c r="F112" s="2890">
        <v>89407.075470133874</v>
      </c>
      <c r="G112" s="2890">
        <v>90612.179439785337</v>
      </c>
      <c r="H112" s="2890">
        <v>95291.665806333156</v>
      </c>
      <c r="I112" s="2890">
        <v>96451.041106417993</v>
      </c>
      <c r="J112" s="2890">
        <v>97951.184521147006</v>
      </c>
      <c r="K112" s="2890">
        <v>99647.133816514557</v>
      </c>
      <c r="L112" s="2890">
        <v>101156.26543242591</v>
      </c>
      <c r="M112" s="2890">
        <v>102184.53268299253</v>
      </c>
      <c r="N112" s="2890">
        <v>102950.08157417559</v>
      </c>
      <c r="O112" s="2890">
        <v>103717.19114163554</v>
      </c>
      <c r="P112" s="2890">
        <v>104596.17226315923</v>
      </c>
      <c r="Q112" s="2890">
        <v>105417.62122383711</v>
      </c>
      <c r="R112" s="2890">
        <v>106146.62215979566</v>
      </c>
      <c r="S112" s="2890">
        <v>107264.45418359595</v>
      </c>
      <c r="T112" s="2890">
        <v>108529.21771888981</v>
      </c>
      <c r="U112" s="2890">
        <v>109577.1137778626</v>
      </c>
    </row>
    <row r="113" spans="1:1982" s="2892" customFormat="1" ht="17.25" x14ac:dyDescent="0.3">
      <c r="A113" s="2829" t="s">
        <v>2843</v>
      </c>
      <c r="B113" s="2891">
        <v>35938.782542324443</v>
      </c>
      <c r="C113" s="2891">
        <v>36959.722139009202</v>
      </c>
      <c r="D113" s="2891">
        <v>36371.062599851255</v>
      </c>
      <c r="E113" s="2891">
        <v>36900.816930424611</v>
      </c>
      <c r="F113" s="2891">
        <v>36888.277823326032</v>
      </c>
      <c r="G113" s="2891">
        <v>36633.536417846903</v>
      </c>
      <c r="H113" s="2891">
        <v>37132.509302539314</v>
      </c>
      <c r="I113" s="2891">
        <v>40577.745876437526</v>
      </c>
      <c r="J113" s="2891">
        <v>42285.000839065251</v>
      </c>
      <c r="K113" s="2891">
        <v>43173.125742472061</v>
      </c>
      <c r="L113" s="2891">
        <v>44104.450589028274</v>
      </c>
      <c r="M113" s="2891">
        <v>47076.859596619601</v>
      </c>
      <c r="N113" s="2891">
        <v>49467.612595433813</v>
      </c>
      <c r="O113" s="2891">
        <v>49205.752080324783</v>
      </c>
      <c r="P113" s="2891">
        <v>46854.927505516855</v>
      </c>
      <c r="Q113" s="2891">
        <v>45094.253453562385</v>
      </c>
      <c r="R113" s="2891">
        <v>45461.302890047678</v>
      </c>
      <c r="S113" s="2891">
        <v>45810.131835382963</v>
      </c>
      <c r="T113" s="2891">
        <v>46425.939640598823</v>
      </c>
      <c r="U113" s="2891">
        <v>48561.938747538668</v>
      </c>
      <c r="V113" s="624"/>
      <c r="W113" s="624"/>
      <c r="X113" s="624"/>
      <c r="Y113" s="624"/>
      <c r="Z113" s="624"/>
      <c r="AA113" s="624"/>
      <c r="AB113" s="624"/>
      <c r="AC113" s="624"/>
      <c r="AD113" s="624"/>
      <c r="AE113" s="624"/>
      <c r="AF113" s="624"/>
      <c r="AG113" s="624"/>
      <c r="AH113" s="624"/>
      <c r="AI113" s="624"/>
      <c r="AJ113" s="624"/>
      <c r="AK113" s="624"/>
      <c r="AL113" s="624"/>
      <c r="AM113" s="624"/>
      <c r="AN113" s="624"/>
      <c r="AO113" s="624"/>
      <c r="AP113" s="624"/>
      <c r="AQ113" s="624"/>
      <c r="AR113" s="624"/>
      <c r="AS113" s="624"/>
      <c r="AT113" s="624"/>
      <c r="AU113" s="624"/>
      <c r="AV113" s="624"/>
      <c r="AW113" s="624"/>
      <c r="AX113" s="624"/>
      <c r="AY113" s="624"/>
      <c r="AZ113" s="624"/>
      <c r="BA113" s="624"/>
      <c r="BB113" s="624"/>
      <c r="BC113" s="624"/>
      <c r="BD113" s="624"/>
      <c r="BE113" s="624"/>
      <c r="BF113" s="624"/>
      <c r="BG113" s="624"/>
      <c r="BH113" s="624"/>
      <c r="BI113" s="624"/>
      <c r="BJ113" s="624"/>
      <c r="BK113" s="624"/>
      <c r="BL113" s="624"/>
      <c r="BM113" s="624"/>
      <c r="BN113" s="624"/>
      <c r="BO113" s="624"/>
      <c r="BP113" s="624"/>
      <c r="BQ113" s="624"/>
      <c r="BR113" s="624"/>
      <c r="BS113" s="624"/>
      <c r="BT113" s="624"/>
      <c r="BU113" s="624"/>
      <c r="BV113" s="624"/>
      <c r="BW113" s="624"/>
      <c r="BX113" s="624"/>
      <c r="BY113" s="624"/>
      <c r="BZ113" s="624"/>
      <c r="CA113" s="624"/>
      <c r="CB113" s="624"/>
      <c r="CC113" s="624"/>
      <c r="CD113" s="624"/>
      <c r="CE113" s="624"/>
      <c r="CF113" s="624"/>
      <c r="CG113" s="624"/>
      <c r="CH113" s="624"/>
      <c r="CI113" s="624"/>
      <c r="CJ113" s="624"/>
      <c r="CK113" s="624"/>
      <c r="CL113" s="624"/>
      <c r="CM113" s="624"/>
      <c r="CN113" s="624"/>
      <c r="CO113" s="624"/>
      <c r="CP113" s="624"/>
      <c r="CQ113" s="624"/>
      <c r="CR113" s="624"/>
      <c r="CS113" s="624"/>
      <c r="CT113" s="624"/>
      <c r="CU113" s="624"/>
      <c r="CV113" s="624"/>
      <c r="CW113" s="624"/>
      <c r="CX113" s="624"/>
      <c r="CY113" s="624"/>
      <c r="CZ113" s="624"/>
      <c r="DA113" s="624"/>
      <c r="DB113" s="624"/>
      <c r="DC113" s="624"/>
      <c r="DD113" s="624"/>
      <c r="DE113" s="624"/>
      <c r="DF113" s="624"/>
      <c r="DG113" s="624"/>
      <c r="DH113" s="624"/>
      <c r="DI113" s="624"/>
      <c r="DJ113" s="624"/>
      <c r="DK113" s="624"/>
      <c r="DL113" s="624"/>
      <c r="DM113" s="624"/>
      <c r="DN113" s="624"/>
      <c r="DO113" s="624"/>
      <c r="DP113" s="624"/>
      <c r="DQ113" s="624"/>
      <c r="DR113" s="624"/>
      <c r="DS113" s="624"/>
      <c r="DT113" s="624"/>
      <c r="DU113" s="624"/>
      <c r="DV113" s="624"/>
      <c r="DW113" s="624"/>
      <c r="DX113" s="624"/>
      <c r="DY113" s="624"/>
      <c r="DZ113" s="624"/>
      <c r="EA113" s="624"/>
      <c r="EB113" s="624"/>
      <c r="EC113" s="624"/>
      <c r="ED113" s="624"/>
      <c r="EE113" s="624"/>
      <c r="EF113" s="624"/>
      <c r="EG113" s="624"/>
      <c r="EH113" s="624"/>
      <c r="EI113" s="624"/>
      <c r="EJ113" s="624"/>
      <c r="EK113" s="624"/>
      <c r="EL113" s="624"/>
      <c r="EM113" s="624"/>
      <c r="EN113" s="624"/>
      <c r="EO113" s="624"/>
      <c r="EP113" s="624"/>
      <c r="EQ113" s="624"/>
      <c r="ER113" s="624"/>
      <c r="ES113" s="624"/>
      <c r="ET113" s="624"/>
      <c r="EU113" s="624"/>
      <c r="EV113" s="624"/>
      <c r="EW113" s="624"/>
      <c r="EX113" s="624"/>
      <c r="EY113" s="624"/>
      <c r="EZ113" s="624"/>
      <c r="FA113" s="624"/>
      <c r="FB113" s="624"/>
      <c r="FC113" s="624"/>
      <c r="FD113" s="624"/>
      <c r="FE113" s="624"/>
      <c r="FF113" s="624"/>
      <c r="FG113" s="624"/>
      <c r="FH113" s="624"/>
      <c r="FI113" s="624"/>
      <c r="FJ113" s="624"/>
      <c r="FK113" s="624"/>
      <c r="FL113" s="624"/>
      <c r="FM113" s="624"/>
      <c r="FN113" s="624"/>
      <c r="FO113" s="624"/>
      <c r="FP113" s="624"/>
      <c r="FQ113" s="624"/>
      <c r="FR113" s="624"/>
      <c r="FS113" s="624"/>
      <c r="FT113" s="624"/>
      <c r="FU113" s="624"/>
      <c r="FV113" s="624"/>
      <c r="FW113" s="624"/>
      <c r="FX113" s="624"/>
      <c r="FY113" s="624"/>
      <c r="FZ113" s="624"/>
      <c r="GA113" s="624"/>
      <c r="GB113" s="624"/>
      <c r="GC113" s="624"/>
      <c r="GD113" s="624"/>
      <c r="GE113" s="624"/>
      <c r="GF113" s="624"/>
      <c r="GG113" s="624"/>
      <c r="GH113" s="624"/>
      <c r="GI113" s="624"/>
      <c r="GJ113" s="624"/>
      <c r="GK113" s="624"/>
      <c r="GL113" s="624"/>
      <c r="GM113" s="624"/>
      <c r="GN113" s="624"/>
      <c r="GO113" s="624"/>
      <c r="GP113" s="624"/>
      <c r="GQ113" s="624"/>
      <c r="GR113" s="624"/>
      <c r="GS113" s="624"/>
      <c r="GT113" s="624"/>
      <c r="GU113" s="624"/>
      <c r="GV113" s="624"/>
      <c r="GW113" s="624"/>
      <c r="GX113" s="624"/>
      <c r="GY113" s="624"/>
      <c r="GZ113" s="624"/>
      <c r="HA113" s="624"/>
      <c r="HB113" s="624"/>
      <c r="HC113" s="624"/>
      <c r="HD113" s="624"/>
      <c r="HE113" s="624"/>
      <c r="HF113" s="624"/>
      <c r="HG113" s="624"/>
      <c r="HH113" s="624"/>
      <c r="HI113" s="624"/>
      <c r="HJ113" s="624"/>
      <c r="HK113" s="624"/>
      <c r="HL113" s="624"/>
      <c r="HM113" s="624"/>
      <c r="HN113" s="624"/>
      <c r="HO113" s="624"/>
      <c r="HP113" s="624"/>
      <c r="HQ113" s="624"/>
      <c r="HR113" s="624"/>
      <c r="HS113" s="624"/>
      <c r="HT113" s="624"/>
      <c r="HU113" s="624"/>
      <c r="HV113" s="624"/>
      <c r="HW113" s="624"/>
      <c r="HX113" s="624"/>
      <c r="HY113" s="624"/>
      <c r="HZ113" s="624"/>
      <c r="IA113" s="624"/>
      <c r="IB113" s="624"/>
      <c r="IC113" s="624"/>
      <c r="ID113" s="624"/>
      <c r="IE113" s="624"/>
      <c r="IF113" s="624"/>
      <c r="IG113" s="624"/>
      <c r="IH113" s="624"/>
      <c r="II113" s="624"/>
      <c r="IJ113" s="624"/>
      <c r="IK113" s="624"/>
      <c r="IL113" s="624"/>
      <c r="IM113" s="624"/>
      <c r="IN113" s="624"/>
      <c r="IO113" s="624"/>
      <c r="IP113" s="624"/>
      <c r="IQ113" s="624"/>
      <c r="IR113" s="624"/>
      <c r="IS113" s="624"/>
      <c r="IT113" s="624"/>
      <c r="IU113" s="624"/>
      <c r="IV113" s="624"/>
      <c r="IW113" s="624"/>
      <c r="IX113" s="624"/>
      <c r="IY113" s="624"/>
      <c r="IZ113" s="624"/>
      <c r="JA113" s="624"/>
      <c r="JB113" s="624"/>
      <c r="JC113" s="624"/>
      <c r="JD113" s="624"/>
      <c r="JE113" s="624"/>
      <c r="JF113" s="624"/>
      <c r="JG113" s="624"/>
      <c r="JH113" s="624"/>
      <c r="JI113" s="624"/>
      <c r="JJ113" s="624"/>
      <c r="JK113" s="624"/>
      <c r="JL113" s="624"/>
      <c r="JM113" s="624"/>
      <c r="JN113" s="624"/>
      <c r="JO113" s="624"/>
      <c r="JP113" s="624"/>
      <c r="JQ113" s="624"/>
      <c r="JR113" s="624"/>
      <c r="JS113" s="624"/>
      <c r="JT113" s="624"/>
      <c r="JU113" s="624"/>
      <c r="JV113" s="624"/>
      <c r="JW113" s="624"/>
      <c r="JX113" s="624"/>
      <c r="JY113" s="624"/>
      <c r="JZ113" s="624"/>
      <c r="KA113" s="624"/>
      <c r="KB113" s="624"/>
      <c r="KC113" s="624"/>
      <c r="KD113" s="624"/>
      <c r="KE113" s="624"/>
      <c r="KF113" s="624"/>
      <c r="KG113" s="624"/>
      <c r="KH113" s="624"/>
      <c r="KI113" s="624"/>
      <c r="KJ113" s="624"/>
      <c r="KK113" s="624"/>
      <c r="KL113" s="624"/>
      <c r="KM113" s="624"/>
      <c r="KN113" s="624"/>
      <c r="KO113" s="624"/>
      <c r="KP113" s="624"/>
      <c r="KQ113" s="624"/>
      <c r="KR113" s="624"/>
      <c r="KS113" s="624"/>
      <c r="KT113" s="624"/>
      <c r="KU113" s="624"/>
      <c r="KV113" s="624"/>
      <c r="KW113" s="624"/>
      <c r="KX113" s="624"/>
      <c r="KY113" s="624"/>
      <c r="KZ113" s="624"/>
      <c r="LA113" s="624"/>
      <c r="LB113" s="624"/>
      <c r="LC113" s="624"/>
      <c r="LD113" s="624"/>
      <c r="LE113" s="624"/>
      <c r="LF113" s="624"/>
      <c r="LG113" s="624"/>
      <c r="LH113" s="624"/>
      <c r="LI113" s="624"/>
      <c r="LJ113" s="624"/>
      <c r="LK113" s="624"/>
      <c r="LL113" s="624"/>
      <c r="LM113" s="624"/>
      <c r="LN113" s="624"/>
      <c r="LO113" s="624"/>
      <c r="LP113" s="624"/>
      <c r="LQ113" s="624"/>
      <c r="LR113" s="624"/>
      <c r="LS113" s="624"/>
      <c r="LT113" s="624"/>
      <c r="LU113" s="624"/>
      <c r="LV113" s="624"/>
      <c r="LW113" s="624"/>
      <c r="LX113" s="624"/>
      <c r="LY113" s="624"/>
      <c r="LZ113" s="624"/>
      <c r="MA113" s="624"/>
      <c r="MB113" s="624"/>
      <c r="MC113" s="624"/>
      <c r="MD113" s="624"/>
      <c r="ME113" s="624"/>
      <c r="MF113" s="624"/>
      <c r="MG113" s="624"/>
      <c r="MH113" s="624"/>
      <c r="MI113" s="624"/>
      <c r="MJ113" s="624"/>
      <c r="MK113" s="624"/>
      <c r="ML113" s="624"/>
      <c r="MM113" s="624"/>
      <c r="MN113" s="624"/>
      <c r="MO113" s="624"/>
      <c r="MP113" s="624"/>
      <c r="MQ113" s="624"/>
      <c r="MR113" s="624"/>
      <c r="MS113" s="624"/>
      <c r="MT113" s="624"/>
      <c r="MU113" s="624"/>
      <c r="MV113" s="624"/>
      <c r="MW113" s="624"/>
      <c r="MX113" s="624"/>
      <c r="MY113" s="624"/>
      <c r="MZ113" s="624"/>
      <c r="NA113" s="624"/>
      <c r="NB113" s="624"/>
      <c r="NC113" s="624"/>
      <c r="ND113" s="624"/>
      <c r="NE113" s="624"/>
      <c r="NF113" s="624"/>
      <c r="NG113" s="624"/>
      <c r="NH113" s="624"/>
      <c r="NI113" s="624"/>
      <c r="NJ113" s="624"/>
      <c r="NK113" s="624"/>
      <c r="NL113" s="624"/>
      <c r="NM113" s="624"/>
      <c r="NN113" s="624"/>
      <c r="NO113" s="624"/>
      <c r="NP113" s="624"/>
      <c r="NQ113" s="624"/>
      <c r="NR113" s="624"/>
      <c r="NS113" s="624"/>
      <c r="NT113" s="624"/>
      <c r="NU113" s="624"/>
      <c r="NV113" s="624"/>
      <c r="NW113" s="624"/>
      <c r="NX113" s="624"/>
      <c r="NY113" s="624"/>
      <c r="NZ113" s="624"/>
      <c r="OA113" s="624"/>
      <c r="OB113" s="624"/>
      <c r="OC113" s="624"/>
      <c r="OD113" s="624"/>
      <c r="OE113" s="624"/>
      <c r="OF113" s="624"/>
      <c r="OG113" s="624"/>
      <c r="OH113" s="624"/>
      <c r="OI113" s="624"/>
      <c r="OJ113" s="624"/>
      <c r="OK113" s="624"/>
      <c r="OL113" s="624"/>
      <c r="OM113" s="624"/>
      <c r="ON113" s="624"/>
      <c r="OO113" s="624"/>
      <c r="OP113" s="624"/>
      <c r="OQ113" s="624"/>
      <c r="OR113" s="624"/>
      <c r="OS113" s="624"/>
      <c r="OT113" s="624"/>
      <c r="OU113" s="624"/>
      <c r="OV113" s="624"/>
      <c r="OW113" s="624"/>
      <c r="OX113" s="624"/>
      <c r="OY113" s="624"/>
      <c r="OZ113" s="624"/>
      <c r="PA113" s="624"/>
      <c r="PB113" s="624"/>
      <c r="PC113" s="624"/>
      <c r="PD113" s="624"/>
      <c r="PE113" s="624"/>
      <c r="PF113" s="624"/>
      <c r="PG113" s="624"/>
      <c r="PH113" s="624"/>
      <c r="PI113" s="624"/>
      <c r="PJ113" s="624"/>
      <c r="PK113" s="624"/>
      <c r="PL113" s="624"/>
      <c r="PM113" s="624"/>
      <c r="PN113" s="624"/>
      <c r="PO113" s="624"/>
      <c r="PP113" s="624"/>
      <c r="PQ113" s="624"/>
      <c r="PR113" s="624"/>
      <c r="PS113" s="624"/>
      <c r="PT113" s="624"/>
      <c r="PU113" s="624"/>
      <c r="PV113" s="624"/>
      <c r="PW113" s="624"/>
      <c r="PX113" s="624"/>
      <c r="PY113" s="624"/>
      <c r="PZ113" s="624"/>
      <c r="QA113" s="624"/>
      <c r="QB113" s="624"/>
      <c r="QC113" s="624"/>
      <c r="QD113" s="624"/>
      <c r="QE113" s="624"/>
      <c r="QF113" s="624"/>
      <c r="QG113" s="624"/>
      <c r="QH113" s="624"/>
      <c r="QI113" s="624"/>
      <c r="QJ113" s="624"/>
      <c r="QK113" s="624"/>
      <c r="QL113" s="624"/>
      <c r="QM113" s="624"/>
      <c r="QN113" s="624"/>
      <c r="QO113" s="624"/>
      <c r="QP113" s="624"/>
      <c r="QQ113" s="624"/>
      <c r="QR113" s="624"/>
      <c r="QS113" s="624"/>
      <c r="QT113" s="624"/>
      <c r="QU113" s="624"/>
      <c r="QV113" s="624"/>
      <c r="QW113" s="624"/>
      <c r="QX113" s="624"/>
      <c r="QY113" s="624"/>
      <c r="QZ113" s="624"/>
      <c r="RA113" s="624"/>
      <c r="RB113" s="624"/>
      <c r="RC113" s="624"/>
      <c r="RD113" s="624"/>
      <c r="RE113" s="624"/>
      <c r="RF113" s="624"/>
      <c r="RG113" s="624"/>
      <c r="RH113" s="624"/>
      <c r="RI113" s="624"/>
      <c r="RJ113" s="624"/>
      <c r="RK113" s="624"/>
      <c r="RL113" s="624"/>
      <c r="RM113" s="624"/>
      <c r="RN113" s="624"/>
      <c r="RO113" s="624"/>
      <c r="RP113" s="624"/>
      <c r="RQ113" s="624"/>
      <c r="RR113" s="624"/>
      <c r="RS113" s="624"/>
      <c r="RT113" s="624"/>
      <c r="RU113" s="624"/>
      <c r="RV113" s="624"/>
      <c r="RW113" s="624"/>
      <c r="RX113" s="624"/>
      <c r="RY113" s="624"/>
      <c r="RZ113" s="624"/>
      <c r="SA113" s="624"/>
      <c r="SB113" s="624"/>
      <c r="SC113" s="624"/>
      <c r="SD113" s="624"/>
      <c r="SE113" s="624"/>
      <c r="SF113" s="624"/>
      <c r="SG113" s="624"/>
      <c r="SH113" s="624"/>
      <c r="SI113" s="624"/>
      <c r="SJ113" s="624"/>
      <c r="SK113" s="624"/>
      <c r="SL113" s="624"/>
      <c r="SM113" s="624"/>
      <c r="SN113" s="624"/>
      <c r="SO113" s="624"/>
      <c r="SP113" s="624"/>
      <c r="SQ113" s="624"/>
      <c r="SR113" s="624"/>
      <c r="SS113" s="624"/>
      <c r="ST113" s="624"/>
      <c r="SU113" s="624"/>
      <c r="SV113" s="624"/>
      <c r="SW113" s="624"/>
      <c r="SX113" s="624"/>
      <c r="SY113" s="624"/>
      <c r="SZ113" s="624"/>
      <c r="TA113" s="624"/>
      <c r="TB113" s="624"/>
      <c r="TC113" s="624"/>
      <c r="TD113" s="624"/>
      <c r="TE113" s="624"/>
      <c r="TF113" s="624"/>
      <c r="TG113" s="624"/>
      <c r="TH113" s="624"/>
      <c r="TI113" s="624"/>
      <c r="TJ113" s="624"/>
      <c r="TK113" s="624"/>
      <c r="TL113" s="624"/>
      <c r="TM113" s="624"/>
      <c r="TN113" s="624"/>
      <c r="TO113" s="624"/>
      <c r="TP113" s="624"/>
      <c r="TQ113" s="624"/>
      <c r="TR113" s="624"/>
      <c r="TS113" s="624"/>
      <c r="TT113" s="624"/>
      <c r="TU113" s="624"/>
      <c r="TV113" s="624"/>
      <c r="TW113" s="624"/>
      <c r="TX113" s="624"/>
      <c r="TY113" s="624"/>
      <c r="TZ113" s="624"/>
      <c r="UA113" s="624"/>
      <c r="UB113" s="624"/>
      <c r="UC113" s="624"/>
      <c r="UD113" s="624"/>
      <c r="UE113" s="624"/>
      <c r="UF113" s="624"/>
      <c r="UG113" s="624"/>
      <c r="UH113" s="624"/>
      <c r="UI113" s="624"/>
      <c r="UJ113" s="624"/>
      <c r="UK113" s="624"/>
      <c r="UL113" s="624"/>
      <c r="UM113" s="624"/>
      <c r="UN113" s="624"/>
      <c r="UO113" s="624"/>
      <c r="UP113" s="624"/>
      <c r="UQ113" s="624"/>
      <c r="UR113" s="624"/>
      <c r="US113" s="624"/>
      <c r="UT113" s="624"/>
      <c r="UU113" s="624"/>
      <c r="UV113" s="624"/>
      <c r="UW113" s="624"/>
      <c r="UX113" s="624"/>
      <c r="UY113" s="624"/>
      <c r="UZ113" s="624"/>
      <c r="VA113" s="624"/>
      <c r="VB113" s="624"/>
      <c r="VC113" s="624"/>
      <c r="VD113" s="624"/>
      <c r="VE113" s="624"/>
      <c r="VF113" s="624"/>
      <c r="VG113" s="624"/>
      <c r="VH113" s="624"/>
      <c r="VI113" s="624"/>
      <c r="VJ113" s="624"/>
      <c r="VK113" s="624"/>
      <c r="VL113" s="624"/>
      <c r="VM113" s="624"/>
      <c r="VN113" s="624"/>
      <c r="VO113" s="624"/>
      <c r="VP113" s="624"/>
      <c r="VQ113" s="624"/>
      <c r="VR113" s="624"/>
      <c r="VS113" s="624"/>
      <c r="VT113" s="624"/>
      <c r="VU113" s="624"/>
      <c r="VV113" s="624"/>
      <c r="VW113" s="624"/>
      <c r="VX113" s="624"/>
      <c r="VY113" s="624"/>
      <c r="VZ113" s="624"/>
      <c r="WA113" s="624"/>
      <c r="WB113" s="624"/>
      <c r="WC113" s="624"/>
      <c r="WD113" s="624"/>
      <c r="WE113" s="624"/>
      <c r="WF113" s="624"/>
      <c r="WG113" s="624"/>
      <c r="WH113" s="624"/>
      <c r="WI113" s="624"/>
      <c r="WJ113" s="624"/>
      <c r="WK113" s="624"/>
      <c r="WL113" s="624"/>
      <c r="WM113" s="624"/>
      <c r="WN113" s="624"/>
      <c r="WO113" s="624"/>
      <c r="WP113" s="624"/>
      <c r="WQ113" s="624"/>
      <c r="WR113" s="624"/>
      <c r="WS113" s="624"/>
      <c r="WT113" s="624"/>
      <c r="WU113" s="624"/>
      <c r="WV113" s="624"/>
      <c r="WW113" s="624"/>
      <c r="WX113" s="624"/>
      <c r="WY113" s="624"/>
      <c r="WZ113" s="624"/>
      <c r="XA113" s="624"/>
      <c r="XB113" s="624"/>
      <c r="XC113" s="624"/>
      <c r="XD113" s="624"/>
      <c r="XE113" s="624"/>
      <c r="XF113" s="624"/>
      <c r="XG113" s="624"/>
      <c r="XH113" s="624"/>
      <c r="XI113" s="624"/>
      <c r="XJ113" s="624"/>
      <c r="XK113" s="624"/>
      <c r="XL113" s="624"/>
      <c r="XM113" s="624"/>
      <c r="XN113" s="624"/>
      <c r="XO113" s="624"/>
      <c r="XP113" s="624"/>
      <c r="XQ113" s="624"/>
      <c r="XR113" s="624"/>
      <c r="XS113" s="624"/>
      <c r="XT113" s="624"/>
      <c r="XU113" s="624"/>
      <c r="XV113" s="624"/>
      <c r="XW113" s="624"/>
      <c r="XX113" s="624"/>
      <c r="XY113" s="624"/>
      <c r="XZ113" s="624"/>
      <c r="YA113" s="624"/>
      <c r="YB113" s="624"/>
      <c r="YC113" s="624"/>
      <c r="YD113" s="624"/>
      <c r="YE113" s="624"/>
      <c r="YF113" s="624"/>
      <c r="YG113" s="624"/>
      <c r="YH113" s="624"/>
      <c r="YI113" s="624"/>
      <c r="YJ113" s="624"/>
      <c r="YK113" s="624"/>
      <c r="YL113" s="624"/>
      <c r="YM113" s="624"/>
      <c r="YN113" s="624"/>
      <c r="YO113" s="624"/>
      <c r="YP113" s="624"/>
      <c r="YQ113" s="624"/>
      <c r="YR113" s="624"/>
      <c r="YS113" s="624"/>
      <c r="YT113" s="624"/>
      <c r="YU113" s="624"/>
      <c r="YV113" s="624"/>
      <c r="YW113" s="624"/>
      <c r="YX113" s="624"/>
      <c r="YY113" s="624"/>
      <c r="YZ113" s="624"/>
      <c r="ZA113" s="624"/>
      <c r="ZB113" s="624"/>
      <c r="ZC113" s="624"/>
      <c r="ZD113" s="624"/>
      <c r="ZE113" s="624"/>
      <c r="ZF113" s="624"/>
      <c r="ZG113" s="624"/>
      <c r="ZH113" s="624"/>
      <c r="ZI113" s="624"/>
      <c r="ZJ113" s="624"/>
      <c r="ZK113" s="624"/>
      <c r="ZL113" s="624"/>
      <c r="ZM113" s="624"/>
      <c r="ZN113" s="624"/>
      <c r="ZO113" s="624"/>
      <c r="ZP113" s="624"/>
      <c r="ZQ113" s="624"/>
      <c r="ZR113" s="624"/>
      <c r="ZS113" s="624"/>
      <c r="ZT113" s="624"/>
      <c r="ZU113" s="624"/>
      <c r="ZV113" s="624"/>
      <c r="ZW113" s="624"/>
      <c r="ZX113" s="624"/>
      <c r="ZY113" s="624"/>
      <c r="ZZ113" s="624"/>
      <c r="AAA113" s="624"/>
      <c r="AAB113" s="624"/>
      <c r="AAC113" s="624"/>
      <c r="AAD113" s="624"/>
      <c r="AAE113" s="624"/>
      <c r="AAF113" s="624"/>
      <c r="AAG113" s="624"/>
      <c r="AAH113" s="624"/>
      <c r="AAI113" s="624"/>
      <c r="AAJ113" s="624"/>
      <c r="AAK113" s="624"/>
      <c r="AAL113" s="624"/>
      <c r="AAM113" s="624"/>
      <c r="AAN113" s="624"/>
      <c r="AAO113" s="624"/>
      <c r="AAP113" s="624"/>
      <c r="AAQ113" s="624"/>
      <c r="AAR113" s="624"/>
      <c r="AAS113" s="624"/>
      <c r="AAT113" s="624"/>
      <c r="AAU113" s="624"/>
      <c r="AAV113" s="624"/>
      <c r="AAW113" s="624"/>
      <c r="AAX113" s="624"/>
      <c r="AAY113" s="624"/>
      <c r="AAZ113" s="624"/>
      <c r="ABA113" s="624"/>
      <c r="ABB113" s="624"/>
      <c r="ABC113" s="624"/>
      <c r="ABD113" s="624"/>
      <c r="ABE113" s="624"/>
      <c r="ABF113" s="624"/>
      <c r="ABG113" s="624"/>
      <c r="ABH113" s="624"/>
      <c r="ABI113" s="624"/>
      <c r="ABJ113" s="624"/>
      <c r="ABK113" s="624"/>
      <c r="ABL113" s="624"/>
      <c r="ABM113" s="624"/>
      <c r="ABN113" s="624"/>
      <c r="ABO113" s="624"/>
      <c r="ABP113" s="624"/>
      <c r="ABQ113" s="624"/>
      <c r="ABR113" s="624"/>
      <c r="ABS113" s="624"/>
      <c r="ABT113" s="624"/>
      <c r="ABU113" s="624"/>
      <c r="ABV113" s="624"/>
      <c r="ABW113" s="624"/>
      <c r="ABX113" s="624"/>
      <c r="ABY113" s="624"/>
      <c r="ABZ113" s="624"/>
      <c r="ACA113" s="624"/>
      <c r="ACB113" s="624"/>
      <c r="ACC113" s="624"/>
      <c r="ACD113" s="624"/>
      <c r="ACE113" s="624"/>
      <c r="ACF113" s="624"/>
      <c r="ACG113" s="624"/>
      <c r="ACH113" s="624"/>
      <c r="ACI113" s="624"/>
      <c r="ACJ113" s="624"/>
      <c r="ACK113" s="624"/>
      <c r="ACL113" s="624"/>
      <c r="ACM113" s="624"/>
      <c r="ACN113" s="624"/>
      <c r="ACO113" s="624"/>
      <c r="ACP113" s="624"/>
      <c r="ACQ113" s="624"/>
      <c r="ACR113" s="624"/>
      <c r="ACS113" s="624"/>
      <c r="ACT113" s="624"/>
      <c r="ACU113" s="624"/>
      <c r="ACV113" s="624"/>
      <c r="ACW113" s="624"/>
      <c r="ACX113" s="624"/>
      <c r="ACY113" s="624"/>
      <c r="ACZ113" s="624"/>
      <c r="ADA113" s="624"/>
      <c r="ADB113" s="624"/>
      <c r="ADC113" s="624"/>
      <c r="ADD113" s="624"/>
      <c r="ADE113" s="624"/>
      <c r="ADF113" s="624"/>
      <c r="ADG113" s="624"/>
      <c r="ADH113" s="624"/>
      <c r="ADI113" s="624"/>
      <c r="ADJ113" s="624"/>
      <c r="ADK113" s="624"/>
      <c r="ADL113" s="624"/>
      <c r="ADM113" s="624"/>
      <c r="ADN113" s="624"/>
      <c r="ADO113" s="624"/>
      <c r="ADP113" s="624"/>
      <c r="ADQ113" s="624"/>
      <c r="ADR113" s="624"/>
      <c r="ADS113" s="624"/>
      <c r="ADT113" s="624"/>
      <c r="ADU113" s="624"/>
      <c r="ADV113" s="624"/>
      <c r="ADW113" s="624"/>
      <c r="ADX113" s="624"/>
      <c r="ADY113" s="624"/>
      <c r="ADZ113" s="624"/>
      <c r="AEA113" s="624"/>
      <c r="AEB113" s="624"/>
      <c r="AEC113" s="624"/>
      <c r="AED113" s="624"/>
      <c r="AEE113" s="624"/>
      <c r="AEF113" s="624"/>
      <c r="AEG113" s="624"/>
      <c r="AEH113" s="624"/>
      <c r="AEI113" s="624"/>
      <c r="AEJ113" s="624"/>
      <c r="AEK113" s="624"/>
      <c r="AEL113" s="624"/>
      <c r="AEM113" s="624"/>
      <c r="AEN113" s="624"/>
      <c r="AEO113" s="624"/>
      <c r="AEP113" s="624"/>
      <c r="AEQ113" s="624"/>
      <c r="AER113" s="624"/>
      <c r="AES113" s="624"/>
      <c r="AET113" s="624"/>
      <c r="AEU113" s="624"/>
      <c r="AEV113" s="624"/>
      <c r="AEW113" s="624"/>
      <c r="AEX113" s="624"/>
      <c r="AEY113" s="624"/>
      <c r="AEZ113" s="624"/>
      <c r="AFA113" s="624"/>
      <c r="AFB113" s="624"/>
      <c r="AFC113" s="624"/>
      <c r="AFD113" s="624"/>
      <c r="AFE113" s="624"/>
      <c r="AFF113" s="624"/>
      <c r="AFG113" s="624"/>
      <c r="AFH113" s="624"/>
      <c r="AFI113" s="624"/>
      <c r="AFJ113" s="624"/>
      <c r="AFK113" s="624"/>
      <c r="AFL113" s="624"/>
      <c r="AFM113" s="624"/>
      <c r="AFN113" s="624"/>
      <c r="AFO113" s="624"/>
      <c r="AFP113" s="624"/>
      <c r="AFQ113" s="624"/>
      <c r="AFR113" s="624"/>
      <c r="AFS113" s="624"/>
      <c r="AFT113" s="624"/>
      <c r="AFU113" s="624"/>
      <c r="AFV113" s="624"/>
      <c r="AFW113" s="624"/>
      <c r="AFX113" s="624"/>
      <c r="AFY113" s="624"/>
      <c r="AFZ113" s="624"/>
      <c r="AGA113" s="624"/>
      <c r="AGB113" s="624"/>
      <c r="AGC113" s="624"/>
      <c r="AGD113" s="624"/>
      <c r="AGE113" s="624"/>
      <c r="AGF113" s="624"/>
      <c r="AGG113" s="624"/>
      <c r="AGH113" s="624"/>
      <c r="AGI113" s="624"/>
      <c r="AGJ113" s="624"/>
      <c r="AGK113" s="624"/>
      <c r="AGL113" s="624"/>
      <c r="AGM113" s="624"/>
      <c r="AGN113" s="624"/>
      <c r="AGO113" s="624"/>
      <c r="AGP113" s="624"/>
      <c r="AGQ113" s="624"/>
      <c r="AGR113" s="624"/>
      <c r="AGS113" s="624"/>
      <c r="AGT113" s="624"/>
      <c r="AGU113" s="624"/>
      <c r="AGV113" s="624"/>
      <c r="AGW113" s="624"/>
      <c r="AGX113" s="624"/>
      <c r="AGY113" s="624"/>
      <c r="AGZ113" s="624"/>
      <c r="AHA113" s="624"/>
      <c r="AHB113" s="624"/>
      <c r="AHC113" s="624"/>
      <c r="AHD113" s="624"/>
      <c r="AHE113" s="624"/>
      <c r="AHF113" s="624"/>
      <c r="AHG113" s="624"/>
      <c r="AHH113" s="624"/>
      <c r="AHI113" s="624"/>
      <c r="AHJ113" s="624"/>
      <c r="AHK113" s="624"/>
      <c r="AHL113" s="624"/>
      <c r="AHM113" s="624"/>
      <c r="AHN113" s="624"/>
      <c r="AHO113" s="624"/>
      <c r="AHP113" s="624"/>
      <c r="AHQ113" s="624"/>
      <c r="AHR113" s="624"/>
      <c r="AHS113" s="624"/>
      <c r="AHT113" s="624"/>
      <c r="AHU113" s="624"/>
      <c r="AHV113" s="624"/>
      <c r="AHW113" s="624"/>
      <c r="AHX113" s="624"/>
      <c r="AHY113" s="624"/>
      <c r="AHZ113" s="624"/>
      <c r="AIA113" s="624"/>
      <c r="AIB113" s="624"/>
      <c r="AIC113" s="624"/>
      <c r="AID113" s="624"/>
      <c r="AIE113" s="624"/>
      <c r="AIF113" s="624"/>
      <c r="AIG113" s="624"/>
      <c r="AIH113" s="624"/>
      <c r="AII113" s="624"/>
      <c r="AIJ113" s="624"/>
      <c r="AIK113" s="624"/>
      <c r="AIL113" s="624"/>
      <c r="AIM113" s="624"/>
      <c r="AIN113" s="624"/>
      <c r="AIO113" s="624"/>
      <c r="AIP113" s="624"/>
      <c r="AIQ113" s="624"/>
      <c r="AIR113" s="624"/>
      <c r="AIS113" s="624"/>
      <c r="AIT113" s="624"/>
      <c r="AIU113" s="624"/>
      <c r="AIV113" s="624"/>
      <c r="AIW113" s="624"/>
      <c r="AIX113" s="624"/>
      <c r="AIY113" s="624"/>
      <c r="AIZ113" s="624"/>
      <c r="AJA113" s="624"/>
      <c r="AJB113" s="624"/>
      <c r="AJC113" s="624"/>
      <c r="AJD113" s="624"/>
      <c r="AJE113" s="624"/>
      <c r="AJF113" s="624"/>
      <c r="AJG113" s="624"/>
      <c r="AJH113" s="624"/>
      <c r="AJI113" s="624"/>
      <c r="AJJ113" s="624"/>
      <c r="AJK113" s="624"/>
      <c r="AJL113" s="624"/>
      <c r="AJM113" s="624"/>
      <c r="AJN113" s="624"/>
      <c r="AJO113" s="624"/>
      <c r="AJP113" s="624"/>
      <c r="AJQ113" s="624"/>
      <c r="AJR113" s="624"/>
      <c r="AJS113" s="624"/>
      <c r="AJT113" s="624"/>
      <c r="AJU113" s="624"/>
      <c r="AJV113" s="624"/>
      <c r="AJW113" s="624"/>
      <c r="AJX113" s="624"/>
      <c r="AJY113" s="624"/>
      <c r="AJZ113" s="624"/>
      <c r="AKA113" s="624"/>
      <c r="AKB113" s="624"/>
      <c r="AKC113" s="624"/>
      <c r="AKD113" s="624"/>
      <c r="AKE113" s="624"/>
      <c r="AKF113" s="624"/>
      <c r="AKG113" s="624"/>
      <c r="AKH113" s="624"/>
      <c r="AKI113" s="624"/>
      <c r="AKJ113" s="624"/>
      <c r="AKK113" s="624"/>
      <c r="AKL113" s="624"/>
      <c r="AKM113" s="624"/>
      <c r="AKN113" s="624"/>
      <c r="AKO113" s="624"/>
      <c r="AKP113" s="624"/>
      <c r="AKQ113" s="624"/>
      <c r="AKR113" s="624"/>
      <c r="AKS113" s="624"/>
      <c r="AKT113" s="624"/>
      <c r="AKU113" s="624"/>
      <c r="AKV113" s="624"/>
      <c r="AKW113" s="624"/>
      <c r="AKX113" s="624"/>
      <c r="AKY113" s="624"/>
      <c r="AKZ113" s="624"/>
      <c r="ALA113" s="624"/>
      <c r="ALB113" s="624"/>
      <c r="ALC113" s="624"/>
      <c r="ALD113" s="624"/>
      <c r="ALE113" s="624"/>
      <c r="ALF113" s="624"/>
      <c r="ALG113" s="624"/>
      <c r="ALH113" s="624"/>
      <c r="ALI113" s="624"/>
      <c r="ALJ113" s="624"/>
      <c r="ALK113" s="624"/>
      <c r="ALL113" s="624"/>
      <c r="ALM113" s="624"/>
      <c r="ALN113" s="624"/>
      <c r="ALO113" s="624"/>
      <c r="ALP113" s="624"/>
      <c r="ALQ113" s="624"/>
      <c r="ALR113" s="624"/>
      <c r="ALS113" s="624"/>
      <c r="ALT113" s="624"/>
      <c r="ALU113" s="624"/>
      <c r="ALV113" s="624"/>
      <c r="ALW113" s="624"/>
      <c r="ALX113" s="624"/>
      <c r="ALY113" s="624"/>
      <c r="ALZ113" s="624"/>
      <c r="AMA113" s="624"/>
      <c r="AMB113" s="624"/>
      <c r="AMC113" s="624"/>
      <c r="AMD113" s="624"/>
      <c r="AME113" s="624"/>
      <c r="AMF113" s="624"/>
      <c r="AMG113" s="624"/>
      <c r="AMH113" s="624"/>
      <c r="AMI113" s="624"/>
      <c r="AMJ113" s="624"/>
      <c r="AMK113" s="624"/>
      <c r="AML113" s="624"/>
      <c r="AMM113" s="624"/>
      <c r="AMN113" s="624"/>
      <c r="AMO113" s="624"/>
      <c r="AMP113" s="624"/>
      <c r="AMQ113" s="624"/>
      <c r="AMR113" s="624"/>
      <c r="AMS113" s="624"/>
      <c r="AMT113" s="624"/>
      <c r="AMU113" s="624"/>
      <c r="AMV113" s="624"/>
      <c r="AMW113" s="624"/>
      <c r="AMX113" s="624"/>
      <c r="AMY113" s="624"/>
      <c r="AMZ113" s="624"/>
      <c r="ANA113" s="624"/>
      <c r="ANB113" s="624"/>
      <c r="ANC113" s="624"/>
      <c r="AND113" s="624"/>
      <c r="ANE113" s="624"/>
      <c r="ANF113" s="624"/>
      <c r="ANG113" s="624"/>
      <c r="ANH113" s="624"/>
      <c r="ANI113" s="624"/>
      <c r="ANJ113" s="624"/>
      <c r="ANK113" s="624"/>
      <c r="ANL113" s="624"/>
      <c r="ANM113" s="624"/>
      <c r="ANN113" s="624"/>
      <c r="ANO113" s="624"/>
      <c r="ANP113" s="624"/>
      <c r="ANQ113" s="624"/>
      <c r="ANR113" s="624"/>
      <c r="ANS113" s="624"/>
      <c r="ANT113" s="624"/>
      <c r="ANU113" s="624"/>
      <c r="ANV113" s="624"/>
      <c r="ANW113" s="624"/>
      <c r="ANX113" s="624"/>
      <c r="ANY113" s="624"/>
      <c r="ANZ113" s="624"/>
      <c r="AOA113" s="624"/>
      <c r="AOB113" s="624"/>
      <c r="AOC113" s="624"/>
      <c r="AOD113" s="624"/>
      <c r="AOE113" s="624"/>
      <c r="AOF113" s="624"/>
      <c r="AOG113" s="624"/>
      <c r="AOH113" s="624"/>
      <c r="AOI113" s="624"/>
      <c r="AOJ113" s="624"/>
      <c r="AOK113" s="624"/>
      <c r="AOL113" s="624"/>
      <c r="AOM113" s="624"/>
      <c r="AON113" s="624"/>
      <c r="AOO113" s="624"/>
      <c r="AOP113" s="624"/>
      <c r="AOQ113" s="624"/>
      <c r="AOR113" s="624"/>
      <c r="AOS113" s="624"/>
      <c r="AOT113" s="624"/>
      <c r="AOU113" s="624"/>
      <c r="AOV113" s="624"/>
      <c r="AOW113" s="624"/>
      <c r="AOX113" s="624"/>
      <c r="AOY113" s="624"/>
      <c r="AOZ113" s="624"/>
      <c r="APA113" s="624"/>
      <c r="APB113" s="624"/>
      <c r="APC113" s="624"/>
      <c r="APD113" s="624"/>
      <c r="APE113" s="624"/>
      <c r="APF113" s="624"/>
      <c r="APG113" s="624"/>
      <c r="APH113" s="624"/>
      <c r="API113" s="624"/>
      <c r="APJ113" s="624"/>
      <c r="APK113" s="624"/>
      <c r="APL113" s="624"/>
      <c r="APM113" s="624"/>
      <c r="APN113" s="624"/>
      <c r="APO113" s="624"/>
      <c r="APP113" s="624"/>
      <c r="APQ113" s="624"/>
      <c r="APR113" s="624"/>
      <c r="APS113" s="624"/>
      <c r="APT113" s="624"/>
      <c r="APU113" s="624"/>
      <c r="APV113" s="624"/>
      <c r="APW113" s="624"/>
      <c r="APX113" s="624"/>
      <c r="APY113" s="624"/>
      <c r="APZ113" s="624"/>
      <c r="AQA113" s="624"/>
      <c r="AQB113" s="624"/>
      <c r="AQC113" s="624"/>
      <c r="AQD113" s="624"/>
      <c r="AQE113" s="624"/>
      <c r="AQF113" s="624"/>
      <c r="AQG113" s="624"/>
      <c r="AQH113" s="624"/>
      <c r="AQI113" s="624"/>
      <c r="AQJ113" s="624"/>
      <c r="AQK113" s="624"/>
      <c r="AQL113" s="624"/>
      <c r="AQM113" s="624"/>
      <c r="AQN113" s="624"/>
      <c r="AQO113" s="624"/>
      <c r="AQP113" s="624"/>
      <c r="AQQ113" s="624"/>
      <c r="AQR113" s="624"/>
      <c r="AQS113" s="624"/>
      <c r="AQT113" s="624"/>
      <c r="AQU113" s="624"/>
      <c r="AQV113" s="624"/>
      <c r="AQW113" s="624"/>
      <c r="AQX113" s="624"/>
      <c r="AQY113" s="624"/>
      <c r="AQZ113" s="624"/>
      <c r="ARA113" s="624"/>
      <c r="ARB113" s="624"/>
      <c r="ARC113" s="624"/>
      <c r="ARD113" s="624"/>
      <c r="ARE113" s="624"/>
      <c r="ARF113" s="624"/>
      <c r="ARG113" s="624"/>
      <c r="ARH113" s="624"/>
      <c r="ARI113" s="624"/>
      <c r="ARJ113" s="624"/>
      <c r="ARK113" s="624"/>
      <c r="ARL113" s="624"/>
      <c r="ARM113" s="624"/>
      <c r="ARN113" s="624"/>
      <c r="ARO113" s="624"/>
      <c r="ARP113" s="624"/>
      <c r="ARQ113" s="624"/>
      <c r="ARR113" s="624"/>
      <c r="ARS113" s="624"/>
      <c r="ART113" s="624"/>
      <c r="ARU113" s="624"/>
      <c r="ARV113" s="624"/>
      <c r="ARW113" s="624"/>
      <c r="ARX113" s="624"/>
      <c r="ARY113" s="624"/>
      <c r="ARZ113" s="624"/>
      <c r="ASA113" s="624"/>
      <c r="ASB113" s="624"/>
      <c r="ASC113" s="624"/>
      <c r="ASD113" s="624"/>
      <c r="ASE113" s="624"/>
      <c r="ASF113" s="624"/>
      <c r="ASG113" s="624"/>
      <c r="ASH113" s="624"/>
      <c r="ASI113" s="624"/>
      <c r="ASJ113" s="624"/>
      <c r="ASK113" s="624"/>
      <c r="ASL113" s="624"/>
      <c r="ASM113" s="624"/>
      <c r="ASN113" s="624"/>
      <c r="ASO113" s="624"/>
      <c r="ASP113" s="624"/>
      <c r="ASQ113" s="624"/>
      <c r="ASR113" s="624"/>
      <c r="ASS113" s="624"/>
      <c r="AST113" s="624"/>
      <c r="ASU113" s="624"/>
      <c r="ASV113" s="624"/>
      <c r="ASW113" s="624"/>
      <c r="ASX113" s="624"/>
      <c r="ASY113" s="624"/>
      <c r="ASZ113" s="624"/>
      <c r="ATA113" s="624"/>
      <c r="ATB113" s="624"/>
      <c r="ATC113" s="624"/>
      <c r="ATD113" s="624"/>
      <c r="ATE113" s="624"/>
      <c r="ATF113" s="624"/>
      <c r="ATG113" s="624"/>
      <c r="ATH113" s="624"/>
      <c r="ATI113" s="624"/>
      <c r="ATJ113" s="624"/>
      <c r="ATK113" s="624"/>
      <c r="ATL113" s="624"/>
      <c r="ATM113" s="624"/>
      <c r="ATN113" s="624"/>
      <c r="ATO113" s="624"/>
      <c r="ATP113" s="624"/>
      <c r="ATQ113" s="624"/>
      <c r="ATR113" s="624"/>
      <c r="ATS113" s="624"/>
      <c r="ATT113" s="624"/>
      <c r="ATU113" s="624"/>
      <c r="ATV113" s="624"/>
      <c r="ATW113" s="624"/>
      <c r="ATX113" s="624"/>
      <c r="ATY113" s="624"/>
      <c r="ATZ113" s="624"/>
      <c r="AUA113" s="624"/>
      <c r="AUB113" s="624"/>
      <c r="AUC113" s="624"/>
      <c r="AUD113" s="624"/>
      <c r="AUE113" s="624"/>
      <c r="AUF113" s="624"/>
      <c r="AUG113" s="624"/>
      <c r="AUH113" s="624"/>
      <c r="AUI113" s="624"/>
      <c r="AUJ113" s="624"/>
      <c r="AUK113" s="624"/>
      <c r="AUL113" s="624"/>
      <c r="AUM113" s="624"/>
      <c r="AUN113" s="624"/>
      <c r="AUO113" s="624"/>
      <c r="AUP113" s="624"/>
      <c r="AUQ113" s="624"/>
      <c r="AUR113" s="624"/>
      <c r="AUS113" s="624"/>
      <c r="AUT113" s="624"/>
      <c r="AUU113" s="624"/>
      <c r="AUV113" s="624"/>
      <c r="AUW113" s="624"/>
      <c r="AUX113" s="624"/>
      <c r="AUY113" s="624"/>
      <c r="AUZ113" s="624"/>
      <c r="AVA113" s="624"/>
      <c r="AVB113" s="624"/>
      <c r="AVC113" s="624"/>
      <c r="AVD113" s="624"/>
      <c r="AVE113" s="624"/>
      <c r="AVF113" s="624"/>
      <c r="AVG113" s="624"/>
      <c r="AVH113" s="624"/>
      <c r="AVI113" s="624"/>
      <c r="AVJ113" s="624"/>
      <c r="AVK113" s="624"/>
      <c r="AVL113" s="624"/>
      <c r="AVM113" s="624"/>
      <c r="AVN113" s="624"/>
      <c r="AVO113" s="624"/>
      <c r="AVP113" s="624"/>
      <c r="AVQ113" s="624"/>
      <c r="AVR113" s="624"/>
      <c r="AVS113" s="624"/>
      <c r="AVT113" s="624"/>
      <c r="AVU113" s="624"/>
      <c r="AVV113" s="624"/>
      <c r="AVW113" s="624"/>
      <c r="AVX113" s="624"/>
      <c r="AVY113" s="624"/>
      <c r="AVZ113" s="624"/>
      <c r="AWA113" s="624"/>
      <c r="AWB113" s="624"/>
      <c r="AWC113" s="624"/>
      <c r="AWD113" s="624"/>
      <c r="AWE113" s="624"/>
      <c r="AWF113" s="624"/>
      <c r="AWG113" s="624"/>
      <c r="AWH113" s="624"/>
      <c r="AWI113" s="624"/>
      <c r="AWJ113" s="624"/>
      <c r="AWK113" s="624"/>
      <c r="AWL113" s="624"/>
      <c r="AWM113" s="624"/>
      <c r="AWN113" s="624"/>
      <c r="AWO113" s="624"/>
      <c r="AWP113" s="624"/>
      <c r="AWQ113" s="624"/>
      <c r="AWR113" s="624"/>
      <c r="AWS113" s="624"/>
      <c r="AWT113" s="624"/>
      <c r="AWU113" s="624"/>
      <c r="AWV113" s="624"/>
      <c r="AWW113" s="624"/>
      <c r="AWX113" s="624"/>
      <c r="AWY113" s="624"/>
      <c r="AWZ113" s="624"/>
      <c r="AXA113" s="624"/>
      <c r="AXB113" s="624"/>
      <c r="AXC113" s="624"/>
      <c r="AXD113" s="624"/>
      <c r="AXE113" s="624"/>
      <c r="AXF113" s="624"/>
      <c r="AXG113" s="624"/>
      <c r="AXH113" s="624"/>
      <c r="AXI113" s="624"/>
      <c r="AXJ113" s="624"/>
      <c r="AXK113" s="624"/>
      <c r="AXL113" s="624"/>
      <c r="AXM113" s="624"/>
      <c r="AXN113" s="624"/>
      <c r="AXO113" s="624"/>
      <c r="AXP113" s="624"/>
      <c r="AXQ113" s="624"/>
      <c r="AXR113" s="624"/>
      <c r="AXS113" s="624"/>
      <c r="AXT113" s="624"/>
      <c r="AXU113" s="624"/>
      <c r="AXV113" s="624"/>
      <c r="AXW113" s="624"/>
      <c r="AXX113" s="624"/>
      <c r="AXY113" s="624"/>
      <c r="AXZ113" s="624"/>
      <c r="AYA113" s="624"/>
      <c r="AYB113" s="624"/>
      <c r="AYC113" s="624"/>
      <c r="AYD113" s="624"/>
      <c r="AYE113" s="624"/>
      <c r="AYF113" s="624"/>
      <c r="AYG113" s="624"/>
      <c r="AYH113" s="624"/>
      <c r="AYI113" s="624"/>
      <c r="AYJ113" s="624"/>
      <c r="AYK113" s="624"/>
      <c r="AYL113" s="624"/>
      <c r="AYM113" s="624"/>
      <c r="AYN113" s="624"/>
      <c r="AYO113" s="624"/>
      <c r="AYP113" s="624"/>
      <c r="AYQ113" s="624"/>
      <c r="AYR113" s="624"/>
      <c r="AYS113" s="624"/>
      <c r="AYT113" s="624"/>
      <c r="AYU113" s="624"/>
      <c r="AYV113" s="624"/>
      <c r="AYW113" s="624"/>
      <c r="AYX113" s="624"/>
      <c r="AYY113" s="624"/>
      <c r="AYZ113" s="624"/>
      <c r="AZA113" s="624"/>
      <c r="AZB113" s="624"/>
      <c r="AZC113" s="624"/>
      <c r="AZD113" s="624"/>
      <c r="AZE113" s="624"/>
      <c r="AZF113" s="624"/>
      <c r="AZG113" s="624"/>
      <c r="AZH113" s="624"/>
      <c r="AZI113" s="624"/>
      <c r="AZJ113" s="624"/>
      <c r="AZK113" s="624"/>
      <c r="AZL113" s="624"/>
      <c r="AZM113" s="624"/>
      <c r="AZN113" s="624"/>
      <c r="AZO113" s="624"/>
      <c r="AZP113" s="624"/>
      <c r="AZQ113" s="624"/>
      <c r="AZR113" s="624"/>
      <c r="AZS113" s="624"/>
      <c r="AZT113" s="624"/>
      <c r="AZU113" s="624"/>
      <c r="AZV113" s="624"/>
      <c r="AZW113" s="624"/>
      <c r="AZX113" s="624"/>
      <c r="AZY113" s="624"/>
      <c r="AZZ113" s="624"/>
      <c r="BAA113" s="624"/>
      <c r="BAB113" s="624"/>
      <c r="BAC113" s="624"/>
      <c r="BAD113" s="624"/>
      <c r="BAE113" s="624"/>
      <c r="BAF113" s="624"/>
      <c r="BAG113" s="624"/>
      <c r="BAH113" s="624"/>
      <c r="BAI113" s="624"/>
      <c r="BAJ113" s="624"/>
      <c r="BAK113" s="624"/>
      <c r="BAL113" s="624"/>
      <c r="BAM113" s="624"/>
      <c r="BAN113" s="624"/>
      <c r="BAO113" s="624"/>
      <c r="BAP113" s="624"/>
      <c r="BAQ113" s="624"/>
      <c r="BAR113" s="624"/>
      <c r="BAS113" s="624"/>
      <c r="BAT113" s="624"/>
      <c r="BAU113" s="624"/>
      <c r="BAV113" s="624"/>
      <c r="BAW113" s="624"/>
      <c r="BAX113" s="624"/>
      <c r="BAY113" s="624"/>
      <c r="BAZ113" s="624"/>
      <c r="BBA113" s="624"/>
      <c r="BBB113" s="624"/>
      <c r="BBC113" s="624"/>
      <c r="BBD113" s="624"/>
      <c r="BBE113" s="624"/>
      <c r="BBF113" s="624"/>
      <c r="BBG113" s="624"/>
      <c r="BBH113" s="624"/>
      <c r="BBI113" s="624"/>
      <c r="BBJ113" s="624"/>
      <c r="BBK113" s="624"/>
      <c r="BBL113" s="624"/>
      <c r="BBM113" s="624"/>
      <c r="BBN113" s="624"/>
      <c r="BBO113" s="624"/>
      <c r="BBP113" s="624"/>
      <c r="BBQ113" s="624"/>
      <c r="BBR113" s="624"/>
      <c r="BBS113" s="624"/>
      <c r="BBT113" s="624"/>
      <c r="BBU113" s="624"/>
      <c r="BBV113" s="624"/>
      <c r="BBW113" s="624"/>
      <c r="BBX113" s="624"/>
      <c r="BBY113" s="624"/>
      <c r="BBZ113" s="624"/>
      <c r="BCA113" s="624"/>
      <c r="BCB113" s="624"/>
      <c r="BCC113" s="624"/>
      <c r="BCD113" s="624"/>
      <c r="BCE113" s="624"/>
      <c r="BCF113" s="624"/>
      <c r="BCG113" s="624"/>
      <c r="BCH113" s="624"/>
      <c r="BCI113" s="624"/>
      <c r="BCJ113" s="624"/>
      <c r="BCK113" s="624"/>
      <c r="BCL113" s="624"/>
      <c r="BCM113" s="624"/>
      <c r="BCN113" s="624"/>
      <c r="BCO113" s="624"/>
      <c r="BCP113" s="624"/>
      <c r="BCQ113" s="624"/>
      <c r="BCR113" s="624"/>
      <c r="BCS113" s="624"/>
      <c r="BCT113" s="624"/>
      <c r="BCU113" s="624"/>
      <c r="BCV113" s="624"/>
      <c r="BCW113" s="624"/>
      <c r="BCX113" s="624"/>
      <c r="BCY113" s="624"/>
      <c r="BCZ113" s="624"/>
      <c r="BDA113" s="624"/>
      <c r="BDB113" s="624"/>
      <c r="BDC113" s="624"/>
      <c r="BDD113" s="624"/>
      <c r="BDE113" s="624"/>
      <c r="BDF113" s="624"/>
      <c r="BDG113" s="624"/>
      <c r="BDH113" s="624"/>
      <c r="BDI113" s="624"/>
      <c r="BDJ113" s="624"/>
      <c r="BDK113" s="624"/>
      <c r="BDL113" s="624"/>
      <c r="BDM113" s="624"/>
      <c r="BDN113" s="624"/>
      <c r="BDO113" s="624"/>
      <c r="BDP113" s="624"/>
      <c r="BDQ113" s="624"/>
      <c r="BDR113" s="624"/>
      <c r="BDS113" s="624"/>
      <c r="BDT113" s="624"/>
      <c r="BDU113" s="624"/>
      <c r="BDV113" s="624"/>
      <c r="BDW113" s="624"/>
      <c r="BDX113" s="624"/>
      <c r="BDY113" s="624"/>
      <c r="BDZ113" s="624"/>
      <c r="BEA113" s="624"/>
      <c r="BEB113" s="624"/>
      <c r="BEC113" s="624"/>
      <c r="BED113" s="624"/>
      <c r="BEE113" s="624"/>
      <c r="BEF113" s="624"/>
      <c r="BEG113" s="624"/>
      <c r="BEH113" s="624"/>
      <c r="BEI113" s="624"/>
      <c r="BEJ113" s="624"/>
      <c r="BEK113" s="624"/>
      <c r="BEL113" s="624"/>
      <c r="BEM113" s="624"/>
      <c r="BEN113" s="624"/>
      <c r="BEO113" s="624"/>
      <c r="BEP113" s="624"/>
      <c r="BEQ113" s="624"/>
      <c r="BER113" s="624"/>
      <c r="BES113" s="624"/>
      <c r="BET113" s="624"/>
      <c r="BEU113" s="624"/>
      <c r="BEV113" s="624"/>
      <c r="BEW113" s="624"/>
      <c r="BEX113" s="624"/>
      <c r="BEY113" s="624"/>
      <c r="BEZ113" s="624"/>
      <c r="BFA113" s="624"/>
      <c r="BFB113" s="624"/>
      <c r="BFC113" s="624"/>
      <c r="BFD113" s="624"/>
      <c r="BFE113" s="624"/>
      <c r="BFF113" s="624"/>
      <c r="BFG113" s="624"/>
      <c r="BFH113" s="624"/>
      <c r="BFI113" s="624"/>
      <c r="BFJ113" s="624"/>
      <c r="BFK113" s="624"/>
      <c r="BFL113" s="624"/>
      <c r="BFM113" s="624"/>
      <c r="BFN113" s="624"/>
      <c r="BFO113" s="624"/>
      <c r="BFP113" s="624"/>
      <c r="BFQ113" s="624"/>
      <c r="BFR113" s="624"/>
      <c r="BFS113" s="624"/>
      <c r="BFT113" s="624"/>
      <c r="BFU113" s="624"/>
      <c r="BFV113" s="624"/>
      <c r="BFW113" s="624"/>
      <c r="BFX113" s="624"/>
      <c r="BFY113" s="624"/>
      <c r="BFZ113" s="624"/>
      <c r="BGA113" s="624"/>
      <c r="BGB113" s="624"/>
      <c r="BGC113" s="624"/>
      <c r="BGD113" s="624"/>
      <c r="BGE113" s="624"/>
      <c r="BGF113" s="624"/>
      <c r="BGG113" s="624"/>
      <c r="BGH113" s="624"/>
      <c r="BGI113" s="624"/>
      <c r="BGJ113" s="624"/>
      <c r="BGK113" s="624"/>
      <c r="BGL113" s="624"/>
      <c r="BGM113" s="624"/>
      <c r="BGN113" s="624"/>
      <c r="BGO113" s="624"/>
      <c r="BGP113" s="624"/>
      <c r="BGQ113" s="624"/>
      <c r="BGR113" s="624"/>
      <c r="BGS113" s="624"/>
      <c r="BGT113" s="624"/>
      <c r="BGU113" s="624"/>
      <c r="BGV113" s="624"/>
      <c r="BGW113" s="624"/>
      <c r="BGX113" s="624"/>
      <c r="BGY113" s="624"/>
      <c r="BGZ113" s="624"/>
      <c r="BHA113" s="624"/>
      <c r="BHB113" s="624"/>
      <c r="BHC113" s="624"/>
      <c r="BHD113" s="624"/>
      <c r="BHE113" s="624"/>
      <c r="BHF113" s="624"/>
      <c r="BHG113" s="624"/>
      <c r="BHH113" s="624"/>
      <c r="BHI113" s="624"/>
      <c r="BHJ113" s="624"/>
      <c r="BHK113" s="624"/>
      <c r="BHL113" s="624"/>
      <c r="BHM113" s="624"/>
      <c r="BHN113" s="624"/>
      <c r="BHO113" s="624"/>
      <c r="BHP113" s="624"/>
      <c r="BHQ113" s="624"/>
      <c r="BHR113" s="624"/>
      <c r="BHS113" s="624"/>
      <c r="BHT113" s="624"/>
      <c r="BHU113" s="624"/>
      <c r="BHV113" s="624"/>
      <c r="BHW113" s="624"/>
      <c r="BHX113" s="624"/>
      <c r="BHY113" s="624"/>
      <c r="BHZ113" s="624"/>
      <c r="BIA113" s="624"/>
      <c r="BIB113" s="624"/>
      <c r="BIC113" s="624"/>
      <c r="BID113" s="624"/>
      <c r="BIE113" s="624"/>
      <c r="BIF113" s="624"/>
      <c r="BIG113" s="624"/>
      <c r="BIH113" s="624"/>
      <c r="BII113" s="624"/>
      <c r="BIJ113" s="624"/>
      <c r="BIK113" s="624"/>
      <c r="BIL113" s="624"/>
      <c r="BIM113" s="624"/>
      <c r="BIN113" s="624"/>
      <c r="BIO113" s="624"/>
      <c r="BIP113" s="624"/>
      <c r="BIQ113" s="624"/>
      <c r="BIR113" s="624"/>
      <c r="BIS113" s="624"/>
      <c r="BIT113" s="624"/>
      <c r="BIU113" s="624"/>
      <c r="BIV113" s="624"/>
      <c r="BIW113" s="624"/>
      <c r="BIX113" s="624"/>
      <c r="BIY113" s="624"/>
      <c r="BIZ113" s="624"/>
      <c r="BJA113" s="624"/>
      <c r="BJB113" s="624"/>
      <c r="BJC113" s="624"/>
      <c r="BJD113" s="624"/>
      <c r="BJE113" s="624"/>
      <c r="BJF113" s="624"/>
      <c r="BJG113" s="624"/>
      <c r="BJH113" s="624"/>
      <c r="BJI113" s="624"/>
      <c r="BJJ113" s="624"/>
      <c r="BJK113" s="624"/>
      <c r="BJL113" s="624"/>
      <c r="BJM113" s="624"/>
      <c r="BJN113" s="624"/>
      <c r="BJO113" s="624"/>
      <c r="BJP113" s="624"/>
      <c r="BJQ113" s="624"/>
      <c r="BJR113" s="624"/>
      <c r="BJS113" s="624"/>
      <c r="BJT113" s="624"/>
      <c r="BJU113" s="624"/>
      <c r="BJV113" s="624"/>
      <c r="BJW113" s="624"/>
      <c r="BJX113" s="624"/>
      <c r="BJY113" s="624"/>
      <c r="BJZ113" s="624"/>
      <c r="BKA113" s="624"/>
      <c r="BKB113" s="624"/>
      <c r="BKC113" s="624"/>
      <c r="BKD113" s="624"/>
      <c r="BKE113" s="624"/>
      <c r="BKF113" s="624"/>
      <c r="BKG113" s="624"/>
      <c r="BKH113" s="624"/>
      <c r="BKI113" s="624"/>
      <c r="BKJ113" s="624"/>
      <c r="BKK113" s="624"/>
      <c r="BKL113" s="624"/>
      <c r="BKM113" s="624"/>
      <c r="BKN113" s="624"/>
      <c r="BKO113" s="624"/>
      <c r="BKP113" s="624"/>
      <c r="BKQ113" s="624"/>
      <c r="BKR113" s="624"/>
      <c r="BKS113" s="624"/>
      <c r="BKT113" s="624"/>
      <c r="BKU113" s="624"/>
      <c r="BKV113" s="624"/>
      <c r="BKW113" s="624"/>
      <c r="BKX113" s="624"/>
      <c r="BKY113" s="624"/>
      <c r="BKZ113" s="624"/>
      <c r="BLA113" s="624"/>
      <c r="BLB113" s="624"/>
      <c r="BLC113" s="624"/>
      <c r="BLD113" s="624"/>
      <c r="BLE113" s="624"/>
      <c r="BLF113" s="624"/>
      <c r="BLG113" s="624"/>
      <c r="BLH113" s="624"/>
      <c r="BLI113" s="624"/>
      <c r="BLJ113" s="624"/>
      <c r="BLK113" s="624"/>
      <c r="BLL113" s="624"/>
      <c r="BLM113" s="624"/>
      <c r="BLN113" s="624"/>
      <c r="BLO113" s="624"/>
      <c r="BLP113" s="624"/>
      <c r="BLQ113" s="624"/>
      <c r="BLR113" s="624"/>
      <c r="BLS113" s="624"/>
      <c r="BLT113" s="624"/>
      <c r="BLU113" s="624"/>
      <c r="BLV113" s="624"/>
      <c r="BLW113" s="624"/>
      <c r="BLX113" s="624"/>
      <c r="BLY113" s="624"/>
      <c r="BLZ113" s="624"/>
      <c r="BMA113" s="624"/>
      <c r="BMB113" s="624"/>
      <c r="BMC113" s="624"/>
      <c r="BMD113" s="624"/>
      <c r="BME113" s="624"/>
      <c r="BMF113" s="624"/>
      <c r="BMG113" s="624"/>
      <c r="BMH113" s="624"/>
      <c r="BMI113" s="624"/>
      <c r="BMJ113" s="624"/>
      <c r="BMK113" s="624"/>
      <c r="BML113" s="624"/>
      <c r="BMM113" s="624"/>
      <c r="BMN113" s="624"/>
      <c r="BMO113" s="624"/>
      <c r="BMP113" s="624"/>
      <c r="BMQ113" s="624"/>
      <c r="BMR113" s="624"/>
      <c r="BMS113" s="624"/>
      <c r="BMT113" s="624"/>
      <c r="BMU113" s="624"/>
      <c r="BMV113" s="624"/>
      <c r="BMW113" s="624"/>
      <c r="BMX113" s="624"/>
      <c r="BMY113" s="624"/>
      <c r="BMZ113" s="624"/>
      <c r="BNA113" s="624"/>
      <c r="BNB113" s="624"/>
      <c r="BNC113" s="624"/>
      <c r="BND113" s="624"/>
      <c r="BNE113" s="624"/>
      <c r="BNF113" s="624"/>
      <c r="BNG113" s="624"/>
      <c r="BNH113" s="624"/>
      <c r="BNI113" s="624"/>
      <c r="BNJ113" s="624"/>
      <c r="BNK113" s="624"/>
      <c r="BNL113" s="624"/>
      <c r="BNM113" s="624"/>
      <c r="BNN113" s="624"/>
      <c r="BNO113" s="624"/>
      <c r="BNP113" s="624"/>
      <c r="BNQ113" s="624"/>
      <c r="BNR113" s="624"/>
      <c r="BNS113" s="624"/>
      <c r="BNT113" s="624"/>
      <c r="BNU113" s="624"/>
      <c r="BNV113" s="624"/>
      <c r="BNW113" s="624"/>
      <c r="BNX113" s="624"/>
      <c r="BNY113" s="624"/>
      <c r="BNZ113" s="624"/>
      <c r="BOA113" s="624"/>
      <c r="BOB113" s="624"/>
      <c r="BOC113" s="624"/>
      <c r="BOD113" s="624"/>
      <c r="BOE113" s="624"/>
      <c r="BOF113" s="624"/>
      <c r="BOG113" s="624"/>
      <c r="BOH113" s="624"/>
      <c r="BOI113" s="624"/>
      <c r="BOJ113" s="624"/>
      <c r="BOK113" s="624"/>
      <c r="BOL113" s="624"/>
      <c r="BOM113" s="624"/>
      <c r="BON113" s="624"/>
      <c r="BOO113" s="624"/>
      <c r="BOP113" s="624"/>
      <c r="BOQ113" s="624"/>
      <c r="BOR113" s="624"/>
      <c r="BOS113" s="624"/>
      <c r="BOT113" s="624"/>
      <c r="BOU113" s="624"/>
      <c r="BOV113" s="624"/>
      <c r="BOW113" s="624"/>
      <c r="BOX113" s="624"/>
      <c r="BOY113" s="624"/>
      <c r="BOZ113" s="624"/>
      <c r="BPA113" s="624"/>
      <c r="BPB113" s="624"/>
      <c r="BPC113" s="624"/>
      <c r="BPD113" s="624"/>
      <c r="BPE113" s="624"/>
      <c r="BPF113" s="624"/>
      <c r="BPG113" s="624"/>
      <c r="BPH113" s="624"/>
      <c r="BPI113" s="624"/>
      <c r="BPJ113" s="624"/>
      <c r="BPK113" s="624"/>
      <c r="BPL113" s="624"/>
      <c r="BPM113" s="624"/>
      <c r="BPN113" s="624"/>
      <c r="BPO113" s="624"/>
      <c r="BPP113" s="624"/>
      <c r="BPQ113" s="624"/>
      <c r="BPR113" s="624"/>
      <c r="BPS113" s="624"/>
      <c r="BPT113" s="624"/>
      <c r="BPU113" s="624"/>
      <c r="BPV113" s="624"/>
      <c r="BPW113" s="624"/>
      <c r="BPX113" s="624"/>
      <c r="BPY113" s="624"/>
      <c r="BPZ113" s="624"/>
      <c r="BQA113" s="624"/>
      <c r="BQB113" s="624"/>
      <c r="BQC113" s="624"/>
      <c r="BQD113" s="624"/>
      <c r="BQE113" s="624"/>
      <c r="BQF113" s="624"/>
      <c r="BQG113" s="624"/>
      <c r="BQH113" s="624"/>
      <c r="BQI113" s="624"/>
      <c r="BQJ113" s="624"/>
      <c r="BQK113" s="624"/>
      <c r="BQL113" s="624"/>
      <c r="BQM113" s="624"/>
      <c r="BQN113" s="624"/>
      <c r="BQO113" s="624"/>
      <c r="BQP113" s="624"/>
      <c r="BQQ113" s="624"/>
      <c r="BQR113" s="624"/>
      <c r="BQS113" s="624"/>
      <c r="BQT113" s="624"/>
      <c r="BQU113" s="624"/>
      <c r="BQV113" s="624"/>
      <c r="BQW113" s="624"/>
      <c r="BQX113" s="624"/>
      <c r="BQY113" s="624"/>
      <c r="BQZ113" s="624"/>
      <c r="BRA113" s="624"/>
      <c r="BRB113" s="624"/>
      <c r="BRC113" s="624"/>
      <c r="BRD113" s="624"/>
      <c r="BRE113" s="624"/>
      <c r="BRF113" s="624"/>
      <c r="BRG113" s="624"/>
      <c r="BRH113" s="624"/>
      <c r="BRI113" s="624"/>
      <c r="BRJ113" s="624"/>
      <c r="BRK113" s="624"/>
      <c r="BRL113" s="624"/>
      <c r="BRM113" s="624"/>
      <c r="BRN113" s="624"/>
      <c r="BRO113" s="624"/>
      <c r="BRP113" s="624"/>
      <c r="BRQ113" s="624"/>
      <c r="BRR113" s="624"/>
      <c r="BRS113" s="624"/>
      <c r="BRT113" s="624"/>
      <c r="BRU113" s="624"/>
      <c r="BRV113" s="624"/>
      <c r="BRW113" s="624"/>
      <c r="BRX113" s="624"/>
      <c r="BRY113" s="624"/>
      <c r="BRZ113" s="624"/>
      <c r="BSA113" s="624"/>
      <c r="BSB113" s="624"/>
      <c r="BSC113" s="624"/>
      <c r="BSD113" s="624"/>
      <c r="BSE113" s="624"/>
      <c r="BSF113" s="624"/>
      <c r="BSG113" s="624"/>
      <c r="BSH113" s="624"/>
      <c r="BSI113" s="624"/>
      <c r="BSJ113" s="624"/>
      <c r="BSK113" s="624"/>
      <c r="BSL113" s="624"/>
      <c r="BSM113" s="624"/>
      <c r="BSN113" s="624"/>
      <c r="BSO113" s="624"/>
      <c r="BSP113" s="624"/>
      <c r="BSQ113" s="624"/>
      <c r="BSR113" s="624"/>
      <c r="BSS113" s="624"/>
      <c r="BST113" s="624"/>
      <c r="BSU113" s="624"/>
      <c r="BSV113" s="624"/>
      <c r="BSW113" s="624"/>
      <c r="BSX113" s="624"/>
      <c r="BSY113" s="624"/>
      <c r="BSZ113" s="624"/>
      <c r="BTA113" s="624"/>
      <c r="BTB113" s="624"/>
      <c r="BTC113" s="624"/>
      <c r="BTD113" s="624"/>
      <c r="BTE113" s="624"/>
      <c r="BTF113" s="624"/>
      <c r="BTG113" s="624"/>
      <c r="BTH113" s="624"/>
      <c r="BTI113" s="624"/>
      <c r="BTJ113" s="624"/>
      <c r="BTK113" s="624"/>
      <c r="BTL113" s="624"/>
      <c r="BTM113" s="624"/>
      <c r="BTN113" s="624"/>
      <c r="BTO113" s="624"/>
      <c r="BTP113" s="624"/>
      <c r="BTQ113" s="624"/>
      <c r="BTR113" s="624"/>
      <c r="BTS113" s="624"/>
      <c r="BTT113" s="624"/>
      <c r="BTU113" s="624"/>
      <c r="BTV113" s="624"/>
      <c r="BTW113" s="624"/>
      <c r="BTX113" s="624"/>
      <c r="BTY113" s="624"/>
      <c r="BTZ113" s="624"/>
      <c r="BUA113" s="624"/>
      <c r="BUB113" s="624"/>
      <c r="BUC113" s="624"/>
      <c r="BUD113" s="624"/>
      <c r="BUE113" s="624"/>
      <c r="BUF113" s="624"/>
      <c r="BUG113" s="624"/>
      <c r="BUH113" s="624"/>
      <c r="BUI113" s="624"/>
      <c r="BUJ113" s="624"/>
      <c r="BUK113" s="624"/>
      <c r="BUL113" s="624"/>
      <c r="BUM113" s="624"/>
      <c r="BUN113" s="624"/>
      <c r="BUO113" s="624"/>
      <c r="BUP113" s="624"/>
      <c r="BUQ113" s="624"/>
      <c r="BUR113" s="624"/>
      <c r="BUS113" s="624"/>
      <c r="BUT113" s="624"/>
      <c r="BUU113" s="624"/>
      <c r="BUV113" s="624"/>
      <c r="BUW113" s="624"/>
      <c r="BUX113" s="624"/>
      <c r="BUY113" s="624"/>
      <c r="BUZ113" s="624"/>
      <c r="BVA113" s="624"/>
      <c r="BVB113" s="624"/>
      <c r="BVC113" s="624"/>
      <c r="BVD113" s="624"/>
      <c r="BVE113" s="624"/>
      <c r="BVF113" s="624"/>
      <c r="BVG113" s="624"/>
      <c r="BVH113" s="624"/>
      <c r="BVI113" s="624"/>
      <c r="BVJ113" s="624"/>
      <c r="BVK113" s="624"/>
      <c r="BVL113" s="624"/>
      <c r="BVM113" s="624"/>
      <c r="BVN113" s="624"/>
      <c r="BVO113" s="624"/>
      <c r="BVP113" s="624"/>
      <c r="BVQ113" s="624"/>
      <c r="BVR113" s="624"/>
      <c r="BVS113" s="624"/>
      <c r="BVT113" s="624"/>
      <c r="BVU113" s="624"/>
      <c r="BVV113" s="624"/>
      <c r="BVW113" s="624"/>
      <c r="BVX113" s="624"/>
      <c r="BVY113" s="624"/>
      <c r="BVZ113" s="624"/>
      <c r="BWA113" s="624"/>
      <c r="BWB113" s="624"/>
      <c r="BWC113" s="624"/>
      <c r="BWD113" s="624"/>
      <c r="BWE113" s="624"/>
      <c r="BWF113" s="624"/>
      <c r="BWG113" s="624"/>
      <c r="BWH113" s="624"/>
      <c r="BWI113" s="624"/>
      <c r="BWJ113" s="624"/>
      <c r="BWK113" s="624"/>
      <c r="BWL113" s="624"/>
      <c r="BWM113" s="624"/>
      <c r="BWN113" s="624"/>
      <c r="BWO113" s="624"/>
      <c r="BWP113" s="624"/>
      <c r="BWQ113" s="624"/>
      <c r="BWR113" s="624"/>
      <c r="BWS113" s="624"/>
      <c r="BWT113" s="624"/>
      <c r="BWU113" s="624"/>
      <c r="BWV113" s="624"/>
      <c r="BWW113" s="624"/>
      <c r="BWX113" s="624"/>
      <c r="BWY113" s="624"/>
      <c r="BWZ113" s="624"/>
      <c r="BXA113" s="624"/>
      <c r="BXB113" s="624"/>
      <c r="BXC113" s="624"/>
      <c r="BXD113" s="624"/>
      <c r="BXE113" s="624"/>
      <c r="BXF113" s="624"/>
    </row>
    <row r="114" spans="1:1982" s="2893" customFormat="1" ht="18" thickBot="1" x14ac:dyDescent="0.35">
      <c r="A114" s="2829" t="s">
        <v>2844</v>
      </c>
      <c r="B114" s="2891">
        <v>5681.8225991499994</v>
      </c>
      <c r="C114" s="2891">
        <v>4922.9812535399988</v>
      </c>
      <c r="D114" s="2891">
        <v>6902.3129092670397</v>
      </c>
      <c r="E114" s="2891">
        <v>7792.3800382303325</v>
      </c>
      <c r="F114" s="2891">
        <v>10091.131090879226</v>
      </c>
      <c r="G114" s="2891">
        <v>11718.668688750769</v>
      </c>
      <c r="H114" s="2891">
        <v>12114.068540410874</v>
      </c>
      <c r="I114" s="2891">
        <v>12640.246368763939</v>
      </c>
      <c r="J114" s="2891">
        <v>15895.765230898771</v>
      </c>
      <c r="K114" s="2891">
        <v>17559.013673898582</v>
      </c>
      <c r="L114" s="2891">
        <v>17851.617274404562</v>
      </c>
      <c r="M114" s="2891">
        <v>17879.804387897188</v>
      </c>
      <c r="N114" s="2891">
        <v>17071.525297385113</v>
      </c>
      <c r="O114" s="2891">
        <v>17009.088262296293</v>
      </c>
      <c r="P114" s="2891">
        <v>16767.69569164209</v>
      </c>
      <c r="Q114" s="2891">
        <v>17497.913567099931</v>
      </c>
      <c r="R114" s="2891">
        <v>19160.352829791642</v>
      </c>
      <c r="S114" s="2891">
        <v>19629.204013814593</v>
      </c>
      <c r="T114" s="2891">
        <v>19171.818828711854</v>
      </c>
      <c r="U114" s="2891">
        <v>19807.696388012831</v>
      </c>
      <c r="V114" s="624"/>
      <c r="W114" s="624"/>
      <c r="X114" s="624"/>
      <c r="Y114" s="624"/>
      <c r="Z114" s="624"/>
      <c r="AA114" s="624"/>
      <c r="AB114" s="624"/>
      <c r="AC114" s="624"/>
      <c r="AD114" s="624"/>
      <c r="AE114" s="624"/>
      <c r="AF114" s="624"/>
      <c r="AG114" s="624"/>
      <c r="AH114" s="624"/>
      <c r="AI114" s="624"/>
      <c r="AJ114" s="624"/>
      <c r="AK114" s="624"/>
      <c r="AL114" s="624"/>
      <c r="AM114" s="624"/>
      <c r="AN114" s="624"/>
      <c r="AO114" s="624"/>
      <c r="AP114" s="624"/>
      <c r="AQ114" s="624"/>
      <c r="AR114" s="624"/>
      <c r="AS114" s="624"/>
      <c r="AT114" s="624"/>
      <c r="AU114" s="624"/>
      <c r="AV114" s="624"/>
      <c r="AW114" s="624"/>
      <c r="AX114" s="624"/>
      <c r="AY114" s="624"/>
      <c r="AZ114" s="624"/>
      <c r="BA114" s="624"/>
      <c r="BB114" s="624"/>
      <c r="BC114" s="624"/>
      <c r="BD114" s="624"/>
      <c r="BE114" s="624"/>
      <c r="BF114" s="624"/>
      <c r="BG114" s="624"/>
      <c r="BH114" s="624"/>
      <c r="BI114" s="624"/>
      <c r="BJ114" s="624"/>
      <c r="BK114" s="624"/>
      <c r="BL114" s="624"/>
      <c r="BM114" s="624"/>
      <c r="BN114" s="624"/>
      <c r="BO114" s="624"/>
      <c r="BP114" s="624"/>
      <c r="BQ114" s="624"/>
      <c r="BR114" s="624"/>
      <c r="BS114" s="624"/>
      <c r="BT114" s="624"/>
      <c r="BU114" s="624"/>
      <c r="BV114" s="624"/>
      <c r="BW114" s="624"/>
      <c r="BX114" s="624"/>
      <c r="BY114" s="624"/>
      <c r="BZ114" s="624"/>
      <c r="CA114" s="624"/>
      <c r="CB114" s="624"/>
      <c r="CC114" s="624"/>
      <c r="CD114" s="624"/>
      <c r="CE114" s="624"/>
      <c r="CF114" s="624"/>
      <c r="CG114" s="624"/>
      <c r="CH114" s="624"/>
      <c r="CI114" s="624"/>
      <c r="CJ114" s="624"/>
      <c r="CK114" s="624"/>
      <c r="CL114" s="624"/>
      <c r="CM114" s="624"/>
      <c r="CN114" s="624"/>
      <c r="CO114" s="624"/>
      <c r="CP114" s="624"/>
      <c r="CQ114" s="624"/>
      <c r="CR114" s="624"/>
      <c r="CS114" s="624"/>
      <c r="CT114" s="624"/>
      <c r="CU114" s="624"/>
      <c r="CV114" s="624"/>
      <c r="CW114" s="624"/>
      <c r="CX114" s="624"/>
      <c r="CY114" s="624"/>
      <c r="CZ114" s="624"/>
      <c r="DA114" s="624"/>
      <c r="DB114" s="624"/>
      <c r="DC114" s="624"/>
      <c r="DD114" s="624"/>
      <c r="DE114" s="624"/>
      <c r="DF114" s="624"/>
      <c r="DG114" s="624"/>
      <c r="DH114" s="624"/>
      <c r="DI114" s="624"/>
      <c r="DJ114" s="624"/>
      <c r="DK114" s="624"/>
      <c r="DL114" s="624"/>
      <c r="DM114" s="624"/>
      <c r="DN114" s="624"/>
      <c r="DO114" s="624"/>
      <c r="DP114" s="624"/>
      <c r="DQ114" s="624"/>
      <c r="DR114" s="624"/>
      <c r="DS114" s="624"/>
      <c r="DT114" s="624"/>
      <c r="DU114" s="624"/>
      <c r="DV114" s="624"/>
      <c r="DW114" s="624"/>
      <c r="DX114" s="624"/>
      <c r="DY114" s="624"/>
      <c r="DZ114" s="624"/>
      <c r="EA114" s="624"/>
      <c r="EB114" s="624"/>
      <c r="EC114" s="624"/>
      <c r="ED114" s="624"/>
      <c r="EE114" s="624"/>
      <c r="EF114" s="624"/>
      <c r="EG114" s="624"/>
      <c r="EH114" s="624"/>
      <c r="EI114" s="624"/>
      <c r="EJ114" s="624"/>
      <c r="EK114" s="624"/>
      <c r="EL114" s="624"/>
      <c r="EM114" s="624"/>
      <c r="EN114" s="624"/>
      <c r="EO114" s="624"/>
      <c r="EP114" s="624"/>
      <c r="EQ114" s="624"/>
      <c r="ER114" s="624"/>
      <c r="ES114" s="624"/>
      <c r="ET114" s="624"/>
      <c r="EU114" s="624"/>
      <c r="EV114" s="624"/>
      <c r="EW114" s="624"/>
      <c r="EX114" s="624"/>
      <c r="EY114" s="624"/>
      <c r="EZ114" s="624"/>
      <c r="FA114" s="624"/>
      <c r="FB114" s="624"/>
      <c r="FC114" s="624"/>
      <c r="FD114" s="624"/>
      <c r="FE114" s="624"/>
      <c r="FF114" s="624"/>
      <c r="FG114" s="624"/>
      <c r="FH114" s="624"/>
      <c r="FI114" s="624"/>
      <c r="FJ114" s="624"/>
      <c r="FK114" s="624"/>
      <c r="FL114" s="624"/>
      <c r="FM114" s="624"/>
      <c r="FN114" s="624"/>
      <c r="FO114" s="624"/>
      <c r="FP114" s="624"/>
      <c r="FQ114" s="624"/>
      <c r="FR114" s="624"/>
      <c r="FS114" s="624"/>
      <c r="FT114" s="624"/>
      <c r="FU114" s="624"/>
      <c r="FV114" s="624"/>
      <c r="FW114" s="624"/>
      <c r="FX114" s="624"/>
      <c r="FY114" s="624"/>
      <c r="FZ114" s="624"/>
      <c r="GA114" s="624"/>
      <c r="GB114" s="624"/>
      <c r="GC114" s="624"/>
      <c r="GD114" s="624"/>
      <c r="GE114" s="624"/>
      <c r="GF114" s="624"/>
      <c r="GG114" s="624"/>
      <c r="GH114" s="624"/>
      <c r="GI114" s="624"/>
      <c r="GJ114" s="624"/>
      <c r="GK114" s="624"/>
      <c r="GL114" s="624"/>
      <c r="GM114" s="624"/>
      <c r="GN114" s="624"/>
      <c r="GO114" s="624"/>
      <c r="GP114" s="624"/>
      <c r="GQ114" s="624"/>
      <c r="GR114" s="624"/>
      <c r="GS114" s="624"/>
      <c r="GT114" s="624"/>
      <c r="GU114" s="624"/>
      <c r="GV114" s="624"/>
      <c r="GW114" s="624"/>
      <c r="GX114" s="624"/>
      <c r="GY114" s="624"/>
      <c r="GZ114" s="624"/>
      <c r="HA114" s="624"/>
      <c r="HB114" s="624"/>
      <c r="HC114" s="624"/>
      <c r="HD114" s="624"/>
      <c r="HE114" s="624"/>
      <c r="HF114" s="624"/>
      <c r="HG114" s="624"/>
      <c r="HH114" s="624"/>
      <c r="HI114" s="624"/>
      <c r="HJ114" s="624"/>
      <c r="HK114" s="624"/>
      <c r="HL114" s="624"/>
      <c r="HM114" s="624"/>
      <c r="HN114" s="624"/>
      <c r="HO114" s="624"/>
      <c r="HP114" s="624"/>
      <c r="HQ114" s="624"/>
      <c r="HR114" s="624"/>
      <c r="HS114" s="624"/>
      <c r="HT114" s="624"/>
      <c r="HU114" s="624"/>
      <c r="HV114" s="624"/>
      <c r="HW114" s="624"/>
      <c r="HX114" s="624"/>
      <c r="HY114" s="624"/>
      <c r="HZ114" s="624"/>
      <c r="IA114" s="624"/>
      <c r="IB114" s="624"/>
      <c r="IC114" s="624"/>
      <c r="ID114" s="624"/>
      <c r="IE114" s="624"/>
      <c r="IF114" s="624"/>
      <c r="IG114" s="624"/>
      <c r="IH114" s="624"/>
      <c r="II114" s="624"/>
      <c r="IJ114" s="624"/>
      <c r="IK114" s="624"/>
      <c r="IL114" s="624"/>
      <c r="IM114" s="624"/>
      <c r="IN114" s="624"/>
      <c r="IO114" s="624"/>
      <c r="IP114" s="624"/>
      <c r="IQ114" s="624"/>
      <c r="IR114" s="624"/>
      <c r="IS114" s="624"/>
      <c r="IT114" s="624"/>
      <c r="IU114" s="624"/>
      <c r="IV114" s="624"/>
      <c r="IW114" s="624"/>
      <c r="IX114" s="624"/>
      <c r="IY114" s="624"/>
      <c r="IZ114" s="624"/>
      <c r="JA114" s="624"/>
      <c r="JB114" s="624"/>
      <c r="JC114" s="624"/>
      <c r="JD114" s="624"/>
      <c r="JE114" s="624"/>
      <c r="JF114" s="624"/>
      <c r="JG114" s="624"/>
      <c r="JH114" s="624"/>
      <c r="JI114" s="624"/>
      <c r="JJ114" s="624"/>
      <c r="JK114" s="624"/>
      <c r="JL114" s="624"/>
      <c r="JM114" s="624"/>
      <c r="JN114" s="624"/>
      <c r="JO114" s="624"/>
      <c r="JP114" s="624"/>
      <c r="JQ114" s="624"/>
      <c r="JR114" s="624"/>
      <c r="JS114" s="624"/>
      <c r="JT114" s="624"/>
      <c r="JU114" s="624"/>
      <c r="JV114" s="624"/>
      <c r="JW114" s="624"/>
      <c r="JX114" s="624"/>
      <c r="JY114" s="624"/>
      <c r="JZ114" s="624"/>
      <c r="KA114" s="624"/>
      <c r="KB114" s="624"/>
      <c r="KC114" s="624"/>
      <c r="KD114" s="624"/>
      <c r="KE114" s="624"/>
      <c r="KF114" s="624"/>
      <c r="KG114" s="624"/>
      <c r="KH114" s="624"/>
      <c r="KI114" s="624"/>
      <c r="KJ114" s="624"/>
      <c r="KK114" s="624"/>
      <c r="KL114" s="624"/>
      <c r="KM114" s="624"/>
      <c r="KN114" s="624"/>
      <c r="KO114" s="624"/>
      <c r="KP114" s="624"/>
      <c r="KQ114" s="624"/>
      <c r="KR114" s="624"/>
      <c r="KS114" s="624"/>
      <c r="KT114" s="624"/>
      <c r="KU114" s="624"/>
      <c r="KV114" s="624"/>
      <c r="KW114" s="624"/>
      <c r="KX114" s="624"/>
      <c r="KY114" s="624"/>
      <c r="KZ114" s="624"/>
      <c r="LA114" s="624"/>
      <c r="LB114" s="624"/>
      <c r="LC114" s="624"/>
      <c r="LD114" s="624"/>
      <c r="LE114" s="624"/>
      <c r="LF114" s="624"/>
      <c r="LG114" s="624"/>
      <c r="LH114" s="624"/>
      <c r="LI114" s="624"/>
      <c r="LJ114" s="624"/>
      <c r="LK114" s="624"/>
      <c r="LL114" s="624"/>
      <c r="LM114" s="624"/>
      <c r="LN114" s="624"/>
      <c r="LO114" s="624"/>
      <c r="LP114" s="624"/>
      <c r="LQ114" s="624"/>
      <c r="LR114" s="624"/>
      <c r="LS114" s="624"/>
      <c r="LT114" s="624"/>
      <c r="LU114" s="624"/>
      <c r="LV114" s="624"/>
      <c r="LW114" s="624"/>
      <c r="LX114" s="624"/>
      <c r="LY114" s="624"/>
      <c r="LZ114" s="624"/>
      <c r="MA114" s="624"/>
      <c r="MB114" s="624"/>
      <c r="MC114" s="624"/>
      <c r="MD114" s="624"/>
      <c r="ME114" s="624"/>
      <c r="MF114" s="624"/>
      <c r="MG114" s="624"/>
      <c r="MH114" s="624"/>
      <c r="MI114" s="624"/>
      <c r="MJ114" s="624"/>
      <c r="MK114" s="624"/>
      <c r="ML114" s="624"/>
      <c r="MM114" s="624"/>
      <c r="MN114" s="624"/>
      <c r="MO114" s="624"/>
      <c r="MP114" s="624"/>
      <c r="MQ114" s="624"/>
      <c r="MR114" s="624"/>
      <c r="MS114" s="624"/>
      <c r="MT114" s="624"/>
      <c r="MU114" s="624"/>
      <c r="MV114" s="624"/>
      <c r="MW114" s="624"/>
      <c r="MX114" s="624"/>
      <c r="MY114" s="624"/>
      <c r="MZ114" s="624"/>
      <c r="NA114" s="624"/>
      <c r="NB114" s="624"/>
      <c r="NC114" s="624"/>
      <c r="ND114" s="624"/>
      <c r="NE114" s="624"/>
      <c r="NF114" s="624"/>
      <c r="NG114" s="624"/>
      <c r="NH114" s="624"/>
      <c r="NI114" s="624"/>
      <c r="NJ114" s="624"/>
      <c r="NK114" s="624"/>
      <c r="NL114" s="624"/>
      <c r="NM114" s="624"/>
      <c r="NN114" s="624"/>
      <c r="NO114" s="624"/>
      <c r="NP114" s="624"/>
      <c r="NQ114" s="624"/>
      <c r="NR114" s="624"/>
      <c r="NS114" s="624"/>
      <c r="NT114" s="624"/>
      <c r="NU114" s="624"/>
      <c r="NV114" s="624"/>
      <c r="NW114" s="624"/>
      <c r="NX114" s="624"/>
      <c r="NY114" s="624"/>
      <c r="NZ114" s="624"/>
      <c r="OA114" s="624"/>
      <c r="OB114" s="624"/>
      <c r="OC114" s="624"/>
      <c r="OD114" s="624"/>
      <c r="OE114" s="624"/>
      <c r="OF114" s="624"/>
      <c r="OG114" s="624"/>
      <c r="OH114" s="624"/>
      <c r="OI114" s="624"/>
      <c r="OJ114" s="624"/>
      <c r="OK114" s="624"/>
      <c r="OL114" s="624"/>
      <c r="OM114" s="624"/>
      <c r="ON114" s="624"/>
      <c r="OO114" s="624"/>
      <c r="OP114" s="624"/>
      <c r="OQ114" s="624"/>
      <c r="OR114" s="624"/>
      <c r="OS114" s="624"/>
      <c r="OT114" s="624"/>
      <c r="OU114" s="624"/>
      <c r="OV114" s="624"/>
      <c r="OW114" s="624"/>
      <c r="OX114" s="624"/>
      <c r="OY114" s="624"/>
      <c r="OZ114" s="624"/>
      <c r="PA114" s="624"/>
      <c r="PB114" s="624"/>
      <c r="PC114" s="624"/>
      <c r="PD114" s="624"/>
      <c r="PE114" s="624"/>
      <c r="PF114" s="624"/>
      <c r="PG114" s="624"/>
      <c r="PH114" s="624"/>
      <c r="PI114" s="624"/>
      <c r="PJ114" s="624"/>
      <c r="PK114" s="624"/>
      <c r="PL114" s="624"/>
      <c r="PM114" s="624"/>
      <c r="PN114" s="624"/>
      <c r="PO114" s="624"/>
      <c r="PP114" s="624"/>
      <c r="PQ114" s="624"/>
      <c r="PR114" s="624"/>
      <c r="PS114" s="624"/>
      <c r="PT114" s="624"/>
      <c r="PU114" s="624"/>
      <c r="PV114" s="624"/>
      <c r="PW114" s="624"/>
      <c r="PX114" s="624"/>
      <c r="PY114" s="624"/>
      <c r="PZ114" s="624"/>
      <c r="QA114" s="624"/>
      <c r="QB114" s="624"/>
      <c r="QC114" s="624"/>
      <c r="QD114" s="624"/>
      <c r="QE114" s="624"/>
      <c r="QF114" s="624"/>
      <c r="QG114" s="624"/>
      <c r="QH114" s="624"/>
      <c r="QI114" s="624"/>
      <c r="QJ114" s="624"/>
      <c r="QK114" s="624"/>
      <c r="QL114" s="624"/>
      <c r="QM114" s="624"/>
      <c r="QN114" s="624"/>
      <c r="QO114" s="624"/>
      <c r="QP114" s="624"/>
      <c r="QQ114" s="624"/>
      <c r="QR114" s="624"/>
      <c r="QS114" s="624"/>
      <c r="QT114" s="624"/>
      <c r="QU114" s="624"/>
      <c r="QV114" s="624"/>
      <c r="QW114" s="624"/>
      <c r="QX114" s="624"/>
      <c r="QY114" s="624"/>
      <c r="QZ114" s="624"/>
      <c r="RA114" s="624"/>
      <c r="RB114" s="624"/>
      <c r="RC114" s="624"/>
      <c r="RD114" s="624"/>
      <c r="RE114" s="624"/>
      <c r="RF114" s="624"/>
      <c r="RG114" s="624"/>
      <c r="RH114" s="624"/>
      <c r="RI114" s="624"/>
      <c r="RJ114" s="624"/>
      <c r="RK114" s="624"/>
      <c r="RL114" s="624"/>
      <c r="RM114" s="624"/>
      <c r="RN114" s="624"/>
      <c r="RO114" s="624"/>
      <c r="RP114" s="624"/>
      <c r="RQ114" s="624"/>
      <c r="RR114" s="624"/>
      <c r="RS114" s="624"/>
      <c r="RT114" s="624"/>
      <c r="RU114" s="624"/>
      <c r="RV114" s="624"/>
      <c r="RW114" s="624"/>
      <c r="RX114" s="624"/>
      <c r="RY114" s="624"/>
      <c r="RZ114" s="624"/>
      <c r="SA114" s="624"/>
      <c r="SB114" s="624"/>
      <c r="SC114" s="624"/>
      <c r="SD114" s="624"/>
      <c r="SE114" s="624"/>
      <c r="SF114" s="624"/>
      <c r="SG114" s="624"/>
      <c r="SH114" s="624"/>
      <c r="SI114" s="624"/>
      <c r="SJ114" s="624"/>
      <c r="SK114" s="624"/>
      <c r="SL114" s="624"/>
      <c r="SM114" s="624"/>
      <c r="SN114" s="624"/>
      <c r="SO114" s="624"/>
      <c r="SP114" s="624"/>
      <c r="SQ114" s="624"/>
      <c r="SR114" s="624"/>
      <c r="SS114" s="624"/>
      <c r="ST114" s="624"/>
      <c r="SU114" s="624"/>
      <c r="SV114" s="624"/>
      <c r="SW114" s="624"/>
      <c r="SX114" s="624"/>
      <c r="SY114" s="624"/>
      <c r="SZ114" s="624"/>
      <c r="TA114" s="624"/>
      <c r="TB114" s="624"/>
      <c r="TC114" s="624"/>
      <c r="TD114" s="624"/>
      <c r="TE114" s="624"/>
      <c r="TF114" s="624"/>
      <c r="TG114" s="624"/>
      <c r="TH114" s="624"/>
      <c r="TI114" s="624"/>
      <c r="TJ114" s="624"/>
      <c r="TK114" s="624"/>
      <c r="TL114" s="624"/>
      <c r="TM114" s="624"/>
      <c r="TN114" s="624"/>
      <c r="TO114" s="624"/>
      <c r="TP114" s="624"/>
      <c r="TQ114" s="624"/>
      <c r="TR114" s="624"/>
      <c r="TS114" s="624"/>
      <c r="TT114" s="624"/>
      <c r="TU114" s="624"/>
      <c r="TV114" s="624"/>
      <c r="TW114" s="624"/>
      <c r="TX114" s="624"/>
      <c r="TY114" s="624"/>
      <c r="TZ114" s="624"/>
      <c r="UA114" s="624"/>
      <c r="UB114" s="624"/>
      <c r="UC114" s="624"/>
      <c r="UD114" s="624"/>
      <c r="UE114" s="624"/>
      <c r="UF114" s="624"/>
      <c r="UG114" s="624"/>
      <c r="UH114" s="624"/>
      <c r="UI114" s="624"/>
      <c r="UJ114" s="624"/>
      <c r="UK114" s="624"/>
      <c r="UL114" s="624"/>
      <c r="UM114" s="624"/>
      <c r="UN114" s="624"/>
      <c r="UO114" s="624"/>
      <c r="UP114" s="624"/>
      <c r="UQ114" s="624"/>
      <c r="UR114" s="624"/>
      <c r="US114" s="624"/>
      <c r="UT114" s="624"/>
      <c r="UU114" s="624"/>
      <c r="UV114" s="624"/>
      <c r="UW114" s="624"/>
      <c r="UX114" s="624"/>
      <c r="UY114" s="624"/>
      <c r="UZ114" s="624"/>
      <c r="VA114" s="624"/>
      <c r="VB114" s="624"/>
      <c r="VC114" s="624"/>
      <c r="VD114" s="624"/>
      <c r="VE114" s="624"/>
      <c r="VF114" s="624"/>
      <c r="VG114" s="624"/>
      <c r="VH114" s="624"/>
      <c r="VI114" s="624"/>
      <c r="VJ114" s="624"/>
      <c r="VK114" s="624"/>
      <c r="VL114" s="624"/>
      <c r="VM114" s="624"/>
      <c r="VN114" s="624"/>
      <c r="VO114" s="624"/>
      <c r="VP114" s="624"/>
      <c r="VQ114" s="624"/>
      <c r="VR114" s="624"/>
      <c r="VS114" s="624"/>
      <c r="VT114" s="624"/>
      <c r="VU114" s="624"/>
      <c r="VV114" s="624"/>
      <c r="VW114" s="624"/>
      <c r="VX114" s="624"/>
      <c r="VY114" s="624"/>
      <c r="VZ114" s="624"/>
      <c r="WA114" s="624"/>
      <c r="WB114" s="624"/>
      <c r="WC114" s="624"/>
      <c r="WD114" s="624"/>
      <c r="WE114" s="624"/>
      <c r="WF114" s="624"/>
      <c r="WG114" s="624"/>
      <c r="WH114" s="624"/>
      <c r="WI114" s="624"/>
      <c r="WJ114" s="624"/>
      <c r="WK114" s="624"/>
      <c r="WL114" s="624"/>
      <c r="WM114" s="624"/>
      <c r="WN114" s="624"/>
      <c r="WO114" s="624"/>
      <c r="WP114" s="624"/>
      <c r="WQ114" s="624"/>
      <c r="WR114" s="624"/>
      <c r="WS114" s="624"/>
      <c r="WT114" s="624"/>
      <c r="WU114" s="624"/>
      <c r="WV114" s="624"/>
      <c r="WW114" s="624"/>
      <c r="WX114" s="624"/>
      <c r="WY114" s="624"/>
      <c r="WZ114" s="624"/>
      <c r="XA114" s="624"/>
      <c r="XB114" s="624"/>
      <c r="XC114" s="624"/>
      <c r="XD114" s="624"/>
      <c r="XE114" s="624"/>
      <c r="XF114" s="624"/>
      <c r="XG114" s="624"/>
      <c r="XH114" s="624"/>
      <c r="XI114" s="624"/>
      <c r="XJ114" s="624"/>
      <c r="XK114" s="624"/>
      <c r="XL114" s="624"/>
      <c r="XM114" s="624"/>
      <c r="XN114" s="624"/>
      <c r="XO114" s="624"/>
      <c r="XP114" s="624"/>
      <c r="XQ114" s="624"/>
      <c r="XR114" s="624"/>
      <c r="XS114" s="624"/>
      <c r="XT114" s="624"/>
      <c r="XU114" s="624"/>
      <c r="XV114" s="624"/>
      <c r="XW114" s="624"/>
      <c r="XX114" s="624"/>
      <c r="XY114" s="624"/>
      <c r="XZ114" s="624"/>
      <c r="YA114" s="624"/>
      <c r="YB114" s="624"/>
      <c r="YC114" s="624"/>
      <c r="YD114" s="624"/>
      <c r="YE114" s="624"/>
      <c r="YF114" s="624"/>
      <c r="YG114" s="624"/>
      <c r="YH114" s="624"/>
      <c r="YI114" s="624"/>
      <c r="YJ114" s="624"/>
      <c r="YK114" s="624"/>
      <c r="YL114" s="624"/>
      <c r="YM114" s="624"/>
      <c r="YN114" s="624"/>
      <c r="YO114" s="624"/>
      <c r="YP114" s="624"/>
      <c r="YQ114" s="624"/>
      <c r="YR114" s="624"/>
      <c r="YS114" s="624"/>
      <c r="YT114" s="624"/>
      <c r="YU114" s="624"/>
      <c r="YV114" s="624"/>
      <c r="YW114" s="624"/>
      <c r="YX114" s="624"/>
      <c r="YY114" s="624"/>
      <c r="YZ114" s="624"/>
      <c r="ZA114" s="624"/>
      <c r="ZB114" s="624"/>
      <c r="ZC114" s="624"/>
      <c r="ZD114" s="624"/>
      <c r="ZE114" s="624"/>
      <c r="ZF114" s="624"/>
      <c r="ZG114" s="624"/>
      <c r="ZH114" s="624"/>
      <c r="ZI114" s="624"/>
      <c r="ZJ114" s="624"/>
      <c r="ZK114" s="624"/>
      <c r="ZL114" s="624"/>
      <c r="ZM114" s="624"/>
      <c r="ZN114" s="624"/>
      <c r="ZO114" s="624"/>
      <c r="ZP114" s="624"/>
      <c r="ZQ114" s="624"/>
      <c r="ZR114" s="624"/>
      <c r="ZS114" s="624"/>
      <c r="ZT114" s="624"/>
      <c r="ZU114" s="624"/>
      <c r="ZV114" s="624"/>
      <c r="ZW114" s="624"/>
      <c r="ZX114" s="624"/>
      <c r="ZY114" s="624"/>
      <c r="ZZ114" s="624"/>
      <c r="AAA114" s="624"/>
      <c r="AAB114" s="624"/>
      <c r="AAC114" s="624"/>
      <c r="AAD114" s="624"/>
      <c r="AAE114" s="624"/>
      <c r="AAF114" s="624"/>
      <c r="AAG114" s="624"/>
      <c r="AAH114" s="624"/>
      <c r="AAI114" s="624"/>
      <c r="AAJ114" s="624"/>
      <c r="AAK114" s="624"/>
      <c r="AAL114" s="624"/>
      <c r="AAM114" s="624"/>
      <c r="AAN114" s="624"/>
      <c r="AAO114" s="624"/>
      <c r="AAP114" s="624"/>
      <c r="AAQ114" s="624"/>
      <c r="AAR114" s="624"/>
      <c r="AAS114" s="624"/>
      <c r="AAT114" s="624"/>
      <c r="AAU114" s="624"/>
      <c r="AAV114" s="624"/>
      <c r="AAW114" s="624"/>
      <c r="AAX114" s="624"/>
      <c r="AAY114" s="624"/>
      <c r="AAZ114" s="624"/>
      <c r="ABA114" s="624"/>
      <c r="ABB114" s="624"/>
      <c r="ABC114" s="624"/>
      <c r="ABD114" s="624"/>
      <c r="ABE114" s="624"/>
      <c r="ABF114" s="624"/>
      <c r="ABG114" s="624"/>
      <c r="ABH114" s="624"/>
      <c r="ABI114" s="624"/>
      <c r="ABJ114" s="624"/>
      <c r="ABK114" s="624"/>
      <c r="ABL114" s="624"/>
      <c r="ABM114" s="624"/>
      <c r="ABN114" s="624"/>
      <c r="ABO114" s="624"/>
      <c r="ABP114" s="624"/>
      <c r="ABQ114" s="624"/>
      <c r="ABR114" s="624"/>
      <c r="ABS114" s="624"/>
      <c r="ABT114" s="624"/>
      <c r="ABU114" s="624"/>
      <c r="ABV114" s="624"/>
      <c r="ABW114" s="624"/>
      <c r="ABX114" s="624"/>
      <c r="ABY114" s="624"/>
      <c r="ABZ114" s="624"/>
      <c r="ACA114" s="624"/>
      <c r="ACB114" s="624"/>
      <c r="ACC114" s="624"/>
      <c r="ACD114" s="624"/>
      <c r="ACE114" s="624"/>
      <c r="ACF114" s="624"/>
      <c r="ACG114" s="624"/>
      <c r="ACH114" s="624"/>
      <c r="ACI114" s="624"/>
      <c r="ACJ114" s="624"/>
      <c r="ACK114" s="624"/>
      <c r="ACL114" s="624"/>
      <c r="ACM114" s="624"/>
      <c r="ACN114" s="624"/>
      <c r="ACO114" s="624"/>
      <c r="ACP114" s="624"/>
      <c r="ACQ114" s="624"/>
      <c r="ACR114" s="624"/>
      <c r="ACS114" s="624"/>
      <c r="ACT114" s="624"/>
      <c r="ACU114" s="624"/>
      <c r="ACV114" s="624"/>
      <c r="ACW114" s="624"/>
      <c r="ACX114" s="624"/>
      <c r="ACY114" s="624"/>
      <c r="ACZ114" s="624"/>
      <c r="ADA114" s="624"/>
      <c r="ADB114" s="624"/>
      <c r="ADC114" s="624"/>
      <c r="ADD114" s="624"/>
      <c r="ADE114" s="624"/>
      <c r="ADF114" s="624"/>
      <c r="ADG114" s="624"/>
      <c r="ADH114" s="624"/>
      <c r="ADI114" s="624"/>
      <c r="ADJ114" s="624"/>
      <c r="ADK114" s="624"/>
      <c r="ADL114" s="624"/>
      <c r="ADM114" s="624"/>
      <c r="ADN114" s="624"/>
      <c r="ADO114" s="624"/>
      <c r="ADP114" s="624"/>
      <c r="ADQ114" s="624"/>
      <c r="ADR114" s="624"/>
      <c r="ADS114" s="624"/>
      <c r="ADT114" s="624"/>
      <c r="ADU114" s="624"/>
      <c r="ADV114" s="624"/>
      <c r="ADW114" s="624"/>
      <c r="ADX114" s="624"/>
      <c r="ADY114" s="624"/>
      <c r="ADZ114" s="624"/>
      <c r="AEA114" s="624"/>
      <c r="AEB114" s="624"/>
      <c r="AEC114" s="624"/>
      <c r="AED114" s="624"/>
      <c r="AEE114" s="624"/>
      <c r="AEF114" s="624"/>
      <c r="AEG114" s="624"/>
      <c r="AEH114" s="624"/>
      <c r="AEI114" s="624"/>
      <c r="AEJ114" s="624"/>
      <c r="AEK114" s="624"/>
      <c r="AEL114" s="624"/>
      <c r="AEM114" s="624"/>
      <c r="AEN114" s="624"/>
      <c r="AEO114" s="624"/>
      <c r="AEP114" s="624"/>
      <c r="AEQ114" s="624"/>
      <c r="AER114" s="624"/>
      <c r="AES114" s="624"/>
      <c r="AET114" s="624"/>
      <c r="AEU114" s="624"/>
      <c r="AEV114" s="624"/>
      <c r="AEW114" s="624"/>
      <c r="AEX114" s="624"/>
      <c r="AEY114" s="624"/>
      <c r="AEZ114" s="624"/>
      <c r="AFA114" s="624"/>
      <c r="AFB114" s="624"/>
      <c r="AFC114" s="624"/>
      <c r="AFD114" s="624"/>
      <c r="AFE114" s="624"/>
      <c r="AFF114" s="624"/>
      <c r="AFG114" s="624"/>
      <c r="AFH114" s="624"/>
      <c r="AFI114" s="624"/>
      <c r="AFJ114" s="624"/>
      <c r="AFK114" s="624"/>
      <c r="AFL114" s="624"/>
      <c r="AFM114" s="624"/>
      <c r="AFN114" s="624"/>
      <c r="AFO114" s="624"/>
      <c r="AFP114" s="624"/>
      <c r="AFQ114" s="624"/>
      <c r="AFR114" s="624"/>
      <c r="AFS114" s="624"/>
      <c r="AFT114" s="624"/>
      <c r="AFU114" s="624"/>
      <c r="AFV114" s="624"/>
      <c r="AFW114" s="624"/>
      <c r="AFX114" s="624"/>
      <c r="AFY114" s="624"/>
      <c r="AFZ114" s="624"/>
      <c r="AGA114" s="624"/>
      <c r="AGB114" s="624"/>
      <c r="AGC114" s="624"/>
      <c r="AGD114" s="624"/>
      <c r="AGE114" s="624"/>
      <c r="AGF114" s="624"/>
      <c r="AGG114" s="624"/>
      <c r="AGH114" s="624"/>
      <c r="AGI114" s="624"/>
      <c r="AGJ114" s="624"/>
      <c r="AGK114" s="624"/>
      <c r="AGL114" s="624"/>
      <c r="AGM114" s="624"/>
      <c r="AGN114" s="624"/>
      <c r="AGO114" s="624"/>
      <c r="AGP114" s="624"/>
      <c r="AGQ114" s="624"/>
      <c r="AGR114" s="624"/>
      <c r="AGS114" s="624"/>
      <c r="AGT114" s="624"/>
      <c r="AGU114" s="624"/>
      <c r="AGV114" s="624"/>
      <c r="AGW114" s="624"/>
      <c r="AGX114" s="624"/>
      <c r="AGY114" s="624"/>
      <c r="AGZ114" s="624"/>
      <c r="AHA114" s="624"/>
      <c r="AHB114" s="624"/>
      <c r="AHC114" s="624"/>
      <c r="AHD114" s="624"/>
      <c r="AHE114" s="624"/>
      <c r="AHF114" s="624"/>
      <c r="AHG114" s="624"/>
      <c r="AHH114" s="624"/>
      <c r="AHI114" s="624"/>
      <c r="AHJ114" s="624"/>
      <c r="AHK114" s="624"/>
      <c r="AHL114" s="624"/>
      <c r="AHM114" s="624"/>
      <c r="AHN114" s="624"/>
      <c r="AHO114" s="624"/>
      <c r="AHP114" s="624"/>
      <c r="AHQ114" s="624"/>
      <c r="AHR114" s="624"/>
      <c r="AHS114" s="624"/>
      <c r="AHT114" s="624"/>
      <c r="AHU114" s="624"/>
      <c r="AHV114" s="624"/>
      <c r="AHW114" s="624"/>
      <c r="AHX114" s="624"/>
      <c r="AHY114" s="624"/>
      <c r="AHZ114" s="624"/>
      <c r="AIA114" s="624"/>
      <c r="AIB114" s="624"/>
      <c r="AIC114" s="624"/>
      <c r="AID114" s="624"/>
      <c r="AIE114" s="624"/>
      <c r="AIF114" s="624"/>
      <c r="AIG114" s="624"/>
      <c r="AIH114" s="624"/>
      <c r="AII114" s="624"/>
      <c r="AIJ114" s="624"/>
      <c r="AIK114" s="624"/>
      <c r="AIL114" s="624"/>
      <c r="AIM114" s="624"/>
      <c r="AIN114" s="624"/>
      <c r="AIO114" s="624"/>
      <c r="AIP114" s="624"/>
      <c r="AIQ114" s="624"/>
      <c r="AIR114" s="624"/>
      <c r="AIS114" s="624"/>
      <c r="AIT114" s="624"/>
      <c r="AIU114" s="624"/>
      <c r="AIV114" s="624"/>
      <c r="AIW114" s="624"/>
      <c r="AIX114" s="624"/>
      <c r="AIY114" s="624"/>
      <c r="AIZ114" s="624"/>
      <c r="AJA114" s="624"/>
      <c r="AJB114" s="624"/>
      <c r="AJC114" s="624"/>
      <c r="AJD114" s="624"/>
      <c r="AJE114" s="624"/>
      <c r="AJF114" s="624"/>
      <c r="AJG114" s="624"/>
      <c r="AJH114" s="624"/>
      <c r="AJI114" s="624"/>
      <c r="AJJ114" s="624"/>
      <c r="AJK114" s="624"/>
      <c r="AJL114" s="624"/>
      <c r="AJM114" s="624"/>
      <c r="AJN114" s="624"/>
      <c r="AJO114" s="624"/>
      <c r="AJP114" s="624"/>
      <c r="AJQ114" s="624"/>
      <c r="AJR114" s="624"/>
      <c r="AJS114" s="624"/>
      <c r="AJT114" s="624"/>
      <c r="AJU114" s="624"/>
      <c r="AJV114" s="624"/>
      <c r="AJW114" s="624"/>
      <c r="AJX114" s="624"/>
      <c r="AJY114" s="624"/>
      <c r="AJZ114" s="624"/>
      <c r="AKA114" s="624"/>
      <c r="AKB114" s="624"/>
      <c r="AKC114" s="624"/>
      <c r="AKD114" s="624"/>
      <c r="AKE114" s="624"/>
      <c r="AKF114" s="624"/>
      <c r="AKG114" s="624"/>
      <c r="AKH114" s="624"/>
      <c r="AKI114" s="624"/>
      <c r="AKJ114" s="624"/>
      <c r="AKK114" s="624"/>
      <c r="AKL114" s="624"/>
      <c r="AKM114" s="624"/>
      <c r="AKN114" s="624"/>
      <c r="AKO114" s="624"/>
      <c r="AKP114" s="624"/>
      <c r="AKQ114" s="624"/>
      <c r="AKR114" s="624"/>
      <c r="AKS114" s="624"/>
      <c r="AKT114" s="624"/>
      <c r="AKU114" s="624"/>
      <c r="AKV114" s="624"/>
      <c r="AKW114" s="624"/>
      <c r="AKX114" s="624"/>
      <c r="AKY114" s="624"/>
      <c r="AKZ114" s="624"/>
      <c r="ALA114" s="624"/>
      <c r="ALB114" s="624"/>
      <c r="ALC114" s="624"/>
      <c r="ALD114" s="624"/>
      <c r="ALE114" s="624"/>
      <c r="ALF114" s="624"/>
      <c r="ALG114" s="624"/>
      <c r="ALH114" s="624"/>
      <c r="ALI114" s="624"/>
      <c r="ALJ114" s="624"/>
      <c r="ALK114" s="624"/>
      <c r="ALL114" s="624"/>
      <c r="ALM114" s="624"/>
      <c r="ALN114" s="624"/>
      <c r="ALO114" s="624"/>
      <c r="ALP114" s="624"/>
      <c r="ALQ114" s="624"/>
      <c r="ALR114" s="624"/>
      <c r="ALS114" s="624"/>
      <c r="ALT114" s="624"/>
      <c r="ALU114" s="624"/>
      <c r="ALV114" s="624"/>
      <c r="ALW114" s="624"/>
      <c r="ALX114" s="624"/>
      <c r="ALY114" s="624"/>
      <c r="ALZ114" s="624"/>
      <c r="AMA114" s="624"/>
      <c r="AMB114" s="624"/>
      <c r="AMC114" s="624"/>
      <c r="AMD114" s="624"/>
      <c r="AME114" s="624"/>
      <c r="AMF114" s="624"/>
      <c r="AMG114" s="624"/>
      <c r="AMH114" s="624"/>
      <c r="AMI114" s="624"/>
      <c r="AMJ114" s="624"/>
      <c r="AMK114" s="624"/>
      <c r="AML114" s="624"/>
      <c r="AMM114" s="624"/>
      <c r="AMN114" s="624"/>
      <c r="AMO114" s="624"/>
      <c r="AMP114" s="624"/>
      <c r="AMQ114" s="624"/>
      <c r="AMR114" s="624"/>
      <c r="AMS114" s="624"/>
      <c r="AMT114" s="624"/>
      <c r="AMU114" s="624"/>
      <c r="AMV114" s="624"/>
      <c r="AMW114" s="624"/>
      <c r="AMX114" s="624"/>
      <c r="AMY114" s="624"/>
      <c r="AMZ114" s="624"/>
      <c r="ANA114" s="624"/>
      <c r="ANB114" s="624"/>
      <c r="ANC114" s="624"/>
      <c r="AND114" s="624"/>
      <c r="ANE114" s="624"/>
      <c r="ANF114" s="624"/>
      <c r="ANG114" s="624"/>
      <c r="ANH114" s="624"/>
      <c r="ANI114" s="624"/>
      <c r="ANJ114" s="624"/>
      <c r="ANK114" s="624"/>
      <c r="ANL114" s="624"/>
      <c r="ANM114" s="624"/>
      <c r="ANN114" s="624"/>
      <c r="ANO114" s="624"/>
      <c r="ANP114" s="624"/>
      <c r="ANQ114" s="624"/>
      <c r="ANR114" s="624"/>
      <c r="ANS114" s="624"/>
      <c r="ANT114" s="624"/>
      <c r="ANU114" s="624"/>
      <c r="ANV114" s="624"/>
      <c r="ANW114" s="624"/>
      <c r="ANX114" s="624"/>
      <c r="ANY114" s="624"/>
      <c r="ANZ114" s="624"/>
      <c r="AOA114" s="624"/>
      <c r="AOB114" s="624"/>
      <c r="AOC114" s="624"/>
      <c r="AOD114" s="624"/>
      <c r="AOE114" s="624"/>
      <c r="AOF114" s="624"/>
      <c r="AOG114" s="624"/>
      <c r="AOH114" s="624"/>
      <c r="AOI114" s="624"/>
      <c r="AOJ114" s="624"/>
      <c r="AOK114" s="624"/>
      <c r="AOL114" s="624"/>
      <c r="AOM114" s="624"/>
      <c r="AON114" s="624"/>
      <c r="AOO114" s="624"/>
      <c r="AOP114" s="624"/>
      <c r="AOQ114" s="624"/>
      <c r="AOR114" s="624"/>
      <c r="AOS114" s="624"/>
      <c r="AOT114" s="624"/>
      <c r="AOU114" s="624"/>
      <c r="AOV114" s="624"/>
      <c r="AOW114" s="624"/>
      <c r="AOX114" s="624"/>
      <c r="AOY114" s="624"/>
      <c r="AOZ114" s="624"/>
      <c r="APA114" s="624"/>
      <c r="APB114" s="624"/>
      <c r="APC114" s="624"/>
      <c r="APD114" s="624"/>
      <c r="APE114" s="624"/>
      <c r="APF114" s="624"/>
      <c r="APG114" s="624"/>
      <c r="APH114" s="624"/>
      <c r="API114" s="624"/>
      <c r="APJ114" s="624"/>
      <c r="APK114" s="624"/>
      <c r="APL114" s="624"/>
      <c r="APM114" s="624"/>
      <c r="APN114" s="624"/>
      <c r="APO114" s="624"/>
      <c r="APP114" s="624"/>
      <c r="APQ114" s="624"/>
      <c r="APR114" s="624"/>
      <c r="APS114" s="624"/>
      <c r="APT114" s="624"/>
      <c r="APU114" s="624"/>
      <c r="APV114" s="624"/>
      <c r="APW114" s="624"/>
      <c r="APX114" s="624"/>
      <c r="APY114" s="624"/>
      <c r="APZ114" s="624"/>
      <c r="AQA114" s="624"/>
      <c r="AQB114" s="624"/>
      <c r="AQC114" s="624"/>
      <c r="AQD114" s="624"/>
      <c r="AQE114" s="624"/>
      <c r="AQF114" s="624"/>
      <c r="AQG114" s="624"/>
      <c r="AQH114" s="624"/>
      <c r="AQI114" s="624"/>
      <c r="AQJ114" s="624"/>
      <c r="AQK114" s="624"/>
      <c r="AQL114" s="624"/>
      <c r="AQM114" s="624"/>
      <c r="AQN114" s="624"/>
      <c r="AQO114" s="624"/>
      <c r="AQP114" s="624"/>
      <c r="AQQ114" s="624"/>
      <c r="AQR114" s="624"/>
      <c r="AQS114" s="624"/>
      <c r="AQT114" s="624"/>
      <c r="AQU114" s="624"/>
      <c r="AQV114" s="624"/>
      <c r="AQW114" s="624"/>
      <c r="AQX114" s="624"/>
      <c r="AQY114" s="624"/>
      <c r="AQZ114" s="624"/>
      <c r="ARA114" s="624"/>
      <c r="ARB114" s="624"/>
      <c r="ARC114" s="624"/>
      <c r="ARD114" s="624"/>
      <c r="ARE114" s="624"/>
      <c r="ARF114" s="624"/>
      <c r="ARG114" s="624"/>
      <c r="ARH114" s="624"/>
      <c r="ARI114" s="624"/>
      <c r="ARJ114" s="624"/>
      <c r="ARK114" s="624"/>
      <c r="ARL114" s="624"/>
      <c r="ARM114" s="624"/>
      <c r="ARN114" s="624"/>
      <c r="ARO114" s="624"/>
      <c r="ARP114" s="624"/>
      <c r="ARQ114" s="624"/>
      <c r="ARR114" s="624"/>
      <c r="ARS114" s="624"/>
      <c r="ART114" s="624"/>
      <c r="ARU114" s="624"/>
      <c r="ARV114" s="624"/>
      <c r="ARW114" s="624"/>
      <c r="ARX114" s="624"/>
      <c r="ARY114" s="624"/>
      <c r="ARZ114" s="624"/>
      <c r="ASA114" s="624"/>
      <c r="ASB114" s="624"/>
      <c r="ASC114" s="624"/>
      <c r="ASD114" s="624"/>
      <c r="ASE114" s="624"/>
      <c r="ASF114" s="624"/>
      <c r="ASG114" s="624"/>
      <c r="ASH114" s="624"/>
      <c r="ASI114" s="624"/>
      <c r="ASJ114" s="624"/>
      <c r="ASK114" s="624"/>
      <c r="ASL114" s="624"/>
      <c r="ASM114" s="624"/>
      <c r="ASN114" s="624"/>
      <c r="ASO114" s="624"/>
      <c r="ASP114" s="624"/>
      <c r="ASQ114" s="624"/>
      <c r="ASR114" s="624"/>
      <c r="ASS114" s="624"/>
      <c r="AST114" s="624"/>
      <c r="ASU114" s="624"/>
      <c r="ASV114" s="624"/>
      <c r="ASW114" s="624"/>
      <c r="ASX114" s="624"/>
      <c r="ASY114" s="624"/>
      <c r="ASZ114" s="624"/>
      <c r="ATA114" s="624"/>
      <c r="ATB114" s="624"/>
      <c r="ATC114" s="624"/>
      <c r="ATD114" s="624"/>
      <c r="ATE114" s="624"/>
      <c r="ATF114" s="624"/>
      <c r="ATG114" s="624"/>
      <c r="ATH114" s="624"/>
      <c r="ATI114" s="624"/>
      <c r="ATJ114" s="624"/>
      <c r="ATK114" s="624"/>
      <c r="ATL114" s="624"/>
      <c r="ATM114" s="624"/>
      <c r="ATN114" s="624"/>
      <c r="ATO114" s="624"/>
      <c r="ATP114" s="624"/>
      <c r="ATQ114" s="624"/>
      <c r="ATR114" s="624"/>
      <c r="ATS114" s="624"/>
      <c r="ATT114" s="624"/>
      <c r="ATU114" s="624"/>
      <c r="ATV114" s="624"/>
      <c r="ATW114" s="624"/>
      <c r="ATX114" s="624"/>
      <c r="ATY114" s="624"/>
      <c r="ATZ114" s="624"/>
      <c r="AUA114" s="624"/>
      <c r="AUB114" s="624"/>
      <c r="AUC114" s="624"/>
      <c r="AUD114" s="624"/>
      <c r="AUE114" s="624"/>
      <c r="AUF114" s="624"/>
      <c r="AUG114" s="624"/>
      <c r="AUH114" s="624"/>
      <c r="AUI114" s="624"/>
      <c r="AUJ114" s="624"/>
      <c r="AUK114" s="624"/>
      <c r="AUL114" s="624"/>
      <c r="AUM114" s="624"/>
      <c r="AUN114" s="624"/>
      <c r="AUO114" s="624"/>
      <c r="AUP114" s="624"/>
      <c r="AUQ114" s="624"/>
      <c r="AUR114" s="624"/>
      <c r="AUS114" s="624"/>
      <c r="AUT114" s="624"/>
      <c r="AUU114" s="624"/>
      <c r="AUV114" s="624"/>
      <c r="AUW114" s="624"/>
      <c r="AUX114" s="624"/>
      <c r="AUY114" s="624"/>
      <c r="AUZ114" s="624"/>
      <c r="AVA114" s="624"/>
      <c r="AVB114" s="624"/>
      <c r="AVC114" s="624"/>
      <c r="AVD114" s="624"/>
      <c r="AVE114" s="624"/>
      <c r="AVF114" s="624"/>
      <c r="AVG114" s="624"/>
      <c r="AVH114" s="624"/>
      <c r="AVI114" s="624"/>
      <c r="AVJ114" s="624"/>
      <c r="AVK114" s="624"/>
      <c r="AVL114" s="624"/>
      <c r="AVM114" s="624"/>
      <c r="AVN114" s="624"/>
      <c r="AVO114" s="624"/>
      <c r="AVP114" s="624"/>
      <c r="AVQ114" s="624"/>
      <c r="AVR114" s="624"/>
      <c r="AVS114" s="624"/>
      <c r="AVT114" s="624"/>
      <c r="AVU114" s="624"/>
      <c r="AVV114" s="624"/>
      <c r="AVW114" s="624"/>
      <c r="AVX114" s="624"/>
      <c r="AVY114" s="624"/>
      <c r="AVZ114" s="624"/>
      <c r="AWA114" s="624"/>
      <c r="AWB114" s="624"/>
      <c r="AWC114" s="624"/>
      <c r="AWD114" s="624"/>
      <c r="AWE114" s="624"/>
      <c r="AWF114" s="624"/>
      <c r="AWG114" s="624"/>
      <c r="AWH114" s="624"/>
      <c r="AWI114" s="624"/>
      <c r="AWJ114" s="624"/>
      <c r="AWK114" s="624"/>
      <c r="AWL114" s="624"/>
      <c r="AWM114" s="624"/>
      <c r="AWN114" s="624"/>
      <c r="AWO114" s="624"/>
      <c r="AWP114" s="624"/>
      <c r="AWQ114" s="624"/>
      <c r="AWR114" s="624"/>
      <c r="AWS114" s="624"/>
      <c r="AWT114" s="624"/>
      <c r="AWU114" s="624"/>
      <c r="AWV114" s="624"/>
      <c r="AWW114" s="624"/>
      <c r="AWX114" s="624"/>
      <c r="AWY114" s="624"/>
      <c r="AWZ114" s="624"/>
      <c r="AXA114" s="624"/>
      <c r="AXB114" s="624"/>
      <c r="AXC114" s="624"/>
      <c r="AXD114" s="624"/>
      <c r="AXE114" s="624"/>
      <c r="AXF114" s="624"/>
      <c r="AXG114" s="624"/>
      <c r="AXH114" s="624"/>
      <c r="AXI114" s="624"/>
      <c r="AXJ114" s="624"/>
      <c r="AXK114" s="624"/>
      <c r="AXL114" s="624"/>
      <c r="AXM114" s="624"/>
      <c r="AXN114" s="624"/>
      <c r="AXO114" s="624"/>
      <c r="AXP114" s="624"/>
      <c r="AXQ114" s="624"/>
      <c r="AXR114" s="624"/>
      <c r="AXS114" s="624"/>
      <c r="AXT114" s="624"/>
      <c r="AXU114" s="624"/>
      <c r="AXV114" s="624"/>
      <c r="AXW114" s="624"/>
      <c r="AXX114" s="624"/>
      <c r="AXY114" s="624"/>
      <c r="AXZ114" s="624"/>
      <c r="AYA114" s="624"/>
      <c r="AYB114" s="624"/>
      <c r="AYC114" s="624"/>
      <c r="AYD114" s="624"/>
      <c r="AYE114" s="624"/>
      <c r="AYF114" s="624"/>
      <c r="AYG114" s="624"/>
      <c r="AYH114" s="624"/>
      <c r="AYI114" s="624"/>
      <c r="AYJ114" s="624"/>
      <c r="AYK114" s="624"/>
      <c r="AYL114" s="624"/>
      <c r="AYM114" s="624"/>
      <c r="AYN114" s="624"/>
      <c r="AYO114" s="624"/>
      <c r="AYP114" s="624"/>
      <c r="AYQ114" s="624"/>
      <c r="AYR114" s="624"/>
      <c r="AYS114" s="624"/>
      <c r="AYT114" s="624"/>
      <c r="AYU114" s="624"/>
      <c r="AYV114" s="624"/>
      <c r="AYW114" s="624"/>
      <c r="AYX114" s="624"/>
      <c r="AYY114" s="624"/>
      <c r="AYZ114" s="624"/>
      <c r="AZA114" s="624"/>
      <c r="AZB114" s="624"/>
      <c r="AZC114" s="624"/>
      <c r="AZD114" s="624"/>
      <c r="AZE114" s="624"/>
      <c r="AZF114" s="624"/>
      <c r="AZG114" s="624"/>
      <c r="AZH114" s="624"/>
      <c r="AZI114" s="624"/>
      <c r="AZJ114" s="624"/>
      <c r="AZK114" s="624"/>
      <c r="AZL114" s="624"/>
      <c r="AZM114" s="624"/>
      <c r="AZN114" s="624"/>
      <c r="AZO114" s="624"/>
      <c r="AZP114" s="624"/>
      <c r="AZQ114" s="624"/>
      <c r="AZR114" s="624"/>
      <c r="AZS114" s="624"/>
      <c r="AZT114" s="624"/>
      <c r="AZU114" s="624"/>
      <c r="AZV114" s="624"/>
      <c r="AZW114" s="624"/>
      <c r="AZX114" s="624"/>
      <c r="AZY114" s="624"/>
      <c r="AZZ114" s="624"/>
      <c r="BAA114" s="624"/>
      <c r="BAB114" s="624"/>
      <c r="BAC114" s="624"/>
      <c r="BAD114" s="624"/>
      <c r="BAE114" s="624"/>
      <c r="BAF114" s="624"/>
      <c r="BAG114" s="624"/>
      <c r="BAH114" s="624"/>
      <c r="BAI114" s="624"/>
      <c r="BAJ114" s="624"/>
      <c r="BAK114" s="624"/>
      <c r="BAL114" s="624"/>
      <c r="BAM114" s="624"/>
      <c r="BAN114" s="624"/>
      <c r="BAO114" s="624"/>
      <c r="BAP114" s="624"/>
      <c r="BAQ114" s="624"/>
      <c r="BAR114" s="624"/>
      <c r="BAS114" s="624"/>
      <c r="BAT114" s="624"/>
      <c r="BAU114" s="624"/>
      <c r="BAV114" s="624"/>
      <c r="BAW114" s="624"/>
      <c r="BAX114" s="624"/>
      <c r="BAY114" s="624"/>
      <c r="BAZ114" s="624"/>
      <c r="BBA114" s="624"/>
      <c r="BBB114" s="624"/>
      <c r="BBC114" s="624"/>
      <c r="BBD114" s="624"/>
      <c r="BBE114" s="624"/>
      <c r="BBF114" s="624"/>
      <c r="BBG114" s="624"/>
      <c r="BBH114" s="624"/>
      <c r="BBI114" s="624"/>
      <c r="BBJ114" s="624"/>
      <c r="BBK114" s="624"/>
      <c r="BBL114" s="624"/>
      <c r="BBM114" s="624"/>
      <c r="BBN114" s="624"/>
      <c r="BBO114" s="624"/>
      <c r="BBP114" s="624"/>
      <c r="BBQ114" s="624"/>
      <c r="BBR114" s="624"/>
      <c r="BBS114" s="624"/>
      <c r="BBT114" s="624"/>
      <c r="BBU114" s="624"/>
      <c r="BBV114" s="624"/>
      <c r="BBW114" s="624"/>
      <c r="BBX114" s="624"/>
      <c r="BBY114" s="624"/>
      <c r="BBZ114" s="624"/>
      <c r="BCA114" s="624"/>
      <c r="BCB114" s="624"/>
      <c r="BCC114" s="624"/>
      <c r="BCD114" s="624"/>
      <c r="BCE114" s="624"/>
      <c r="BCF114" s="624"/>
      <c r="BCG114" s="624"/>
      <c r="BCH114" s="624"/>
      <c r="BCI114" s="624"/>
      <c r="BCJ114" s="624"/>
      <c r="BCK114" s="624"/>
      <c r="BCL114" s="624"/>
      <c r="BCM114" s="624"/>
      <c r="BCN114" s="624"/>
      <c r="BCO114" s="624"/>
      <c r="BCP114" s="624"/>
      <c r="BCQ114" s="624"/>
      <c r="BCR114" s="624"/>
      <c r="BCS114" s="624"/>
      <c r="BCT114" s="624"/>
      <c r="BCU114" s="624"/>
      <c r="BCV114" s="624"/>
      <c r="BCW114" s="624"/>
      <c r="BCX114" s="624"/>
      <c r="BCY114" s="624"/>
      <c r="BCZ114" s="624"/>
      <c r="BDA114" s="624"/>
      <c r="BDB114" s="624"/>
      <c r="BDC114" s="624"/>
      <c r="BDD114" s="624"/>
      <c r="BDE114" s="624"/>
      <c r="BDF114" s="624"/>
      <c r="BDG114" s="624"/>
      <c r="BDH114" s="624"/>
      <c r="BDI114" s="624"/>
      <c r="BDJ114" s="624"/>
      <c r="BDK114" s="624"/>
      <c r="BDL114" s="624"/>
      <c r="BDM114" s="624"/>
      <c r="BDN114" s="624"/>
      <c r="BDO114" s="624"/>
      <c r="BDP114" s="624"/>
      <c r="BDQ114" s="624"/>
      <c r="BDR114" s="624"/>
      <c r="BDS114" s="624"/>
      <c r="BDT114" s="624"/>
      <c r="BDU114" s="624"/>
      <c r="BDV114" s="624"/>
      <c r="BDW114" s="624"/>
      <c r="BDX114" s="624"/>
      <c r="BDY114" s="624"/>
      <c r="BDZ114" s="624"/>
      <c r="BEA114" s="624"/>
      <c r="BEB114" s="624"/>
      <c r="BEC114" s="624"/>
      <c r="BED114" s="624"/>
      <c r="BEE114" s="624"/>
      <c r="BEF114" s="624"/>
      <c r="BEG114" s="624"/>
      <c r="BEH114" s="624"/>
      <c r="BEI114" s="624"/>
      <c r="BEJ114" s="624"/>
      <c r="BEK114" s="624"/>
      <c r="BEL114" s="624"/>
      <c r="BEM114" s="624"/>
      <c r="BEN114" s="624"/>
      <c r="BEO114" s="624"/>
      <c r="BEP114" s="624"/>
      <c r="BEQ114" s="624"/>
      <c r="BER114" s="624"/>
      <c r="BES114" s="624"/>
      <c r="BET114" s="624"/>
      <c r="BEU114" s="624"/>
      <c r="BEV114" s="624"/>
      <c r="BEW114" s="624"/>
      <c r="BEX114" s="624"/>
      <c r="BEY114" s="624"/>
      <c r="BEZ114" s="624"/>
      <c r="BFA114" s="624"/>
      <c r="BFB114" s="624"/>
      <c r="BFC114" s="624"/>
      <c r="BFD114" s="624"/>
      <c r="BFE114" s="624"/>
      <c r="BFF114" s="624"/>
      <c r="BFG114" s="624"/>
      <c r="BFH114" s="624"/>
      <c r="BFI114" s="624"/>
      <c r="BFJ114" s="624"/>
      <c r="BFK114" s="624"/>
      <c r="BFL114" s="624"/>
      <c r="BFM114" s="624"/>
      <c r="BFN114" s="624"/>
      <c r="BFO114" s="624"/>
      <c r="BFP114" s="624"/>
      <c r="BFQ114" s="624"/>
      <c r="BFR114" s="624"/>
      <c r="BFS114" s="624"/>
      <c r="BFT114" s="624"/>
      <c r="BFU114" s="624"/>
      <c r="BFV114" s="624"/>
      <c r="BFW114" s="624"/>
      <c r="BFX114" s="624"/>
      <c r="BFY114" s="624"/>
      <c r="BFZ114" s="624"/>
      <c r="BGA114" s="624"/>
      <c r="BGB114" s="624"/>
      <c r="BGC114" s="624"/>
      <c r="BGD114" s="624"/>
      <c r="BGE114" s="624"/>
      <c r="BGF114" s="624"/>
      <c r="BGG114" s="624"/>
      <c r="BGH114" s="624"/>
      <c r="BGI114" s="624"/>
      <c r="BGJ114" s="624"/>
      <c r="BGK114" s="624"/>
      <c r="BGL114" s="624"/>
      <c r="BGM114" s="624"/>
      <c r="BGN114" s="624"/>
      <c r="BGO114" s="624"/>
      <c r="BGP114" s="624"/>
      <c r="BGQ114" s="624"/>
      <c r="BGR114" s="624"/>
      <c r="BGS114" s="624"/>
      <c r="BGT114" s="624"/>
      <c r="BGU114" s="624"/>
      <c r="BGV114" s="624"/>
      <c r="BGW114" s="624"/>
      <c r="BGX114" s="624"/>
      <c r="BGY114" s="624"/>
      <c r="BGZ114" s="624"/>
      <c r="BHA114" s="624"/>
      <c r="BHB114" s="624"/>
      <c r="BHC114" s="624"/>
      <c r="BHD114" s="624"/>
      <c r="BHE114" s="624"/>
      <c r="BHF114" s="624"/>
      <c r="BHG114" s="624"/>
      <c r="BHH114" s="624"/>
      <c r="BHI114" s="624"/>
      <c r="BHJ114" s="624"/>
      <c r="BHK114" s="624"/>
      <c r="BHL114" s="624"/>
      <c r="BHM114" s="624"/>
      <c r="BHN114" s="624"/>
      <c r="BHO114" s="624"/>
      <c r="BHP114" s="624"/>
      <c r="BHQ114" s="624"/>
      <c r="BHR114" s="624"/>
      <c r="BHS114" s="624"/>
      <c r="BHT114" s="624"/>
      <c r="BHU114" s="624"/>
      <c r="BHV114" s="624"/>
      <c r="BHW114" s="624"/>
      <c r="BHX114" s="624"/>
      <c r="BHY114" s="624"/>
      <c r="BHZ114" s="624"/>
      <c r="BIA114" s="624"/>
      <c r="BIB114" s="624"/>
      <c r="BIC114" s="624"/>
      <c r="BID114" s="624"/>
      <c r="BIE114" s="624"/>
      <c r="BIF114" s="624"/>
      <c r="BIG114" s="624"/>
      <c r="BIH114" s="624"/>
      <c r="BII114" s="624"/>
      <c r="BIJ114" s="624"/>
      <c r="BIK114" s="624"/>
      <c r="BIL114" s="624"/>
      <c r="BIM114" s="624"/>
      <c r="BIN114" s="624"/>
      <c r="BIO114" s="624"/>
      <c r="BIP114" s="624"/>
      <c r="BIQ114" s="624"/>
      <c r="BIR114" s="624"/>
      <c r="BIS114" s="624"/>
      <c r="BIT114" s="624"/>
      <c r="BIU114" s="624"/>
      <c r="BIV114" s="624"/>
      <c r="BIW114" s="624"/>
      <c r="BIX114" s="624"/>
      <c r="BIY114" s="624"/>
      <c r="BIZ114" s="624"/>
      <c r="BJA114" s="624"/>
      <c r="BJB114" s="624"/>
      <c r="BJC114" s="624"/>
      <c r="BJD114" s="624"/>
      <c r="BJE114" s="624"/>
      <c r="BJF114" s="624"/>
      <c r="BJG114" s="624"/>
      <c r="BJH114" s="624"/>
      <c r="BJI114" s="624"/>
      <c r="BJJ114" s="624"/>
      <c r="BJK114" s="624"/>
      <c r="BJL114" s="624"/>
      <c r="BJM114" s="624"/>
      <c r="BJN114" s="624"/>
      <c r="BJO114" s="624"/>
      <c r="BJP114" s="624"/>
      <c r="BJQ114" s="624"/>
      <c r="BJR114" s="624"/>
      <c r="BJS114" s="624"/>
      <c r="BJT114" s="624"/>
      <c r="BJU114" s="624"/>
      <c r="BJV114" s="624"/>
      <c r="BJW114" s="624"/>
      <c r="BJX114" s="624"/>
      <c r="BJY114" s="624"/>
      <c r="BJZ114" s="624"/>
      <c r="BKA114" s="624"/>
      <c r="BKB114" s="624"/>
      <c r="BKC114" s="624"/>
      <c r="BKD114" s="624"/>
      <c r="BKE114" s="624"/>
      <c r="BKF114" s="624"/>
      <c r="BKG114" s="624"/>
      <c r="BKH114" s="624"/>
      <c r="BKI114" s="624"/>
      <c r="BKJ114" s="624"/>
      <c r="BKK114" s="624"/>
      <c r="BKL114" s="624"/>
      <c r="BKM114" s="624"/>
      <c r="BKN114" s="624"/>
      <c r="BKO114" s="624"/>
      <c r="BKP114" s="624"/>
      <c r="BKQ114" s="624"/>
      <c r="BKR114" s="624"/>
      <c r="BKS114" s="624"/>
      <c r="BKT114" s="624"/>
      <c r="BKU114" s="624"/>
      <c r="BKV114" s="624"/>
      <c r="BKW114" s="624"/>
      <c r="BKX114" s="624"/>
      <c r="BKY114" s="624"/>
      <c r="BKZ114" s="624"/>
      <c r="BLA114" s="624"/>
      <c r="BLB114" s="624"/>
      <c r="BLC114" s="624"/>
      <c r="BLD114" s="624"/>
      <c r="BLE114" s="624"/>
      <c r="BLF114" s="624"/>
      <c r="BLG114" s="624"/>
      <c r="BLH114" s="624"/>
      <c r="BLI114" s="624"/>
      <c r="BLJ114" s="624"/>
      <c r="BLK114" s="624"/>
      <c r="BLL114" s="624"/>
      <c r="BLM114" s="624"/>
      <c r="BLN114" s="624"/>
      <c r="BLO114" s="624"/>
      <c r="BLP114" s="624"/>
      <c r="BLQ114" s="624"/>
      <c r="BLR114" s="624"/>
      <c r="BLS114" s="624"/>
      <c r="BLT114" s="624"/>
      <c r="BLU114" s="624"/>
      <c r="BLV114" s="624"/>
      <c r="BLW114" s="624"/>
      <c r="BLX114" s="624"/>
      <c r="BLY114" s="624"/>
      <c r="BLZ114" s="624"/>
      <c r="BMA114" s="624"/>
      <c r="BMB114" s="624"/>
      <c r="BMC114" s="624"/>
      <c r="BMD114" s="624"/>
      <c r="BME114" s="624"/>
      <c r="BMF114" s="624"/>
      <c r="BMG114" s="624"/>
      <c r="BMH114" s="624"/>
      <c r="BMI114" s="624"/>
      <c r="BMJ114" s="624"/>
      <c r="BMK114" s="624"/>
      <c r="BML114" s="624"/>
      <c r="BMM114" s="624"/>
      <c r="BMN114" s="624"/>
      <c r="BMO114" s="624"/>
      <c r="BMP114" s="624"/>
      <c r="BMQ114" s="624"/>
      <c r="BMR114" s="624"/>
      <c r="BMS114" s="624"/>
      <c r="BMT114" s="624"/>
      <c r="BMU114" s="624"/>
      <c r="BMV114" s="624"/>
      <c r="BMW114" s="624"/>
      <c r="BMX114" s="624"/>
      <c r="BMY114" s="624"/>
      <c r="BMZ114" s="624"/>
      <c r="BNA114" s="624"/>
      <c r="BNB114" s="624"/>
      <c r="BNC114" s="624"/>
      <c r="BND114" s="624"/>
      <c r="BNE114" s="624"/>
      <c r="BNF114" s="624"/>
      <c r="BNG114" s="624"/>
      <c r="BNH114" s="624"/>
      <c r="BNI114" s="624"/>
      <c r="BNJ114" s="624"/>
      <c r="BNK114" s="624"/>
      <c r="BNL114" s="624"/>
      <c r="BNM114" s="624"/>
      <c r="BNN114" s="624"/>
      <c r="BNO114" s="624"/>
      <c r="BNP114" s="624"/>
      <c r="BNQ114" s="624"/>
      <c r="BNR114" s="624"/>
      <c r="BNS114" s="624"/>
      <c r="BNT114" s="624"/>
      <c r="BNU114" s="624"/>
      <c r="BNV114" s="624"/>
      <c r="BNW114" s="624"/>
      <c r="BNX114" s="624"/>
      <c r="BNY114" s="624"/>
      <c r="BNZ114" s="624"/>
      <c r="BOA114" s="624"/>
      <c r="BOB114" s="624"/>
      <c r="BOC114" s="624"/>
      <c r="BOD114" s="624"/>
      <c r="BOE114" s="624"/>
      <c r="BOF114" s="624"/>
      <c r="BOG114" s="624"/>
      <c r="BOH114" s="624"/>
      <c r="BOI114" s="624"/>
      <c r="BOJ114" s="624"/>
      <c r="BOK114" s="624"/>
      <c r="BOL114" s="624"/>
      <c r="BOM114" s="624"/>
      <c r="BON114" s="624"/>
      <c r="BOO114" s="624"/>
      <c r="BOP114" s="624"/>
      <c r="BOQ114" s="624"/>
      <c r="BOR114" s="624"/>
      <c r="BOS114" s="624"/>
      <c r="BOT114" s="624"/>
      <c r="BOU114" s="624"/>
      <c r="BOV114" s="624"/>
      <c r="BOW114" s="624"/>
      <c r="BOX114" s="624"/>
      <c r="BOY114" s="624"/>
      <c r="BOZ114" s="624"/>
      <c r="BPA114" s="624"/>
      <c r="BPB114" s="624"/>
      <c r="BPC114" s="624"/>
      <c r="BPD114" s="624"/>
      <c r="BPE114" s="624"/>
      <c r="BPF114" s="624"/>
      <c r="BPG114" s="624"/>
      <c r="BPH114" s="624"/>
      <c r="BPI114" s="624"/>
      <c r="BPJ114" s="624"/>
      <c r="BPK114" s="624"/>
      <c r="BPL114" s="624"/>
      <c r="BPM114" s="624"/>
      <c r="BPN114" s="624"/>
      <c r="BPO114" s="624"/>
      <c r="BPP114" s="624"/>
      <c r="BPQ114" s="624"/>
      <c r="BPR114" s="624"/>
      <c r="BPS114" s="624"/>
      <c r="BPT114" s="624"/>
      <c r="BPU114" s="624"/>
      <c r="BPV114" s="624"/>
      <c r="BPW114" s="624"/>
      <c r="BPX114" s="624"/>
      <c r="BPY114" s="624"/>
      <c r="BPZ114" s="624"/>
      <c r="BQA114" s="624"/>
      <c r="BQB114" s="624"/>
      <c r="BQC114" s="624"/>
      <c r="BQD114" s="624"/>
      <c r="BQE114" s="624"/>
      <c r="BQF114" s="624"/>
      <c r="BQG114" s="624"/>
      <c r="BQH114" s="624"/>
      <c r="BQI114" s="624"/>
      <c r="BQJ114" s="624"/>
      <c r="BQK114" s="624"/>
      <c r="BQL114" s="624"/>
      <c r="BQM114" s="624"/>
      <c r="BQN114" s="624"/>
      <c r="BQO114" s="624"/>
      <c r="BQP114" s="624"/>
      <c r="BQQ114" s="624"/>
      <c r="BQR114" s="624"/>
      <c r="BQS114" s="624"/>
      <c r="BQT114" s="624"/>
      <c r="BQU114" s="624"/>
      <c r="BQV114" s="624"/>
      <c r="BQW114" s="624"/>
      <c r="BQX114" s="624"/>
      <c r="BQY114" s="624"/>
      <c r="BQZ114" s="624"/>
      <c r="BRA114" s="624"/>
      <c r="BRB114" s="624"/>
      <c r="BRC114" s="624"/>
      <c r="BRD114" s="624"/>
      <c r="BRE114" s="624"/>
      <c r="BRF114" s="624"/>
      <c r="BRG114" s="624"/>
      <c r="BRH114" s="624"/>
      <c r="BRI114" s="624"/>
      <c r="BRJ114" s="624"/>
      <c r="BRK114" s="624"/>
      <c r="BRL114" s="624"/>
      <c r="BRM114" s="624"/>
      <c r="BRN114" s="624"/>
      <c r="BRO114" s="624"/>
      <c r="BRP114" s="624"/>
      <c r="BRQ114" s="624"/>
      <c r="BRR114" s="624"/>
      <c r="BRS114" s="624"/>
      <c r="BRT114" s="624"/>
      <c r="BRU114" s="624"/>
      <c r="BRV114" s="624"/>
      <c r="BRW114" s="624"/>
      <c r="BRX114" s="624"/>
      <c r="BRY114" s="624"/>
      <c r="BRZ114" s="624"/>
      <c r="BSA114" s="624"/>
      <c r="BSB114" s="624"/>
      <c r="BSC114" s="624"/>
      <c r="BSD114" s="624"/>
      <c r="BSE114" s="624"/>
      <c r="BSF114" s="624"/>
      <c r="BSG114" s="624"/>
      <c r="BSH114" s="624"/>
      <c r="BSI114" s="624"/>
      <c r="BSJ114" s="624"/>
      <c r="BSK114" s="624"/>
      <c r="BSL114" s="624"/>
      <c r="BSM114" s="624"/>
      <c r="BSN114" s="624"/>
      <c r="BSO114" s="624"/>
      <c r="BSP114" s="624"/>
      <c r="BSQ114" s="624"/>
      <c r="BSR114" s="624"/>
      <c r="BSS114" s="624"/>
      <c r="BST114" s="624"/>
      <c r="BSU114" s="624"/>
      <c r="BSV114" s="624"/>
      <c r="BSW114" s="624"/>
      <c r="BSX114" s="624"/>
      <c r="BSY114" s="624"/>
      <c r="BSZ114" s="624"/>
      <c r="BTA114" s="624"/>
      <c r="BTB114" s="624"/>
      <c r="BTC114" s="624"/>
      <c r="BTD114" s="624"/>
      <c r="BTE114" s="624"/>
      <c r="BTF114" s="624"/>
      <c r="BTG114" s="624"/>
      <c r="BTH114" s="624"/>
      <c r="BTI114" s="624"/>
      <c r="BTJ114" s="624"/>
      <c r="BTK114" s="624"/>
      <c r="BTL114" s="624"/>
      <c r="BTM114" s="624"/>
      <c r="BTN114" s="624"/>
      <c r="BTO114" s="624"/>
      <c r="BTP114" s="624"/>
      <c r="BTQ114" s="624"/>
      <c r="BTR114" s="624"/>
      <c r="BTS114" s="624"/>
      <c r="BTT114" s="624"/>
      <c r="BTU114" s="624"/>
      <c r="BTV114" s="624"/>
      <c r="BTW114" s="624"/>
      <c r="BTX114" s="624"/>
      <c r="BTY114" s="624"/>
      <c r="BTZ114" s="624"/>
      <c r="BUA114" s="624"/>
      <c r="BUB114" s="624"/>
      <c r="BUC114" s="624"/>
      <c r="BUD114" s="624"/>
      <c r="BUE114" s="624"/>
      <c r="BUF114" s="624"/>
      <c r="BUG114" s="624"/>
      <c r="BUH114" s="624"/>
      <c r="BUI114" s="624"/>
      <c r="BUJ114" s="624"/>
      <c r="BUK114" s="624"/>
      <c r="BUL114" s="624"/>
      <c r="BUM114" s="624"/>
      <c r="BUN114" s="624"/>
      <c r="BUO114" s="624"/>
      <c r="BUP114" s="624"/>
      <c r="BUQ114" s="624"/>
      <c r="BUR114" s="624"/>
      <c r="BUS114" s="624"/>
      <c r="BUT114" s="624"/>
      <c r="BUU114" s="624"/>
      <c r="BUV114" s="624"/>
      <c r="BUW114" s="624"/>
      <c r="BUX114" s="624"/>
      <c r="BUY114" s="624"/>
      <c r="BUZ114" s="624"/>
      <c r="BVA114" s="624"/>
      <c r="BVB114" s="624"/>
      <c r="BVC114" s="624"/>
      <c r="BVD114" s="624"/>
      <c r="BVE114" s="624"/>
      <c r="BVF114" s="624"/>
      <c r="BVG114" s="624"/>
      <c r="BVH114" s="624"/>
      <c r="BVI114" s="624"/>
      <c r="BVJ114" s="624"/>
      <c r="BVK114" s="624"/>
      <c r="BVL114" s="624"/>
      <c r="BVM114" s="624"/>
      <c r="BVN114" s="624"/>
      <c r="BVO114" s="624"/>
      <c r="BVP114" s="624"/>
      <c r="BVQ114" s="624"/>
      <c r="BVR114" s="624"/>
      <c r="BVS114" s="624"/>
      <c r="BVT114" s="624"/>
      <c r="BVU114" s="624"/>
      <c r="BVV114" s="624"/>
      <c r="BVW114" s="624"/>
      <c r="BVX114" s="624"/>
      <c r="BVY114" s="624"/>
      <c r="BVZ114" s="624"/>
      <c r="BWA114" s="624"/>
      <c r="BWB114" s="624"/>
      <c r="BWC114" s="624"/>
      <c r="BWD114" s="624"/>
      <c r="BWE114" s="624"/>
      <c r="BWF114" s="624"/>
      <c r="BWG114" s="624"/>
      <c r="BWH114" s="624"/>
      <c r="BWI114" s="624"/>
      <c r="BWJ114" s="624"/>
      <c r="BWK114" s="624"/>
      <c r="BWL114" s="624"/>
      <c r="BWM114" s="624"/>
      <c r="BWN114" s="624"/>
      <c r="BWO114" s="624"/>
      <c r="BWP114" s="624"/>
      <c r="BWQ114" s="624"/>
      <c r="BWR114" s="624"/>
      <c r="BWS114" s="624"/>
      <c r="BWT114" s="624"/>
      <c r="BWU114" s="624"/>
      <c r="BWV114" s="624"/>
      <c r="BWW114" s="624"/>
      <c r="BWX114" s="624"/>
      <c r="BWY114" s="624"/>
      <c r="BWZ114" s="624"/>
      <c r="BXA114" s="624"/>
      <c r="BXB114" s="624"/>
      <c r="BXC114" s="624"/>
      <c r="BXD114" s="624"/>
      <c r="BXE114" s="624"/>
      <c r="BXF114" s="624"/>
    </row>
    <row r="115" spans="1:1982" s="624" customFormat="1" ht="17.25" x14ac:dyDescent="0.3">
      <c r="A115" s="2859" t="s">
        <v>2845</v>
      </c>
      <c r="B115" s="2894">
        <v>58689.274918336712</v>
      </c>
      <c r="C115" s="2894">
        <v>61164.867364283265</v>
      </c>
      <c r="D115" s="2894">
        <v>62308.047586703156</v>
      </c>
      <c r="E115" s="2894">
        <v>59935.356304689136</v>
      </c>
      <c r="F115" s="2894">
        <v>60626.012699105253</v>
      </c>
      <c r="G115" s="2894">
        <v>66202.745755941287</v>
      </c>
      <c r="H115" s="2894">
        <v>61231.167914458201</v>
      </c>
      <c r="I115" s="2894">
        <v>60836.355849982901</v>
      </c>
      <c r="J115" s="2894">
        <v>58423.551438790877</v>
      </c>
      <c r="K115" s="2894">
        <v>62799.7315981844</v>
      </c>
      <c r="L115" s="2894">
        <v>63596.758093180368</v>
      </c>
      <c r="M115" s="2894">
        <v>65376.018556473486</v>
      </c>
      <c r="N115" s="2894">
        <v>64364.211876181202</v>
      </c>
      <c r="O115" s="2894">
        <v>65740.367095630412</v>
      </c>
      <c r="P115" s="2894">
        <v>68021.825963412732</v>
      </c>
      <c r="Q115" s="2894">
        <v>65520.189657995419</v>
      </c>
      <c r="R115" s="2894">
        <v>63331.602232588222</v>
      </c>
      <c r="S115" s="2894">
        <v>67184.904807011088</v>
      </c>
      <c r="T115" s="2894">
        <v>67349.970631637116</v>
      </c>
      <c r="U115" s="2894">
        <v>67218.146691601782</v>
      </c>
    </row>
    <row r="116" spans="1:1982" s="624" customFormat="1" ht="18" thickBot="1" x14ac:dyDescent="0.35">
      <c r="A116" s="2832" t="s">
        <v>2846</v>
      </c>
      <c r="B116" s="2891">
        <v>2549.2337995489274</v>
      </c>
      <c r="C116" s="2891">
        <v>2608.2175986498964</v>
      </c>
      <c r="D116" s="2891">
        <v>2623.3786968152403</v>
      </c>
      <c r="E116" s="2891">
        <v>2244.7458974107803</v>
      </c>
      <c r="F116" s="2891">
        <v>2307.8573116461248</v>
      </c>
      <c r="G116" s="2891">
        <v>2542.6284541926184</v>
      </c>
      <c r="H116" s="2891">
        <v>2543.8476734703945</v>
      </c>
      <c r="I116" s="2891">
        <v>2451.0004733655574</v>
      </c>
      <c r="J116" s="2891">
        <v>1546.0642255233054</v>
      </c>
      <c r="K116" s="2891">
        <v>1378.6654483711934</v>
      </c>
      <c r="L116" s="2891">
        <v>1264.0869793844133</v>
      </c>
      <c r="M116" s="2891">
        <v>1074.7608704590884</v>
      </c>
      <c r="N116" s="2891">
        <v>1098.3336935934001</v>
      </c>
      <c r="O116" s="2891">
        <v>1118.9868849063423</v>
      </c>
      <c r="P116" s="2891">
        <v>1108.6518668506087</v>
      </c>
      <c r="Q116" s="2891">
        <v>1097.2582488680532</v>
      </c>
      <c r="R116" s="2891">
        <v>5001.4906255403712</v>
      </c>
      <c r="S116" s="2891">
        <v>6637.9573672691913</v>
      </c>
      <c r="T116" s="2891">
        <v>6762.4222107237392</v>
      </c>
      <c r="U116" s="2891">
        <v>6679.7943673161508</v>
      </c>
    </row>
    <row r="117" spans="1:1982" s="624" customFormat="1" ht="18.75" thickTop="1" thickBot="1" x14ac:dyDescent="0.35">
      <c r="A117" s="2865" t="s">
        <v>2847</v>
      </c>
      <c r="B117" s="2896">
        <v>397977.33016288682</v>
      </c>
      <c r="C117" s="2896">
        <v>403270.24928724131</v>
      </c>
      <c r="D117" s="2896">
        <v>404577.82309663488</v>
      </c>
      <c r="E117" s="2896">
        <v>403994.36177990359</v>
      </c>
      <c r="F117" s="2896">
        <v>410442.57405406859</v>
      </c>
      <c r="G117" s="2896">
        <v>422165.69661458675</v>
      </c>
      <c r="H117" s="2896">
        <v>417207.95220849366</v>
      </c>
      <c r="I117" s="2896">
        <v>423742.42118161084</v>
      </c>
      <c r="J117" s="2896">
        <v>427318.93861860118</v>
      </c>
      <c r="K117" s="2896">
        <v>435701.17637470976</v>
      </c>
      <c r="L117" s="2896">
        <v>443529.11040879408</v>
      </c>
      <c r="M117" s="2896">
        <v>451440.99566156225</v>
      </c>
      <c r="N117" s="2896">
        <v>455155.84772606456</v>
      </c>
      <c r="O117" s="2896">
        <v>454811.76081269875</v>
      </c>
      <c r="P117" s="2896">
        <v>454053.23265579448</v>
      </c>
      <c r="Q117" s="2896">
        <v>451476.23718437267</v>
      </c>
      <c r="R117" s="2896">
        <v>454982.07480304822</v>
      </c>
      <c r="S117" s="2896">
        <v>467177.16286894563</v>
      </c>
      <c r="T117" s="2896">
        <v>468310.5640118008</v>
      </c>
      <c r="U117" s="2896">
        <v>471052.28055699938</v>
      </c>
    </row>
    <row r="118" spans="1:1982" s="624" customFormat="1" ht="18.75" thickTop="1" thickBot="1" x14ac:dyDescent="0.35">
      <c r="A118" s="2865" t="s">
        <v>2848</v>
      </c>
      <c r="B118" s="2896">
        <v>336738.82144500117</v>
      </c>
      <c r="C118" s="2896">
        <v>339497.16432430811</v>
      </c>
      <c r="D118" s="2896">
        <v>339646.3968131165</v>
      </c>
      <c r="E118" s="2896">
        <v>341814.25957780366</v>
      </c>
      <c r="F118" s="2896">
        <v>347508.70404331724</v>
      </c>
      <c r="G118" s="2896">
        <v>353420.32240445289</v>
      </c>
      <c r="H118" s="2896">
        <v>353432.93662056507</v>
      </c>
      <c r="I118" s="2896">
        <v>360455.06485826243</v>
      </c>
      <c r="J118" s="2896">
        <v>367349.322954287</v>
      </c>
      <c r="K118" s="2896">
        <v>371522.77932815417</v>
      </c>
      <c r="L118" s="2896">
        <v>378668.26533622929</v>
      </c>
      <c r="M118" s="2896">
        <v>384990.21623462968</v>
      </c>
      <c r="N118" s="2896">
        <v>389693.30215628998</v>
      </c>
      <c r="O118" s="2896">
        <v>387952.406832162</v>
      </c>
      <c r="P118" s="2896">
        <v>384922.75482553116</v>
      </c>
      <c r="Q118" s="2896">
        <v>384858.7892775092</v>
      </c>
      <c r="R118" s="2896">
        <v>386648.98194491962</v>
      </c>
      <c r="S118" s="2896">
        <v>393354.30069466535</v>
      </c>
      <c r="T118" s="2896">
        <v>394198.17116943997</v>
      </c>
      <c r="U118" s="2896">
        <v>397154.33949808148</v>
      </c>
    </row>
    <row r="119" spans="1:1982" s="2759" customFormat="1" ht="17.25" customHeight="1" thickTop="1" x14ac:dyDescent="0.2">
      <c r="A119" s="2131" t="s">
        <v>173</v>
      </c>
      <c r="B119" s="2898"/>
      <c r="C119" s="2898"/>
      <c r="D119" s="2898"/>
      <c r="E119" s="2898"/>
      <c r="F119" s="2898"/>
      <c r="G119" s="2898"/>
      <c r="H119" s="2898"/>
      <c r="I119" s="2898"/>
      <c r="J119" s="2898"/>
      <c r="K119" s="2898"/>
      <c r="L119" s="2898"/>
      <c r="M119" s="2898"/>
      <c r="N119" s="2898"/>
      <c r="O119" s="2898"/>
      <c r="P119" s="2898"/>
      <c r="Q119" s="2898"/>
      <c r="R119" s="2898"/>
      <c r="S119" s="2898"/>
      <c r="T119" s="2898"/>
      <c r="U119" s="2898"/>
    </row>
    <row r="120" spans="1:1982" s="2776" customFormat="1" ht="17.25" customHeight="1" x14ac:dyDescent="0.2">
      <c r="A120" s="2899" t="s">
        <v>2882</v>
      </c>
      <c r="B120" s="2898"/>
      <c r="C120" s="2898"/>
      <c r="D120" s="2898"/>
      <c r="E120" s="2898"/>
      <c r="F120" s="2898"/>
      <c r="G120" s="2898"/>
      <c r="H120" s="2898"/>
      <c r="I120" s="2898"/>
      <c r="J120" s="2898"/>
      <c r="K120" s="2898"/>
      <c r="L120" s="2898"/>
      <c r="M120" s="2898"/>
      <c r="N120" s="2898"/>
      <c r="O120" s="2898"/>
      <c r="P120" s="2898"/>
      <c r="Q120" s="2898"/>
      <c r="R120" s="2898"/>
      <c r="S120" s="2898"/>
      <c r="T120" s="2898"/>
      <c r="U120" s="2898"/>
    </row>
    <row r="121" spans="1:1982" s="2776" customFormat="1" ht="17.25" customHeight="1" x14ac:dyDescent="0.2">
      <c r="A121" s="2899" t="s">
        <v>2884</v>
      </c>
      <c r="B121" s="2901"/>
      <c r="C121" s="2901"/>
      <c r="D121" s="2901"/>
      <c r="E121" s="2901"/>
      <c r="F121" s="2901"/>
      <c r="G121" s="2901"/>
      <c r="H121" s="2901"/>
      <c r="I121" s="2901"/>
      <c r="J121" s="2901"/>
      <c r="K121" s="2901"/>
      <c r="L121" s="2901"/>
      <c r="M121" s="2901"/>
      <c r="N121" s="2901"/>
      <c r="O121" s="2901"/>
      <c r="P121" s="2901"/>
      <c r="Q121" s="2901"/>
      <c r="R121" s="2901"/>
      <c r="S121" s="2901"/>
      <c r="T121" s="2901"/>
      <c r="U121" s="2901"/>
    </row>
    <row r="122" spans="1:1982" s="2198" customFormat="1" ht="17.25" customHeight="1" x14ac:dyDescent="0.25">
      <c r="A122" s="2131" t="s">
        <v>290</v>
      </c>
    </row>
    <row r="125" spans="1:1982" x14ac:dyDescent="0.25">
      <c r="B125" s="2869"/>
      <c r="C125" s="2869"/>
      <c r="D125" s="2869"/>
      <c r="E125" s="2869"/>
      <c r="F125" s="2869"/>
      <c r="G125" s="2869"/>
      <c r="H125" s="2869"/>
      <c r="I125" s="2869"/>
      <c r="J125" s="2869"/>
      <c r="K125" s="2869"/>
      <c r="L125" s="2869"/>
      <c r="M125" s="2869"/>
      <c r="N125" s="2869"/>
      <c r="O125" s="2869"/>
      <c r="P125" s="2869"/>
      <c r="Q125" s="2869"/>
      <c r="R125" s="2869"/>
      <c r="S125" s="2869"/>
      <c r="T125" s="2869"/>
      <c r="U125" s="2869"/>
    </row>
    <row r="126" spans="1:1982" x14ac:dyDescent="0.25">
      <c r="B126" s="2869"/>
      <c r="C126" s="2869"/>
      <c r="D126" s="2869"/>
      <c r="E126" s="2869"/>
      <c r="F126" s="2869"/>
      <c r="G126" s="2869"/>
      <c r="H126" s="2869"/>
      <c r="I126" s="2869"/>
      <c r="J126" s="2869"/>
      <c r="K126" s="2869"/>
      <c r="L126" s="2869"/>
      <c r="M126" s="2869"/>
      <c r="N126" s="2869"/>
      <c r="O126" s="2869"/>
      <c r="P126" s="2869"/>
      <c r="Q126" s="2869"/>
      <c r="R126" s="2869"/>
      <c r="S126" s="2869"/>
      <c r="T126" s="2869"/>
      <c r="U126" s="2869"/>
    </row>
  </sheetData>
  <pageMargins left="0.74803149606299202" right="0.74803149606299202" top="0.31496062992126" bottom="0.59055118110236204" header="0.31496062992126" footer="0"/>
  <pageSetup paperSize="9" scale="47" fitToHeight="0" orientation="landscape" r:id="rId1"/>
  <rowBreaks count="1" manualBreakCount="1">
    <brk id="67" max="20"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D15"/>
  <sheetViews>
    <sheetView showGridLines="0" zoomScale="85" zoomScaleNormal="85" zoomScaleSheetLayoutView="85" workbookViewId="0">
      <pane xSplit="1" topLeftCell="BP1" activePane="topRight" state="frozen"/>
      <selection activeCell="A38" sqref="A38"/>
      <selection pane="topRight" activeCell="A38" sqref="A38"/>
    </sheetView>
  </sheetViews>
  <sheetFormatPr defaultRowHeight="14.25" x14ac:dyDescent="0.25"/>
  <cols>
    <col min="1" max="1" width="41.7109375" style="2911" customWidth="1"/>
    <col min="2" max="10" width="12.140625" style="2911" hidden="1" customWidth="1"/>
    <col min="11" max="68" width="12.140625" style="2940" hidden="1" customWidth="1"/>
    <col min="69" max="81" width="12.140625" style="2940" customWidth="1"/>
    <col min="82" max="82" width="9.140625" style="2903"/>
    <col min="83" max="154" width="9.140625" style="2911"/>
    <col min="155" max="155" width="55.7109375" style="2911" customWidth="1"/>
    <col min="156" max="247" width="9.140625" style="2911" customWidth="1"/>
    <col min="248" max="249" width="9.28515625" style="2911" customWidth="1"/>
    <col min="250" max="260" width="10.28515625" style="2911" customWidth="1"/>
    <col min="261" max="410" width="9.140625" style="2911"/>
    <col min="411" max="411" width="55.7109375" style="2911" customWidth="1"/>
    <col min="412" max="503" width="9.140625" style="2911" customWidth="1"/>
    <col min="504" max="505" width="9.28515625" style="2911" customWidth="1"/>
    <col min="506" max="516" width="10.28515625" style="2911" customWidth="1"/>
    <col min="517" max="666" width="9.140625" style="2911"/>
    <col min="667" max="667" width="55.7109375" style="2911" customWidth="1"/>
    <col min="668" max="759" width="9.140625" style="2911" customWidth="1"/>
    <col min="760" max="761" width="9.28515625" style="2911" customWidth="1"/>
    <col min="762" max="772" width="10.28515625" style="2911" customWidth="1"/>
    <col min="773" max="922" width="9.140625" style="2911"/>
    <col min="923" max="923" width="55.7109375" style="2911" customWidth="1"/>
    <col min="924" max="1015" width="9.140625" style="2911" customWidth="1"/>
    <col min="1016" max="1017" width="9.28515625" style="2911" customWidth="1"/>
    <col min="1018" max="1028" width="10.28515625" style="2911" customWidth="1"/>
    <col min="1029" max="1178" width="9.140625" style="2911"/>
    <col min="1179" max="1179" width="55.7109375" style="2911" customWidth="1"/>
    <col min="1180" max="1271" width="9.140625" style="2911" customWidth="1"/>
    <col min="1272" max="1273" width="9.28515625" style="2911" customWidth="1"/>
    <col min="1274" max="1284" width="10.28515625" style="2911" customWidth="1"/>
    <col min="1285" max="1434" width="9.140625" style="2911"/>
    <col min="1435" max="1435" width="55.7109375" style="2911" customWidth="1"/>
    <col min="1436" max="1527" width="9.140625" style="2911" customWidth="1"/>
    <col min="1528" max="1529" width="9.28515625" style="2911" customWidth="1"/>
    <col min="1530" max="1540" width="10.28515625" style="2911" customWidth="1"/>
    <col min="1541" max="1690" width="9.140625" style="2911"/>
    <col min="1691" max="1691" width="55.7109375" style="2911" customWidth="1"/>
    <col min="1692" max="1783" width="9.140625" style="2911" customWidth="1"/>
    <col min="1784" max="1785" width="9.28515625" style="2911" customWidth="1"/>
    <col min="1786" max="1796" width="10.28515625" style="2911" customWidth="1"/>
    <col min="1797" max="1946" width="9.140625" style="2911"/>
    <col min="1947" max="1947" width="55.7109375" style="2911" customWidth="1"/>
    <col min="1948" max="2039" width="9.140625" style="2911" customWidth="1"/>
    <col min="2040" max="2041" width="9.28515625" style="2911" customWidth="1"/>
    <col min="2042" max="2052" width="10.28515625" style="2911" customWidth="1"/>
    <col min="2053" max="2202" width="9.140625" style="2911"/>
    <col min="2203" max="2203" width="55.7109375" style="2911" customWidth="1"/>
    <col min="2204" max="2295" width="9.140625" style="2911" customWidth="1"/>
    <col min="2296" max="2297" width="9.28515625" style="2911" customWidth="1"/>
    <col min="2298" max="2308" width="10.28515625" style="2911" customWidth="1"/>
    <col min="2309" max="2458" width="9.140625" style="2911"/>
    <col min="2459" max="2459" width="55.7109375" style="2911" customWidth="1"/>
    <col min="2460" max="2551" width="9.140625" style="2911" customWidth="1"/>
    <col min="2552" max="2553" width="9.28515625" style="2911" customWidth="1"/>
    <col min="2554" max="2564" width="10.28515625" style="2911" customWidth="1"/>
    <col min="2565" max="2714" width="9.140625" style="2911"/>
    <col min="2715" max="2715" width="55.7109375" style="2911" customWidth="1"/>
    <col min="2716" max="2807" width="9.140625" style="2911" customWidth="1"/>
    <col min="2808" max="2809" width="9.28515625" style="2911" customWidth="1"/>
    <col min="2810" max="2820" width="10.28515625" style="2911" customWidth="1"/>
    <col min="2821" max="2970" width="9.140625" style="2911"/>
    <col min="2971" max="2971" width="55.7109375" style="2911" customWidth="1"/>
    <col min="2972" max="3063" width="9.140625" style="2911" customWidth="1"/>
    <col min="3064" max="3065" width="9.28515625" style="2911" customWidth="1"/>
    <col min="3066" max="3076" width="10.28515625" style="2911" customWidth="1"/>
    <col min="3077" max="3226" width="9.140625" style="2911"/>
    <col min="3227" max="3227" width="55.7109375" style="2911" customWidth="1"/>
    <col min="3228" max="3319" width="9.140625" style="2911" customWidth="1"/>
    <col min="3320" max="3321" width="9.28515625" style="2911" customWidth="1"/>
    <col min="3322" max="3332" width="10.28515625" style="2911" customWidth="1"/>
    <col min="3333" max="3482" width="9.140625" style="2911"/>
    <col min="3483" max="3483" width="55.7109375" style="2911" customWidth="1"/>
    <col min="3484" max="3575" width="9.140625" style="2911" customWidth="1"/>
    <col min="3576" max="3577" width="9.28515625" style="2911" customWidth="1"/>
    <col min="3578" max="3588" width="10.28515625" style="2911" customWidth="1"/>
    <col min="3589" max="3738" width="9.140625" style="2911"/>
    <col min="3739" max="3739" width="55.7109375" style="2911" customWidth="1"/>
    <col min="3740" max="3831" width="9.140625" style="2911" customWidth="1"/>
    <col min="3832" max="3833" width="9.28515625" style="2911" customWidth="1"/>
    <col min="3834" max="3844" width="10.28515625" style="2911" customWidth="1"/>
    <col min="3845" max="3994" width="9.140625" style="2911"/>
    <col min="3995" max="3995" width="55.7109375" style="2911" customWidth="1"/>
    <col min="3996" max="4087" width="9.140625" style="2911" customWidth="1"/>
    <col min="4088" max="4089" width="9.28515625" style="2911" customWidth="1"/>
    <col min="4090" max="4100" width="10.28515625" style="2911" customWidth="1"/>
    <col min="4101" max="4250" width="9.140625" style="2911"/>
    <col min="4251" max="4251" width="55.7109375" style="2911" customWidth="1"/>
    <col min="4252" max="4343" width="9.140625" style="2911" customWidth="1"/>
    <col min="4344" max="4345" width="9.28515625" style="2911" customWidth="1"/>
    <col min="4346" max="4356" width="10.28515625" style="2911" customWidth="1"/>
    <col min="4357" max="4506" width="9.140625" style="2911"/>
    <col min="4507" max="4507" width="55.7109375" style="2911" customWidth="1"/>
    <col min="4508" max="4599" width="9.140625" style="2911" customWidth="1"/>
    <col min="4600" max="4601" width="9.28515625" style="2911" customWidth="1"/>
    <col min="4602" max="4612" width="10.28515625" style="2911" customWidth="1"/>
    <col min="4613" max="4762" width="9.140625" style="2911"/>
    <col min="4763" max="4763" width="55.7109375" style="2911" customWidth="1"/>
    <col min="4764" max="4855" width="9.140625" style="2911" customWidth="1"/>
    <col min="4856" max="4857" width="9.28515625" style="2911" customWidth="1"/>
    <col min="4858" max="4868" width="10.28515625" style="2911" customWidth="1"/>
    <col min="4869" max="5018" width="9.140625" style="2911"/>
    <col min="5019" max="5019" width="55.7109375" style="2911" customWidth="1"/>
    <col min="5020" max="5111" width="9.140625" style="2911" customWidth="1"/>
    <col min="5112" max="5113" width="9.28515625" style="2911" customWidth="1"/>
    <col min="5114" max="5124" width="10.28515625" style="2911" customWidth="1"/>
    <col min="5125" max="5274" width="9.140625" style="2911"/>
    <col min="5275" max="5275" width="55.7109375" style="2911" customWidth="1"/>
    <col min="5276" max="5367" width="9.140625" style="2911" customWidth="1"/>
    <col min="5368" max="5369" width="9.28515625" style="2911" customWidth="1"/>
    <col min="5370" max="5380" width="10.28515625" style="2911" customWidth="1"/>
    <col min="5381" max="5530" width="9.140625" style="2911"/>
    <col min="5531" max="5531" width="55.7109375" style="2911" customWidth="1"/>
    <col min="5532" max="5623" width="9.140625" style="2911" customWidth="1"/>
    <col min="5624" max="5625" width="9.28515625" style="2911" customWidth="1"/>
    <col min="5626" max="5636" width="10.28515625" style="2911" customWidth="1"/>
    <col min="5637" max="5786" width="9.140625" style="2911"/>
    <col min="5787" max="5787" width="55.7109375" style="2911" customWidth="1"/>
    <col min="5788" max="5879" width="9.140625" style="2911" customWidth="1"/>
    <col min="5880" max="5881" width="9.28515625" style="2911" customWidth="1"/>
    <col min="5882" max="5892" width="10.28515625" style="2911" customWidth="1"/>
    <col min="5893" max="6042" width="9.140625" style="2911"/>
    <col min="6043" max="6043" width="55.7109375" style="2911" customWidth="1"/>
    <col min="6044" max="6135" width="9.140625" style="2911" customWidth="1"/>
    <col min="6136" max="6137" width="9.28515625" style="2911" customWidth="1"/>
    <col min="6138" max="6148" width="10.28515625" style="2911" customWidth="1"/>
    <col min="6149" max="6298" width="9.140625" style="2911"/>
    <col min="6299" max="6299" width="55.7109375" style="2911" customWidth="1"/>
    <col min="6300" max="6391" width="9.140625" style="2911" customWidth="1"/>
    <col min="6392" max="6393" width="9.28515625" style="2911" customWidth="1"/>
    <col min="6394" max="6404" width="10.28515625" style="2911" customWidth="1"/>
    <col min="6405" max="6554" width="9.140625" style="2911"/>
    <col min="6555" max="6555" width="55.7109375" style="2911" customWidth="1"/>
    <col min="6556" max="6647" width="9.140625" style="2911" customWidth="1"/>
    <col min="6648" max="6649" width="9.28515625" style="2911" customWidth="1"/>
    <col min="6650" max="6660" width="10.28515625" style="2911" customWidth="1"/>
    <col min="6661" max="6810" width="9.140625" style="2911"/>
    <col min="6811" max="6811" width="55.7109375" style="2911" customWidth="1"/>
    <col min="6812" max="6903" width="9.140625" style="2911" customWidth="1"/>
    <col min="6904" max="6905" width="9.28515625" style="2911" customWidth="1"/>
    <col min="6906" max="6916" width="10.28515625" style="2911" customWidth="1"/>
    <col min="6917" max="7066" width="9.140625" style="2911"/>
    <col min="7067" max="7067" width="55.7109375" style="2911" customWidth="1"/>
    <col min="7068" max="7159" width="9.140625" style="2911" customWidth="1"/>
    <col min="7160" max="7161" width="9.28515625" style="2911" customWidth="1"/>
    <col min="7162" max="7172" width="10.28515625" style="2911" customWidth="1"/>
    <col min="7173" max="7322" width="9.140625" style="2911"/>
    <col min="7323" max="7323" width="55.7109375" style="2911" customWidth="1"/>
    <col min="7324" max="7415" width="9.140625" style="2911" customWidth="1"/>
    <col min="7416" max="7417" width="9.28515625" style="2911" customWidth="1"/>
    <col min="7418" max="7428" width="10.28515625" style="2911" customWidth="1"/>
    <col min="7429" max="7578" width="9.140625" style="2911"/>
    <col min="7579" max="7579" width="55.7109375" style="2911" customWidth="1"/>
    <col min="7580" max="7671" width="9.140625" style="2911" customWidth="1"/>
    <col min="7672" max="7673" width="9.28515625" style="2911" customWidth="1"/>
    <col min="7674" max="7684" width="10.28515625" style="2911" customWidth="1"/>
    <col min="7685" max="7834" width="9.140625" style="2911"/>
    <col min="7835" max="7835" width="55.7109375" style="2911" customWidth="1"/>
    <col min="7836" max="7927" width="9.140625" style="2911" customWidth="1"/>
    <col min="7928" max="7929" width="9.28515625" style="2911" customWidth="1"/>
    <col min="7930" max="7940" width="10.28515625" style="2911" customWidth="1"/>
    <col min="7941" max="8090" width="9.140625" style="2911"/>
    <col min="8091" max="8091" width="55.7109375" style="2911" customWidth="1"/>
    <col min="8092" max="8183" width="9.140625" style="2911" customWidth="1"/>
    <col min="8184" max="8185" width="9.28515625" style="2911" customWidth="1"/>
    <col min="8186" max="8196" width="10.28515625" style="2911" customWidth="1"/>
    <col min="8197" max="8346" width="9.140625" style="2911"/>
    <col min="8347" max="8347" width="55.7109375" style="2911" customWidth="1"/>
    <col min="8348" max="8439" width="9.140625" style="2911" customWidth="1"/>
    <col min="8440" max="8441" width="9.28515625" style="2911" customWidth="1"/>
    <col min="8442" max="8452" width="10.28515625" style="2911" customWidth="1"/>
    <col min="8453" max="8602" width="9.140625" style="2911"/>
    <col min="8603" max="8603" width="55.7109375" style="2911" customWidth="1"/>
    <col min="8604" max="8695" width="9.140625" style="2911" customWidth="1"/>
    <col min="8696" max="8697" width="9.28515625" style="2911" customWidth="1"/>
    <col min="8698" max="8708" width="10.28515625" style="2911" customWidth="1"/>
    <col min="8709" max="8858" width="9.140625" style="2911"/>
    <col min="8859" max="8859" width="55.7109375" style="2911" customWidth="1"/>
    <col min="8860" max="8951" width="9.140625" style="2911" customWidth="1"/>
    <col min="8952" max="8953" width="9.28515625" style="2911" customWidth="1"/>
    <col min="8954" max="8964" width="10.28515625" style="2911" customWidth="1"/>
    <col min="8965" max="9114" width="9.140625" style="2911"/>
    <col min="9115" max="9115" width="55.7109375" style="2911" customWidth="1"/>
    <col min="9116" max="9207" width="9.140625" style="2911" customWidth="1"/>
    <col min="9208" max="9209" width="9.28515625" style="2911" customWidth="1"/>
    <col min="9210" max="9220" width="10.28515625" style="2911" customWidth="1"/>
    <col min="9221" max="9370" width="9.140625" style="2911"/>
    <col min="9371" max="9371" width="55.7109375" style="2911" customWidth="1"/>
    <col min="9372" max="9463" width="9.140625" style="2911" customWidth="1"/>
    <col min="9464" max="9465" width="9.28515625" style="2911" customWidth="1"/>
    <col min="9466" max="9476" width="10.28515625" style="2911" customWidth="1"/>
    <col min="9477" max="9626" width="9.140625" style="2911"/>
    <col min="9627" max="9627" width="55.7109375" style="2911" customWidth="1"/>
    <col min="9628" max="9719" width="9.140625" style="2911" customWidth="1"/>
    <col min="9720" max="9721" width="9.28515625" style="2911" customWidth="1"/>
    <col min="9722" max="9732" width="10.28515625" style="2911" customWidth="1"/>
    <col min="9733" max="9882" width="9.140625" style="2911"/>
    <col min="9883" max="9883" width="55.7109375" style="2911" customWidth="1"/>
    <col min="9884" max="9975" width="9.140625" style="2911" customWidth="1"/>
    <col min="9976" max="9977" width="9.28515625" style="2911" customWidth="1"/>
    <col min="9978" max="9988" width="10.28515625" style="2911" customWidth="1"/>
    <col min="9989" max="10138" width="9.140625" style="2911"/>
    <col min="10139" max="10139" width="55.7109375" style="2911" customWidth="1"/>
    <col min="10140" max="10231" width="9.140625" style="2911" customWidth="1"/>
    <col min="10232" max="10233" width="9.28515625" style="2911" customWidth="1"/>
    <col min="10234" max="10244" width="10.28515625" style="2911" customWidth="1"/>
    <col min="10245" max="10394" width="9.140625" style="2911"/>
    <col min="10395" max="10395" width="55.7109375" style="2911" customWidth="1"/>
    <col min="10396" max="10487" width="9.140625" style="2911" customWidth="1"/>
    <col min="10488" max="10489" width="9.28515625" style="2911" customWidth="1"/>
    <col min="10490" max="10500" width="10.28515625" style="2911" customWidth="1"/>
    <col min="10501" max="10650" width="9.140625" style="2911"/>
    <col min="10651" max="10651" width="55.7109375" style="2911" customWidth="1"/>
    <col min="10652" max="10743" width="9.140625" style="2911" customWidth="1"/>
    <col min="10744" max="10745" width="9.28515625" style="2911" customWidth="1"/>
    <col min="10746" max="10756" width="10.28515625" style="2911" customWidth="1"/>
    <col min="10757" max="10906" width="9.140625" style="2911"/>
    <col min="10907" max="10907" width="55.7109375" style="2911" customWidth="1"/>
    <col min="10908" max="10999" width="9.140625" style="2911" customWidth="1"/>
    <col min="11000" max="11001" width="9.28515625" style="2911" customWidth="1"/>
    <col min="11002" max="11012" width="10.28515625" style="2911" customWidth="1"/>
    <col min="11013" max="11162" width="9.140625" style="2911"/>
    <col min="11163" max="11163" width="55.7109375" style="2911" customWidth="1"/>
    <col min="11164" max="11255" width="9.140625" style="2911" customWidth="1"/>
    <col min="11256" max="11257" width="9.28515625" style="2911" customWidth="1"/>
    <col min="11258" max="11268" width="10.28515625" style="2911" customWidth="1"/>
    <col min="11269" max="11418" width="9.140625" style="2911"/>
    <col min="11419" max="11419" width="55.7109375" style="2911" customWidth="1"/>
    <col min="11420" max="11511" width="9.140625" style="2911" customWidth="1"/>
    <col min="11512" max="11513" width="9.28515625" style="2911" customWidth="1"/>
    <col min="11514" max="11524" width="10.28515625" style="2911" customWidth="1"/>
    <col min="11525" max="11674" width="9.140625" style="2911"/>
    <col min="11675" max="11675" width="55.7109375" style="2911" customWidth="1"/>
    <col min="11676" max="11767" width="9.140625" style="2911" customWidth="1"/>
    <col min="11768" max="11769" width="9.28515625" style="2911" customWidth="1"/>
    <col min="11770" max="11780" width="10.28515625" style="2911" customWidth="1"/>
    <col min="11781" max="11930" width="9.140625" style="2911"/>
    <col min="11931" max="11931" width="55.7109375" style="2911" customWidth="1"/>
    <col min="11932" max="12023" width="9.140625" style="2911" customWidth="1"/>
    <col min="12024" max="12025" width="9.28515625" style="2911" customWidth="1"/>
    <col min="12026" max="12036" width="10.28515625" style="2911" customWidth="1"/>
    <col min="12037" max="12186" width="9.140625" style="2911"/>
    <col min="12187" max="12187" width="55.7109375" style="2911" customWidth="1"/>
    <col min="12188" max="12279" width="9.140625" style="2911" customWidth="1"/>
    <col min="12280" max="12281" width="9.28515625" style="2911" customWidth="1"/>
    <col min="12282" max="12292" width="10.28515625" style="2911" customWidth="1"/>
    <col min="12293" max="12442" width="9.140625" style="2911"/>
    <col min="12443" max="12443" width="55.7109375" style="2911" customWidth="1"/>
    <col min="12444" max="12535" width="9.140625" style="2911" customWidth="1"/>
    <col min="12536" max="12537" width="9.28515625" style="2911" customWidth="1"/>
    <col min="12538" max="12548" width="10.28515625" style="2911" customWidth="1"/>
    <col min="12549" max="12698" width="9.140625" style="2911"/>
    <col min="12699" max="12699" width="55.7109375" style="2911" customWidth="1"/>
    <col min="12700" max="12791" width="9.140625" style="2911" customWidth="1"/>
    <col min="12792" max="12793" width="9.28515625" style="2911" customWidth="1"/>
    <col min="12794" max="12804" width="10.28515625" style="2911" customWidth="1"/>
    <col min="12805" max="12954" width="9.140625" style="2911"/>
    <col min="12955" max="12955" width="55.7109375" style="2911" customWidth="1"/>
    <col min="12956" max="13047" width="9.140625" style="2911" customWidth="1"/>
    <col min="13048" max="13049" width="9.28515625" style="2911" customWidth="1"/>
    <col min="13050" max="13060" width="10.28515625" style="2911" customWidth="1"/>
    <col min="13061" max="13210" width="9.140625" style="2911"/>
    <col min="13211" max="13211" width="55.7109375" style="2911" customWidth="1"/>
    <col min="13212" max="13303" width="9.140625" style="2911" customWidth="1"/>
    <col min="13304" max="13305" width="9.28515625" style="2911" customWidth="1"/>
    <col min="13306" max="13316" width="10.28515625" style="2911" customWidth="1"/>
    <col min="13317" max="13466" width="9.140625" style="2911"/>
    <col min="13467" max="13467" width="55.7109375" style="2911" customWidth="1"/>
    <col min="13468" max="13559" width="9.140625" style="2911" customWidth="1"/>
    <col min="13560" max="13561" width="9.28515625" style="2911" customWidth="1"/>
    <col min="13562" max="13572" width="10.28515625" style="2911" customWidth="1"/>
    <col min="13573" max="13722" width="9.140625" style="2911"/>
    <col min="13723" max="13723" width="55.7109375" style="2911" customWidth="1"/>
    <col min="13724" max="13815" width="9.140625" style="2911" customWidth="1"/>
    <col min="13816" max="13817" width="9.28515625" style="2911" customWidth="1"/>
    <col min="13818" max="13828" width="10.28515625" style="2911" customWidth="1"/>
    <col min="13829" max="13978" width="9.140625" style="2911"/>
    <col min="13979" max="13979" width="55.7109375" style="2911" customWidth="1"/>
    <col min="13980" max="14071" width="9.140625" style="2911" customWidth="1"/>
    <col min="14072" max="14073" width="9.28515625" style="2911" customWidth="1"/>
    <col min="14074" max="14084" width="10.28515625" style="2911" customWidth="1"/>
    <col min="14085" max="14234" width="9.140625" style="2911"/>
    <col min="14235" max="14235" width="55.7109375" style="2911" customWidth="1"/>
    <col min="14236" max="14327" width="9.140625" style="2911" customWidth="1"/>
    <col min="14328" max="14329" width="9.28515625" style="2911" customWidth="1"/>
    <col min="14330" max="14340" width="10.28515625" style="2911" customWidth="1"/>
    <col min="14341" max="14490" width="9.140625" style="2911"/>
    <col min="14491" max="14491" width="55.7109375" style="2911" customWidth="1"/>
    <col min="14492" max="14583" width="9.140625" style="2911" customWidth="1"/>
    <col min="14584" max="14585" width="9.28515625" style="2911" customWidth="1"/>
    <col min="14586" max="14596" width="10.28515625" style="2911" customWidth="1"/>
    <col min="14597" max="14746" width="9.140625" style="2911"/>
    <col min="14747" max="14747" width="55.7109375" style="2911" customWidth="1"/>
    <col min="14748" max="14839" width="9.140625" style="2911" customWidth="1"/>
    <col min="14840" max="14841" width="9.28515625" style="2911" customWidth="1"/>
    <col min="14842" max="14852" width="10.28515625" style="2911" customWidth="1"/>
    <col min="14853" max="15002" width="9.140625" style="2911"/>
    <col min="15003" max="15003" width="55.7109375" style="2911" customWidth="1"/>
    <col min="15004" max="15095" width="9.140625" style="2911" customWidth="1"/>
    <col min="15096" max="15097" width="9.28515625" style="2911" customWidth="1"/>
    <col min="15098" max="15108" width="10.28515625" style="2911" customWidth="1"/>
    <col min="15109" max="15258" width="9.140625" style="2911"/>
    <col min="15259" max="15259" width="55.7109375" style="2911" customWidth="1"/>
    <col min="15260" max="15351" width="9.140625" style="2911" customWidth="1"/>
    <col min="15352" max="15353" width="9.28515625" style="2911" customWidth="1"/>
    <col min="15354" max="15364" width="10.28515625" style="2911" customWidth="1"/>
    <col min="15365" max="15514" width="9.140625" style="2911"/>
    <col min="15515" max="15515" width="55.7109375" style="2911" customWidth="1"/>
    <col min="15516" max="15607" width="9.140625" style="2911" customWidth="1"/>
    <col min="15608" max="15609" width="9.28515625" style="2911" customWidth="1"/>
    <col min="15610" max="15620" width="10.28515625" style="2911" customWidth="1"/>
    <col min="15621" max="15770" width="9.140625" style="2911"/>
    <col min="15771" max="15771" width="55.7109375" style="2911" customWidth="1"/>
    <col min="15772" max="15863" width="9.140625" style="2911" customWidth="1"/>
    <col min="15864" max="15865" width="9.28515625" style="2911" customWidth="1"/>
    <col min="15866" max="15876" width="10.28515625" style="2911" customWidth="1"/>
    <col min="15877" max="16026" width="9.140625" style="2911"/>
    <col min="16027" max="16027" width="55.7109375" style="2911" customWidth="1"/>
    <col min="16028" max="16119" width="9.140625" style="2911" customWidth="1"/>
    <col min="16120" max="16121" width="9.28515625" style="2911" customWidth="1"/>
    <col min="16122" max="16132" width="10.28515625" style="2911" customWidth="1"/>
    <col min="16133" max="16384" width="9.140625" style="2911"/>
  </cols>
  <sheetData>
    <row r="1" spans="1:82" s="2903" customFormat="1" ht="23.25" customHeight="1" x14ac:dyDescent="0.3">
      <c r="A1" s="2902" t="s">
        <v>2885</v>
      </c>
      <c r="D1" s="2904"/>
      <c r="E1" s="2904"/>
      <c r="F1" s="2904"/>
      <c r="G1" s="2904"/>
      <c r="H1" s="2904"/>
      <c r="I1" s="2904"/>
      <c r="J1" s="2904"/>
      <c r="K1" s="2905"/>
      <c r="L1" s="2905"/>
      <c r="M1" s="2905"/>
      <c r="N1" s="2905"/>
      <c r="O1" s="2905"/>
      <c r="P1" s="2905"/>
      <c r="Q1" s="2905"/>
      <c r="R1" s="2905"/>
      <c r="S1" s="2905"/>
      <c r="T1" s="2905"/>
      <c r="U1" s="2905"/>
      <c r="V1" s="2905"/>
      <c r="W1" s="2905"/>
      <c r="X1" s="2905"/>
      <c r="Y1" s="2905"/>
      <c r="Z1" s="2905"/>
      <c r="AA1" s="2905"/>
      <c r="AB1" s="2905"/>
      <c r="AC1" s="2905"/>
      <c r="AD1" s="2905"/>
      <c r="AE1" s="2905"/>
      <c r="AF1" s="2905"/>
      <c r="AG1" s="2905"/>
      <c r="AH1" s="2905"/>
      <c r="AI1" s="2905"/>
      <c r="AJ1" s="2905"/>
      <c r="AK1" s="2905"/>
      <c r="AL1" s="2905"/>
      <c r="AM1" s="2905"/>
      <c r="AN1" s="2905"/>
      <c r="AO1" s="2905"/>
      <c r="AP1" s="2905"/>
      <c r="AQ1" s="2905"/>
      <c r="AR1" s="2905"/>
      <c r="AS1" s="2905"/>
      <c r="AT1" s="2905"/>
      <c r="AU1" s="2905"/>
      <c r="AV1" s="2905"/>
      <c r="AW1" s="2905"/>
      <c r="AX1" s="2905"/>
      <c r="AY1" s="2905"/>
      <c r="AZ1" s="2905"/>
      <c r="BA1" s="2905"/>
      <c r="BB1" s="2905"/>
      <c r="BC1" s="2905"/>
      <c r="BD1" s="2905"/>
      <c r="BE1" s="2905"/>
      <c r="BF1" s="2905"/>
      <c r="BG1" s="2905"/>
      <c r="BH1" s="2905"/>
      <c r="BI1" s="2905"/>
      <c r="BJ1" s="2905"/>
      <c r="BK1" s="2905"/>
      <c r="BL1" s="2905"/>
      <c r="BM1" s="2905"/>
      <c r="BN1" s="2905"/>
      <c r="BO1" s="2905"/>
      <c r="BP1" s="2905"/>
      <c r="BQ1" s="2905"/>
      <c r="BR1" s="2905"/>
      <c r="BS1" s="2905"/>
      <c r="BT1" s="2905"/>
      <c r="BU1" s="2905"/>
      <c r="BV1" s="2905"/>
      <c r="BW1" s="2905"/>
      <c r="BX1" s="2905"/>
      <c r="BY1" s="2905"/>
      <c r="BZ1" s="2905"/>
      <c r="CA1" s="2905"/>
      <c r="CB1" s="2905"/>
      <c r="CC1" s="2905"/>
    </row>
    <row r="2" spans="1:82" ht="15.75" customHeight="1" thickBot="1" x14ac:dyDescent="0.35">
      <c r="A2" s="2906"/>
      <c r="B2" s="2907"/>
      <c r="C2" s="2907"/>
      <c r="D2" s="2907"/>
      <c r="E2" s="2907"/>
      <c r="F2" s="2907"/>
      <c r="G2" s="2907"/>
      <c r="H2" s="2907"/>
      <c r="I2" s="2907"/>
      <c r="J2" s="2907"/>
      <c r="K2" s="2908"/>
      <c r="L2" s="2908"/>
      <c r="M2" s="2908"/>
      <c r="N2" s="2908"/>
      <c r="O2" s="2908"/>
      <c r="P2" s="2908"/>
      <c r="Q2" s="2908"/>
      <c r="R2" s="2908"/>
      <c r="S2" s="2908"/>
      <c r="T2" s="2908"/>
      <c r="U2" s="2908"/>
      <c r="V2" s="2908"/>
      <c r="W2" s="2907"/>
      <c r="X2" s="2907"/>
      <c r="Y2" s="2907"/>
      <c r="Z2" s="2907"/>
      <c r="AA2" s="2907"/>
      <c r="AB2" s="2907"/>
      <c r="AC2" s="2907"/>
      <c r="AD2" s="2907"/>
      <c r="AE2" s="2907"/>
      <c r="AF2" s="2909"/>
      <c r="AG2" s="2909"/>
      <c r="AH2" s="2909"/>
      <c r="AI2" s="2909"/>
      <c r="AJ2" s="2909"/>
      <c r="AK2" s="2909"/>
      <c r="AL2" s="2909"/>
      <c r="AM2" s="2909"/>
      <c r="AN2" s="2909"/>
      <c r="AO2" s="2909"/>
      <c r="AP2" s="2909"/>
      <c r="AQ2" s="2909"/>
      <c r="AR2" s="2909"/>
      <c r="AS2" s="2909"/>
      <c r="AT2" s="2909"/>
      <c r="AU2" s="2909"/>
      <c r="AV2" s="2909"/>
      <c r="AW2" s="2909"/>
      <c r="AX2" s="2909"/>
      <c r="AY2" s="2909"/>
      <c r="AZ2" s="2909"/>
      <c r="BA2" s="2909"/>
      <c r="BB2" s="2909"/>
      <c r="BC2" s="2909"/>
      <c r="BD2" s="2909"/>
      <c r="BE2" s="2909"/>
      <c r="BF2" s="2909"/>
      <c r="BG2" s="2909"/>
      <c r="BH2" s="2909"/>
      <c r="BI2" s="2909"/>
      <c r="BJ2" s="2909"/>
      <c r="BK2" s="2909"/>
      <c r="BL2" s="2909"/>
      <c r="BM2" s="2909"/>
      <c r="BN2" s="2909"/>
      <c r="BO2" s="2909"/>
      <c r="BP2" s="2909"/>
      <c r="BQ2" s="2909"/>
      <c r="BR2" s="2909"/>
      <c r="BS2" s="2909"/>
      <c r="BT2" s="2910"/>
      <c r="BU2" s="2910"/>
      <c r="BV2" s="2910"/>
      <c r="BW2" s="2910"/>
      <c r="BX2" s="2910"/>
      <c r="BY2" s="2910"/>
      <c r="BZ2" s="2910"/>
      <c r="CA2" s="2910"/>
      <c r="CB2" s="2910"/>
      <c r="CC2" s="2910" t="s">
        <v>1129</v>
      </c>
    </row>
    <row r="3" spans="1:82" s="2916" customFormat="1" ht="26.25" customHeight="1" thickTop="1" thickBot="1" x14ac:dyDescent="0.35">
      <c r="A3" s="2912"/>
      <c r="B3" s="2913">
        <v>42736</v>
      </c>
      <c r="C3" s="2913">
        <v>42767</v>
      </c>
      <c r="D3" s="2913">
        <v>42795</v>
      </c>
      <c r="E3" s="2913">
        <v>42826</v>
      </c>
      <c r="F3" s="2913">
        <v>42856</v>
      </c>
      <c r="G3" s="2913">
        <v>42887</v>
      </c>
      <c r="H3" s="2913">
        <v>42917</v>
      </c>
      <c r="I3" s="2913">
        <v>42948</v>
      </c>
      <c r="J3" s="2913">
        <v>42979</v>
      </c>
      <c r="K3" s="2913">
        <v>43009</v>
      </c>
      <c r="L3" s="2913">
        <v>43040</v>
      </c>
      <c r="M3" s="2913">
        <v>43070</v>
      </c>
      <c r="N3" s="2913">
        <v>43101</v>
      </c>
      <c r="O3" s="2913">
        <v>43132</v>
      </c>
      <c r="P3" s="2913">
        <v>43160</v>
      </c>
      <c r="Q3" s="2913">
        <v>43191</v>
      </c>
      <c r="R3" s="2913">
        <v>43221</v>
      </c>
      <c r="S3" s="2913">
        <v>43252</v>
      </c>
      <c r="T3" s="2913">
        <v>43282</v>
      </c>
      <c r="U3" s="2913">
        <v>43313</v>
      </c>
      <c r="V3" s="2913">
        <v>43344</v>
      </c>
      <c r="W3" s="2913">
        <v>43374</v>
      </c>
      <c r="X3" s="2913">
        <v>43405</v>
      </c>
      <c r="Y3" s="2913">
        <v>43435</v>
      </c>
      <c r="Z3" s="2913">
        <v>43466</v>
      </c>
      <c r="AA3" s="2913">
        <v>43497</v>
      </c>
      <c r="AB3" s="2913">
        <v>43525</v>
      </c>
      <c r="AC3" s="2913">
        <v>43556</v>
      </c>
      <c r="AD3" s="2913">
        <v>43586</v>
      </c>
      <c r="AE3" s="2913">
        <v>43617</v>
      </c>
      <c r="AF3" s="2913">
        <v>43647</v>
      </c>
      <c r="AG3" s="2913">
        <v>43678</v>
      </c>
      <c r="AH3" s="2913">
        <v>43709</v>
      </c>
      <c r="AI3" s="2913">
        <v>43739</v>
      </c>
      <c r="AJ3" s="2913">
        <v>43770</v>
      </c>
      <c r="AK3" s="2913">
        <v>43800</v>
      </c>
      <c r="AL3" s="2913">
        <v>43831</v>
      </c>
      <c r="AM3" s="2913">
        <v>43862</v>
      </c>
      <c r="AN3" s="2913">
        <v>43891</v>
      </c>
      <c r="AO3" s="2913">
        <v>43922</v>
      </c>
      <c r="AP3" s="2913">
        <v>43952</v>
      </c>
      <c r="AQ3" s="2913">
        <v>43983</v>
      </c>
      <c r="AR3" s="2913">
        <v>44013</v>
      </c>
      <c r="AS3" s="2913">
        <v>44044</v>
      </c>
      <c r="AT3" s="2913">
        <v>44075</v>
      </c>
      <c r="AU3" s="2913">
        <v>44105</v>
      </c>
      <c r="AV3" s="2913">
        <v>44136</v>
      </c>
      <c r="AW3" s="2913">
        <v>44166</v>
      </c>
      <c r="AX3" s="2913">
        <v>44197</v>
      </c>
      <c r="AY3" s="2913">
        <v>44228</v>
      </c>
      <c r="AZ3" s="2913">
        <v>44256</v>
      </c>
      <c r="BA3" s="2913">
        <v>44287</v>
      </c>
      <c r="BB3" s="2913">
        <v>44317</v>
      </c>
      <c r="BC3" s="2913">
        <v>44348</v>
      </c>
      <c r="BD3" s="2913">
        <v>44378</v>
      </c>
      <c r="BE3" s="2913">
        <v>44409</v>
      </c>
      <c r="BF3" s="2913">
        <v>44440</v>
      </c>
      <c r="BG3" s="2913">
        <v>44470</v>
      </c>
      <c r="BH3" s="2913">
        <v>44501</v>
      </c>
      <c r="BI3" s="2913">
        <v>44531</v>
      </c>
      <c r="BJ3" s="2913">
        <v>44562</v>
      </c>
      <c r="BK3" s="2913">
        <v>44593</v>
      </c>
      <c r="BL3" s="2913">
        <v>44621</v>
      </c>
      <c r="BM3" s="2913">
        <v>44652</v>
      </c>
      <c r="BN3" s="2913">
        <v>44682</v>
      </c>
      <c r="BO3" s="2913">
        <v>44713</v>
      </c>
      <c r="BP3" s="2913">
        <v>44743</v>
      </c>
      <c r="BQ3" s="2913">
        <v>44774</v>
      </c>
      <c r="BR3" s="2913">
        <v>44805</v>
      </c>
      <c r="BS3" s="2913">
        <v>44835</v>
      </c>
      <c r="BT3" s="2913">
        <v>44866</v>
      </c>
      <c r="BU3" s="2913">
        <v>44896</v>
      </c>
      <c r="BV3" s="2913">
        <v>44927</v>
      </c>
      <c r="BW3" s="2913">
        <v>44958</v>
      </c>
      <c r="BX3" s="2913">
        <v>44986</v>
      </c>
      <c r="BY3" s="2913">
        <v>45017</v>
      </c>
      <c r="BZ3" s="2914">
        <v>45047</v>
      </c>
      <c r="CA3" s="2914">
        <v>45078</v>
      </c>
      <c r="CB3" s="2914">
        <v>45108</v>
      </c>
      <c r="CC3" s="2914">
        <v>45139</v>
      </c>
      <c r="CD3" s="2915"/>
    </row>
    <row r="4" spans="1:82" ht="22.5" customHeight="1" x14ac:dyDescent="0.3">
      <c r="A4" s="2917" t="s">
        <v>2886</v>
      </c>
      <c r="B4" s="2918"/>
      <c r="C4" s="2918"/>
      <c r="D4" s="2918"/>
      <c r="E4" s="2918"/>
      <c r="F4" s="2918"/>
      <c r="G4" s="2918"/>
      <c r="H4" s="2918"/>
      <c r="I4" s="2918"/>
      <c r="J4" s="2918"/>
      <c r="K4" s="2918"/>
      <c r="L4" s="2918"/>
      <c r="M4" s="2918"/>
      <c r="N4" s="2918"/>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row>
    <row r="5" spans="1:82" s="2916" customFormat="1" ht="22.5" customHeight="1" x14ac:dyDescent="0.3">
      <c r="A5" s="2919" t="s">
        <v>2887</v>
      </c>
      <c r="B5" s="2920" t="s">
        <v>2888</v>
      </c>
      <c r="C5" s="2920" t="s">
        <v>2888</v>
      </c>
      <c r="D5" s="2920" t="s">
        <v>2888</v>
      </c>
      <c r="E5" s="2920" t="s">
        <v>2888</v>
      </c>
      <c r="F5" s="2920" t="s">
        <v>2888</v>
      </c>
      <c r="G5" s="2920" t="s">
        <v>2888</v>
      </c>
      <c r="H5" s="2920" t="s">
        <v>2889</v>
      </c>
      <c r="I5" s="2920" t="s">
        <v>2890</v>
      </c>
      <c r="J5" s="2920" t="s">
        <v>1413</v>
      </c>
      <c r="K5" s="2920" t="s">
        <v>1462</v>
      </c>
      <c r="L5" s="2920" t="s">
        <v>1462</v>
      </c>
      <c r="M5" s="2920" t="s">
        <v>1462</v>
      </c>
      <c r="N5" s="2920" t="s">
        <v>1462</v>
      </c>
      <c r="O5" s="2920" t="s">
        <v>1462</v>
      </c>
      <c r="P5" s="2920" t="s">
        <v>1462</v>
      </c>
      <c r="Q5" s="2920" t="s">
        <v>1462</v>
      </c>
      <c r="R5" s="2920" t="s">
        <v>1462</v>
      </c>
      <c r="S5" s="2920" t="s">
        <v>1462</v>
      </c>
      <c r="T5" s="2920" t="s">
        <v>1462</v>
      </c>
      <c r="U5" s="2920" t="s">
        <v>1355</v>
      </c>
      <c r="V5" s="2920" t="s">
        <v>2891</v>
      </c>
      <c r="W5" s="2920" t="s">
        <v>2891</v>
      </c>
      <c r="X5" s="2920" t="s">
        <v>2891</v>
      </c>
      <c r="Y5" s="2920" t="s">
        <v>2891</v>
      </c>
      <c r="Z5" s="2920" t="s">
        <v>2891</v>
      </c>
      <c r="AA5" s="2920" t="s">
        <v>2891</v>
      </c>
      <c r="AB5" s="2920" t="s">
        <v>2891</v>
      </c>
      <c r="AC5" s="2920" t="s">
        <v>2891</v>
      </c>
      <c r="AD5" s="2920" t="s">
        <v>2891</v>
      </c>
      <c r="AE5" s="2920" t="s">
        <v>2891</v>
      </c>
      <c r="AF5" s="2920" t="s">
        <v>2891</v>
      </c>
      <c r="AG5" s="2920" t="s">
        <v>1355</v>
      </c>
      <c r="AH5" s="2920" t="s">
        <v>1462</v>
      </c>
      <c r="AI5" s="2920" t="s">
        <v>2892</v>
      </c>
      <c r="AJ5" s="2920" t="s">
        <v>2892</v>
      </c>
      <c r="AK5" s="2920" t="s">
        <v>2892</v>
      </c>
      <c r="AL5" s="2920" t="s">
        <v>2892</v>
      </c>
      <c r="AM5" s="2920" t="s">
        <v>2892</v>
      </c>
      <c r="AN5" s="2920" t="s">
        <v>2893</v>
      </c>
      <c r="AO5" s="2920" t="s">
        <v>2894</v>
      </c>
      <c r="AP5" s="2920" t="s">
        <v>2895</v>
      </c>
      <c r="AQ5" s="2920" t="s">
        <v>2895</v>
      </c>
      <c r="AR5" s="2920" t="s">
        <v>2895</v>
      </c>
      <c r="AS5" s="2920" t="s">
        <v>2895</v>
      </c>
      <c r="AT5" s="2920" t="s">
        <v>2895</v>
      </c>
      <c r="AU5" s="2920" t="s">
        <v>2895</v>
      </c>
      <c r="AV5" s="2920" t="s">
        <v>2895</v>
      </c>
      <c r="AW5" s="2920" t="s">
        <v>2895</v>
      </c>
      <c r="AX5" s="2920" t="s">
        <v>2895</v>
      </c>
      <c r="AY5" s="2920" t="s">
        <v>2895</v>
      </c>
      <c r="AZ5" s="2920" t="s">
        <v>2895</v>
      </c>
      <c r="BA5" s="2920" t="s">
        <v>2895</v>
      </c>
      <c r="BB5" s="2920" t="s">
        <v>2895</v>
      </c>
      <c r="BC5" s="2920" t="s">
        <v>2895</v>
      </c>
      <c r="BD5" s="2920" t="s">
        <v>2895</v>
      </c>
      <c r="BE5" s="2920" t="s">
        <v>2895</v>
      </c>
      <c r="BF5" s="2920" t="s">
        <v>2895</v>
      </c>
      <c r="BG5" s="2920" t="s">
        <v>2895</v>
      </c>
      <c r="BH5" s="2920" t="s">
        <v>2895</v>
      </c>
      <c r="BI5" s="2920" t="s">
        <v>2895</v>
      </c>
      <c r="BJ5" s="2920" t="s">
        <v>2895</v>
      </c>
      <c r="BK5" s="2920" t="s">
        <v>2895</v>
      </c>
      <c r="BL5" s="2920" t="s">
        <v>2896</v>
      </c>
      <c r="BM5" s="2920" t="s">
        <v>2896</v>
      </c>
      <c r="BN5" s="2920" t="s">
        <v>2896</v>
      </c>
      <c r="BO5" s="2920" t="s">
        <v>2897</v>
      </c>
      <c r="BP5" s="2921" t="s">
        <v>2898</v>
      </c>
      <c r="BQ5" s="2922" t="s">
        <v>2898</v>
      </c>
      <c r="BR5" s="2920" t="s">
        <v>2899</v>
      </c>
      <c r="BS5" s="2920" t="s">
        <v>2900</v>
      </c>
      <c r="BT5" s="2920" t="s">
        <v>2901</v>
      </c>
      <c r="BU5" s="2920" t="s">
        <v>2902</v>
      </c>
      <c r="BV5" s="2920" t="s">
        <v>2903</v>
      </c>
      <c r="BW5" s="2920" t="s">
        <v>2903</v>
      </c>
      <c r="BX5" s="2920" t="s">
        <v>2904</v>
      </c>
      <c r="BY5" s="2920" t="s">
        <v>2905</v>
      </c>
      <c r="BZ5" s="2920" t="s">
        <v>2905</v>
      </c>
      <c r="CA5" s="2923" t="s">
        <v>2905</v>
      </c>
      <c r="CB5" s="2923" t="s">
        <v>2905</v>
      </c>
      <c r="CC5" s="2923" t="s">
        <v>2905</v>
      </c>
      <c r="CD5" s="2915"/>
    </row>
    <row r="6" spans="1:82" ht="22.5" customHeight="1" x14ac:dyDescent="0.3">
      <c r="A6" s="2919" t="s">
        <v>2906</v>
      </c>
      <c r="B6" s="2924"/>
      <c r="C6" s="2925"/>
      <c r="D6" s="2924"/>
      <c r="E6" s="2924"/>
      <c r="F6" s="2924"/>
      <c r="G6" s="2924"/>
      <c r="H6" s="2924"/>
      <c r="I6" s="2924"/>
      <c r="J6" s="2924"/>
      <c r="K6" s="2924"/>
      <c r="L6" s="2924"/>
      <c r="M6" s="2924"/>
      <c r="N6" s="2924"/>
      <c r="O6" s="2924"/>
      <c r="P6" s="2924"/>
      <c r="Q6" s="2924"/>
      <c r="R6" s="2924"/>
      <c r="S6" s="2924"/>
      <c r="T6" s="2924"/>
      <c r="U6" s="2924"/>
      <c r="V6" s="2924"/>
      <c r="W6" s="2924"/>
      <c r="X6" s="2924"/>
      <c r="Y6" s="2924"/>
      <c r="Z6" s="2924"/>
      <c r="AA6" s="2924"/>
      <c r="AB6" s="2924"/>
      <c r="AC6" s="2924"/>
      <c r="AD6" s="2924"/>
      <c r="AE6" s="2924"/>
      <c r="AF6" s="2924"/>
      <c r="AG6" s="2924"/>
      <c r="AH6" s="2924"/>
      <c r="AI6" s="2924"/>
      <c r="AJ6" s="2924"/>
      <c r="AK6" s="2924"/>
      <c r="AL6" s="2924"/>
      <c r="AM6" s="2924"/>
      <c r="AN6" s="2924"/>
      <c r="AO6" s="2924"/>
      <c r="AP6" s="2924"/>
      <c r="AQ6" s="2924"/>
      <c r="AR6" s="2924"/>
      <c r="AS6" s="2924"/>
      <c r="AT6" s="2924"/>
      <c r="AU6" s="2924"/>
      <c r="AV6" s="2924"/>
      <c r="AW6" s="2924"/>
      <c r="AX6" s="2924"/>
      <c r="AY6" s="2924"/>
      <c r="AZ6" s="2924"/>
      <c r="BA6" s="2924"/>
      <c r="BB6" s="2924"/>
      <c r="BC6" s="2924"/>
      <c r="BD6" s="2924"/>
      <c r="BE6" s="2924"/>
      <c r="BF6" s="2924"/>
      <c r="BG6" s="2924"/>
      <c r="BH6" s="2924"/>
      <c r="BI6" s="2924"/>
      <c r="BJ6" s="2924"/>
      <c r="BK6" s="2924"/>
      <c r="BL6" s="2924"/>
      <c r="BM6" s="2924"/>
      <c r="BN6" s="2924"/>
      <c r="BO6" s="2924"/>
      <c r="BP6" s="2926"/>
      <c r="BQ6" s="2927"/>
      <c r="BR6" s="2924"/>
      <c r="BS6" s="2924"/>
      <c r="BT6" s="2924"/>
      <c r="BU6" s="2924"/>
      <c r="BV6" s="2924"/>
      <c r="BW6" s="2924"/>
      <c r="BX6" s="2924"/>
      <c r="BY6" s="2924"/>
      <c r="BZ6" s="2924"/>
      <c r="CA6" s="2928"/>
      <c r="CB6" s="2928"/>
      <c r="CC6" s="2928"/>
    </row>
    <row r="7" spans="1:82" ht="22.5" customHeight="1" x14ac:dyDescent="0.3">
      <c r="A7" s="2929" t="s">
        <v>2907</v>
      </c>
      <c r="B7" s="2930" t="s">
        <v>2908</v>
      </c>
      <c r="C7" s="2930" t="s">
        <v>2909</v>
      </c>
      <c r="D7" s="2930" t="s">
        <v>2910</v>
      </c>
      <c r="E7" s="2930" t="s">
        <v>2911</v>
      </c>
      <c r="F7" s="2930" t="s">
        <v>2912</v>
      </c>
      <c r="G7" s="2930" t="s">
        <v>2912</v>
      </c>
      <c r="H7" s="2930" t="s">
        <v>2913</v>
      </c>
      <c r="I7" s="2930" t="s">
        <v>2914</v>
      </c>
      <c r="J7" s="2930" t="s">
        <v>2915</v>
      </c>
      <c r="K7" s="2930" t="s">
        <v>2916</v>
      </c>
      <c r="L7" s="2930" t="s">
        <v>2912</v>
      </c>
      <c r="M7" s="2930" t="s">
        <v>2917</v>
      </c>
      <c r="N7" s="2930" t="s">
        <v>2918</v>
      </c>
      <c r="O7" s="2930" t="s">
        <v>2912</v>
      </c>
      <c r="P7" s="2930" t="s">
        <v>2913</v>
      </c>
      <c r="Q7" s="2930" t="s">
        <v>2919</v>
      </c>
      <c r="R7" s="2930" t="s">
        <v>2920</v>
      </c>
      <c r="S7" s="2930" t="s">
        <v>2913</v>
      </c>
      <c r="T7" s="2930" t="s">
        <v>2913</v>
      </c>
      <c r="U7" s="2930" t="s">
        <v>2921</v>
      </c>
      <c r="V7" s="2930" t="s">
        <v>2922</v>
      </c>
      <c r="W7" s="2930" t="s">
        <v>2923</v>
      </c>
      <c r="X7" s="2930" t="s">
        <v>2924</v>
      </c>
      <c r="Y7" s="2930" t="s">
        <v>2924</v>
      </c>
      <c r="Z7" s="2930" t="s">
        <v>2925</v>
      </c>
      <c r="AA7" s="2930" t="s">
        <v>2926</v>
      </c>
      <c r="AB7" s="2930" t="s">
        <v>2927</v>
      </c>
      <c r="AC7" s="2930" t="s">
        <v>2928</v>
      </c>
      <c r="AD7" s="2930" t="s">
        <v>2929</v>
      </c>
      <c r="AE7" s="2930" t="s">
        <v>2925</v>
      </c>
      <c r="AF7" s="2930" t="s">
        <v>2930</v>
      </c>
      <c r="AG7" s="2930" t="s">
        <v>2931</v>
      </c>
      <c r="AH7" s="2930" t="s">
        <v>2931</v>
      </c>
      <c r="AI7" s="2930" t="s">
        <v>2931</v>
      </c>
      <c r="AJ7" s="2930" t="s">
        <v>2929</v>
      </c>
      <c r="AK7" s="2930" t="s">
        <v>2932</v>
      </c>
      <c r="AL7" s="2930" t="s">
        <v>2916</v>
      </c>
      <c r="AM7" s="2930" t="s">
        <v>2915</v>
      </c>
      <c r="AN7" s="2930" t="s">
        <v>2915</v>
      </c>
      <c r="AO7" s="2930" t="s">
        <v>2933</v>
      </c>
      <c r="AP7" s="2930" t="s">
        <v>2934</v>
      </c>
      <c r="AQ7" s="2930" t="s">
        <v>2918</v>
      </c>
      <c r="AR7" s="2930" t="s">
        <v>2935</v>
      </c>
      <c r="AS7" s="2930" t="s">
        <v>2936</v>
      </c>
      <c r="AT7" s="2930" t="s">
        <v>2937</v>
      </c>
      <c r="AU7" s="2930" t="s">
        <v>2938</v>
      </c>
      <c r="AV7" s="2930" t="s">
        <v>2939</v>
      </c>
      <c r="AW7" s="2930" t="s">
        <v>2940</v>
      </c>
      <c r="AX7" s="2930" t="s">
        <v>2941</v>
      </c>
      <c r="AY7" s="2930" t="s">
        <v>2942</v>
      </c>
      <c r="AZ7" s="2930" t="s">
        <v>2943</v>
      </c>
      <c r="BA7" s="2930" t="s">
        <v>2944</v>
      </c>
      <c r="BB7" s="2930" t="s">
        <v>2945</v>
      </c>
      <c r="BC7" s="2930" t="s">
        <v>2944</v>
      </c>
      <c r="BD7" s="2930" t="s">
        <v>2946</v>
      </c>
      <c r="BE7" s="2930" t="s">
        <v>2947</v>
      </c>
      <c r="BF7" s="2930" t="s">
        <v>2948</v>
      </c>
      <c r="BG7" s="2930" t="s">
        <v>2949</v>
      </c>
      <c r="BH7" s="2930" t="s">
        <v>2949</v>
      </c>
      <c r="BI7" s="2930" t="s">
        <v>2950</v>
      </c>
      <c r="BJ7" s="2930" t="s">
        <v>2951</v>
      </c>
      <c r="BK7" s="2930" t="s">
        <v>2952</v>
      </c>
      <c r="BL7" s="2930" t="s">
        <v>2953</v>
      </c>
      <c r="BM7" s="2930" t="s">
        <v>2946</v>
      </c>
      <c r="BN7" s="2930" t="s">
        <v>2954</v>
      </c>
      <c r="BO7" s="2930" t="s">
        <v>2955</v>
      </c>
      <c r="BP7" s="2930" t="s">
        <v>2956</v>
      </c>
      <c r="BQ7" s="2930" t="s">
        <v>2957</v>
      </c>
      <c r="BR7" s="2930" t="s">
        <v>2958</v>
      </c>
      <c r="BS7" s="2930" t="s">
        <v>2959</v>
      </c>
      <c r="BT7" s="2930" t="s">
        <v>2960</v>
      </c>
      <c r="BU7" s="2930" t="s">
        <v>2961</v>
      </c>
      <c r="BV7" s="2930" t="s">
        <v>2962</v>
      </c>
      <c r="BW7" s="2930" t="s">
        <v>2963</v>
      </c>
      <c r="BX7" s="2930" t="s">
        <v>2964</v>
      </c>
      <c r="BY7" s="2930" t="s">
        <v>2965</v>
      </c>
      <c r="BZ7" s="2930" t="s">
        <v>2966</v>
      </c>
      <c r="CA7" s="2931" t="s">
        <v>2967</v>
      </c>
      <c r="CB7" s="2931" t="s">
        <v>2967</v>
      </c>
      <c r="CC7" s="2931" t="s">
        <v>2968</v>
      </c>
    </row>
    <row r="8" spans="1:82" ht="22.5" customHeight="1" x14ac:dyDescent="0.3">
      <c r="A8" s="2929" t="s">
        <v>2969</v>
      </c>
      <c r="B8" s="2930" t="s">
        <v>2970</v>
      </c>
      <c r="C8" s="2930" t="s">
        <v>2971</v>
      </c>
      <c r="D8" s="2930" t="s">
        <v>2972</v>
      </c>
      <c r="E8" s="2930" t="s">
        <v>2973</v>
      </c>
      <c r="F8" s="2930" t="s">
        <v>2974</v>
      </c>
      <c r="G8" s="2930" t="s">
        <v>2975</v>
      </c>
      <c r="H8" s="2930" t="s">
        <v>2976</v>
      </c>
      <c r="I8" s="2930" t="s">
        <v>2972</v>
      </c>
      <c r="J8" s="2930" t="s">
        <v>2977</v>
      </c>
      <c r="K8" s="2930" t="s">
        <v>2978</v>
      </c>
      <c r="L8" s="2930" t="s">
        <v>2979</v>
      </c>
      <c r="M8" s="2930" t="s">
        <v>2980</v>
      </c>
      <c r="N8" s="2930" t="s">
        <v>2981</v>
      </c>
      <c r="O8" s="2930" t="s">
        <v>2982</v>
      </c>
      <c r="P8" s="2930" t="s">
        <v>2983</v>
      </c>
      <c r="Q8" s="2930" t="s">
        <v>2984</v>
      </c>
      <c r="R8" s="2930" t="s">
        <v>2985</v>
      </c>
      <c r="S8" s="2930" t="s">
        <v>2986</v>
      </c>
      <c r="T8" s="2930" t="s">
        <v>2987</v>
      </c>
      <c r="U8" s="2930" t="s">
        <v>2988</v>
      </c>
      <c r="V8" s="2930" t="s">
        <v>2989</v>
      </c>
      <c r="W8" s="2930" t="s">
        <v>2990</v>
      </c>
      <c r="X8" s="2930" t="s">
        <v>2991</v>
      </c>
      <c r="Y8" s="2930" t="s">
        <v>2992</v>
      </c>
      <c r="Z8" s="2930" t="s">
        <v>2993</v>
      </c>
      <c r="AA8" s="2930" t="s">
        <v>2994</v>
      </c>
      <c r="AB8" s="2930" t="s">
        <v>2995</v>
      </c>
      <c r="AC8" s="2930" t="s">
        <v>2996</v>
      </c>
      <c r="AD8" s="2930" t="s">
        <v>2997</v>
      </c>
      <c r="AE8" s="2930" t="s">
        <v>2998</v>
      </c>
      <c r="AF8" s="2930" t="s">
        <v>2999</v>
      </c>
      <c r="AG8" s="2930" t="s">
        <v>2988</v>
      </c>
      <c r="AH8" s="2930" t="s">
        <v>3000</v>
      </c>
      <c r="AI8" s="2930" t="s">
        <v>3001</v>
      </c>
      <c r="AJ8" s="2930" t="s">
        <v>3002</v>
      </c>
      <c r="AK8" s="2930" t="s">
        <v>3003</v>
      </c>
      <c r="AL8" s="2930" t="s">
        <v>2931</v>
      </c>
      <c r="AM8" s="2930" t="s">
        <v>2929</v>
      </c>
      <c r="AN8" s="2930" t="s">
        <v>3004</v>
      </c>
      <c r="AO8" s="2930" t="s">
        <v>2977</v>
      </c>
      <c r="AP8" s="2930" t="s">
        <v>3005</v>
      </c>
      <c r="AQ8" s="2930" t="s">
        <v>3006</v>
      </c>
      <c r="AR8" s="2930" t="s">
        <v>3006</v>
      </c>
      <c r="AS8" s="2930" t="s">
        <v>3007</v>
      </c>
      <c r="AT8" s="2930" t="s">
        <v>3008</v>
      </c>
      <c r="AU8" s="2930" t="s">
        <v>3009</v>
      </c>
      <c r="AV8" s="2930" t="s">
        <v>3010</v>
      </c>
      <c r="AW8" s="2930" t="s">
        <v>3011</v>
      </c>
      <c r="AX8" s="2930" t="s">
        <v>3011</v>
      </c>
      <c r="AY8" s="2930" t="s">
        <v>3012</v>
      </c>
      <c r="AZ8" s="2930" t="s">
        <v>3010</v>
      </c>
      <c r="BA8" s="2930" t="s">
        <v>3013</v>
      </c>
      <c r="BB8" s="2930" t="s">
        <v>3014</v>
      </c>
      <c r="BC8" s="2930" t="s">
        <v>3015</v>
      </c>
      <c r="BD8" s="2930" t="s">
        <v>3016</v>
      </c>
      <c r="BE8" s="2930" t="s">
        <v>3017</v>
      </c>
      <c r="BF8" s="2930" t="s">
        <v>3018</v>
      </c>
      <c r="BG8" s="2930" t="s">
        <v>3019</v>
      </c>
      <c r="BH8" s="2930" t="s">
        <v>3019</v>
      </c>
      <c r="BI8" s="2930" t="s">
        <v>3006</v>
      </c>
      <c r="BJ8" s="2930" t="s">
        <v>3020</v>
      </c>
      <c r="BK8" s="2930" t="s">
        <v>3021</v>
      </c>
      <c r="BL8" s="2930" t="s">
        <v>3010</v>
      </c>
      <c r="BM8" s="2930" t="s">
        <v>3010</v>
      </c>
      <c r="BN8" s="2930" t="s">
        <v>3013</v>
      </c>
      <c r="BO8" s="2930" t="s">
        <v>3022</v>
      </c>
      <c r="BP8" s="2930" t="s">
        <v>3023</v>
      </c>
      <c r="BQ8" s="2930" t="s">
        <v>3024</v>
      </c>
      <c r="BR8" s="2930" t="s">
        <v>3025</v>
      </c>
      <c r="BS8" s="2930" t="s">
        <v>3026</v>
      </c>
      <c r="BT8" s="2930" t="s">
        <v>3027</v>
      </c>
      <c r="BU8" s="2930" t="s">
        <v>3028</v>
      </c>
      <c r="BV8" s="2930" t="s">
        <v>3029</v>
      </c>
      <c r="BW8" s="2930" t="s">
        <v>3030</v>
      </c>
      <c r="BX8" s="2930" t="s">
        <v>3031</v>
      </c>
      <c r="BY8" s="2930" t="s">
        <v>3032</v>
      </c>
      <c r="BZ8" s="2930" t="s">
        <v>3033</v>
      </c>
      <c r="CA8" s="2931" t="s">
        <v>3034</v>
      </c>
      <c r="CB8" s="2931" t="s">
        <v>3035</v>
      </c>
      <c r="CC8" s="2931" t="s">
        <v>3036</v>
      </c>
    </row>
    <row r="9" spans="1:82" ht="22.5" customHeight="1" x14ac:dyDescent="0.3">
      <c r="A9" s="2929" t="s">
        <v>3037</v>
      </c>
      <c r="B9" s="2930" t="s">
        <v>3038</v>
      </c>
      <c r="C9" s="2930" t="s">
        <v>3039</v>
      </c>
      <c r="D9" s="2930" t="s">
        <v>3040</v>
      </c>
      <c r="E9" s="2930" t="s">
        <v>3041</v>
      </c>
      <c r="F9" s="2930" t="s">
        <v>3042</v>
      </c>
      <c r="G9" s="2930" t="s">
        <v>3043</v>
      </c>
      <c r="H9" s="2930" t="s">
        <v>3044</v>
      </c>
      <c r="I9" s="2930" t="s">
        <v>3045</v>
      </c>
      <c r="J9" s="2930" t="s">
        <v>3046</v>
      </c>
      <c r="K9" s="2930" t="s">
        <v>3047</v>
      </c>
      <c r="L9" s="2930" t="s">
        <v>2980</v>
      </c>
      <c r="M9" s="2930" t="s">
        <v>3048</v>
      </c>
      <c r="N9" s="2930" t="s">
        <v>3049</v>
      </c>
      <c r="O9" s="2930" t="s">
        <v>3050</v>
      </c>
      <c r="P9" s="2930" t="s">
        <v>3051</v>
      </c>
      <c r="Q9" s="2930" t="s">
        <v>3052</v>
      </c>
      <c r="R9" s="2930" t="s">
        <v>3053</v>
      </c>
      <c r="S9" s="2930" t="s">
        <v>3054</v>
      </c>
      <c r="T9" s="2930" t="s">
        <v>3055</v>
      </c>
      <c r="U9" s="2930" t="s">
        <v>3056</v>
      </c>
      <c r="V9" s="2930" t="s">
        <v>3057</v>
      </c>
      <c r="W9" s="2930" t="s">
        <v>3058</v>
      </c>
      <c r="X9" s="2930" t="s">
        <v>3059</v>
      </c>
      <c r="Y9" s="2930" t="s">
        <v>3060</v>
      </c>
      <c r="Z9" s="2930" t="s">
        <v>3061</v>
      </c>
      <c r="AA9" s="2930" t="s">
        <v>3062</v>
      </c>
      <c r="AB9" s="2930" t="s">
        <v>3063</v>
      </c>
      <c r="AC9" s="2930" t="s">
        <v>3064</v>
      </c>
      <c r="AD9" s="2930" t="s">
        <v>3065</v>
      </c>
      <c r="AE9" s="2930" t="s">
        <v>3066</v>
      </c>
      <c r="AF9" s="2930" t="s">
        <v>3067</v>
      </c>
      <c r="AG9" s="2930" t="s">
        <v>3068</v>
      </c>
      <c r="AH9" s="2930" t="s">
        <v>3069</v>
      </c>
      <c r="AI9" s="2930" t="s">
        <v>3070</v>
      </c>
      <c r="AJ9" s="2930" t="s">
        <v>3053</v>
      </c>
      <c r="AK9" s="2930" t="s">
        <v>3071</v>
      </c>
      <c r="AL9" s="2930" t="s">
        <v>3072</v>
      </c>
      <c r="AM9" s="2930" t="s">
        <v>3073</v>
      </c>
      <c r="AN9" s="2930" t="s">
        <v>3074</v>
      </c>
      <c r="AO9" s="2930" t="s">
        <v>3075</v>
      </c>
      <c r="AP9" s="2930" t="s">
        <v>3076</v>
      </c>
      <c r="AQ9" s="2930" t="s">
        <v>3077</v>
      </c>
      <c r="AR9" s="2930" t="s">
        <v>3077</v>
      </c>
      <c r="AS9" s="2930" t="s">
        <v>3077</v>
      </c>
      <c r="AT9" s="2930" t="s">
        <v>3078</v>
      </c>
      <c r="AU9" s="2930" t="s">
        <v>3079</v>
      </c>
      <c r="AV9" s="2930" t="s">
        <v>3077</v>
      </c>
      <c r="AW9" s="2930" t="s">
        <v>3077</v>
      </c>
      <c r="AX9" s="2930" t="s">
        <v>3080</v>
      </c>
      <c r="AY9" s="2930" t="s">
        <v>3081</v>
      </c>
      <c r="AZ9" s="2930" t="s">
        <v>3082</v>
      </c>
      <c r="BA9" s="2930" t="s">
        <v>3009</v>
      </c>
      <c r="BB9" s="2930" t="s">
        <v>3083</v>
      </c>
      <c r="BC9" s="2930" t="s">
        <v>3084</v>
      </c>
      <c r="BD9" s="2930" t="s">
        <v>3085</v>
      </c>
      <c r="BE9" s="2930" t="s">
        <v>3086</v>
      </c>
      <c r="BF9" s="2930" t="s">
        <v>1517</v>
      </c>
      <c r="BG9" s="2930" t="s">
        <v>1517</v>
      </c>
      <c r="BH9" s="2930" t="s">
        <v>3087</v>
      </c>
      <c r="BI9" s="2930" t="s">
        <v>3083</v>
      </c>
      <c r="BJ9" s="2930" t="s">
        <v>3088</v>
      </c>
      <c r="BK9" s="2930" t="s">
        <v>3008</v>
      </c>
      <c r="BL9" s="2930" t="s">
        <v>3089</v>
      </c>
      <c r="BM9" s="2930" t="s">
        <v>3084</v>
      </c>
      <c r="BN9" s="2930" t="s">
        <v>1517</v>
      </c>
      <c r="BO9" s="2930" t="s">
        <v>3090</v>
      </c>
      <c r="BP9" s="2930" t="s">
        <v>3091</v>
      </c>
      <c r="BQ9" s="2930" t="s">
        <v>3092</v>
      </c>
      <c r="BR9" s="2930" t="s">
        <v>3093</v>
      </c>
      <c r="BS9" s="2930" t="s">
        <v>3094</v>
      </c>
      <c r="BT9" s="2930" t="s">
        <v>3095</v>
      </c>
      <c r="BU9" s="2930" t="s">
        <v>3096</v>
      </c>
      <c r="BV9" s="2930" t="s">
        <v>3097</v>
      </c>
      <c r="BW9" s="2930" t="s">
        <v>3098</v>
      </c>
      <c r="BX9" s="2930" t="s">
        <v>3099</v>
      </c>
      <c r="BY9" s="2930" t="s">
        <v>3100</v>
      </c>
      <c r="BZ9" s="2930" t="s">
        <v>3101</v>
      </c>
      <c r="CA9" s="2931" t="s">
        <v>3102</v>
      </c>
      <c r="CB9" s="2931" t="s">
        <v>3103</v>
      </c>
      <c r="CC9" s="2931" t="s">
        <v>3104</v>
      </c>
    </row>
    <row r="10" spans="1:82" ht="22.5" customHeight="1" x14ac:dyDescent="0.3">
      <c r="A10" s="2929" t="s">
        <v>3105</v>
      </c>
      <c r="B10" s="2930" t="s">
        <v>3106</v>
      </c>
      <c r="C10" s="2930" t="s">
        <v>3107</v>
      </c>
      <c r="D10" s="2930" t="s">
        <v>3108</v>
      </c>
      <c r="E10" s="2930" t="s">
        <v>3106</v>
      </c>
      <c r="F10" s="2930" t="s">
        <v>3109</v>
      </c>
      <c r="G10" s="2930" t="s">
        <v>3110</v>
      </c>
      <c r="H10" s="2930" t="s">
        <v>3111</v>
      </c>
      <c r="I10" s="2930" t="s">
        <v>3107</v>
      </c>
      <c r="J10" s="2930" t="s">
        <v>3107</v>
      </c>
      <c r="K10" s="2930" t="s">
        <v>3112</v>
      </c>
      <c r="L10" s="2930" t="s">
        <v>3112</v>
      </c>
      <c r="M10" s="2930" t="s">
        <v>3113</v>
      </c>
      <c r="N10" s="2930" t="s">
        <v>3114</v>
      </c>
      <c r="O10" s="2930" t="s">
        <v>3115</v>
      </c>
      <c r="P10" s="2930" t="s">
        <v>3116</v>
      </c>
      <c r="Q10" s="2930" t="s">
        <v>3117</v>
      </c>
      <c r="R10" s="2930" t="s">
        <v>3118</v>
      </c>
      <c r="S10" s="2930" t="s">
        <v>3119</v>
      </c>
      <c r="T10" s="2930" t="s">
        <v>3120</v>
      </c>
      <c r="U10" s="2930" t="s">
        <v>3121</v>
      </c>
      <c r="V10" s="2930" t="s">
        <v>3122</v>
      </c>
      <c r="W10" s="2930" t="s">
        <v>3123</v>
      </c>
      <c r="X10" s="2930" t="s">
        <v>3124</v>
      </c>
      <c r="Y10" s="2930" t="s">
        <v>3125</v>
      </c>
      <c r="Z10" s="2930" t="s">
        <v>3123</v>
      </c>
      <c r="AA10" s="2930" t="s">
        <v>3126</v>
      </c>
      <c r="AB10" s="2930" t="s">
        <v>3127</v>
      </c>
      <c r="AC10" s="2930" t="s">
        <v>1339</v>
      </c>
      <c r="AD10" s="2930" t="s">
        <v>3128</v>
      </c>
      <c r="AE10" s="2930" t="s">
        <v>3129</v>
      </c>
      <c r="AF10" s="2930" t="s">
        <v>3130</v>
      </c>
      <c r="AG10" s="2930" t="s">
        <v>3131</v>
      </c>
      <c r="AH10" s="2930" t="s">
        <v>3132</v>
      </c>
      <c r="AI10" s="2930" t="s">
        <v>3133</v>
      </c>
      <c r="AJ10" s="2930" t="s">
        <v>3108</v>
      </c>
      <c r="AK10" s="2930" t="s">
        <v>3134</v>
      </c>
      <c r="AL10" s="2930" t="s">
        <v>3135</v>
      </c>
      <c r="AM10" s="2930" t="s">
        <v>1436</v>
      </c>
      <c r="AN10" s="2930" t="s">
        <v>3136</v>
      </c>
      <c r="AO10" s="2930" t="s">
        <v>3137</v>
      </c>
      <c r="AP10" s="2930" t="s">
        <v>3077</v>
      </c>
      <c r="AQ10" s="2930" t="s">
        <v>1343</v>
      </c>
      <c r="AR10" s="2930" t="s">
        <v>3138</v>
      </c>
      <c r="AS10" s="2930" t="s">
        <v>3139</v>
      </c>
      <c r="AT10" s="2930" t="s">
        <v>1343</v>
      </c>
      <c r="AU10" s="2930" t="s">
        <v>3077</v>
      </c>
      <c r="AV10" s="2930" t="s">
        <v>1343</v>
      </c>
      <c r="AW10" s="2930" t="s">
        <v>3140</v>
      </c>
      <c r="AX10" s="2930" t="s">
        <v>3140</v>
      </c>
      <c r="AY10" s="2930" t="s">
        <v>3077</v>
      </c>
      <c r="AZ10" s="2930" t="s">
        <v>3077</v>
      </c>
      <c r="BA10" s="2930" t="s">
        <v>3141</v>
      </c>
      <c r="BB10" s="2930" t="s">
        <v>3142</v>
      </c>
      <c r="BC10" s="2930" t="s">
        <v>3143</v>
      </c>
      <c r="BD10" s="2930" t="s">
        <v>3141</v>
      </c>
      <c r="BE10" s="2930" t="s">
        <v>3144</v>
      </c>
      <c r="BF10" s="2930" t="s">
        <v>3141</v>
      </c>
      <c r="BG10" s="2930" t="s">
        <v>3077</v>
      </c>
      <c r="BH10" s="2930" t="s">
        <v>3145</v>
      </c>
      <c r="BI10" s="2930" t="s">
        <v>3146</v>
      </c>
      <c r="BJ10" s="2930" t="s">
        <v>3147</v>
      </c>
      <c r="BK10" s="2930" t="s">
        <v>3148</v>
      </c>
      <c r="BL10" s="2930" t="s">
        <v>3149</v>
      </c>
      <c r="BM10" s="2930" t="s">
        <v>3150</v>
      </c>
      <c r="BN10" s="2930" t="s">
        <v>3151</v>
      </c>
      <c r="BO10" s="2930" t="s">
        <v>3152</v>
      </c>
      <c r="BP10" s="2930" t="s">
        <v>3153</v>
      </c>
      <c r="BQ10" s="2930" t="s">
        <v>3154</v>
      </c>
      <c r="BR10" s="2930" t="s">
        <v>3155</v>
      </c>
      <c r="BS10" s="2930" t="s">
        <v>3156</v>
      </c>
      <c r="BT10" s="2930" t="s">
        <v>3157</v>
      </c>
      <c r="BU10" s="2930" t="s">
        <v>3158</v>
      </c>
      <c r="BV10" s="2930" t="s">
        <v>3159</v>
      </c>
      <c r="BW10" s="2930" t="s">
        <v>3160</v>
      </c>
      <c r="BX10" s="2930" t="s">
        <v>3161</v>
      </c>
      <c r="BY10" s="2930" t="s">
        <v>3162</v>
      </c>
      <c r="BZ10" s="2930" t="s">
        <v>3163</v>
      </c>
      <c r="CA10" s="2931" t="s">
        <v>3163</v>
      </c>
      <c r="CB10" s="2931" t="s">
        <v>3163</v>
      </c>
      <c r="CC10" s="2931" t="s">
        <v>3164</v>
      </c>
    </row>
    <row r="11" spans="1:82" ht="22.5" customHeight="1" x14ac:dyDescent="0.3">
      <c r="A11" s="2929" t="s">
        <v>3165</v>
      </c>
      <c r="B11" s="2930" t="s">
        <v>3166</v>
      </c>
      <c r="C11" s="2930" t="s">
        <v>3167</v>
      </c>
      <c r="D11" s="2930" t="s">
        <v>3168</v>
      </c>
      <c r="E11" s="2930" t="s">
        <v>3038</v>
      </c>
      <c r="F11" s="2930" t="s">
        <v>3169</v>
      </c>
      <c r="G11" s="2930" t="s">
        <v>3170</v>
      </c>
      <c r="H11" s="2930" t="s">
        <v>3171</v>
      </c>
      <c r="I11" s="2930" t="s">
        <v>3172</v>
      </c>
      <c r="J11" s="2930" t="s">
        <v>3112</v>
      </c>
      <c r="K11" s="2930" t="s">
        <v>3173</v>
      </c>
      <c r="L11" s="2930" t="s">
        <v>3174</v>
      </c>
      <c r="M11" s="2930" t="s">
        <v>3062</v>
      </c>
      <c r="N11" s="2930" t="s">
        <v>3175</v>
      </c>
      <c r="O11" s="2930" t="s">
        <v>3176</v>
      </c>
      <c r="P11" s="2930" t="s">
        <v>3177</v>
      </c>
      <c r="Q11" s="2930" t="s">
        <v>3178</v>
      </c>
      <c r="R11" s="2930" t="s">
        <v>3179</v>
      </c>
      <c r="S11" s="2930" t="s">
        <v>3180</v>
      </c>
      <c r="T11" s="2930" t="s">
        <v>3181</v>
      </c>
      <c r="U11" s="2930" t="s">
        <v>3182</v>
      </c>
      <c r="V11" s="2930" t="s">
        <v>3183</v>
      </c>
      <c r="W11" s="2930" t="s">
        <v>3184</v>
      </c>
      <c r="X11" s="2930" t="s">
        <v>3185</v>
      </c>
      <c r="Y11" s="2930" t="s">
        <v>1334</v>
      </c>
      <c r="Z11" s="2930" t="s">
        <v>3186</v>
      </c>
      <c r="AA11" s="2930" t="s">
        <v>3187</v>
      </c>
      <c r="AB11" s="2930" t="s">
        <v>3188</v>
      </c>
      <c r="AC11" s="2930" t="s">
        <v>3189</v>
      </c>
      <c r="AD11" s="2930" t="s">
        <v>3190</v>
      </c>
      <c r="AE11" s="2930" t="s">
        <v>3191</v>
      </c>
      <c r="AF11" s="2930" t="s">
        <v>3192</v>
      </c>
      <c r="AG11" s="2930" t="s">
        <v>3193</v>
      </c>
      <c r="AH11" s="2930" t="s">
        <v>3194</v>
      </c>
      <c r="AI11" s="2930" t="s">
        <v>3195</v>
      </c>
      <c r="AJ11" s="2930" t="s">
        <v>3196</v>
      </c>
      <c r="AK11" s="2930" t="s">
        <v>3197</v>
      </c>
      <c r="AL11" s="2930" t="s">
        <v>3133</v>
      </c>
      <c r="AM11" s="2930" t="s">
        <v>3108</v>
      </c>
      <c r="AN11" s="2930" t="s">
        <v>2985</v>
      </c>
      <c r="AO11" s="2930" t="s">
        <v>3198</v>
      </c>
      <c r="AP11" s="2930" t="s">
        <v>3199</v>
      </c>
      <c r="AQ11" s="2930" t="s">
        <v>3200</v>
      </c>
      <c r="AR11" s="2930" t="s">
        <v>3200</v>
      </c>
      <c r="AS11" s="2930" t="s">
        <v>3201</v>
      </c>
      <c r="AT11" s="2930" t="s">
        <v>3202</v>
      </c>
      <c r="AU11" s="2930" t="s">
        <v>3203</v>
      </c>
      <c r="AV11" s="2930" t="s">
        <v>3204</v>
      </c>
      <c r="AW11" s="2930" t="s">
        <v>3205</v>
      </c>
      <c r="AX11" s="2930" t="s">
        <v>3206</v>
      </c>
      <c r="AY11" s="2930" t="s">
        <v>3207</v>
      </c>
      <c r="AZ11" s="2930" t="s">
        <v>3208</v>
      </c>
      <c r="BA11" s="2930" t="s">
        <v>3209</v>
      </c>
      <c r="BB11" s="2930" t="s">
        <v>3210</v>
      </c>
      <c r="BC11" s="2930" t="s">
        <v>3211</v>
      </c>
      <c r="BD11" s="2930" t="s">
        <v>3212</v>
      </c>
      <c r="BE11" s="2930" t="s">
        <v>3213</v>
      </c>
      <c r="BF11" s="2930" t="s">
        <v>3214</v>
      </c>
      <c r="BG11" s="2930" t="s">
        <v>3215</v>
      </c>
      <c r="BH11" s="2930" t="s">
        <v>3216</v>
      </c>
      <c r="BI11" s="2930" t="s">
        <v>3217</v>
      </c>
      <c r="BJ11" s="2930" t="s">
        <v>3218</v>
      </c>
      <c r="BK11" s="2930" t="s">
        <v>3219</v>
      </c>
      <c r="BL11" s="2930" t="s">
        <v>3220</v>
      </c>
      <c r="BM11" s="2930" t="s">
        <v>3221</v>
      </c>
      <c r="BN11" s="2930" t="s">
        <v>3222</v>
      </c>
      <c r="BO11" s="2930" t="s">
        <v>3223</v>
      </c>
      <c r="BP11" s="2930" t="s">
        <v>3224</v>
      </c>
      <c r="BQ11" s="2930" t="s">
        <v>3225</v>
      </c>
      <c r="BR11" s="2930" t="s">
        <v>3226</v>
      </c>
      <c r="BS11" s="2930" t="s">
        <v>1425</v>
      </c>
      <c r="BT11" s="2930" t="s">
        <v>3227</v>
      </c>
      <c r="BU11" s="2930" t="s">
        <v>3228</v>
      </c>
      <c r="BV11" s="2930" t="s">
        <v>3229</v>
      </c>
      <c r="BW11" s="2930" t="s">
        <v>3230</v>
      </c>
      <c r="BX11" s="2930" t="s">
        <v>3231</v>
      </c>
      <c r="BY11" s="2930" t="s">
        <v>3232</v>
      </c>
      <c r="BZ11" s="2930" t="s">
        <v>3233</v>
      </c>
      <c r="CA11" s="2931" t="s">
        <v>3234</v>
      </c>
      <c r="CB11" s="2931" t="s">
        <v>3235</v>
      </c>
      <c r="CC11" s="2931" t="s">
        <v>3236</v>
      </c>
    </row>
    <row r="12" spans="1:82" ht="22.5" customHeight="1" x14ac:dyDescent="0.3">
      <c r="A12" s="2929" t="s">
        <v>3237</v>
      </c>
      <c r="B12" s="2930" t="s">
        <v>3238</v>
      </c>
      <c r="C12" s="2930" t="s">
        <v>3239</v>
      </c>
      <c r="D12" s="2930" t="s">
        <v>3240</v>
      </c>
      <c r="E12" s="2930" t="s">
        <v>3241</v>
      </c>
      <c r="F12" s="2930" t="s">
        <v>3242</v>
      </c>
      <c r="G12" s="2930" t="s">
        <v>3243</v>
      </c>
      <c r="H12" s="2930" t="s">
        <v>3244</v>
      </c>
      <c r="I12" s="2930" t="s">
        <v>3245</v>
      </c>
      <c r="J12" s="2930" t="s">
        <v>3110</v>
      </c>
      <c r="K12" s="2930" t="s">
        <v>3246</v>
      </c>
      <c r="L12" s="2930" t="s">
        <v>3247</v>
      </c>
      <c r="M12" s="2930" t="s">
        <v>3248</v>
      </c>
      <c r="N12" s="2930" t="s">
        <v>3249</v>
      </c>
      <c r="O12" s="2930" t="s">
        <v>3250</v>
      </c>
      <c r="P12" s="2930" t="s">
        <v>3251</v>
      </c>
      <c r="Q12" s="2930" t="s">
        <v>3252</v>
      </c>
      <c r="R12" s="2930" t="s">
        <v>3253</v>
      </c>
      <c r="S12" s="2930" t="s">
        <v>3254</v>
      </c>
      <c r="T12" s="2930" t="s">
        <v>3255</v>
      </c>
      <c r="U12" s="2930" t="s">
        <v>3256</v>
      </c>
      <c r="V12" s="2930" t="s">
        <v>3257</v>
      </c>
      <c r="W12" s="2930" t="s">
        <v>3258</v>
      </c>
      <c r="X12" s="2930" t="s">
        <v>3259</v>
      </c>
      <c r="Y12" s="2930" t="s">
        <v>3260</v>
      </c>
      <c r="Z12" s="2930" t="s">
        <v>3240</v>
      </c>
      <c r="AA12" s="2930" t="s">
        <v>3261</v>
      </c>
      <c r="AB12" s="2930" t="s">
        <v>3259</v>
      </c>
      <c r="AC12" s="2930" t="s">
        <v>3228</v>
      </c>
      <c r="AD12" s="2930" t="s">
        <v>3262</v>
      </c>
      <c r="AE12" s="2930" t="s">
        <v>3263</v>
      </c>
      <c r="AF12" s="2930" t="s">
        <v>3264</v>
      </c>
      <c r="AG12" s="2930" t="s">
        <v>3265</v>
      </c>
      <c r="AH12" s="2930" t="s">
        <v>3266</v>
      </c>
      <c r="AI12" s="2930" t="s">
        <v>3267</v>
      </c>
      <c r="AJ12" s="2930" t="s">
        <v>3268</v>
      </c>
      <c r="AK12" s="2930" t="s">
        <v>3269</v>
      </c>
      <c r="AL12" s="2930" t="s">
        <v>3270</v>
      </c>
      <c r="AM12" s="2930" t="s">
        <v>3177</v>
      </c>
      <c r="AN12" s="2930" t="s">
        <v>3271</v>
      </c>
      <c r="AO12" s="2930" t="s">
        <v>3272</v>
      </c>
      <c r="AP12" s="2930" t="s">
        <v>3004</v>
      </c>
      <c r="AQ12" s="2930" t="s">
        <v>3273</v>
      </c>
      <c r="AR12" s="2930" t="s">
        <v>3274</v>
      </c>
      <c r="AS12" s="2930" t="s">
        <v>3275</v>
      </c>
      <c r="AT12" s="2930" t="s">
        <v>3276</v>
      </c>
      <c r="AU12" s="2930" t="s">
        <v>3276</v>
      </c>
      <c r="AV12" s="2930" t="s">
        <v>3277</v>
      </c>
      <c r="AW12" s="2930" t="s">
        <v>3278</v>
      </c>
      <c r="AX12" s="2930" t="s">
        <v>3279</v>
      </c>
      <c r="AY12" s="2930" t="s">
        <v>3280</v>
      </c>
      <c r="AZ12" s="2930" t="s">
        <v>3281</v>
      </c>
      <c r="BA12" s="2930" t="s">
        <v>3282</v>
      </c>
      <c r="BB12" s="2930" t="s">
        <v>3283</v>
      </c>
      <c r="BC12" s="2930" t="s">
        <v>3284</v>
      </c>
      <c r="BD12" s="2930" t="s">
        <v>3285</v>
      </c>
      <c r="BE12" s="2930" t="s">
        <v>3212</v>
      </c>
      <c r="BF12" s="2930" t="s">
        <v>3286</v>
      </c>
      <c r="BG12" s="2930" t="s">
        <v>2980</v>
      </c>
      <c r="BH12" s="2930" t="s">
        <v>2980</v>
      </c>
      <c r="BI12" s="2930" t="s">
        <v>3287</v>
      </c>
      <c r="BJ12" s="2930" t="s">
        <v>2980</v>
      </c>
      <c r="BK12" s="2930" t="s">
        <v>3288</v>
      </c>
      <c r="BL12" s="2930" t="s">
        <v>3289</v>
      </c>
      <c r="BM12" s="2930" t="s">
        <v>1455</v>
      </c>
      <c r="BN12" s="2930" t="s">
        <v>3289</v>
      </c>
      <c r="BO12" s="2930" t="s">
        <v>3289</v>
      </c>
      <c r="BP12" s="2930" t="s">
        <v>3290</v>
      </c>
      <c r="BQ12" s="2930" t="s">
        <v>3291</v>
      </c>
      <c r="BR12" s="2930" t="s">
        <v>3292</v>
      </c>
      <c r="BS12" s="2930" t="s">
        <v>3157</v>
      </c>
      <c r="BT12" s="2930" t="s">
        <v>3293</v>
      </c>
      <c r="BU12" s="2930" t="s">
        <v>3294</v>
      </c>
      <c r="BV12" s="2930" t="s">
        <v>3295</v>
      </c>
      <c r="BW12" s="2930" t="s">
        <v>3296</v>
      </c>
      <c r="BX12" s="2930" t="s">
        <v>3297</v>
      </c>
      <c r="BY12" s="2930" t="s">
        <v>3298</v>
      </c>
      <c r="BZ12" s="2930" t="s">
        <v>3299</v>
      </c>
      <c r="CA12" s="2931" t="s">
        <v>3300</v>
      </c>
      <c r="CB12" s="2931" t="s">
        <v>3301</v>
      </c>
      <c r="CC12" s="2931" t="s">
        <v>3302</v>
      </c>
    </row>
    <row r="13" spans="1:82" s="2916" customFormat="1" ht="22.5" customHeight="1" thickBot="1" x14ac:dyDescent="0.35">
      <c r="A13" s="2932"/>
      <c r="B13" s="2933"/>
      <c r="C13" s="2934"/>
      <c r="D13" s="2934"/>
      <c r="E13" s="2934"/>
      <c r="F13" s="2934"/>
      <c r="G13" s="2934"/>
      <c r="H13" s="2934"/>
      <c r="I13" s="2934"/>
      <c r="J13" s="2934"/>
      <c r="K13" s="2934"/>
      <c r="L13" s="2934"/>
      <c r="M13" s="2934"/>
      <c r="N13" s="2934"/>
      <c r="O13" s="2934"/>
      <c r="P13" s="2934"/>
      <c r="Q13" s="2934"/>
      <c r="R13" s="2934"/>
      <c r="S13" s="2934"/>
      <c r="T13" s="2934"/>
      <c r="U13" s="2934"/>
      <c r="V13" s="2934"/>
      <c r="W13" s="2934"/>
      <c r="X13" s="2934"/>
      <c r="Y13" s="2934"/>
      <c r="Z13" s="2934"/>
      <c r="AA13" s="2934"/>
      <c r="AB13" s="2934"/>
      <c r="AC13" s="2934"/>
      <c r="AD13" s="2934"/>
      <c r="AE13" s="2934"/>
      <c r="AF13" s="2934"/>
      <c r="AG13" s="2934"/>
      <c r="AH13" s="2934"/>
      <c r="AI13" s="2934"/>
      <c r="AJ13" s="2934"/>
      <c r="AK13" s="2934"/>
      <c r="AL13" s="2934"/>
      <c r="AM13" s="2934"/>
      <c r="AN13" s="2934"/>
      <c r="AO13" s="2934"/>
      <c r="AP13" s="2934"/>
      <c r="AQ13" s="2934"/>
      <c r="AR13" s="2934"/>
      <c r="AS13" s="2934"/>
      <c r="AT13" s="2934"/>
      <c r="AU13" s="2934"/>
      <c r="AV13" s="2934"/>
      <c r="AW13" s="2934"/>
      <c r="AX13" s="2934"/>
      <c r="AY13" s="2934"/>
      <c r="AZ13" s="2934"/>
      <c r="BA13" s="2934"/>
      <c r="BB13" s="2934"/>
      <c r="BC13" s="2934"/>
      <c r="BD13" s="2934"/>
      <c r="BE13" s="2934"/>
      <c r="BF13" s="2934"/>
      <c r="BG13" s="2934"/>
      <c r="BH13" s="2934"/>
      <c r="BI13" s="2934"/>
      <c r="BJ13" s="2934"/>
      <c r="BK13" s="2934"/>
      <c r="BL13" s="2934"/>
      <c r="BM13" s="2934"/>
      <c r="BN13" s="2934"/>
      <c r="BO13" s="2934"/>
      <c r="BP13" s="2934"/>
      <c r="BQ13" s="2934"/>
      <c r="BR13" s="2934"/>
      <c r="BS13" s="2934"/>
      <c r="BT13" s="2934"/>
      <c r="BU13" s="2934"/>
      <c r="BV13" s="2934"/>
      <c r="BW13" s="2934"/>
      <c r="BX13" s="2934"/>
      <c r="BY13" s="2934"/>
      <c r="BZ13" s="2934"/>
      <c r="CA13" s="2934"/>
      <c r="CB13" s="2934"/>
      <c r="CC13" s="2934"/>
      <c r="CD13" s="2915"/>
    </row>
    <row r="14" spans="1:82" s="2915" customFormat="1" ht="9" customHeight="1" thickTop="1" x14ac:dyDescent="0.3">
      <c r="A14" s="2935"/>
      <c r="B14" s="2936"/>
      <c r="C14" s="2936"/>
      <c r="D14" s="2936"/>
      <c r="E14" s="2936"/>
      <c r="F14" s="2936"/>
      <c r="G14" s="2936"/>
      <c r="H14" s="2936"/>
      <c r="I14" s="2936"/>
      <c r="J14" s="2936"/>
      <c r="K14" s="2937"/>
      <c r="L14" s="2937"/>
      <c r="M14" s="2937"/>
      <c r="N14" s="2937"/>
      <c r="O14" s="2937"/>
      <c r="P14" s="2937"/>
      <c r="Q14" s="2937"/>
      <c r="R14" s="2937"/>
      <c r="S14" s="2937"/>
      <c r="T14" s="2937"/>
      <c r="U14" s="2937"/>
      <c r="V14" s="2937"/>
      <c r="W14" s="2937"/>
      <c r="X14" s="2937"/>
      <c r="Y14" s="2937"/>
      <c r="Z14" s="2937"/>
      <c r="AA14" s="2937"/>
      <c r="AB14" s="2937"/>
      <c r="AC14" s="2937"/>
      <c r="AD14" s="2937"/>
      <c r="AE14" s="2937"/>
      <c r="AF14" s="2937"/>
      <c r="AG14" s="2937"/>
      <c r="AH14" s="2937"/>
      <c r="AI14" s="2937"/>
      <c r="AJ14" s="2937"/>
      <c r="AK14" s="2937"/>
      <c r="AL14" s="2937"/>
      <c r="AM14" s="2937"/>
      <c r="AN14" s="2937"/>
      <c r="AO14" s="2937"/>
      <c r="AP14" s="2937"/>
      <c r="AQ14" s="2937"/>
      <c r="AR14" s="2937"/>
      <c r="AS14" s="2937"/>
      <c r="AT14" s="2937"/>
      <c r="AU14" s="2937"/>
      <c r="AV14" s="2937"/>
      <c r="AW14" s="2937"/>
      <c r="AX14" s="2937"/>
      <c r="AY14" s="2937"/>
      <c r="AZ14" s="2937"/>
      <c r="BA14" s="2937"/>
      <c r="BB14" s="2937"/>
      <c r="BC14" s="2937"/>
      <c r="BD14" s="2937"/>
      <c r="BE14" s="2937"/>
      <c r="BF14" s="2937"/>
      <c r="BG14" s="2937"/>
      <c r="BH14" s="2937"/>
      <c r="BI14" s="2937"/>
      <c r="BJ14" s="2937"/>
      <c r="BK14" s="2937"/>
      <c r="BL14" s="2937"/>
      <c r="BM14" s="2937"/>
      <c r="BN14" s="2937"/>
      <c r="BO14" s="2937"/>
      <c r="BP14" s="2937"/>
      <c r="BQ14" s="2937"/>
      <c r="BR14" s="2937"/>
      <c r="BS14" s="2937"/>
      <c r="BT14" s="2937"/>
      <c r="BU14" s="2937"/>
      <c r="BV14" s="2937"/>
      <c r="BW14" s="2937"/>
      <c r="BX14" s="2937"/>
      <c r="BY14" s="2937"/>
      <c r="BZ14" s="2937"/>
      <c r="CA14" s="2937"/>
      <c r="CB14" s="2937"/>
      <c r="CC14" s="2937"/>
    </row>
    <row r="15" spans="1:82" s="2939" customFormat="1" ht="22.5" customHeight="1" x14ac:dyDescent="0.3">
      <c r="A15" s="2938" t="s">
        <v>290</v>
      </c>
      <c r="B15" s="2936"/>
      <c r="C15" s="2936"/>
      <c r="D15" s="2936"/>
      <c r="E15" s="2936"/>
      <c r="F15" s="2936"/>
      <c r="G15" s="2936"/>
      <c r="H15" s="2936"/>
      <c r="I15" s="2936"/>
      <c r="J15" s="2936"/>
      <c r="K15" s="2937"/>
      <c r="L15" s="2937"/>
      <c r="M15" s="2937"/>
      <c r="N15" s="2937"/>
      <c r="O15" s="2937"/>
      <c r="P15" s="2937"/>
      <c r="Q15" s="2937"/>
      <c r="R15" s="2937"/>
      <c r="S15" s="2937"/>
      <c r="T15" s="2937"/>
      <c r="U15" s="2937"/>
      <c r="V15" s="2937"/>
      <c r="W15" s="2937"/>
      <c r="X15" s="2937"/>
      <c r="Y15" s="2937"/>
      <c r="Z15" s="2937"/>
      <c r="AA15" s="2937"/>
      <c r="AB15" s="2937"/>
      <c r="AC15" s="2937"/>
      <c r="AD15" s="2937"/>
      <c r="AE15" s="2937"/>
      <c r="AF15" s="2937"/>
      <c r="AG15" s="2937"/>
      <c r="AH15" s="2937"/>
      <c r="AI15" s="2937"/>
      <c r="AJ15" s="2937"/>
      <c r="AK15" s="2937"/>
      <c r="AL15" s="2937"/>
      <c r="AM15" s="2937"/>
      <c r="AN15" s="2937"/>
      <c r="AO15" s="2937"/>
      <c r="AP15" s="2937"/>
      <c r="AQ15" s="2937"/>
      <c r="AR15" s="2937"/>
      <c r="AS15" s="2937"/>
      <c r="AT15" s="2937"/>
      <c r="AU15" s="2937"/>
      <c r="AV15" s="2937"/>
      <c r="AW15" s="2937"/>
      <c r="AX15" s="2937"/>
      <c r="AY15" s="2937"/>
      <c r="AZ15" s="2937"/>
      <c r="BA15" s="2937"/>
      <c r="BB15" s="2937"/>
      <c r="BC15" s="2937"/>
      <c r="BD15" s="2937"/>
      <c r="BE15" s="2937"/>
      <c r="BF15" s="2937"/>
      <c r="BG15" s="2937"/>
      <c r="BH15" s="2937"/>
      <c r="BI15" s="2937"/>
      <c r="BJ15" s="2937"/>
      <c r="BK15" s="2937"/>
      <c r="BL15" s="2937"/>
      <c r="BM15" s="2937"/>
      <c r="BN15" s="2937"/>
      <c r="BO15" s="2937"/>
      <c r="BP15" s="2937"/>
      <c r="BQ15" s="2937"/>
      <c r="BR15" s="2937"/>
      <c r="BS15" s="2937"/>
      <c r="BT15" s="2937"/>
      <c r="BU15" s="2937"/>
      <c r="BV15" s="2937"/>
      <c r="BW15" s="2937"/>
      <c r="BX15" s="2937"/>
      <c r="BY15" s="2937"/>
      <c r="BZ15" s="2937"/>
      <c r="CA15" s="2937"/>
      <c r="CB15" s="2937"/>
      <c r="CC15" s="2937"/>
    </row>
  </sheetData>
  <pageMargins left="0.39370078740157483" right="0.39370078740157483" top="0.74803149606299213" bottom="0.74803149606299213" header="0.31496062992125984" footer="0"/>
  <pageSetup paperSize="9" scale="69" fitToHeight="0"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O118"/>
  <sheetViews>
    <sheetView showGridLines="0" zoomScale="70" zoomScaleNormal="70" workbookViewId="0">
      <pane xSplit="45" ySplit="3" topLeftCell="BE88" activePane="bottomRight" state="frozen"/>
      <selection activeCell="A38" sqref="A38"/>
      <selection pane="topRight" activeCell="A38" sqref="A38"/>
      <selection pane="bottomLeft" activeCell="A38" sqref="A38"/>
      <selection pane="bottomRight" activeCell="A38" sqref="A38"/>
    </sheetView>
  </sheetViews>
  <sheetFormatPr defaultColWidth="9.140625" defaultRowHeight="17.25" x14ac:dyDescent="0.3"/>
  <cols>
    <col min="1" max="1" width="95.42578125" style="2980" customWidth="1"/>
    <col min="2" max="27" width="24.7109375" style="2981" hidden="1" customWidth="1"/>
    <col min="28" max="28" width="24.7109375" style="2981" customWidth="1"/>
    <col min="29" max="30" width="24.7109375" style="2981" hidden="1" customWidth="1"/>
    <col min="31" max="31" width="24.7109375" style="2981" customWidth="1"/>
    <col min="32" max="33" width="24.7109375" style="2981" hidden="1" customWidth="1"/>
    <col min="34" max="34" width="24.7109375" style="2981" customWidth="1"/>
    <col min="35" max="36" width="24.7109375" style="2981" hidden="1" customWidth="1"/>
    <col min="37" max="37" width="24.7109375" style="2981" customWidth="1"/>
    <col min="38" max="39" width="24.7109375" style="2981" hidden="1" customWidth="1"/>
    <col min="40" max="40" width="24.7109375" style="2981" customWidth="1"/>
    <col min="41" max="16384" width="9.140625" style="2950"/>
  </cols>
  <sheetData>
    <row r="1" spans="1:40" s="2944" customFormat="1" ht="20.25" customHeight="1" x14ac:dyDescent="0.35">
      <c r="A1" s="2941" t="s">
        <v>3303</v>
      </c>
      <c r="B1" s="2942"/>
      <c r="C1" s="2942"/>
      <c r="D1" s="2942"/>
      <c r="E1" s="2942"/>
      <c r="F1" s="2942"/>
      <c r="G1" s="2942"/>
      <c r="H1" s="2942"/>
      <c r="I1" s="2942"/>
      <c r="J1" s="2942"/>
      <c r="K1" s="2942"/>
      <c r="L1" s="2942"/>
      <c r="M1" s="2942"/>
      <c r="N1" s="2942"/>
      <c r="O1" s="2942"/>
      <c r="P1" s="2942"/>
      <c r="Q1" s="2942"/>
      <c r="R1" s="2942"/>
      <c r="S1" s="2942"/>
      <c r="T1" s="2942"/>
      <c r="U1" s="2942"/>
      <c r="V1" s="2943"/>
      <c r="W1" s="2943"/>
      <c r="X1" s="2943"/>
      <c r="Y1" s="2943"/>
      <c r="Z1" s="2943"/>
      <c r="AA1" s="2943"/>
      <c r="AB1" s="2943"/>
      <c r="AC1" s="2943"/>
      <c r="AD1" s="2943"/>
      <c r="AE1" s="2943"/>
      <c r="AF1" s="2943"/>
      <c r="AG1" s="2943"/>
      <c r="AH1" s="2943"/>
      <c r="AI1" s="2943"/>
      <c r="AJ1" s="2943"/>
      <c r="AK1" s="2943"/>
      <c r="AL1" s="2943"/>
      <c r="AM1" s="2943"/>
      <c r="AN1" s="2943"/>
    </row>
    <row r="2" spans="1:40" s="2944" customFormat="1" ht="24.75" customHeight="1" thickBot="1" x14ac:dyDescent="0.35">
      <c r="A2" s="2945"/>
      <c r="B2" s="2946"/>
      <c r="C2" s="2946"/>
      <c r="D2" s="2946"/>
      <c r="E2" s="2946"/>
      <c r="F2" s="2946"/>
      <c r="G2" s="2946"/>
      <c r="H2" s="2946"/>
      <c r="I2" s="2946"/>
      <c r="J2" s="2946"/>
      <c r="K2" s="2946"/>
      <c r="L2" s="2946"/>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47" t="s">
        <v>1129</v>
      </c>
    </row>
    <row r="3" spans="1:40" ht="19.899999999999999" customHeight="1" thickTop="1" thickBot="1" x14ac:dyDescent="0.35">
      <c r="A3" s="2948"/>
      <c r="B3" s="2949">
        <v>43374</v>
      </c>
      <c r="C3" s="2949">
        <v>43405</v>
      </c>
      <c r="D3" s="2949">
        <v>43435</v>
      </c>
      <c r="E3" s="2949">
        <v>43466</v>
      </c>
      <c r="F3" s="2949">
        <v>43497</v>
      </c>
      <c r="G3" s="2949">
        <v>43525</v>
      </c>
      <c r="H3" s="2949">
        <v>43556</v>
      </c>
      <c r="I3" s="2949">
        <v>43586</v>
      </c>
      <c r="J3" s="2949">
        <v>43617</v>
      </c>
      <c r="K3" s="2949">
        <v>43647</v>
      </c>
      <c r="L3" s="2949">
        <v>43678</v>
      </c>
      <c r="M3" s="2949">
        <v>43709</v>
      </c>
      <c r="N3" s="2949">
        <v>43739</v>
      </c>
      <c r="O3" s="2949">
        <v>43770</v>
      </c>
      <c r="P3" s="2949">
        <v>43800</v>
      </c>
      <c r="Q3" s="2949">
        <v>43831</v>
      </c>
      <c r="R3" s="2949">
        <v>43862</v>
      </c>
      <c r="S3" s="2949">
        <v>43891</v>
      </c>
      <c r="T3" s="2949">
        <v>43922</v>
      </c>
      <c r="U3" s="2949">
        <v>43952</v>
      </c>
      <c r="V3" s="2949">
        <v>43983</v>
      </c>
      <c r="W3" s="2949">
        <v>44013</v>
      </c>
      <c r="X3" s="2949">
        <v>44044</v>
      </c>
      <c r="Y3" s="2949">
        <v>44075</v>
      </c>
      <c r="Z3" s="2949">
        <v>44105</v>
      </c>
      <c r="AA3" s="2949">
        <v>44136</v>
      </c>
      <c r="AB3" s="2949">
        <v>44166</v>
      </c>
      <c r="AC3" s="2949">
        <v>44197</v>
      </c>
      <c r="AD3" s="2949">
        <v>44228</v>
      </c>
      <c r="AE3" s="2949">
        <v>44256</v>
      </c>
      <c r="AF3" s="2949">
        <v>44287</v>
      </c>
      <c r="AG3" s="2949">
        <v>44317</v>
      </c>
      <c r="AH3" s="2949">
        <v>44348</v>
      </c>
      <c r="AI3" s="2949">
        <v>44378</v>
      </c>
      <c r="AJ3" s="2949">
        <v>44409</v>
      </c>
      <c r="AK3" s="2949">
        <v>44440</v>
      </c>
      <c r="AL3" s="2949">
        <v>44470</v>
      </c>
      <c r="AM3" s="2949">
        <v>44501</v>
      </c>
      <c r="AN3" s="2949">
        <v>44531</v>
      </c>
    </row>
    <row r="4" spans="1:40" ht="18" thickTop="1" x14ac:dyDescent="0.3">
      <c r="A4" s="2951" t="s">
        <v>2737</v>
      </c>
      <c r="B4" s="2952" t="s">
        <v>3304</v>
      </c>
      <c r="C4" s="2952" t="s">
        <v>3305</v>
      </c>
      <c r="D4" s="2952" t="s">
        <v>3306</v>
      </c>
      <c r="E4" s="2952" t="s">
        <v>3306</v>
      </c>
      <c r="F4" s="2952" t="s">
        <v>3306</v>
      </c>
      <c r="G4" s="2952" t="s">
        <v>3306</v>
      </c>
      <c r="H4" s="2952" t="s">
        <v>3307</v>
      </c>
      <c r="I4" s="2952" t="s">
        <v>3307</v>
      </c>
      <c r="J4" s="2952" t="s">
        <v>3308</v>
      </c>
      <c r="K4" s="2952" t="s">
        <v>3306</v>
      </c>
      <c r="L4" s="2952" t="s">
        <v>3306</v>
      </c>
      <c r="M4" s="2952" t="s">
        <v>3309</v>
      </c>
      <c r="N4" s="2952" t="s">
        <v>3309</v>
      </c>
      <c r="O4" s="2952" t="s">
        <v>3309</v>
      </c>
      <c r="P4" s="2952" t="s">
        <v>3310</v>
      </c>
      <c r="Q4" s="2952" t="s">
        <v>3311</v>
      </c>
      <c r="R4" s="2952" t="s">
        <v>3312</v>
      </c>
      <c r="S4" s="2952" t="s">
        <v>3313</v>
      </c>
      <c r="T4" s="2952" t="s">
        <v>3314</v>
      </c>
      <c r="U4" s="2952" t="s">
        <v>3314</v>
      </c>
      <c r="V4" s="2952" t="s">
        <v>3314</v>
      </c>
      <c r="W4" s="2952" t="s">
        <v>3314</v>
      </c>
      <c r="X4" s="2952" t="s">
        <v>3315</v>
      </c>
      <c r="Y4" s="2952" t="s">
        <v>3315</v>
      </c>
      <c r="Z4" s="2952" t="s">
        <v>3315</v>
      </c>
      <c r="AA4" s="2952" t="s">
        <v>3315</v>
      </c>
      <c r="AB4" s="2952" t="s">
        <v>3314</v>
      </c>
      <c r="AC4" s="2952" t="s">
        <v>3315</v>
      </c>
      <c r="AD4" s="2952" t="s">
        <v>3316</v>
      </c>
      <c r="AE4" s="2952" t="s">
        <v>3317</v>
      </c>
      <c r="AF4" s="2952" t="s">
        <v>3316</v>
      </c>
      <c r="AG4" s="2952" t="s">
        <v>3316</v>
      </c>
      <c r="AH4" s="2952" t="s">
        <v>3316</v>
      </c>
      <c r="AI4" s="2952" t="s">
        <v>3316</v>
      </c>
      <c r="AJ4" s="2952" t="s">
        <v>3316</v>
      </c>
      <c r="AK4" s="2952" t="s">
        <v>3316</v>
      </c>
      <c r="AL4" s="2952" t="s">
        <v>3316</v>
      </c>
      <c r="AM4" s="2952" t="s">
        <v>3316</v>
      </c>
      <c r="AN4" s="2952" t="s">
        <v>3316</v>
      </c>
    </row>
    <row r="5" spans="1:40" s="2944" customFormat="1" x14ac:dyDescent="0.3">
      <c r="A5" s="2953" t="s">
        <v>2738</v>
      </c>
      <c r="B5" s="2952" t="s">
        <v>3318</v>
      </c>
      <c r="C5" s="2952" t="s">
        <v>3318</v>
      </c>
      <c r="D5" s="2952" t="s">
        <v>3319</v>
      </c>
      <c r="E5" s="2952" t="s">
        <v>3318</v>
      </c>
      <c r="F5" s="2952" t="s">
        <v>3318</v>
      </c>
      <c r="G5" s="2952" t="s">
        <v>3318</v>
      </c>
      <c r="H5" s="2952" t="s">
        <v>3320</v>
      </c>
      <c r="I5" s="2952" t="s">
        <v>3318</v>
      </c>
      <c r="J5" s="2952" t="s">
        <v>3321</v>
      </c>
      <c r="K5" s="2952" t="s">
        <v>3318</v>
      </c>
      <c r="L5" s="2952" t="s">
        <v>3322</v>
      </c>
      <c r="M5" s="2952" t="s">
        <v>3323</v>
      </c>
      <c r="N5" s="2952" t="s">
        <v>3323</v>
      </c>
      <c r="O5" s="2952" t="s">
        <v>3312</v>
      </c>
      <c r="P5" s="2952" t="s">
        <v>3323</v>
      </c>
      <c r="Q5" s="2952" t="s">
        <v>3323</v>
      </c>
      <c r="R5" s="2952" t="s">
        <v>3312</v>
      </c>
      <c r="S5" s="2952" t="s">
        <v>3324</v>
      </c>
      <c r="T5" s="2952" t="s">
        <v>3325</v>
      </c>
      <c r="U5" s="2952" t="s">
        <v>3326</v>
      </c>
      <c r="V5" s="2952" t="s">
        <v>3326</v>
      </c>
      <c r="W5" s="2952" t="s">
        <v>3326</v>
      </c>
      <c r="X5" s="2952" t="s">
        <v>3324</v>
      </c>
      <c r="Y5" s="2952" t="s">
        <v>3326</v>
      </c>
      <c r="Z5" s="2952" t="s">
        <v>3314</v>
      </c>
      <c r="AA5" s="2952" t="s">
        <v>3314</v>
      </c>
      <c r="AB5" s="2952" t="s">
        <v>3314</v>
      </c>
      <c r="AC5" s="2952" t="s">
        <v>3326</v>
      </c>
      <c r="AD5" s="2952" t="s">
        <v>3327</v>
      </c>
      <c r="AE5" s="2952" t="s">
        <v>3327</v>
      </c>
      <c r="AF5" s="2952" t="s">
        <v>3327</v>
      </c>
      <c r="AG5" s="2952" t="s">
        <v>3328</v>
      </c>
      <c r="AH5" s="2952" t="s">
        <v>3327</v>
      </c>
      <c r="AI5" s="2952" t="s">
        <v>3327</v>
      </c>
      <c r="AJ5" s="2952" t="s">
        <v>3327</v>
      </c>
      <c r="AK5" s="2952" t="s">
        <v>3329</v>
      </c>
      <c r="AL5" s="2952" t="s">
        <v>3327</v>
      </c>
      <c r="AM5" s="2952" t="s">
        <v>3330</v>
      </c>
      <c r="AN5" s="2952" t="s">
        <v>3331</v>
      </c>
    </row>
    <row r="6" spans="1:40" ht="16.899999999999999" customHeight="1" x14ac:dyDescent="0.3">
      <c r="A6" s="2954" t="s">
        <v>2739</v>
      </c>
      <c r="B6" s="2955" t="s">
        <v>3318</v>
      </c>
      <c r="C6" s="2955" t="s">
        <v>3318</v>
      </c>
      <c r="D6" s="2955" t="s">
        <v>3319</v>
      </c>
      <c r="E6" s="2955" t="s">
        <v>3318</v>
      </c>
      <c r="F6" s="2955" t="s">
        <v>3318</v>
      </c>
      <c r="G6" s="2955" t="s">
        <v>3318</v>
      </c>
      <c r="H6" s="2955" t="s">
        <v>3320</v>
      </c>
      <c r="I6" s="2955" t="s">
        <v>3318</v>
      </c>
      <c r="J6" s="2955" t="s">
        <v>3321</v>
      </c>
      <c r="K6" s="2955" t="s">
        <v>3318</v>
      </c>
      <c r="L6" s="2955" t="s">
        <v>3322</v>
      </c>
      <c r="M6" s="2955" t="s">
        <v>3323</v>
      </c>
      <c r="N6" s="2955" t="s">
        <v>3323</v>
      </c>
      <c r="O6" s="2955" t="s">
        <v>3312</v>
      </c>
      <c r="P6" s="2955" t="s">
        <v>3323</v>
      </c>
      <c r="Q6" s="2955" t="s">
        <v>3323</v>
      </c>
      <c r="R6" s="2955" t="s">
        <v>3312</v>
      </c>
      <c r="S6" s="2955" t="s">
        <v>3324</v>
      </c>
      <c r="T6" s="2955" t="s">
        <v>3325</v>
      </c>
      <c r="U6" s="2955" t="s">
        <v>3326</v>
      </c>
      <c r="V6" s="2955" t="s">
        <v>3326</v>
      </c>
      <c r="W6" s="2955" t="s">
        <v>3326</v>
      </c>
      <c r="X6" s="2955" t="s">
        <v>3324</v>
      </c>
      <c r="Y6" s="2955" t="s">
        <v>3326</v>
      </c>
      <c r="Z6" s="2955" t="s">
        <v>3314</v>
      </c>
      <c r="AA6" s="2955" t="s">
        <v>3314</v>
      </c>
      <c r="AB6" s="2955" t="s">
        <v>3314</v>
      </c>
      <c r="AC6" s="2955" t="s">
        <v>3326</v>
      </c>
      <c r="AD6" s="2955" t="s">
        <v>3327</v>
      </c>
      <c r="AE6" s="2955" t="s">
        <v>3327</v>
      </c>
      <c r="AF6" s="2955" t="s">
        <v>3327</v>
      </c>
      <c r="AG6" s="2955" t="s">
        <v>3328</v>
      </c>
      <c r="AH6" s="2955" t="s">
        <v>3327</v>
      </c>
      <c r="AI6" s="2955" t="s">
        <v>3327</v>
      </c>
      <c r="AJ6" s="2955" t="s">
        <v>3327</v>
      </c>
      <c r="AK6" s="2955" t="s">
        <v>3329</v>
      </c>
      <c r="AL6" s="2955" t="s">
        <v>3327</v>
      </c>
      <c r="AM6" s="2955" t="s">
        <v>3330</v>
      </c>
      <c r="AN6" s="2955" t="s">
        <v>3331</v>
      </c>
    </row>
    <row r="7" spans="1:40" s="2957" customFormat="1" ht="16.899999999999999" customHeight="1" x14ac:dyDescent="0.3">
      <c r="A7" s="2956" t="s">
        <v>3332</v>
      </c>
      <c r="B7" s="2955" t="s">
        <v>3320</v>
      </c>
      <c r="C7" s="2955" t="s">
        <v>3333</v>
      </c>
      <c r="D7" s="2955" t="s">
        <v>3334</v>
      </c>
      <c r="E7" s="2955" t="s">
        <v>3333</v>
      </c>
      <c r="F7" s="2955" t="s">
        <v>3320</v>
      </c>
      <c r="G7" s="2955" t="s">
        <v>3320</v>
      </c>
      <c r="H7" s="2955" t="s">
        <v>3320</v>
      </c>
      <c r="I7" s="2955" t="s">
        <v>3320</v>
      </c>
      <c r="J7" s="2955" t="s">
        <v>3320</v>
      </c>
      <c r="K7" s="2955" t="s">
        <v>3335</v>
      </c>
      <c r="L7" s="2955" t="s">
        <v>3323</v>
      </c>
      <c r="M7" s="2955" t="s">
        <v>3335</v>
      </c>
      <c r="N7" s="2955" t="s">
        <v>3335</v>
      </c>
      <c r="O7" s="2955" t="s">
        <v>3336</v>
      </c>
      <c r="P7" s="2955" t="s">
        <v>3320</v>
      </c>
      <c r="Q7" s="2955" t="s">
        <v>3320</v>
      </c>
      <c r="R7" s="2955" t="s">
        <v>3320</v>
      </c>
      <c r="S7" s="2955" t="s">
        <v>3337</v>
      </c>
      <c r="T7" s="2955" t="s">
        <v>3325</v>
      </c>
      <c r="U7" s="2955" t="s">
        <v>3338</v>
      </c>
      <c r="V7" s="2955" t="s">
        <v>3318</v>
      </c>
      <c r="W7" s="2955" t="s">
        <v>3318</v>
      </c>
      <c r="X7" s="2955" t="s">
        <v>3324</v>
      </c>
      <c r="Y7" s="2955" t="s">
        <v>3324</v>
      </c>
      <c r="Z7" s="2955" t="s">
        <v>3326</v>
      </c>
      <c r="AA7" s="2955" t="s">
        <v>3326</v>
      </c>
      <c r="AB7" s="2955" t="s">
        <v>3326</v>
      </c>
      <c r="AC7" s="2955" t="s">
        <v>3326</v>
      </c>
      <c r="AD7" s="2955" t="s">
        <v>3339</v>
      </c>
      <c r="AE7" s="2955" t="s">
        <v>3340</v>
      </c>
      <c r="AF7" s="2955" t="s">
        <v>3339</v>
      </c>
      <c r="AG7" s="2955" t="s">
        <v>3339</v>
      </c>
      <c r="AH7" s="2955" t="s">
        <v>3341</v>
      </c>
      <c r="AI7" s="2955" t="s">
        <v>3342</v>
      </c>
      <c r="AJ7" s="2955" t="s">
        <v>3340</v>
      </c>
      <c r="AK7" s="2955" t="s">
        <v>3343</v>
      </c>
      <c r="AL7" s="2955" t="s">
        <v>3339</v>
      </c>
      <c r="AM7" s="2955" t="s">
        <v>3340</v>
      </c>
      <c r="AN7" s="2955" t="s">
        <v>3344</v>
      </c>
    </row>
    <row r="8" spans="1:40" s="2957" customFormat="1" ht="16.899999999999999" customHeight="1" x14ac:dyDescent="0.3">
      <c r="A8" s="2956" t="s">
        <v>3345</v>
      </c>
      <c r="B8" s="2955" t="s">
        <v>1360</v>
      </c>
      <c r="C8" s="2955" t="s">
        <v>1360</v>
      </c>
      <c r="D8" s="2955" t="s">
        <v>3346</v>
      </c>
      <c r="E8" s="2955" t="s">
        <v>1360</v>
      </c>
      <c r="F8" s="2955" t="s">
        <v>1360</v>
      </c>
      <c r="G8" s="2955" t="s">
        <v>1360</v>
      </c>
      <c r="H8" s="2955" t="s">
        <v>3347</v>
      </c>
      <c r="I8" s="2955" t="s">
        <v>3348</v>
      </c>
      <c r="J8" s="2955" t="s">
        <v>3321</v>
      </c>
      <c r="K8" s="2955" t="s">
        <v>1360</v>
      </c>
      <c r="L8" s="2955" t="s">
        <v>3322</v>
      </c>
      <c r="M8" s="2955" t="s">
        <v>3349</v>
      </c>
      <c r="N8" s="2955" t="s">
        <v>3350</v>
      </c>
      <c r="O8" s="2955" t="s">
        <v>3312</v>
      </c>
      <c r="P8" s="2955" t="s">
        <v>3351</v>
      </c>
      <c r="Q8" s="2955" t="s">
        <v>3349</v>
      </c>
      <c r="R8" s="2955" t="s">
        <v>3312</v>
      </c>
      <c r="S8" s="2955" t="s">
        <v>3352</v>
      </c>
      <c r="T8" s="2955" t="s">
        <v>3353</v>
      </c>
      <c r="U8" s="2955" t="s">
        <v>3327</v>
      </c>
      <c r="V8" s="2955" t="s">
        <v>3327</v>
      </c>
      <c r="W8" s="2955" t="s">
        <v>3354</v>
      </c>
      <c r="X8" s="2955" t="s">
        <v>3355</v>
      </c>
      <c r="Y8" s="2955" t="s">
        <v>3327</v>
      </c>
      <c r="Z8" s="2955" t="s">
        <v>3330</v>
      </c>
      <c r="AA8" s="2955" t="s">
        <v>3330</v>
      </c>
      <c r="AB8" s="2955" t="s">
        <v>3356</v>
      </c>
      <c r="AC8" s="2955" t="s">
        <v>3355</v>
      </c>
      <c r="AD8" s="2955" t="s">
        <v>3327</v>
      </c>
      <c r="AE8" s="2955" t="s">
        <v>3355</v>
      </c>
      <c r="AF8" s="2955" t="s">
        <v>3327</v>
      </c>
      <c r="AG8" s="2955" t="s">
        <v>3328</v>
      </c>
      <c r="AH8" s="2955" t="s">
        <v>3327</v>
      </c>
      <c r="AI8" s="2955" t="s">
        <v>3327</v>
      </c>
      <c r="AJ8" s="2955" t="s">
        <v>3357</v>
      </c>
      <c r="AK8" s="2955" t="s">
        <v>3358</v>
      </c>
      <c r="AL8" s="2955" t="s">
        <v>3327</v>
      </c>
      <c r="AM8" s="2955" t="s">
        <v>3330</v>
      </c>
      <c r="AN8" s="2955" t="s">
        <v>3359</v>
      </c>
    </row>
    <row r="9" spans="1:40" ht="14.45" customHeight="1" x14ac:dyDescent="0.3">
      <c r="A9" s="2954" t="s">
        <v>2742</v>
      </c>
      <c r="B9" s="2955" t="s">
        <v>3360</v>
      </c>
      <c r="C9" s="2955" t="s">
        <v>3318</v>
      </c>
      <c r="D9" s="2955" t="s">
        <v>3361</v>
      </c>
      <c r="E9" s="2955" t="s">
        <v>3361</v>
      </c>
      <c r="F9" s="2955" t="s">
        <v>3361</v>
      </c>
      <c r="G9" s="2955" t="s">
        <v>3361</v>
      </c>
      <c r="H9" s="2955" t="s">
        <v>3361</v>
      </c>
      <c r="I9" s="2955" t="s">
        <v>3361</v>
      </c>
      <c r="J9" s="2955" t="s">
        <v>3361</v>
      </c>
      <c r="K9" s="2955" t="s">
        <v>3361</v>
      </c>
      <c r="L9" s="2955" t="s">
        <v>3362</v>
      </c>
      <c r="M9" s="2955" t="s">
        <v>3363</v>
      </c>
      <c r="N9" s="2955" t="s">
        <v>3363</v>
      </c>
      <c r="O9" s="2955" t="s">
        <v>3363</v>
      </c>
      <c r="P9" s="2955" t="s">
        <v>3362</v>
      </c>
      <c r="Q9" s="2955" t="s">
        <v>3363</v>
      </c>
      <c r="R9" s="2955" t="s">
        <v>3363</v>
      </c>
      <c r="S9" s="2955" t="s">
        <v>3364</v>
      </c>
      <c r="T9" s="2955" t="s">
        <v>3365</v>
      </c>
      <c r="U9" s="2955" t="s">
        <v>3365</v>
      </c>
      <c r="V9" s="2955" t="s">
        <v>3365</v>
      </c>
      <c r="W9" s="2955" t="s">
        <v>3365</v>
      </c>
      <c r="X9" s="2955" t="s">
        <v>3365</v>
      </c>
      <c r="Y9" s="2955" t="s">
        <v>3365</v>
      </c>
      <c r="Z9" s="2955" t="s">
        <v>3365</v>
      </c>
      <c r="AA9" s="2955" t="s">
        <v>3365</v>
      </c>
      <c r="AB9" s="2955" t="s">
        <v>3365</v>
      </c>
      <c r="AC9" s="2955" t="s">
        <v>3326</v>
      </c>
      <c r="AD9" s="2955" t="s">
        <v>3366</v>
      </c>
      <c r="AE9" s="2955" t="s">
        <v>3367</v>
      </c>
      <c r="AF9" s="2955" t="s">
        <v>3367</v>
      </c>
      <c r="AG9" s="2955" t="s">
        <v>3366</v>
      </c>
      <c r="AH9" s="2955">
        <v>7.85</v>
      </c>
      <c r="AI9" s="2955" t="s">
        <v>3366</v>
      </c>
      <c r="AJ9" s="2955" t="s">
        <v>3366</v>
      </c>
      <c r="AK9" s="2955" t="s">
        <v>3368</v>
      </c>
      <c r="AL9" s="2955" t="s">
        <v>3368</v>
      </c>
      <c r="AM9" s="2955" t="s">
        <v>3366</v>
      </c>
      <c r="AN9" s="2955" t="s">
        <v>3369</v>
      </c>
    </row>
    <row r="10" spans="1:40" ht="14.45" customHeight="1" x14ac:dyDescent="0.3">
      <c r="A10" s="2954" t="s">
        <v>2743</v>
      </c>
      <c r="B10" s="2955" t="s">
        <v>3370</v>
      </c>
      <c r="C10" s="2955" t="s">
        <v>3370</v>
      </c>
      <c r="D10" s="2955" t="s">
        <v>3370</v>
      </c>
      <c r="E10" s="2955" t="s">
        <v>3370</v>
      </c>
      <c r="F10" s="2955" t="s">
        <v>3370</v>
      </c>
      <c r="G10" s="2955" t="s">
        <v>3370</v>
      </c>
      <c r="H10" s="2955" t="s">
        <v>3370</v>
      </c>
      <c r="I10" s="2955" t="s">
        <v>3370</v>
      </c>
      <c r="J10" s="2955" t="s">
        <v>3370</v>
      </c>
      <c r="K10" s="2955" t="s">
        <v>3370</v>
      </c>
      <c r="L10" s="2955" t="s">
        <v>3371</v>
      </c>
      <c r="M10" s="2955" t="s">
        <v>3372</v>
      </c>
      <c r="N10" s="2955" t="s">
        <v>3372</v>
      </c>
      <c r="O10" s="2955" t="s">
        <v>3372</v>
      </c>
      <c r="P10" s="2955" t="s">
        <v>3372</v>
      </c>
      <c r="Q10" s="2955" t="s">
        <v>3372</v>
      </c>
      <c r="R10" s="2955" t="s">
        <v>3372</v>
      </c>
      <c r="S10" s="2955" t="s">
        <v>3373</v>
      </c>
      <c r="T10" s="2955" t="s">
        <v>3374</v>
      </c>
      <c r="U10" s="2955" t="s">
        <v>3375</v>
      </c>
      <c r="V10" s="2955" t="s">
        <v>3374</v>
      </c>
      <c r="W10" s="2955" t="s">
        <v>3375</v>
      </c>
      <c r="X10" s="2955" t="s">
        <v>3374</v>
      </c>
      <c r="Y10" s="2955" t="s">
        <v>3374</v>
      </c>
      <c r="Z10" s="2955" t="s">
        <v>3374</v>
      </c>
      <c r="AA10" s="2955" t="s">
        <v>3374</v>
      </c>
      <c r="AB10" s="2955" t="s">
        <v>3326</v>
      </c>
      <c r="AC10" s="2955" t="s">
        <v>3374</v>
      </c>
      <c r="AD10" s="2955" t="s">
        <v>3376</v>
      </c>
      <c r="AE10" s="2955" t="s">
        <v>3339</v>
      </c>
      <c r="AF10" s="2955" t="s">
        <v>3339</v>
      </c>
      <c r="AG10" s="2955" t="s">
        <v>3339</v>
      </c>
      <c r="AH10" s="2955" t="s">
        <v>3339</v>
      </c>
      <c r="AI10" s="2955" t="s">
        <v>3376</v>
      </c>
      <c r="AJ10" s="2955" t="s">
        <v>3376</v>
      </c>
      <c r="AK10" s="2955" t="s">
        <v>3376</v>
      </c>
      <c r="AL10" s="2955" t="s">
        <v>3376</v>
      </c>
      <c r="AM10" s="2955" t="s">
        <v>3376</v>
      </c>
      <c r="AN10" s="2955" t="s">
        <v>3377</v>
      </c>
    </row>
    <row r="11" spans="1:40" s="2944" customFormat="1" ht="18.600000000000001" customHeight="1" x14ac:dyDescent="0.3">
      <c r="A11" s="2953" t="s">
        <v>2744</v>
      </c>
      <c r="B11" s="2952" t="s">
        <v>3378</v>
      </c>
      <c r="C11" s="2952" t="s">
        <v>3378</v>
      </c>
      <c r="D11" s="2952" t="s">
        <v>3378</v>
      </c>
      <c r="E11" s="2952" t="s">
        <v>3378</v>
      </c>
      <c r="F11" s="2952" t="s">
        <v>3378</v>
      </c>
      <c r="G11" s="2952" t="s">
        <v>3378</v>
      </c>
      <c r="H11" s="2952" t="s">
        <v>3378</v>
      </c>
      <c r="I11" s="2952" t="s">
        <v>3378</v>
      </c>
      <c r="J11" s="2952" t="s">
        <v>3378</v>
      </c>
      <c r="K11" s="2952" t="s">
        <v>3379</v>
      </c>
      <c r="L11" s="2952" t="s">
        <v>3380</v>
      </c>
      <c r="M11" s="2952" t="s">
        <v>3380</v>
      </c>
      <c r="N11" s="2952" t="s">
        <v>3380</v>
      </c>
      <c r="O11" s="2952" t="s">
        <v>3380</v>
      </c>
      <c r="P11" s="2952" t="s">
        <v>3380</v>
      </c>
      <c r="Q11" s="2952" t="s">
        <v>3380</v>
      </c>
      <c r="R11" s="2952" t="s">
        <v>3380</v>
      </c>
      <c r="S11" s="2952" t="s">
        <v>3381</v>
      </c>
      <c r="T11" s="2952" t="s">
        <v>3382</v>
      </c>
      <c r="U11" s="2952" t="s">
        <v>3382</v>
      </c>
      <c r="V11" s="2952" t="s">
        <v>3382</v>
      </c>
      <c r="W11" s="2952" t="s">
        <v>3382</v>
      </c>
      <c r="X11" s="2952" t="s">
        <v>3382</v>
      </c>
      <c r="Y11" s="2952" t="s">
        <v>3382</v>
      </c>
      <c r="Z11" s="2952" t="s">
        <v>3382</v>
      </c>
      <c r="AA11" s="2952" t="s">
        <v>3382</v>
      </c>
      <c r="AB11" s="2952" t="s">
        <v>3382</v>
      </c>
      <c r="AC11" s="2952" t="s">
        <v>3382</v>
      </c>
      <c r="AD11" s="2952" t="s">
        <v>3382</v>
      </c>
      <c r="AE11" s="2952" t="s">
        <v>3382</v>
      </c>
      <c r="AF11" s="2952" t="s">
        <v>3382</v>
      </c>
      <c r="AG11" s="2952" t="s">
        <v>3382</v>
      </c>
      <c r="AH11" s="2952" t="s">
        <v>3382</v>
      </c>
      <c r="AI11" s="2952" t="s">
        <v>3382</v>
      </c>
      <c r="AJ11" s="2952" t="s">
        <v>3382</v>
      </c>
      <c r="AK11" s="2952" t="s">
        <v>3382</v>
      </c>
      <c r="AL11" s="2952" t="s">
        <v>3382</v>
      </c>
      <c r="AM11" s="2952" t="s">
        <v>3382</v>
      </c>
      <c r="AN11" s="2952" t="s">
        <v>3382</v>
      </c>
    </row>
    <row r="12" spans="1:40" s="2944" customFormat="1" ht="20.45" customHeight="1" x14ac:dyDescent="0.3">
      <c r="A12" s="2953" t="s">
        <v>2745</v>
      </c>
      <c r="B12" s="2952" t="s">
        <v>3318</v>
      </c>
      <c r="C12" s="2952" t="s">
        <v>3318</v>
      </c>
      <c r="D12" s="2952" t="s">
        <v>3321</v>
      </c>
      <c r="E12" s="2952" t="s">
        <v>3321</v>
      </c>
      <c r="F12" s="2952" t="s">
        <v>3318</v>
      </c>
      <c r="G12" s="2952" t="s">
        <v>3321</v>
      </c>
      <c r="H12" s="2952" t="s">
        <v>3318</v>
      </c>
      <c r="I12" s="2952" t="s">
        <v>3321</v>
      </c>
      <c r="J12" s="2952" t="s">
        <v>3321</v>
      </c>
      <c r="K12" s="2952" t="s">
        <v>3321</v>
      </c>
      <c r="L12" s="2952" t="s">
        <v>3322</v>
      </c>
      <c r="M12" s="2952" t="s">
        <v>3312</v>
      </c>
      <c r="N12" s="2952" t="s">
        <v>3312</v>
      </c>
      <c r="O12" s="2952" t="s">
        <v>3312</v>
      </c>
      <c r="P12" s="2952" t="s">
        <v>3311</v>
      </c>
      <c r="Q12" s="2952" t="s">
        <v>3312</v>
      </c>
      <c r="R12" s="2952" t="s">
        <v>3312</v>
      </c>
      <c r="S12" s="2952" t="s">
        <v>3313</v>
      </c>
      <c r="T12" s="2952" t="s">
        <v>3314</v>
      </c>
      <c r="U12" s="2952" t="s">
        <v>3314</v>
      </c>
      <c r="V12" s="2952" t="s">
        <v>3314</v>
      </c>
      <c r="W12" s="2952" t="s">
        <v>3314</v>
      </c>
      <c r="X12" s="2952" t="s">
        <v>3314</v>
      </c>
      <c r="Y12" s="2952" t="s">
        <v>3314</v>
      </c>
      <c r="Z12" s="2952" t="s">
        <v>3314</v>
      </c>
      <c r="AA12" s="2952" t="s">
        <v>3314</v>
      </c>
      <c r="AB12" s="2952" t="s">
        <v>3314</v>
      </c>
      <c r="AC12" s="2952" t="s">
        <v>3314</v>
      </c>
      <c r="AD12" s="2952" t="s">
        <v>3383</v>
      </c>
      <c r="AE12" s="2952" t="s">
        <v>3384</v>
      </c>
      <c r="AF12" s="2952" t="s">
        <v>3316</v>
      </c>
      <c r="AG12" s="2952" t="s">
        <v>3316</v>
      </c>
      <c r="AH12" s="2952" t="s">
        <v>3385</v>
      </c>
      <c r="AI12" s="2952" t="s">
        <v>3386</v>
      </c>
      <c r="AJ12" s="2952" t="s">
        <v>3316</v>
      </c>
      <c r="AK12" s="2952" t="s">
        <v>3331</v>
      </c>
      <c r="AL12" s="2952" t="s">
        <v>3387</v>
      </c>
      <c r="AM12" s="2952" t="s">
        <v>3331</v>
      </c>
      <c r="AN12" s="2952" t="s">
        <v>3316</v>
      </c>
    </row>
    <row r="13" spans="1:40" x14ac:dyDescent="0.3">
      <c r="A13" s="2954" t="s">
        <v>2746</v>
      </c>
      <c r="B13" s="2955" t="s">
        <v>3318</v>
      </c>
      <c r="C13" s="2955" t="s">
        <v>3360</v>
      </c>
      <c r="D13" s="2955" t="s">
        <v>3388</v>
      </c>
      <c r="E13" s="2955" t="s">
        <v>3321</v>
      </c>
      <c r="F13" s="2955" t="s">
        <v>3320</v>
      </c>
      <c r="G13" s="2955" t="s">
        <v>3389</v>
      </c>
      <c r="H13" s="2955" t="s">
        <v>3318</v>
      </c>
      <c r="I13" s="2955" t="s">
        <v>3318</v>
      </c>
      <c r="J13" s="2955" t="s">
        <v>3321</v>
      </c>
      <c r="K13" s="2955" t="s">
        <v>3318</v>
      </c>
      <c r="L13" s="2955" t="s">
        <v>3323</v>
      </c>
      <c r="M13" s="2955" t="s">
        <v>3320</v>
      </c>
      <c r="N13" s="2955" t="s">
        <v>3390</v>
      </c>
      <c r="O13" s="2955">
        <v>2.5</v>
      </c>
      <c r="P13" s="2955" t="s">
        <v>3390</v>
      </c>
      <c r="Q13" s="2955" t="s">
        <v>3390</v>
      </c>
      <c r="R13" s="2955" t="s">
        <v>3323</v>
      </c>
      <c r="S13" s="2955" t="s">
        <v>3320</v>
      </c>
      <c r="T13" s="2955" t="s">
        <v>3326</v>
      </c>
      <c r="U13" s="2955" t="s">
        <v>3338</v>
      </c>
      <c r="V13" s="2955" t="s">
        <v>3326</v>
      </c>
      <c r="W13" s="2955" t="s">
        <v>3326</v>
      </c>
      <c r="X13" s="2955" t="s">
        <v>3326</v>
      </c>
      <c r="Y13" s="2955" t="s">
        <v>3326</v>
      </c>
      <c r="Z13" s="2955" t="s">
        <v>3314</v>
      </c>
      <c r="AA13" s="2955" t="s">
        <v>3326</v>
      </c>
      <c r="AB13" s="2955" t="s">
        <v>3326</v>
      </c>
      <c r="AC13" s="2955" t="s">
        <v>3326</v>
      </c>
      <c r="AD13" s="2955" t="s">
        <v>3340</v>
      </c>
      <c r="AE13" s="2955" t="s">
        <v>3391</v>
      </c>
      <c r="AF13" s="2955" t="s">
        <v>3392</v>
      </c>
      <c r="AG13" s="2955" t="s">
        <v>3393</v>
      </c>
      <c r="AH13" s="2955" t="s">
        <v>3343</v>
      </c>
      <c r="AI13" s="2955" t="s">
        <v>3394</v>
      </c>
      <c r="AJ13" s="2955" t="s">
        <v>3395</v>
      </c>
      <c r="AK13" s="2955" t="s">
        <v>3396</v>
      </c>
      <c r="AL13" s="2955" t="s">
        <v>3397</v>
      </c>
      <c r="AM13" s="2955" t="s">
        <v>3331</v>
      </c>
      <c r="AN13" s="2955" t="s">
        <v>3316</v>
      </c>
    </row>
    <row r="14" spans="1:40" ht="16.899999999999999" customHeight="1" x14ac:dyDescent="0.3">
      <c r="A14" s="2956" t="s">
        <v>3398</v>
      </c>
      <c r="B14" s="2955" t="s">
        <v>3370</v>
      </c>
      <c r="C14" s="2955" t="s">
        <v>3370</v>
      </c>
      <c r="D14" s="2955" t="s">
        <v>3399</v>
      </c>
      <c r="E14" s="2955" t="s">
        <v>3370</v>
      </c>
      <c r="F14" s="2955" t="s">
        <v>3370</v>
      </c>
      <c r="G14" s="2955" t="s">
        <v>3370</v>
      </c>
      <c r="H14" s="2955" t="s">
        <v>3370</v>
      </c>
      <c r="I14" s="2955" t="s">
        <v>3370</v>
      </c>
      <c r="J14" s="2955" t="s">
        <v>3370</v>
      </c>
      <c r="K14" s="2955" t="s">
        <v>3370</v>
      </c>
      <c r="L14" s="2955" t="s">
        <v>3360</v>
      </c>
      <c r="M14" s="2955" t="s">
        <v>3372</v>
      </c>
      <c r="N14" s="2955" t="s">
        <v>3372</v>
      </c>
      <c r="O14" s="2955" t="s">
        <v>3372</v>
      </c>
      <c r="P14" s="2955" t="s">
        <v>3362</v>
      </c>
      <c r="Q14" s="2955" t="s">
        <v>3372</v>
      </c>
      <c r="R14" s="2955" t="s">
        <v>3372</v>
      </c>
      <c r="S14" s="2955" t="s">
        <v>3365</v>
      </c>
      <c r="T14" s="2955" t="s">
        <v>3374</v>
      </c>
      <c r="U14" s="2955" t="s">
        <v>3400</v>
      </c>
      <c r="V14" s="2955" t="s">
        <v>3401</v>
      </c>
      <c r="W14" s="2955" t="s">
        <v>3374</v>
      </c>
      <c r="X14" s="2955" t="s">
        <v>3374</v>
      </c>
      <c r="Y14" s="2955" t="s">
        <v>3374</v>
      </c>
      <c r="Z14" s="2955" t="s">
        <v>3374</v>
      </c>
      <c r="AA14" s="2955" t="s">
        <v>3326</v>
      </c>
      <c r="AB14" s="2955" t="s">
        <v>3326</v>
      </c>
      <c r="AC14" s="2955" t="s">
        <v>3326</v>
      </c>
      <c r="AD14" s="2955" t="s">
        <v>3340</v>
      </c>
      <c r="AE14" s="2955" t="s">
        <v>3402</v>
      </c>
      <c r="AF14" s="2955" t="s">
        <v>3403</v>
      </c>
      <c r="AG14" s="2955" t="s">
        <v>3340</v>
      </c>
      <c r="AH14" s="2955" t="s">
        <v>3404</v>
      </c>
      <c r="AI14" s="2955" t="s">
        <v>3402</v>
      </c>
      <c r="AJ14" s="2955" t="s">
        <v>3339</v>
      </c>
      <c r="AK14" s="2955" t="s">
        <v>3339</v>
      </c>
      <c r="AL14" s="2955" t="s">
        <v>3339</v>
      </c>
      <c r="AM14" s="2955" t="s">
        <v>3404</v>
      </c>
      <c r="AN14" s="2955" t="s">
        <v>3402</v>
      </c>
    </row>
    <row r="15" spans="1:40" ht="16.899999999999999" customHeight="1" x14ac:dyDescent="0.3">
      <c r="A15" s="2956" t="s">
        <v>3405</v>
      </c>
      <c r="B15" s="2955" t="s">
        <v>3370</v>
      </c>
      <c r="C15" s="2955" t="s">
        <v>3370</v>
      </c>
      <c r="D15" s="2955" t="s">
        <v>3370</v>
      </c>
      <c r="E15" s="2955" t="s">
        <v>3370</v>
      </c>
      <c r="F15" s="2955" t="s">
        <v>3370</v>
      </c>
      <c r="G15" s="2955" t="s">
        <v>3370</v>
      </c>
      <c r="H15" s="2955" t="s">
        <v>3370</v>
      </c>
      <c r="I15" s="2955" t="s">
        <v>3370</v>
      </c>
      <c r="J15" s="2955" t="s">
        <v>3406</v>
      </c>
      <c r="K15" s="2955" t="s">
        <v>3370</v>
      </c>
      <c r="L15" s="2955" t="s">
        <v>3364</v>
      </c>
      <c r="M15" s="2955" t="s">
        <v>3407</v>
      </c>
      <c r="N15" s="2955" t="s">
        <v>3364</v>
      </c>
      <c r="O15" s="2955" t="s">
        <v>3372</v>
      </c>
      <c r="P15" s="2955" t="s">
        <v>3364</v>
      </c>
      <c r="Q15" s="2955" t="s">
        <v>3364</v>
      </c>
      <c r="R15" s="2955" t="s">
        <v>3407</v>
      </c>
      <c r="S15" s="2955" t="s">
        <v>3373</v>
      </c>
      <c r="T15" s="2955" t="s">
        <v>3334</v>
      </c>
      <c r="U15" s="2955" t="s">
        <v>3374</v>
      </c>
      <c r="V15" s="2955" t="s">
        <v>3334</v>
      </c>
      <c r="W15" s="2955" t="s">
        <v>3334</v>
      </c>
      <c r="X15" s="2955" t="s">
        <v>3334</v>
      </c>
      <c r="Y15" s="2955" t="s">
        <v>3334</v>
      </c>
      <c r="Z15" s="2955" t="s">
        <v>3334</v>
      </c>
      <c r="AA15" s="2955" t="s">
        <v>3334</v>
      </c>
      <c r="AB15" s="2955" t="s">
        <v>3334</v>
      </c>
      <c r="AC15" s="2955" t="s">
        <v>3334</v>
      </c>
      <c r="AD15" s="2955" t="s">
        <v>3408</v>
      </c>
      <c r="AE15" s="2955" t="s">
        <v>3408</v>
      </c>
      <c r="AF15" s="2955" t="s">
        <v>3366</v>
      </c>
      <c r="AG15" s="2955" t="s">
        <v>3366</v>
      </c>
      <c r="AH15" s="2955" t="s">
        <v>3339</v>
      </c>
      <c r="AI15" s="2955" t="s">
        <v>3366</v>
      </c>
      <c r="AJ15" s="2955" t="s">
        <v>3408</v>
      </c>
      <c r="AK15" s="2955" t="s">
        <v>3366</v>
      </c>
      <c r="AL15" s="2955" t="s">
        <v>3408</v>
      </c>
      <c r="AM15" s="2955" t="s">
        <v>3339</v>
      </c>
      <c r="AN15" s="2955" t="s">
        <v>3339</v>
      </c>
    </row>
    <row r="16" spans="1:40" x14ac:dyDescent="0.3">
      <c r="A16" s="2956" t="s">
        <v>3409</v>
      </c>
      <c r="B16" s="2955" t="s">
        <v>3318</v>
      </c>
      <c r="C16" s="2955" t="s">
        <v>3360</v>
      </c>
      <c r="D16" s="2955" t="s">
        <v>3388</v>
      </c>
      <c r="E16" s="2955" t="s">
        <v>3321</v>
      </c>
      <c r="F16" s="2955" t="s">
        <v>3320</v>
      </c>
      <c r="G16" s="2955" t="s">
        <v>3389</v>
      </c>
      <c r="H16" s="2955" t="s">
        <v>3318</v>
      </c>
      <c r="I16" s="2955" t="s">
        <v>3318</v>
      </c>
      <c r="J16" s="2955" t="s">
        <v>3321</v>
      </c>
      <c r="K16" s="2955" t="s">
        <v>3318</v>
      </c>
      <c r="L16" s="2955" t="s">
        <v>3323</v>
      </c>
      <c r="M16" s="2955" t="s">
        <v>3320</v>
      </c>
      <c r="N16" s="2955" t="s">
        <v>3390</v>
      </c>
      <c r="O16" s="2955" t="s">
        <v>3390</v>
      </c>
      <c r="P16" s="2955" t="s">
        <v>3390</v>
      </c>
      <c r="Q16" s="2955" t="s">
        <v>3390</v>
      </c>
      <c r="R16" s="2955" t="s">
        <v>3320</v>
      </c>
      <c r="S16" s="2955" t="s">
        <v>3320</v>
      </c>
      <c r="T16" s="2955" t="s">
        <v>3326</v>
      </c>
      <c r="U16" s="2955" t="s">
        <v>3338</v>
      </c>
      <c r="V16" s="2955" t="s">
        <v>3326</v>
      </c>
      <c r="W16" s="2955" t="s">
        <v>3326</v>
      </c>
      <c r="X16" s="2955" t="s">
        <v>3326</v>
      </c>
      <c r="Y16" s="2955" t="s">
        <v>3326</v>
      </c>
      <c r="Z16" s="2955" t="s">
        <v>3314</v>
      </c>
      <c r="AA16" s="2955" t="s">
        <v>3326</v>
      </c>
      <c r="AB16" s="2955" t="s">
        <v>3326</v>
      </c>
      <c r="AC16" s="2955" t="s">
        <v>3326</v>
      </c>
      <c r="AD16" s="2955" t="s">
        <v>3410</v>
      </c>
      <c r="AE16" s="2955" t="s">
        <v>3391</v>
      </c>
      <c r="AF16" s="2955" t="s">
        <v>3392</v>
      </c>
      <c r="AG16" s="2955" t="s">
        <v>3411</v>
      </c>
      <c r="AH16" s="2955" t="s">
        <v>3343</v>
      </c>
      <c r="AI16" s="2955" t="s">
        <v>3394</v>
      </c>
      <c r="AJ16" s="2955" t="s">
        <v>3395</v>
      </c>
      <c r="AK16" s="2955" t="s">
        <v>3396</v>
      </c>
      <c r="AL16" s="2955" t="s">
        <v>3397</v>
      </c>
      <c r="AM16" s="2955" t="s">
        <v>3331</v>
      </c>
      <c r="AN16" s="2955" t="s">
        <v>3316</v>
      </c>
    </row>
    <row r="17" spans="1:40" ht="15.6" customHeight="1" x14ac:dyDescent="0.3">
      <c r="A17" s="2954" t="s">
        <v>2750</v>
      </c>
      <c r="B17" s="2955" t="s">
        <v>3360</v>
      </c>
      <c r="C17" s="2955" t="s">
        <v>3412</v>
      </c>
      <c r="D17" s="2955" t="s">
        <v>3413</v>
      </c>
      <c r="E17" s="2955" t="s">
        <v>3360</v>
      </c>
      <c r="F17" s="2955" t="s">
        <v>3414</v>
      </c>
      <c r="G17" s="2955" t="s">
        <v>3360</v>
      </c>
      <c r="H17" s="2955" t="s">
        <v>3318</v>
      </c>
      <c r="I17" s="2955" t="s">
        <v>3412</v>
      </c>
      <c r="J17" s="2955" t="s">
        <v>3413</v>
      </c>
      <c r="K17" s="2955" t="s">
        <v>3360</v>
      </c>
      <c r="L17" s="2955" t="s">
        <v>3362</v>
      </c>
      <c r="M17" s="2955" t="s">
        <v>3412</v>
      </c>
      <c r="N17" s="2955" t="s">
        <v>3365</v>
      </c>
      <c r="O17" s="2955" t="s">
        <v>3362</v>
      </c>
      <c r="P17" s="2955" t="s">
        <v>3415</v>
      </c>
      <c r="Q17" s="2955" t="s">
        <v>3362</v>
      </c>
      <c r="R17" s="2955" t="s">
        <v>3416</v>
      </c>
      <c r="S17" s="2955" t="s">
        <v>3365</v>
      </c>
      <c r="T17" s="2955" t="s">
        <v>3335</v>
      </c>
      <c r="U17" s="2955" t="s">
        <v>3417</v>
      </c>
      <c r="V17" s="2955" t="s">
        <v>3335</v>
      </c>
      <c r="W17" s="2955" t="s">
        <v>3326</v>
      </c>
      <c r="X17" s="2955" t="s">
        <v>3326</v>
      </c>
      <c r="Y17" s="2955" t="s">
        <v>3326</v>
      </c>
      <c r="Z17" s="2955" t="s">
        <v>3326</v>
      </c>
      <c r="AA17" s="2955" t="s">
        <v>3326</v>
      </c>
      <c r="AB17" s="2955" t="s">
        <v>3326</v>
      </c>
      <c r="AC17" s="2955" t="s">
        <v>3326</v>
      </c>
      <c r="AD17" s="2955" t="s">
        <v>3382</v>
      </c>
      <c r="AE17" s="2955" t="s">
        <v>3339</v>
      </c>
      <c r="AF17" s="2955" t="s">
        <v>3339</v>
      </c>
      <c r="AG17" s="2955" t="s">
        <v>3368</v>
      </c>
      <c r="AH17" s="2955" t="s">
        <v>3368</v>
      </c>
      <c r="AI17" s="2955" t="s">
        <v>3368</v>
      </c>
      <c r="AJ17" s="2955" t="s">
        <v>3418</v>
      </c>
      <c r="AK17" s="2955" t="s">
        <v>3419</v>
      </c>
      <c r="AL17" s="2955" t="s">
        <v>3339</v>
      </c>
      <c r="AM17" s="2955" t="s">
        <v>3368</v>
      </c>
      <c r="AN17" s="2955" t="s">
        <v>3339</v>
      </c>
    </row>
    <row r="18" spans="1:40" ht="15.6" customHeight="1" x14ac:dyDescent="0.3">
      <c r="A18" s="2954" t="s">
        <v>2751</v>
      </c>
      <c r="B18" s="2955" t="s">
        <v>3318</v>
      </c>
      <c r="C18" s="2955" t="s">
        <v>3318</v>
      </c>
      <c r="D18" s="2955" t="s">
        <v>3318</v>
      </c>
      <c r="E18" s="2955" t="s">
        <v>3318</v>
      </c>
      <c r="F18" s="2955" t="s">
        <v>3318</v>
      </c>
      <c r="G18" s="2955" t="s">
        <v>3318</v>
      </c>
      <c r="H18" s="2955" t="s">
        <v>3318</v>
      </c>
      <c r="I18" s="2955" t="s">
        <v>3318</v>
      </c>
      <c r="J18" s="2955" t="s">
        <v>3360</v>
      </c>
      <c r="K18" s="2955" t="s">
        <v>3420</v>
      </c>
      <c r="L18" s="2955" t="s">
        <v>3362</v>
      </c>
      <c r="M18" s="2955" t="s">
        <v>3421</v>
      </c>
      <c r="N18" s="2955" t="s">
        <v>3362</v>
      </c>
      <c r="O18" s="2955" t="s">
        <v>3362</v>
      </c>
      <c r="P18" s="2955" t="s">
        <v>3323</v>
      </c>
      <c r="Q18" s="2955" t="s">
        <v>3362</v>
      </c>
      <c r="R18" s="2955" t="s">
        <v>3323</v>
      </c>
      <c r="S18" s="2955" t="s">
        <v>3417</v>
      </c>
      <c r="T18" s="2955" t="s">
        <v>3417</v>
      </c>
      <c r="U18" s="2955" t="s">
        <v>3326</v>
      </c>
      <c r="V18" s="2955" t="s">
        <v>3326</v>
      </c>
      <c r="W18" s="2955" t="s">
        <v>3314</v>
      </c>
      <c r="X18" s="2955" t="s">
        <v>3314</v>
      </c>
      <c r="Y18" s="2955" t="s">
        <v>3314</v>
      </c>
      <c r="Z18" s="2955" t="s">
        <v>3326</v>
      </c>
      <c r="AA18" s="2955" t="s">
        <v>3314</v>
      </c>
      <c r="AB18" s="2955" t="s">
        <v>3326</v>
      </c>
      <c r="AC18" s="2955" t="s">
        <v>3326</v>
      </c>
      <c r="AD18" s="2955" t="s">
        <v>3422</v>
      </c>
      <c r="AE18" s="2955" t="s">
        <v>3422</v>
      </c>
      <c r="AF18" s="2955" t="s">
        <v>3423</v>
      </c>
      <c r="AG18" s="2955" t="s">
        <v>3422</v>
      </c>
      <c r="AH18" s="2955" t="s">
        <v>3424</v>
      </c>
      <c r="AI18" s="2955" t="s">
        <v>3383</v>
      </c>
      <c r="AJ18" s="2955" t="s">
        <v>3383</v>
      </c>
      <c r="AK18" s="2955" t="s">
        <v>3383</v>
      </c>
      <c r="AL18" s="2955" t="s">
        <v>3422</v>
      </c>
      <c r="AM18" s="2955" t="s">
        <v>3383</v>
      </c>
      <c r="AN18" s="2955" t="s">
        <v>3383</v>
      </c>
    </row>
    <row r="19" spans="1:40" ht="15.6" customHeight="1" x14ac:dyDescent="0.3">
      <c r="A19" s="2954" t="s">
        <v>2752</v>
      </c>
      <c r="B19" s="2955" t="s">
        <v>3425</v>
      </c>
      <c r="C19" s="2955" t="s">
        <v>3318</v>
      </c>
      <c r="D19" s="2955" t="s">
        <v>3420</v>
      </c>
      <c r="E19" s="2955" t="s">
        <v>3425</v>
      </c>
      <c r="F19" s="2955" t="s">
        <v>3318</v>
      </c>
      <c r="G19" s="2955" t="s">
        <v>3318</v>
      </c>
      <c r="H19" s="2955" t="s">
        <v>3318</v>
      </c>
      <c r="I19" s="2955" t="s">
        <v>3318</v>
      </c>
      <c r="J19" s="2955" t="s">
        <v>3318</v>
      </c>
      <c r="K19" s="2955" t="s">
        <v>3318</v>
      </c>
      <c r="L19" s="2955" t="s">
        <v>3323</v>
      </c>
      <c r="M19" s="2955" t="s">
        <v>3323</v>
      </c>
      <c r="N19" s="2955" t="s">
        <v>3323</v>
      </c>
      <c r="O19" s="2955" t="s">
        <v>3323</v>
      </c>
      <c r="P19" s="2955" t="s">
        <v>3323</v>
      </c>
      <c r="Q19" s="2955" t="s">
        <v>3323</v>
      </c>
      <c r="R19" s="2955" t="s">
        <v>3323</v>
      </c>
      <c r="S19" s="2955" t="s">
        <v>3324</v>
      </c>
      <c r="T19" s="2955" t="s">
        <v>3314</v>
      </c>
      <c r="U19" s="2955" t="s">
        <v>3326</v>
      </c>
      <c r="V19" s="2955" t="s">
        <v>3314</v>
      </c>
      <c r="W19" s="2955" t="s">
        <v>3326</v>
      </c>
      <c r="X19" s="2955" t="s">
        <v>3314</v>
      </c>
      <c r="Y19" s="2955" t="s">
        <v>3314</v>
      </c>
      <c r="Z19" s="2955" t="s">
        <v>3326</v>
      </c>
      <c r="AA19" s="2955" t="s">
        <v>3326</v>
      </c>
      <c r="AB19" s="2955" t="s">
        <v>3326</v>
      </c>
      <c r="AC19" s="2955" t="s">
        <v>3326</v>
      </c>
      <c r="AD19" s="2955" t="s">
        <v>3426</v>
      </c>
      <c r="AE19" s="2955" t="s">
        <v>3383</v>
      </c>
      <c r="AF19" s="2955" t="s">
        <v>3368</v>
      </c>
      <c r="AG19" s="2955" t="s">
        <v>3340</v>
      </c>
      <c r="AH19" s="2955" t="s">
        <v>3427</v>
      </c>
      <c r="AI19" s="2955" t="s">
        <v>3368</v>
      </c>
      <c r="AJ19" s="2955" t="s">
        <v>3428</v>
      </c>
      <c r="AK19" s="2955" t="s">
        <v>3340</v>
      </c>
      <c r="AL19" s="2955" t="s">
        <v>3429</v>
      </c>
      <c r="AM19" s="2955" t="s">
        <v>3429</v>
      </c>
      <c r="AN19" s="2955" t="s">
        <v>3429</v>
      </c>
    </row>
    <row r="20" spans="1:40" ht="15.6" customHeight="1" x14ac:dyDescent="0.3">
      <c r="A20" s="2954" t="s">
        <v>2753</v>
      </c>
      <c r="B20" s="2955" t="s">
        <v>3360</v>
      </c>
      <c r="C20" s="2955" t="s">
        <v>3360</v>
      </c>
      <c r="D20" s="2955" t="s">
        <v>3360</v>
      </c>
      <c r="E20" s="2955" t="s">
        <v>3360</v>
      </c>
      <c r="F20" s="2955" t="s">
        <v>3360</v>
      </c>
      <c r="G20" s="2955" t="s">
        <v>3360</v>
      </c>
      <c r="H20" s="2955" t="s">
        <v>3360</v>
      </c>
      <c r="I20" s="2955" t="s">
        <v>3360</v>
      </c>
      <c r="J20" s="2955" t="s">
        <v>3360</v>
      </c>
      <c r="K20" s="2955" t="s">
        <v>3360</v>
      </c>
      <c r="L20" s="2955" t="s">
        <v>3362</v>
      </c>
      <c r="M20" s="2955" t="s">
        <v>3362</v>
      </c>
      <c r="N20" s="2955" t="s">
        <v>3362</v>
      </c>
      <c r="O20" s="2955" t="s">
        <v>3362</v>
      </c>
      <c r="P20" s="2955" t="s">
        <v>3362</v>
      </c>
      <c r="Q20" s="2955" t="s">
        <v>3362</v>
      </c>
      <c r="R20" s="2955" t="s">
        <v>3362</v>
      </c>
      <c r="S20" s="2955" t="s">
        <v>3365</v>
      </c>
      <c r="T20" s="2955" t="s">
        <v>3318</v>
      </c>
      <c r="U20" s="2955" t="s">
        <v>3430</v>
      </c>
      <c r="V20" s="2955" t="s">
        <v>3335</v>
      </c>
      <c r="W20" s="2955" t="s">
        <v>3430</v>
      </c>
      <c r="X20" s="2955" t="s">
        <v>3326</v>
      </c>
      <c r="Y20" s="2955" t="s">
        <v>3326</v>
      </c>
      <c r="Z20" s="2955" t="s">
        <v>3326</v>
      </c>
      <c r="AA20" s="2955" t="s">
        <v>3326</v>
      </c>
      <c r="AB20" s="2955" t="s">
        <v>3326</v>
      </c>
      <c r="AC20" s="2955" t="s">
        <v>3326</v>
      </c>
      <c r="AD20" s="2955" t="s">
        <v>3339</v>
      </c>
      <c r="AE20" s="2955" t="s">
        <v>3368</v>
      </c>
      <c r="AF20" s="2955" t="s">
        <v>3368</v>
      </c>
      <c r="AG20" s="2955" t="s">
        <v>3431</v>
      </c>
      <c r="AH20" s="2955" t="s">
        <v>3432</v>
      </c>
      <c r="AI20" s="2955" t="s">
        <v>3368</v>
      </c>
      <c r="AJ20" s="2955" t="s">
        <v>3432</v>
      </c>
      <c r="AK20" s="2955" t="s">
        <v>3368</v>
      </c>
      <c r="AL20" s="2955" t="s">
        <v>3433</v>
      </c>
      <c r="AM20" s="2955" t="s">
        <v>3434</v>
      </c>
      <c r="AN20" s="2955" t="s">
        <v>3433</v>
      </c>
    </row>
    <row r="21" spans="1:40" ht="15.6" customHeight="1" x14ac:dyDescent="0.3">
      <c r="A21" s="2954" t="s">
        <v>2754</v>
      </c>
      <c r="B21" s="2955" t="s">
        <v>3360</v>
      </c>
      <c r="C21" s="2955" t="s">
        <v>3318</v>
      </c>
      <c r="D21" s="2955" t="s">
        <v>3360</v>
      </c>
      <c r="E21" s="2955" t="s">
        <v>3360</v>
      </c>
      <c r="F21" s="2955" t="s">
        <v>3360</v>
      </c>
      <c r="G21" s="2955" t="s">
        <v>3360</v>
      </c>
      <c r="H21" s="2955" t="s">
        <v>3360</v>
      </c>
      <c r="I21" s="2955" t="s">
        <v>3360</v>
      </c>
      <c r="J21" s="2955" t="s">
        <v>3360</v>
      </c>
      <c r="K21" s="2955" t="s">
        <v>3360</v>
      </c>
      <c r="L21" s="2955" t="s">
        <v>3362</v>
      </c>
      <c r="M21" s="2955" t="s">
        <v>3362</v>
      </c>
      <c r="N21" s="2955" t="s">
        <v>3362</v>
      </c>
      <c r="O21" s="2955" t="s">
        <v>3362</v>
      </c>
      <c r="P21" s="2955" t="s">
        <v>3362</v>
      </c>
      <c r="Q21" s="2955" t="s">
        <v>3362</v>
      </c>
      <c r="R21" s="2955" t="s">
        <v>3362</v>
      </c>
      <c r="S21" s="2955" t="s">
        <v>3365</v>
      </c>
      <c r="T21" s="2955" t="s">
        <v>3335</v>
      </c>
      <c r="U21" s="2955" t="s">
        <v>3326</v>
      </c>
      <c r="V21" s="2955" t="s">
        <v>3335</v>
      </c>
      <c r="W21" s="2955" t="s">
        <v>3319</v>
      </c>
      <c r="X21" s="2955" t="s">
        <v>3335</v>
      </c>
      <c r="Y21" s="2955" t="s">
        <v>3335</v>
      </c>
      <c r="Z21" s="2955" t="s">
        <v>3335</v>
      </c>
      <c r="AA21" s="2955" t="s">
        <v>3326</v>
      </c>
      <c r="AB21" s="2955" t="s">
        <v>3326</v>
      </c>
      <c r="AC21" s="2955" t="s">
        <v>3326</v>
      </c>
      <c r="AD21" s="2955" t="s">
        <v>3435</v>
      </c>
      <c r="AE21" s="2955" t="s">
        <v>3436</v>
      </c>
      <c r="AF21" s="2955" t="s">
        <v>3437</v>
      </c>
      <c r="AG21" s="2955" t="s">
        <v>3436</v>
      </c>
      <c r="AH21" s="2955" t="s">
        <v>3438</v>
      </c>
      <c r="AI21" s="2955" t="s">
        <v>3439</v>
      </c>
      <c r="AJ21" s="2955" t="s">
        <v>3440</v>
      </c>
      <c r="AK21" s="2955" t="s">
        <v>3438</v>
      </c>
      <c r="AL21" s="2955" t="s">
        <v>3441</v>
      </c>
      <c r="AM21" s="2955" t="s">
        <v>3436</v>
      </c>
      <c r="AN21" s="2955" t="s">
        <v>3436</v>
      </c>
    </row>
    <row r="22" spans="1:40" ht="15" customHeight="1" x14ac:dyDescent="0.3">
      <c r="A22" s="2954" t="s">
        <v>2755</v>
      </c>
      <c r="B22" s="2955" t="s">
        <v>3360</v>
      </c>
      <c r="C22" s="2955" t="s">
        <v>3360</v>
      </c>
      <c r="D22" s="2955" t="s">
        <v>3318</v>
      </c>
      <c r="E22" s="2955" t="s">
        <v>3442</v>
      </c>
      <c r="F22" s="2955" t="s">
        <v>3360</v>
      </c>
      <c r="G22" s="2955" t="s">
        <v>3360</v>
      </c>
      <c r="H22" s="2955" t="s">
        <v>3360</v>
      </c>
      <c r="I22" s="2955" t="s">
        <v>3360</v>
      </c>
      <c r="J22" s="2955" t="s">
        <v>3360</v>
      </c>
      <c r="K22" s="2955" t="s">
        <v>3360</v>
      </c>
      <c r="L22" s="2955" t="s">
        <v>3388</v>
      </c>
      <c r="M22" s="2955" t="s">
        <v>3362</v>
      </c>
      <c r="N22" s="2955" t="s">
        <v>3362</v>
      </c>
      <c r="O22" s="2955" t="s">
        <v>3362</v>
      </c>
      <c r="P22" s="2955" t="s">
        <v>3362</v>
      </c>
      <c r="Q22" s="2955" t="s">
        <v>3362</v>
      </c>
      <c r="R22" s="2955" t="s">
        <v>3362</v>
      </c>
      <c r="S22" s="2955" t="s">
        <v>3365</v>
      </c>
      <c r="T22" s="2955" t="s">
        <v>3335</v>
      </c>
      <c r="U22" s="2955" t="s">
        <v>3326</v>
      </c>
      <c r="V22" s="2955" t="s">
        <v>3326</v>
      </c>
      <c r="W22" s="2955" t="s">
        <v>3326</v>
      </c>
      <c r="X22" s="2955" t="s">
        <v>3326</v>
      </c>
      <c r="Y22" s="2955" t="s">
        <v>3326</v>
      </c>
      <c r="Z22" s="2955" t="s">
        <v>3326</v>
      </c>
      <c r="AA22" s="2955" t="s">
        <v>3326</v>
      </c>
      <c r="AB22" s="2955" t="s">
        <v>3326</v>
      </c>
      <c r="AC22" s="2955" t="s">
        <v>3326</v>
      </c>
      <c r="AD22" s="2955" t="s">
        <v>3353</v>
      </c>
      <c r="AE22" s="2955" t="s">
        <v>3353</v>
      </c>
      <c r="AF22" s="2955" t="s">
        <v>3368</v>
      </c>
      <c r="AG22" s="2955" t="s">
        <v>3353</v>
      </c>
      <c r="AH22" s="2955" t="s">
        <v>3422</v>
      </c>
      <c r="AI22" s="2955" t="s">
        <v>3353</v>
      </c>
      <c r="AJ22" s="2955" t="s">
        <v>3422</v>
      </c>
      <c r="AK22" s="2955" t="s">
        <v>3422</v>
      </c>
      <c r="AL22" s="2955" t="s">
        <v>3353</v>
      </c>
      <c r="AM22" s="2955" t="s">
        <v>3443</v>
      </c>
      <c r="AN22" s="2955" t="s">
        <v>3422</v>
      </c>
    </row>
    <row r="23" spans="1:40" ht="15.6" customHeight="1" x14ac:dyDescent="0.3">
      <c r="A23" s="2954" t="s">
        <v>2756</v>
      </c>
      <c r="B23" s="2955" t="s">
        <v>3335</v>
      </c>
      <c r="C23" s="2955" t="s">
        <v>3412</v>
      </c>
      <c r="D23" s="2955" t="s">
        <v>3412</v>
      </c>
      <c r="E23" s="2955" t="s">
        <v>3444</v>
      </c>
      <c r="F23" s="2955" t="s">
        <v>3320</v>
      </c>
      <c r="G23" s="2955" t="s">
        <v>3320</v>
      </c>
      <c r="H23" s="2955" t="s">
        <v>3320</v>
      </c>
      <c r="I23" s="2955" t="s">
        <v>3320</v>
      </c>
      <c r="J23" s="2955" t="s">
        <v>3320</v>
      </c>
      <c r="K23" s="2955" t="s">
        <v>3320</v>
      </c>
      <c r="L23" s="2955" t="s">
        <v>3320</v>
      </c>
      <c r="M23" s="2955" t="s">
        <v>3320</v>
      </c>
      <c r="N23" s="2955" t="s">
        <v>3320</v>
      </c>
      <c r="O23" s="2955" t="s">
        <v>3445</v>
      </c>
      <c r="P23" s="2955" t="s">
        <v>3445</v>
      </c>
      <c r="Q23" s="2955" t="s">
        <v>3417</v>
      </c>
      <c r="R23" s="2955" t="s">
        <v>3446</v>
      </c>
      <c r="S23" s="2955" t="s">
        <v>3335</v>
      </c>
      <c r="T23" s="2955" t="s">
        <v>3320</v>
      </c>
      <c r="U23" s="2955" t="s">
        <v>3326</v>
      </c>
      <c r="V23" s="2955" t="s">
        <v>3326</v>
      </c>
      <c r="W23" s="2955" t="s">
        <v>3447</v>
      </c>
      <c r="X23" s="2955" t="s">
        <v>3447</v>
      </c>
      <c r="Y23" s="2955" t="s">
        <v>3447</v>
      </c>
      <c r="Z23" s="2955" t="s">
        <v>3447</v>
      </c>
      <c r="AA23" s="2955" t="s">
        <v>3447</v>
      </c>
      <c r="AB23" s="2955" t="s">
        <v>3447</v>
      </c>
      <c r="AC23" s="2955" t="s">
        <v>3447</v>
      </c>
      <c r="AD23" s="2955" t="s">
        <v>3448</v>
      </c>
      <c r="AE23" s="2955" t="s">
        <v>3448</v>
      </c>
      <c r="AF23" s="2955" t="s">
        <v>3448</v>
      </c>
      <c r="AG23" s="2955" t="s">
        <v>3448</v>
      </c>
      <c r="AH23" s="2955" t="s">
        <v>3340</v>
      </c>
      <c r="AI23" s="2955" t="s">
        <v>3449</v>
      </c>
      <c r="AJ23" s="2955" t="s">
        <v>3449</v>
      </c>
      <c r="AK23" s="2955" t="s">
        <v>3449</v>
      </c>
      <c r="AL23" s="2955" t="s">
        <v>3449</v>
      </c>
      <c r="AM23" s="2955" t="s">
        <v>3449</v>
      </c>
      <c r="AN23" s="2955" t="s">
        <v>3449</v>
      </c>
    </row>
    <row r="24" spans="1:40" ht="15.6" customHeight="1" x14ac:dyDescent="0.3">
      <c r="A24" s="2954" t="s">
        <v>2757</v>
      </c>
      <c r="B24" s="2955" t="s">
        <v>3361</v>
      </c>
      <c r="C24" s="2955" t="s">
        <v>3450</v>
      </c>
      <c r="D24" s="2955" t="s">
        <v>3318</v>
      </c>
      <c r="E24" s="2955" t="s">
        <v>3450</v>
      </c>
      <c r="F24" s="2955" t="s">
        <v>3450</v>
      </c>
      <c r="G24" s="2955" t="s">
        <v>3451</v>
      </c>
      <c r="H24" s="2955" t="s">
        <v>3450</v>
      </c>
      <c r="I24" s="2955" t="s">
        <v>3450</v>
      </c>
      <c r="J24" s="2955" t="s">
        <v>3363</v>
      </c>
      <c r="K24" s="2955" t="s">
        <v>3452</v>
      </c>
      <c r="L24" s="2955" t="s">
        <v>3453</v>
      </c>
      <c r="M24" s="2955" t="s">
        <v>3454</v>
      </c>
      <c r="N24" s="2955" t="s">
        <v>3335</v>
      </c>
      <c r="O24" s="2955" t="s">
        <v>3454</v>
      </c>
      <c r="P24" s="2955" t="s">
        <v>3454</v>
      </c>
      <c r="Q24" s="2955" t="s">
        <v>3454</v>
      </c>
      <c r="R24" s="2955" t="s">
        <v>3454</v>
      </c>
      <c r="S24" s="2955" t="s">
        <v>3455</v>
      </c>
      <c r="T24" s="2955" t="s">
        <v>3456</v>
      </c>
      <c r="U24" s="2955" t="s">
        <v>3360</v>
      </c>
      <c r="V24" s="2955" t="s">
        <v>3326</v>
      </c>
      <c r="W24" s="2955" t="s">
        <v>3326</v>
      </c>
      <c r="X24" s="2955" t="s">
        <v>3326</v>
      </c>
      <c r="Y24" s="2955" t="s">
        <v>3326</v>
      </c>
      <c r="Z24" s="2955" t="s">
        <v>3326</v>
      </c>
      <c r="AA24" s="2955" t="s">
        <v>3326</v>
      </c>
      <c r="AB24" s="2955" t="s">
        <v>3326</v>
      </c>
      <c r="AC24" s="2955" t="s">
        <v>3326</v>
      </c>
      <c r="AD24" s="2955" t="s">
        <v>3358</v>
      </c>
      <c r="AE24" s="2955" t="s">
        <v>3457</v>
      </c>
      <c r="AF24" s="2955" t="s">
        <v>3458</v>
      </c>
      <c r="AG24" s="2955">
        <v>7.85</v>
      </c>
      <c r="AH24" s="2955" t="s">
        <v>3459</v>
      </c>
      <c r="AI24" s="2955">
        <v>7.85</v>
      </c>
      <c r="AJ24" s="2955" t="s">
        <v>3367</v>
      </c>
      <c r="AK24" s="2955">
        <v>7.85</v>
      </c>
      <c r="AL24" s="2955">
        <v>7.85</v>
      </c>
      <c r="AM24" s="2955">
        <v>7.85</v>
      </c>
      <c r="AN24" s="2955" t="s">
        <v>3368</v>
      </c>
    </row>
    <row r="25" spans="1:40" ht="15.6" customHeight="1" x14ac:dyDescent="0.3">
      <c r="A25" s="2954" t="s">
        <v>2758</v>
      </c>
      <c r="B25" s="2955" t="s">
        <v>3360</v>
      </c>
      <c r="C25" s="2955" t="s">
        <v>3371</v>
      </c>
      <c r="D25" s="2955" t="s">
        <v>3360</v>
      </c>
      <c r="E25" s="2955" t="s">
        <v>3360</v>
      </c>
      <c r="F25" s="2955" t="s">
        <v>3371</v>
      </c>
      <c r="G25" s="2955" t="s">
        <v>3360</v>
      </c>
      <c r="H25" s="2955" t="s">
        <v>3333</v>
      </c>
      <c r="I25" s="2955" t="s">
        <v>3360</v>
      </c>
      <c r="J25" s="2955" t="s">
        <v>3360</v>
      </c>
      <c r="K25" s="2955" t="s">
        <v>3360</v>
      </c>
      <c r="L25" s="2955" t="s">
        <v>3362</v>
      </c>
      <c r="M25" s="2955" t="s">
        <v>3362</v>
      </c>
      <c r="N25" s="2955" t="s">
        <v>3362</v>
      </c>
      <c r="O25" s="2955" t="s">
        <v>3362</v>
      </c>
      <c r="P25" s="2955" t="s">
        <v>3362</v>
      </c>
      <c r="Q25" s="2955" t="s">
        <v>3362</v>
      </c>
      <c r="R25" s="2955" t="s">
        <v>3374</v>
      </c>
      <c r="S25" s="2955" t="s">
        <v>3365</v>
      </c>
      <c r="T25" s="2955" t="s">
        <v>3335</v>
      </c>
      <c r="U25" s="2955" t="s">
        <v>3326</v>
      </c>
      <c r="V25" s="2955" t="s">
        <v>3335</v>
      </c>
      <c r="W25" s="2955" t="s">
        <v>3460</v>
      </c>
      <c r="X25" s="2955" t="s">
        <v>3335</v>
      </c>
      <c r="Y25" s="2955" t="s">
        <v>3335</v>
      </c>
      <c r="Z25" s="2955" t="s">
        <v>3335</v>
      </c>
      <c r="AA25" s="2955" t="s">
        <v>3335</v>
      </c>
      <c r="AB25" s="2955" t="s">
        <v>3326</v>
      </c>
      <c r="AC25" s="2955" t="s">
        <v>3326</v>
      </c>
      <c r="AD25" s="2955" t="s">
        <v>3368</v>
      </c>
      <c r="AE25" s="2955" t="s">
        <v>3353</v>
      </c>
      <c r="AF25" s="2955" t="s">
        <v>3368</v>
      </c>
      <c r="AG25" s="2955" t="s">
        <v>3353</v>
      </c>
      <c r="AH25" s="2955" t="s">
        <v>3368</v>
      </c>
      <c r="AI25" s="2955" t="s">
        <v>3353</v>
      </c>
      <c r="AJ25" s="2955" t="s">
        <v>3368</v>
      </c>
      <c r="AK25" s="2955" t="s">
        <v>3461</v>
      </c>
      <c r="AL25" s="2955" t="s">
        <v>3368</v>
      </c>
      <c r="AM25" s="2955" t="s">
        <v>3368</v>
      </c>
      <c r="AN25" s="2955" t="s">
        <v>3368</v>
      </c>
    </row>
    <row r="26" spans="1:40" ht="15.6" customHeight="1" x14ac:dyDescent="0.3">
      <c r="A26" s="2954" t="s">
        <v>2759</v>
      </c>
      <c r="B26" s="2955" t="s">
        <v>3360</v>
      </c>
      <c r="C26" s="2955" t="s">
        <v>3360</v>
      </c>
      <c r="D26" s="2955" t="s">
        <v>3360</v>
      </c>
      <c r="E26" s="2955" t="s">
        <v>3360</v>
      </c>
      <c r="F26" s="2955" t="s">
        <v>3360</v>
      </c>
      <c r="G26" s="2955" t="s">
        <v>3360</v>
      </c>
      <c r="H26" s="2955" t="s">
        <v>3360</v>
      </c>
      <c r="I26" s="2955" t="s">
        <v>3360</v>
      </c>
      <c r="J26" s="2955" t="s">
        <v>3360</v>
      </c>
      <c r="K26" s="2955" t="s">
        <v>3360</v>
      </c>
      <c r="L26" s="2955" t="s">
        <v>3362</v>
      </c>
      <c r="M26" s="2955" t="s">
        <v>3362</v>
      </c>
      <c r="N26" s="2955" t="s">
        <v>3362</v>
      </c>
      <c r="O26" s="2955" t="s">
        <v>3362</v>
      </c>
      <c r="P26" s="2955" t="s">
        <v>3362</v>
      </c>
      <c r="Q26" s="2955" t="s">
        <v>3362</v>
      </c>
      <c r="R26" s="2955" t="s">
        <v>3362</v>
      </c>
      <c r="S26" s="2955" t="s">
        <v>3365</v>
      </c>
      <c r="T26" s="2955" t="s">
        <v>3335</v>
      </c>
      <c r="U26" s="2955" t="s">
        <v>3335</v>
      </c>
      <c r="V26" s="2955" t="s">
        <v>3335</v>
      </c>
      <c r="W26" s="2955" t="s">
        <v>3335</v>
      </c>
      <c r="X26" s="2955" t="s">
        <v>3335</v>
      </c>
      <c r="Y26" s="2955" t="s">
        <v>3335</v>
      </c>
      <c r="Z26" s="2955" t="s">
        <v>3326</v>
      </c>
      <c r="AA26" s="2955" t="s">
        <v>3326</v>
      </c>
      <c r="AB26" s="2955" t="s">
        <v>3326</v>
      </c>
      <c r="AC26" s="2955" t="s">
        <v>3326</v>
      </c>
      <c r="AD26" s="2955" t="s">
        <v>3368</v>
      </c>
      <c r="AE26" s="2955" t="s">
        <v>3368</v>
      </c>
      <c r="AF26" s="2955" t="s">
        <v>3368</v>
      </c>
      <c r="AG26" s="2955" t="s">
        <v>3368</v>
      </c>
      <c r="AH26" s="2955" t="s">
        <v>3368</v>
      </c>
      <c r="AI26" s="2955" t="s">
        <v>3368</v>
      </c>
      <c r="AJ26" s="2955" t="s">
        <v>3462</v>
      </c>
      <c r="AK26" s="2955" t="s">
        <v>3368</v>
      </c>
      <c r="AL26" s="2955" t="s">
        <v>3382</v>
      </c>
      <c r="AM26" s="2955" t="s">
        <v>3368</v>
      </c>
      <c r="AN26" s="2955" t="s">
        <v>3368</v>
      </c>
    </row>
    <row r="27" spans="1:40" ht="15.6" customHeight="1" x14ac:dyDescent="0.3">
      <c r="A27" s="2954" t="s">
        <v>2760</v>
      </c>
      <c r="B27" s="2955" t="s">
        <v>3360</v>
      </c>
      <c r="C27" s="2955" t="s">
        <v>3371</v>
      </c>
      <c r="D27" s="2955" t="s">
        <v>3360</v>
      </c>
      <c r="E27" s="2955" t="s">
        <v>3360</v>
      </c>
      <c r="F27" s="2955" t="s">
        <v>3360</v>
      </c>
      <c r="G27" s="2955" t="s">
        <v>3442</v>
      </c>
      <c r="H27" s="2955" t="s">
        <v>3360</v>
      </c>
      <c r="I27" s="2955" t="s">
        <v>3463</v>
      </c>
      <c r="J27" s="2955" t="s">
        <v>3442</v>
      </c>
      <c r="K27" s="2955" t="s">
        <v>3442</v>
      </c>
      <c r="L27" s="2955" t="s">
        <v>3388</v>
      </c>
      <c r="M27" s="2955" t="s">
        <v>3464</v>
      </c>
      <c r="N27" s="2955" t="s">
        <v>3362</v>
      </c>
      <c r="O27" s="2955" t="s">
        <v>3362</v>
      </c>
      <c r="P27" s="2955" t="s">
        <v>3465</v>
      </c>
      <c r="Q27" s="2955" t="s">
        <v>3362</v>
      </c>
      <c r="R27" s="2955" t="s">
        <v>3466</v>
      </c>
      <c r="S27" s="2955" t="s">
        <v>3467</v>
      </c>
      <c r="T27" s="2955" t="s">
        <v>3468</v>
      </c>
      <c r="U27" s="2955" t="s">
        <v>3326</v>
      </c>
      <c r="V27" s="2955" t="s">
        <v>3335</v>
      </c>
      <c r="W27" s="2955" t="s">
        <v>3326</v>
      </c>
      <c r="X27" s="2955" t="s">
        <v>3326</v>
      </c>
      <c r="Y27" s="2955" t="s">
        <v>3326</v>
      </c>
      <c r="Z27" s="2955" t="s">
        <v>3326</v>
      </c>
      <c r="AA27" s="2955" t="s">
        <v>3326</v>
      </c>
      <c r="AB27" s="2955" t="s">
        <v>3326</v>
      </c>
      <c r="AC27" s="2955" t="s">
        <v>3326</v>
      </c>
      <c r="AD27" s="2955" t="s">
        <v>3340</v>
      </c>
      <c r="AE27" s="2955" t="s">
        <v>3469</v>
      </c>
      <c r="AF27" s="2955" t="s">
        <v>3368</v>
      </c>
      <c r="AG27" s="2955" t="s">
        <v>3469</v>
      </c>
      <c r="AH27" s="2955" t="s">
        <v>3368</v>
      </c>
      <c r="AI27" s="2955" t="s">
        <v>3368</v>
      </c>
      <c r="AJ27" s="2955" t="s">
        <v>3368</v>
      </c>
      <c r="AK27" s="2955" t="s">
        <v>3368</v>
      </c>
      <c r="AL27" s="2955" t="s">
        <v>3340</v>
      </c>
      <c r="AM27" s="2955" t="s">
        <v>3368</v>
      </c>
      <c r="AN27" s="2955" t="s">
        <v>3429</v>
      </c>
    </row>
    <row r="28" spans="1:40" ht="15.6" customHeight="1" x14ac:dyDescent="0.3">
      <c r="A28" s="2954" t="s">
        <v>2761</v>
      </c>
      <c r="B28" s="2955" t="s">
        <v>3360</v>
      </c>
      <c r="C28" s="2955" t="s">
        <v>3318</v>
      </c>
      <c r="D28" s="2955" t="s">
        <v>3318</v>
      </c>
      <c r="E28" s="2955" t="s">
        <v>3318</v>
      </c>
      <c r="F28" s="2955" t="s">
        <v>3318</v>
      </c>
      <c r="G28" s="2955" t="s">
        <v>3360</v>
      </c>
      <c r="H28" s="2955" t="s">
        <v>3360</v>
      </c>
      <c r="I28" s="2955" t="s">
        <v>3442</v>
      </c>
      <c r="J28" s="2955" t="s">
        <v>3360</v>
      </c>
      <c r="K28" s="2955" t="s">
        <v>3360</v>
      </c>
      <c r="L28" s="2955" t="s">
        <v>3362</v>
      </c>
      <c r="M28" s="2955" t="s">
        <v>3362</v>
      </c>
      <c r="N28" s="2955" t="s">
        <v>3362</v>
      </c>
      <c r="O28" s="2955" t="s">
        <v>3362</v>
      </c>
      <c r="P28" s="2955" t="s">
        <v>3362</v>
      </c>
      <c r="Q28" s="2955" t="s">
        <v>3362</v>
      </c>
      <c r="R28" s="2955" t="s">
        <v>3362</v>
      </c>
      <c r="S28" s="2955" t="s">
        <v>3365</v>
      </c>
      <c r="T28" s="2955" t="s">
        <v>3335</v>
      </c>
      <c r="U28" s="2955" t="s">
        <v>3314</v>
      </c>
      <c r="V28" s="2955" t="s">
        <v>3335</v>
      </c>
      <c r="W28" s="2955" t="s">
        <v>3335</v>
      </c>
      <c r="X28" s="2955" t="s">
        <v>3314</v>
      </c>
      <c r="Y28" s="2955" t="s">
        <v>3335</v>
      </c>
      <c r="Z28" s="2955" t="s">
        <v>3335</v>
      </c>
      <c r="AA28" s="2955" t="s">
        <v>3314</v>
      </c>
      <c r="AB28" s="2955" t="s">
        <v>3326</v>
      </c>
      <c r="AC28" s="2955" t="s">
        <v>3326</v>
      </c>
      <c r="AD28" s="2955" t="s">
        <v>3340</v>
      </c>
      <c r="AE28" s="2955" t="s">
        <v>3429</v>
      </c>
      <c r="AF28" s="2955" t="s">
        <v>3353</v>
      </c>
      <c r="AG28" s="2955" t="s">
        <v>3353</v>
      </c>
      <c r="AH28" s="2955" t="s">
        <v>3382</v>
      </c>
      <c r="AI28" s="2955" t="s">
        <v>3353</v>
      </c>
      <c r="AJ28" s="2955" t="s">
        <v>3339</v>
      </c>
      <c r="AK28" s="2955" t="s">
        <v>3429</v>
      </c>
      <c r="AL28" s="2955" t="s">
        <v>3353</v>
      </c>
      <c r="AM28" s="2955" t="s">
        <v>3429</v>
      </c>
      <c r="AN28" s="2955" t="s">
        <v>3470</v>
      </c>
    </row>
    <row r="29" spans="1:40" ht="15.6" customHeight="1" x14ac:dyDescent="0.3">
      <c r="A29" s="2954" t="s">
        <v>2762</v>
      </c>
      <c r="B29" s="2955" t="s">
        <v>3370</v>
      </c>
      <c r="C29" s="2955" t="s">
        <v>3370</v>
      </c>
      <c r="D29" s="2955" t="s">
        <v>3370</v>
      </c>
      <c r="E29" s="2955" t="s">
        <v>3370</v>
      </c>
      <c r="F29" s="2955" t="s">
        <v>3370</v>
      </c>
      <c r="G29" s="2955" t="s">
        <v>3370</v>
      </c>
      <c r="H29" s="2955" t="s">
        <v>3370</v>
      </c>
      <c r="I29" s="2955" t="s">
        <v>3370</v>
      </c>
      <c r="J29" s="2955" t="s">
        <v>3370</v>
      </c>
      <c r="K29" s="2955" t="s">
        <v>3370</v>
      </c>
      <c r="L29" s="2955" t="s">
        <v>3372</v>
      </c>
      <c r="M29" s="2955" t="s">
        <v>3372</v>
      </c>
      <c r="N29" s="2955" t="s">
        <v>3372</v>
      </c>
      <c r="O29" s="2955" t="s">
        <v>3372</v>
      </c>
      <c r="P29" s="2955" t="s">
        <v>3372</v>
      </c>
      <c r="Q29" s="2955" t="s">
        <v>3372</v>
      </c>
      <c r="R29" s="2955" t="s">
        <v>3362</v>
      </c>
      <c r="S29" s="2955" t="s">
        <v>3365</v>
      </c>
      <c r="T29" s="2955" t="s">
        <v>3335</v>
      </c>
      <c r="U29" s="2955" t="s">
        <v>3326</v>
      </c>
      <c r="V29" s="2955" t="s">
        <v>3335</v>
      </c>
      <c r="W29" s="2955" t="s">
        <v>3335</v>
      </c>
      <c r="X29" s="2955" t="s">
        <v>3335</v>
      </c>
      <c r="Y29" s="2955" t="s">
        <v>3335</v>
      </c>
      <c r="Z29" s="2955" t="s">
        <v>3326</v>
      </c>
      <c r="AA29" s="2955" t="s">
        <v>3326</v>
      </c>
      <c r="AB29" s="2955" t="s">
        <v>3326</v>
      </c>
      <c r="AC29" s="2955" t="s">
        <v>3326</v>
      </c>
      <c r="AD29" s="2955" t="s">
        <v>3368</v>
      </c>
      <c r="AE29" s="2955" t="s">
        <v>3340</v>
      </c>
      <c r="AF29" s="2955" t="s">
        <v>3368</v>
      </c>
      <c r="AG29" s="2955" t="s">
        <v>3471</v>
      </c>
      <c r="AH29" s="2955" t="s">
        <v>3472</v>
      </c>
      <c r="AI29" s="2955" t="s">
        <v>3473</v>
      </c>
      <c r="AJ29" s="2955" t="s">
        <v>3340</v>
      </c>
      <c r="AK29" s="2955" t="s">
        <v>3368</v>
      </c>
      <c r="AL29" s="2955">
        <v>7.85</v>
      </c>
      <c r="AM29" s="2955" t="s">
        <v>3382</v>
      </c>
      <c r="AN29" s="2955" t="s">
        <v>3368</v>
      </c>
    </row>
    <row r="30" spans="1:40" ht="15.6" customHeight="1" x14ac:dyDescent="0.3">
      <c r="A30" s="2954" t="s">
        <v>2763</v>
      </c>
      <c r="B30" s="2955" t="s">
        <v>3360</v>
      </c>
      <c r="C30" s="2955" t="s">
        <v>3318</v>
      </c>
      <c r="D30" s="2955" t="s">
        <v>3360</v>
      </c>
      <c r="E30" s="2955" t="s">
        <v>3360</v>
      </c>
      <c r="F30" s="2955" t="s">
        <v>3360</v>
      </c>
      <c r="G30" s="2955" t="s">
        <v>3320</v>
      </c>
      <c r="H30" s="2955" t="s">
        <v>3360</v>
      </c>
      <c r="I30" s="2955" t="s">
        <v>3360</v>
      </c>
      <c r="J30" s="2955" t="s">
        <v>3360</v>
      </c>
      <c r="K30" s="2955" t="s">
        <v>3360</v>
      </c>
      <c r="L30" s="2955" t="s">
        <v>3388</v>
      </c>
      <c r="M30" s="2955" t="s">
        <v>3362</v>
      </c>
      <c r="N30" s="2955" t="s">
        <v>3362</v>
      </c>
      <c r="O30" s="2955" t="s">
        <v>3421</v>
      </c>
      <c r="P30" s="2955" t="s">
        <v>3362</v>
      </c>
      <c r="Q30" s="2955" t="s">
        <v>3362</v>
      </c>
      <c r="R30" s="2955" t="s">
        <v>3362</v>
      </c>
      <c r="S30" s="2955" t="s">
        <v>3474</v>
      </c>
      <c r="T30" s="2955" t="s">
        <v>3326</v>
      </c>
      <c r="U30" s="2955" t="s">
        <v>3475</v>
      </c>
      <c r="V30" s="2955" t="s">
        <v>3326</v>
      </c>
      <c r="W30" s="2955" t="s">
        <v>3326</v>
      </c>
      <c r="X30" s="2955" t="s">
        <v>3326</v>
      </c>
      <c r="Y30" s="2955" t="s">
        <v>3326</v>
      </c>
      <c r="Z30" s="2955" t="s">
        <v>3326</v>
      </c>
      <c r="AA30" s="2955" t="s">
        <v>3326</v>
      </c>
      <c r="AB30" s="2955" t="s">
        <v>3326</v>
      </c>
      <c r="AC30" s="2955" t="s">
        <v>3326</v>
      </c>
      <c r="AD30" s="2955" t="s">
        <v>3368</v>
      </c>
      <c r="AE30" s="2955" t="s">
        <v>3476</v>
      </c>
      <c r="AF30" s="2955" t="s">
        <v>3477</v>
      </c>
      <c r="AG30" s="2955" t="s">
        <v>3340</v>
      </c>
      <c r="AH30" s="2955" t="s">
        <v>3340</v>
      </c>
      <c r="AI30" s="2955" t="s">
        <v>3368</v>
      </c>
      <c r="AJ30" s="2955" t="s">
        <v>3478</v>
      </c>
      <c r="AK30" s="2955" t="s">
        <v>3340</v>
      </c>
      <c r="AL30" s="2955" t="s">
        <v>3368</v>
      </c>
      <c r="AM30" s="2955" t="s">
        <v>3368</v>
      </c>
      <c r="AN30" s="2955" t="s">
        <v>3479</v>
      </c>
    </row>
    <row r="31" spans="1:40" ht="15.6" customHeight="1" x14ac:dyDescent="0.3">
      <c r="A31" s="2954" t="s">
        <v>2764</v>
      </c>
      <c r="B31" s="2955" t="s">
        <v>3318</v>
      </c>
      <c r="C31" s="2955" t="s">
        <v>3318</v>
      </c>
      <c r="D31" s="2955" t="s">
        <v>3318</v>
      </c>
      <c r="E31" s="2955" t="s">
        <v>3318</v>
      </c>
      <c r="F31" s="2955" t="s">
        <v>3318</v>
      </c>
      <c r="G31" s="2955" t="s">
        <v>3318</v>
      </c>
      <c r="H31" s="2955" t="s">
        <v>3318</v>
      </c>
      <c r="I31" s="2955" t="s">
        <v>3318</v>
      </c>
      <c r="J31" s="2955" t="s">
        <v>3318</v>
      </c>
      <c r="K31" s="2955" t="s">
        <v>3318</v>
      </c>
      <c r="L31" s="2955" t="s">
        <v>3323</v>
      </c>
      <c r="M31" s="2955" t="s">
        <v>3323</v>
      </c>
      <c r="N31" s="2955" t="s">
        <v>3323</v>
      </c>
      <c r="O31" s="2955" t="s">
        <v>3323</v>
      </c>
      <c r="P31" s="2955" t="s">
        <v>3323</v>
      </c>
      <c r="Q31" s="2955" t="s">
        <v>3323</v>
      </c>
      <c r="R31" s="2955" t="s">
        <v>3312</v>
      </c>
      <c r="S31" s="2955" t="s">
        <v>3324</v>
      </c>
      <c r="T31" s="2955" t="s">
        <v>3314</v>
      </c>
      <c r="U31" s="2955" t="s">
        <v>3326</v>
      </c>
      <c r="V31" s="2955" t="s">
        <v>3314</v>
      </c>
      <c r="W31" s="2955" t="s">
        <v>3314</v>
      </c>
      <c r="X31" s="2955" t="s">
        <v>3314</v>
      </c>
      <c r="Y31" s="2955" t="s">
        <v>3314</v>
      </c>
      <c r="Z31" s="2955" t="s">
        <v>3314</v>
      </c>
      <c r="AA31" s="2955" t="s">
        <v>3314</v>
      </c>
      <c r="AB31" s="2955" t="s">
        <v>3314</v>
      </c>
      <c r="AC31" s="2955" t="s">
        <v>3314</v>
      </c>
      <c r="AD31" s="2955" t="s">
        <v>3429</v>
      </c>
      <c r="AE31" s="2955" t="s">
        <v>3480</v>
      </c>
      <c r="AF31" s="2955" t="s">
        <v>3340</v>
      </c>
      <c r="AG31" s="2955" t="s">
        <v>3429</v>
      </c>
      <c r="AH31" s="2955" t="s">
        <v>3429</v>
      </c>
      <c r="AI31" s="2955" t="s">
        <v>3429</v>
      </c>
      <c r="AJ31" s="2955" t="s">
        <v>3429</v>
      </c>
      <c r="AK31" s="2955" t="s">
        <v>3428</v>
      </c>
      <c r="AL31" s="2955" t="s">
        <v>3429</v>
      </c>
      <c r="AM31" s="2955" t="s">
        <v>3429</v>
      </c>
      <c r="AN31" s="2955" t="s">
        <v>3429</v>
      </c>
    </row>
    <row r="32" spans="1:40" ht="16.149999999999999" customHeight="1" x14ac:dyDescent="0.3">
      <c r="A32" s="2956" t="s">
        <v>3481</v>
      </c>
      <c r="B32" s="2955" t="s">
        <v>3318</v>
      </c>
      <c r="C32" s="2955" t="s">
        <v>3318</v>
      </c>
      <c r="D32" s="2955" t="s">
        <v>3360</v>
      </c>
      <c r="E32" s="2955" t="s">
        <v>3318</v>
      </c>
      <c r="F32" s="2955" t="s">
        <v>3318</v>
      </c>
      <c r="G32" s="2955" t="s">
        <v>3318</v>
      </c>
      <c r="H32" s="2955" t="s">
        <v>3318</v>
      </c>
      <c r="I32" s="2955" t="s">
        <v>3360</v>
      </c>
      <c r="J32" s="2955" t="s">
        <v>3360</v>
      </c>
      <c r="K32" s="2955" t="s">
        <v>3360</v>
      </c>
      <c r="L32" s="2955" t="s">
        <v>3466</v>
      </c>
      <c r="M32" s="2955" t="s">
        <v>3362</v>
      </c>
      <c r="N32" s="2955" t="s">
        <v>3482</v>
      </c>
      <c r="O32" s="2955" t="s">
        <v>3362</v>
      </c>
      <c r="P32" s="2955" t="s">
        <v>3362</v>
      </c>
      <c r="Q32" s="2955" t="s">
        <v>3362</v>
      </c>
      <c r="R32" s="2955" t="s">
        <v>3362</v>
      </c>
      <c r="S32" s="2955" t="s">
        <v>3333</v>
      </c>
      <c r="T32" s="2955" t="s">
        <v>3417</v>
      </c>
      <c r="U32" s="2955" t="s">
        <v>3335</v>
      </c>
      <c r="V32" s="2955" t="s">
        <v>3335</v>
      </c>
      <c r="W32" s="2955" t="s">
        <v>3326</v>
      </c>
      <c r="X32" s="2955" t="s">
        <v>3326</v>
      </c>
      <c r="Y32" s="2955" t="s">
        <v>3326</v>
      </c>
      <c r="Z32" s="2955" t="s">
        <v>3326</v>
      </c>
      <c r="AA32" s="2955" t="s">
        <v>3326</v>
      </c>
      <c r="AB32" s="2955" t="s">
        <v>3326</v>
      </c>
      <c r="AC32" s="2955" t="s">
        <v>3326</v>
      </c>
      <c r="AD32" s="2955" t="s">
        <v>3368</v>
      </c>
      <c r="AE32" s="2955" t="s">
        <v>3368</v>
      </c>
      <c r="AF32" s="2955" t="s">
        <v>3340</v>
      </c>
      <c r="AG32" s="2955" t="s">
        <v>3340</v>
      </c>
      <c r="AH32" s="2955" t="s">
        <v>3483</v>
      </c>
      <c r="AI32" s="2955" t="s">
        <v>3484</v>
      </c>
      <c r="AJ32" s="2955" t="s">
        <v>3368</v>
      </c>
      <c r="AK32" s="2955" t="s">
        <v>3344</v>
      </c>
      <c r="AL32" s="2955" t="s">
        <v>3368</v>
      </c>
      <c r="AM32" s="2955" t="s">
        <v>3483</v>
      </c>
      <c r="AN32" s="2955" t="s">
        <v>3429</v>
      </c>
    </row>
    <row r="33" spans="1:40" x14ac:dyDescent="0.3">
      <c r="A33" s="2956" t="s">
        <v>3485</v>
      </c>
      <c r="B33" s="2955" t="s">
        <v>3486</v>
      </c>
      <c r="C33" s="2955" t="s">
        <v>3487</v>
      </c>
      <c r="D33" s="2955" t="s">
        <v>3487</v>
      </c>
      <c r="E33" s="2955" t="s">
        <v>3488</v>
      </c>
      <c r="F33" s="2955" t="s">
        <v>3489</v>
      </c>
      <c r="G33" s="2955" t="s">
        <v>3488</v>
      </c>
      <c r="H33" s="2955" t="s">
        <v>3490</v>
      </c>
      <c r="I33" s="2955" t="s">
        <v>3491</v>
      </c>
      <c r="J33" s="2955" t="s">
        <v>3488</v>
      </c>
      <c r="K33" s="2955" t="s">
        <v>3488</v>
      </c>
      <c r="L33" s="2955" t="s">
        <v>3351</v>
      </c>
      <c r="M33" s="2955" t="s">
        <v>3492</v>
      </c>
      <c r="N33" s="2955" t="s">
        <v>3351</v>
      </c>
      <c r="O33" s="2955" t="s">
        <v>3493</v>
      </c>
      <c r="P33" s="2955" t="s">
        <v>3494</v>
      </c>
      <c r="Q33" s="2955" t="s">
        <v>3493</v>
      </c>
      <c r="R33" s="2955" t="s">
        <v>3312</v>
      </c>
      <c r="S33" s="2955" t="s">
        <v>3495</v>
      </c>
      <c r="T33" s="2955" t="s">
        <v>3429</v>
      </c>
      <c r="U33" s="2955" t="s">
        <v>3496</v>
      </c>
      <c r="V33" s="2955" t="s">
        <v>3429</v>
      </c>
      <c r="W33" s="2955" t="s">
        <v>3497</v>
      </c>
      <c r="X33" s="2955" t="s">
        <v>3429</v>
      </c>
      <c r="Y33" s="2955" t="s">
        <v>3429</v>
      </c>
      <c r="Z33" s="2955" t="s">
        <v>3429</v>
      </c>
      <c r="AA33" s="2955" t="s">
        <v>3429</v>
      </c>
      <c r="AB33" s="2955" t="s">
        <v>3429</v>
      </c>
      <c r="AC33" s="2955" t="s">
        <v>3429</v>
      </c>
      <c r="AD33" s="2955" t="s">
        <v>3429</v>
      </c>
      <c r="AE33" s="2955" t="s">
        <v>3480</v>
      </c>
      <c r="AF33" s="2955" t="s">
        <v>3340</v>
      </c>
      <c r="AG33" s="2955" t="s">
        <v>3429</v>
      </c>
      <c r="AH33" s="2955" t="s">
        <v>3429</v>
      </c>
      <c r="AI33" s="2955" t="s">
        <v>3429</v>
      </c>
      <c r="AJ33" s="2955" t="s">
        <v>3429</v>
      </c>
      <c r="AK33" s="2955" t="s">
        <v>3428</v>
      </c>
      <c r="AL33" s="2955" t="s">
        <v>3429</v>
      </c>
      <c r="AM33" s="2955" t="s">
        <v>3429</v>
      </c>
      <c r="AN33" s="2955" t="s">
        <v>3429</v>
      </c>
    </row>
    <row r="34" spans="1:40" x14ac:dyDescent="0.3">
      <c r="A34" s="2954" t="s">
        <v>2767</v>
      </c>
      <c r="B34" s="2955" t="s">
        <v>3498</v>
      </c>
      <c r="C34" s="2955" t="s">
        <v>3498</v>
      </c>
      <c r="D34" s="2955" t="s">
        <v>3499</v>
      </c>
      <c r="E34" s="2955" t="s">
        <v>3498</v>
      </c>
      <c r="F34" s="2955" t="s">
        <v>3498</v>
      </c>
      <c r="G34" s="2955" t="s">
        <v>3498</v>
      </c>
      <c r="H34" s="2955" t="s">
        <v>3500</v>
      </c>
      <c r="I34" s="2955" t="s">
        <v>3498</v>
      </c>
      <c r="J34" s="2955" t="s">
        <v>3498</v>
      </c>
      <c r="K34" s="2955" t="s">
        <v>3498</v>
      </c>
      <c r="L34" s="2955" t="s">
        <v>3501</v>
      </c>
      <c r="M34" s="2955" t="s">
        <v>3501</v>
      </c>
      <c r="N34" s="2955" t="s">
        <v>3501</v>
      </c>
      <c r="O34" s="2955" t="s">
        <v>3501</v>
      </c>
      <c r="P34" s="2955" t="s">
        <v>3501</v>
      </c>
      <c r="Q34" s="2955" t="s">
        <v>3501</v>
      </c>
      <c r="R34" s="2955" t="s">
        <v>3501</v>
      </c>
      <c r="S34" s="2955" t="s">
        <v>3502</v>
      </c>
      <c r="T34" s="2955" t="s">
        <v>3503</v>
      </c>
      <c r="U34" s="2955" t="s">
        <v>3503</v>
      </c>
      <c r="V34" s="2955" t="s">
        <v>3503</v>
      </c>
      <c r="W34" s="2955" t="s">
        <v>3477</v>
      </c>
      <c r="X34" s="2955" t="s">
        <v>3504</v>
      </c>
      <c r="Y34" s="2955" t="s">
        <v>3503</v>
      </c>
      <c r="Z34" s="2955" t="s">
        <v>3503</v>
      </c>
      <c r="AA34" s="2955" t="s">
        <v>3503</v>
      </c>
      <c r="AB34" s="2955" t="s">
        <v>3503</v>
      </c>
      <c r="AC34" s="2955" t="s">
        <v>3335</v>
      </c>
      <c r="AD34" s="2955" t="s">
        <v>3368</v>
      </c>
      <c r="AE34" s="2955" t="s">
        <v>3505</v>
      </c>
      <c r="AF34" s="2955" t="s">
        <v>3368</v>
      </c>
      <c r="AG34" s="2955" t="s">
        <v>3368</v>
      </c>
      <c r="AH34" s="2955" t="s">
        <v>3368</v>
      </c>
      <c r="AI34" s="2955" t="s">
        <v>3368</v>
      </c>
      <c r="AJ34" s="2955" t="s">
        <v>3344</v>
      </c>
      <c r="AK34" s="2955" t="s">
        <v>3368</v>
      </c>
      <c r="AL34" s="2955" t="s">
        <v>3368</v>
      </c>
      <c r="AM34" s="2955" t="s">
        <v>3368</v>
      </c>
      <c r="AN34" s="2955" t="s">
        <v>3368</v>
      </c>
    </row>
    <row r="35" spans="1:40" s="2944" customFormat="1" x14ac:dyDescent="0.3">
      <c r="A35" s="2953" t="s">
        <v>2768</v>
      </c>
      <c r="B35" s="2952" t="s">
        <v>3420</v>
      </c>
      <c r="C35" s="2952" t="s">
        <v>3420</v>
      </c>
      <c r="D35" s="2952" t="s">
        <v>3399</v>
      </c>
      <c r="E35" s="2952" t="s">
        <v>3370</v>
      </c>
      <c r="F35" s="2952" t="s">
        <v>3370</v>
      </c>
      <c r="G35" s="2952" t="s">
        <v>3370</v>
      </c>
      <c r="H35" s="2952" t="s">
        <v>3399</v>
      </c>
      <c r="I35" s="2952" t="s">
        <v>3406</v>
      </c>
      <c r="J35" s="2952" t="s">
        <v>3416</v>
      </c>
      <c r="K35" s="2952" t="s">
        <v>3399</v>
      </c>
      <c r="L35" s="2952" t="s">
        <v>3399</v>
      </c>
      <c r="M35" s="2952" t="s">
        <v>3364</v>
      </c>
      <c r="N35" s="2952" t="s">
        <v>3506</v>
      </c>
      <c r="O35" s="2952" t="s">
        <v>3364</v>
      </c>
      <c r="P35" s="2952" t="s">
        <v>3364</v>
      </c>
      <c r="Q35" s="2952" t="s">
        <v>3372</v>
      </c>
      <c r="R35" s="2952" t="s">
        <v>3360</v>
      </c>
      <c r="S35" s="2952" t="s">
        <v>3373</v>
      </c>
      <c r="T35" s="2952" t="s">
        <v>3374</v>
      </c>
      <c r="U35" s="2952" t="s">
        <v>3401</v>
      </c>
      <c r="V35" s="2952" t="s">
        <v>3374</v>
      </c>
      <c r="W35" s="2952" t="s">
        <v>3326</v>
      </c>
      <c r="X35" s="2952" t="s">
        <v>3326</v>
      </c>
      <c r="Y35" s="2952" t="s">
        <v>3326</v>
      </c>
      <c r="Z35" s="2952" t="s">
        <v>3326</v>
      </c>
      <c r="AA35" s="2952" t="s">
        <v>3326</v>
      </c>
      <c r="AB35" s="2952" t="s">
        <v>3326</v>
      </c>
      <c r="AC35" s="2952" t="s">
        <v>3326</v>
      </c>
      <c r="AD35" s="2952" t="s">
        <v>3339</v>
      </c>
      <c r="AE35" s="2952" t="s">
        <v>3382</v>
      </c>
      <c r="AF35" s="2952" t="s">
        <v>3339</v>
      </c>
      <c r="AG35" s="2952" t="s">
        <v>3382</v>
      </c>
      <c r="AH35" s="2952" t="s">
        <v>3339</v>
      </c>
      <c r="AI35" s="2952" t="s">
        <v>3507</v>
      </c>
      <c r="AJ35" s="2952" t="s">
        <v>3339</v>
      </c>
      <c r="AK35" s="2952" t="s">
        <v>3459</v>
      </c>
      <c r="AL35" s="2952" t="s">
        <v>3368</v>
      </c>
      <c r="AM35" s="2952" t="s">
        <v>3339</v>
      </c>
      <c r="AN35" s="2952" t="s">
        <v>3366</v>
      </c>
    </row>
    <row r="36" spans="1:40" s="2944" customFormat="1" x14ac:dyDescent="0.3">
      <c r="A36" s="2953" t="s">
        <v>2769</v>
      </c>
      <c r="B36" s="2952" t="s">
        <v>3360</v>
      </c>
      <c r="C36" s="2952" t="s">
        <v>3360</v>
      </c>
      <c r="D36" s="2952" t="s">
        <v>3360</v>
      </c>
      <c r="E36" s="2952" t="s">
        <v>3360</v>
      </c>
      <c r="F36" s="2952" t="s">
        <v>3360</v>
      </c>
      <c r="G36" s="2952" t="s">
        <v>3360</v>
      </c>
      <c r="H36" s="2952" t="s">
        <v>3360</v>
      </c>
      <c r="I36" s="2952" t="s">
        <v>3360</v>
      </c>
      <c r="J36" s="2952" t="s">
        <v>3360</v>
      </c>
      <c r="K36" s="2952" t="s">
        <v>3360</v>
      </c>
      <c r="L36" s="2952" t="s">
        <v>3362</v>
      </c>
      <c r="M36" s="2952" t="s">
        <v>3362</v>
      </c>
      <c r="N36" s="2952" t="s">
        <v>3362</v>
      </c>
      <c r="O36" s="2952" t="s">
        <v>3362</v>
      </c>
      <c r="P36" s="2952" t="s">
        <v>3362</v>
      </c>
      <c r="Q36" s="2952" t="s">
        <v>3421</v>
      </c>
      <c r="R36" s="2952" t="s">
        <v>3362</v>
      </c>
      <c r="S36" s="2952" t="s">
        <v>3365</v>
      </c>
      <c r="T36" s="2952" t="s">
        <v>3335</v>
      </c>
      <c r="U36" s="2952" t="s">
        <v>3335</v>
      </c>
      <c r="V36" s="2952" t="s">
        <v>3335</v>
      </c>
      <c r="W36" s="2952" t="s">
        <v>3335</v>
      </c>
      <c r="X36" s="2952" t="s">
        <v>3335</v>
      </c>
      <c r="Y36" s="2952" t="s">
        <v>3326</v>
      </c>
      <c r="Z36" s="2952" t="s">
        <v>3326</v>
      </c>
      <c r="AA36" s="2952" t="s">
        <v>3326</v>
      </c>
      <c r="AB36" s="2952" t="s">
        <v>3326</v>
      </c>
      <c r="AC36" s="2952" t="s">
        <v>3326</v>
      </c>
      <c r="AD36" s="2952" t="s">
        <v>3477</v>
      </c>
      <c r="AE36" s="2952" t="s">
        <v>3340</v>
      </c>
      <c r="AF36" s="2952" t="s">
        <v>3368</v>
      </c>
      <c r="AG36" s="2952" t="s">
        <v>3368</v>
      </c>
      <c r="AH36" s="2952" t="s">
        <v>3368</v>
      </c>
      <c r="AI36" s="2952" t="s">
        <v>3368</v>
      </c>
      <c r="AJ36" s="2952" t="s">
        <v>3368</v>
      </c>
      <c r="AK36" s="2952" t="s">
        <v>3368</v>
      </c>
      <c r="AL36" s="2952" t="s">
        <v>3368</v>
      </c>
      <c r="AM36" s="2952" t="s">
        <v>3368</v>
      </c>
      <c r="AN36" s="2952" t="s">
        <v>3368</v>
      </c>
    </row>
    <row r="37" spans="1:40" s="2944" customFormat="1" x14ac:dyDescent="0.3">
      <c r="A37" s="2953" t="s">
        <v>2770</v>
      </c>
      <c r="B37" s="2952" t="s">
        <v>3304</v>
      </c>
      <c r="C37" s="2952" t="s">
        <v>3304</v>
      </c>
      <c r="D37" s="2952" t="s">
        <v>3304</v>
      </c>
      <c r="E37" s="2952" t="s">
        <v>3508</v>
      </c>
      <c r="F37" s="2952" t="s">
        <v>3508</v>
      </c>
      <c r="G37" s="2952" t="s">
        <v>3508</v>
      </c>
      <c r="H37" s="2952" t="s">
        <v>3508</v>
      </c>
      <c r="I37" s="2952" t="s">
        <v>3509</v>
      </c>
      <c r="J37" s="2952" t="s">
        <v>3508</v>
      </c>
      <c r="K37" s="2952" t="s">
        <v>3510</v>
      </c>
      <c r="L37" s="2952" t="s">
        <v>3335</v>
      </c>
      <c r="M37" s="2952" t="s">
        <v>3335</v>
      </c>
      <c r="N37" s="2952" t="s">
        <v>3335</v>
      </c>
      <c r="O37" s="2952" t="s">
        <v>3335</v>
      </c>
      <c r="P37" s="2952" t="s">
        <v>3511</v>
      </c>
      <c r="Q37" s="2952" t="s">
        <v>3511</v>
      </c>
      <c r="R37" s="2952" t="s">
        <v>3460</v>
      </c>
      <c r="S37" s="2952" t="s">
        <v>3512</v>
      </c>
      <c r="T37" s="2952" t="s">
        <v>3513</v>
      </c>
      <c r="U37" s="2952" t="s">
        <v>3326</v>
      </c>
      <c r="V37" s="2952" t="s">
        <v>3326</v>
      </c>
      <c r="W37" s="2952" t="s">
        <v>3326</v>
      </c>
      <c r="X37" s="2952" t="s">
        <v>3326</v>
      </c>
      <c r="Y37" s="2952" t="s">
        <v>3326</v>
      </c>
      <c r="Z37" s="2952" t="s">
        <v>3326</v>
      </c>
      <c r="AA37" s="2952" t="s">
        <v>3326</v>
      </c>
      <c r="AB37" s="2952" t="s">
        <v>3326</v>
      </c>
      <c r="AC37" s="2952" t="s">
        <v>3326</v>
      </c>
      <c r="AD37" s="2952" t="s">
        <v>3514</v>
      </c>
      <c r="AE37" s="2952" t="s">
        <v>3515</v>
      </c>
      <c r="AF37" s="2952" t="s">
        <v>3516</v>
      </c>
      <c r="AG37" s="2952" t="s">
        <v>3393</v>
      </c>
      <c r="AH37" s="2952" t="s">
        <v>3517</v>
      </c>
      <c r="AI37" s="2952" t="s">
        <v>3428</v>
      </c>
      <c r="AJ37" s="2952" t="s">
        <v>3518</v>
      </c>
      <c r="AK37" s="2952" t="s">
        <v>3393</v>
      </c>
      <c r="AL37" s="2952" t="s">
        <v>3428</v>
      </c>
      <c r="AM37" s="2952" t="s">
        <v>3519</v>
      </c>
      <c r="AN37" s="2952" t="s">
        <v>3520</v>
      </c>
    </row>
    <row r="38" spans="1:40" x14ac:dyDescent="0.3">
      <c r="A38" s="2954" t="s">
        <v>2771</v>
      </c>
      <c r="B38" s="2955" t="s">
        <v>3304</v>
      </c>
      <c r="C38" s="2955" t="s">
        <v>3304</v>
      </c>
      <c r="D38" s="2955" t="s">
        <v>3304</v>
      </c>
      <c r="E38" s="2955" t="s">
        <v>3508</v>
      </c>
      <c r="F38" s="2955" t="s">
        <v>3508</v>
      </c>
      <c r="G38" s="2955" t="s">
        <v>3508</v>
      </c>
      <c r="H38" s="2955" t="s">
        <v>3508</v>
      </c>
      <c r="I38" s="2955" t="s">
        <v>3304</v>
      </c>
      <c r="J38" s="2955" t="s">
        <v>3508</v>
      </c>
      <c r="K38" s="2955" t="s">
        <v>3510</v>
      </c>
      <c r="L38" s="2955" t="s">
        <v>3335</v>
      </c>
      <c r="M38" s="2955" t="s">
        <v>3335</v>
      </c>
      <c r="N38" s="2955" t="s">
        <v>3335</v>
      </c>
      <c r="O38" s="2955" t="s">
        <v>3335</v>
      </c>
      <c r="P38" s="2955" t="s">
        <v>3511</v>
      </c>
      <c r="Q38" s="2955" t="s">
        <v>3511</v>
      </c>
      <c r="R38" s="2955" t="s">
        <v>3460</v>
      </c>
      <c r="S38" s="2955" t="s">
        <v>3512</v>
      </c>
      <c r="T38" s="2955" t="s">
        <v>3446</v>
      </c>
      <c r="U38" s="2955" t="s">
        <v>3326</v>
      </c>
      <c r="V38" s="2955" t="s">
        <v>3326</v>
      </c>
      <c r="W38" s="2955" t="s">
        <v>3326</v>
      </c>
      <c r="X38" s="2955" t="s">
        <v>3326</v>
      </c>
      <c r="Y38" s="2955" t="s">
        <v>3326</v>
      </c>
      <c r="Z38" s="2955" t="s">
        <v>3326</v>
      </c>
      <c r="AA38" s="2955" t="s">
        <v>3326</v>
      </c>
      <c r="AB38" s="2955" t="s">
        <v>3326</v>
      </c>
      <c r="AC38" s="2955" t="s">
        <v>3326</v>
      </c>
      <c r="AD38" s="2955" t="s">
        <v>3521</v>
      </c>
      <c r="AE38" s="2955" t="s">
        <v>3522</v>
      </c>
      <c r="AF38" s="2955" t="s">
        <v>3340</v>
      </c>
      <c r="AG38" s="2955" t="s">
        <v>3523</v>
      </c>
      <c r="AH38" s="2955" t="s">
        <v>3422</v>
      </c>
      <c r="AI38" s="2955" t="s">
        <v>3428</v>
      </c>
      <c r="AJ38" s="2955" t="s">
        <v>3524</v>
      </c>
      <c r="AK38" s="2955" t="s">
        <v>3525</v>
      </c>
      <c r="AL38" s="2955" t="s">
        <v>3526</v>
      </c>
      <c r="AM38" s="2955" t="s">
        <v>3519</v>
      </c>
      <c r="AN38" s="2955" t="s">
        <v>3520</v>
      </c>
    </row>
    <row r="39" spans="1:40" s="2957" customFormat="1" x14ac:dyDescent="0.3">
      <c r="A39" s="2956" t="s">
        <v>3527</v>
      </c>
      <c r="B39" s="2955" t="s">
        <v>3528</v>
      </c>
      <c r="C39" s="2955" t="s">
        <v>3529</v>
      </c>
      <c r="D39" s="2955" t="s">
        <v>3530</v>
      </c>
      <c r="E39" s="2955" t="s">
        <v>3531</v>
      </c>
      <c r="F39" s="2955" t="s">
        <v>3530</v>
      </c>
      <c r="G39" s="2955" t="s">
        <v>3532</v>
      </c>
      <c r="H39" s="2955" t="s">
        <v>3533</v>
      </c>
      <c r="I39" s="2955" t="s">
        <v>3534</v>
      </c>
      <c r="J39" s="2955" t="s">
        <v>3535</v>
      </c>
      <c r="K39" s="2955" t="s">
        <v>3510</v>
      </c>
      <c r="L39" s="2955" t="s">
        <v>3536</v>
      </c>
      <c r="M39" s="2955" t="s">
        <v>3537</v>
      </c>
      <c r="N39" s="2955" t="s">
        <v>3536</v>
      </c>
      <c r="O39" s="2955" t="s">
        <v>3538</v>
      </c>
      <c r="P39" s="2955" t="s">
        <v>3539</v>
      </c>
      <c r="Q39" s="2955" t="s">
        <v>3540</v>
      </c>
      <c r="R39" s="2955" t="s">
        <v>3541</v>
      </c>
      <c r="S39" s="2955" t="s">
        <v>3542</v>
      </c>
      <c r="T39" s="2955" t="s">
        <v>3353</v>
      </c>
      <c r="U39" s="2955" t="s">
        <v>3477</v>
      </c>
      <c r="V39" s="2955" t="s">
        <v>3422</v>
      </c>
      <c r="W39" s="2955" t="s">
        <v>3393</v>
      </c>
      <c r="X39" s="2955" t="s">
        <v>3422</v>
      </c>
      <c r="Y39" s="2955" t="s">
        <v>3393</v>
      </c>
      <c r="Z39" s="2955" t="s">
        <v>3422</v>
      </c>
      <c r="AA39" s="2955" t="s">
        <v>3543</v>
      </c>
      <c r="AB39" s="2955" t="s">
        <v>3544</v>
      </c>
      <c r="AC39" s="2955" t="s">
        <v>3545</v>
      </c>
      <c r="AD39" s="2955" t="s">
        <v>3546</v>
      </c>
      <c r="AE39" s="2955" t="s">
        <v>3547</v>
      </c>
      <c r="AF39" s="2955" t="s">
        <v>3340</v>
      </c>
      <c r="AG39" s="2955" t="s">
        <v>3548</v>
      </c>
      <c r="AH39" s="2955" t="s">
        <v>3422</v>
      </c>
      <c r="AI39" s="2955" t="s">
        <v>3422</v>
      </c>
      <c r="AJ39" s="2955" t="s">
        <v>3549</v>
      </c>
      <c r="AK39" s="2955" t="s">
        <v>3525</v>
      </c>
      <c r="AL39" s="2955" t="s">
        <v>3550</v>
      </c>
      <c r="AM39" s="2955" t="s">
        <v>3547</v>
      </c>
      <c r="AN39" s="2955" t="s">
        <v>3514</v>
      </c>
    </row>
    <row r="40" spans="1:40" s="2957" customFormat="1" x14ac:dyDescent="0.3">
      <c r="A40" s="2956" t="s">
        <v>3551</v>
      </c>
      <c r="B40" s="2955" t="s">
        <v>3304</v>
      </c>
      <c r="C40" s="2955" t="s">
        <v>3304</v>
      </c>
      <c r="D40" s="2955" t="s">
        <v>3304</v>
      </c>
      <c r="E40" s="2955" t="s">
        <v>3304</v>
      </c>
      <c r="F40" s="2955" t="s">
        <v>3508</v>
      </c>
      <c r="G40" s="2955" t="s">
        <v>3508</v>
      </c>
      <c r="H40" s="2955" t="s">
        <v>3508</v>
      </c>
      <c r="I40" s="2955" t="s">
        <v>3304</v>
      </c>
      <c r="J40" s="2955" t="s">
        <v>3508</v>
      </c>
      <c r="K40" s="2955" t="s">
        <v>3414</v>
      </c>
      <c r="L40" s="2955" t="s">
        <v>3335</v>
      </c>
      <c r="M40" s="2955" t="s">
        <v>3335</v>
      </c>
      <c r="N40" s="2955" t="s">
        <v>3335</v>
      </c>
      <c r="O40" s="2955" t="s">
        <v>3335</v>
      </c>
      <c r="P40" s="2955" t="s">
        <v>3335</v>
      </c>
      <c r="Q40" s="2955" t="s">
        <v>3511</v>
      </c>
      <c r="R40" s="2955" t="s">
        <v>3335</v>
      </c>
      <c r="S40" s="2955" t="s">
        <v>3512</v>
      </c>
      <c r="T40" s="2955" t="s">
        <v>3446</v>
      </c>
      <c r="U40" s="2955" t="s">
        <v>3326</v>
      </c>
      <c r="V40" s="2955" t="s">
        <v>3326</v>
      </c>
      <c r="W40" s="2955" t="s">
        <v>3447</v>
      </c>
      <c r="X40" s="2955" t="s">
        <v>3326</v>
      </c>
      <c r="Y40" s="2955" t="s">
        <v>3447</v>
      </c>
      <c r="Z40" s="2955" t="s">
        <v>3326</v>
      </c>
      <c r="AA40" s="2955" t="s">
        <v>3326</v>
      </c>
      <c r="AB40" s="2955" t="s">
        <v>3326</v>
      </c>
      <c r="AC40" s="2955" t="s">
        <v>3326</v>
      </c>
      <c r="AD40" s="2955" t="s">
        <v>3342</v>
      </c>
      <c r="AE40" s="2955" t="s">
        <v>3552</v>
      </c>
      <c r="AF40" s="2955" t="s">
        <v>3484</v>
      </c>
      <c r="AG40" s="2955" t="s">
        <v>3553</v>
      </c>
      <c r="AH40" s="2955" t="s">
        <v>3340</v>
      </c>
      <c r="AI40" s="2955" t="s">
        <v>3554</v>
      </c>
      <c r="AJ40" s="2955" t="s">
        <v>3484</v>
      </c>
      <c r="AK40" s="2955" t="s">
        <v>3484</v>
      </c>
      <c r="AL40" s="2955" t="s">
        <v>3520</v>
      </c>
      <c r="AM40" s="2955" t="s">
        <v>3555</v>
      </c>
      <c r="AN40" s="2955" t="s">
        <v>3556</v>
      </c>
    </row>
    <row r="41" spans="1:40" s="2959" customFormat="1" ht="15.6" customHeight="1" x14ac:dyDescent="0.3">
      <c r="A41" s="2958" t="s">
        <v>3557</v>
      </c>
      <c r="B41" s="2955" t="s">
        <v>3370</v>
      </c>
      <c r="C41" s="2955" t="s">
        <v>3370</v>
      </c>
      <c r="D41" s="2955" t="s">
        <v>3370</v>
      </c>
      <c r="E41" s="2955" t="s">
        <v>3370</v>
      </c>
      <c r="F41" s="2955" t="s">
        <v>3370</v>
      </c>
      <c r="G41" s="2955" t="s">
        <v>3558</v>
      </c>
      <c r="H41" s="2955" t="s">
        <v>3370</v>
      </c>
      <c r="I41" s="2955" t="s">
        <v>3370</v>
      </c>
      <c r="J41" s="2955" t="s">
        <v>3370</v>
      </c>
      <c r="K41" s="2955" t="s">
        <v>3370</v>
      </c>
      <c r="L41" s="2955" t="s">
        <v>3372</v>
      </c>
      <c r="M41" s="2955" t="s">
        <v>3372</v>
      </c>
      <c r="N41" s="2955" t="s">
        <v>3372</v>
      </c>
      <c r="O41" s="2955" t="s">
        <v>3372</v>
      </c>
      <c r="P41" s="2955" t="s">
        <v>3372</v>
      </c>
      <c r="Q41" s="2955" t="s">
        <v>3372</v>
      </c>
      <c r="R41" s="2955" t="s">
        <v>3372</v>
      </c>
      <c r="S41" s="2955" t="s">
        <v>3512</v>
      </c>
      <c r="T41" s="2955" t="s">
        <v>3374</v>
      </c>
      <c r="U41" s="2955" t="s">
        <v>3326</v>
      </c>
      <c r="V41" s="2955" t="s">
        <v>3374</v>
      </c>
      <c r="W41" s="2955" t="s">
        <v>3374</v>
      </c>
      <c r="X41" s="2955" t="s">
        <v>3374</v>
      </c>
      <c r="Y41" s="2955" t="s">
        <v>3374</v>
      </c>
      <c r="Z41" s="2955" t="s">
        <v>3374</v>
      </c>
      <c r="AA41" s="2955" t="s">
        <v>3374</v>
      </c>
      <c r="AB41" s="2955" t="s">
        <v>3374</v>
      </c>
      <c r="AC41" s="2955" t="s">
        <v>3326</v>
      </c>
      <c r="AD41" s="2955" t="s">
        <v>3339</v>
      </c>
      <c r="AE41" s="2955" t="s">
        <v>3339</v>
      </c>
      <c r="AF41" s="2955" t="s">
        <v>3339</v>
      </c>
      <c r="AG41" s="2955" t="s">
        <v>3339</v>
      </c>
      <c r="AH41" s="2955" t="s">
        <v>3339</v>
      </c>
      <c r="AI41" s="2955" t="s">
        <v>3339</v>
      </c>
      <c r="AJ41" s="2955" t="s">
        <v>3339</v>
      </c>
      <c r="AK41" s="2955" t="s">
        <v>3339</v>
      </c>
      <c r="AL41" s="2955" t="s">
        <v>3339</v>
      </c>
      <c r="AM41" s="2955" t="s">
        <v>3339</v>
      </c>
      <c r="AN41" s="2955" t="s">
        <v>3418</v>
      </c>
    </row>
    <row r="42" spans="1:40" s="2959" customFormat="1" ht="15.6" customHeight="1" x14ac:dyDescent="0.3">
      <c r="A42" s="2958" t="s">
        <v>3559</v>
      </c>
      <c r="B42" s="2955" t="s">
        <v>3370</v>
      </c>
      <c r="C42" s="2955" t="s">
        <v>3370</v>
      </c>
      <c r="D42" s="2955" t="s">
        <v>3370</v>
      </c>
      <c r="E42" s="2955" t="s">
        <v>3360</v>
      </c>
      <c r="F42" s="2955" t="s">
        <v>3360</v>
      </c>
      <c r="G42" s="2955" t="s">
        <v>3370</v>
      </c>
      <c r="H42" s="2955" t="s">
        <v>3370</v>
      </c>
      <c r="I42" s="2955" t="s">
        <v>3560</v>
      </c>
      <c r="J42" s="2955" t="s">
        <v>3370</v>
      </c>
      <c r="K42" s="2955" t="s">
        <v>3370</v>
      </c>
      <c r="L42" s="2955" t="s">
        <v>3372</v>
      </c>
      <c r="M42" s="2955" t="s">
        <v>3372</v>
      </c>
      <c r="N42" s="2955" t="s">
        <v>3372</v>
      </c>
      <c r="O42" s="2955" t="s">
        <v>3372</v>
      </c>
      <c r="P42" s="2955" t="s">
        <v>3372</v>
      </c>
      <c r="Q42" s="2955" t="s">
        <v>3372</v>
      </c>
      <c r="R42" s="2955" t="s">
        <v>3365</v>
      </c>
      <c r="S42" s="2955" t="s">
        <v>3373</v>
      </c>
      <c r="T42" s="2955" t="s">
        <v>3374</v>
      </c>
      <c r="U42" s="2955" t="s">
        <v>3374</v>
      </c>
      <c r="V42" s="2955" t="s">
        <v>3417</v>
      </c>
      <c r="W42" s="2955" t="s">
        <v>3374</v>
      </c>
      <c r="X42" s="2955" t="s">
        <v>3374</v>
      </c>
      <c r="Y42" s="2955" t="s">
        <v>3374</v>
      </c>
      <c r="Z42" s="2955" t="s">
        <v>3374</v>
      </c>
      <c r="AA42" s="2955" t="s">
        <v>3326</v>
      </c>
      <c r="AB42" s="2955" t="s">
        <v>3326</v>
      </c>
      <c r="AC42" s="2955" t="s">
        <v>3326</v>
      </c>
      <c r="AD42" s="2955" t="s">
        <v>3342</v>
      </c>
      <c r="AE42" s="2955" t="s">
        <v>3458</v>
      </c>
      <c r="AF42" s="2955" t="s">
        <v>3458</v>
      </c>
      <c r="AG42" s="2955" t="s">
        <v>3339</v>
      </c>
      <c r="AH42" s="2955" t="s">
        <v>3561</v>
      </c>
      <c r="AI42" s="2955" t="s">
        <v>3562</v>
      </c>
      <c r="AJ42" s="2955" t="s">
        <v>3561</v>
      </c>
      <c r="AK42" s="2955" t="s">
        <v>3339</v>
      </c>
      <c r="AL42" s="2955" t="s">
        <v>3339</v>
      </c>
      <c r="AM42" s="2955" t="s">
        <v>3339</v>
      </c>
      <c r="AN42" s="2955" t="s">
        <v>3339</v>
      </c>
    </row>
    <row r="43" spans="1:40" s="2959" customFormat="1" ht="15.6" customHeight="1" x14ac:dyDescent="0.3">
      <c r="A43" s="2958" t="s">
        <v>3563</v>
      </c>
      <c r="B43" s="2955" t="s">
        <v>3304</v>
      </c>
      <c r="C43" s="2955" t="s">
        <v>3304</v>
      </c>
      <c r="D43" s="2955" t="s">
        <v>3304</v>
      </c>
      <c r="E43" s="2955" t="s">
        <v>3304</v>
      </c>
      <c r="F43" s="2955" t="s">
        <v>3304</v>
      </c>
      <c r="G43" s="2955" t="s">
        <v>3304</v>
      </c>
      <c r="H43" s="2955" t="s">
        <v>3304</v>
      </c>
      <c r="I43" s="2955" t="s">
        <v>3304</v>
      </c>
      <c r="J43" s="2955" t="s">
        <v>3304</v>
      </c>
      <c r="K43" s="2955" t="s">
        <v>3414</v>
      </c>
      <c r="L43" s="2955" t="s">
        <v>3335</v>
      </c>
      <c r="M43" s="2955" t="s">
        <v>3335</v>
      </c>
      <c r="N43" s="2955" t="s">
        <v>3335</v>
      </c>
      <c r="O43" s="2955" t="s">
        <v>3335</v>
      </c>
      <c r="P43" s="2955" t="s">
        <v>3335</v>
      </c>
      <c r="Q43" s="2955" t="s">
        <v>3335</v>
      </c>
      <c r="R43" s="2955" t="s">
        <v>3335</v>
      </c>
      <c r="S43" s="2955" t="s">
        <v>3335</v>
      </c>
      <c r="T43" s="2955" t="s">
        <v>3446</v>
      </c>
      <c r="U43" s="2955" t="s">
        <v>3447</v>
      </c>
      <c r="V43" s="2955" t="s">
        <v>3447</v>
      </c>
      <c r="W43" s="2955" t="s">
        <v>3447</v>
      </c>
      <c r="X43" s="2955" t="s">
        <v>3447</v>
      </c>
      <c r="Y43" s="2955" t="s">
        <v>3447</v>
      </c>
      <c r="Z43" s="2955" t="s">
        <v>3326</v>
      </c>
      <c r="AA43" s="2955" t="s">
        <v>3326</v>
      </c>
      <c r="AB43" s="2955" t="s">
        <v>3326</v>
      </c>
      <c r="AC43" s="2955" t="s">
        <v>3326</v>
      </c>
      <c r="AD43" s="2955" t="s">
        <v>3339</v>
      </c>
      <c r="AE43" s="2955" t="s">
        <v>3339</v>
      </c>
      <c r="AF43" s="2955" t="s">
        <v>3339</v>
      </c>
      <c r="AG43" s="2955" t="s">
        <v>3339</v>
      </c>
      <c r="AH43" s="2955" t="s">
        <v>3340</v>
      </c>
      <c r="AI43" s="2955" t="s">
        <v>3339</v>
      </c>
      <c r="AJ43" s="2955" t="s">
        <v>3339</v>
      </c>
      <c r="AK43" s="2955" t="s">
        <v>3339</v>
      </c>
      <c r="AL43" s="2955" t="s">
        <v>3520</v>
      </c>
      <c r="AM43" s="2955" t="s">
        <v>3339</v>
      </c>
      <c r="AN43" s="2955" t="s">
        <v>3556</v>
      </c>
    </row>
    <row r="44" spans="1:40" s="2959" customFormat="1" x14ac:dyDescent="0.3">
      <c r="A44" s="2956" t="s">
        <v>3564</v>
      </c>
      <c r="B44" s="2955" t="s">
        <v>3565</v>
      </c>
      <c r="C44" s="2955" t="s">
        <v>1320</v>
      </c>
      <c r="D44" s="2955" t="s">
        <v>1320</v>
      </c>
      <c r="E44" s="2955" t="s">
        <v>3566</v>
      </c>
      <c r="F44" s="2955" t="s">
        <v>3567</v>
      </c>
      <c r="G44" s="2955" t="s">
        <v>3566</v>
      </c>
      <c r="H44" s="2955" t="s">
        <v>3568</v>
      </c>
      <c r="I44" s="2955" t="s">
        <v>3569</v>
      </c>
      <c r="J44" s="2955" t="s">
        <v>3442</v>
      </c>
      <c r="K44" s="2955" t="s">
        <v>3565</v>
      </c>
      <c r="L44" s="2955" t="s">
        <v>3570</v>
      </c>
      <c r="M44" s="2955" t="s">
        <v>3571</v>
      </c>
      <c r="N44" s="2955" t="s">
        <v>3572</v>
      </c>
      <c r="O44" s="2955" t="s">
        <v>3573</v>
      </c>
      <c r="P44" s="2955" t="s">
        <v>3574</v>
      </c>
      <c r="Q44" s="2955" t="s">
        <v>3575</v>
      </c>
      <c r="R44" s="2955" t="s">
        <v>3576</v>
      </c>
      <c r="S44" s="2955" t="s">
        <v>3577</v>
      </c>
      <c r="T44" s="2955" t="s">
        <v>3339</v>
      </c>
      <c r="U44" s="2955" t="s">
        <v>3340</v>
      </c>
      <c r="V44" s="2955" t="s">
        <v>3393</v>
      </c>
      <c r="W44" s="2955" t="s">
        <v>3555</v>
      </c>
      <c r="X44" s="2955" t="s">
        <v>3340</v>
      </c>
      <c r="Y44" s="2955" t="s">
        <v>3339</v>
      </c>
      <c r="Z44" s="2955" t="s">
        <v>3517</v>
      </c>
      <c r="AA44" s="2955" t="s">
        <v>3553</v>
      </c>
      <c r="AB44" s="2955" t="s">
        <v>3484</v>
      </c>
      <c r="AC44" s="2955" t="s">
        <v>3339</v>
      </c>
      <c r="AD44" s="2955" t="s">
        <v>3484</v>
      </c>
      <c r="AE44" s="2955" t="s">
        <v>3552</v>
      </c>
      <c r="AF44" s="2955" t="s">
        <v>3484</v>
      </c>
      <c r="AG44" s="2955" t="s">
        <v>3553</v>
      </c>
      <c r="AH44" s="2955" t="s">
        <v>3484</v>
      </c>
      <c r="AI44" s="2955" t="s">
        <v>3554</v>
      </c>
      <c r="AJ44" s="2955" t="s">
        <v>3484</v>
      </c>
      <c r="AK44" s="2955" t="s">
        <v>3484</v>
      </c>
      <c r="AL44" s="2955" t="s">
        <v>3578</v>
      </c>
      <c r="AM44" s="2955" t="s">
        <v>3555</v>
      </c>
      <c r="AN44" s="2955" t="s">
        <v>3579</v>
      </c>
    </row>
    <row r="45" spans="1:40" ht="15.6" customHeight="1" x14ac:dyDescent="0.3">
      <c r="A45" s="2954" t="s">
        <v>2778</v>
      </c>
      <c r="B45" s="2955" t="s">
        <v>3360</v>
      </c>
      <c r="C45" s="2955" t="s">
        <v>3360</v>
      </c>
      <c r="D45" s="2955" t="s">
        <v>3360</v>
      </c>
      <c r="E45" s="2955" t="s">
        <v>3360</v>
      </c>
      <c r="F45" s="2955" t="s">
        <v>3442</v>
      </c>
      <c r="G45" s="2955" t="s">
        <v>3580</v>
      </c>
      <c r="H45" s="2955" t="s">
        <v>3420</v>
      </c>
      <c r="I45" s="2955" t="s">
        <v>3581</v>
      </c>
      <c r="J45" s="2955" t="s">
        <v>3420</v>
      </c>
      <c r="K45" s="2955" t="s">
        <v>3360</v>
      </c>
      <c r="L45" s="2955" t="s">
        <v>3407</v>
      </c>
      <c r="M45" s="2955" t="s">
        <v>3362</v>
      </c>
      <c r="N45" s="2955" t="s">
        <v>3334</v>
      </c>
      <c r="O45" s="2955" t="s">
        <v>3362</v>
      </c>
      <c r="P45" s="2955" t="s">
        <v>3334</v>
      </c>
      <c r="Q45" s="2955" t="s">
        <v>3334</v>
      </c>
      <c r="R45" s="2955" t="s">
        <v>3334</v>
      </c>
      <c r="S45" s="2955" t="s">
        <v>3335</v>
      </c>
      <c r="T45" s="2955" t="s">
        <v>3513</v>
      </c>
      <c r="U45" s="2955" t="s">
        <v>3326</v>
      </c>
      <c r="V45" s="2955" t="s">
        <v>3326</v>
      </c>
      <c r="W45" s="2955" t="s">
        <v>3326</v>
      </c>
      <c r="X45" s="2955" t="s">
        <v>3326</v>
      </c>
      <c r="Y45" s="2955" t="s">
        <v>3326</v>
      </c>
      <c r="Z45" s="2955" t="s">
        <v>3326</v>
      </c>
      <c r="AA45" s="2955" t="s">
        <v>3326</v>
      </c>
      <c r="AB45" s="2955" t="s">
        <v>3326</v>
      </c>
      <c r="AC45" s="2955" t="s">
        <v>3326</v>
      </c>
      <c r="AD45" s="2955" t="s">
        <v>3340</v>
      </c>
      <c r="AE45" s="2955" t="s">
        <v>3340</v>
      </c>
      <c r="AF45" s="2955" t="s">
        <v>3340</v>
      </c>
      <c r="AG45" s="2955" t="s">
        <v>3462</v>
      </c>
      <c r="AH45" s="2955" t="s">
        <v>3426</v>
      </c>
      <c r="AI45" s="2955" t="s">
        <v>3368</v>
      </c>
      <c r="AJ45" s="2955" t="s">
        <v>3368</v>
      </c>
      <c r="AK45" s="2955" t="s">
        <v>3582</v>
      </c>
      <c r="AL45" s="2955" t="s">
        <v>3340</v>
      </c>
      <c r="AM45" s="2955" t="s">
        <v>3368</v>
      </c>
      <c r="AN45" s="2955" t="s">
        <v>3340</v>
      </c>
    </row>
    <row r="46" spans="1:40" ht="15.6" customHeight="1" x14ac:dyDescent="0.3">
      <c r="A46" s="2954" t="s">
        <v>2779</v>
      </c>
      <c r="B46" s="2955" t="s">
        <v>3413</v>
      </c>
      <c r="C46" s="2955" t="s">
        <v>3360</v>
      </c>
      <c r="D46" s="2955" t="s">
        <v>3362</v>
      </c>
      <c r="E46" s="2955" t="s">
        <v>3360</v>
      </c>
      <c r="F46" s="2955" t="s">
        <v>3360</v>
      </c>
      <c r="G46" s="2955" t="s">
        <v>3360</v>
      </c>
      <c r="H46" s="2955" t="s">
        <v>3413</v>
      </c>
      <c r="I46" s="2955" t="s">
        <v>3362</v>
      </c>
      <c r="J46" s="2955" t="s">
        <v>3360</v>
      </c>
      <c r="K46" s="2955" t="s">
        <v>3360</v>
      </c>
      <c r="L46" s="2955" t="s">
        <v>3362</v>
      </c>
      <c r="M46" s="2955" t="s">
        <v>3362</v>
      </c>
      <c r="N46" s="2955" t="s">
        <v>3412</v>
      </c>
      <c r="O46" s="2955" t="s">
        <v>3362</v>
      </c>
      <c r="P46" s="2955" t="s">
        <v>3482</v>
      </c>
      <c r="Q46" s="2955" t="s">
        <v>3583</v>
      </c>
      <c r="R46" s="2955" t="s">
        <v>3362</v>
      </c>
      <c r="S46" s="2955" t="s">
        <v>3365</v>
      </c>
      <c r="T46" s="2955" t="s">
        <v>3584</v>
      </c>
      <c r="U46" s="2955" t="s">
        <v>3335</v>
      </c>
      <c r="V46" s="2955" t="s">
        <v>3326</v>
      </c>
      <c r="W46" s="2955" t="s">
        <v>3326</v>
      </c>
      <c r="X46" s="2955" t="s">
        <v>3326</v>
      </c>
      <c r="Y46" s="2955" t="s">
        <v>3326</v>
      </c>
      <c r="Z46" s="2955" t="s">
        <v>3326</v>
      </c>
      <c r="AA46" s="2955" t="s">
        <v>3326</v>
      </c>
      <c r="AB46" s="2955" t="s">
        <v>3326</v>
      </c>
      <c r="AC46" s="2955" t="s">
        <v>3326</v>
      </c>
      <c r="AD46" s="2955" t="s">
        <v>3368</v>
      </c>
      <c r="AE46" s="2955" t="s">
        <v>3368</v>
      </c>
      <c r="AF46" s="2955" t="s">
        <v>3585</v>
      </c>
      <c r="AG46" s="2955" t="s">
        <v>3428</v>
      </c>
      <c r="AH46" s="2955" t="s">
        <v>3517</v>
      </c>
      <c r="AI46" s="2955" t="s">
        <v>3340</v>
      </c>
      <c r="AJ46" s="2955" t="s">
        <v>3340</v>
      </c>
      <c r="AK46" s="2955" t="s">
        <v>3340</v>
      </c>
      <c r="AL46" s="2955" t="s">
        <v>3344</v>
      </c>
      <c r="AM46" s="2955" t="s">
        <v>3586</v>
      </c>
      <c r="AN46" s="2955" t="s">
        <v>3462</v>
      </c>
    </row>
    <row r="47" spans="1:40" s="2944" customFormat="1" x14ac:dyDescent="0.3">
      <c r="A47" s="2953" t="s">
        <v>2780</v>
      </c>
      <c r="B47" s="2952" t="s">
        <v>3486</v>
      </c>
      <c r="C47" s="2952" t="s">
        <v>3587</v>
      </c>
      <c r="D47" s="2952" t="s">
        <v>3588</v>
      </c>
      <c r="E47" s="2952" t="s">
        <v>3389</v>
      </c>
      <c r="F47" s="2952" t="s">
        <v>3389</v>
      </c>
      <c r="G47" s="2952" t="s">
        <v>3389</v>
      </c>
      <c r="H47" s="2952" t="s">
        <v>3589</v>
      </c>
      <c r="I47" s="2952" t="s">
        <v>3590</v>
      </c>
      <c r="J47" s="2952" t="s">
        <v>3591</v>
      </c>
      <c r="K47" s="2952" t="s">
        <v>3592</v>
      </c>
      <c r="L47" s="2952" t="s">
        <v>3592</v>
      </c>
      <c r="M47" s="2952" t="s">
        <v>3593</v>
      </c>
      <c r="N47" s="2952" t="s">
        <v>3593</v>
      </c>
      <c r="O47" s="2952" t="s">
        <v>3593</v>
      </c>
      <c r="P47" s="2952" t="s">
        <v>3594</v>
      </c>
      <c r="Q47" s="2952" t="s">
        <v>3595</v>
      </c>
      <c r="R47" s="2952" t="s">
        <v>3312</v>
      </c>
      <c r="S47" s="2952" t="s">
        <v>3313</v>
      </c>
      <c r="T47" s="2952" t="s">
        <v>3596</v>
      </c>
      <c r="U47" s="2952" t="s">
        <v>3597</v>
      </c>
      <c r="V47" s="2952" t="s">
        <v>3393</v>
      </c>
      <c r="W47" s="2952" t="s">
        <v>3597</v>
      </c>
      <c r="X47" s="2952" t="s">
        <v>3598</v>
      </c>
      <c r="Y47" s="2952" t="s">
        <v>3599</v>
      </c>
      <c r="Z47" s="2952" t="s">
        <v>3597</v>
      </c>
      <c r="AA47" s="2952" t="s">
        <v>3600</v>
      </c>
      <c r="AB47" s="2952" t="s">
        <v>3393</v>
      </c>
      <c r="AC47" s="2952" t="s">
        <v>3600</v>
      </c>
      <c r="AD47" s="2952" t="s">
        <v>3597</v>
      </c>
      <c r="AE47" s="2952" t="s">
        <v>3601</v>
      </c>
      <c r="AF47" s="2952" t="s">
        <v>3428</v>
      </c>
      <c r="AG47" s="2952" t="s">
        <v>3601</v>
      </c>
      <c r="AH47" s="2952" t="s">
        <v>3428</v>
      </c>
      <c r="AI47" s="2952" t="s">
        <v>3602</v>
      </c>
      <c r="AJ47" s="2952" t="s">
        <v>3597</v>
      </c>
      <c r="AK47" s="2952" t="s">
        <v>3597</v>
      </c>
      <c r="AL47" s="2952" t="s">
        <v>3603</v>
      </c>
      <c r="AM47" s="2952" t="s">
        <v>3604</v>
      </c>
      <c r="AN47" s="2952" t="s">
        <v>3356</v>
      </c>
    </row>
    <row r="48" spans="1:40" ht="15" customHeight="1" x14ac:dyDescent="0.3">
      <c r="A48" s="2954" t="s">
        <v>2781</v>
      </c>
      <c r="B48" s="2955" t="s">
        <v>3605</v>
      </c>
      <c r="C48" s="2955" t="s">
        <v>3606</v>
      </c>
      <c r="D48" s="2955" t="s">
        <v>3607</v>
      </c>
      <c r="E48" s="2955" t="s">
        <v>3608</v>
      </c>
      <c r="F48" s="2955" t="s">
        <v>3608</v>
      </c>
      <c r="G48" s="2955" t="s">
        <v>3609</v>
      </c>
      <c r="H48" s="2955" t="s">
        <v>3610</v>
      </c>
      <c r="I48" s="2955" t="s">
        <v>3610</v>
      </c>
      <c r="J48" s="2955" t="s">
        <v>3611</v>
      </c>
      <c r="K48" s="2955" t="s">
        <v>3612</v>
      </c>
      <c r="L48" s="2955" t="s">
        <v>3613</v>
      </c>
      <c r="M48" s="2955" t="s">
        <v>3614</v>
      </c>
      <c r="N48" s="2955" t="s">
        <v>3615</v>
      </c>
      <c r="O48" s="2955" t="s">
        <v>3616</v>
      </c>
      <c r="P48" s="2955" t="s">
        <v>3616</v>
      </c>
      <c r="Q48" s="2955" t="s">
        <v>3617</v>
      </c>
      <c r="R48" s="2955" t="s">
        <v>3618</v>
      </c>
      <c r="S48" s="2955" t="s">
        <v>3619</v>
      </c>
      <c r="T48" s="2955" t="s">
        <v>3620</v>
      </c>
      <c r="U48" s="2955" t="s">
        <v>3621</v>
      </c>
      <c r="V48" s="2955" t="s">
        <v>3621</v>
      </c>
      <c r="W48" s="2955" t="s">
        <v>3621</v>
      </c>
      <c r="X48" s="2955" t="s">
        <v>3622</v>
      </c>
      <c r="Y48" s="2955" t="s">
        <v>3526</v>
      </c>
      <c r="Z48" s="2955" t="s">
        <v>3621</v>
      </c>
      <c r="AA48" s="2955" t="s">
        <v>3623</v>
      </c>
      <c r="AB48" s="2955" t="s">
        <v>3621</v>
      </c>
      <c r="AC48" s="2955" t="s">
        <v>3624</v>
      </c>
      <c r="AD48" s="2955" t="s">
        <v>3625</v>
      </c>
      <c r="AE48" s="2955" t="s">
        <v>3626</v>
      </c>
      <c r="AF48" s="2955" t="s">
        <v>3627</v>
      </c>
      <c r="AG48" s="2955" t="s">
        <v>3621</v>
      </c>
      <c r="AH48" s="2955" t="s">
        <v>3628</v>
      </c>
      <c r="AI48" s="2955" t="s">
        <v>3629</v>
      </c>
      <c r="AJ48" s="2955" t="s">
        <v>3428</v>
      </c>
      <c r="AK48" s="2955" t="s">
        <v>3627</v>
      </c>
      <c r="AL48" s="2955" t="s">
        <v>3623</v>
      </c>
      <c r="AM48" s="2955" t="s">
        <v>3621</v>
      </c>
      <c r="AN48" s="2955" t="s">
        <v>3630</v>
      </c>
    </row>
    <row r="49" spans="1:40" ht="15" customHeight="1" x14ac:dyDescent="0.3">
      <c r="A49" s="2954" t="s">
        <v>2782</v>
      </c>
      <c r="B49" s="2955" t="s">
        <v>3631</v>
      </c>
      <c r="C49" s="2955" t="s">
        <v>3587</v>
      </c>
      <c r="D49" s="2955" t="s">
        <v>3389</v>
      </c>
      <c r="E49" s="2955" t="s">
        <v>3389</v>
      </c>
      <c r="F49" s="2955" t="s">
        <v>3389</v>
      </c>
      <c r="G49" s="2955" t="s">
        <v>3632</v>
      </c>
      <c r="H49" s="2955" t="s">
        <v>3389</v>
      </c>
      <c r="I49" s="2955" t="s">
        <v>3632</v>
      </c>
      <c r="J49" s="2955" t="s">
        <v>3588</v>
      </c>
      <c r="K49" s="2955" t="s">
        <v>3389</v>
      </c>
      <c r="L49" s="2955" t="s">
        <v>3633</v>
      </c>
      <c r="M49" s="2955" t="s">
        <v>3634</v>
      </c>
      <c r="N49" s="2955" t="s">
        <v>3635</v>
      </c>
      <c r="O49" s="2955" t="s">
        <v>3593</v>
      </c>
      <c r="P49" s="2955" t="s">
        <v>3636</v>
      </c>
      <c r="Q49" s="2955" t="s">
        <v>3595</v>
      </c>
      <c r="R49" s="2955" t="s">
        <v>3637</v>
      </c>
      <c r="S49" s="2955" t="s">
        <v>3638</v>
      </c>
      <c r="T49" s="2955" t="s">
        <v>3639</v>
      </c>
      <c r="U49" s="2955" t="s">
        <v>3597</v>
      </c>
      <c r="V49" s="2955" t="s">
        <v>3393</v>
      </c>
      <c r="W49" s="2955" t="s">
        <v>3597</v>
      </c>
      <c r="X49" s="2955" t="s">
        <v>3428</v>
      </c>
      <c r="Y49" s="2955" t="s">
        <v>3599</v>
      </c>
      <c r="Z49" s="2955" t="s">
        <v>3640</v>
      </c>
      <c r="AA49" s="2955" t="s">
        <v>3641</v>
      </c>
      <c r="AB49" s="2955" t="s">
        <v>3393</v>
      </c>
      <c r="AC49" s="2955" t="s">
        <v>3642</v>
      </c>
      <c r="AD49" s="2955" t="s">
        <v>3597</v>
      </c>
      <c r="AE49" s="2955" t="s">
        <v>3641</v>
      </c>
      <c r="AF49" s="2955" t="s">
        <v>3428</v>
      </c>
      <c r="AG49" s="2955" t="s">
        <v>3642</v>
      </c>
      <c r="AH49" s="2955" t="s">
        <v>3422</v>
      </c>
      <c r="AI49" s="2955" t="s">
        <v>3643</v>
      </c>
      <c r="AJ49" s="2955" t="s">
        <v>3597</v>
      </c>
      <c r="AK49" s="2955" t="s">
        <v>3639</v>
      </c>
      <c r="AL49" s="2955" t="s">
        <v>3603</v>
      </c>
      <c r="AM49" s="2955" t="s">
        <v>3641</v>
      </c>
      <c r="AN49" s="2955" t="s">
        <v>3356</v>
      </c>
    </row>
    <row r="50" spans="1:40" ht="15" customHeight="1" x14ac:dyDescent="0.3">
      <c r="A50" s="2954" t="s">
        <v>2783</v>
      </c>
      <c r="B50" s="2955" t="s">
        <v>3644</v>
      </c>
      <c r="C50" s="2955" t="s">
        <v>3645</v>
      </c>
      <c r="D50" s="2955" t="s">
        <v>3535</v>
      </c>
      <c r="E50" s="2955" t="s">
        <v>3535</v>
      </c>
      <c r="F50" s="2955" t="s">
        <v>3535</v>
      </c>
      <c r="G50" s="2955" t="s">
        <v>3646</v>
      </c>
      <c r="H50" s="2955" t="s">
        <v>3589</v>
      </c>
      <c r="I50" s="2955" t="s">
        <v>3647</v>
      </c>
      <c r="J50" s="2955" t="s">
        <v>3648</v>
      </c>
      <c r="K50" s="2955" t="s">
        <v>3646</v>
      </c>
      <c r="L50" s="2955" t="s">
        <v>3649</v>
      </c>
      <c r="M50" s="2955" t="s">
        <v>3390</v>
      </c>
      <c r="N50" s="2955" t="s">
        <v>3390</v>
      </c>
      <c r="O50" s="2955" t="s">
        <v>3390</v>
      </c>
      <c r="P50" s="2955" t="s">
        <v>3594</v>
      </c>
      <c r="Q50" s="2955" t="s">
        <v>3650</v>
      </c>
      <c r="R50" s="2955" t="s">
        <v>3651</v>
      </c>
      <c r="S50" s="2955" t="s">
        <v>3652</v>
      </c>
      <c r="T50" s="2955" t="s">
        <v>3653</v>
      </c>
      <c r="U50" s="2955" t="s">
        <v>3654</v>
      </c>
      <c r="V50" s="2955" t="s">
        <v>3393</v>
      </c>
      <c r="W50" s="2955" t="s">
        <v>3393</v>
      </c>
      <c r="X50" s="2955" t="s">
        <v>3655</v>
      </c>
      <c r="Y50" s="2955" t="s">
        <v>3428</v>
      </c>
      <c r="Z50" s="2955" t="s">
        <v>3393</v>
      </c>
      <c r="AA50" s="2955" t="s">
        <v>3655</v>
      </c>
      <c r="AB50" s="2955" t="s">
        <v>3393</v>
      </c>
      <c r="AC50" s="2955" t="s">
        <v>3655</v>
      </c>
      <c r="AD50" s="2955" t="s">
        <v>3428</v>
      </c>
      <c r="AE50" s="2955" t="s">
        <v>3428</v>
      </c>
      <c r="AF50" s="2955" t="s">
        <v>3656</v>
      </c>
      <c r="AG50" s="2955" t="s">
        <v>3428</v>
      </c>
      <c r="AH50" s="2955" t="s">
        <v>3428</v>
      </c>
      <c r="AI50" s="2955" t="s">
        <v>3657</v>
      </c>
      <c r="AJ50" s="2955" t="s">
        <v>3428</v>
      </c>
      <c r="AK50" s="2955" t="s">
        <v>3393</v>
      </c>
      <c r="AL50" s="2955" t="s">
        <v>3603</v>
      </c>
      <c r="AM50" s="2955" t="s">
        <v>3623</v>
      </c>
      <c r="AN50" s="2955" t="s">
        <v>3658</v>
      </c>
    </row>
    <row r="51" spans="1:40" s="2944" customFormat="1" x14ac:dyDescent="0.3">
      <c r="A51" s="2953" t="s">
        <v>2784</v>
      </c>
      <c r="B51" s="2952" t="s">
        <v>3400</v>
      </c>
      <c r="C51" s="2952" t="s">
        <v>3360</v>
      </c>
      <c r="D51" s="2952" t="s">
        <v>3442</v>
      </c>
      <c r="E51" s="2952" t="s">
        <v>3463</v>
      </c>
      <c r="F51" s="2952" t="s">
        <v>3360</v>
      </c>
      <c r="G51" s="2952" t="s">
        <v>3407</v>
      </c>
      <c r="H51" s="2952" t="s">
        <v>3360</v>
      </c>
      <c r="I51" s="2952" t="s">
        <v>3360</v>
      </c>
      <c r="J51" s="2952" t="s">
        <v>3442</v>
      </c>
      <c r="K51" s="2952" t="s">
        <v>3412</v>
      </c>
      <c r="L51" s="2952" t="s">
        <v>3320</v>
      </c>
      <c r="M51" s="2952" t="s">
        <v>3659</v>
      </c>
      <c r="N51" s="2952" t="s">
        <v>3660</v>
      </c>
      <c r="O51" s="2952" t="s">
        <v>3661</v>
      </c>
      <c r="P51" s="2952" t="s">
        <v>3362</v>
      </c>
      <c r="Q51" s="2952" t="s">
        <v>3465</v>
      </c>
      <c r="R51" s="2952" t="s">
        <v>3362</v>
      </c>
      <c r="S51" s="2952" t="s">
        <v>3365</v>
      </c>
      <c r="T51" s="2952" t="s">
        <v>3338</v>
      </c>
      <c r="U51" s="2952" t="s">
        <v>3326</v>
      </c>
      <c r="V51" s="2952" t="s">
        <v>3326</v>
      </c>
      <c r="W51" s="2952" t="s">
        <v>3326</v>
      </c>
      <c r="X51" s="2952" t="s">
        <v>3326</v>
      </c>
      <c r="Y51" s="2952" t="s">
        <v>3326</v>
      </c>
      <c r="Z51" s="2952" t="s">
        <v>3326</v>
      </c>
      <c r="AA51" s="2952" t="s">
        <v>3326</v>
      </c>
      <c r="AB51" s="2952" t="s">
        <v>3326</v>
      </c>
      <c r="AC51" s="2952" t="s">
        <v>3326</v>
      </c>
      <c r="AD51" s="2952" t="s">
        <v>3422</v>
      </c>
      <c r="AE51" s="2952" t="s">
        <v>3393</v>
      </c>
      <c r="AF51" s="2952" t="s">
        <v>3662</v>
      </c>
      <c r="AG51" s="2952" t="s">
        <v>3663</v>
      </c>
      <c r="AH51" s="2952" t="s">
        <v>3428</v>
      </c>
      <c r="AI51" s="2952" t="s">
        <v>3422</v>
      </c>
      <c r="AJ51" s="2952" t="s">
        <v>3664</v>
      </c>
      <c r="AK51" s="2952" t="s">
        <v>3665</v>
      </c>
      <c r="AL51" s="2952" t="s">
        <v>3422</v>
      </c>
      <c r="AM51" s="2952" t="s">
        <v>3665</v>
      </c>
      <c r="AN51" s="2952" t="s">
        <v>3520</v>
      </c>
    </row>
    <row r="52" spans="1:40" ht="15" customHeight="1" x14ac:dyDescent="0.3">
      <c r="A52" s="2954" t="s">
        <v>2785</v>
      </c>
      <c r="B52" s="2955" t="s">
        <v>3400</v>
      </c>
      <c r="C52" s="2955" t="s">
        <v>3360</v>
      </c>
      <c r="D52" s="2955" t="s">
        <v>3442</v>
      </c>
      <c r="E52" s="2955" t="s">
        <v>3360</v>
      </c>
      <c r="F52" s="2955" t="s">
        <v>3360</v>
      </c>
      <c r="G52" s="2955" t="s">
        <v>3360</v>
      </c>
      <c r="H52" s="2955" t="s">
        <v>3360</v>
      </c>
      <c r="I52" s="2955" t="s">
        <v>3360</v>
      </c>
      <c r="J52" s="2955" t="s">
        <v>3442</v>
      </c>
      <c r="K52" s="2955" t="s">
        <v>3412</v>
      </c>
      <c r="L52" s="2955" t="s">
        <v>3362</v>
      </c>
      <c r="M52" s="2955" t="s">
        <v>3659</v>
      </c>
      <c r="N52" s="2955" t="s">
        <v>3362</v>
      </c>
      <c r="O52" s="2955" t="s">
        <v>3660</v>
      </c>
      <c r="P52" s="2955" t="s">
        <v>3362</v>
      </c>
      <c r="Q52" s="2955" t="s">
        <v>3465</v>
      </c>
      <c r="R52" s="2955" t="s">
        <v>3362</v>
      </c>
      <c r="S52" s="2955" t="s">
        <v>3365</v>
      </c>
      <c r="T52" s="2955" t="s">
        <v>3338</v>
      </c>
      <c r="U52" s="2955" t="s">
        <v>3326</v>
      </c>
      <c r="V52" s="2955" t="s">
        <v>3326</v>
      </c>
      <c r="W52" s="2955" t="s">
        <v>3326</v>
      </c>
      <c r="X52" s="2955" t="s">
        <v>3326</v>
      </c>
      <c r="Y52" s="2955" t="s">
        <v>3326</v>
      </c>
      <c r="Z52" s="2955" t="s">
        <v>3326</v>
      </c>
      <c r="AA52" s="2955" t="s">
        <v>3326</v>
      </c>
      <c r="AB52" s="2955" t="s">
        <v>3326</v>
      </c>
      <c r="AC52" s="2955" t="s">
        <v>3326</v>
      </c>
      <c r="AD52" s="2955" t="s">
        <v>3422</v>
      </c>
      <c r="AE52" s="2955" t="s">
        <v>3422</v>
      </c>
      <c r="AF52" s="2955" t="s">
        <v>3662</v>
      </c>
      <c r="AG52" s="2955" t="s">
        <v>3663</v>
      </c>
      <c r="AH52" s="2955" t="s">
        <v>3438</v>
      </c>
      <c r="AI52" s="2955" t="s">
        <v>3422</v>
      </c>
      <c r="AJ52" s="2955" t="s">
        <v>3664</v>
      </c>
      <c r="AK52" s="2955" t="s">
        <v>3353</v>
      </c>
      <c r="AL52" s="2955" t="s">
        <v>3422</v>
      </c>
      <c r="AM52" s="2955" t="s">
        <v>3353</v>
      </c>
      <c r="AN52" s="2955" t="s">
        <v>3520</v>
      </c>
    </row>
    <row r="53" spans="1:40" ht="15" customHeight="1" x14ac:dyDescent="0.3">
      <c r="A53" s="2954" t="s">
        <v>2786</v>
      </c>
      <c r="B53" s="2955" t="s">
        <v>3370</v>
      </c>
      <c r="C53" s="2955" t="s">
        <v>3666</v>
      </c>
      <c r="D53" s="2955" t="s">
        <v>3372</v>
      </c>
      <c r="E53" s="2955" t="s">
        <v>3667</v>
      </c>
      <c r="F53" s="2955" t="s">
        <v>3372</v>
      </c>
      <c r="G53" s="2955" t="s">
        <v>3666</v>
      </c>
      <c r="H53" s="2955" t="s">
        <v>3666</v>
      </c>
      <c r="I53" s="2955" t="s">
        <v>3668</v>
      </c>
      <c r="J53" s="2955" t="s">
        <v>3370</v>
      </c>
      <c r="K53" s="2955" t="s">
        <v>3370</v>
      </c>
      <c r="L53" s="2955" t="s">
        <v>3372</v>
      </c>
      <c r="M53" s="2955" t="s">
        <v>3372</v>
      </c>
      <c r="N53" s="2955" t="s">
        <v>3660</v>
      </c>
      <c r="O53" s="2955" t="s">
        <v>3372</v>
      </c>
      <c r="P53" s="2955" t="s">
        <v>3372</v>
      </c>
      <c r="Q53" s="2955" t="s">
        <v>3372</v>
      </c>
      <c r="R53" s="2955" t="s">
        <v>3455</v>
      </c>
      <c r="S53" s="2955" t="s">
        <v>3373</v>
      </c>
      <c r="T53" s="2955" t="s">
        <v>3374</v>
      </c>
      <c r="U53" s="2955" t="s">
        <v>3374</v>
      </c>
      <c r="V53" s="2955" t="s">
        <v>3374</v>
      </c>
      <c r="W53" s="2955" t="s">
        <v>3326</v>
      </c>
      <c r="X53" s="2955" t="s">
        <v>3326</v>
      </c>
      <c r="Y53" s="2955" t="s">
        <v>3326</v>
      </c>
      <c r="Z53" s="2955" t="s">
        <v>3326</v>
      </c>
      <c r="AA53" s="2955" t="s">
        <v>3326</v>
      </c>
      <c r="AB53" s="2955" t="s">
        <v>3326</v>
      </c>
      <c r="AC53" s="2955" t="s">
        <v>3326</v>
      </c>
      <c r="AD53" s="2955" t="s">
        <v>3339</v>
      </c>
      <c r="AE53" s="2955" t="s">
        <v>3339</v>
      </c>
      <c r="AF53" s="2955" t="s">
        <v>3431</v>
      </c>
      <c r="AG53" s="2955" t="s">
        <v>3431</v>
      </c>
      <c r="AH53" s="2955">
        <v>7.85</v>
      </c>
      <c r="AI53" s="2955" t="s">
        <v>3339</v>
      </c>
      <c r="AJ53" s="2955" t="s">
        <v>3339</v>
      </c>
      <c r="AK53" s="2955" t="s">
        <v>3339</v>
      </c>
      <c r="AL53" s="2955" t="s">
        <v>3339</v>
      </c>
      <c r="AM53" s="2955" t="s">
        <v>3669</v>
      </c>
      <c r="AN53" s="2955" t="s">
        <v>3669</v>
      </c>
    </row>
    <row r="54" spans="1:40" ht="15" customHeight="1" x14ac:dyDescent="0.3">
      <c r="A54" s="2954" t="s">
        <v>2787</v>
      </c>
      <c r="B54" s="2955" t="s">
        <v>3670</v>
      </c>
      <c r="C54" s="2955" t="s">
        <v>3671</v>
      </c>
      <c r="D54" s="2955" t="s">
        <v>3672</v>
      </c>
      <c r="E54" s="2955" t="s">
        <v>3670</v>
      </c>
      <c r="F54" s="2955" t="s">
        <v>3673</v>
      </c>
      <c r="G54" s="2955" t="s">
        <v>3670</v>
      </c>
      <c r="H54" s="2955" t="s">
        <v>3674</v>
      </c>
      <c r="I54" s="2955" t="s">
        <v>3673</v>
      </c>
      <c r="J54" s="2955" t="s">
        <v>3670</v>
      </c>
      <c r="K54" s="2955" t="s">
        <v>3670</v>
      </c>
      <c r="L54" s="2955" t="s">
        <v>3675</v>
      </c>
      <c r="M54" s="2955" t="s">
        <v>3675</v>
      </c>
      <c r="N54" s="2955" t="s">
        <v>3675</v>
      </c>
      <c r="O54" s="2955" t="s">
        <v>3676</v>
      </c>
      <c r="P54" s="2955" t="s">
        <v>3677</v>
      </c>
      <c r="Q54" s="2955" t="s">
        <v>3675</v>
      </c>
      <c r="R54" s="2955" t="s">
        <v>3677</v>
      </c>
      <c r="S54" s="2955" t="s">
        <v>3678</v>
      </c>
      <c r="T54" s="2955" t="s">
        <v>3679</v>
      </c>
      <c r="U54" s="2955" t="s">
        <v>3679</v>
      </c>
      <c r="V54" s="2955" t="s">
        <v>3679</v>
      </c>
      <c r="W54" s="2955" t="s">
        <v>3680</v>
      </c>
      <c r="X54" s="2955" t="s">
        <v>3458</v>
      </c>
      <c r="Y54" s="2955" t="s">
        <v>3679</v>
      </c>
      <c r="Z54" s="2955" t="s">
        <v>3679</v>
      </c>
      <c r="AA54" s="2955" t="s">
        <v>3458</v>
      </c>
      <c r="AB54" s="2955" t="s">
        <v>3458</v>
      </c>
      <c r="AC54" s="2955" t="s">
        <v>3458</v>
      </c>
      <c r="AD54" s="2955" t="s">
        <v>3458</v>
      </c>
      <c r="AE54" s="2955" t="s">
        <v>3681</v>
      </c>
      <c r="AF54" s="2955" t="s">
        <v>3458</v>
      </c>
      <c r="AG54" s="2955">
        <v>7.85</v>
      </c>
      <c r="AH54" s="2955">
        <v>7.85</v>
      </c>
      <c r="AI54" s="2955" t="s">
        <v>3682</v>
      </c>
      <c r="AJ54" s="2955">
        <v>7.85</v>
      </c>
      <c r="AK54" s="2955" t="s">
        <v>3683</v>
      </c>
      <c r="AL54" s="2955">
        <v>7.85</v>
      </c>
      <c r="AM54" s="2955">
        <v>7.85</v>
      </c>
      <c r="AN54" s="2955" t="s">
        <v>3458</v>
      </c>
    </row>
    <row r="55" spans="1:40" ht="15" customHeight="1" x14ac:dyDescent="0.3">
      <c r="A55" s="2954" t="s">
        <v>2788</v>
      </c>
      <c r="B55" s="2955" t="s">
        <v>3360</v>
      </c>
      <c r="C55" s="2955" t="s">
        <v>3360</v>
      </c>
      <c r="D55" s="2955" t="s">
        <v>3360</v>
      </c>
      <c r="E55" s="2955" t="s">
        <v>3463</v>
      </c>
      <c r="F55" s="2955" t="s">
        <v>3360</v>
      </c>
      <c r="G55" s="2955" t="s">
        <v>3407</v>
      </c>
      <c r="H55" s="2955" t="s">
        <v>3360</v>
      </c>
      <c r="I55" s="2955" t="s">
        <v>3360</v>
      </c>
      <c r="J55" s="2955" t="s">
        <v>3360</v>
      </c>
      <c r="K55" s="2955" t="s">
        <v>3360</v>
      </c>
      <c r="L55" s="2955" t="s">
        <v>3320</v>
      </c>
      <c r="M55" s="2955" t="s">
        <v>3362</v>
      </c>
      <c r="N55" s="2955" t="s">
        <v>3373</v>
      </c>
      <c r="O55" s="2955" t="s">
        <v>3661</v>
      </c>
      <c r="P55" s="2955" t="s">
        <v>3362</v>
      </c>
      <c r="Q55" s="2955" t="s">
        <v>3362</v>
      </c>
      <c r="R55" s="2955" t="s">
        <v>3362</v>
      </c>
      <c r="S55" s="2955" t="s">
        <v>3365</v>
      </c>
      <c r="T55" s="2955" t="s">
        <v>3335</v>
      </c>
      <c r="U55" s="2955" t="s">
        <v>3335</v>
      </c>
      <c r="V55" s="2955" t="s">
        <v>3326</v>
      </c>
      <c r="W55" s="2955" t="s">
        <v>3326</v>
      </c>
      <c r="X55" s="2955" t="s">
        <v>3326</v>
      </c>
      <c r="Y55" s="2955" t="s">
        <v>3326</v>
      </c>
      <c r="Z55" s="2955" t="s">
        <v>3326</v>
      </c>
      <c r="AA55" s="2955" t="s">
        <v>3326</v>
      </c>
      <c r="AB55" s="2955" t="s">
        <v>3326</v>
      </c>
      <c r="AC55" s="2955" t="s">
        <v>3326</v>
      </c>
      <c r="AD55" s="2955" t="s">
        <v>3368</v>
      </c>
      <c r="AE55" s="2955" t="s">
        <v>3477</v>
      </c>
      <c r="AF55" s="2955" t="s">
        <v>3340</v>
      </c>
      <c r="AG55" s="2955" t="s">
        <v>3368</v>
      </c>
      <c r="AH55" s="2955" t="s">
        <v>3344</v>
      </c>
      <c r="AI55" s="2955" t="s">
        <v>3368</v>
      </c>
      <c r="AJ55" s="2955" t="s">
        <v>3368</v>
      </c>
      <c r="AK55" s="2955" t="s">
        <v>3561</v>
      </c>
      <c r="AL55" s="2955" t="s">
        <v>3340</v>
      </c>
      <c r="AM55" s="2955" t="s">
        <v>3561</v>
      </c>
      <c r="AN55" s="2955" t="s">
        <v>3340</v>
      </c>
    </row>
    <row r="56" spans="1:40" ht="15" customHeight="1" x14ac:dyDescent="0.3">
      <c r="A56" s="2954" t="s">
        <v>2789</v>
      </c>
      <c r="B56" s="2955" t="s">
        <v>3684</v>
      </c>
      <c r="C56" s="2955" t="s">
        <v>3667</v>
      </c>
      <c r="D56" s="2955" t="s">
        <v>3667</v>
      </c>
      <c r="E56" s="2955" t="s">
        <v>3667</v>
      </c>
      <c r="F56" s="2955" t="s">
        <v>3667</v>
      </c>
      <c r="G56" s="2955" t="s">
        <v>3667</v>
      </c>
      <c r="H56" s="2955" t="s">
        <v>3667</v>
      </c>
      <c r="I56" s="2955" t="s">
        <v>3667</v>
      </c>
      <c r="J56" s="2955" t="s">
        <v>3667</v>
      </c>
      <c r="K56" s="2955" t="s">
        <v>3667</v>
      </c>
      <c r="L56" s="2955" t="s">
        <v>3455</v>
      </c>
      <c r="M56" s="2955" t="s">
        <v>3455</v>
      </c>
      <c r="N56" s="2955" t="s">
        <v>3455</v>
      </c>
      <c r="O56" s="2955" t="s">
        <v>3455</v>
      </c>
      <c r="P56" s="2955" t="s">
        <v>3455</v>
      </c>
      <c r="Q56" s="2955" t="s">
        <v>3455</v>
      </c>
      <c r="R56" s="2955" t="s">
        <v>3455</v>
      </c>
      <c r="S56" s="2955" t="s">
        <v>3685</v>
      </c>
      <c r="T56" s="2955" t="s">
        <v>3686</v>
      </c>
      <c r="U56" s="2955" t="s">
        <v>3686</v>
      </c>
      <c r="V56" s="2955" t="s">
        <v>3686</v>
      </c>
      <c r="W56" s="2955" t="s">
        <v>3686</v>
      </c>
      <c r="X56" s="2955" t="s">
        <v>3686</v>
      </c>
      <c r="Y56" s="2955" t="s">
        <v>3686</v>
      </c>
      <c r="Z56" s="2955" t="s">
        <v>3687</v>
      </c>
      <c r="AA56" s="2955" t="s">
        <v>3687</v>
      </c>
      <c r="AB56" s="2955" t="s">
        <v>3687</v>
      </c>
      <c r="AC56" s="2955" t="s">
        <v>3679</v>
      </c>
      <c r="AD56" s="2955" t="s">
        <v>3669</v>
      </c>
      <c r="AE56" s="2955" t="s">
        <v>3669</v>
      </c>
      <c r="AF56" s="2955" t="s">
        <v>3458</v>
      </c>
      <c r="AG56" s="2955">
        <v>7.85</v>
      </c>
      <c r="AH56" s="2955" t="s">
        <v>3669</v>
      </c>
      <c r="AI56" s="2955">
        <v>7.85</v>
      </c>
      <c r="AJ56" s="2955">
        <v>7.85</v>
      </c>
      <c r="AK56" s="2955">
        <v>7.85</v>
      </c>
      <c r="AL56" s="2955">
        <v>7.85</v>
      </c>
      <c r="AM56" s="2955">
        <v>7.85</v>
      </c>
      <c r="AN56" s="2955" t="s">
        <v>3458</v>
      </c>
    </row>
    <row r="57" spans="1:40" s="2944" customFormat="1" x14ac:dyDescent="0.3">
      <c r="A57" s="2953" t="s">
        <v>2790</v>
      </c>
      <c r="B57" s="2952" t="s">
        <v>3320</v>
      </c>
      <c r="C57" s="2952" t="s">
        <v>3336</v>
      </c>
      <c r="D57" s="2952" t="s">
        <v>3319</v>
      </c>
      <c r="E57" s="2952" t="s">
        <v>3688</v>
      </c>
      <c r="F57" s="2952" t="s">
        <v>3320</v>
      </c>
      <c r="G57" s="2952" t="s">
        <v>3320</v>
      </c>
      <c r="H57" s="2952" t="s">
        <v>3320</v>
      </c>
      <c r="I57" s="2952" t="s">
        <v>3446</v>
      </c>
      <c r="J57" s="2952" t="s">
        <v>3592</v>
      </c>
      <c r="K57" s="2952" t="s">
        <v>3375</v>
      </c>
      <c r="L57" s="2952" t="s">
        <v>3446</v>
      </c>
      <c r="M57" s="2952" t="s">
        <v>3689</v>
      </c>
      <c r="N57" s="2952" t="s">
        <v>3320</v>
      </c>
      <c r="O57" s="2952" t="s">
        <v>3446</v>
      </c>
      <c r="P57" s="2952" t="s">
        <v>3320</v>
      </c>
      <c r="Q57" s="2952" t="s">
        <v>3320</v>
      </c>
      <c r="R57" s="2952" t="s">
        <v>3320</v>
      </c>
      <c r="S57" s="2952" t="s">
        <v>3320</v>
      </c>
      <c r="T57" s="2952" t="s">
        <v>3446</v>
      </c>
      <c r="U57" s="2952" t="s">
        <v>3326</v>
      </c>
      <c r="V57" s="2952" t="s">
        <v>3326</v>
      </c>
      <c r="W57" s="2952" t="s">
        <v>3326</v>
      </c>
      <c r="X57" s="2952" t="s">
        <v>3326</v>
      </c>
      <c r="Y57" s="2952" t="s">
        <v>3326</v>
      </c>
      <c r="Z57" s="2952" t="s">
        <v>3326</v>
      </c>
      <c r="AA57" s="2952" t="s">
        <v>3326</v>
      </c>
      <c r="AB57" s="2952" t="s">
        <v>3326</v>
      </c>
      <c r="AC57" s="2952" t="s">
        <v>3326</v>
      </c>
      <c r="AD57" s="2952" t="s">
        <v>3393</v>
      </c>
      <c r="AE57" s="2952" t="s">
        <v>3526</v>
      </c>
      <c r="AF57" s="2952" t="s">
        <v>3340</v>
      </c>
      <c r="AG57" s="2952" t="s">
        <v>3340</v>
      </c>
      <c r="AH57" s="2952" t="s">
        <v>3690</v>
      </c>
      <c r="AI57" s="2952" t="s">
        <v>3340</v>
      </c>
      <c r="AJ57" s="2952" t="s">
        <v>3393</v>
      </c>
      <c r="AK57" s="2952" t="s">
        <v>3514</v>
      </c>
      <c r="AL57" s="2952" t="s">
        <v>3393</v>
      </c>
      <c r="AM57" s="2952" t="s">
        <v>3520</v>
      </c>
      <c r="AN57" s="2952" t="s">
        <v>3340</v>
      </c>
    </row>
    <row r="58" spans="1:40" ht="15" customHeight="1" x14ac:dyDescent="0.3">
      <c r="A58" s="2954" t="s">
        <v>2791</v>
      </c>
      <c r="B58" s="2955" t="s">
        <v>3320</v>
      </c>
      <c r="C58" s="2955" t="s">
        <v>3336</v>
      </c>
      <c r="D58" s="2955" t="s">
        <v>3319</v>
      </c>
      <c r="E58" s="2955" t="s">
        <v>3688</v>
      </c>
      <c r="F58" s="2955" t="s">
        <v>3320</v>
      </c>
      <c r="G58" s="2955" t="s">
        <v>3320</v>
      </c>
      <c r="H58" s="2955" t="s">
        <v>3320</v>
      </c>
      <c r="I58" s="2955" t="s">
        <v>3446</v>
      </c>
      <c r="J58" s="2955" t="s">
        <v>3375</v>
      </c>
      <c r="K58" s="2955" t="s">
        <v>3375</v>
      </c>
      <c r="L58" s="2955" t="s">
        <v>3446</v>
      </c>
      <c r="M58" s="2955" t="s">
        <v>3689</v>
      </c>
      <c r="N58" s="2955" t="s">
        <v>3320</v>
      </c>
      <c r="O58" s="2955" t="s">
        <v>3446</v>
      </c>
      <c r="P58" s="2955" t="s">
        <v>3320</v>
      </c>
      <c r="Q58" s="2955" t="s">
        <v>3320</v>
      </c>
      <c r="R58" s="2955" t="s">
        <v>3320</v>
      </c>
      <c r="S58" s="2955" t="s">
        <v>3320</v>
      </c>
      <c r="T58" s="2955" t="s">
        <v>3446</v>
      </c>
      <c r="U58" s="2955" t="s">
        <v>3326</v>
      </c>
      <c r="V58" s="2955" t="s">
        <v>3326</v>
      </c>
      <c r="W58" s="2955" t="s">
        <v>3326</v>
      </c>
      <c r="X58" s="2955" t="s">
        <v>3326</v>
      </c>
      <c r="Y58" s="2955" t="s">
        <v>3326</v>
      </c>
      <c r="Z58" s="2955" t="s">
        <v>3326</v>
      </c>
      <c r="AA58" s="2955" t="s">
        <v>3326</v>
      </c>
      <c r="AB58" s="2955" t="s">
        <v>3326</v>
      </c>
      <c r="AC58" s="2955" t="s">
        <v>3326</v>
      </c>
      <c r="AD58" s="2955" t="s">
        <v>3393</v>
      </c>
      <c r="AE58" s="2955" t="s">
        <v>3526</v>
      </c>
      <c r="AF58" s="2955" t="s">
        <v>3340</v>
      </c>
      <c r="AG58" s="2955" t="s">
        <v>3340</v>
      </c>
      <c r="AH58" s="2955" t="s">
        <v>3691</v>
      </c>
      <c r="AI58" s="2955" t="s">
        <v>3340</v>
      </c>
      <c r="AJ58" s="2955" t="s">
        <v>3393</v>
      </c>
      <c r="AK58" s="2955" t="s">
        <v>3340</v>
      </c>
      <c r="AL58" s="2955" t="s">
        <v>3393</v>
      </c>
      <c r="AM58" s="2955" t="s">
        <v>3368</v>
      </c>
      <c r="AN58" s="2955" t="s">
        <v>3340</v>
      </c>
    </row>
    <row r="59" spans="1:40" s="2957" customFormat="1" ht="15" customHeight="1" x14ac:dyDescent="0.3">
      <c r="A59" s="2956" t="s">
        <v>3692</v>
      </c>
      <c r="B59" s="2955" t="s">
        <v>3320</v>
      </c>
      <c r="C59" s="2955" t="s">
        <v>3371</v>
      </c>
      <c r="D59" s="2955" t="s">
        <v>3319</v>
      </c>
      <c r="E59" s="2955" t="s">
        <v>3371</v>
      </c>
      <c r="F59" s="2955" t="s">
        <v>3320</v>
      </c>
      <c r="G59" s="2955" t="s">
        <v>3320</v>
      </c>
      <c r="H59" s="2955" t="s">
        <v>3320</v>
      </c>
      <c r="I59" s="2955" t="s">
        <v>3320</v>
      </c>
      <c r="J59" s="2955" t="s">
        <v>3320</v>
      </c>
      <c r="K59" s="2955" t="s">
        <v>3320</v>
      </c>
      <c r="L59" s="2955" t="s">
        <v>3320</v>
      </c>
      <c r="M59" s="2955" t="s">
        <v>3693</v>
      </c>
      <c r="N59" s="2955" t="s">
        <v>3320</v>
      </c>
      <c r="O59" s="2955" t="s">
        <v>3320</v>
      </c>
      <c r="P59" s="2955" t="s">
        <v>3320</v>
      </c>
      <c r="Q59" s="2955" t="s">
        <v>3320</v>
      </c>
      <c r="R59" s="2955" t="s">
        <v>3320</v>
      </c>
      <c r="S59" s="2955" t="s">
        <v>3320</v>
      </c>
      <c r="T59" s="2955" t="s">
        <v>3320</v>
      </c>
      <c r="U59" s="2955" t="s">
        <v>3326</v>
      </c>
      <c r="V59" s="2955" t="s">
        <v>3326</v>
      </c>
      <c r="W59" s="2955" t="s">
        <v>3326</v>
      </c>
      <c r="X59" s="2955" t="s">
        <v>3326</v>
      </c>
      <c r="Y59" s="2955" t="s">
        <v>3326</v>
      </c>
      <c r="Z59" s="2955" t="s">
        <v>3326</v>
      </c>
      <c r="AA59" s="2955" t="s">
        <v>3326</v>
      </c>
      <c r="AB59" s="2955" t="s">
        <v>3326</v>
      </c>
      <c r="AC59" s="2955" t="s">
        <v>3326</v>
      </c>
      <c r="AD59" s="2955" t="s">
        <v>3340</v>
      </c>
      <c r="AE59" s="2955" t="s">
        <v>3526</v>
      </c>
      <c r="AF59" s="2955" t="s">
        <v>3340</v>
      </c>
      <c r="AG59" s="2955" t="s">
        <v>3340</v>
      </c>
      <c r="AH59" s="2955" t="s">
        <v>3340</v>
      </c>
      <c r="AI59" s="2955" t="s">
        <v>3340</v>
      </c>
      <c r="AJ59" s="2955" t="s">
        <v>3340</v>
      </c>
      <c r="AK59" s="2955" t="s">
        <v>3340</v>
      </c>
      <c r="AL59" s="2955" t="s">
        <v>3368</v>
      </c>
      <c r="AM59" s="2955" t="s">
        <v>3368</v>
      </c>
      <c r="AN59" s="2955" t="s">
        <v>3340</v>
      </c>
    </row>
    <row r="60" spans="1:40" s="2957" customFormat="1" ht="15" customHeight="1" x14ac:dyDescent="0.3">
      <c r="A60" s="2956" t="s">
        <v>3694</v>
      </c>
      <c r="B60" s="2955" t="s">
        <v>3336</v>
      </c>
      <c r="C60" s="2955" t="s">
        <v>3336</v>
      </c>
      <c r="D60" s="2955" t="s">
        <v>3333</v>
      </c>
      <c r="E60" s="2955" t="s">
        <v>3688</v>
      </c>
      <c r="F60" s="2955" t="s">
        <v>3695</v>
      </c>
      <c r="G60" s="2955" t="s">
        <v>3696</v>
      </c>
      <c r="H60" s="2955" t="s">
        <v>3688</v>
      </c>
      <c r="I60" s="2955" t="s">
        <v>3446</v>
      </c>
      <c r="J60" s="2955" t="s">
        <v>3375</v>
      </c>
      <c r="K60" s="2955" t="s">
        <v>3375</v>
      </c>
      <c r="L60" s="2955" t="s">
        <v>3446</v>
      </c>
      <c r="M60" s="2955" t="s">
        <v>3446</v>
      </c>
      <c r="N60" s="2955" t="s">
        <v>3688</v>
      </c>
      <c r="O60" s="2955" t="s">
        <v>3446</v>
      </c>
      <c r="P60" s="2955" t="s">
        <v>3688</v>
      </c>
      <c r="Q60" s="2955" t="s">
        <v>3688</v>
      </c>
      <c r="R60" s="2955" t="s">
        <v>3688</v>
      </c>
      <c r="S60" s="2955" t="s">
        <v>3320</v>
      </c>
      <c r="T60" s="2955" t="s">
        <v>3375</v>
      </c>
      <c r="U60" s="2955" t="s">
        <v>3320</v>
      </c>
      <c r="V60" s="2955" t="s">
        <v>3320</v>
      </c>
      <c r="W60" s="2955" t="s">
        <v>3326</v>
      </c>
      <c r="X60" s="2955" t="s">
        <v>3326</v>
      </c>
      <c r="Y60" s="2955" t="s">
        <v>3326</v>
      </c>
      <c r="Z60" s="2955" t="s">
        <v>3326</v>
      </c>
      <c r="AA60" s="2955" t="s">
        <v>3326</v>
      </c>
      <c r="AB60" s="2955" t="s">
        <v>3326</v>
      </c>
      <c r="AC60" s="2955" t="s">
        <v>3326</v>
      </c>
      <c r="AD60" s="2955" t="s">
        <v>3393</v>
      </c>
      <c r="AE60" s="2955" t="s">
        <v>3340</v>
      </c>
      <c r="AF60" s="2955" t="s">
        <v>3340</v>
      </c>
      <c r="AG60" s="2955" t="s">
        <v>3340</v>
      </c>
      <c r="AH60" s="2955" t="s">
        <v>3691</v>
      </c>
      <c r="AI60" s="2955" t="s">
        <v>3340</v>
      </c>
      <c r="AJ60" s="2955" t="s">
        <v>3339</v>
      </c>
      <c r="AK60" s="2955" t="s">
        <v>3340</v>
      </c>
      <c r="AL60" s="2955" t="s">
        <v>3393</v>
      </c>
      <c r="AM60" s="2955" t="s">
        <v>3339</v>
      </c>
      <c r="AN60" s="2955" t="s">
        <v>3340</v>
      </c>
    </row>
    <row r="61" spans="1:40" s="2957" customFormat="1" ht="15" customHeight="1" x14ac:dyDescent="0.3">
      <c r="A61" s="2956" t="s">
        <v>3697</v>
      </c>
      <c r="B61" s="2955" t="s">
        <v>3414</v>
      </c>
      <c r="C61" s="2955" t="s">
        <v>3414</v>
      </c>
      <c r="D61" s="2955" t="s">
        <v>3414</v>
      </c>
      <c r="E61" s="2955" t="s">
        <v>3414</v>
      </c>
      <c r="F61" s="2955" t="s">
        <v>3414</v>
      </c>
      <c r="G61" s="2955" t="s">
        <v>3414</v>
      </c>
      <c r="H61" s="2955" t="s">
        <v>3414</v>
      </c>
      <c r="I61" s="2955" t="s">
        <v>3414</v>
      </c>
      <c r="J61" s="2955" t="s">
        <v>3414</v>
      </c>
      <c r="K61" s="2955" t="s">
        <v>3414</v>
      </c>
      <c r="L61" s="2955" t="s">
        <v>3659</v>
      </c>
      <c r="M61" s="2955" t="s">
        <v>3659</v>
      </c>
      <c r="N61" s="2955" t="s">
        <v>3659</v>
      </c>
      <c r="O61" s="2955" t="s">
        <v>3659</v>
      </c>
      <c r="P61" s="2955" t="s">
        <v>3659</v>
      </c>
      <c r="Q61" s="2955" t="s">
        <v>3659</v>
      </c>
      <c r="R61" s="2955" t="s">
        <v>3659</v>
      </c>
      <c r="S61" s="2955" t="s">
        <v>3412</v>
      </c>
      <c r="T61" s="2955" t="s">
        <v>3446</v>
      </c>
      <c r="U61" s="2955" t="s">
        <v>3446</v>
      </c>
      <c r="V61" s="2955" t="s">
        <v>3446</v>
      </c>
      <c r="W61" s="2955" t="s">
        <v>3326</v>
      </c>
      <c r="X61" s="2955" t="s">
        <v>3326</v>
      </c>
      <c r="Y61" s="2955" t="s">
        <v>3326</v>
      </c>
      <c r="Z61" s="2955" t="s">
        <v>3326</v>
      </c>
      <c r="AA61" s="2955" t="s">
        <v>3326</v>
      </c>
      <c r="AB61" s="2955" t="s">
        <v>3326</v>
      </c>
      <c r="AC61" s="2955" t="s">
        <v>3326</v>
      </c>
      <c r="AD61" s="2955" t="s">
        <v>3368</v>
      </c>
      <c r="AE61" s="2955" t="s">
        <v>3340</v>
      </c>
      <c r="AF61" s="2955" t="s">
        <v>3340</v>
      </c>
      <c r="AG61" s="2955" t="s">
        <v>3340</v>
      </c>
      <c r="AH61" s="2955" t="s">
        <v>3339</v>
      </c>
      <c r="AI61" s="2955" t="s">
        <v>3339</v>
      </c>
      <c r="AJ61" s="2955" t="s">
        <v>3477</v>
      </c>
      <c r="AK61" s="2955" t="s">
        <v>3368</v>
      </c>
      <c r="AL61" s="2955" t="s">
        <v>3339</v>
      </c>
      <c r="AM61" s="2955" t="s">
        <v>3339</v>
      </c>
      <c r="AN61" s="2955" t="s">
        <v>3368</v>
      </c>
    </row>
    <row r="62" spans="1:40" s="2957" customFormat="1" ht="15" customHeight="1" x14ac:dyDescent="0.3">
      <c r="A62" s="2956" t="s">
        <v>3698</v>
      </c>
      <c r="B62" s="2955" t="s">
        <v>3360</v>
      </c>
      <c r="C62" s="2955" t="s">
        <v>3360</v>
      </c>
      <c r="D62" s="2955" t="s">
        <v>3360</v>
      </c>
      <c r="E62" s="2955" t="s">
        <v>3360</v>
      </c>
      <c r="F62" s="2955" t="s">
        <v>3360</v>
      </c>
      <c r="G62" s="2955" t="s">
        <v>3360</v>
      </c>
      <c r="H62" s="2955" t="s">
        <v>3360</v>
      </c>
      <c r="I62" s="2955" t="s">
        <v>3360</v>
      </c>
      <c r="J62" s="2955" t="s">
        <v>3360</v>
      </c>
      <c r="K62" s="2955" t="s">
        <v>3360</v>
      </c>
      <c r="L62" s="2955" t="s">
        <v>3362</v>
      </c>
      <c r="M62" s="2955" t="s">
        <v>3362</v>
      </c>
      <c r="N62" s="2955" t="s">
        <v>3362</v>
      </c>
      <c r="O62" s="2955" t="s">
        <v>3362</v>
      </c>
      <c r="P62" s="2955" t="s">
        <v>3362</v>
      </c>
      <c r="Q62" s="2955" t="s">
        <v>3362</v>
      </c>
      <c r="R62" s="2955" t="s">
        <v>3362</v>
      </c>
      <c r="S62" s="2955" t="s">
        <v>3365</v>
      </c>
      <c r="T62" s="2955" t="s">
        <v>3335</v>
      </c>
      <c r="U62" s="2955" t="s">
        <v>3335</v>
      </c>
      <c r="V62" s="2955" t="s">
        <v>3335</v>
      </c>
      <c r="W62" s="2955" t="s">
        <v>3326</v>
      </c>
      <c r="X62" s="2955" t="s">
        <v>3326</v>
      </c>
      <c r="Y62" s="2955" t="s">
        <v>3326</v>
      </c>
      <c r="Z62" s="2955" t="s">
        <v>3326</v>
      </c>
      <c r="AA62" s="2955" t="s">
        <v>3326</v>
      </c>
      <c r="AB62" s="2955" t="s">
        <v>3326</v>
      </c>
      <c r="AC62" s="2955" t="s">
        <v>3326</v>
      </c>
      <c r="AD62" s="2955" t="s">
        <v>3339</v>
      </c>
      <c r="AE62" s="2955" t="s">
        <v>3339</v>
      </c>
      <c r="AF62" s="2955" t="s">
        <v>3339</v>
      </c>
      <c r="AG62" s="2955" t="s">
        <v>3339</v>
      </c>
      <c r="AH62" s="2955" t="s">
        <v>3339</v>
      </c>
      <c r="AI62" s="2955" t="s">
        <v>3699</v>
      </c>
      <c r="AJ62" s="2955" t="s">
        <v>3340</v>
      </c>
      <c r="AK62" s="2955" t="s">
        <v>3368</v>
      </c>
      <c r="AL62" s="2955" t="s">
        <v>3339</v>
      </c>
      <c r="AM62" s="2955" t="s">
        <v>3699</v>
      </c>
      <c r="AN62" s="2955" t="s">
        <v>3339</v>
      </c>
    </row>
    <row r="63" spans="1:40" s="2957" customFormat="1" ht="15" customHeight="1" x14ac:dyDescent="0.3">
      <c r="A63" s="2956" t="s">
        <v>3700</v>
      </c>
      <c r="B63" s="2955" t="s">
        <v>1014</v>
      </c>
      <c r="C63" s="2955" t="s">
        <v>3370</v>
      </c>
      <c r="D63" s="2955" t="s">
        <v>1014</v>
      </c>
      <c r="E63" s="2955" t="s">
        <v>3370</v>
      </c>
      <c r="F63" s="2955" t="s">
        <v>3370</v>
      </c>
      <c r="G63" s="2955" t="s">
        <v>3370</v>
      </c>
      <c r="H63" s="2955" t="s">
        <v>3370</v>
      </c>
      <c r="I63" s="2955" t="s">
        <v>3370</v>
      </c>
      <c r="J63" s="2955" t="s">
        <v>3370</v>
      </c>
      <c r="K63" s="2955" t="s">
        <v>3370</v>
      </c>
      <c r="L63" s="2955" t="s">
        <v>3372</v>
      </c>
      <c r="M63" s="2955" t="s">
        <v>3372</v>
      </c>
      <c r="N63" s="2955" t="s">
        <v>3362</v>
      </c>
      <c r="O63" s="2955" t="s">
        <v>3372</v>
      </c>
      <c r="P63" s="2955" t="s">
        <v>3372</v>
      </c>
      <c r="Q63" s="2955" t="s">
        <v>3372</v>
      </c>
      <c r="R63" s="2955" t="s">
        <v>3372</v>
      </c>
      <c r="S63" s="2955" t="s">
        <v>3373</v>
      </c>
      <c r="T63" s="2955" t="s">
        <v>3374</v>
      </c>
      <c r="U63" s="2955" t="s">
        <v>3374</v>
      </c>
      <c r="V63" s="2955" t="s">
        <v>3374</v>
      </c>
      <c r="W63" s="2955" t="s">
        <v>3374</v>
      </c>
      <c r="X63" s="2955" t="s">
        <v>3374</v>
      </c>
      <c r="Y63" s="2955" t="s">
        <v>3374</v>
      </c>
      <c r="Z63" s="2955" t="s">
        <v>3374</v>
      </c>
      <c r="AA63" s="2955" t="s">
        <v>3374</v>
      </c>
      <c r="AB63" s="2955" t="s">
        <v>3374</v>
      </c>
      <c r="AC63" s="2955" t="s">
        <v>3374</v>
      </c>
      <c r="AD63" s="2955" t="s">
        <v>3458</v>
      </c>
      <c r="AE63" s="2955" t="s">
        <v>3458</v>
      </c>
      <c r="AF63" s="2955" t="s">
        <v>3458</v>
      </c>
      <c r="AG63" s="2955">
        <v>7.85</v>
      </c>
      <c r="AH63" s="2955">
        <v>7.85</v>
      </c>
      <c r="AI63" s="2955">
        <v>7.85</v>
      </c>
      <c r="AJ63" s="2955" t="s">
        <v>3669</v>
      </c>
      <c r="AK63" s="2955" t="s">
        <v>3669</v>
      </c>
      <c r="AL63" s="2955" t="s">
        <v>3669</v>
      </c>
      <c r="AM63" s="2955">
        <v>7.85</v>
      </c>
      <c r="AN63" s="2955" t="s">
        <v>3339</v>
      </c>
    </row>
    <row r="64" spans="1:40" s="2957" customFormat="1" ht="15" customHeight="1" x14ac:dyDescent="0.3">
      <c r="A64" s="2956" t="s">
        <v>3701</v>
      </c>
      <c r="B64" s="2955" t="s">
        <v>3414</v>
      </c>
      <c r="C64" s="2955" t="s">
        <v>3414</v>
      </c>
      <c r="D64" s="2955" t="s">
        <v>3414</v>
      </c>
      <c r="E64" s="2955" t="s">
        <v>3414</v>
      </c>
      <c r="F64" s="2955" t="s">
        <v>3414</v>
      </c>
      <c r="G64" s="2955" t="s">
        <v>3414</v>
      </c>
      <c r="H64" s="2955" t="s">
        <v>3333</v>
      </c>
      <c r="I64" s="2955" t="s">
        <v>3414</v>
      </c>
      <c r="J64" s="2955" t="s">
        <v>3414</v>
      </c>
      <c r="K64" s="2955" t="s">
        <v>3414</v>
      </c>
      <c r="L64" s="2955" t="s">
        <v>3335</v>
      </c>
      <c r="M64" s="2955" t="s">
        <v>3702</v>
      </c>
      <c r="N64" s="2955" t="s">
        <v>3659</v>
      </c>
      <c r="O64" s="2955" t="s">
        <v>3659</v>
      </c>
      <c r="P64" s="2955" t="s">
        <v>3659</v>
      </c>
      <c r="Q64" s="2955" t="s">
        <v>3659</v>
      </c>
      <c r="R64" s="2955" t="s">
        <v>3659</v>
      </c>
      <c r="S64" s="2955" t="s">
        <v>3412</v>
      </c>
      <c r="T64" s="2955" t="s">
        <v>3446</v>
      </c>
      <c r="U64" s="2955" t="s">
        <v>3446</v>
      </c>
      <c r="V64" s="2955" t="s">
        <v>3326</v>
      </c>
      <c r="W64" s="2955" t="s">
        <v>3326</v>
      </c>
      <c r="X64" s="2955" t="s">
        <v>3326</v>
      </c>
      <c r="Y64" s="2955" t="s">
        <v>3326</v>
      </c>
      <c r="Z64" s="2955" t="s">
        <v>3326</v>
      </c>
      <c r="AA64" s="2955" t="s">
        <v>3326</v>
      </c>
      <c r="AB64" s="2955" t="s">
        <v>3326</v>
      </c>
      <c r="AC64" s="2955" t="s">
        <v>3326</v>
      </c>
      <c r="AD64" s="2955" t="s">
        <v>3703</v>
      </c>
      <c r="AE64" s="2955" t="s">
        <v>3340</v>
      </c>
      <c r="AF64" s="2955" t="s">
        <v>3340</v>
      </c>
      <c r="AG64" s="2955" t="s">
        <v>3368</v>
      </c>
      <c r="AH64" s="2955" t="s">
        <v>3703</v>
      </c>
      <c r="AI64" s="2955" t="s">
        <v>3703</v>
      </c>
      <c r="AJ64" s="2955" t="s">
        <v>3704</v>
      </c>
      <c r="AK64" s="2955" t="s">
        <v>3368</v>
      </c>
      <c r="AL64" s="2955" t="s">
        <v>3703</v>
      </c>
      <c r="AM64" s="2955" t="s">
        <v>3703</v>
      </c>
      <c r="AN64" s="2955" t="s">
        <v>3680</v>
      </c>
    </row>
    <row r="65" spans="1:41" ht="17.45" customHeight="1" thickBot="1" x14ac:dyDescent="0.35">
      <c r="A65" s="2960" t="s">
        <v>2798</v>
      </c>
      <c r="B65" s="2961" t="s">
        <v>3705</v>
      </c>
      <c r="C65" s="2961" t="s">
        <v>3706</v>
      </c>
      <c r="D65" s="2961" t="s">
        <v>3706</v>
      </c>
      <c r="E65" s="2961" t="s">
        <v>3706</v>
      </c>
      <c r="F65" s="2961" t="s">
        <v>3706</v>
      </c>
      <c r="G65" s="2961" t="s">
        <v>3706</v>
      </c>
      <c r="H65" s="2961" t="s">
        <v>3706</v>
      </c>
      <c r="I65" s="2961" t="s">
        <v>3707</v>
      </c>
      <c r="J65" s="2961" t="s">
        <v>3442</v>
      </c>
      <c r="K65" s="2961" t="s">
        <v>3706</v>
      </c>
      <c r="L65" s="2961" t="s">
        <v>3538</v>
      </c>
      <c r="M65" s="2961" t="s">
        <v>3538</v>
      </c>
      <c r="N65" s="2961" t="s">
        <v>3708</v>
      </c>
      <c r="O65" s="2961" t="s">
        <v>3556</v>
      </c>
      <c r="P65" s="2961" t="s">
        <v>3709</v>
      </c>
      <c r="Q65" s="2961" t="s">
        <v>3576</v>
      </c>
      <c r="R65" s="2961" t="s">
        <v>3710</v>
      </c>
      <c r="S65" s="2961" t="s">
        <v>3577</v>
      </c>
      <c r="T65" s="2961" t="s">
        <v>3432</v>
      </c>
      <c r="U65" s="2961" t="s">
        <v>3340</v>
      </c>
      <c r="V65" s="2961" t="s">
        <v>3520</v>
      </c>
      <c r="W65" s="2961" t="s">
        <v>3340</v>
      </c>
      <c r="X65" s="2961" t="s">
        <v>3393</v>
      </c>
      <c r="Y65" s="2961" t="s">
        <v>3520</v>
      </c>
      <c r="Z65" s="2961" t="s">
        <v>3517</v>
      </c>
      <c r="AA65" s="2961" t="s">
        <v>3711</v>
      </c>
      <c r="AB65" s="2961" t="s">
        <v>3340</v>
      </c>
      <c r="AC65" s="2961" t="s">
        <v>3340</v>
      </c>
      <c r="AD65" s="2961" t="s">
        <v>3340</v>
      </c>
      <c r="AE65" s="2961" t="s">
        <v>3340</v>
      </c>
      <c r="AF65" s="2961" t="s">
        <v>3340</v>
      </c>
      <c r="AG65" s="2961" t="s">
        <v>3340</v>
      </c>
      <c r="AH65" s="2961" t="s">
        <v>3428</v>
      </c>
      <c r="AI65" s="2961" t="s">
        <v>3340</v>
      </c>
      <c r="AJ65" s="2961" t="s">
        <v>3340</v>
      </c>
      <c r="AK65" s="2961" t="s">
        <v>3712</v>
      </c>
      <c r="AL65" s="2961" t="s">
        <v>3368</v>
      </c>
      <c r="AM65" s="2961" t="s">
        <v>3520</v>
      </c>
      <c r="AN65" s="2961" t="s">
        <v>3368</v>
      </c>
    </row>
    <row r="66" spans="1:41" ht="18" thickTop="1" x14ac:dyDescent="0.3">
      <c r="A66" s="2962" t="s">
        <v>3713</v>
      </c>
      <c r="B66" s="2963"/>
      <c r="C66" s="2963"/>
      <c r="D66" s="2963"/>
      <c r="E66" s="2963"/>
      <c r="F66" s="2963"/>
      <c r="G66" s="2963"/>
      <c r="H66" s="2963"/>
      <c r="I66" s="2963"/>
      <c r="J66" s="2963"/>
      <c r="K66" s="2963"/>
      <c r="L66" s="2963"/>
      <c r="M66" s="2963"/>
      <c r="N66" s="2963"/>
      <c r="O66" s="2963"/>
      <c r="P66" s="2963"/>
      <c r="Q66" s="2963"/>
      <c r="R66" s="2963"/>
      <c r="S66" s="2963"/>
      <c r="T66" s="2963"/>
      <c r="U66" s="2963"/>
      <c r="V66" s="2963"/>
      <c r="W66" s="2963"/>
      <c r="X66" s="2963"/>
      <c r="Y66" s="2963"/>
      <c r="Z66" s="2963"/>
      <c r="AA66" s="2963"/>
      <c r="AB66" s="2963"/>
      <c r="AC66" s="2963"/>
      <c r="AD66" s="2963"/>
      <c r="AE66" s="2963"/>
      <c r="AF66" s="2963"/>
      <c r="AG66" s="2963"/>
      <c r="AH66" s="2963"/>
      <c r="AI66" s="2963"/>
      <c r="AJ66" s="2963"/>
      <c r="AK66" s="2963"/>
      <c r="AL66" s="2963"/>
      <c r="AM66" s="2963"/>
      <c r="AN66" s="2963"/>
    </row>
    <row r="67" spans="1:41" ht="9.75" customHeight="1" x14ac:dyDescent="0.3">
      <c r="A67" s="2964"/>
      <c r="B67" s="2963"/>
      <c r="C67" s="2963"/>
      <c r="D67" s="2963"/>
      <c r="E67" s="2963"/>
      <c r="F67" s="2963"/>
      <c r="G67" s="2963"/>
      <c r="H67" s="2963"/>
      <c r="I67" s="2963"/>
      <c r="J67" s="2963"/>
      <c r="K67" s="2963"/>
      <c r="L67" s="2963"/>
      <c r="M67" s="2963"/>
      <c r="N67" s="2963"/>
      <c r="O67" s="2963"/>
      <c r="P67" s="2963"/>
      <c r="Q67" s="2963"/>
      <c r="R67" s="2963"/>
      <c r="S67" s="2963"/>
      <c r="T67" s="2963"/>
      <c r="U67" s="2963"/>
      <c r="V67" s="2963"/>
      <c r="W67" s="2963"/>
      <c r="X67" s="2963"/>
      <c r="Y67" s="2963"/>
      <c r="Z67" s="2963"/>
      <c r="AA67" s="2963"/>
      <c r="AB67" s="2963"/>
      <c r="AC67" s="2963"/>
      <c r="AD67" s="2963"/>
      <c r="AE67" s="2963"/>
      <c r="AF67" s="2963"/>
      <c r="AG67" s="2963"/>
      <c r="AH67" s="2963"/>
      <c r="AI67" s="2963"/>
      <c r="AJ67" s="2963"/>
      <c r="AK67" s="2963"/>
      <c r="AL67" s="2963"/>
      <c r="AM67" s="2963"/>
      <c r="AN67" s="2963"/>
    </row>
    <row r="68" spans="1:41" s="2944" customFormat="1" ht="21" customHeight="1" thickBot="1" x14ac:dyDescent="0.35">
      <c r="A68" s="2945"/>
      <c r="B68" s="2946"/>
      <c r="C68" s="2946"/>
      <c r="D68" s="2946"/>
      <c r="E68" s="2946"/>
      <c r="F68" s="2946"/>
      <c r="G68" s="2946"/>
      <c r="H68" s="2946"/>
      <c r="I68" s="2946"/>
      <c r="J68" s="2946"/>
      <c r="K68" s="2946"/>
      <c r="L68" s="2946"/>
      <c r="M68" s="2946"/>
      <c r="N68" s="2946"/>
      <c r="O68" s="2946"/>
      <c r="P68" s="2946"/>
      <c r="Q68" s="2946"/>
      <c r="R68" s="2946"/>
      <c r="S68" s="2946"/>
      <c r="T68" s="2946"/>
      <c r="U68" s="2946"/>
      <c r="V68" s="2946"/>
      <c r="W68" s="2946"/>
      <c r="X68" s="2946"/>
      <c r="Y68" s="2946"/>
      <c r="Z68" s="2946"/>
      <c r="AA68" s="2946"/>
      <c r="AB68" s="2946"/>
      <c r="AC68" s="2946"/>
      <c r="AD68" s="2946"/>
      <c r="AE68" s="2946"/>
      <c r="AF68" s="2946"/>
      <c r="AG68" s="2946"/>
      <c r="AH68" s="2946"/>
      <c r="AI68" s="2946"/>
      <c r="AJ68" s="2946"/>
      <c r="AK68" s="2946"/>
      <c r="AL68" s="2946"/>
      <c r="AM68" s="2946"/>
      <c r="AN68" s="2946"/>
    </row>
    <row r="69" spans="1:41" ht="26.25" customHeight="1" thickTop="1" thickBot="1" x14ac:dyDescent="0.35">
      <c r="A69" s="2965" t="s">
        <v>2737</v>
      </c>
      <c r="B69" s="2966">
        <v>43374</v>
      </c>
      <c r="C69" s="2966">
        <v>43405</v>
      </c>
      <c r="D69" s="2966">
        <v>43435</v>
      </c>
      <c r="E69" s="2966">
        <v>43466</v>
      </c>
      <c r="F69" s="2966">
        <v>43497</v>
      </c>
      <c r="G69" s="2966">
        <v>43525</v>
      </c>
      <c r="H69" s="2966">
        <v>43556</v>
      </c>
      <c r="I69" s="2966">
        <v>43586</v>
      </c>
      <c r="J69" s="2966">
        <v>43617</v>
      </c>
      <c r="K69" s="2966">
        <v>43647</v>
      </c>
      <c r="L69" s="2966">
        <v>43678</v>
      </c>
      <c r="M69" s="2966">
        <v>43709</v>
      </c>
      <c r="N69" s="2966">
        <v>43739</v>
      </c>
      <c r="O69" s="2966">
        <v>43770</v>
      </c>
      <c r="P69" s="2966">
        <v>43800</v>
      </c>
      <c r="Q69" s="2966">
        <v>43831</v>
      </c>
      <c r="R69" s="2966">
        <v>43862</v>
      </c>
      <c r="S69" s="2966">
        <v>43891</v>
      </c>
      <c r="T69" s="2966">
        <v>43922</v>
      </c>
      <c r="U69" s="2966">
        <v>43952</v>
      </c>
      <c r="V69" s="2966">
        <v>43983</v>
      </c>
      <c r="W69" s="2966">
        <v>44013</v>
      </c>
      <c r="X69" s="2966">
        <v>44044</v>
      </c>
      <c r="Y69" s="2966">
        <v>44075</v>
      </c>
      <c r="Z69" s="2966">
        <v>44105</v>
      </c>
      <c r="AA69" s="2966">
        <v>44136</v>
      </c>
      <c r="AB69" s="2966">
        <v>44166</v>
      </c>
      <c r="AC69" s="2966">
        <v>44197</v>
      </c>
      <c r="AD69" s="2966">
        <v>44228</v>
      </c>
      <c r="AE69" s="2966">
        <v>44256</v>
      </c>
      <c r="AF69" s="2966">
        <v>44287</v>
      </c>
      <c r="AG69" s="2966">
        <v>44317</v>
      </c>
      <c r="AH69" s="2966">
        <v>44348</v>
      </c>
      <c r="AI69" s="2966">
        <v>44378</v>
      </c>
      <c r="AJ69" s="2966">
        <v>44409</v>
      </c>
      <c r="AK69" s="2966">
        <v>44440</v>
      </c>
      <c r="AL69" s="2966">
        <v>44470</v>
      </c>
      <c r="AM69" s="2966">
        <v>44501</v>
      </c>
      <c r="AN69" s="2966">
        <v>44531</v>
      </c>
    </row>
    <row r="70" spans="1:41" s="2944" customFormat="1" ht="17.25" customHeight="1" thickTop="1" x14ac:dyDescent="0.3">
      <c r="A70" s="2953" t="s">
        <v>2801</v>
      </c>
      <c r="B70" s="2952" t="s">
        <v>3318</v>
      </c>
      <c r="C70" s="2952" t="s">
        <v>3333</v>
      </c>
      <c r="D70" s="2952" t="s">
        <v>3442</v>
      </c>
      <c r="E70" s="2952" t="s">
        <v>3388</v>
      </c>
      <c r="F70" s="2952" t="s">
        <v>3318</v>
      </c>
      <c r="G70" s="2952" t="s">
        <v>3318</v>
      </c>
      <c r="H70" s="2952" t="s">
        <v>3389</v>
      </c>
      <c r="I70" s="2952" t="s">
        <v>3592</v>
      </c>
      <c r="J70" s="2952" t="s">
        <v>3389</v>
      </c>
      <c r="K70" s="2952" t="s">
        <v>3592</v>
      </c>
      <c r="L70" s="2952" t="s">
        <v>3320</v>
      </c>
      <c r="M70" s="2952" t="s">
        <v>3390</v>
      </c>
      <c r="N70" s="2952" t="s">
        <v>3320</v>
      </c>
      <c r="O70" s="2952" t="s">
        <v>3320</v>
      </c>
      <c r="P70" s="2952" t="s">
        <v>3320</v>
      </c>
      <c r="Q70" s="2952" t="s">
        <v>3320</v>
      </c>
      <c r="R70" s="2952" t="s">
        <v>3323</v>
      </c>
      <c r="S70" s="2952" t="s">
        <v>3430</v>
      </c>
      <c r="T70" s="2952" t="s">
        <v>3335</v>
      </c>
      <c r="U70" s="2952" t="s">
        <v>3326</v>
      </c>
      <c r="V70" s="2952" t="s">
        <v>3326</v>
      </c>
      <c r="W70" s="2952" t="s">
        <v>3714</v>
      </c>
      <c r="X70" s="2952" t="s">
        <v>3326</v>
      </c>
      <c r="Y70" s="2952" t="s">
        <v>3326</v>
      </c>
      <c r="Z70" s="2952" t="s">
        <v>3326</v>
      </c>
      <c r="AA70" s="2952" t="s">
        <v>3326</v>
      </c>
      <c r="AB70" s="2952" t="s">
        <v>3326</v>
      </c>
      <c r="AC70" s="2952" t="s">
        <v>3326</v>
      </c>
      <c r="AD70" s="2952" t="s">
        <v>3422</v>
      </c>
      <c r="AE70" s="2952" t="s">
        <v>3520</v>
      </c>
      <c r="AF70" s="2952" t="s">
        <v>3393</v>
      </c>
      <c r="AG70" s="2952" t="s">
        <v>3393</v>
      </c>
      <c r="AH70" s="2952" t="s">
        <v>3422</v>
      </c>
      <c r="AI70" s="2952" t="s">
        <v>3428</v>
      </c>
      <c r="AJ70" s="2952" t="s">
        <v>3393</v>
      </c>
      <c r="AK70" s="2952" t="s">
        <v>3715</v>
      </c>
      <c r="AL70" s="2952" t="s">
        <v>3344</v>
      </c>
      <c r="AM70" s="2952" t="s">
        <v>3316</v>
      </c>
      <c r="AN70" s="2952" t="s">
        <v>3497</v>
      </c>
    </row>
    <row r="71" spans="1:41" x14ac:dyDescent="0.3">
      <c r="A71" s="2954" t="s">
        <v>2802</v>
      </c>
      <c r="B71" s="2955" t="s">
        <v>3378</v>
      </c>
      <c r="C71" s="2955" t="s">
        <v>3716</v>
      </c>
      <c r="D71" s="2955" t="s">
        <v>3716</v>
      </c>
      <c r="E71" s="2955" t="s">
        <v>3716</v>
      </c>
      <c r="F71" s="2955" t="s">
        <v>3716</v>
      </c>
      <c r="G71" s="2955" t="s">
        <v>3716</v>
      </c>
      <c r="H71" s="2955" t="s">
        <v>3716</v>
      </c>
      <c r="I71" s="2955" t="s">
        <v>3378</v>
      </c>
      <c r="J71" s="2955" t="s">
        <v>3716</v>
      </c>
      <c r="K71" s="2955" t="s">
        <v>3378</v>
      </c>
      <c r="L71" s="2955" t="s">
        <v>3576</v>
      </c>
      <c r="M71" s="2955" t="s">
        <v>3576</v>
      </c>
      <c r="N71" s="2955" t="s">
        <v>3576</v>
      </c>
      <c r="O71" s="2955" t="s">
        <v>3576</v>
      </c>
      <c r="P71" s="2955" t="s">
        <v>3576</v>
      </c>
      <c r="Q71" s="2955" t="s">
        <v>3576</v>
      </c>
      <c r="R71" s="2955" t="s">
        <v>3717</v>
      </c>
      <c r="S71" s="2955" t="s">
        <v>3718</v>
      </c>
      <c r="T71" s="2955" t="s">
        <v>3368</v>
      </c>
      <c r="U71" s="2955" t="s">
        <v>3418</v>
      </c>
      <c r="V71" s="2955" t="s">
        <v>3340</v>
      </c>
      <c r="W71" s="2955" t="s">
        <v>3719</v>
      </c>
      <c r="X71" s="2955" t="s">
        <v>3720</v>
      </c>
      <c r="Y71" s="2955" t="s">
        <v>3721</v>
      </c>
      <c r="Z71" s="2955" t="s">
        <v>3368</v>
      </c>
      <c r="AA71" s="2955" t="s">
        <v>3368</v>
      </c>
      <c r="AB71" s="2955" t="s">
        <v>3368</v>
      </c>
      <c r="AC71" s="2955" t="s">
        <v>3340</v>
      </c>
      <c r="AD71" s="2955" t="s">
        <v>3368</v>
      </c>
      <c r="AE71" s="2955" t="s">
        <v>3368</v>
      </c>
      <c r="AF71" s="2955" t="s">
        <v>3418</v>
      </c>
      <c r="AG71" s="2955" t="s">
        <v>3368</v>
      </c>
      <c r="AH71" s="2955" t="s">
        <v>3368</v>
      </c>
      <c r="AI71" s="2955" t="s">
        <v>3368</v>
      </c>
      <c r="AJ71" s="2955" t="s">
        <v>3368</v>
      </c>
      <c r="AK71" s="2955" t="s">
        <v>3368</v>
      </c>
      <c r="AL71" s="2955" t="s">
        <v>3368</v>
      </c>
      <c r="AM71" s="2955" t="s">
        <v>3368</v>
      </c>
      <c r="AN71" s="2955" t="s">
        <v>3368</v>
      </c>
    </row>
    <row r="72" spans="1:41" x14ac:dyDescent="0.3">
      <c r="A72" s="2954" t="s">
        <v>2803</v>
      </c>
      <c r="B72" s="2955" t="s">
        <v>3371</v>
      </c>
      <c r="C72" s="2955" t="s">
        <v>3360</v>
      </c>
      <c r="D72" s="2955" t="s">
        <v>3360</v>
      </c>
      <c r="E72" s="2955" t="s">
        <v>3360</v>
      </c>
      <c r="F72" s="2955" t="s">
        <v>3362</v>
      </c>
      <c r="G72" s="2955" t="s">
        <v>3371</v>
      </c>
      <c r="H72" s="2955" t="s">
        <v>3360</v>
      </c>
      <c r="I72" s="2955" t="s">
        <v>3360</v>
      </c>
      <c r="J72" s="2955" t="s">
        <v>3371</v>
      </c>
      <c r="K72" s="2955" t="s">
        <v>3659</v>
      </c>
      <c r="L72" s="2955" t="s">
        <v>3659</v>
      </c>
      <c r="M72" s="2955" t="s">
        <v>3400</v>
      </c>
      <c r="N72" s="2955" t="s">
        <v>3400</v>
      </c>
      <c r="O72" s="2955" t="s">
        <v>3400</v>
      </c>
      <c r="P72" s="2955" t="s">
        <v>3362</v>
      </c>
      <c r="Q72" s="2955" t="s">
        <v>3362</v>
      </c>
      <c r="R72" s="2955" t="s">
        <v>3362</v>
      </c>
      <c r="S72" s="2955" t="s">
        <v>3365</v>
      </c>
      <c r="T72" s="2955" t="s">
        <v>3335</v>
      </c>
      <c r="U72" s="2955" t="s">
        <v>3335</v>
      </c>
      <c r="V72" s="2955" t="s">
        <v>3335</v>
      </c>
      <c r="W72" s="2955" t="s">
        <v>3326</v>
      </c>
      <c r="X72" s="2955" t="s">
        <v>3326</v>
      </c>
      <c r="Y72" s="2955" t="s">
        <v>3326</v>
      </c>
      <c r="Z72" s="2955" t="s">
        <v>3326</v>
      </c>
      <c r="AA72" s="2955" t="s">
        <v>3326</v>
      </c>
      <c r="AB72" s="2955" t="s">
        <v>3326</v>
      </c>
      <c r="AC72" s="2955" t="s">
        <v>3326</v>
      </c>
      <c r="AD72" s="2955" t="s">
        <v>3368</v>
      </c>
      <c r="AE72" s="2955" t="s">
        <v>3339</v>
      </c>
      <c r="AF72" s="2955" t="s">
        <v>3339</v>
      </c>
      <c r="AG72" s="2955" t="s">
        <v>3368</v>
      </c>
      <c r="AH72" s="2955" t="s">
        <v>3368</v>
      </c>
      <c r="AI72" s="2955" t="s">
        <v>3344</v>
      </c>
      <c r="AJ72" s="2955" t="s">
        <v>3368</v>
      </c>
      <c r="AK72" s="2955" t="s">
        <v>3368</v>
      </c>
      <c r="AL72" s="2955" t="s">
        <v>3353</v>
      </c>
      <c r="AM72" s="2955" t="s">
        <v>3339</v>
      </c>
      <c r="AN72" s="2955" t="s">
        <v>3471</v>
      </c>
    </row>
    <row r="73" spans="1:41" x14ac:dyDescent="0.3">
      <c r="A73" s="2954" t="s">
        <v>2804</v>
      </c>
      <c r="B73" s="2955" t="s">
        <v>1014</v>
      </c>
      <c r="C73" s="2955" t="s">
        <v>3722</v>
      </c>
      <c r="D73" s="2955" t="s">
        <v>1014</v>
      </c>
      <c r="E73" s="2955" t="s">
        <v>1014</v>
      </c>
      <c r="F73" s="2955" t="s">
        <v>1014</v>
      </c>
      <c r="G73" s="2955" t="s">
        <v>1014</v>
      </c>
      <c r="H73" s="2955" t="s">
        <v>1014</v>
      </c>
      <c r="I73" s="2955" t="s">
        <v>1014</v>
      </c>
      <c r="J73" s="2955" t="s">
        <v>1014</v>
      </c>
      <c r="K73" s="2955" t="s">
        <v>3723</v>
      </c>
      <c r="L73" s="2955" t="s">
        <v>3724</v>
      </c>
      <c r="M73" s="2955" t="s">
        <v>3464</v>
      </c>
      <c r="N73" s="2955" t="s">
        <v>3724</v>
      </c>
      <c r="O73" s="2955" t="s">
        <v>3724</v>
      </c>
      <c r="P73" s="2955" t="s">
        <v>3724</v>
      </c>
      <c r="Q73" s="2955" t="s">
        <v>3360</v>
      </c>
      <c r="R73" s="2955" t="s">
        <v>3724</v>
      </c>
      <c r="S73" s="2955" t="s">
        <v>3725</v>
      </c>
      <c r="T73" s="2955" t="s">
        <v>3726</v>
      </c>
      <c r="U73" s="2955" t="s">
        <v>3726</v>
      </c>
      <c r="V73" s="2955" t="s">
        <v>3727</v>
      </c>
      <c r="W73" s="2955" t="s">
        <v>3726</v>
      </c>
      <c r="X73" s="2955" t="s">
        <v>3373</v>
      </c>
      <c r="Y73" s="2955" t="s">
        <v>3373</v>
      </c>
      <c r="Z73" s="2955" t="s">
        <v>3412</v>
      </c>
      <c r="AA73" s="2955" t="s">
        <v>3726</v>
      </c>
      <c r="AB73" s="2955" t="s">
        <v>3659</v>
      </c>
      <c r="AC73" s="2955" t="s">
        <v>3726</v>
      </c>
      <c r="AD73" s="2955" t="s">
        <v>3458</v>
      </c>
      <c r="AE73" s="2955" t="s">
        <v>3458</v>
      </c>
      <c r="AF73" s="2955" t="s">
        <v>3728</v>
      </c>
      <c r="AG73" s="2955">
        <v>7.85</v>
      </c>
      <c r="AH73" s="2955" t="s">
        <v>1014</v>
      </c>
      <c r="AI73" s="2955" t="s">
        <v>1014</v>
      </c>
      <c r="AJ73" s="2955" t="s">
        <v>1014</v>
      </c>
      <c r="AK73" s="2955" t="s">
        <v>1014</v>
      </c>
      <c r="AL73" s="2955">
        <v>4.7</v>
      </c>
      <c r="AM73" s="2955">
        <v>4.7</v>
      </c>
      <c r="AN73" s="2955" t="s">
        <v>3458</v>
      </c>
    </row>
    <row r="74" spans="1:41" x14ac:dyDescent="0.3">
      <c r="A74" s="2954" t="s">
        <v>2805</v>
      </c>
      <c r="B74" s="2955" t="s">
        <v>3320</v>
      </c>
      <c r="C74" s="2955" t="s">
        <v>3333</v>
      </c>
      <c r="D74" s="2955" t="s">
        <v>3558</v>
      </c>
      <c r="E74" s="2955" t="s">
        <v>3388</v>
      </c>
      <c r="F74" s="2955" t="s">
        <v>3320</v>
      </c>
      <c r="G74" s="2955" t="s">
        <v>3320</v>
      </c>
      <c r="H74" s="2955" t="s">
        <v>3389</v>
      </c>
      <c r="I74" s="2955" t="s">
        <v>3592</v>
      </c>
      <c r="J74" s="2955" t="s">
        <v>3320</v>
      </c>
      <c r="K74" s="2955" t="s">
        <v>3375</v>
      </c>
      <c r="L74" s="2955" t="s">
        <v>3320</v>
      </c>
      <c r="M74" s="2955" t="s">
        <v>3390</v>
      </c>
      <c r="N74" s="2955" t="s">
        <v>3320</v>
      </c>
      <c r="O74" s="2955" t="s">
        <v>3320</v>
      </c>
      <c r="P74" s="2955" t="s">
        <v>3320</v>
      </c>
      <c r="Q74" s="2955" t="s">
        <v>3320</v>
      </c>
      <c r="R74" s="2955" t="s">
        <v>3360</v>
      </c>
      <c r="S74" s="2955" t="s">
        <v>3430</v>
      </c>
      <c r="T74" s="2955" t="s">
        <v>3686</v>
      </c>
      <c r="U74" s="2955" t="s">
        <v>3686</v>
      </c>
      <c r="V74" s="2955" t="s">
        <v>3686</v>
      </c>
      <c r="W74" s="2955" t="s">
        <v>3420</v>
      </c>
      <c r="X74" s="2955" t="s">
        <v>3729</v>
      </c>
      <c r="Y74" s="2955" t="s">
        <v>3729</v>
      </c>
      <c r="Z74" s="2955" t="s">
        <v>3729</v>
      </c>
      <c r="AA74" s="2955" t="s">
        <v>3729</v>
      </c>
      <c r="AB74" s="2955" t="s">
        <v>3729</v>
      </c>
      <c r="AC74" s="2955" t="s">
        <v>3729</v>
      </c>
      <c r="AD74" s="2955" t="s">
        <v>3669</v>
      </c>
      <c r="AE74" s="2955" t="s">
        <v>3730</v>
      </c>
      <c r="AF74" s="2955" t="s">
        <v>3459</v>
      </c>
      <c r="AG74" s="2955" t="s">
        <v>3731</v>
      </c>
      <c r="AH74" s="2955" t="s">
        <v>3419</v>
      </c>
      <c r="AI74" s="2955" t="s">
        <v>3731</v>
      </c>
      <c r="AJ74" s="2955" t="s">
        <v>3732</v>
      </c>
      <c r="AK74" s="2955" t="s">
        <v>3715</v>
      </c>
      <c r="AL74" s="2955" t="s">
        <v>3434</v>
      </c>
      <c r="AM74" s="2955" t="s">
        <v>3733</v>
      </c>
      <c r="AN74" s="2955" t="s">
        <v>3520</v>
      </c>
    </row>
    <row r="75" spans="1:41" x14ac:dyDescent="0.3">
      <c r="A75" s="2954" t="s">
        <v>2806</v>
      </c>
      <c r="B75" s="2955" t="s">
        <v>3360</v>
      </c>
      <c r="C75" s="2955" t="s">
        <v>3360</v>
      </c>
      <c r="D75" s="2955" t="s">
        <v>3360</v>
      </c>
      <c r="E75" s="2955" t="s">
        <v>3360</v>
      </c>
      <c r="F75" s="2955" t="s">
        <v>3318</v>
      </c>
      <c r="G75" s="2955" t="s">
        <v>3360</v>
      </c>
      <c r="H75" s="2955" t="s">
        <v>3360</v>
      </c>
      <c r="I75" s="2955" t="s">
        <v>3360</v>
      </c>
      <c r="J75" s="2955" t="s">
        <v>3360</v>
      </c>
      <c r="K75" s="2955" t="s">
        <v>3360</v>
      </c>
      <c r="L75" s="2955" t="s">
        <v>3362</v>
      </c>
      <c r="M75" s="2955" t="s">
        <v>3362</v>
      </c>
      <c r="N75" s="2955" t="s">
        <v>3362</v>
      </c>
      <c r="O75" s="2955" t="s">
        <v>3362</v>
      </c>
      <c r="P75" s="2955" t="s">
        <v>3362</v>
      </c>
      <c r="Q75" s="2955" t="s">
        <v>3362</v>
      </c>
      <c r="R75" s="2955" t="s">
        <v>3323</v>
      </c>
      <c r="S75" s="2955" t="s">
        <v>3365</v>
      </c>
      <c r="T75" s="2955" t="s">
        <v>3335</v>
      </c>
      <c r="U75" s="2955" t="s">
        <v>3335</v>
      </c>
      <c r="V75" s="2955" t="s">
        <v>3326</v>
      </c>
      <c r="W75" s="2955" t="s">
        <v>3326</v>
      </c>
      <c r="X75" s="2955" t="s">
        <v>3326</v>
      </c>
      <c r="Y75" s="2955" t="s">
        <v>3326</v>
      </c>
      <c r="Z75" s="2955" t="s">
        <v>3326</v>
      </c>
      <c r="AA75" s="2955" t="s">
        <v>3326</v>
      </c>
      <c r="AB75" s="2955" t="s">
        <v>3326</v>
      </c>
      <c r="AC75" s="2955" t="s">
        <v>3326</v>
      </c>
      <c r="AD75" s="2955" t="s">
        <v>3422</v>
      </c>
      <c r="AE75" s="2955" t="s">
        <v>3368</v>
      </c>
      <c r="AF75" s="2955" t="s">
        <v>3471</v>
      </c>
      <c r="AG75" s="2955" t="s">
        <v>3353</v>
      </c>
      <c r="AH75" s="2955" t="s">
        <v>3422</v>
      </c>
      <c r="AI75" s="2955" t="s">
        <v>3422</v>
      </c>
      <c r="AJ75" s="2955" t="s">
        <v>3344</v>
      </c>
      <c r="AK75" s="2955" t="s">
        <v>3353</v>
      </c>
      <c r="AL75" s="2955" t="s">
        <v>3353</v>
      </c>
      <c r="AM75" s="2955" t="s">
        <v>3734</v>
      </c>
      <c r="AN75" s="2955" t="s">
        <v>3497</v>
      </c>
    </row>
    <row r="76" spans="1:41" x14ac:dyDescent="0.3">
      <c r="A76" s="2954" t="s">
        <v>2807</v>
      </c>
      <c r="B76" s="2955" t="s">
        <v>3318</v>
      </c>
      <c r="C76" s="2955" t="s">
        <v>3360</v>
      </c>
      <c r="D76" s="2955" t="s">
        <v>3442</v>
      </c>
      <c r="E76" s="2955" t="s">
        <v>3360</v>
      </c>
      <c r="F76" s="2955" t="s">
        <v>3360</v>
      </c>
      <c r="G76" s="2955" t="s">
        <v>3318</v>
      </c>
      <c r="H76" s="2955" t="s">
        <v>3360</v>
      </c>
      <c r="I76" s="2955" t="s">
        <v>3360</v>
      </c>
      <c r="J76" s="2955" t="s">
        <v>3442</v>
      </c>
      <c r="K76" s="2955" t="s">
        <v>3442</v>
      </c>
      <c r="L76" s="2955" t="s">
        <v>3362</v>
      </c>
      <c r="M76" s="2955" t="s">
        <v>3362</v>
      </c>
      <c r="N76" s="2955" t="s">
        <v>3362</v>
      </c>
      <c r="O76" s="2955" t="s">
        <v>3362</v>
      </c>
      <c r="P76" s="2955" t="s">
        <v>3362</v>
      </c>
      <c r="Q76" s="2955" t="s">
        <v>3362</v>
      </c>
      <c r="R76" s="2955" t="s">
        <v>3362</v>
      </c>
      <c r="S76" s="2955" t="s">
        <v>3365</v>
      </c>
      <c r="T76" s="2955" t="s">
        <v>3401</v>
      </c>
      <c r="U76" s="2955" t="s">
        <v>3326</v>
      </c>
      <c r="V76" s="2955" t="s">
        <v>3326</v>
      </c>
      <c r="W76" s="2955" t="s">
        <v>3335</v>
      </c>
      <c r="X76" s="2955" t="s">
        <v>3335</v>
      </c>
      <c r="Y76" s="2955" t="s">
        <v>3335</v>
      </c>
      <c r="Z76" s="2955" t="s">
        <v>3365</v>
      </c>
      <c r="AA76" s="2955" t="s">
        <v>3326</v>
      </c>
      <c r="AB76" s="2955" t="s">
        <v>3326</v>
      </c>
      <c r="AC76" s="2955" t="s">
        <v>3326</v>
      </c>
      <c r="AD76" s="2955" t="s">
        <v>3382</v>
      </c>
      <c r="AE76" s="2955" t="s">
        <v>3340</v>
      </c>
      <c r="AF76" s="2955" t="s">
        <v>3393</v>
      </c>
      <c r="AG76" s="2955" t="s">
        <v>3393</v>
      </c>
      <c r="AH76" s="2955" t="s">
        <v>3422</v>
      </c>
      <c r="AI76" s="2955" t="s">
        <v>3340</v>
      </c>
      <c r="AJ76" s="2955" t="s">
        <v>3393</v>
      </c>
      <c r="AK76" s="2955" t="s">
        <v>3735</v>
      </c>
      <c r="AL76" s="2955" t="s">
        <v>3736</v>
      </c>
      <c r="AM76" s="2955" t="s">
        <v>3316</v>
      </c>
      <c r="AN76" s="2955" t="s">
        <v>3382</v>
      </c>
    </row>
    <row r="77" spans="1:41" s="2944" customFormat="1" x14ac:dyDescent="0.3">
      <c r="A77" s="2953" t="s">
        <v>2808</v>
      </c>
      <c r="B77" s="2952" t="s">
        <v>3414</v>
      </c>
      <c r="C77" s="2952" t="s">
        <v>3414</v>
      </c>
      <c r="D77" s="2952" t="s">
        <v>3414</v>
      </c>
      <c r="E77" s="2952" t="s">
        <v>3414</v>
      </c>
      <c r="F77" s="2952" t="s">
        <v>3319</v>
      </c>
      <c r="G77" s="2952" t="s">
        <v>3414</v>
      </c>
      <c r="H77" s="2952" t="s">
        <v>3737</v>
      </c>
      <c r="I77" s="2952" t="s">
        <v>3737</v>
      </c>
      <c r="J77" s="2952" t="s">
        <v>3414</v>
      </c>
      <c r="K77" s="2952" t="s">
        <v>3414</v>
      </c>
      <c r="L77" s="2952" t="s">
        <v>3482</v>
      </c>
      <c r="M77" s="2952" t="s">
        <v>3320</v>
      </c>
      <c r="N77" s="2952" t="s">
        <v>3659</v>
      </c>
      <c r="O77" s="2952" t="s">
        <v>3540</v>
      </c>
      <c r="P77" s="2952" t="s">
        <v>3659</v>
      </c>
      <c r="Q77" s="2952" t="s">
        <v>3659</v>
      </c>
      <c r="R77" s="2952" t="s">
        <v>3659</v>
      </c>
      <c r="S77" s="2952" t="s">
        <v>3412</v>
      </c>
      <c r="T77" s="2952" t="s">
        <v>3446</v>
      </c>
      <c r="U77" s="2952" t="s">
        <v>3446</v>
      </c>
      <c r="V77" s="2952" t="s">
        <v>3326</v>
      </c>
      <c r="W77" s="2952" t="s">
        <v>3326</v>
      </c>
      <c r="X77" s="2952" t="s">
        <v>3326</v>
      </c>
      <c r="Y77" s="2952" t="s">
        <v>3326</v>
      </c>
      <c r="Z77" s="2952" t="s">
        <v>3326</v>
      </c>
      <c r="AA77" s="2952" t="s">
        <v>3326</v>
      </c>
      <c r="AB77" s="2952" t="s">
        <v>3326</v>
      </c>
      <c r="AC77" s="2952" t="s">
        <v>3326</v>
      </c>
      <c r="AD77" s="2952" t="s">
        <v>3738</v>
      </c>
      <c r="AE77" s="2952" t="s">
        <v>3368</v>
      </c>
      <c r="AF77" s="2952" t="s">
        <v>3368</v>
      </c>
      <c r="AG77" s="2952" t="s">
        <v>3340</v>
      </c>
      <c r="AH77" s="2952" t="s">
        <v>3340</v>
      </c>
      <c r="AI77" s="2952" t="s">
        <v>3739</v>
      </c>
      <c r="AJ77" s="2952" t="s">
        <v>3340</v>
      </c>
      <c r="AK77" s="2952" t="s">
        <v>3432</v>
      </c>
      <c r="AL77" s="2952" t="s">
        <v>3432</v>
      </c>
      <c r="AM77" s="2952" t="s">
        <v>3340</v>
      </c>
      <c r="AN77" s="2952" t="s">
        <v>3432</v>
      </c>
      <c r="AO77" s="2967"/>
    </row>
    <row r="78" spans="1:41" s="2944" customFormat="1" x14ac:dyDescent="0.3">
      <c r="A78" s="2953" t="s">
        <v>2809</v>
      </c>
      <c r="B78" s="2952" t="s">
        <v>3320</v>
      </c>
      <c r="C78" s="2952" t="s">
        <v>3362</v>
      </c>
      <c r="D78" s="2952" t="s">
        <v>3740</v>
      </c>
      <c r="E78" s="2952" t="s">
        <v>3442</v>
      </c>
      <c r="F78" s="2952" t="s">
        <v>3389</v>
      </c>
      <c r="G78" s="2952" t="s">
        <v>3320</v>
      </c>
      <c r="H78" s="2952" t="s">
        <v>3389</v>
      </c>
      <c r="I78" s="2952" t="s">
        <v>3320</v>
      </c>
      <c r="J78" s="2952" t="s">
        <v>3389</v>
      </c>
      <c r="K78" s="2952" t="s">
        <v>3591</v>
      </c>
      <c r="L78" s="2952" t="s">
        <v>3446</v>
      </c>
      <c r="M78" s="2952" t="s">
        <v>3741</v>
      </c>
      <c r="N78" s="2952" t="s">
        <v>3474</v>
      </c>
      <c r="O78" s="2952" t="s">
        <v>3742</v>
      </c>
      <c r="P78" s="2952" t="s">
        <v>3446</v>
      </c>
      <c r="Q78" s="2952" t="s">
        <v>3390</v>
      </c>
      <c r="R78" s="2952" t="s">
        <v>3320</v>
      </c>
      <c r="S78" s="2952" t="s">
        <v>3390</v>
      </c>
      <c r="T78" s="2952" t="s">
        <v>3338</v>
      </c>
      <c r="U78" s="2952" t="s">
        <v>3326</v>
      </c>
      <c r="V78" s="2952" t="s">
        <v>3326</v>
      </c>
      <c r="W78" s="2952" t="s">
        <v>3326</v>
      </c>
      <c r="X78" s="2952" t="s">
        <v>3326</v>
      </c>
      <c r="Y78" s="2952" t="s">
        <v>3326</v>
      </c>
      <c r="Z78" s="2952" t="s">
        <v>3326</v>
      </c>
      <c r="AA78" s="2952" t="s">
        <v>3326</v>
      </c>
      <c r="AB78" s="2952" t="s">
        <v>3326</v>
      </c>
      <c r="AC78" s="2952" t="s">
        <v>3326</v>
      </c>
      <c r="AD78" s="2952" t="s">
        <v>3743</v>
      </c>
      <c r="AE78" s="2952" t="s">
        <v>3353</v>
      </c>
      <c r="AF78" s="2952" t="s">
        <v>3340</v>
      </c>
      <c r="AG78" s="2952" t="s">
        <v>3744</v>
      </c>
      <c r="AH78" s="2952" t="s">
        <v>3344</v>
      </c>
      <c r="AI78" s="2952" t="s">
        <v>3422</v>
      </c>
      <c r="AJ78" s="2952" t="s">
        <v>3422</v>
      </c>
      <c r="AK78" s="2952" t="s">
        <v>3428</v>
      </c>
      <c r="AL78" s="2952" t="s">
        <v>3393</v>
      </c>
      <c r="AM78" s="2952" t="s">
        <v>3428</v>
      </c>
      <c r="AN78" s="2952" t="s">
        <v>3517</v>
      </c>
    </row>
    <row r="79" spans="1:41" x14ac:dyDescent="0.3">
      <c r="A79" s="2954" t="s">
        <v>2810</v>
      </c>
      <c r="B79" s="2955" t="s">
        <v>3319</v>
      </c>
      <c r="C79" s="2955" t="s">
        <v>3360</v>
      </c>
      <c r="D79" s="2955" t="s">
        <v>3442</v>
      </c>
      <c r="E79" s="2955" t="s">
        <v>3442</v>
      </c>
      <c r="F79" s="2955" t="s">
        <v>3319</v>
      </c>
      <c r="G79" s="2955" t="s">
        <v>3319</v>
      </c>
      <c r="H79" s="2955" t="s">
        <v>3745</v>
      </c>
      <c r="I79" s="2955" t="s">
        <v>3319</v>
      </c>
      <c r="J79" s="2955" t="s">
        <v>3319</v>
      </c>
      <c r="K79" s="2955" t="s">
        <v>3745</v>
      </c>
      <c r="L79" s="2955" t="s">
        <v>3320</v>
      </c>
      <c r="M79" s="2955" t="s">
        <v>3320</v>
      </c>
      <c r="N79" s="2955" t="s">
        <v>3320</v>
      </c>
      <c r="O79" s="2955" t="s">
        <v>3390</v>
      </c>
      <c r="P79" s="2955" t="s">
        <v>3320</v>
      </c>
      <c r="Q79" s="2955" t="s">
        <v>3390</v>
      </c>
      <c r="R79" s="2955" t="s">
        <v>3320</v>
      </c>
      <c r="S79" s="2955" t="s">
        <v>3390</v>
      </c>
      <c r="T79" s="2955" t="s">
        <v>3338</v>
      </c>
      <c r="U79" s="2955" t="s">
        <v>3338</v>
      </c>
      <c r="V79" s="2955" t="s">
        <v>3326</v>
      </c>
      <c r="W79" s="2955" t="s">
        <v>3326</v>
      </c>
      <c r="X79" s="2955" t="s">
        <v>3326</v>
      </c>
      <c r="Y79" s="2955" t="s">
        <v>3326</v>
      </c>
      <c r="Z79" s="2955" t="s">
        <v>3326</v>
      </c>
      <c r="AA79" s="2955" t="s">
        <v>3326</v>
      </c>
      <c r="AB79" s="2955" t="s">
        <v>3326</v>
      </c>
      <c r="AC79" s="2955" t="s">
        <v>3326</v>
      </c>
      <c r="AD79" s="2955" t="s">
        <v>3353</v>
      </c>
      <c r="AE79" s="2955" t="s">
        <v>3470</v>
      </c>
      <c r="AF79" s="2955" t="s">
        <v>3339</v>
      </c>
      <c r="AG79" s="2955" t="s">
        <v>3470</v>
      </c>
      <c r="AH79" s="2955" t="s">
        <v>3339</v>
      </c>
      <c r="AI79" s="2955" t="s">
        <v>3353</v>
      </c>
      <c r="AJ79" s="2955" t="s">
        <v>3746</v>
      </c>
      <c r="AK79" s="2955" t="s">
        <v>3353</v>
      </c>
      <c r="AL79" s="2955" t="s">
        <v>3353</v>
      </c>
      <c r="AM79" s="2955" t="s">
        <v>3353</v>
      </c>
      <c r="AN79" s="2955" t="s">
        <v>3339</v>
      </c>
    </row>
    <row r="80" spans="1:41" x14ac:dyDescent="0.3">
      <c r="A80" s="2954" t="s">
        <v>2811</v>
      </c>
      <c r="B80" s="2955" t="s">
        <v>3320</v>
      </c>
      <c r="C80" s="2955" t="s">
        <v>3362</v>
      </c>
      <c r="D80" s="2955" t="s">
        <v>3696</v>
      </c>
      <c r="E80" s="2955" t="s">
        <v>3360</v>
      </c>
      <c r="F80" s="2955" t="s">
        <v>3389</v>
      </c>
      <c r="G80" s="2955" t="s">
        <v>3320</v>
      </c>
      <c r="H80" s="2955" t="s">
        <v>3320</v>
      </c>
      <c r="I80" s="2955" t="s">
        <v>3320</v>
      </c>
      <c r="J80" s="2955" t="s">
        <v>3389</v>
      </c>
      <c r="K80" s="2955" t="s">
        <v>3446</v>
      </c>
      <c r="L80" s="2955" t="s">
        <v>3446</v>
      </c>
      <c r="M80" s="2955" t="s">
        <v>3446</v>
      </c>
      <c r="N80" s="2955" t="s">
        <v>3474</v>
      </c>
      <c r="O80" s="2955" t="s">
        <v>3474</v>
      </c>
      <c r="P80" s="2955" t="s">
        <v>3446</v>
      </c>
      <c r="Q80" s="2955" t="s">
        <v>3320</v>
      </c>
      <c r="R80" s="2955" t="s">
        <v>3320</v>
      </c>
      <c r="S80" s="2955" t="s">
        <v>3365</v>
      </c>
      <c r="T80" s="2955" t="s">
        <v>3338</v>
      </c>
      <c r="U80" s="2955" t="s">
        <v>3326</v>
      </c>
      <c r="V80" s="2955" t="s">
        <v>3326</v>
      </c>
      <c r="W80" s="2955" t="s">
        <v>3326</v>
      </c>
      <c r="X80" s="2955" t="s">
        <v>3326</v>
      </c>
      <c r="Y80" s="2955" t="s">
        <v>3326</v>
      </c>
      <c r="Z80" s="2955" t="s">
        <v>3326</v>
      </c>
      <c r="AA80" s="2955" t="s">
        <v>3326</v>
      </c>
      <c r="AB80" s="2955" t="s">
        <v>3326</v>
      </c>
      <c r="AC80" s="2955" t="s">
        <v>3326</v>
      </c>
      <c r="AD80" s="2955" t="s">
        <v>3743</v>
      </c>
      <c r="AE80" s="2955" t="s">
        <v>3368</v>
      </c>
      <c r="AF80" s="2955" t="s">
        <v>3340</v>
      </c>
      <c r="AG80" s="2955" t="s">
        <v>3747</v>
      </c>
      <c r="AH80" s="2955" t="s">
        <v>3344</v>
      </c>
      <c r="AI80" s="2955" t="s">
        <v>3368</v>
      </c>
      <c r="AJ80" s="2955" t="s">
        <v>3747</v>
      </c>
      <c r="AK80" s="2955" t="s">
        <v>3428</v>
      </c>
      <c r="AL80" s="2955" t="s">
        <v>3477</v>
      </c>
      <c r="AM80" s="2955" t="s">
        <v>3344</v>
      </c>
      <c r="AN80" s="2955" t="s">
        <v>3748</v>
      </c>
    </row>
    <row r="81" spans="1:40" x14ac:dyDescent="0.3">
      <c r="A81" s="2954" t="s">
        <v>2812</v>
      </c>
      <c r="B81" s="2955" t="s">
        <v>3360</v>
      </c>
      <c r="C81" s="2955" t="s">
        <v>3360</v>
      </c>
      <c r="D81" s="2955" t="s">
        <v>3360</v>
      </c>
      <c r="E81" s="2955" t="s">
        <v>3360</v>
      </c>
      <c r="F81" s="2955" t="s">
        <v>3360</v>
      </c>
      <c r="G81" s="2955" t="s">
        <v>3360</v>
      </c>
      <c r="H81" s="2955" t="s">
        <v>3360</v>
      </c>
      <c r="I81" s="2955" t="s">
        <v>3360</v>
      </c>
      <c r="J81" s="2955" t="s">
        <v>3360</v>
      </c>
      <c r="K81" s="2955" t="s">
        <v>3360</v>
      </c>
      <c r="L81" s="2955" t="s">
        <v>3362</v>
      </c>
      <c r="M81" s="2955" t="s">
        <v>3362</v>
      </c>
      <c r="N81" s="2955" t="s">
        <v>3362</v>
      </c>
      <c r="O81" s="2955" t="s">
        <v>3362</v>
      </c>
      <c r="P81" s="2955" t="s">
        <v>3362</v>
      </c>
      <c r="Q81" s="2955" t="s">
        <v>3362</v>
      </c>
      <c r="R81" s="2955" t="s">
        <v>3362</v>
      </c>
      <c r="S81" s="2955" t="s">
        <v>3425</v>
      </c>
      <c r="T81" s="2955" t="s">
        <v>3335</v>
      </c>
      <c r="U81" s="2955" t="s">
        <v>3335</v>
      </c>
      <c r="V81" s="2955" t="s">
        <v>3335</v>
      </c>
      <c r="W81" s="2955" t="s">
        <v>3326</v>
      </c>
      <c r="X81" s="2955" t="s">
        <v>3326</v>
      </c>
      <c r="Y81" s="2955" t="s">
        <v>3326</v>
      </c>
      <c r="Z81" s="2955" t="s">
        <v>3326</v>
      </c>
      <c r="AA81" s="2955" t="s">
        <v>3326</v>
      </c>
      <c r="AB81" s="2955" t="s">
        <v>3326</v>
      </c>
      <c r="AC81" s="2955" t="s">
        <v>3326</v>
      </c>
      <c r="AD81" s="2955" t="s">
        <v>3368</v>
      </c>
      <c r="AE81" s="2955" t="s">
        <v>3368</v>
      </c>
      <c r="AF81" s="2955" t="s">
        <v>3366</v>
      </c>
      <c r="AG81" s="2955" t="s">
        <v>3368</v>
      </c>
      <c r="AH81" s="2955" t="s">
        <v>3368</v>
      </c>
      <c r="AI81" s="2955" t="s">
        <v>3339</v>
      </c>
      <c r="AJ81" s="2955" t="s">
        <v>3339</v>
      </c>
      <c r="AK81" s="2955" t="s">
        <v>3339</v>
      </c>
      <c r="AL81" s="2955" t="s">
        <v>3339</v>
      </c>
      <c r="AM81" s="2955" t="s">
        <v>3368</v>
      </c>
      <c r="AN81" s="2955" t="s">
        <v>3339</v>
      </c>
    </row>
    <row r="82" spans="1:40" x14ac:dyDescent="0.3">
      <c r="A82" s="2954" t="s">
        <v>2813</v>
      </c>
      <c r="B82" s="2955" t="s">
        <v>3749</v>
      </c>
      <c r="C82" s="2955" t="s">
        <v>3749</v>
      </c>
      <c r="D82" s="2955" t="s">
        <v>3749</v>
      </c>
      <c r="E82" s="2955" t="s">
        <v>3749</v>
      </c>
      <c r="F82" s="2955" t="s">
        <v>3749</v>
      </c>
      <c r="G82" s="2955" t="s">
        <v>3749</v>
      </c>
      <c r="H82" s="2955" t="s">
        <v>3749</v>
      </c>
      <c r="I82" s="2955" t="s">
        <v>3749</v>
      </c>
      <c r="J82" s="2955" t="s">
        <v>3749</v>
      </c>
      <c r="K82" s="2955" t="s">
        <v>3749</v>
      </c>
      <c r="L82" s="2955" t="s">
        <v>3660</v>
      </c>
      <c r="M82" s="2955" t="s">
        <v>3750</v>
      </c>
      <c r="N82" s="2955" t="s">
        <v>3751</v>
      </c>
      <c r="O82" s="2955" t="s">
        <v>3750</v>
      </c>
      <c r="P82" s="2955" t="s">
        <v>3750</v>
      </c>
      <c r="Q82" s="2955" t="s">
        <v>3750</v>
      </c>
      <c r="R82" s="2955" t="s">
        <v>3750</v>
      </c>
      <c r="S82" s="2955" t="s">
        <v>3752</v>
      </c>
      <c r="T82" s="2955" t="s">
        <v>3753</v>
      </c>
      <c r="U82" s="2955" t="s">
        <v>3753</v>
      </c>
      <c r="V82" s="2955" t="s">
        <v>3753</v>
      </c>
      <c r="W82" s="2955" t="s">
        <v>3753</v>
      </c>
      <c r="X82" s="2955" t="s">
        <v>3753</v>
      </c>
      <c r="Y82" s="2955" t="s">
        <v>3753</v>
      </c>
      <c r="Z82" s="2955" t="s">
        <v>3753</v>
      </c>
      <c r="AA82" s="2955" t="s">
        <v>3753</v>
      </c>
      <c r="AB82" s="2955" t="s">
        <v>3753</v>
      </c>
      <c r="AC82" s="2955" t="s">
        <v>3753</v>
      </c>
      <c r="AD82" s="2955" t="s">
        <v>3458</v>
      </c>
      <c r="AE82" s="2955" t="s">
        <v>3458</v>
      </c>
      <c r="AF82" s="2955" t="s">
        <v>3369</v>
      </c>
      <c r="AG82" s="2955" t="s">
        <v>3369</v>
      </c>
      <c r="AH82" s="2955" t="s">
        <v>3369</v>
      </c>
      <c r="AI82" s="2955">
        <v>7.85</v>
      </c>
      <c r="AJ82" s="2955" t="s">
        <v>3369</v>
      </c>
      <c r="AK82" s="2955">
        <v>7.85</v>
      </c>
      <c r="AL82" s="2955" t="s">
        <v>3449</v>
      </c>
      <c r="AM82" s="2955" t="s">
        <v>3449</v>
      </c>
      <c r="AN82" s="2955" t="s">
        <v>3369</v>
      </c>
    </row>
    <row r="83" spans="1:40" x14ac:dyDescent="0.3">
      <c r="A83" s="2954" t="s">
        <v>2814</v>
      </c>
      <c r="B83" s="2955" t="s">
        <v>3360</v>
      </c>
      <c r="C83" s="2955" t="s">
        <v>3360</v>
      </c>
      <c r="D83" s="2955" t="s">
        <v>3360</v>
      </c>
      <c r="E83" s="2955" t="s">
        <v>3360</v>
      </c>
      <c r="F83" s="2955" t="s">
        <v>3360</v>
      </c>
      <c r="G83" s="2955" t="s">
        <v>3360</v>
      </c>
      <c r="H83" s="2955" t="s">
        <v>3360</v>
      </c>
      <c r="I83" s="2955" t="s">
        <v>3360</v>
      </c>
      <c r="J83" s="2955" t="s">
        <v>3360</v>
      </c>
      <c r="K83" s="2955" t="s">
        <v>3360</v>
      </c>
      <c r="L83" s="2955" t="s">
        <v>3362</v>
      </c>
      <c r="M83" s="2955" t="s">
        <v>3362</v>
      </c>
      <c r="N83" s="2955" t="s">
        <v>3362</v>
      </c>
      <c r="O83" s="2955" t="s">
        <v>3362</v>
      </c>
      <c r="P83" s="2955" t="s">
        <v>3362</v>
      </c>
      <c r="Q83" s="2955" t="s">
        <v>3362</v>
      </c>
      <c r="R83" s="2955" t="s">
        <v>3362</v>
      </c>
      <c r="S83" s="2955" t="s">
        <v>3365</v>
      </c>
      <c r="T83" s="2955" t="s">
        <v>3335</v>
      </c>
      <c r="U83" s="2955" t="s">
        <v>3335</v>
      </c>
      <c r="V83" s="2955" t="s">
        <v>3326</v>
      </c>
      <c r="W83" s="2955" t="s">
        <v>3326</v>
      </c>
      <c r="X83" s="2955" t="s">
        <v>3326</v>
      </c>
      <c r="Y83" s="2955" t="s">
        <v>3326</v>
      </c>
      <c r="Z83" s="2955" t="s">
        <v>3326</v>
      </c>
      <c r="AA83" s="2955" t="s">
        <v>3326</v>
      </c>
      <c r="AB83" s="2955" t="s">
        <v>3326</v>
      </c>
      <c r="AC83" s="2955" t="s">
        <v>3326</v>
      </c>
      <c r="AD83" s="2955" t="s">
        <v>3368</v>
      </c>
      <c r="AE83" s="2955" t="s">
        <v>3368</v>
      </c>
      <c r="AF83" s="2955" t="s">
        <v>3340</v>
      </c>
      <c r="AG83" s="2955" t="s">
        <v>3368</v>
      </c>
      <c r="AH83" s="2955" t="s">
        <v>3368</v>
      </c>
      <c r="AI83" s="2955" t="s">
        <v>3340</v>
      </c>
      <c r="AJ83" s="2955" t="s">
        <v>3340</v>
      </c>
      <c r="AK83" s="2955" t="s">
        <v>3340</v>
      </c>
      <c r="AL83" s="2955" t="s">
        <v>3340</v>
      </c>
      <c r="AM83" s="2955" t="s">
        <v>3526</v>
      </c>
      <c r="AN83" s="2955" t="s">
        <v>3471</v>
      </c>
    </row>
    <row r="84" spans="1:40" ht="14.25" customHeight="1" x14ac:dyDescent="0.3">
      <c r="A84" s="2954" t="s">
        <v>2815</v>
      </c>
      <c r="B84" s="2955" t="s">
        <v>3566</v>
      </c>
      <c r="C84" s="2955" t="s">
        <v>3379</v>
      </c>
      <c r="D84" s="2955" t="s">
        <v>3379</v>
      </c>
      <c r="E84" s="2955" t="s">
        <v>1387</v>
      </c>
      <c r="F84" s="2955" t="s">
        <v>3566</v>
      </c>
      <c r="G84" s="2955" t="s">
        <v>3565</v>
      </c>
      <c r="H84" s="2955" t="s">
        <v>3632</v>
      </c>
      <c r="I84" s="2955" t="s">
        <v>3754</v>
      </c>
      <c r="J84" s="2955" t="s">
        <v>3755</v>
      </c>
      <c r="K84" s="2955" t="s">
        <v>3756</v>
      </c>
      <c r="L84" s="2955" t="s">
        <v>3574</v>
      </c>
      <c r="M84" s="2955" t="s">
        <v>3757</v>
      </c>
      <c r="N84" s="2955" t="s">
        <v>3576</v>
      </c>
      <c r="O84" s="2955" t="s">
        <v>3576</v>
      </c>
      <c r="P84" s="2955" t="s">
        <v>3576</v>
      </c>
      <c r="Q84" s="2955" t="s">
        <v>3758</v>
      </c>
      <c r="R84" s="2955" t="s">
        <v>3759</v>
      </c>
      <c r="S84" s="2955" t="s">
        <v>3577</v>
      </c>
      <c r="T84" s="2955" t="s">
        <v>3368</v>
      </c>
      <c r="U84" s="2955" t="s">
        <v>3340</v>
      </c>
      <c r="V84" s="2955" t="s">
        <v>3419</v>
      </c>
      <c r="W84" s="2955" t="s">
        <v>3340</v>
      </c>
      <c r="X84" s="2955" t="s">
        <v>3339</v>
      </c>
      <c r="Y84" s="2955" t="s">
        <v>3477</v>
      </c>
      <c r="Z84" s="2955" t="s">
        <v>3340</v>
      </c>
      <c r="AA84" s="2955" t="s">
        <v>3368</v>
      </c>
      <c r="AB84" s="2955" t="s">
        <v>3368</v>
      </c>
      <c r="AC84" s="2955" t="s">
        <v>3368</v>
      </c>
      <c r="AD84" s="2955" t="s">
        <v>3760</v>
      </c>
      <c r="AE84" s="2955" t="s">
        <v>3339</v>
      </c>
      <c r="AF84" s="2955" t="s">
        <v>3368</v>
      </c>
      <c r="AG84" s="2955" t="s">
        <v>3339</v>
      </c>
      <c r="AH84" s="2955" t="s">
        <v>3368</v>
      </c>
      <c r="AI84" s="2955" t="s">
        <v>3761</v>
      </c>
      <c r="AJ84" s="2955" t="s">
        <v>3339</v>
      </c>
      <c r="AK84" s="2955" t="s">
        <v>3368</v>
      </c>
      <c r="AL84" s="2955" t="s">
        <v>3449</v>
      </c>
      <c r="AM84" s="2955" t="s">
        <v>3762</v>
      </c>
      <c r="AN84" s="2955" t="s">
        <v>3664</v>
      </c>
    </row>
    <row r="85" spans="1:40" s="2944" customFormat="1" x14ac:dyDescent="0.3">
      <c r="A85" s="2953" t="s">
        <v>2816</v>
      </c>
      <c r="B85" s="2952" t="s">
        <v>3336</v>
      </c>
      <c r="C85" s="2952" t="s">
        <v>3318</v>
      </c>
      <c r="D85" s="2952" t="s">
        <v>3318</v>
      </c>
      <c r="E85" s="2952" t="s">
        <v>3414</v>
      </c>
      <c r="F85" s="2952" t="s">
        <v>3414</v>
      </c>
      <c r="G85" s="2952" t="s">
        <v>3360</v>
      </c>
      <c r="H85" s="2952" t="s">
        <v>3360</v>
      </c>
      <c r="I85" s="2952" t="s">
        <v>3763</v>
      </c>
      <c r="J85" s="2952" t="s">
        <v>3442</v>
      </c>
      <c r="K85" s="2952" t="s">
        <v>3751</v>
      </c>
      <c r="L85" s="2952" t="s">
        <v>3444</v>
      </c>
      <c r="M85" s="2952" t="s">
        <v>3371</v>
      </c>
      <c r="N85" s="2952" t="s">
        <v>3660</v>
      </c>
      <c r="O85" s="2952" t="s">
        <v>3362</v>
      </c>
      <c r="P85" s="2952" t="s">
        <v>3362</v>
      </c>
      <c r="Q85" s="2952" t="s">
        <v>3371</v>
      </c>
      <c r="R85" s="2952" t="s">
        <v>3467</v>
      </c>
      <c r="S85" s="2952" t="s">
        <v>3415</v>
      </c>
      <c r="T85" s="2952" t="s">
        <v>3430</v>
      </c>
      <c r="U85" s="2952" t="s">
        <v>3326</v>
      </c>
      <c r="V85" s="2952" t="s">
        <v>3326</v>
      </c>
      <c r="W85" s="2952" t="s">
        <v>3596</v>
      </c>
      <c r="X85" s="2952" t="s">
        <v>3326</v>
      </c>
      <c r="Y85" s="2952" t="s">
        <v>3326</v>
      </c>
      <c r="Z85" s="2952" t="s">
        <v>3326</v>
      </c>
      <c r="AA85" s="2952" t="s">
        <v>3326</v>
      </c>
      <c r="AB85" s="2952" t="s">
        <v>3326</v>
      </c>
      <c r="AC85" s="2952" t="s">
        <v>3326</v>
      </c>
      <c r="AD85" s="2952" t="s">
        <v>3764</v>
      </c>
      <c r="AE85" s="2952" t="s">
        <v>3764</v>
      </c>
      <c r="AF85" s="2952" t="s">
        <v>3393</v>
      </c>
      <c r="AG85" s="2952" t="s">
        <v>3393</v>
      </c>
      <c r="AH85" s="2952" t="s">
        <v>3393</v>
      </c>
      <c r="AI85" s="2952" t="s">
        <v>3393</v>
      </c>
      <c r="AJ85" s="2952" t="s">
        <v>3764</v>
      </c>
      <c r="AK85" s="2952" t="s">
        <v>3764</v>
      </c>
      <c r="AL85" s="2952" t="s">
        <v>3517</v>
      </c>
      <c r="AM85" s="2952" t="s">
        <v>3764</v>
      </c>
      <c r="AN85" s="2952" t="s">
        <v>3765</v>
      </c>
    </row>
    <row r="86" spans="1:40" x14ac:dyDescent="0.3">
      <c r="A86" s="2954" t="s">
        <v>2817</v>
      </c>
      <c r="B86" s="2955" t="s">
        <v>3336</v>
      </c>
      <c r="C86" s="2955" t="s">
        <v>3360</v>
      </c>
      <c r="D86" s="2955" t="s">
        <v>3751</v>
      </c>
      <c r="E86" s="2955" t="s">
        <v>3360</v>
      </c>
      <c r="F86" s="2955" t="s">
        <v>3360</v>
      </c>
      <c r="G86" s="2955" t="s">
        <v>3360</v>
      </c>
      <c r="H86" s="2955" t="s">
        <v>3360</v>
      </c>
      <c r="I86" s="2955" t="s">
        <v>3763</v>
      </c>
      <c r="J86" s="2955" t="s">
        <v>3442</v>
      </c>
      <c r="K86" s="2955" t="s">
        <v>3751</v>
      </c>
      <c r="L86" s="2955" t="s">
        <v>3444</v>
      </c>
      <c r="M86" s="2955" t="s">
        <v>3371</v>
      </c>
      <c r="N86" s="2955" t="s">
        <v>3362</v>
      </c>
      <c r="O86" s="2955" t="s">
        <v>3362</v>
      </c>
      <c r="P86" s="2955" t="s">
        <v>3362</v>
      </c>
      <c r="Q86" s="2955" t="s">
        <v>3371</v>
      </c>
      <c r="R86" s="2955" t="s">
        <v>3583</v>
      </c>
      <c r="S86" s="2955" t="s">
        <v>3365</v>
      </c>
      <c r="T86" s="2955" t="s">
        <v>3335</v>
      </c>
      <c r="U86" s="2955" t="s">
        <v>3326</v>
      </c>
      <c r="V86" s="2955" t="s">
        <v>3326</v>
      </c>
      <c r="W86" s="2955" t="s">
        <v>3326</v>
      </c>
      <c r="X86" s="2955" t="s">
        <v>3326</v>
      </c>
      <c r="Y86" s="2955" t="s">
        <v>3326</v>
      </c>
      <c r="Z86" s="2955" t="s">
        <v>3326</v>
      </c>
      <c r="AA86" s="2955" t="s">
        <v>3326</v>
      </c>
      <c r="AB86" s="2955" t="s">
        <v>3326</v>
      </c>
      <c r="AC86" s="2955" t="s">
        <v>3326</v>
      </c>
      <c r="AD86" s="2955" t="s">
        <v>3410</v>
      </c>
      <c r="AE86" s="2955" t="s">
        <v>3410</v>
      </c>
      <c r="AF86" s="2955" t="s">
        <v>3368</v>
      </c>
      <c r="AG86" s="2955" t="s">
        <v>3766</v>
      </c>
      <c r="AH86" s="2955" t="s">
        <v>3340</v>
      </c>
      <c r="AI86" s="2955" t="s">
        <v>3767</v>
      </c>
      <c r="AJ86" s="2955" t="s">
        <v>3427</v>
      </c>
      <c r="AK86" s="2955" t="s">
        <v>3368</v>
      </c>
      <c r="AL86" s="2955" t="s">
        <v>3438</v>
      </c>
      <c r="AM86" s="2955" t="s">
        <v>3368</v>
      </c>
      <c r="AN86" s="2955" t="s">
        <v>3368</v>
      </c>
    </row>
    <row r="87" spans="1:40" x14ac:dyDescent="0.3">
      <c r="A87" s="2954" t="s">
        <v>2818</v>
      </c>
      <c r="B87" s="2955" t="s">
        <v>3722</v>
      </c>
      <c r="C87" s="2955" t="s">
        <v>3722</v>
      </c>
      <c r="D87" s="2955" t="s">
        <v>3722</v>
      </c>
      <c r="E87" s="2955" t="s">
        <v>3722</v>
      </c>
      <c r="F87" s="2955" t="s">
        <v>3668</v>
      </c>
      <c r="G87" s="2955" t="s">
        <v>3360</v>
      </c>
      <c r="H87" s="2955" t="s">
        <v>3668</v>
      </c>
      <c r="I87" s="2955" t="s">
        <v>3722</v>
      </c>
      <c r="J87" s="2955" t="s">
        <v>3722</v>
      </c>
      <c r="K87" s="2955" t="s">
        <v>3360</v>
      </c>
      <c r="L87" s="2955" t="s">
        <v>3686</v>
      </c>
      <c r="M87" s="2955" t="s">
        <v>3724</v>
      </c>
      <c r="N87" s="2955" t="s">
        <v>1014</v>
      </c>
      <c r="O87" s="2955" t="s">
        <v>3724</v>
      </c>
      <c r="P87" s="2955" t="s">
        <v>3768</v>
      </c>
      <c r="Q87" s="2955" t="s">
        <v>3724</v>
      </c>
      <c r="R87" s="2955" t="s">
        <v>3370</v>
      </c>
      <c r="S87" s="2955" t="s">
        <v>3725</v>
      </c>
      <c r="T87" s="2955" t="s">
        <v>3726</v>
      </c>
      <c r="U87" s="2955" t="s">
        <v>3726</v>
      </c>
      <c r="V87" s="2955" t="s">
        <v>3726</v>
      </c>
      <c r="W87" s="2955" t="s">
        <v>3726</v>
      </c>
      <c r="X87" s="2955" t="s">
        <v>3726</v>
      </c>
      <c r="Y87" s="2955" t="s">
        <v>3726</v>
      </c>
      <c r="Z87" s="2955" t="s">
        <v>3726</v>
      </c>
      <c r="AA87" s="2955" t="s">
        <v>3726</v>
      </c>
      <c r="AB87" s="2955" t="s">
        <v>3326</v>
      </c>
      <c r="AC87" s="2955" t="s">
        <v>3726</v>
      </c>
      <c r="AD87" s="2955" t="s">
        <v>3458</v>
      </c>
      <c r="AE87" s="2955" t="s">
        <v>3458</v>
      </c>
      <c r="AF87" s="2955" t="s">
        <v>3458</v>
      </c>
      <c r="AG87" s="2955">
        <v>7.85</v>
      </c>
      <c r="AH87" s="2955">
        <v>7.85</v>
      </c>
      <c r="AI87" s="2955">
        <v>7.85</v>
      </c>
      <c r="AJ87" s="2955">
        <v>7.85</v>
      </c>
      <c r="AK87" s="2955">
        <v>7.85</v>
      </c>
      <c r="AL87" s="2955">
        <v>7.85</v>
      </c>
      <c r="AM87" s="2955">
        <v>7.85</v>
      </c>
      <c r="AN87" s="2955" t="s">
        <v>3458</v>
      </c>
    </row>
    <row r="88" spans="1:40" x14ac:dyDescent="0.3">
      <c r="A88" s="2954" t="s">
        <v>2819</v>
      </c>
      <c r="B88" s="2955" t="s">
        <v>3360</v>
      </c>
      <c r="C88" s="2955" t="s">
        <v>3360</v>
      </c>
      <c r="D88" s="2955" t="s">
        <v>3360</v>
      </c>
      <c r="E88" s="2955" t="s">
        <v>3360</v>
      </c>
      <c r="F88" s="2955" t="s">
        <v>3360</v>
      </c>
      <c r="G88" s="2955" t="s">
        <v>3360</v>
      </c>
      <c r="H88" s="2955" t="s">
        <v>3360</v>
      </c>
      <c r="I88" s="2955" t="s">
        <v>3360</v>
      </c>
      <c r="J88" s="2955" t="s">
        <v>3360</v>
      </c>
      <c r="K88" s="2955" t="s">
        <v>3360</v>
      </c>
      <c r="L88" s="2955" t="s">
        <v>3362</v>
      </c>
      <c r="M88" s="2955" t="s">
        <v>3362</v>
      </c>
      <c r="N88" s="2955" t="s">
        <v>3362</v>
      </c>
      <c r="O88" s="2955" t="s">
        <v>3362</v>
      </c>
      <c r="P88" s="2955" t="s">
        <v>3362</v>
      </c>
      <c r="Q88" s="2955" t="s">
        <v>3362</v>
      </c>
      <c r="R88" s="2955" t="s">
        <v>3365</v>
      </c>
      <c r="S88" s="2955" t="s">
        <v>3415</v>
      </c>
      <c r="T88" s="2955" t="s">
        <v>3430</v>
      </c>
      <c r="U88" s="2955" t="s">
        <v>3326</v>
      </c>
      <c r="V88" s="2955" t="s">
        <v>3326</v>
      </c>
      <c r="W88" s="2955" t="s">
        <v>3326</v>
      </c>
      <c r="X88" s="2955" t="s">
        <v>3326</v>
      </c>
      <c r="Y88" s="2955" t="s">
        <v>3326</v>
      </c>
      <c r="Z88" s="2955" t="s">
        <v>3326</v>
      </c>
      <c r="AA88" s="2955" t="s">
        <v>3326</v>
      </c>
      <c r="AB88" s="2955" t="s">
        <v>3326</v>
      </c>
      <c r="AC88" s="2955" t="s">
        <v>3326</v>
      </c>
      <c r="AD88" s="2955" t="s">
        <v>3340</v>
      </c>
      <c r="AE88" s="2955" t="s">
        <v>3340</v>
      </c>
      <c r="AF88" s="2955" t="s">
        <v>3340</v>
      </c>
      <c r="AG88" s="2955" t="s">
        <v>3393</v>
      </c>
      <c r="AH88" s="2955" t="s">
        <v>3765</v>
      </c>
      <c r="AI88" s="2955" t="s">
        <v>3765</v>
      </c>
      <c r="AJ88" s="2955" t="s">
        <v>3340</v>
      </c>
      <c r="AK88" s="2955" t="s">
        <v>3340</v>
      </c>
      <c r="AL88" s="2955" t="s">
        <v>3340</v>
      </c>
      <c r="AM88" s="2955" t="s">
        <v>3340</v>
      </c>
      <c r="AN88" s="2955" t="s">
        <v>3769</v>
      </c>
    </row>
    <row r="89" spans="1:40" x14ac:dyDescent="0.3">
      <c r="A89" s="2954" t="s">
        <v>2820</v>
      </c>
      <c r="B89" s="2955" t="s">
        <v>3360</v>
      </c>
      <c r="C89" s="2955" t="s">
        <v>3360</v>
      </c>
      <c r="D89" s="2955" t="s">
        <v>3360</v>
      </c>
      <c r="E89" s="2955" t="s">
        <v>3360</v>
      </c>
      <c r="F89" s="2955" t="s">
        <v>3360</v>
      </c>
      <c r="G89" s="2955" t="s">
        <v>3360</v>
      </c>
      <c r="H89" s="2955" t="s">
        <v>3360</v>
      </c>
      <c r="I89" s="2955" t="s">
        <v>3360</v>
      </c>
      <c r="J89" s="2955" t="s">
        <v>3360</v>
      </c>
      <c r="K89" s="2955" t="s">
        <v>3360</v>
      </c>
      <c r="L89" s="2955" t="s">
        <v>3362</v>
      </c>
      <c r="M89" s="2955" t="s">
        <v>3362</v>
      </c>
      <c r="N89" s="2955" t="s">
        <v>3362</v>
      </c>
      <c r="O89" s="2955" t="s">
        <v>3362</v>
      </c>
      <c r="P89" s="2955" t="s">
        <v>3362</v>
      </c>
      <c r="Q89" s="2955" t="s">
        <v>3362</v>
      </c>
      <c r="R89" s="2955" t="s">
        <v>3362</v>
      </c>
      <c r="S89" s="2955" t="s">
        <v>3365</v>
      </c>
      <c r="T89" s="2955" t="s">
        <v>3335</v>
      </c>
      <c r="U89" s="2955" t="s">
        <v>3335</v>
      </c>
      <c r="V89" s="2955" t="s">
        <v>3335</v>
      </c>
      <c r="W89" s="2955" t="s">
        <v>3326</v>
      </c>
      <c r="X89" s="2955" t="s">
        <v>3335</v>
      </c>
      <c r="Y89" s="2955" t="s">
        <v>3335</v>
      </c>
      <c r="Z89" s="2955" t="s">
        <v>3335</v>
      </c>
      <c r="AA89" s="2955" t="s">
        <v>3335</v>
      </c>
      <c r="AB89" s="2955" t="s">
        <v>3335</v>
      </c>
      <c r="AC89" s="2955" t="s">
        <v>3335</v>
      </c>
      <c r="AD89" s="2955" t="s">
        <v>3770</v>
      </c>
      <c r="AE89" s="2955" t="s">
        <v>3368</v>
      </c>
      <c r="AF89" s="2955" t="s">
        <v>3368</v>
      </c>
      <c r="AG89" s="2955" t="s">
        <v>3368</v>
      </c>
      <c r="AH89" s="2955" t="s">
        <v>3368</v>
      </c>
      <c r="AI89" s="2955" t="s">
        <v>3340</v>
      </c>
      <c r="AJ89" s="2955" t="s">
        <v>3368</v>
      </c>
      <c r="AK89" s="2955" t="s">
        <v>3368</v>
      </c>
      <c r="AL89" s="2955" t="s">
        <v>3368</v>
      </c>
      <c r="AM89" s="2955" t="s">
        <v>3669</v>
      </c>
      <c r="AN89" s="2955" t="s">
        <v>3368</v>
      </c>
    </row>
    <row r="90" spans="1:40" x14ac:dyDescent="0.3">
      <c r="A90" s="2954" t="s">
        <v>2821</v>
      </c>
      <c r="B90" s="2955" t="s">
        <v>3360</v>
      </c>
      <c r="C90" s="2955" t="s">
        <v>3360</v>
      </c>
      <c r="D90" s="2955" t="s">
        <v>3360</v>
      </c>
      <c r="E90" s="2955" t="s">
        <v>3360</v>
      </c>
      <c r="F90" s="2955" t="s">
        <v>3360</v>
      </c>
      <c r="G90" s="2955" t="s">
        <v>3360</v>
      </c>
      <c r="H90" s="2955" t="s">
        <v>3360</v>
      </c>
      <c r="I90" s="2955" t="s">
        <v>3360</v>
      </c>
      <c r="J90" s="2955" t="s">
        <v>3360</v>
      </c>
      <c r="K90" s="2955" t="s">
        <v>3360</v>
      </c>
      <c r="L90" s="2955" t="s">
        <v>3464</v>
      </c>
      <c r="M90" s="2955" t="s">
        <v>3362</v>
      </c>
      <c r="N90" s="2955" t="s">
        <v>3660</v>
      </c>
      <c r="O90" s="2955" t="s">
        <v>3362</v>
      </c>
      <c r="P90" s="2955" t="s">
        <v>3362</v>
      </c>
      <c r="Q90" s="2955" t="s">
        <v>3362</v>
      </c>
      <c r="R90" s="2955" t="s">
        <v>3362</v>
      </c>
      <c r="S90" s="2955" t="s">
        <v>3365</v>
      </c>
      <c r="T90" s="2955" t="s">
        <v>3335</v>
      </c>
      <c r="U90" s="2955" t="s">
        <v>3326</v>
      </c>
      <c r="V90" s="2955" t="s">
        <v>3326</v>
      </c>
      <c r="W90" s="2955" t="s">
        <v>3326</v>
      </c>
      <c r="X90" s="2955" t="s">
        <v>3326</v>
      </c>
      <c r="Y90" s="2955" t="s">
        <v>3326</v>
      </c>
      <c r="Z90" s="2955" t="s">
        <v>3326</v>
      </c>
      <c r="AA90" s="2955" t="s">
        <v>3326</v>
      </c>
      <c r="AB90" s="2955" t="s">
        <v>3326</v>
      </c>
      <c r="AC90" s="2955" t="s">
        <v>3326</v>
      </c>
      <c r="AD90" s="2955" t="s">
        <v>3771</v>
      </c>
      <c r="AE90" s="2955" t="s">
        <v>3368</v>
      </c>
      <c r="AF90" s="2955" t="s">
        <v>3772</v>
      </c>
      <c r="AG90" s="2955" t="s">
        <v>3449</v>
      </c>
      <c r="AH90" s="2955" t="s">
        <v>3477</v>
      </c>
      <c r="AI90" s="2955" t="s">
        <v>3773</v>
      </c>
      <c r="AJ90" s="2955" t="s">
        <v>3443</v>
      </c>
      <c r="AK90" s="2955" t="s">
        <v>3774</v>
      </c>
      <c r="AL90" s="2955" t="s">
        <v>3664</v>
      </c>
      <c r="AM90" s="2955" t="s">
        <v>3340</v>
      </c>
      <c r="AN90" s="2955" t="s">
        <v>3368</v>
      </c>
    </row>
    <row r="91" spans="1:40" x14ac:dyDescent="0.3">
      <c r="A91" s="2954" t="s">
        <v>2822</v>
      </c>
      <c r="B91" s="2955" t="s">
        <v>3775</v>
      </c>
      <c r="C91" s="2955" t="s">
        <v>3631</v>
      </c>
      <c r="D91" s="2955" t="s">
        <v>3631</v>
      </c>
      <c r="E91" s="2955" t="s">
        <v>3530</v>
      </c>
      <c r="F91" s="2955" t="s">
        <v>3530</v>
      </c>
      <c r="G91" s="2955" t="s">
        <v>3565</v>
      </c>
      <c r="H91" s="2955" t="s">
        <v>3565</v>
      </c>
      <c r="I91" s="2955" t="s">
        <v>1325</v>
      </c>
      <c r="J91" s="2955" t="s">
        <v>1325</v>
      </c>
      <c r="K91" s="2955" t="s">
        <v>3565</v>
      </c>
      <c r="L91" s="2955" t="s">
        <v>3776</v>
      </c>
      <c r="M91" s="2955" t="s">
        <v>3572</v>
      </c>
      <c r="N91" s="2955" t="s">
        <v>3777</v>
      </c>
      <c r="O91" s="2955" t="s">
        <v>3572</v>
      </c>
      <c r="P91" s="2955" t="s">
        <v>3572</v>
      </c>
      <c r="Q91" s="2955" t="s">
        <v>3777</v>
      </c>
      <c r="R91" s="2955" t="s">
        <v>3778</v>
      </c>
      <c r="S91" s="2955" t="s">
        <v>3779</v>
      </c>
      <c r="T91" s="2955" t="s">
        <v>3780</v>
      </c>
      <c r="U91" s="2955" t="s">
        <v>3471</v>
      </c>
      <c r="V91" s="2955" t="s">
        <v>3764</v>
      </c>
      <c r="W91" s="2955" t="s">
        <v>3781</v>
      </c>
      <c r="X91" s="2955" t="s">
        <v>3764</v>
      </c>
      <c r="Y91" s="2955" t="s">
        <v>3764</v>
      </c>
      <c r="Z91" s="2955" t="s">
        <v>3764</v>
      </c>
      <c r="AA91" s="2955" t="s">
        <v>3764</v>
      </c>
      <c r="AB91" s="2955" t="s">
        <v>3764</v>
      </c>
      <c r="AC91" s="2955" t="s">
        <v>3764</v>
      </c>
      <c r="AD91" s="2955" t="s">
        <v>3764</v>
      </c>
      <c r="AE91" s="2955" t="s">
        <v>3764</v>
      </c>
      <c r="AF91" s="2955" t="s">
        <v>3764</v>
      </c>
      <c r="AG91" s="2955" t="s">
        <v>3764</v>
      </c>
      <c r="AH91" s="2955" t="s">
        <v>3764</v>
      </c>
      <c r="AI91" s="2955" t="s">
        <v>3764</v>
      </c>
      <c r="AJ91" s="2955" t="s">
        <v>3764</v>
      </c>
      <c r="AK91" s="2955" t="s">
        <v>3473</v>
      </c>
      <c r="AL91" s="2955" t="s">
        <v>3764</v>
      </c>
      <c r="AM91" s="2955" t="s">
        <v>3764</v>
      </c>
      <c r="AN91" s="2955" t="s">
        <v>3764</v>
      </c>
    </row>
    <row r="92" spans="1:40" s="2944" customFormat="1" ht="16.899999999999999" customHeight="1" x14ac:dyDescent="0.3">
      <c r="A92" s="2953" t="s">
        <v>2823</v>
      </c>
      <c r="B92" s="2952" t="s">
        <v>3360</v>
      </c>
      <c r="C92" s="2952" t="s">
        <v>3360</v>
      </c>
      <c r="D92" s="2952" t="s">
        <v>3360</v>
      </c>
      <c r="E92" s="2952" t="s">
        <v>3360</v>
      </c>
      <c r="F92" s="2952" t="s">
        <v>3442</v>
      </c>
      <c r="G92" s="2952" t="s">
        <v>3360</v>
      </c>
      <c r="H92" s="2952" t="s">
        <v>3581</v>
      </c>
      <c r="I92" s="2952" t="s">
        <v>3360</v>
      </c>
      <c r="J92" s="2952" t="s">
        <v>3360</v>
      </c>
      <c r="K92" s="2952" t="s">
        <v>3360</v>
      </c>
      <c r="L92" s="2952" t="s">
        <v>3362</v>
      </c>
      <c r="M92" s="2952" t="s">
        <v>3362</v>
      </c>
      <c r="N92" s="2952" t="s">
        <v>3362</v>
      </c>
      <c r="O92" s="2952" t="s">
        <v>3421</v>
      </c>
      <c r="P92" s="2952" t="s">
        <v>3421</v>
      </c>
      <c r="Q92" s="2952" t="s">
        <v>3465</v>
      </c>
      <c r="R92" s="2952" t="s">
        <v>3407</v>
      </c>
      <c r="S92" s="2952" t="s">
        <v>3365</v>
      </c>
      <c r="T92" s="2952" t="s">
        <v>3335</v>
      </c>
      <c r="U92" s="2952" t="s">
        <v>3326</v>
      </c>
      <c r="V92" s="2952" t="s">
        <v>3326</v>
      </c>
      <c r="W92" s="2952" t="s">
        <v>3335</v>
      </c>
      <c r="X92" s="2952" t="s">
        <v>3335</v>
      </c>
      <c r="Y92" s="2952" t="s">
        <v>3335</v>
      </c>
      <c r="Z92" s="2952" t="s">
        <v>3314</v>
      </c>
      <c r="AA92" s="2952" t="s">
        <v>3326</v>
      </c>
      <c r="AB92" s="2952" t="s">
        <v>3326</v>
      </c>
      <c r="AC92" s="2952" t="s">
        <v>3335</v>
      </c>
      <c r="AD92" s="2952" t="s">
        <v>3477</v>
      </c>
      <c r="AE92" s="2952" t="s">
        <v>3368</v>
      </c>
      <c r="AF92" s="2952" t="s">
        <v>3368</v>
      </c>
      <c r="AG92" s="2952" t="s">
        <v>3449</v>
      </c>
      <c r="AH92" s="2952" t="s">
        <v>3368</v>
      </c>
      <c r="AI92" s="2952" t="s">
        <v>3368</v>
      </c>
      <c r="AJ92" s="2952" t="s">
        <v>3782</v>
      </c>
      <c r="AK92" s="2952" t="s">
        <v>3368</v>
      </c>
      <c r="AL92" s="2952" t="s">
        <v>3368</v>
      </c>
      <c r="AM92" s="2952" t="s">
        <v>3368</v>
      </c>
      <c r="AN92" s="2952" t="s">
        <v>3368</v>
      </c>
    </row>
    <row r="93" spans="1:40" x14ac:dyDescent="0.3">
      <c r="A93" s="2954" t="s">
        <v>2824</v>
      </c>
      <c r="B93" s="2955" t="s">
        <v>3360</v>
      </c>
      <c r="C93" s="2955" t="s">
        <v>3360</v>
      </c>
      <c r="D93" s="2955" t="s">
        <v>3360</v>
      </c>
      <c r="E93" s="2955" t="s">
        <v>3360</v>
      </c>
      <c r="F93" s="2955" t="s">
        <v>3360</v>
      </c>
      <c r="G93" s="2955" t="s">
        <v>3360</v>
      </c>
      <c r="H93" s="2955" t="s">
        <v>3360</v>
      </c>
      <c r="I93" s="2955" t="s">
        <v>3360</v>
      </c>
      <c r="J93" s="2955" t="s">
        <v>3360</v>
      </c>
      <c r="K93" s="2955" t="s">
        <v>3360</v>
      </c>
      <c r="L93" s="2955" t="s">
        <v>3362</v>
      </c>
      <c r="M93" s="2955" t="s">
        <v>3362</v>
      </c>
      <c r="N93" s="2955" t="s">
        <v>3362</v>
      </c>
      <c r="O93" s="2955" t="s">
        <v>3362</v>
      </c>
      <c r="P93" s="2955" t="s">
        <v>3362</v>
      </c>
      <c r="Q93" s="2955" t="s">
        <v>3465</v>
      </c>
      <c r="R93" s="2955" t="s">
        <v>3362</v>
      </c>
      <c r="S93" s="2955" t="s">
        <v>3365</v>
      </c>
      <c r="T93" s="2955" t="s">
        <v>3335</v>
      </c>
      <c r="U93" s="2955" t="s">
        <v>3335</v>
      </c>
      <c r="V93" s="2955" t="s">
        <v>3335</v>
      </c>
      <c r="W93" s="2955" t="s">
        <v>3335</v>
      </c>
      <c r="X93" s="2955" t="s">
        <v>3335</v>
      </c>
      <c r="Y93" s="2955" t="s">
        <v>3335</v>
      </c>
      <c r="Z93" s="2955" t="s">
        <v>3335</v>
      </c>
      <c r="AA93" s="2955" t="s">
        <v>3335</v>
      </c>
      <c r="AB93" s="2955" t="s">
        <v>3335</v>
      </c>
      <c r="AC93" s="2955" t="s">
        <v>3335</v>
      </c>
      <c r="AD93" s="2955" t="s">
        <v>3368</v>
      </c>
      <c r="AE93" s="2955" t="s">
        <v>3368</v>
      </c>
      <c r="AF93" s="2955" t="s">
        <v>3368</v>
      </c>
      <c r="AG93" s="2955" t="s">
        <v>3368</v>
      </c>
      <c r="AH93" s="2955" t="s">
        <v>3339</v>
      </c>
      <c r="AI93" s="2955" t="s">
        <v>3418</v>
      </c>
      <c r="AJ93" s="2955">
        <v>7.85</v>
      </c>
      <c r="AK93" s="2955" t="s">
        <v>3368</v>
      </c>
      <c r="AL93" s="2955" t="s">
        <v>3368</v>
      </c>
      <c r="AM93" s="2955" t="s">
        <v>3368</v>
      </c>
      <c r="AN93" s="2955" t="s">
        <v>3368</v>
      </c>
    </row>
    <row r="94" spans="1:40" x14ac:dyDescent="0.3">
      <c r="A94" s="2954" t="s">
        <v>2825</v>
      </c>
      <c r="B94" s="2955" t="s">
        <v>3360</v>
      </c>
      <c r="C94" s="2955" t="s">
        <v>3370</v>
      </c>
      <c r="D94" s="2955" t="s">
        <v>3360</v>
      </c>
      <c r="E94" s="2955" t="s">
        <v>3360</v>
      </c>
      <c r="F94" s="2955" t="s">
        <v>3360</v>
      </c>
      <c r="G94" s="2955" t="s">
        <v>3360</v>
      </c>
      <c r="H94" s="2955" t="s">
        <v>3360</v>
      </c>
      <c r="I94" s="2955" t="s">
        <v>3360</v>
      </c>
      <c r="J94" s="2955" t="s">
        <v>3360</v>
      </c>
      <c r="K94" s="2955" t="s">
        <v>3360</v>
      </c>
      <c r="L94" s="2955" t="s">
        <v>3362</v>
      </c>
      <c r="M94" s="2955" t="s">
        <v>3362</v>
      </c>
      <c r="N94" s="2955" t="s">
        <v>3362</v>
      </c>
      <c r="O94" s="2955" t="s">
        <v>3362</v>
      </c>
      <c r="P94" s="2955" t="s">
        <v>3362</v>
      </c>
      <c r="Q94" s="2955" t="s">
        <v>1014</v>
      </c>
      <c r="R94" s="2955" t="s">
        <v>3362</v>
      </c>
      <c r="S94" s="2955" t="s">
        <v>3365</v>
      </c>
      <c r="T94" s="2955" t="s">
        <v>3335</v>
      </c>
      <c r="U94" s="2955" t="s">
        <v>3335</v>
      </c>
      <c r="V94" s="2955" t="s">
        <v>3335</v>
      </c>
      <c r="W94" s="2955" t="s">
        <v>3335</v>
      </c>
      <c r="X94" s="2955" t="s">
        <v>3335</v>
      </c>
      <c r="Y94" s="2955" t="s">
        <v>3335</v>
      </c>
      <c r="Z94" s="2955" t="s">
        <v>3335</v>
      </c>
      <c r="AA94" s="2955" t="s">
        <v>3335</v>
      </c>
      <c r="AB94" s="2955" t="s">
        <v>3335</v>
      </c>
      <c r="AC94" s="2955" t="s">
        <v>3335</v>
      </c>
      <c r="AD94" s="2955" t="s">
        <v>3783</v>
      </c>
      <c r="AE94" s="2955" t="s">
        <v>3784</v>
      </c>
      <c r="AF94" s="2955" t="s">
        <v>3785</v>
      </c>
      <c r="AG94" s="2955" t="s">
        <v>3449</v>
      </c>
      <c r="AH94" s="2955" t="s">
        <v>3368</v>
      </c>
      <c r="AI94" s="2955" t="s">
        <v>3723</v>
      </c>
      <c r="AJ94" s="2955" t="s">
        <v>1014</v>
      </c>
      <c r="AK94" s="2955">
        <v>4.0999999999999996</v>
      </c>
      <c r="AL94" s="2955" t="s">
        <v>3723</v>
      </c>
      <c r="AM94" s="2955" t="s">
        <v>3723</v>
      </c>
      <c r="AN94" s="2955" t="s">
        <v>3786</v>
      </c>
    </row>
    <row r="95" spans="1:40" x14ac:dyDescent="0.3">
      <c r="A95" s="2954" t="s">
        <v>2826</v>
      </c>
      <c r="B95" s="2955" t="s">
        <v>3370</v>
      </c>
      <c r="C95" s="2955" t="s">
        <v>3370</v>
      </c>
      <c r="D95" s="2955" t="s">
        <v>3370</v>
      </c>
      <c r="E95" s="2955" t="s">
        <v>3370</v>
      </c>
      <c r="F95" s="2955" t="s">
        <v>3370</v>
      </c>
      <c r="G95" s="2955" t="s">
        <v>3370</v>
      </c>
      <c r="H95" s="2955" t="s">
        <v>3370</v>
      </c>
      <c r="I95" s="2955" t="s">
        <v>3370</v>
      </c>
      <c r="J95" s="2955" t="s">
        <v>3370</v>
      </c>
      <c r="K95" s="2955" t="s">
        <v>3370</v>
      </c>
      <c r="L95" s="2955" t="s">
        <v>3372</v>
      </c>
      <c r="M95" s="2955" t="s">
        <v>3372</v>
      </c>
      <c r="N95" s="2955" t="s">
        <v>3372</v>
      </c>
      <c r="O95" s="2955" t="s">
        <v>3372</v>
      </c>
      <c r="P95" s="2955" t="s">
        <v>3372</v>
      </c>
      <c r="Q95" s="2955" t="s">
        <v>3372</v>
      </c>
      <c r="R95" s="2955" t="s">
        <v>3372</v>
      </c>
      <c r="S95" s="2955" t="s">
        <v>3373</v>
      </c>
      <c r="T95" s="2955" t="s">
        <v>3374</v>
      </c>
      <c r="U95" s="2955" t="s">
        <v>3374</v>
      </c>
      <c r="V95" s="2955" t="s">
        <v>3374</v>
      </c>
      <c r="W95" s="2955" t="s">
        <v>3374</v>
      </c>
      <c r="X95" s="2955" t="s">
        <v>3374</v>
      </c>
      <c r="Y95" s="2955" t="s">
        <v>3374</v>
      </c>
      <c r="Z95" s="2955" t="s">
        <v>3374</v>
      </c>
      <c r="AA95" s="2955" t="s">
        <v>3374</v>
      </c>
      <c r="AB95" s="2955" t="s">
        <v>3374</v>
      </c>
      <c r="AC95" s="2955" t="s">
        <v>3374</v>
      </c>
      <c r="AD95" s="2955" t="s">
        <v>3339</v>
      </c>
      <c r="AE95" s="2955" t="s">
        <v>3339</v>
      </c>
      <c r="AF95" s="2955" t="s">
        <v>3787</v>
      </c>
      <c r="AG95" s="2955" t="s">
        <v>3339</v>
      </c>
      <c r="AH95" s="2955" t="s">
        <v>3339</v>
      </c>
      <c r="AI95" s="2955" t="s">
        <v>3458</v>
      </c>
      <c r="AJ95" s="2955">
        <v>7.85</v>
      </c>
      <c r="AK95" s="2955">
        <v>7.85</v>
      </c>
      <c r="AL95" s="2955" t="s">
        <v>3382</v>
      </c>
      <c r="AM95" s="2955" t="s">
        <v>3382</v>
      </c>
      <c r="AN95" s="2955" t="s">
        <v>3382</v>
      </c>
    </row>
    <row r="96" spans="1:40" x14ac:dyDescent="0.3">
      <c r="A96" s="2954" t="s">
        <v>2827</v>
      </c>
      <c r="B96" s="2955" t="s">
        <v>3716</v>
      </c>
      <c r="C96" s="2955" t="s">
        <v>3788</v>
      </c>
      <c r="D96" s="2955" t="s">
        <v>3716</v>
      </c>
      <c r="E96" s="2955" t="s">
        <v>3716</v>
      </c>
      <c r="F96" s="2955" t="s">
        <v>3442</v>
      </c>
      <c r="G96" s="2955" t="s">
        <v>3716</v>
      </c>
      <c r="H96" s="2955" t="s">
        <v>3566</v>
      </c>
      <c r="I96" s="2955" t="s">
        <v>3716</v>
      </c>
      <c r="J96" s="2955" t="s">
        <v>3716</v>
      </c>
      <c r="K96" s="2955" t="s">
        <v>3716</v>
      </c>
      <c r="L96" s="2955" t="s">
        <v>3576</v>
      </c>
      <c r="M96" s="2955" t="s">
        <v>3574</v>
      </c>
      <c r="N96" s="2955" t="s">
        <v>3576</v>
      </c>
      <c r="O96" s="2955" t="s">
        <v>3789</v>
      </c>
      <c r="P96" s="2955" t="s">
        <v>3421</v>
      </c>
      <c r="Q96" s="2955" t="s">
        <v>3576</v>
      </c>
      <c r="R96" s="2955" t="s">
        <v>3790</v>
      </c>
      <c r="S96" s="2955" t="s">
        <v>3577</v>
      </c>
      <c r="T96" s="2955" t="s">
        <v>3339</v>
      </c>
      <c r="U96" s="2955" t="s">
        <v>3340</v>
      </c>
      <c r="V96" s="2955" t="s">
        <v>3368</v>
      </c>
      <c r="W96" s="2955" t="s">
        <v>3555</v>
      </c>
      <c r="X96" s="2955" t="s">
        <v>3368</v>
      </c>
      <c r="Y96" s="2955" t="s">
        <v>3339</v>
      </c>
      <c r="Z96" s="2955" t="s">
        <v>3429</v>
      </c>
      <c r="AA96" s="2955" t="s">
        <v>3340</v>
      </c>
      <c r="AB96" s="2955" t="s">
        <v>3340</v>
      </c>
      <c r="AC96" s="2955" t="s">
        <v>3368</v>
      </c>
      <c r="AD96" s="2955" t="s">
        <v>3368</v>
      </c>
      <c r="AE96" s="2955" t="s">
        <v>3368</v>
      </c>
      <c r="AF96" s="2955" t="s">
        <v>3368</v>
      </c>
      <c r="AG96" s="2955" t="s">
        <v>3368</v>
      </c>
      <c r="AH96" s="2955" t="s">
        <v>3368</v>
      </c>
      <c r="AI96" s="2955" t="s">
        <v>3368</v>
      </c>
      <c r="AJ96" s="2955" t="s">
        <v>3418</v>
      </c>
      <c r="AK96" s="2955" t="s">
        <v>3368</v>
      </c>
      <c r="AL96" s="2955" t="s">
        <v>3339</v>
      </c>
      <c r="AM96" s="2955" t="s">
        <v>3368</v>
      </c>
      <c r="AN96" s="2955" t="s">
        <v>3368</v>
      </c>
    </row>
    <row r="97" spans="1:40" x14ac:dyDescent="0.3">
      <c r="A97" s="2954" t="s">
        <v>2828</v>
      </c>
      <c r="B97" s="2955" t="s">
        <v>3791</v>
      </c>
      <c r="C97" s="2955" t="s">
        <v>3792</v>
      </c>
      <c r="D97" s="2955" t="s">
        <v>1014</v>
      </c>
      <c r="E97" s="2955" t="s">
        <v>1014</v>
      </c>
      <c r="F97" s="2955" t="s">
        <v>3793</v>
      </c>
      <c r="G97" s="2955" t="s">
        <v>1014</v>
      </c>
      <c r="H97" s="2955" t="s">
        <v>3794</v>
      </c>
      <c r="I97" s="2955" t="s">
        <v>1014</v>
      </c>
      <c r="J97" s="2955" t="s">
        <v>1014</v>
      </c>
      <c r="K97" s="2955" t="s">
        <v>1014</v>
      </c>
      <c r="L97" s="2955" t="s">
        <v>3795</v>
      </c>
      <c r="M97" s="2955" t="s">
        <v>1014</v>
      </c>
      <c r="N97" s="2955" t="s">
        <v>3796</v>
      </c>
      <c r="O97" s="2955" t="s">
        <v>3797</v>
      </c>
      <c r="P97" s="2955" t="s">
        <v>1014</v>
      </c>
      <c r="Q97" s="2955" t="s">
        <v>1014</v>
      </c>
      <c r="R97" s="2955" t="s">
        <v>1014</v>
      </c>
      <c r="S97" s="2955" t="s">
        <v>1014</v>
      </c>
      <c r="T97" s="2955" t="s">
        <v>1014</v>
      </c>
      <c r="U97" s="2955" t="s">
        <v>3798</v>
      </c>
      <c r="V97" s="2955" t="s">
        <v>3798</v>
      </c>
      <c r="W97" s="2955" t="s">
        <v>3799</v>
      </c>
      <c r="X97" s="2955" t="s">
        <v>3800</v>
      </c>
      <c r="Y97" s="2955" t="s">
        <v>1014</v>
      </c>
      <c r="Z97" s="2955">
        <v>6.25</v>
      </c>
      <c r="AA97" s="2955" t="s">
        <v>3723</v>
      </c>
      <c r="AB97" s="2955" t="s">
        <v>3723</v>
      </c>
      <c r="AC97" s="2955" t="s">
        <v>3801</v>
      </c>
      <c r="AD97" s="2955" t="s">
        <v>3723</v>
      </c>
      <c r="AE97" s="2955" t="s">
        <v>3723</v>
      </c>
      <c r="AF97" s="2955" t="s">
        <v>3802</v>
      </c>
      <c r="AG97" s="2955" t="s">
        <v>3791</v>
      </c>
      <c r="AH97" s="2955" t="s">
        <v>1014</v>
      </c>
      <c r="AI97" s="2955" t="s">
        <v>3799</v>
      </c>
      <c r="AJ97" s="2955" t="s">
        <v>3803</v>
      </c>
      <c r="AK97" s="2955" t="s">
        <v>1014</v>
      </c>
      <c r="AL97" s="2955" t="s">
        <v>1014</v>
      </c>
      <c r="AM97" s="2955">
        <v>6.25</v>
      </c>
      <c r="AN97" s="2955" t="s">
        <v>3723</v>
      </c>
    </row>
    <row r="98" spans="1:40" s="2944" customFormat="1" x14ac:dyDescent="0.3">
      <c r="A98" s="2953" t="s">
        <v>2829</v>
      </c>
      <c r="B98" s="2952" t="s">
        <v>3360</v>
      </c>
      <c r="C98" s="2952" t="s">
        <v>3360</v>
      </c>
      <c r="D98" s="2952" t="s">
        <v>3360</v>
      </c>
      <c r="E98" s="2952" t="s">
        <v>3360</v>
      </c>
      <c r="F98" s="2952" t="s">
        <v>3414</v>
      </c>
      <c r="G98" s="2952" t="s">
        <v>3360</v>
      </c>
      <c r="H98" s="2952" t="s">
        <v>3360</v>
      </c>
      <c r="I98" s="2952" t="s">
        <v>3360</v>
      </c>
      <c r="J98" s="2952" t="s">
        <v>3360</v>
      </c>
      <c r="K98" s="2952" t="s">
        <v>3360</v>
      </c>
      <c r="L98" s="2952" t="s">
        <v>3445</v>
      </c>
      <c r="M98" s="2952" t="s">
        <v>3362</v>
      </c>
      <c r="N98" s="2952" t="s">
        <v>3362</v>
      </c>
      <c r="O98" s="2952" t="s">
        <v>3421</v>
      </c>
      <c r="P98" s="2952" t="s">
        <v>3362</v>
      </c>
      <c r="Q98" s="2952" t="s">
        <v>3362</v>
      </c>
      <c r="R98" s="2952" t="s">
        <v>3362</v>
      </c>
      <c r="S98" s="2952" t="s">
        <v>3474</v>
      </c>
      <c r="T98" s="2952" t="s">
        <v>3475</v>
      </c>
      <c r="U98" s="2952" t="s">
        <v>3326</v>
      </c>
      <c r="V98" s="2952" t="s">
        <v>3326</v>
      </c>
      <c r="W98" s="2952" t="s">
        <v>3326</v>
      </c>
      <c r="X98" s="2952" t="s">
        <v>3326</v>
      </c>
      <c r="Y98" s="2952" t="s">
        <v>3326</v>
      </c>
      <c r="Z98" s="2952" t="s">
        <v>3326</v>
      </c>
      <c r="AA98" s="2952" t="s">
        <v>3326</v>
      </c>
      <c r="AB98" s="2952" t="s">
        <v>3326</v>
      </c>
      <c r="AC98" s="2952" t="s">
        <v>3326</v>
      </c>
      <c r="AD98" s="2952" t="s">
        <v>3340</v>
      </c>
      <c r="AE98" s="2952" t="s">
        <v>3804</v>
      </c>
      <c r="AF98" s="2952" t="s">
        <v>3368</v>
      </c>
      <c r="AG98" s="2952" t="s">
        <v>3339</v>
      </c>
      <c r="AH98" s="2952" t="s">
        <v>3368</v>
      </c>
      <c r="AI98" s="2952" t="s">
        <v>3342</v>
      </c>
      <c r="AJ98" s="2952" t="s">
        <v>3681</v>
      </c>
      <c r="AK98" s="2952" t="s">
        <v>3805</v>
      </c>
      <c r="AL98" s="2952" t="s">
        <v>3339</v>
      </c>
      <c r="AM98" s="2952" t="s">
        <v>3448</v>
      </c>
      <c r="AN98" s="2952" t="s">
        <v>3806</v>
      </c>
    </row>
    <row r="99" spans="1:40" x14ac:dyDescent="0.3">
      <c r="A99" s="2954" t="s">
        <v>2830</v>
      </c>
      <c r="B99" s="2955" t="s">
        <v>3360</v>
      </c>
      <c r="C99" s="2955" t="s">
        <v>3360</v>
      </c>
      <c r="D99" s="2955" t="s">
        <v>3360</v>
      </c>
      <c r="E99" s="2955" t="s">
        <v>3360</v>
      </c>
      <c r="F99" s="2955" t="s">
        <v>3360</v>
      </c>
      <c r="G99" s="2955" t="s">
        <v>3360</v>
      </c>
      <c r="H99" s="2955" t="s">
        <v>3360</v>
      </c>
      <c r="I99" s="2955" t="s">
        <v>3360</v>
      </c>
      <c r="J99" s="2955" t="s">
        <v>3360</v>
      </c>
      <c r="K99" s="2955" t="s">
        <v>3360</v>
      </c>
      <c r="L99" s="2955" t="s">
        <v>3445</v>
      </c>
      <c r="M99" s="2955" t="s">
        <v>3362</v>
      </c>
      <c r="N99" s="2955" t="s">
        <v>3445</v>
      </c>
      <c r="O99" s="2955" t="s">
        <v>3421</v>
      </c>
      <c r="P99" s="2955" t="s">
        <v>3362</v>
      </c>
      <c r="Q99" s="2955" t="s">
        <v>3362</v>
      </c>
      <c r="R99" s="2955" t="s">
        <v>3362</v>
      </c>
      <c r="S99" s="2955" t="s">
        <v>3474</v>
      </c>
      <c r="T99" s="2955" t="s">
        <v>3475</v>
      </c>
      <c r="U99" s="2955" t="s">
        <v>3326</v>
      </c>
      <c r="V99" s="2955" t="s">
        <v>3326</v>
      </c>
      <c r="W99" s="2955" t="s">
        <v>3326</v>
      </c>
      <c r="X99" s="2955" t="s">
        <v>3326</v>
      </c>
      <c r="Y99" s="2955" t="s">
        <v>3326</v>
      </c>
      <c r="Z99" s="2955" t="s">
        <v>3326</v>
      </c>
      <c r="AA99" s="2955" t="s">
        <v>3326</v>
      </c>
      <c r="AB99" s="2955" t="s">
        <v>3326</v>
      </c>
      <c r="AC99" s="2955" t="s">
        <v>3326</v>
      </c>
      <c r="AD99" s="2955" t="s">
        <v>3340</v>
      </c>
      <c r="AE99" s="2955" t="s">
        <v>3804</v>
      </c>
      <c r="AF99" s="2955" t="s">
        <v>3368</v>
      </c>
      <c r="AG99" s="2955" t="s">
        <v>3339</v>
      </c>
      <c r="AH99" s="2955" t="s">
        <v>3368</v>
      </c>
      <c r="AI99" s="2955" t="s">
        <v>3342</v>
      </c>
      <c r="AJ99" s="2955" t="s">
        <v>3376</v>
      </c>
      <c r="AK99" s="2955" t="s">
        <v>3805</v>
      </c>
      <c r="AL99" s="2955" t="s">
        <v>3339</v>
      </c>
      <c r="AM99" s="2955" t="s">
        <v>3448</v>
      </c>
      <c r="AN99" s="2955" t="s">
        <v>3806</v>
      </c>
    </row>
    <row r="100" spans="1:40" x14ac:dyDescent="0.3">
      <c r="A100" s="2954" t="s">
        <v>2831</v>
      </c>
      <c r="B100" s="2955" t="s">
        <v>3566</v>
      </c>
      <c r="C100" s="2955" t="s">
        <v>3807</v>
      </c>
      <c r="D100" s="2955" t="s">
        <v>3566</v>
      </c>
      <c r="E100" s="2955" t="s">
        <v>3566</v>
      </c>
      <c r="F100" s="2955" t="s">
        <v>3808</v>
      </c>
      <c r="G100" s="2955" t="s">
        <v>3566</v>
      </c>
      <c r="H100" s="2955" t="s">
        <v>3566</v>
      </c>
      <c r="I100" s="2955" t="s">
        <v>3566</v>
      </c>
      <c r="J100" s="2955" t="s">
        <v>3809</v>
      </c>
      <c r="K100" s="2955" t="s">
        <v>3566</v>
      </c>
      <c r="L100" s="2955" t="s">
        <v>3574</v>
      </c>
      <c r="M100" s="2955" t="s">
        <v>3677</v>
      </c>
      <c r="N100" s="2955" t="s">
        <v>3574</v>
      </c>
      <c r="O100" s="2955" t="s">
        <v>3574</v>
      </c>
      <c r="P100" s="2955" t="s">
        <v>3574</v>
      </c>
      <c r="Q100" s="2955" t="s">
        <v>3574</v>
      </c>
      <c r="R100" s="2955" t="s">
        <v>3810</v>
      </c>
      <c r="S100" s="2955" t="s">
        <v>3811</v>
      </c>
      <c r="T100" s="2955" t="s">
        <v>3339</v>
      </c>
      <c r="U100" s="2955" t="s">
        <v>3458</v>
      </c>
      <c r="V100" s="2955" t="s">
        <v>3339</v>
      </c>
      <c r="W100" s="2955" t="s">
        <v>3669</v>
      </c>
      <c r="X100" s="2955" t="s">
        <v>3812</v>
      </c>
      <c r="Y100" s="2955" t="s">
        <v>3339</v>
      </c>
      <c r="Z100" s="2955" t="s">
        <v>3366</v>
      </c>
      <c r="AA100" s="2955" t="s">
        <v>3458</v>
      </c>
      <c r="AB100" s="2955" t="s">
        <v>3813</v>
      </c>
      <c r="AC100" s="2955" t="s">
        <v>3458</v>
      </c>
      <c r="AD100" s="2955" t="s">
        <v>3339</v>
      </c>
      <c r="AE100" s="2955" t="s">
        <v>3458</v>
      </c>
      <c r="AF100" s="2955" t="s">
        <v>3339</v>
      </c>
      <c r="AG100" s="2955" t="s">
        <v>3458</v>
      </c>
      <c r="AH100" s="2955" t="s">
        <v>3339</v>
      </c>
      <c r="AI100" s="2955" t="s">
        <v>3339</v>
      </c>
      <c r="AJ100" s="2955" t="s">
        <v>3681</v>
      </c>
      <c r="AK100" s="2955" t="s">
        <v>3669</v>
      </c>
      <c r="AL100" s="2955" t="s">
        <v>3366</v>
      </c>
      <c r="AM100" s="2955" t="s">
        <v>3339</v>
      </c>
      <c r="AN100" s="2955" t="s">
        <v>3339</v>
      </c>
    </row>
    <row r="101" spans="1:40" s="2944" customFormat="1" x14ac:dyDescent="0.3">
      <c r="A101" s="2953" t="s">
        <v>2832</v>
      </c>
      <c r="B101" s="2952" t="s">
        <v>3751</v>
      </c>
      <c r="C101" s="2952" t="s">
        <v>3360</v>
      </c>
      <c r="D101" s="2952" t="s">
        <v>3464</v>
      </c>
      <c r="E101" s="2952" t="s">
        <v>3442</v>
      </c>
      <c r="F101" s="2952" t="s">
        <v>3371</v>
      </c>
      <c r="G101" s="2952" t="s">
        <v>3442</v>
      </c>
      <c r="H101" s="2952" t="s">
        <v>3442</v>
      </c>
      <c r="I101" s="2952" t="s">
        <v>3360</v>
      </c>
      <c r="J101" s="2952" t="s">
        <v>3360</v>
      </c>
      <c r="K101" s="2952" t="s">
        <v>3360</v>
      </c>
      <c r="L101" s="2952" t="s">
        <v>3362</v>
      </c>
      <c r="M101" s="2952" t="s">
        <v>3362</v>
      </c>
      <c r="N101" s="2952" t="s">
        <v>3362</v>
      </c>
      <c r="O101" s="2952" t="s">
        <v>3660</v>
      </c>
      <c r="P101" s="2952" t="s">
        <v>3373</v>
      </c>
      <c r="Q101" s="2952" t="s">
        <v>3373</v>
      </c>
      <c r="R101" s="2952" t="s">
        <v>3373</v>
      </c>
      <c r="S101" s="2952" t="s">
        <v>3400</v>
      </c>
      <c r="T101" s="2952" t="s">
        <v>3320</v>
      </c>
      <c r="U101" s="2952" t="s">
        <v>3326</v>
      </c>
      <c r="V101" s="2952" t="s">
        <v>3326</v>
      </c>
      <c r="W101" s="2952" t="s">
        <v>3319</v>
      </c>
      <c r="X101" s="2952" t="s">
        <v>3326</v>
      </c>
      <c r="Y101" s="2952" t="s">
        <v>3326</v>
      </c>
      <c r="Z101" s="2952" t="s">
        <v>3326</v>
      </c>
      <c r="AA101" s="2952" t="s">
        <v>3326</v>
      </c>
      <c r="AB101" s="2952" t="s">
        <v>3326</v>
      </c>
      <c r="AC101" s="2952" t="s">
        <v>3326</v>
      </c>
      <c r="AD101" s="2952" t="s">
        <v>3427</v>
      </c>
      <c r="AE101" s="2952" t="s">
        <v>3520</v>
      </c>
      <c r="AF101" s="2952" t="s">
        <v>3340</v>
      </c>
      <c r="AG101" s="2952" t="s">
        <v>3691</v>
      </c>
      <c r="AH101" s="2952" t="s">
        <v>3428</v>
      </c>
      <c r="AI101" s="2952" t="s">
        <v>3340</v>
      </c>
      <c r="AJ101" s="2952" t="s">
        <v>3340</v>
      </c>
      <c r="AK101" s="2952" t="s">
        <v>3814</v>
      </c>
      <c r="AL101" s="2952" t="s">
        <v>3428</v>
      </c>
      <c r="AM101" s="2952" t="s">
        <v>3432</v>
      </c>
      <c r="AN101" s="2952" t="s">
        <v>3340</v>
      </c>
    </row>
    <row r="102" spans="1:40" x14ac:dyDescent="0.3">
      <c r="A102" s="2954" t="s">
        <v>2833</v>
      </c>
      <c r="B102" s="2955" t="s">
        <v>3751</v>
      </c>
      <c r="C102" s="2955" t="s">
        <v>3360</v>
      </c>
      <c r="D102" s="2955" t="s">
        <v>3360</v>
      </c>
      <c r="E102" s="2955" t="s">
        <v>3360</v>
      </c>
      <c r="F102" s="2955" t="s">
        <v>3371</v>
      </c>
      <c r="G102" s="2955" t="s">
        <v>3360</v>
      </c>
      <c r="H102" s="2955" t="s">
        <v>3360</v>
      </c>
      <c r="I102" s="2955" t="s">
        <v>3360</v>
      </c>
      <c r="J102" s="2955" t="s">
        <v>3360</v>
      </c>
      <c r="K102" s="2955" t="s">
        <v>3360</v>
      </c>
      <c r="L102" s="2955" t="s">
        <v>3362</v>
      </c>
      <c r="M102" s="2955" t="s">
        <v>3362</v>
      </c>
      <c r="N102" s="2955" t="s">
        <v>3362</v>
      </c>
      <c r="O102" s="2955" t="s">
        <v>3373</v>
      </c>
      <c r="P102" s="2955" t="s">
        <v>3373</v>
      </c>
      <c r="Q102" s="2955" t="s">
        <v>3373</v>
      </c>
      <c r="R102" s="2955" t="s">
        <v>3373</v>
      </c>
      <c r="S102" s="2955" t="s">
        <v>3400</v>
      </c>
      <c r="T102" s="2955" t="s">
        <v>3319</v>
      </c>
      <c r="U102" s="2955" t="s">
        <v>3430</v>
      </c>
      <c r="V102" s="2955" t="s">
        <v>3319</v>
      </c>
      <c r="W102" s="2955" t="s">
        <v>3319</v>
      </c>
      <c r="X102" s="2955" t="s">
        <v>3326</v>
      </c>
      <c r="Y102" s="2955" t="s">
        <v>3326</v>
      </c>
      <c r="Z102" s="2955" t="s">
        <v>3326</v>
      </c>
      <c r="AA102" s="2955" t="s">
        <v>3326</v>
      </c>
      <c r="AB102" s="2955" t="s">
        <v>3326</v>
      </c>
      <c r="AC102" s="2955" t="s">
        <v>3326</v>
      </c>
      <c r="AD102" s="2955" t="s">
        <v>3427</v>
      </c>
      <c r="AE102" s="2955" t="s">
        <v>3368</v>
      </c>
      <c r="AF102" s="2955" t="s">
        <v>3368</v>
      </c>
      <c r="AG102" s="2955" t="s">
        <v>3691</v>
      </c>
      <c r="AH102" s="2955" t="s">
        <v>3432</v>
      </c>
      <c r="AI102" s="2955" t="s">
        <v>3432</v>
      </c>
      <c r="AJ102" s="2955" t="s">
        <v>3340</v>
      </c>
      <c r="AK102" s="2955" t="s">
        <v>3815</v>
      </c>
      <c r="AL102" s="2955" t="s">
        <v>3432</v>
      </c>
      <c r="AM102" s="2955" t="s">
        <v>3432</v>
      </c>
      <c r="AN102" s="2955" t="s">
        <v>3368</v>
      </c>
    </row>
    <row r="103" spans="1:40" x14ac:dyDescent="0.3">
      <c r="A103" s="2954" t="s">
        <v>2834</v>
      </c>
      <c r="B103" s="2955" t="s">
        <v>1014</v>
      </c>
      <c r="C103" s="2955" t="s">
        <v>1014</v>
      </c>
      <c r="D103" s="2955" t="s">
        <v>1014</v>
      </c>
      <c r="E103" s="2955" t="s">
        <v>1014</v>
      </c>
      <c r="F103" s="2955" t="s">
        <v>1014</v>
      </c>
      <c r="G103" s="2955" t="s">
        <v>1014</v>
      </c>
      <c r="H103" s="2955" t="s">
        <v>1014</v>
      </c>
      <c r="I103" s="2955" t="s">
        <v>1014</v>
      </c>
      <c r="J103" s="2955" t="s">
        <v>3360</v>
      </c>
      <c r="K103" s="2955" t="s">
        <v>1014</v>
      </c>
      <c r="L103" s="2955" t="s">
        <v>3362</v>
      </c>
      <c r="M103" s="2955" t="s">
        <v>3362</v>
      </c>
      <c r="N103" s="2955" t="s">
        <v>3362</v>
      </c>
      <c r="O103" s="2955" t="s">
        <v>3362</v>
      </c>
      <c r="P103" s="2955" t="s">
        <v>3362</v>
      </c>
      <c r="Q103" s="2955" t="s">
        <v>3362</v>
      </c>
      <c r="R103" s="2955" t="s">
        <v>1014</v>
      </c>
      <c r="S103" s="2955" t="s">
        <v>1014</v>
      </c>
      <c r="T103" s="2955" t="s">
        <v>1014</v>
      </c>
      <c r="U103" s="2955" t="s">
        <v>3335</v>
      </c>
      <c r="V103" s="2955" t="s">
        <v>3335</v>
      </c>
      <c r="W103" s="2955" t="s">
        <v>1014</v>
      </c>
      <c r="X103" s="2955" t="s">
        <v>3335</v>
      </c>
      <c r="Y103" s="2955" t="s">
        <v>3335</v>
      </c>
      <c r="Z103" s="2955" t="s">
        <v>3335</v>
      </c>
      <c r="AA103" s="2955" t="s">
        <v>3335</v>
      </c>
      <c r="AB103" s="2955" t="s">
        <v>3335</v>
      </c>
      <c r="AC103" s="2955" t="s">
        <v>3723</v>
      </c>
      <c r="AD103" s="2955" t="s">
        <v>3816</v>
      </c>
      <c r="AE103" s="2955" t="s">
        <v>3786</v>
      </c>
      <c r="AF103" s="2955" t="s">
        <v>3817</v>
      </c>
      <c r="AG103" s="2955" t="s">
        <v>3798</v>
      </c>
      <c r="AH103" s="2955" t="s">
        <v>3817</v>
      </c>
      <c r="AI103" s="2955" t="s">
        <v>3818</v>
      </c>
      <c r="AJ103" s="2955">
        <v>4.0999999999999996</v>
      </c>
      <c r="AK103" s="2955" t="s">
        <v>3819</v>
      </c>
      <c r="AL103" s="2955">
        <v>3.85</v>
      </c>
      <c r="AM103" s="2955" t="s">
        <v>3820</v>
      </c>
      <c r="AN103" s="2955" t="s">
        <v>3786</v>
      </c>
    </row>
    <row r="104" spans="1:40" x14ac:dyDescent="0.3">
      <c r="A104" s="2954" t="s">
        <v>2835</v>
      </c>
      <c r="B104" s="2955" t="s">
        <v>3451</v>
      </c>
      <c r="C104" s="2955" t="s">
        <v>3451</v>
      </c>
      <c r="D104" s="2955" t="s">
        <v>3370</v>
      </c>
      <c r="E104" s="2955" t="s">
        <v>3370</v>
      </c>
      <c r="F104" s="2955" t="s">
        <v>3370</v>
      </c>
      <c r="G104" s="2955" t="s">
        <v>3370</v>
      </c>
      <c r="H104" s="2955" t="s">
        <v>3370</v>
      </c>
      <c r="I104" s="2955" t="s">
        <v>3451</v>
      </c>
      <c r="J104" s="2955" t="s">
        <v>3451</v>
      </c>
      <c r="K104" s="2955" t="s">
        <v>3451</v>
      </c>
      <c r="L104" s="2955" t="s">
        <v>3454</v>
      </c>
      <c r="M104" s="2955" t="s">
        <v>3454</v>
      </c>
      <c r="N104" s="2955" t="s">
        <v>3454</v>
      </c>
      <c r="O104" s="2955" t="s">
        <v>3454</v>
      </c>
      <c r="P104" s="2955" t="s">
        <v>3454</v>
      </c>
      <c r="Q104" s="2955" t="s">
        <v>3456</v>
      </c>
      <c r="R104" s="2955" t="s">
        <v>3456</v>
      </c>
      <c r="S104" s="2955" t="s">
        <v>3456</v>
      </c>
      <c r="T104" s="2955" t="s">
        <v>3456</v>
      </c>
      <c r="U104" s="2955" t="s">
        <v>3659</v>
      </c>
      <c r="V104" s="2955" t="s">
        <v>3685</v>
      </c>
      <c r="W104" s="2955" t="s">
        <v>3685</v>
      </c>
      <c r="X104" s="2955" t="s">
        <v>3685</v>
      </c>
      <c r="Y104" s="2955" t="s">
        <v>3659</v>
      </c>
      <c r="Z104" s="2955" t="s">
        <v>3726</v>
      </c>
      <c r="AA104" s="2955" t="s">
        <v>3659</v>
      </c>
      <c r="AB104" s="2955" t="s">
        <v>3685</v>
      </c>
      <c r="AC104" s="2955" t="s">
        <v>3685</v>
      </c>
      <c r="AD104" s="2955" t="s">
        <v>3458</v>
      </c>
      <c r="AE104" s="2955" t="s">
        <v>3340</v>
      </c>
      <c r="AF104" s="2955" t="s">
        <v>3459</v>
      </c>
      <c r="AG104" s="2955" t="s">
        <v>3821</v>
      </c>
      <c r="AH104" s="2955" t="s">
        <v>3782</v>
      </c>
      <c r="AI104" s="2955" t="s">
        <v>3821</v>
      </c>
      <c r="AJ104" s="2955">
        <v>7.85</v>
      </c>
      <c r="AK104" s="2955" t="s">
        <v>3369</v>
      </c>
      <c r="AL104" s="2955" t="s">
        <v>3822</v>
      </c>
      <c r="AM104" s="2955" t="s">
        <v>3821</v>
      </c>
      <c r="AN104" s="2955" t="s">
        <v>3340</v>
      </c>
    </row>
    <row r="105" spans="1:40" x14ac:dyDescent="0.3">
      <c r="A105" s="2954" t="s">
        <v>2836</v>
      </c>
      <c r="B105" s="2955" t="s">
        <v>3360</v>
      </c>
      <c r="C105" s="2955" t="s">
        <v>3360</v>
      </c>
      <c r="D105" s="2955" t="s">
        <v>3464</v>
      </c>
      <c r="E105" s="2955" t="s">
        <v>3442</v>
      </c>
      <c r="F105" s="2955" t="s">
        <v>3360</v>
      </c>
      <c r="G105" s="2955" t="s">
        <v>3442</v>
      </c>
      <c r="H105" s="2955" t="s">
        <v>3442</v>
      </c>
      <c r="I105" s="2955" t="s">
        <v>3360</v>
      </c>
      <c r="J105" s="2955" t="s">
        <v>3360</v>
      </c>
      <c r="K105" s="2955" t="s">
        <v>3360</v>
      </c>
      <c r="L105" s="2955" t="s">
        <v>3362</v>
      </c>
      <c r="M105" s="2955" t="s">
        <v>3362</v>
      </c>
      <c r="N105" s="2955" t="s">
        <v>3362</v>
      </c>
      <c r="O105" s="2955" t="s">
        <v>3660</v>
      </c>
      <c r="P105" s="2955" t="s">
        <v>3362</v>
      </c>
      <c r="Q105" s="2955" t="s">
        <v>3362</v>
      </c>
      <c r="R105" s="2955" t="s">
        <v>3362</v>
      </c>
      <c r="S105" s="2955" t="s">
        <v>3365</v>
      </c>
      <c r="T105" s="2955" t="s">
        <v>3320</v>
      </c>
      <c r="U105" s="2955" t="s">
        <v>3326</v>
      </c>
      <c r="V105" s="2955" t="s">
        <v>3326</v>
      </c>
      <c r="W105" s="2955" t="s">
        <v>3335</v>
      </c>
      <c r="X105" s="2955" t="s">
        <v>3326</v>
      </c>
      <c r="Y105" s="2955" t="s">
        <v>3326</v>
      </c>
      <c r="Z105" s="2955" t="s">
        <v>3326</v>
      </c>
      <c r="AA105" s="2955" t="s">
        <v>3326</v>
      </c>
      <c r="AB105" s="2955" t="s">
        <v>3326</v>
      </c>
      <c r="AC105" s="2955" t="s">
        <v>3326</v>
      </c>
      <c r="AD105" s="2955" t="s">
        <v>3339</v>
      </c>
      <c r="AE105" s="2955" t="s">
        <v>3520</v>
      </c>
      <c r="AF105" s="2955" t="s">
        <v>3340</v>
      </c>
      <c r="AG105" s="2955" t="s">
        <v>3368</v>
      </c>
      <c r="AH105" s="2955" t="s">
        <v>3368</v>
      </c>
      <c r="AI105" s="2955" t="s">
        <v>3340</v>
      </c>
      <c r="AJ105" s="2955" t="s">
        <v>3368</v>
      </c>
      <c r="AK105" s="2955" t="s">
        <v>3368</v>
      </c>
      <c r="AL105" s="2955" t="s">
        <v>3428</v>
      </c>
      <c r="AM105" s="2955" t="s">
        <v>3368</v>
      </c>
      <c r="AN105" s="2955" t="s">
        <v>3368</v>
      </c>
    </row>
    <row r="106" spans="1:40" s="2944" customFormat="1" x14ac:dyDescent="0.3">
      <c r="A106" s="2953" t="s">
        <v>2837</v>
      </c>
      <c r="B106" s="2952" t="s">
        <v>3371</v>
      </c>
      <c r="C106" s="2952" t="s">
        <v>3414</v>
      </c>
      <c r="D106" s="2952" t="s">
        <v>3823</v>
      </c>
      <c r="E106" s="2952" t="s">
        <v>3823</v>
      </c>
      <c r="F106" s="2952" t="s">
        <v>3823</v>
      </c>
      <c r="G106" s="2952" t="s">
        <v>3823</v>
      </c>
      <c r="H106" s="2952" t="s">
        <v>3823</v>
      </c>
      <c r="I106" s="2952" t="s">
        <v>3306</v>
      </c>
      <c r="J106" s="2952" t="s">
        <v>3308</v>
      </c>
      <c r="K106" s="2952" t="s">
        <v>3823</v>
      </c>
      <c r="L106" s="2952" t="s">
        <v>3823</v>
      </c>
      <c r="M106" s="2952" t="s">
        <v>3309</v>
      </c>
      <c r="N106" s="2952" t="s">
        <v>3823</v>
      </c>
      <c r="O106" s="2952" t="s">
        <v>3823</v>
      </c>
      <c r="P106" s="2952" t="s">
        <v>3659</v>
      </c>
      <c r="Q106" s="2952" t="s">
        <v>3659</v>
      </c>
      <c r="R106" s="2952" t="s">
        <v>3824</v>
      </c>
      <c r="S106" s="2952" t="s">
        <v>3412</v>
      </c>
      <c r="T106" s="2952" t="s">
        <v>3468</v>
      </c>
      <c r="U106" s="2952" t="s">
        <v>3446</v>
      </c>
      <c r="V106" s="2952" t="s">
        <v>3326</v>
      </c>
      <c r="W106" s="2952" t="s">
        <v>3326</v>
      </c>
      <c r="X106" s="2952" t="s">
        <v>3825</v>
      </c>
      <c r="Y106" s="2952" t="s">
        <v>3825</v>
      </c>
      <c r="Z106" s="2952" t="s">
        <v>3825</v>
      </c>
      <c r="AA106" s="2952" t="s">
        <v>3825</v>
      </c>
      <c r="AB106" s="2952" t="s">
        <v>3326</v>
      </c>
      <c r="AC106" s="2952" t="s">
        <v>3825</v>
      </c>
      <c r="AD106" s="2952" t="s">
        <v>3526</v>
      </c>
      <c r="AE106" s="2952" t="s">
        <v>3826</v>
      </c>
      <c r="AF106" s="2952" t="s">
        <v>3827</v>
      </c>
      <c r="AG106" s="2952" t="s">
        <v>3828</v>
      </c>
      <c r="AH106" s="2952" t="s">
        <v>3829</v>
      </c>
      <c r="AI106" s="2952" t="s">
        <v>3830</v>
      </c>
      <c r="AJ106" s="2952" t="s">
        <v>3828</v>
      </c>
      <c r="AK106" s="2952" t="s">
        <v>3828</v>
      </c>
      <c r="AL106" s="2952" t="s">
        <v>3828</v>
      </c>
      <c r="AM106" s="2952" t="s">
        <v>3831</v>
      </c>
      <c r="AN106" s="2952" t="s">
        <v>3832</v>
      </c>
    </row>
    <row r="107" spans="1:40" x14ac:dyDescent="0.3">
      <c r="A107" s="2954" t="s">
        <v>2838</v>
      </c>
      <c r="B107" s="2955" t="s">
        <v>3370</v>
      </c>
      <c r="C107" s="2955" t="s">
        <v>3370</v>
      </c>
      <c r="D107" s="2955" t="s">
        <v>3370</v>
      </c>
      <c r="E107" s="2955" t="s">
        <v>3370</v>
      </c>
      <c r="F107" s="2955" t="s">
        <v>3370</v>
      </c>
      <c r="G107" s="2955" t="s">
        <v>3370</v>
      </c>
      <c r="H107" s="2955" t="s">
        <v>3370</v>
      </c>
      <c r="I107" s="2955" t="s">
        <v>3558</v>
      </c>
      <c r="J107" s="2955" t="s">
        <v>3370</v>
      </c>
      <c r="K107" s="2955" t="s">
        <v>3370</v>
      </c>
      <c r="L107" s="2955" t="s">
        <v>3372</v>
      </c>
      <c r="M107" s="2955" t="s">
        <v>3833</v>
      </c>
      <c r="N107" s="2955" t="s">
        <v>3372</v>
      </c>
      <c r="O107" s="2955" t="s">
        <v>3372</v>
      </c>
      <c r="P107" s="2955" t="s">
        <v>3372</v>
      </c>
      <c r="Q107" s="2955" t="s">
        <v>3372</v>
      </c>
      <c r="R107" s="2955" t="s">
        <v>3372</v>
      </c>
      <c r="S107" s="2955" t="s">
        <v>3373</v>
      </c>
      <c r="T107" s="2955" t="s">
        <v>3374</v>
      </c>
      <c r="U107" s="2955" t="s">
        <v>3374</v>
      </c>
      <c r="V107" s="2955" t="s">
        <v>3374</v>
      </c>
      <c r="W107" s="2955" t="s">
        <v>3319</v>
      </c>
      <c r="X107" s="2955" t="s">
        <v>3319</v>
      </c>
      <c r="Y107" s="2955" t="s">
        <v>3319</v>
      </c>
      <c r="Z107" s="2955" t="s">
        <v>3319</v>
      </c>
      <c r="AA107" s="2955" t="s">
        <v>3319</v>
      </c>
      <c r="AB107" s="2955" t="s">
        <v>3319</v>
      </c>
      <c r="AC107" s="2955" t="s">
        <v>3319</v>
      </c>
      <c r="AD107" s="2955" t="s">
        <v>3470</v>
      </c>
      <c r="AE107" s="2955" t="s">
        <v>3339</v>
      </c>
      <c r="AF107" s="2955" t="s">
        <v>3339</v>
      </c>
      <c r="AG107" s="2955" t="s">
        <v>3339</v>
      </c>
      <c r="AH107" s="2955" t="s">
        <v>3339</v>
      </c>
      <c r="AI107" s="2955" t="s">
        <v>3339</v>
      </c>
      <c r="AJ107" s="2955" t="s">
        <v>3339</v>
      </c>
      <c r="AK107" s="2955" t="s">
        <v>3339</v>
      </c>
      <c r="AL107" s="2955" t="s">
        <v>3339</v>
      </c>
      <c r="AM107" s="2955" t="s">
        <v>3339</v>
      </c>
      <c r="AN107" s="2955" t="s">
        <v>3339</v>
      </c>
    </row>
    <row r="108" spans="1:40" x14ac:dyDescent="0.3">
      <c r="A108" s="2954" t="s">
        <v>2839</v>
      </c>
      <c r="B108" s="2955" t="s">
        <v>3834</v>
      </c>
      <c r="C108" s="2955" t="s">
        <v>3835</v>
      </c>
      <c r="D108" s="2955" t="s">
        <v>3566</v>
      </c>
      <c r="E108" s="2955" t="s">
        <v>3836</v>
      </c>
      <c r="F108" s="2955" t="s">
        <v>3565</v>
      </c>
      <c r="G108" s="2955" t="s">
        <v>3837</v>
      </c>
      <c r="H108" s="2955" t="s">
        <v>3838</v>
      </c>
      <c r="I108" s="2955" t="s">
        <v>3839</v>
      </c>
      <c r="J108" s="2955" t="s">
        <v>3840</v>
      </c>
      <c r="K108" s="2955" t="s">
        <v>3379</v>
      </c>
      <c r="L108" s="2955" t="s">
        <v>3841</v>
      </c>
      <c r="M108" s="2955" t="s">
        <v>3842</v>
      </c>
      <c r="N108" s="2955" t="s">
        <v>3538</v>
      </c>
      <c r="O108" s="2955" t="s">
        <v>3843</v>
      </c>
      <c r="P108" s="2955" t="s">
        <v>3844</v>
      </c>
      <c r="Q108" s="2955" t="s">
        <v>3845</v>
      </c>
      <c r="R108" s="2955" t="s">
        <v>3846</v>
      </c>
      <c r="S108" s="2955" t="s">
        <v>3847</v>
      </c>
      <c r="T108" s="2955" t="s">
        <v>3848</v>
      </c>
      <c r="U108" s="2955" t="s">
        <v>3849</v>
      </c>
      <c r="V108" s="2955" t="s">
        <v>3426</v>
      </c>
      <c r="W108" s="2955" t="s">
        <v>3340</v>
      </c>
      <c r="X108" s="2955" t="s">
        <v>3382</v>
      </c>
      <c r="Y108" s="2955" t="s">
        <v>3462</v>
      </c>
      <c r="Z108" s="2955" t="s">
        <v>3850</v>
      </c>
      <c r="AA108" s="2955" t="s">
        <v>3368</v>
      </c>
      <c r="AB108" s="2955" t="s">
        <v>3368</v>
      </c>
      <c r="AC108" s="2955" t="s">
        <v>3368</v>
      </c>
      <c r="AD108" s="2955" t="s">
        <v>3851</v>
      </c>
      <c r="AE108" s="2955" t="s">
        <v>3852</v>
      </c>
      <c r="AF108" s="2955" t="s">
        <v>3853</v>
      </c>
      <c r="AG108" s="2955" t="s">
        <v>3419</v>
      </c>
      <c r="AH108" s="2955" t="s">
        <v>3854</v>
      </c>
      <c r="AI108" s="2955" t="s">
        <v>3804</v>
      </c>
      <c r="AJ108" s="2955" t="s">
        <v>3855</v>
      </c>
      <c r="AK108" s="2955" t="s">
        <v>3462</v>
      </c>
      <c r="AL108" s="2955" t="s">
        <v>3432</v>
      </c>
      <c r="AM108" s="2955" t="s">
        <v>3856</v>
      </c>
      <c r="AN108" s="2955" t="s">
        <v>3857</v>
      </c>
    </row>
    <row r="109" spans="1:40" ht="18" thickBot="1" x14ac:dyDescent="0.35">
      <c r="A109" s="2954" t="s">
        <v>2840</v>
      </c>
      <c r="B109" s="2955" t="s">
        <v>3371</v>
      </c>
      <c r="C109" s="2955" t="s">
        <v>3414</v>
      </c>
      <c r="D109" s="2955" t="s">
        <v>3823</v>
      </c>
      <c r="E109" s="2955" t="s">
        <v>3823</v>
      </c>
      <c r="F109" s="2955" t="s">
        <v>3823</v>
      </c>
      <c r="G109" s="2955" t="s">
        <v>3823</v>
      </c>
      <c r="H109" s="2955" t="s">
        <v>3823</v>
      </c>
      <c r="I109" s="2955" t="s">
        <v>3823</v>
      </c>
      <c r="J109" s="2955" t="s">
        <v>3308</v>
      </c>
      <c r="K109" s="2955" t="s">
        <v>3823</v>
      </c>
      <c r="L109" s="2955" t="s">
        <v>3823</v>
      </c>
      <c r="M109" s="2955" t="s">
        <v>3823</v>
      </c>
      <c r="N109" s="2955" t="s">
        <v>3823</v>
      </c>
      <c r="O109" s="2955" t="s">
        <v>3823</v>
      </c>
      <c r="P109" s="2955" t="s">
        <v>3659</v>
      </c>
      <c r="Q109" s="2955" t="s">
        <v>3659</v>
      </c>
      <c r="R109" s="2955" t="s">
        <v>3659</v>
      </c>
      <c r="S109" s="2955" t="s">
        <v>3412</v>
      </c>
      <c r="T109" s="2955" t="s">
        <v>3446</v>
      </c>
      <c r="U109" s="2955" t="s">
        <v>3446</v>
      </c>
      <c r="V109" s="2955" t="s">
        <v>3326</v>
      </c>
      <c r="W109" s="2955" t="s">
        <v>3326</v>
      </c>
      <c r="X109" s="2955" t="s">
        <v>3825</v>
      </c>
      <c r="Y109" s="2955" t="s">
        <v>3825</v>
      </c>
      <c r="Z109" s="2955" t="s">
        <v>3825</v>
      </c>
      <c r="AA109" s="2955" t="s">
        <v>3825</v>
      </c>
      <c r="AB109" s="2955" t="s">
        <v>3326</v>
      </c>
      <c r="AC109" s="2955" t="s">
        <v>3825</v>
      </c>
      <c r="AD109" s="2955" t="s">
        <v>3828</v>
      </c>
      <c r="AE109" s="2955" t="s">
        <v>3827</v>
      </c>
      <c r="AF109" s="2955" t="s">
        <v>3827</v>
      </c>
      <c r="AG109" s="2955" t="s">
        <v>3828</v>
      </c>
      <c r="AH109" s="2955" t="s">
        <v>3826</v>
      </c>
      <c r="AI109" s="2955" t="s">
        <v>3831</v>
      </c>
      <c r="AJ109" s="2955" t="s">
        <v>3828</v>
      </c>
      <c r="AK109" s="2955" t="s">
        <v>3828</v>
      </c>
      <c r="AL109" s="2955" t="s">
        <v>3828</v>
      </c>
      <c r="AM109" s="2955" t="s">
        <v>3831</v>
      </c>
      <c r="AN109" s="2955" t="s">
        <v>3831</v>
      </c>
    </row>
    <row r="110" spans="1:40" ht="18.75" customHeight="1" x14ac:dyDescent="0.3">
      <c r="A110" s="2968" t="s">
        <v>3858</v>
      </c>
      <c r="B110" s="2969" t="s">
        <v>3859</v>
      </c>
      <c r="C110" s="2969" t="s">
        <v>3860</v>
      </c>
      <c r="D110" s="2969" t="s">
        <v>3310</v>
      </c>
      <c r="E110" s="2969" t="s">
        <v>3310</v>
      </c>
      <c r="F110" s="2969" t="s">
        <v>3310</v>
      </c>
      <c r="G110" s="2969" t="s">
        <v>3310</v>
      </c>
      <c r="H110" s="2969" t="s">
        <v>3508</v>
      </c>
      <c r="I110" s="2969" t="s">
        <v>3508</v>
      </c>
      <c r="J110" s="2969" t="s">
        <v>3310</v>
      </c>
      <c r="K110" s="2969" t="s">
        <v>3310</v>
      </c>
      <c r="L110" s="2969" t="s">
        <v>3310</v>
      </c>
      <c r="M110" s="2969" t="s">
        <v>3310</v>
      </c>
      <c r="N110" s="2969" t="s">
        <v>3310</v>
      </c>
      <c r="O110" s="2969" t="s">
        <v>3310</v>
      </c>
      <c r="P110" s="2969" t="s">
        <v>3861</v>
      </c>
      <c r="Q110" s="2969" t="s">
        <v>3861</v>
      </c>
      <c r="R110" s="2969" t="s">
        <v>3861</v>
      </c>
      <c r="S110" s="2970" t="s">
        <v>3862</v>
      </c>
      <c r="T110" s="2970" t="s">
        <v>3863</v>
      </c>
      <c r="U110" s="2970" t="s">
        <v>3864</v>
      </c>
      <c r="V110" s="2970" t="s">
        <v>3865</v>
      </c>
      <c r="W110" s="2970" t="s">
        <v>3865</v>
      </c>
      <c r="X110" s="2970" t="s">
        <v>3865</v>
      </c>
      <c r="Y110" s="2970" t="s">
        <v>3865</v>
      </c>
      <c r="Z110" s="2970" t="s">
        <v>3865</v>
      </c>
      <c r="AA110" s="2970" t="s">
        <v>3865</v>
      </c>
      <c r="AB110" s="2970" t="s">
        <v>3865</v>
      </c>
      <c r="AC110" s="2970" t="s">
        <v>3865</v>
      </c>
      <c r="AD110" s="2970" t="s">
        <v>3865</v>
      </c>
      <c r="AE110" s="2970" t="s">
        <v>3865</v>
      </c>
      <c r="AF110" s="2970" t="s">
        <v>3865</v>
      </c>
      <c r="AG110" s="2970" t="s">
        <v>3865</v>
      </c>
      <c r="AH110" s="2970" t="s">
        <v>3865</v>
      </c>
      <c r="AI110" s="2970" t="s">
        <v>3865</v>
      </c>
      <c r="AJ110" s="2970" t="s">
        <v>3865</v>
      </c>
      <c r="AK110" s="2970" t="s">
        <v>3865</v>
      </c>
      <c r="AL110" s="2970" t="s">
        <v>3865</v>
      </c>
      <c r="AM110" s="2970" t="s">
        <v>3865</v>
      </c>
      <c r="AN110" s="2970" t="s">
        <v>3865</v>
      </c>
    </row>
    <row r="111" spans="1:40" x14ac:dyDescent="0.3">
      <c r="A111" s="2956" t="s">
        <v>3866</v>
      </c>
      <c r="B111" s="2971" t="s">
        <v>3867</v>
      </c>
      <c r="C111" s="2971" t="s">
        <v>3868</v>
      </c>
      <c r="D111" s="2971" t="s">
        <v>3867</v>
      </c>
      <c r="E111" s="2971" t="s">
        <v>3867</v>
      </c>
      <c r="F111" s="2971" t="s">
        <v>3869</v>
      </c>
      <c r="G111" s="2971" t="s">
        <v>3870</v>
      </c>
      <c r="H111" s="2971" t="s">
        <v>3868</v>
      </c>
      <c r="I111" s="2971" t="s">
        <v>3867</v>
      </c>
      <c r="J111" s="2971" t="s">
        <v>3867</v>
      </c>
      <c r="K111" s="2971" t="s">
        <v>3867</v>
      </c>
      <c r="L111" s="2971" t="s">
        <v>3867</v>
      </c>
      <c r="M111" s="2971" t="s">
        <v>3867</v>
      </c>
      <c r="N111" s="2971" t="s">
        <v>3871</v>
      </c>
      <c r="O111" s="2971" t="s">
        <v>3871</v>
      </c>
      <c r="P111" s="2971" t="s">
        <v>3872</v>
      </c>
      <c r="Q111" s="2971" t="s">
        <v>3871</v>
      </c>
      <c r="R111" s="2971" t="s">
        <v>3873</v>
      </c>
      <c r="S111" s="2971" t="s">
        <v>3874</v>
      </c>
      <c r="T111" s="2971" t="s">
        <v>3875</v>
      </c>
      <c r="U111" s="2971" t="s">
        <v>3876</v>
      </c>
      <c r="V111" s="2971" t="s">
        <v>3877</v>
      </c>
      <c r="W111" s="2971" t="s">
        <v>3877</v>
      </c>
      <c r="X111" s="2971" t="s">
        <v>3878</v>
      </c>
      <c r="Y111" s="2971" t="s">
        <v>3879</v>
      </c>
      <c r="Z111" s="2971" t="s">
        <v>3879</v>
      </c>
      <c r="AA111" s="2971" t="s">
        <v>3879</v>
      </c>
      <c r="AB111" s="2971" t="s">
        <v>3879</v>
      </c>
      <c r="AC111" s="2971" t="s">
        <v>3879</v>
      </c>
      <c r="AD111" s="2971" t="s">
        <v>3880</v>
      </c>
      <c r="AE111" s="2971" t="s">
        <v>3879</v>
      </c>
      <c r="AF111" s="2971" t="s">
        <v>3879</v>
      </c>
      <c r="AG111" s="2971" t="s">
        <v>3859</v>
      </c>
      <c r="AH111" s="2971" t="s">
        <v>3881</v>
      </c>
      <c r="AI111" s="2971" t="s">
        <v>3881</v>
      </c>
      <c r="AJ111" s="2971" t="s">
        <v>3882</v>
      </c>
      <c r="AK111" s="2971" t="s">
        <v>3880</v>
      </c>
      <c r="AL111" s="2971" t="s">
        <v>3880</v>
      </c>
      <c r="AM111" s="2971" t="s">
        <v>3880</v>
      </c>
      <c r="AN111" s="2971" t="s">
        <v>3879</v>
      </c>
    </row>
    <row r="112" spans="1:40" x14ac:dyDescent="0.3">
      <c r="A112" s="2972" t="s">
        <v>3883</v>
      </c>
      <c r="B112" s="2973" t="s">
        <v>3884</v>
      </c>
      <c r="C112" s="2973" t="s">
        <v>3885</v>
      </c>
      <c r="D112" s="2973" t="s">
        <v>3884</v>
      </c>
      <c r="E112" s="2973" t="s">
        <v>3389</v>
      </c>
      <c r="F112" s="2973" t="s">
        <v>3633</v>
      </c>
      <c r="G112" s="2973" t="s">
        <v>3633</v>
      </c>
      <c r="H112" s="2973" t="s">
        <v>3886</v>
      </c>
      <c r="I112" s="2973" t="s">
        <v>3887</v>
      </c>
      <c r="J112" s="2973" t="s">
        <v>3592</v>
      </c>
      <c r="K112" s="2973" t="s">
        <v>3888</v>
      </c>
      <c r="L112" s="2973" t="s">
        <v>3889</v>
      </c>
      <c r="M112" s="2973" t="s">
        <v>3890</v>
      </c>
      <c r="N112" s="2973" t="s">
        <v>3891</v>
      </c>
      <c r="O112" s="2973" t="s">
        <v>3892</v>
      </c>
      <c r="P112" s="2973" t="s">
        <v>3891</v>
      </c>
      <c r="Q112" s="2973" t="s">
        <v>3893</v>
      </c>
      <c r="R112" s="2973" t="s">
        <v>3894</v>
      </c>
      <c r="S112" s="2973" t="s">
        <v>3895</v>
      </c>
      <c r="T112" s="2973" t="s">
        <v>3896</v>
      </c>
      <c r="U112" s="2973" t="s">
        <v>3897</v>
      </c>
      <c r="V112" s="2973" t="s">
        <v>3898</v>
      </c>
      <c r="W112" s="2973" t="s">
        <v>3393</v>
      </c>
      <c r="X112" s="2973" t="s">
        <v>3899</v>
      </c>
      <c r="Y112" s="2973" t="s">
        <v>3428</v>
      </c>
      <c r="Z112" s="2973" t="s">
        <v>3428</v>
      </c>
      <c r="AA112" s="2973" t="s">
        <v>3898</v>
      </c>
      <c r="AB112" s="2973" t="s">
        <v>3428</v>
      </c>
      <c r="AC112" s="2973" t="s">
        <v>3628</v>
      </c>
      <c r="AD112" s="2973" t="s">
        <v>3900</v>
      </c>
      <c r="AE112" s="2973" t="s">
        <v>3743</v>
      </c>
      <c r="AF112" s="2973" t="s">
        <v>3743</v>
      </c>
      <c r="AG112" s="2973" t="s">
        <v>3898</v>
      </c>
      <c r="AH112" s="2973" t="s">
        <v>3901</v>
      </c>
      <c r="AI112" s="2973" t="s">
        <v>3902</v>
      </c>
      <c r="AJ112" s="2973" t="s">
        <v>3903</v>
      </c>
      <c r="AK112" s="2973" t="s">
        <v>3902</v>
      </c>
      <c r="AL112" s="2973" t="s">
        <v>3904</v>
      </c>
      <c r="AM112" s="2973" t="s">
        <v>3905</v>
      </c>
      <c r="AN112" s="2973" t="s">
        <v>3906</v>
      </c>
    </row>
    <row r="113" spans="1:40" s="2974" customFormat="1" x14ac:dyDescent="0.3">
      <c r="A113" s="2972" t="s">
        <v>3907</v>
      </c>
      <c r="B113" s="2952">
        <f>0.095*100</f>
        <v>9.5</v>
      </c>
      <c r="C113" s="2952" t="s">
        <v>3908</v>
      </c>
      <c r="D113" s="2952" t="s">
        <v>3909</v>
      </c>
      <c r="E113" s="2952">
        <v>9.5</v>
      </c>
      <c r="F113" s="2952">
        <v>9.5</v>
      </c>
      <c r="G113" s="2952">
        <v>9.5</v>
      </c>
      <c r="H113" s="2952" t="s">
        <v>3379</v>
      </c>
      <c r="I113" s="2952" t="s">
        <v>3910</v>
      </c>
      <c r="J113" s="2952" t="s">
        <v>3908</v>
      </c>
      <c r="K113" s="2952">
        <v>9.5</v>
      </c>
      <c r="L113" s="2952">
        <v>9.35</v>
      </c>
      <c r="M113" s="2952" t="s">
        <v>3576</v>
      </c>
      <c r="N113" s="2952">
        <v>9.35</v>
      </c>
      <c r="O113" s="2952">
        <v>9.35</v>
      </c>
      <c r="P113" s="2952" t="s">
        <v>3911</v>
      </c>
      <c r="Q113" s="2952">
        <v>9.35</v>
      </c>
      <c r="R113" s="2952" t="s">
        <v>3912</v>
      </c>
      <c r="S113" s="2952">
        <v>8.85</v>
      </c>
      <c r="T113" s="2952" t="s">
        <v>3913</v>
      </c>
      <c r="U113" s="2952">
        <v>7.85</v>
      </c>
      <c r="V113" s="2952">
        <v>7.85</v>
      </c>
      <c r="W113" s="2952">
        <v>7.85</v>
      </c>
      <c r="X113" s="2952">
        <v>7.85</v>
      </c>
      <c r="Y113" s="2952" t="s">
        <v>3914</v>
      </c>
      <c r="Z113" s="2952" t="s">
        <v>3339</v>
      </c>
      <c r="AA113" s="2952" t="s">
        <v>3339</v>
      </c>
      <c r="AB113" s="2952" t="s">
        <v>3462</v>
      </c>
      <c r="AC113" s="2952" t="s">
        <v>3339</v>
      </c>
      <c r="AD113" s="2952" t="s">
        <v>3462</v>
      </c>
      <c r="AE113" s="2952" t="s">
        <v>3462</v>
      </c>
      <c r="AF113" s="2952" t="s">
        <v>3462</v>
      </c>
      <c r="AG113" s="2952" t="s">
        <v>3462</v>
      </c>
      <c r="AH113" s="2952" t="s">
        <v>3462</v>
      </c>
      <c r="AI113" s="2952" t="s">
        <v>3462</v>
      </c>
      <c r="AJ113" s="2952" t="s">
        <v>3462</v>
      </c>
      <c r="AK113" s="2952" t="s">
        <v>3462</v>
      </c>
      <c r="AL113" s="2952" t="s">
        <v>3462</v>
      </c>
      <c r="AM113" s="2952" t="s">
        <v>3462</v>
      </c>
      <c r="AN113" s="2952" t="s">
        <v>3915</v>
      </c>
    </row>
    <row r="114" spans="1:40" s="2974" customFormat="1" x14ac:dyDescent="0.3">
      <c r="A114" s="2972" t="s">
        <v>3916</v>
      </c>
      <c r="B114" s="2973" t="s">
        <v>3566</v>
      </c>
      <c r="C114" s="2973" t="s">
        <v>3566</v>
      </c>
      <c r="D114" s="2973" t="s">
        <v>3566</v>
      </c>
      <c r="E114" s="2973" t="s">
        <v>3566</v>
      </c>
      <c r="F114" s="2973" t="s">
        <v>3566</v>
      </c>
      <c r="G114" s="2973" t="s">
        <v>3566</v>
      </c>
      <c r="H114" s="2973" t="s">
        <v>3566</v>
      </c>
      <c r="I114" s="2973" t="s">
        <v>3917</v>
      </c>
      <c r="J114" s="2973" t="s">
        <v>3566</v>
      </c>
      <c r="K114" s="2973" t="s">
        <v>3566</v>
      </c>
      <c r="L114" s="2973" t="s">
        <v>3574</v>
      </c>
      <c r="M114" s="2973" t="s">
        <v>3918</v>
      </c>
      <c r="N114" s="2973" t="s">
        <v>3574</v>
      </c>
      <c r="O114" s="2973" t="s">
        <v>3574</v>
      </c>
      <c r="P114" s="2973" t="s">
        <v>3576</v>
      </c>
      <c r="Q114" s="2973" t="s">
        <v>3919</v>
      </c>
      <c r="R114" s="2973" t="s">
        <v>3574</v>
      </c>
      <c r="S114" s="2973" t="s">
        <v>3811</v>
      </c>
      <c r="T114" s="2973" t="s">
        <v>3920</v>
      </c>
      <c r="U114" s="2973" t="s">
        <v>3339</v>
      </c>
      <c r="V114" s="2973" t="s">
        <v>3339</v>
      </c>
      <c r="W114" s="2973" t="s">
        <v>3339</v>
      </c>
      <c r="X114" s="2973" t="s">
        <v>3339</v>
      </c>
      <c r="Y114" s="2973" t="s">
        <v>3339</v>
      </c>
      <c r="Z114" s="2973" t="s">
        <v>3419</v>
      </c>
      <c r="AA114" s="2973" t="s">
        <v>3339</v>
      </c>
      <c r="AB114" s="2973" t="s">
        <v>3339</v>
      </c>
      <c r="AC114" s="2973" t="s">
        <v>3339</v>
      </c>
      <c r="AD114" s="2973" t="s">
        <v>3339</v>
      </c>
      <c r="AE114" s="2973" t="s">
        <v>3339</v>
      </c>
      <c r="AF114" s="2973" t="s">
        <v>3340</v>
      </c>
      <c r="AG114" s="2973" t="s">
        <v>3339</v>
      </c>
      <c r="AH114" s="2973" t="s">
        <v>3339</v>
      </c>
      <c r="AI114" s="2973" t="s">
        <v>3339</v>
      </c>
      <c r="AJ114" s="2973" t="s">
        <v>3339</v>
      </c>
      <c r="AK114" s="2973" t="s">
        <v>3339</v>
      </c>
      <c r="AL114" s="2973" t="s">
        <v>3731</v>
      </c>
      <c r="AM114" s="2973" t="s">
        <v>3805</v>
      </c>
      <c r="AN114" s="2973" t="s">
        <v>3366</v>
      </c>
    </row>
    <row r="115" spans="1:40" x14ac:dyDescent="0.3">
      <c r="A115" s="2953" t="s">
        <v>3921</v>
      </c>
      <c r="B115" s="2952">
        <f>0.095*100</f>
        <v>9.5</v>
      </c>
      <c r="C115" s="2952">
        <v>9.5</v>
      </c>
      <c r="D115" s="2952">
        <v>9.5</v>
      </c>
      <c r="E115" s="2952">
        <v>9.5</v>
      </c>
      <c r="F115" s="2952">
        <v>9.5</v>
      </c>
      <c r="G115" s="2952">
        <v>9.5</v>
      </c>
      <c r="H115" s="2952">
        <v>9.5</v>
      </c>
      <c r="I115" s="2952">
        <v>9.5</v>
      </c>
      <c r="J115" s="2952">
        <v>9.5</v>
      </c>
      <c r="K115" s="2952">
        <v>9.5</v>
      </c>
      <c r="L115" s="2952">
        <v>9.35</v>
      </c>
      <c r="M115" s="2952">
        <v>9.35</v>
      </c>
      <c r="N115" s="2952">
        <v>9.35</v>
      </c>
      <c r="O115" s="2952" t="s">
        <v>3922</v>
      </c>
      <c r="P115" s="2952">
        <v>9.35</v>
      </c>
      <c r="Q115" s="2952">
        <v>9.35</v>
      </c>
      <c r="R115" s="2952" t="s">
        <v>3922</v>
      </c>
      <c r="S115" s="2952">
        <v>8.85</v>
      </c>
      <c r="T115" s="2952" t="s">
        <v>3923</v>
      </c>
      <c r="U115" s="2952" t="s">
        <v>3923</v>
      </c>
      <c r="V115" s="2952">
        <v>7.85</v>
      </c>
      <c r="W115" s="2952">
        <v>7.85</v>
      </c>
      <c r="X115" s="2952">
        <v>7.85</v>
      </c>
      <c r="Y115" s="2952">
        <v>7.85</v>
      </c>
      <c r="Z115" s="2952">
        <v>7.85</v>
      </c>
      <c r="AA115" s="2952">
        <v>7.85</v>
      </c>
      <c r="AB115" s="2952">
        <v>7.85</v>
      </c>
      <c r="AC115" s="2952">
        <v>7.85</v>
      </c>
      <c r="AD115" s="2952">
        <v>7.85</v>
      </c>
      <c r="AE115" s="2952">
        <v>7.85</v>
      </c>
      <c r="AF115" s="2952">
        <v>7.85</v>
      </c>
      <c r="AG115" s="2952">
        <v>7.85</v>
      </c>
      <c r="AH115" s="2952">
        <v>7.85</v>
      </c>
      <c r="AI115" s="2952">
        <v>7.85</v>
      </c>
      <c r="AJ115" s="2952">
        <v>7.85</v>
      </c>
      <c r="AK115" s="2952">
        <v>7.85</v>
      </c>
      <c r="AL115" s="2952">
        <v>7.85</v>
      </c>
      <c r="AM115" s="2952">
        <v>7.85</v>
      </c>
      <c r="AN115" s="2952">
        <v>7.85</v>
      </c>
    </row>
    <row r="116" spans="1:40" ht="18" thickBot="1" x14ac:dyDescent="0.35">
      <c r="A116" s="2975" t="s">
        <v>3924</v>
      </c>
      <c r="B116" s="2976" t="s">
        <v>3925</v>
      </c>
      <c r="C116" s="2976" t="s">
        <v>3926</v>
      </c>
      <c r="D116" s="2976" t="s">
        <v>3926</v>
      </c>
      <c r="E116" s="2976" t="s">
        <v>3926</v>
      </c>
      <c r="F116" s="2976" t="s">
        <v>3375</v>
      </c>
      <c r="G116" s="2976" t="s">
        <v>3375</v>
      </c>
      <c r="H116" s="2976" t="s">
        <v>3375</v>
      </c>
      <c r="I116" s="2976" t="s">
        <v>3375</v>
      </c>
      <c r="J116" s="2976" t="s">
        <v>3927</v>
      </c>
      <c r="K116" s="2976" t="s">
        <v>3370</v>
      </c>
      <c r="L116" s="2976" t="s">
        <v>3372</v>
      </c>
      <c r="M116" s="2976" t="s">
        <v>3372</v>
      </c>
      <c r="N116" s="2976" t="s">
        <v>3362</v>
      </c>
      <c r="O116" s="2976" t="s">
        <v>3724</v>
      </c>
      <c r="P116" s="2976" t="s">
        <v>3724</v>
      </c>
      <c r="Q116" s="2976" t="s">
        <v>3362</v>
      </c>
      <c r="R116" s="2976" t="s">
        <v>3420</v>
      </c>
      <c r="S116" s="2977">
        <v>5.35</v>
      </c>
      <c r="T116" s="2977" t="s">
        <v>3336</v>
      </c>
      <c r="U116" s="2977" t="s">
        <v>3417</v>
      </c>
      <c r="V116" s="2977" t="s">
        <v>3726</v>
      </c>
      <c r="W116" s="2977" t="s">
        <v>3659</v>
      </c>
      <c r="X116" s="2977" t="s">
        <v>3326</v>
      </c>
      <c r="Y116" s="2977" t="s">
        <v>3336</v>
      </c>
      <c r="Z116" s="2977" t="s">
        <v>1014</v>
      </c>
      <c r="AA116" s="2977" t="s">
        <v>3374</v>
      </c>
      <c r="AB116" s="2977" t="s">
        <v>1014</v>
      </c>
      <c r="AC116" s="2977" t="s">
        <v>3928</v>
      </c>
      <c r="AD116" s="2977" t="s">
        <v>1014</v>
      </c>
      <c r="AE116" s="2977" t="s">
        <v>3929</v>
      </c>
      <c r="AF116" s="2977">
        <v>3.55</v>
      </c>
      <c r="AG116" s="2977" t="s">
        <v>1014</v>
      </c>
      <c r="AH116" s="2977" t="s">
        <v>1014</v>
      </c>
      <c r="AI116" s="2977">
        <v>4.5</v>
      </c>
      <c r="AJ116" s="2978" t="s">
        <v>1014</v>
      </c>
      <c r="AK116" s="2978">
        <v>4.0999999999999996</v>
      </c>
      <c r="AL116" s="2978" t="s">
        <v>1014</v>
      </c>
      <c r="AM116" s="2978" t="s">
        <v>3930</v>
      </c>
      <c r="AN116" s="2978" t="s">
        <v>3931</v>
      </c>
    </row>
    <row r="117" spans="1:40" ht="35.25" customHeight="1" thickTop="1" x14ac:dyDescent="0.25">
      <c r="A117" s="3262" t="s">
        <v>3932</v>
      </c>
      <c r="B117" s="3262"/>
      <c r="C117" s="3262"/>
      <c r="D117" s="3262"/>
      <c r="E117" s="3262"/>
      <c r="F117" s="3262"/>
      <c r="G117" s="3262"/>
      <c r="H117" s="3262"/>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62"/>
      <c r="AD117" s="3262"/>
      <c r="AE117" s="3262"/>
      <c r="AF117" s="3262"/>
      <c r="AG117" s="3262"/>
      <c r="AH117" s="3262"/>
      <c r="AI117" s="3262"/>
      <c r="AJ117" s="3262"/>
      <c r="AK117" s="3262"/>
      <c r="AL117" s="3262"/>
      <c r="AM117" s="3262"/>
      <c r="AN117" s="3262"/>
    </row>
    <row r="118" spans="1:40" s="2979" customFormat="1" ht="40.5" customHeight="1" x14ac:dyDescent="0.25">
      <c r="A118" s="3263" t="s">
        <v>290</v>
      </c>
      <c r="B118" s="3263"/>
      <c r="C118" s="3263"/>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c r="AE118" s="292"/>
      <c r="AF118" s="292"/>
      <c r="AG118" s="292"/>
      <c r="AH118" s="292"/>
      <c r="AI118" s="292"/>
      <c r="AJ118" s="292"/>
      <c r="AK118" s="292"/>
      <c r="AL118" s="292"/>
      <c r="AM118" s="292"/>
      <c r="AN118" s="292"/>
    </row>
  </sheetData>
  <dataConsolidate function="countNums">
    <dataRefs count="2">
      <dataRef ref="C4:AJ4" sheet="Bulletin - New Loans" r:id="rId1"/>
      <dataRef ref="C4:AL104" sheet="Bulletin - New Loans" r:id="rId2"/>
    </dataRefs>
  </dataConsolidate>
  <mergeCells count="2">
    <mergeCell ref="A117:AN117"/>
    <mergeCell ref="A118:C118"/>
  </mergeCells>
  <pageMargins left="0.43425196900000002" right="0.20866141699999999" top="0.511811023622047" bottom="0.15748031496063" header="0.31496062992126" footer="0.31496062992126"/>
  <pageSetup paperSize="9" scale="45" fitToHeight="0" orientation="landscape" r:id="rId3"/>
  <headerFooter alignWithMargins="0"/>
  <rowBreaks count="1" manualBreakCount="1">
    <brk id="66" max="16383" man="1"/>
  </row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V118"/>
  <sheetViews>
    <sheetView showGridLines="0" zoomScale="70" zoomScaleNormal="70" zoomScaleSheetLayoutView="70" workbookViewId="0">
      <pane xSplit="45" ySplit="3" topLeftCell="BE4" activePane="bottomRight" state="frozen"/>
      <selection activeCell="A38" sqref="A38"/>
      <selection pane="topRight" activeCell="A38" sqref="A38"/>
      <selection pane="bottomLeft" activeCell="A38" sqref="A38"/>
      <selection pane="bottomRight" activeCell="A38" sqref="A38"/>
    </sheetView>
  </sheetViews>
  <sheetFormatPr defaultColWidth="9.140625" defaultRowHeight="17.25" x14ac:dyDescent="0.3"/>
  <cols>
    <col min="1" max="1" width="95.42578125" style="2980" customWidth="1"/>
    <col min="2" max="6" width="24.7109375" style="2981" hidden="1" customWidth="1"/>
    <col min="7" max="10" width="27.5703125" style="2981" hidden="1" customWidth="1"/>
    <col min="11" max="18" width="23.42578125" style="2981" hidden="1" customWidth="1"/>
    <col min="19" max="21" width="23.42578125" style="2981" bestFit="1" customWidth="1"/>
    <col min="22" max="16384" width="9.140625" style="2950"/>
  </cols>
  <sheetData>
    <row r="1" spans="1:21" s="2944" customFormat="1" ht="20.25" customHeight="1" x14ac:dyDescent="0.35">
      <c r="A1" s="2941" t="s">
        <v>3933</v>
      </c>
      <c r="B1" s="2943"/>
      <c r="C1" s="2943"/>
      <c r="D1" s="2943"/>
      <c r="E1" s="2943"/>
      <c r="F1" s="2943"/>
      <c r="G1" s="2943"/>
      <c r="H1" s="2943"/>
      <c r="I1" s="2943"/>
      <c r="J1" s="2943"/>
      <c r="K1" s="2943"/>
      <c r="L1" s="2943"/>
      <c r="M1" s="2943"/>
      <c r="N1" s="2943"/>
      <c r="O1" s="2943"/>
      <c r="P1" s="2943"/>
      <c r="Q1" s="2943"/>
      <c r="R1" s="2943"/>
      <c r="S1" s="2943"/>
      <c r="T1" s="2943"/>
      <c r="U1" s="2943"/>
    </row>
    <row r="2" spans="1:21" s="2944" customFormat="1" ht="24.75" customHeight="1" thickBot="1" x14ac:dyDescent="0.35">
      <c r="A2" s="2945"/>
      <c r="B2" s="2946"/>
      <c r="C2" s="2946"/>
      <c r="D2" s="2946"/>
      <c r="E2" s="2946"/>
      <c r="F2" s="2946"/>
      <c r="G2" s="2946"/>
      <c r="H2" s="2946"/>
      <c r="I2" s="2946"/>
      <c r="J2" s="2946"/>
      <c r="K2" s="2946"/>
      <c r="L2" s="2947"/>
      <c r="M2" s="2947"/>
      <c r="N2" s="2947"/>
      <c r="O2" s="2947"/>
      <c r="P2" s="2947"/>
      <c r="Q2" s="2947"/>
      <c r="R2" s="2947"/>
      <c r="S2" s="2947"/>
      <c r="T2" s="2947"/>
      <c r="U2" s="2947" t="s">
        <v>1129</v>
      </c>
    </row>
    <row r="3" spans="1:21" ht="19.899999999999999" customHeight="1" thickTop="1" thickBot="1" x14ac:dyDescent="0.35">
      <c r="A3" s="2948"/>
      <c r="B3" s="2949">
        <v>44562</v>
      </c>
      <c r="C3" s="2949">
        <v>44593</v>
      </c>
      <c r="D3" s="2949">
        <v>44621</v>
      </c>
      <c r="E3" s="2949">
        <v>44652</v>
      </c>
      <c r="F3" s="2949">
        <v>44682</v>
      </c>
      <c r="G3" s="2949">
        <v>44713</v>
      </c>
      <c r="H3" s="2949">
        <v>44743</v>
      </c>
      <c r="I3" s="2949">
        <v>44774</v>
      </c>
      <c r="J3" s="2949">
        <v>44805</v>
      </c>
      <c r="K3" s="2949">
        <v>44835</v>
      </c>
      <c r="L3" s="2949">
        <v>44866</v>
      </c>
      <c r="M3" s="2949">
        <v>44896</v>
      </c>
      <c r="N3" s="2949">
        <v>44927</v>
      </c>
      <c r="O3" s="2949">
        <v>44958</v>
      </c>
      <c r="P3" s="2949">
        <v>44986</v>
      </c>
      <c r="Q3" s="2949">
        <v>45017</v>
      </c>
      <c r="R3" s="2949">
        <v>45047</v>
      </c>
      <c r="S3" s="2949">
        <v>45078</v>
      </c>
      <c r="T3" s="2949">
        <v>45108</v>
      </c>
      <c r="U3" s="2949">
        <v>45139</v>
      </c>
    </row>
    <row r="4" spans="1:21" ht="18" thickTop="1" x14ac:dyDescent="0.3">
      <c r="A4" s="2951" t="s">
        <v>2737</v>
      </c>
      <c r="B4" s="2952" t="s">
        <v>3316</v>
      </c>
      <c r="C4" s="2952" t="s">
        <v>3316</v>
      </c>
      <c r="D4" s="2952" t="s">
        <v>3934</v>
      </c>
      <c r="E4" s="2952" t="s">
        <v>3935</v>
      </c>
      <c r="F4" s="2952" t="s">
        <v>3935</v>
      </c>
      <c r="G4" s="2952" t="s">
        <v>3936</v>
      </c>
      <c r="H4" s="2952" t="s">
        <v>3937</v>
      </c>
      <c r="I4" s="2952" t="s">
        <v>3938</v>
      </c>
      <c r="J4" s="2952" t="s">
        <v>3939</v>
      </c>
      <c r="K4" s="2952" t="s">
        <v>3940</v>
      </c>
      <c r="L4" s="2952" t="s">
        <v>3941</v>
      </c>
      <c r="M4" s="2952" t="s">
        <v>3942</v>
      </c>
      <c r="N4" s="2952" t="s">
        <v>3943</v>
      </c>
      <c r="O4" s="2952" t="s">
        <v>3943</v>
      </c>
      <c r="P4" s="2952" t="s">
        <v>3944</v>
      </c>
      <c r="Q4" s="2952" t="s">
        <v>3944</v>
      </c>
      <c r="R4" s="2952" t="s">
        <v>3943</v>
      </c>
      <c r="S4" s="2952" t="s">
        <v>3945</v>
      </c>
      <c r="T4" s="2952" t="s">
        <v>3946</v>
      </c>
      <c r="U4" s="2952" t="s">
        <v>3947</v>
      </c>
    </row>
    <row r="5" spans="1:21" s="2944" customFormat="1" x14ac:dyDescent="0.3">
      <c r="A5" s="2953" t="s">
        <v>2738</v>
      </c>
      <c r="B5" s="2952" t="s">
        <v>3948</v>
      </c>
      <c r="C5" s="2952" t="s">
        <v>3949</v>
      </c>
      <c r="D5" s="2952" t="s">
        <v>3950</v>
      </c>
      <c r="E5" s="2952" t="s">
        <v>3951</v>
      </c>
      <c r="F5" s="2952" t="s">
        <v>3952</v>
      </c>
      <c r="G5" s="2952" t="s">
        <v>3953</v>
      </c>
      <c r="H5" s="2952" t="s">
        <v>3954</v>
      </c>
      <c r="I5" s="2952" t="s">
        <v>3955</v>
      </c>
      <c r="J5" s="2952" t="s">
        <v>3956</v>
      </c>
      <c r="K5" s="2952" t="s">
        <v>3957</v>
      </c>
      <c r="L5" s="2952" t="s">
        <v>3496</v>
      </c>
      <c r="M5" s="2952" t="s">
        <v>3958</v>
      </c>
      <c r="N5" s="2952" t="s">
        <v>3959</v>
      </c>
      <c r="O5" s="2952" t="s">
        <v>3960</v>
      </c>
      <c r="P5" s="2952" t="s">
        <v>3961</v>
      </c>
      <c r="Q5" s="2952" t="s">
        <v>3962</v>
      </c>
      <c r="R5" s="2952" t="s">
        <v>3963</v>
      </c>
      <c r="S5" s="2952" t="s">
        <v>3960</v>
      </c>
      <c r="T5" s="2952" t="s">
        <v>3964</v>
      </c>
      <c r="U5" s="2952" t="s">
        <v>3965</v>
      </c>
    </row>
    <row r="6" spans="1:21" ht="16.899999999999999" customHeight="1" x14ac:dyDescent="0.3">
      <c r="A6" s="2954" t="s">
        <v>2739</v>
      </c>
      <c r="B6" s="2955" t="s">
        <v>3948</v>
      </c>
      <c r="C6" s="2955" t="s">
        <v>3949</v>
      </c>
      <c r="D6" s="2955" t="s">
        <v>3950</v>
      </c>
      <c r="E6" s="2955" t="s">
        <v>3951</v>
      </c>
      <c r="F6" s="2955" t="s">
        <v>3952</v>
      </c>
      <c r="G6" s="2955" t="s">
        <v>3953</v>
      </c>
      <c r="H6" s="2955" t="s">
        <v>3954</v>
      </c>
      <c r="I6" s="2955" t="s">
        <v>3955</v>
      </c>
      <c r="J6" s="2955" t="s">
        <v>3956</v>
      </c>
      <c r="K6" s="2955" t="s">
        <v>3957</v>
      </c>
      <c r="L6" s="2955" t="s">
        <v>3496</v>
      </c>
      <c r="M6" s="2955" t="s">
        <v>3958</v>
      </c>
      <c r="N6" s="2955" t="s">
        <v>3959</v>
      </c>
      <c r="O6" s="2955" t="s">
        <v>3960</v>
      </c>
      <c r="P6" s="2955" t="s">
        <v>3961</v>
      </c>
      <c r="Q6" s="2955" t="s">
        <v>3962</v>
      </c>
      <c r="R6" s="2955" t="s">
        <v>3963</v>
      </c>
      <c r="S6" s="2955" t="s">
        <v>3960</v>
      </c>
      <c r="T6" s="2955" t="s">
        <v>3964</v>
      </c>
      <c r="U6" s="2955" t="s">
        <v>3965</v>
      </c>
    </row>
    <row r="7" spans="1:21" s="2957" customFormat="1" ht="16.899999999999999" customHeight="1" x14ac:dyDescent="0.3">
      <c r="A7" s="2956" t="s">
        <v>3332</v>
      </c>
      <c r="B7" s="2955" t="s">
        <v>3888</v>
      </c>
      <c r="C7" s="2955" t="s">
        <v>3949</v>
      </c>
      <c r="D7" s="2955" t="s">
        <v>3966</v>
      </c>
      <c r="E7" s="2955" t="s">
        <v>3967</v>
      </c>
      <c r="F7" s="2955" t="s">
        <v>3966</v>
      </c>
      <c r="G7" s="2955" t="s">
        <v>3712</v>
      </c>
      <c r="H7" s="2955" t="s">
        <v>3968</v>
      </c>
      <c r="I7" s="2955" t="s">
        <v>3968</v>
      </c>
      <c r="J7" s="2955" t="s">
        <v>3969</v>
      </c>
      <c r="K7" s="2955" t="s">
        <v>3970</v>
      </c>
      <c r="L7" s="2955" t="s">
        <v>1305</v>
      </c>
      <c r="M7" s="2955" t="s">
        <v>3971</v>
      </c>
      <c r="N7" s="2955" t="s">
        <v>3971</v>
      </c>
      <c r="O7" s="2955" t="s">
        <v>3972</v>
      </c>
      <c r="P7" s="2955" t="s">
        <v>3973</v>
      </c>
      <c r="Q7" s="2955" t="s">
        <v>3972</v>
      </c>
      <c r="R7" s="2955" t="s">
        <v>3971</v>
      </c>
      <c r="S7" s="2955" t="s">
        <v>3974</v>
      </c>
      <c r="T7" s="2955" t="s">
        <v>3972</v>
      </c>
      <c r="U7" s="2955" t="s">
        <v>3972</v>
      </c>
    </row>
    <row r="8" spans="1:21" s="2957" customFormat="1" ht="16.899999999999999" customHeight="1" x14ac:dyDescent="0.3">
      <c r="A8" s="2956" t="s">
        <v>3345</v>
      </c>
      <c r="B8" s="2955" t="s">
        <v>3948</v>
      </c>
      <c r="C8" s="2955" t="s">
        <v>3358</v>
      </c>
      <c r="D8" s="2955" t="s">
        <v>3950</v>
      </c>
      <c r="E8" s="2955" t="s">
        <v>3975</v>
      </c>
      <c r="F8" s="2955" t="s">
        <v>3952</v>
      </c>
      <c r="G8" s="2955" t="s">
        <v>3953</v>
      </c>
      <c r="H8" s="2955" t="s">
        <v>3954</v>
      </c>
      <c r="I8" s="2955" t="s">
        <v>3955</v>
      </c>
      <c r="J8" s="2955" t="s">
        <v>3956</v>
      </c>
      <c r="K8" s="2955" t="s">
        <v>3957</v>
      </c>
      <c r="L8" s="2955" t="s">
        <v>3496</v>
      </c>
      <c r="M8" s="2955" t="s">
        <v>3958</v>
      </c>
      <c r="N8" s="2955" t="s">
        <v>3959</v>
      </c>
      <c r="O8" s="2955" t="s">
        <v>3960</v>
      </c>
      <c r="P8" s="2955" t="s">
        <v>3961</v>
      </c>
      <c r="Q8" s="2955" t="s">
        <v>3962</v>
      </c>
      <c r="R8" s="2955" t="s">
        <v>3963</v>
      </c>
      <c r="S8" s="2955" t="s">
        <v>3960</v>
      </c>
      <c r="T8" s="2955" t="s">
        <v>3964</v>
      </c>
      <c r="U8" s="2955" t="s">
        <v>3965</v>
      </c>
    </row>
    <row r="9" spans="1:21" ht="14.45" customHeight="1" x14ac:dyDescent="0.3">
      <c r="A9" s="2954" t="s">
        <v>2742</v>
      </c>
      <c r="B9" s="2955" t="s">
        <v>3366</v>
      </c>
      <c r="C9" s="2955" t="s">
        <v>3339</v>
      </c>
      <c r="D9" s="2955" t="s">
        <v>3976</v>
      </c>
      <c r="E9" s="2955" t="s">
        <v>3977</v>
      </c>
      <c r="F9" s="2955" t="s">
        <v>3966</v>
      </c>
      <c r="G9" s="2955">
        <v>8.25</v>
      </c>
      <c r="H9" s="2955" t="s">
        <v>3968</v>
      </c>
      <c r="I9" s="2955" t="s">
        <v>3968</v>
      </c>
      <c r="J9" s="2955">
        <v>9</v>
      </c>
      <c r="K9" s="2955" t="s">
        <v>3970</v>
      </c>
      <c r="L9" s="2955" t="s">
        <v>3978</v>
      </c>
      <c r="M9" s="2955" t="s">
        <v>3979</v>
      </c>
      <c r="N9" s="2955" t="s">
        <v>3980</v>
      </c>
      <c r="O9" s="2955" t="s">
        <v>3979</v>
      </c>
      <c r="P9" s="2955" t="s">
        <v>3972</v>
      </c>
      <c r="Q9" s="2955" t="s">
        <v>3972</v>
      </c>
      <c r="R9" s="2955" t="s">
        <v>3980</v>
      </c>
      <c r="S9" s="2955" t="s">
        <v>3972</v>
      </c>
      <c r="T9" s="2955" t="s">
        <v>3972</v>
      </c>
      <c r="U9" s="2955" t="s">
        <v>3972</v>
      </c>
    </row>
    <row r="10" spans="1:21" ht="14.45" customHeight="1" x14ac:dyDescent="0.3">
      <c r="A10" s="2954" t="s">
        <v>2743</v>
      </c>
      <c r="B10" s="2955" t="s">
        <v>3376</v>
      </c>
      <c r="C10" s="2955" t="s">
        <v>3981</v>
      </c>
      <c r="D10" s="2955" t="s">
        <v>3982</v>
      </c>
      <c r="E10" s="2955" t="s">
        <v>3982</v>
      </c>
      <c r="F10" s="2955" t="s">
        <v>3982</v>
      </c>
      <c r="G10" s="2955" t="s">
        <v>1313</v>
      </c>
      <c r="H10" s="2955">
        <v>8.25</v>
      </c>
      <c r="I10" s="2955" t="s">
        <v>1313</v>
      </c>
      <c r="J10" s="2955" t="s">
        <v>3983</v>
      </c>
      <c r="K10" s="2955" t="s">
        <v>3983</v>
      </c>
      <c r="L10" s="2955" t="s">
        <v>3984</v>
      </c>
      <c r="M10" s="2955" t="s">
        <v>3985</v>
      </c>
      <c r="N10" s="2955">
        <v>10.5</v>
      </c>
      <c r="O10" s="2955">
        <v>10.5</v>
      </c>
      <c r="P10" s="2955">
        <v>10.5</v>
      </c>
      <c r="Q10" s="2955">
        <v>10.5</v>
      </c>
      <c r="R10" s="2955">
        <v>10.5</v>
      </c>
      <c r="S10" s="2955">
        <v>10.5</v>
      </c>
      <c r="T10" s="2955">
        <v>10.5</v>
      </c>
      <c r="U10" s="2955">
        <v>10.5</v>
      </c>
    </row>
    <row r="11" spans="1:21" s="2944" customFormat="1" ht="18.600000000000001" customHeight="1" x14ac:dyDescent="0.3">
      <c r="A11" s="2953" t="s">
        <v>2744</v>
      </c>
      <c r="B11" s="2952" t="s">
        <v>3382</v>
      </c>
      <c r="C11" s="2952" t="s">
        <v>3382</v>
      </c>
      <c r="D11" s="2952" t="s">
        <v>3986</v>
      </c>
      <c r="E11" s="2952" t="s">
        <v>3986</v>
      </c>
      <c r="F11" s="2952" t="s">
        <v>3987</v>
      </c>
      <c r="G11" s="2952" t="s">
        <v>3988</v>
      </c>
      <c r="H11" s="2952" t="s">
        <v>3989</v>
      </c>
      <c r="I11" s="2952" t="s">
        <v>3989</v>
      </c>
      <c r="J11" s="2952" t="s">
        <v>3990</v>
      </c>
      <c r="K11" s="2952" t="s">
        <v>3991</v>
      </c>
      <c r="L11" s="2952" t="s">
        <v>1305</v>
      </c>
      <c r="M11" s="2952" t="s">
        <v>1370</v>
      </c>
      <c r="N11" s="2952" t="s">
        <v>3992</v>
      </c>
      <c r="O11" s="2952">
        <v>10.5</v>
      </c>
      <c r="P11" s="2952" t="s">
        <v>1370</v>
      </c>
      <c r="Q11" s="2952">
        <v>10.5</v>
      </c>
      <c r="R11" s="2952" t="s">
        <v>3992</v>
      </c>
      <c r="S11" s="2952" t="s">
        <v>1370</v>
      </c>
      <c r="T11" s="2952" t="s">
        <v>3992</v>
      </c>
      <c r="U11" s="2952" t="s">
        <v>3992</v>
      </c>
    </row>
    <row r="12" spans="1:21" s="2944" customFormat="1" ht="20.45" customHeight="1" x14ac:dyDescent="0.3">
      <c r="A12" s="2953" t="s">
        <v>2745</v>
      </c>
      <c r="B12" s="2952" t="s">
        <v>3387</v>
      </c>
      <c r="C12" s="2952" t="s">
        <v>3316</v>
      </c>
      <c r="D12" s="2952" t="s">
        <v>3993</v>
      </c>
      <c r="E12" s="2952" t="s">
        <v>3994</v>
      </c>
      <c r="F12" s="2952" t="s">
        <v>3995</v>
      </c>
      <c r="G12" s="2952" t="s">
        <v>3996</v>
      </c>
      <c r="H12" s="2952" t="s">
        <v>3938</v>
      </c>
      <c r="I12" s="2952" t="s">
        <v>3997</v>
      </c>
      <c r="J12" s="2952" t="s">
        <v>3939</v>
      </c>
      <c r="K12" s="2952" t="s">
        <v>3998</v>
      </c>
      <c r="L12" s="2952" t="s">
        <v>3999</v>
      </c>
      <c r="M12" s="2952" t="s">
        <v>4000</v>
      </c>
      <c r="N12" s="2952" t="s">
        <v>4001</v>
      </c>
      <c r="O12" s="2952" t="s">
        <v>3944</v>
      </c>
      <c r="P12" s="2952" t="s">
        <v>3944</v>
      </c>
      <c r="Q12" s="2952" t="s">
        <v>4002</v>
      </c>
      <c r="R12" s="2952" t="s">
        <v>4003</v>
      </c>
      <c r="S12" s="2952" t="s">
        <v>4004</v>
      </c>
      <c r="T12" s="2952" t="s">
        <v>4005</v>
      </c>
      <c r="U12" s="2952" t="s">
        <v>3965</v>
      </c>
    </row>
    <row r="13" spans="1:21" x14ac:dyDescent="0.3">
      <c r="A13" s="2954" t="s">
        <v>2746</v>
      </c>
      <c r="B13" s="2955" t="s">
        <v>4006</v>
      </c>
      <c r="C13" s="2955" t="s">
        <v>3393</v>
      </c>
      <c r="D13" s="2955" t="s">
        <v>4007</v>
      </c>
      <c r="E13" s="2955" t="s">
        <v>4008</v>
      </c>
      <c r="F13" s="2955" t="s">
        <v>4009</v>
      </c>
      <c r="G13" s="2955" t="s">
        <v>4010</v>
      </c>
      <c r="H13" s="2955" t="s">
        <v>4011</v>
      </c>
      <c r="I13" s="2955" t="s">
        <v>3662</v>
      </c>
      <c r="J13" s="2955" t="s">
        <v>3939</v>
      </c>
      <c r="K13" s="2955" t="s">
        <v>4012</v>
      </c>
      <c r="L13" s="2955" t="s">
        <v>4013</v>
      </c>
      <c r="M13" s="2955" t="s">
        <v>4014</v>
      </c>
      <c r="N13" s="2955" t="s">
        <v>4015</v>
      </c>
      <c r="O13" s="2955" t="s">
        <v>4016</v>
      </c>
      <c r="P13" s="2955" t="s">
        <v>4015</v>
      </c>
      <c r="Q13" s="2955" t="s">
        <v>4015</v>
      </c>
      <c r="R13" s="2955" t="s">
        <v>4017</v>
      </c>
      <c r="S13" s="2955" t="s">
        <v>3960</v>
      </c>
      <c r="T13" s="2955" t="s">
        <v>4018</v>
      </c>
      <c r="U13" s="2955" t="s">
        <v>3965</v>
      </c>
    </row>
    <row r="14" spans="1:21" ht="16.899999999999999" customHeight="1" x14ac:dyDescent="0.3">
      <c r="A14" s="2956" t="s">
        <v>3398</v>
      </c>
      <c r="B14" s="2955" t="s">
        <v>3339</v>
      </c>
      <c r="C14" s="2955" t="s">
        <v>3402</v>
      </c>
      <c r="D14" s="2955">
        <v>8</v>
      </c>
      <c r="E14" s="2955" t="s">
        <v>3966</v>
      </c>
      <c r="F14" s="2955" t="s">
        <v>3966</v>
      </c>
      <c r="G14" s="2955" t="s">
        <v>3968</v>
      </c>
      <c r="H14" s="2955" t="s">
        <v>1310</v>
      </c>
      <c r="I14" s="2955" t="s">
        <v>3968</v>
      </c>
      <c r="J14" s="2955" t="s">
        <v>3970</v>
      </c>
      <c r="K14" s="2955" t="s">
        <v>4019</v>
      </c>
      <c r="L14" s="2955" t="s">
        <v>4020</v>
      </c>
      <c r="M14" s="2955" t="s">
        <v>4021</v>
      </c>
      <c r="N14" s="2955" t="s">
        <v>3972</v>
      </c>
      <c r="O14" s="2955" t="s">
        <v>4022</v>
      </c>
      <c r="P14" s="2955" t="s">
        <v>3972</v>
      </c>
      <c r="Q14" s="2955" t="s">
        <v>3972</v>
      </c>
      <c r="R14" s="2955" t="s">
        <v>4023</v>
      </c>
      <c r="S14" s="2955" t="s">
        <v>3972</v>
      </c>
      <c r="T14" s="2955" t="s">
        <v>4024</v>
      </c>
      <c r="U14" s="2955" t="s">
        <v>3972</v>
      </c>
    </row>
    <row r="15" spans="1:21" ht="16.899999999999999" customHeight="1" x14ac:dyDescent="0.3">
      <c r="A15" s="2956" t="s">
        <v>3405</v>
      </c>
      <c r="B15" s="2955" t="s">
        <v>3339</v>
      </c>
      <c r="C15" s="2955">
        <v>7.85</v>
      </c>
      <c r="D15" s="2955">
        <v>8</v>
      </c>
      <c r="E15" s="2955" t="s">
        <v>3976</v>
      </c>
      <c r="F15" s="2955">
        <v>5.25</v>
      </c>
      <c r="G15" s="2955" t="s">
        <v>4025</v>
      </c>
      <c r="H15" s="2955" t="s">
        <v>3792</v>
      </c>
      <c r="I15" s="2955">
        <v>5.5</v>
      </c>
      <c r="J15" s="2955">
        <v>6.25</v>
      </c>
      <c r="K15" s="2955" t="s">
        <v>1014</v>
      </c>
      <c r="L15" s="2955" t="s">
        <v>1014</v>
      </c>
      <c r="M15" s="2955">
        <v>7.75</v>
      </c>
      <c r="N15" s="2955" t="s">
        <v>1014</v>
      </c>
      <c r="O15" s="2955" t="s">
        <v>1014</v>
      </c>
      <c r="P15" s="2955">
        <v>7.75</v>
      </c>
      <c r="Q15" s="2955" t="s">
        <v>4026</v>
      </c>
      <c r="R15" s="2955">
        <v>10.5</v>
      </c>
      <c r="S15" s="2955">
        <v>10.5</v>
      </c>
      <c r="T15" s="2955" t="s">
        <v>4027</v>
      </c>
      <c r="U15" s="2955">
        <v>7.75</v>
      </c>
    </row>
    <row r="16" spans="1:21" x14ac:dyDescent="0.3">
      <c r="A16" s="2956" t="s">
        <v>3409</v>
      </c>
      <c r="B16" s="2955" t="s">
        <v>3397</v>
      </c>
      <c r="C16" s="2955" t="s">
        <v>3393</v>
      </c>
      <c r="D16" s="2955" t="s">
        <v>4007</v>
      </c>
      <c r="E16" s="2955" t="s">
        <v>4008</v>
      </c>
      <c r="F16" s="2955" t="s">
        <v>4009</v>
      </c>
      <c r="G16" s="2955" t="s">
        <v>4010</v>
      </c>
      <c r="H16" s="2955" t="s">
        <v>4011</v>
      </c>
      <c r="I16" s="2955" t="s">
        <v>3662</v>
      </c>
      <c r="J16" s="2955" t="s">
        <v>3939</v>
      </c>
      <c r="K16" s="2955" t="s">
        <v>4012</v>
      </c>
      <c r="L16" s="2955" t="s">
        <v>4013</v>
      </c>
      <c r="M16" s="2955" t="s">
        <v>4014</v>
      </c>
      <c r="N16" s="2955" t="s">
        <v>4015</v>
      </c>
      <c r="O16" s="2955" t="s">
        <v>4016</v>
      </c>
      <c r="P16" s="2955" t="s">
        <v>4015</v>
      </c>
      <c r="Q16" s="2955" t="s">
        <v>4015</v>
      </c>
      <c r="R16" s="2955" t="s">
        <v>4017</v>
      </c>
      <c r="S16" s="2955" t="s">
        <v>3960</v>
      </c>
      <c r="T16" s="2955" t="s">
        <v>4018</v>
      </c>
      <c r="U16" s="2955" t="s">
        <v>3965</v>
      </c>
    </row>
    <row r="17" spans="1:21" ht="15.6" customHeight="1" x14ac:dyDescent="0.3">
      <c r="A17" s="2954" t="s">
        <v>2750</v>
      </c>
      <c r="B17" s="2955" t="s">
        <v>3339</v>
      </c>
      <c r="C17" s="2955" t="s">
        <v>3368</v>
      </c>
      <c r="D17" s="2955" t="s">
        <v>4028</v>
      </c>
      <c r="E17" s="2955" t="s">
        <v>3987</v>
      </c>
      <c r="F17" s="2955" t="s">
        <v>4029</v>
      </c>
      <c r="G17" s="2955" t="s">
        <v>1311</v>
      </c>
      <c r="H17" s="2955" t="s">
        <v>3988</v>
      </c>
      <c r="I17" s="2955" t="s">
        <v>3968</v>
      </c>
      <c r="J17" s="2955" t="s">
        <v>4030</v>
      </c>
      <c r="K17" s="2955" t="s">
        <v>3991</v>
      </c>
      <c r="L17" s="2955" t="s">
        <v>4031</v>
      </c>
      <c r="M17" s="2955" t="s">
        <v>3962</v>
      </c>
      <c r="N17" s="2955" t="s">
        <v>3972</v>
      </c>
      <c r="O17" s="2955" t="s">
        <v>4032</v>
      </c>
      <c r="P17" s="2955" t="s">
        <v>3992</v>
      </c>
      <c r="Q17" s="2955" t="s">
        <v>3992</v>
      </c>
      <c r="R17" s="2955" t="s">
        <v>3992</v>
      </c>
      <c r="S17" s="2955" t="s">
        <v>3972</v>
      </c>
      <c r="T17" s="2955" t="s">
        <v>3992</v>
      </c>
      <c r="U17" s="2955" t="s">
        <v>3972</v>
      </c>
    </row>
    <row r="18" spans="1:21" ht="15.6" customHeight="1" x14ac:dyDescent="0.3">
      <c r="A18" s="2954" t="s">
        <v>2751</v>
      </c>
      <c r="B18" s="2955" t="s">
        <v>4033</v>
      </c>
      <c r="C18" s="2955" t="s">
        <v>3424</v>
      </c>
      <c r="D18" s="2955" t="s">
        <v>4034</v>
      </c>
      <c r="E18" s="2955" t="s">
        <v>3994</v>
      </c>
      <c r="F18" s="2955" t="s">
        <v>4035</v>
      </c>
      <c r="G18" s="2955" t="s">
        <v>4036</v>
      </c>
      <c r="H18" s="2955" t="s">
        <v>4037</v>
      </c>
      <c r="I18" s="2955" t="s">
        <v>4038</v>
      </c>
      <c r="J18" s="2955" t="s">
        <v>4039</v>
      </c>
      <c r="K18" s="2955" t="s">
        <v>4040</v>
      </c>
      <c r="L18" s="2955" t="s">
        <v>3999</v>
      </c>
      <c r="M18" s="2955" t="s">
        <v>4041</v>
      </c>
      <c r="N18" s="2955" t="s">
        <v>3552</v>
      </c>
      <c r="O18" s="2955" t="s">
        <v>3552</v>
      </c>
      <c r="P18" s="2955" t="s">
        <v>4042</v>
      </c>
      <c r="Q18" s="2955" t="s">
        <v>4002</v>
      </c>
      <c r="R18" s="2955" t="s">
        <v>4043</v>
      </c>
      <c r="S18" s="2955" t="s">
        <v>4044</v>
      </c>
      <c r="T18" s="2955" t="s">
        <v>3775</v>
      </c>
      <c r="U18" s="2955" t="s">
        <v>4045</v>
      </c>
    </row>
    <row r="19" spans="1:21" ht="15.6" customHeight="1" x14ac:dyDescent="0.3">
      <c r="A19" s="2954" t="s">
        <v>2752</v>
      </c>
      <c r="B19" s="2955" t="s">
        <v>3429</v>
      </c>
      <c r="C19" s="2955" t="s">
        <v>3429</v>
      </c>
      <c r="D19" s="2955" t="s">
        <v>4046</v>
      </c>
      <c r="E19" s="2955" t="s">
        <v>4046</v>
      </c>
      <c r="F19" s="2955" t="s">
        <v>4047</v>
      </c>
      <c r="G19" s="2955" t="s">
        <v>4038</v>
      </c>
      <c r="H19" s="2955" t="s">
        <v>4038</v>
      </c>
      <c r="I19" s="2955" t="s">
        <v>4048</v>
      </c>
      <c r="J19" s="2955" t="s">
        <v>4049</v>
      </c>
      <c r="K19" s="2955" t="s">
        <v>4050</v>
      </c>
      <c r="L19" s="2955" t="s">
        <v>4051</v>
      </c>
      <c r="M19" s="2955" t="s">
        <v>4052</v>
      </c>
      <c r="N19" s="2955" t="s">
        <v>4042</v>
      </c>
      <c r="O19" s="2955" t="s">
        <v>4053</v>
      </c>
      <c r="P19" s="2955" t="s">
        <v>3554</v>
      </c>
      <c r="Q19" s="2955" t="s">
        <v>4054</v>
      </c>
      <c r="R19" s="2955" t="s">
        <v>4055</v>
      </c>
      <c r="S19" s="2955" t="s">
        <v>3809</v>
      </c>
      <c r="T19" s="2955" t="s">
        <v>3836</v>
      </c>
      <c r="U19" s="2955" t="s">
        <v>4056</v>
      </c>
    </row>
    <row r="20" spans="1:21" ht="15.6" customHeight="1" x14ac:dyDescent="0.3">
      <c r="A20" s="2954" t="s">
        <v>2753</v>
      </c>
      <c r="B20" s="2955" t="s">
        <v>3433</v>
      </c>
      <c r="C20" s="2955" t="s">
        <v>3368</v>
      </c>
      <c r="D20" s="2955" t="s">
        <v>4057</v>
      </c>
      <c r="E20" s="2955" t="s">
        <v>4058</v>
      </c>
      <c r="F20" s="2955" t="s">
        <v>3987</v>
      </c>
      <c r="G20" s="2955" t="s">
        <v>4059</v>
      </c>
      <c r="H20" s="2955" t="s">
        <v>4059</v>
      </c>
      <c r="I20" s="2955" t="s">
        <v>3988</v>
      </c>
      <c r="J20" s="2955" t="s">
        <v>3991</v>
      </c>
      <c r="K20" s="2955" t="s">
        <v>4060</v>
      </c>
      <c r="L20" s="2955" t="s">
        <v>4061</v>
      </c>
      <c r="M20" s="2955" t="s">
        <v>4062</v>
      </c>
      <c r="N20" s="2955" t="s">
        <v>3972</v>
      </c>
      <c r="O20" s="2955" t="s">
        <v>3972</v>
      </c>
      <c r="P20" s="2955" t="s">
        <v>4063</v>
      </c>
      <c r="Q20" s="2955" t="s">
        <v>3972</v>
      </c>
      <c r="R20" s="2955" t="s">
        <v>4064</v>
      </c>
      <c r="S20" s="2955" t="s">
        <v>4063</v>
      </c>
      <c r="T20" s="2955" t="s">
        <v>3972</v>
      </c>
      <c r="U20" s="2955" t="s">
        <v>4063</v>
      </c>
    </row>
    <row r="21" spans="1:21" ht="15.6" customHeight="1" x14ac:dyDescent="0.3">
      <c r="A21" s="2954" t="s">
        <v>2754</v>
      </c>
      <c r="B21" s="2955" t="s">
        <v>3436</v>
      </c>
      <c r="C21" s="2955" t="s">
        <v>3436</v>
      </c>
      <c r="D21" s="2955" t="s">
        <v>4065</v>
      </c>
      <c r="E21" s="2955" t="s">
        <v>4065</v>
      </c>
      <c r="F21" s="2955" t="s">
        <v>4065</v>
      </c>
      <c r="G21" s="2955" t="s">
        <v>4066</v>
      </c>
      <c r="H21" s="2955" t="s">
        <v>4067</v>
      </c>
      <c r="I21" s="2955" t="s">
        <v>4067</v>
      </c>
      <c r="J21" s="2955" t="s">
        <v>4068</v>
      </c>
      <c r="K21" s="2955" t="s">
        <v>4069</v>
      </c>
      <c r="L21" s="2955" t="s">
        <v>4070</v>
      </c>
      <c r="M21" s="2955" t="s">
        <v>4071</v>
      </c>
      <c r="N21" s="2955" t="s">
        <v>4072</v>
      </c>
      <c r="O21" s="2955" t="s">
        <v>4073</v>
      </c>
      <c r="P21" s="2955" t="s">
        <v>4074</v>
      </c>
      <c r="Q21" s="2955" t="s">
        <v>3992</v>
      </c>
      <c r="R21" s="2955" t="s">
        <v>4074</v>
      </c>
      <c r="S21" s="2955" t="s">
        <v>4075</v>
      </c>
      <c r="T21" s="2955" t="s">
        <v>3706</v>
      </c>
      <c r="U21" s="2955" t="s">
        <v>3972</v>
      </c>
    </row>
    <row r="22" spans="1:21" ht="15" customHeight="1" x14ac:dyDescent="0.3">
      <c r="A22" s="2954" t="s">
        <v>2755</v>
      </c>
      <c r="B22" s="2955" t="s">
        <v>3353</v>
      </c>
      <c r="C22" s="2955" t="s">
        <v>3368</v>
      </c>
      <c r="D22" s="2955" t="s">
        <v>4076</v>
      </c>
      <c r="E22" s="2955" t="s">
        <v>4034</v>
      </c>
      <c r="F22" s="2955" t="s">
        <v>4034</v>
      </c>
      <c r="G22" s="2955" t="s">
        <v>4036</v>
      </c>
      <c r="H22" s="2955" t="s">
        <v>4036</v>
      </c>
      <c r="I22" s="2955" t="s">
        <v>4036</v>
      </c>
      <c r="J22" s="2955" t="s">
        <v>4077</v>
      </c>
      <c r="K22" s="2955" t="s">
        <v>4077</v>
      </c>
      <c r="L22" s="2955" t="s">
        <v>4078</v>
      </c>
      <c r="M22" s="2955" t="s">
        <v>4042</v>
      </c>
      <c r="N22" s="2955" t="s">
        <v>4045</v>
      </c>
      <c r="O22" s="2955" t="s">
        <v>4043</v>
      </c>
      <c r="P22" s="2955" t="s">
        <v>4079</v>
      </c>
      <c r="Q22" s="2955" t="s">
        <v>4045</v>
      </c>
      <c r="R22" s="2955" t="s">
        <v>4045</v>
      </c>
      <c r="S22" s="2955" t="s">
        <v>4045</v>
      </c>
      <c r="T22" s="2955" t="s">
        <v>4080</v>
      </c>
      <c r="U22" s="2955" t="s">
        <v>4045</v>
      </c>
    </row>
    <row r="23" spans="1:21" ht="15.6" customHeight="1" x14ac:dyDescent="0.3">
      <c r="A23" s="2954" t="s">
        <v>2756</v>
      </c>
      <c r="B23" s="2955" t="s">
        <v>3340</v>
      </c>
      <c r="C23" s="2955" t="s">
        <v>3449</v>
      </c>
      <c r="D23" s="2955" t="s">
        <v>4081</v>
      </c>
      <c r="E23" s="2955" t="s">
        <v>4081</v>
      </c>
      <c r="F23" s="2955" t="s">
        <v>4081</v>
      </c>
      <c r="G23" s="2955" t="s">
        <v>4082</v>
      </c>
      <c r="H23" s="2955" t="s">
        <v>4082</v>
      </c>
      <c r="I23" s="2955" t="s">
        <v>4082</v>
      </c>
      <c r="J23" s="2955" t="s">
        <v>4083</v>
      </c>
      <c r="K23" s="2955" t="s">
        <v>4083</v>
      </c>
      <c r="L23" s="2955" t="s">
        <v>4084</v>
      </c>
      <c r="M23" s="2955" t="s">
        <v>4085</v>
      </c>
      <c r="N23" s="2955" t="s">
        <v>3809</v>
      </c>
      <c r="O23" s="2955" t="s">
        <v>3809</v>
      </c>
      <c r="P23" s="2955" t="s">
        <v>3809</v>
      </c>
      <c r="Q23" s="2955" t="s">
        <v>3809</v>
      </c>
      <c r="R23" s="2955" t="s">
        <v>3809</v>
      </c>
      <c r="S23" s="2955" t="s">
        <v>3809</v>
      </c>
      <c r="T23" s="2955" t="s">
        <v>4086</v>
      </c>
      <c r="U23" s="2955" t="s">
        <v>4087</v>
      </c>
    </row>
    <row r="24" spans="1:21" ht="15.6" customHeight="1" x14ac:dyDescent="0.3">
      <c r="A24" s="2954" t="s">
        <v>2757</v>
      </c>
      <c r="B24" s="2955">
        <v>7.85</v>
      </c>
      <c r="C24" s="2955">
        <v>7.85</v>
      </c>
      <c r="D24" s="2955" t="s">
        <v>3987</v>
      </c>
      <c r="E24" s="2955" t="s">
        <v>3977</v>
      </c>
      <c r="F24" s="2955" t="s">
        <v>3987</v>
      </c>
      <c r="G24" s="2955" t="s">
        <v>4088</v>
      </c>
      <c r="H24" s="2955" t="s">
        <v>3988</v>
      </c>
      <c r="I24" s="2955" t="s">
        <v>4089</v>
      </c>
      <c r="J24" s="2955">
        <v>9</v>
      </c>
      <c r="K24" s="2955" t="s">
        <v>4090</v>
      </c>
      <c r="L24" s="2955" t="s">
        <v>4084</v>
      </c>
      <c r="M24" s="2955" t="s">
        <v>3962</v>
      </c>
      <c r="N24" s="2955" t="s">
        <v>4091</v>
      </c>
      <c r="O24" s="2955" t="s">
        <v>3992</v>
      </c>
      <c r="P24" s="2955" t="s">
        <v>4032</v>
      </c>
      <c r="Q24" s="2955">
        <v>10.5</v>
      </c>
      <c r="R24" s="2955">
        <v>10.5</v>
      </c>
      <c r="S24" s="2955" t="s">
        <v>4092</v>
      </c>
      <c r="T24" s="2955">
        <v>10.5</v>
      </c>
      <c r="U24" s="2955" t="s">
        <v>4093</v>
      </c>
    </row>
    <row r="25" spans="1:21" ht="15.6" customHeight="1" x14ac:dyDescent="0.3">
      <c r="A25" s="2954" t="s">
        <v>2758</v>
      </c>
      <c r="B25" s="2955" t="s">
        <v>3433</v>
      </c>
      <c r="C25" s="2955" t="s">
        <v>3368</v>
      </c>
      <c r="D25" s="2955" t="s">
        <v>3987</v>
      </c>
      <c r="E25" s="2955" t="s">
        <v>3987</v>
      </c>
      <c r="F25" s="2955" t="s">
        <v>3987</v>
      </c>
      <c r="G25" s="2955" t="s">
        <v>4094</v>
      </c>
      <c r="H25" s="2955" t="s">
        <v>3514</v>
      </c>
      <c r="I25" s="2955" t="s">
        <v>3514</v>
      </c>
      <c r="J25" s="2955" t="s">
        <v>4095</v>
      </c>
      <c r="K25" s="2955" t="s">
        <v>4034</v>
      </c>
      <c r="L25" s="2955" t="s">
        <v>4096</v>
      </c>
      <c r="M25" s="2955" t="s">
        <v>4097</v>
      </c>
      <c r="N25" s="2955" t="s">
        <v>3992</v>
      </c>
      <c r="O25" s="2955" t="s">
        <v>4098</v>
      </c>
      <c r="P25" s="2955" t="s">
        <v>4098</v>
      </c>
      <c r="Q25" s="2955" t="s">
        <v>3992</v>
      </c>
      <c r="R25" s="2955" t="s">
        <v>4098</v>
      </c>
      <c r="S25" s="2955" t="s">
        <v>4098</v>
      </c>
      <c r="T25" s="2955" t="s">
        <v>4098</v>
      </c>
      <c r="U25" s="2955" t="s">
        <v>3992</v>
      </c>
    </row>
    <row r="26" spans="1:21" ht="15.6" customHeight="1" x14ac:dyDescent="0.3">
      <c r="A26" s="2954" t="s">
        <v>2759</v>
      </c>
      <c r="B26" s="2955" t="s">
        <v>3368</v>
      </c>
      <c r="C26" s="2955" t="s">
        <v>3368</v>
      </c>
      <c r="D26" s="2955" t="s">
        <v>3987</v>
      </c>
      <c r="E26" s="2955" t="s">
        <v>3987</v>
      </c>
      <c r="F26" s="2955" t="s">
        <v>4099</v>
      </c>
      <c r="G26" s="2955" t="s">
        <v>4100</v>
      </c>
      <c r="H26" s="2955" t="s">
        <v>3988</v>
      </c>
      <c r="I26" s="2955" t="s">
        <v>3988</v>
      </c>
      <c r="J26" s="2955" t="s">
        <v>3991</v>
      </c>
      <c r="K26" s="2955" t="s">
        <v>3991</v>
      </c>
      <c r="L26" s="2955" t="s">
        <v>1305</v>
      </c>
      <c r="M26" s="2955" t="s">
        <v>4101</v>
      </c>
      <c r="N26" s="2955" t="s">
        <v>3992</v>
      </c>
      <c r="O26" s="2955" t="s">
        <v>3972</v>
      </c>
      <c r="P26" s="2955" t="s">
        <v>3992</v>
      </c>
      <c r="Q26" s="2955" t="s">
        <v>3992</v>
      </c>
      <c r="R26" s="2955" t="s">
        <v>4102</v>
      </c>
      <c r="S26" s="2955" t="s">
        <v>3972</v>
      </c>
      <c r="T26" s="2955" t="s">
        <v>3992</v>
      </c>
      <c r="U26" s="2955" t="s">
        <v>3992</v>
      </c>
    </row>
    <row r="27" spans="1:21" ht="15.6" customHeight="1" x14ac:dyDescent="0.3">
      <c r="A27" s="2954" t="s">
        <v>2760</v>
      </c>
      <c r="B27" s="2955" t="s">
        <v>3449</v>
      </c>
      <c r="C27" s="2955" t="s">
        <v>3368</v>
      </c>
      <c r="D27" s="2955" t="s">
        <v>4034</v>
      </c>
      <c r="E27" s="2955" t="s">
        <v>3987</v>
      </c>
      <c r="F27" s="2955" t="s">
        <v>4081</v>
      </c>
      <c r="G27" s="2955" t="s">
        <v>3521</v>
      </c>
      <c r="H27" s="2955" t="s">
        <v>3712</v>
      </c>
      <c r="I27" s="2955" t="s">
        <v>4103</v>
      </c>
      <c r="J27" s="2955" t="s">
        <v>4104</v>
      </c>
      <c r="K27" s="2955" t="s">
        <v>4068</v>
      </c>
      <c r="L27" s="2955" t="s">
        <v>4105</v>
      </c>
      <c r="M27" s="2955" t="s">
        <v>3809</v>
      </c>
      <c r="N27" s="2955" t="s">
        <v>4106</v>
      </c>
      <c r="O27" s="2955" t="s">
        <v>3809</v>
      </c>
      <c r="P27" s="2955" t="s">
        <v>4079</v>
      </c>
      <c r="Q27" s="2955" t="s">
        <v>4107</v>
      </c>
      <c r="R27" s="2955" t="s">
        <v>4108</v>
      </c>
      <c r="S27" s="2955" t="s">
        <v>4109</v>
      </c>
      <c r="T27" s="2955" t="s">
        <v>4110</v>
      </c>
      <c r="U27" s="2955" t="s">
        <v>4079</v>
      </c>
    </row>
    <row r="28" spans="1:21" ht="15.6" customHeight="1" x14ac:dyDescent="0.3">
      <c r="A28" s="2954" t="s">
        <v>2761</v>
      </c>
      <c r="B28" s="2955" t="s">
        <v>3353</v>
      </c>
      <c r="C28" s="2955" t="s">
        <v>3353</v>
      </c>
      <c r="D28" s="2955" t="s">
        <v>3987</v>
      </c>
      <c r="E28" s="2955" t="s">
        <v>4068</v>
      </c>
      <c r="F28" s="2955" t="s">
        <v>4034</v>
      </c>
      <c r="G28" s="2955" t="s">
        <v>4111</v>
      </c>
      <c r="H28" s="2955" t="s">
        <v>3988</v>
      </c>
      <c r="I28" s="2955" t="s">
        <v>4112</v>
      </c>
      <c r="J28" s="2955" t="s">
        <v>4113</v>
      </c>
      <c r="K28" s="2955" t="s">
        <v>3991</v>
      </c>
      <c r="L28" s="2955" t="s">
        <v>1303</v>
      </c>
      <c r="M28" s="2955" t="s">
        <v>3992</v>
      </c>
      <c r="N28" s="2955" t="s">
        <v>4045</v>
      </c>
      <c r="O28" s="2955" t="s">
        <v>4114</v>
      </c>
      <c r="P28" s="2955" t="s">
        <v>4115</v>
      </c>
      <c r="Q28" s="2955" t="s">
        <v>4116</v>
      </c>
      <c r="R28" s="2955" t="s">
        <v>3992</v>
      </c>
      <c r="S28" s="2955" t="s">
        <v>4117</v>
      </c>
      <c r="T28" s="2955" t="s">
        <v>4045</v>
      </c>
      <c r="U28" s="2955" t="s">
        <v>3972</v>
      </c>
    </row>
    <row r="29" spans="1:21" ht="15.6" customHeight="1" x14ac:dyDescent="0.3">
      <c r="A29" s="2954" t="s">
        <v>2762</v>
      </c>
      <c r="B29" s="2955" t="s">
        <v>3368</v>
      </c>
      <c r="C29" s="2955" t="s">
        <v>3382</v>
      </c>
      <c r="D29" s="2955" t="s">
        <v>3987</v>
      </c>
      <c r="E29" s="2955" t="s">
        <v>3986</v>
      </c>
      <c r="F29" s="2955" t="s">
        <v>3986</v>
      </c>
      <c r="G29" s="2955" t="s">
        <v>3988</v>
      </c>
      <c r="H29" s="2955">
        <v>8.25</v>
      </c>
      <c r="I29" s="2955" t="s">
        <v>4118</v>
      </c>
      <c r="J29" s="2955" t="s">
        <v>3991</v>
      </c>
      <c r="K29" s="2955">
        <v>6</v>
      </c>
      <c r="L29" s="2955">
        <v>10</v>
      </c>
      <c r="M29" s="2955">
        <v>7.5</v>
      </c>
      <c r="N29" s="2955" t="s">
        <v>3992</v>
      </c>
      <c r="O29" s="2955">
        <v>7.5</v>
      </c>
      <c r="P29" s="2955" t="s">
        <v>1316</v>
      </c>
      <c r="Q29" s="2955" t="s">
        <v>3992</v>
      </c>
      <c r="R29" s="2955">
        <v>10.5</v>
      </c>
      <c r="S29" s="2955" t="s">
        <v>1370</v>
      </c>
      <c r="T29" s="2955" t="s">
        <v>4119</v>
      </c>
      <c r="U29" s="2955">
        <v>10.5</v>
      </c>
    </row>
    <row r="30" spans="1:21" ht="15.6" customHeight="1" x14ac:dyDescent="0.3">
      <c r="A30" s="2954" t="s">
        <v>2763</v>
      </c>
      <c r="B30" s="2955" t="s">
        <v>3479</v>
      </c>
      <c r="C30" s="2955" t="s">
        <v>3368</v>
      </c>
      <c r="D30" s="2955" t="s">
        <v>4120</v>
      </c>
      <c r="E30" s="2955" t="s">
        <v>3987</v>
      </c>
      <c r="F30" s="2955" t="s">
        <v>4121</v>
      </c>
      <c r="G30" s="2955" t="s">
        <v>4122</v>
      </c>
      <c r="H30" s="2955" t="s">
        <v>4123</v>
      </c>
      <c r="I30" s="2955" t="s">
        <v>4124</v>
      </c>
      <c r="J30" s="2955" t="s">
        <v>4125</v>
      </c>
      <c r="K30" s="2955" t="s">
        <v>4126</v>
      </c>
      <c r="L30" s="2955" t="s">
        <v>4127</v>
      </c>
      <c r="M30" s="2955" t="s">
        <v>4079</v>
      </c>
      <c r="N30" s="2955" t="s">
        <v>4079</v>
      </c>
      <c r="O30" s="2955" t="s">
        <v>3992</v>
      </c>
      <c r="P30" s="2955" t="s">
        <v>4128</v>
      </c>
      <c r="Q30" s="2955" t="s">
        <v>3963</v>
      </c>
      <c r="R30" s="2955" t="s">
        <v>4114</v>
      </c>
      <c r="S30" s="2955" t="s">
        <v>4129</v>
      </c>
      <c r="T30" s="2955" t="s">
        <v>4130</v>
      </c>
      <c r="U30" s="2955" t="s">
        <v>4131</v>
      </c>
    </row>
    <row r="31" spans="1:21" ht="15.6" customHeight="1" x14ac:dyDescent="0.3">
      <c r="A31" s="2954" t="s">
        <v>2764</v>
      </c>
      <c r="B31" s="2955" t="s">
        <v>3429</v>
      </c>
      <c r="C31" s="2955" t="s">
        <v>3387</v>
      </c>
      <c r="D31" s="2955" t="s">
        <v>3987</v>
      </c>
      <c r="E31" s="2955" t="s">
        <v>3994</v>
      </c>
      <c r="F31" s="2955" t="s">
        <v>3994</v>
      </c>
      <c r="G31" s="2955" t="s">
        <v>4037</v>
      </c>
      <c r="H31" s="2955" t="s">
        <v>4132</v>
      </c>
      <c r="I31" s="2955" t="s">
        <v>4133</v>
      </c>
      <c r="J31" s="2955" t="s">
        <v>4134</v>
      </c>
      <c r="K31" s="2955" t="s">
        <v>4030</v>
      </c>
      <c r="L31" s="2955" t="s">
        <v>4135</v>
      </c>
      <c r="M31" s="2955" t="s">
        <v>3961</v>
      </c>
      <c r="N31" s="2955" t="s">
        <v>4000</v>
      </c>
      <c r="O31" s="2955" t="s">
        <v>4000</v>
      </c>
      <c r="P31" s="2955" t="s">
        <v>4136</v>
      </c>
      <c r="Q31" s="2955" t="s">
        <v>4137</v>
      </c>
      <c r="R31" s="2955" t="s">
        <v>4079</v>
      </c>
      <c r="S31" s="2955" t="s">
        <v>4137</v>
      </c>
      <c r="T31" s="2955" t="s">
        <v>4137</v>
      </c>
      <c r="U31" s="2955" t="s">
        <v>4137</v>
      </c>
    </row>
    <row r="32" spans="1:21" ht="16.149999999999999" customHeight="1" x14ac:dyDescent="0.3">
      <c r="A32" s="2956" t="s">
        <v>3481</v>
      </c>
      <c r="B32" s="2955" t="s">
        <v>3483</v>
      </c>
      <c r="C32" s="2955" t="s">
        <v>3433</v>
      </c>
      <c r="D32" s="2955" t="s">
        <v>3987</v>
      </c>
      <c r="E32" s="2955" t="s">
        <v>4138</v>
      </c>
      <c r="F32" s="2955" t="s">
        <v>4036</v>
      </c>
      <c r="G32" s="2955" t="s">
        <v>4139</v>
      </c>
      <c r="H32" s="2955" t="s">
        <v>4140</v>
      </c>
      <c r="I32" s="2955" t="s">
        <v>4133</v>
      </c>
      <c r="J32" s="2955" t="s">
        <v>4134</v>
      </c>
      <c r="K32" s="2955" t="s">
        <v>4030</v>
      </c>
      <c r="L32" s="2955" t="s">
        <v>4141</v>
      </c>
      <c r="M32" s="2955" t="s">
        <v>3961</v>
      </c>
      <c r="N32" s="2955" t="s">
        <v>4136</v>
      </c>
      <c r="O32" s="2955" t="s">
        <v>4142</v>
      </c>
      <c r="P32" s="2955" t="s">
        <v>4136</v>
      </c>
      <c r="Q32" s="2955" t="s">
        <v>4137</v>
      </c>
      <c r="R32" s="2955" t="s">
        <v>3972</v>
      </c>
      <c r="S32" s="2955" t="s">
        <v>4137</v>
      </c>
      <c r="T32" s="2955" t="s">
        <v>4137</v>
      </c>
      <c r="U32" s="2955" t="s">
        <v>4137</v>
      </c>
    </row>
    <row r="33" spans="1:21" x14ac:dyDescent="0.3">
      <c r="A33" s="2956" t="s">
        <v>3485</v>
      </c>
      <c r="B33" s="2955" t="s">
        <v>3429</v>
      </c>
      <c r="C33" s="2955" t="s">
        <v>3429</v>
      </c>
      <c r="D33" s="2955" t="s">
        <v>3987</v>
      </c>
      <c r="E33" s="2955" t="s">
        <v>4046</v>
      </c>
      <c r="F33" s="2955" t="s">
        <v>4046</v>
      </c>
      <c r="G33" s="2955" t="s">
        <v>4143</v>
      </c>
      <c r="H33" s="2955" t="s">
        <v>3521</v>
      </c>
      <c r="I33" s="2955" t="s">
        <v>4144</v>
      </c>
      <c r="J33" s="2955" t="s">
        <v>3991</v>
      </c>
      <c r="K33" s="2955" t="s">
        <v>3991</v>
      </c>
      <c r="L33" s="2955" t="s">
        <v>4145</v>
      </c>
      <c r="M33" s="2955" t="s">
        <v>4146</v>
      </c>
      <c r="N33" s="2955" t="s">
        <v>3961</v>
      </c>
      <c r="O33" s="2955" t="s">
        <v>3961</v>
      </c>
      <c r="P33" s="2955" t="s">
        <v>4147</v>
      </c>
      <c r="Q33" s="2955" t="s">
        <v>4147</v>
      </c>
      <c r="R33" s="2955" t="s">
        <v>4079</v>
      </c>
      <c r="S33" s="2955" t="s">
        <v>4079</v>
      </c>
      <c r="T33" s="2955" t="s">
        <v>3963</v>
      </c>
      <c r="U33" s="2955" t="s">
        <v>4061</v>
      </c>
    </row>
    <row r="34" spans="1:21" x14ac:dyDescent="0.3">
      <c r="A34" s="2954" t="s">
        <v>2767</v>
      </c>
      <c r="B34" s="2955" t="s">
        <v>3368</v>
      </c>
      <c r="C34" s="2955" t="s">
        <v>3368</v>
      </c>
      <c r="D34" s="2955" t="s">
        <v>3987</v>
      </c>
      <c r="E34" s="2955" t="s">
        <v>3987</v>
      </c>
      <c r="F34" s="2955" t="s">
        <v>3987</v>
      </c>
      <c r="G34" s="2955" t="s">
        <v>3988</v>
      </c>
      <c r="H34" s="2955" t="s">
        <v>3988</v>
      </c>
      <c r="I34" s="2955" t="s">
        <v>4068</v>
      </c>
      <c r="J34" s="2955" t="s">
        <v>4148</v>
      </c>
      <c r="K34" s="2955" t="s">
        <v>3991</v>
      </c>
      <c r="L34" s="2955" t="s">
        <v>1305</v>
      </c>
      <c r="M34" s="2955" t="s">
        <v>3992</v>
      </c>
      <c r="N34" s="2955" t="s">
        <v>4079</v>
      </c>
      <c r="O34" s="2955" t="s">
        <v>3992</v>
      </c>
      <c r="P34" s="2955" t="s">
        <v>4079</v>
      </c>
      <c r="Q34" s="2955" t="s">
        <v>3992</v>
      </c>
      <c r="R34" s="2955" t="s">
        <v>3992</v>
      </c>
      <c r="S34" s="2955" t="s">
        <v>3992</v>
      </c>
      <c r="T34" s="2955" t="s">
        <v>3992</v>
      </c>
      <c r="U34" s="2955" t="s">
        <v>4079</v>
      </c>
    </row>
    <row r="35" spans="1:21" s="2944" customFormat="1" x14ac:dyDescent="0.3">
      <c r="A35" s="2953" t="s">
        <v>2768</v>
      </c>
      <c r="B35" s="2952" t="s">
        <v>4149</v>
      </c>
      <c r="C35" s="2952" t="s">
        <v>3339</v>
      </c>
      <c r="D35" s="2952" t="s">
        <v>3966</v>
      </c>
      <c r="E35" s="2952" t="s">
        <v>4150</v>
      </c>
      <c r="F35" s="2952" t="s">
        <v>3966</v>
      </c>
      <c r="G35" s="2952" t="s">
        <v>3968</v>
      </c>
      <c r="H35" s="2952" t="s">
        <v>3968</v>
      </c>
      <c r="I35" s="2952" t="s">
        <v>3988</v>
      </c>
      <c r="J35" s="2952" t="s">
        <v>4030</v>
      </c>
      <c r="K35" s="2952" t="s">
        <v>4151</v>
      </c>
      <c r="L35" s="2952" t="s">
        <v>4031</v>
      </c>
      <c r="M35" s="2952" t="s">
        <v>4032</v>
      </c>
      <c r="N35" s="2952" t="s">
        <v>3972</v>
      </c>
      <c r="O35" s="2952" t="s">
        <v>4152</v>
      </c>
      <c r="P35" s="2952" t="s">
        <v>3488</v>
      </c>
      <c r="Q35" s="2952" t="s">
        <v>3972</v>
      </c>
      <c r="R35" s="2952" t="s">
        <v>3972</v>
      </c>
      <c r="S35" s="2952" t="s">
        <v>3972</v>
      </c>
      <c r="T35" s="2952" t="s">
        <v>3972</v>
      </c>
      <c r="U35" s="2952" t="s">
        <v>3972</v>
      </c>
    </row>
    <row r="36" spans="1:21" s="2944" customFormat="1" x14ac:dyDescent="0.3">
      <c r="A36" s="2953" t="s">
        <v>2769</v>
      </c>
      <c r="B36" s="2952" t="s">
        <v>3368</v>
      </c>
      <c r="C36" s="2952" t="s">
        <v>3368</v>
      </c>
      <c r="D36" s="2952" t="s">
        <v>4153</v>
      </c>
      <c r="E36" s="2952" t="s">
        <v>3987</v>
      </c>
      <c r="F36" s="2952" t="s">
        <v>4153</v>
      </c>
      <c r="G36" s="2952" t="s">
        <v>4154</v>
      </c>
      <c r="H36" s="2952" t="s">
        <v>3988</v>
      </c>
      <c r="I36" s="2952" t="s">
        <v>3988</v>
      </c>
      <c r="J36" s="2952" t="s">
        <v>3991</v>
      </c>
      <c r="K36" s="2952" t="s">
        <v>4090</v>
      </c>
      <c r="L36" s="2952" t="s">
        <v>1305</v>
      </c>
      <c r="M36" s="2952" t="s">
        <v>3992</v>
      </c>
      <c r="N36" s="2952" t="s">
        <v>3992</v>
      </c>
      <c r="O36" s="2952" t="s">
        <v>3992</v>
      </c>
      <c r="P36" s="2952" t="s">
        <v>3839</v>
      </c>
      <c r="Q36" s="2952" t="s">
        <v>3992</v>
      </c>
      <c r="R36" s="2952" t="s">
        <v>3992</v>
      </c>
      <c r="S36" s="2952" t="s">
        <v>3992</v>
      </c>
      <c r="T36" s="2952" t="s">
        <v>1370</v>
      </c>
      <c r="U36" s="2952" t="s">
        <v>3992</v>
      </c>
    </row>
    <row r="37" spans="1:21" s="2944" customFormat="1" x14ac:dyDescent="0.3">
      <c r="A37" s="2953" t="s">
        <v>2770</v>
      </c>
      <c r="B37" s="2952" t="s">
        <v>3393</v>
      </c>
      <c r="C37" s="2952" t="s">
        <v>3953</v>
      </c>
      <c r="D37" s="2952" t="s">
        <v>4155</v>
      </c>
      <c r="E37" s="2952" t="s">
        <v>4156</v>
      </c>
      <c r="F37" s="2952" t="s">
        <v>4157</v>
      </c>
      <c r="G37" s="2952" t="s">
        <v>4158</v>
      </c>
      <c r="H37" s="2952" t="s">
        <v>4159</v>
      </c>
      <c r="I37" s="2952" t="s">
        <v>3939</v>
      </c>
      <c r="J37" s="2952" t="s">
        <v>4160</v>
      </c>
      <c r="K37" s="2952" t="s">
        <v>3953</v>
      </c>
      <c r="L37" s="2952" t="s">
        <v>3953</v>
      </c>
      <c r="M37" s="2952" t="s">
        <v>4161</v>
      </c>
      <c r="N37" s="2952" t="s">
        <v>4162</v>
      </c>
      <c r="O37" s="2952" t="s">
        <v>4163</v>
      </c>
      <c r="P37" s="2952" t="s">
        <v>3944</v>
      </c>
      <c r="Q37" s="2952" t="s">
        <v>3944</v>
      </c>
      <c r="R37" s="2952" t="s">
        <v>4164</v>
      </c>
      <c r="S37" s="2952" t="s">
        <v>4165</v>
      </c>
      <c r="T37" s="2952" t="s">
        <v>4166</v>
      </c>
      <c r="U37" s="2952" t="s">
        <v>4166</v>
      </c>
    </row>
    <row r="38" spans="1:21" x14ac:dyDescent="0.3">
      <c r="A38" s="2954" t="s">
        <v>2771</v>
      </c>
      <c r="B38" s="2955" t="s">
        <v>3767</v>
      </c>
      <c r="C38" s="2955" t="s">
        <v>3953</v>
      </c>
      <c r="D38" s="2955" t="s">
        <v>3658</v>
      </c>
      <c r="E38" s="2955" t="s">
        <v>4156</v>
      </c>
      <c r="F38" s="2955" t="s">
        <v>4157</v>
      </c>
      <c r="G38" s="2955" t="s">
        <v>4158</v>
      </c>
      <c r="H38" s="2955" t="s">
        <v>4158</v>
      </c>
      <c r="I38" s="2955" t="s">
        <v>4167</v>
      </c>
      <c r="J38" s="2955" t="s">
        <v>4168</v>
      </c>
      <c r="K38" s="2955" t="s">
        <v>4169</v>
      </c>
      <c r="L38" s="2955" t="s">
        <v>4170</v>
      </c>
      <c r="M38" s="2955" t="s">
        <v>4161</v>
      </c>
      <c r="N38" s="2955" t="s">
        <v>4171</v>
      </c>
      <c r="O38" s="2955" t="s">
        <v>4163</v>
      </c>
      <c r="P38" s="2955" t="s">
        <v>4000</v>
      </c>
      <c r="Q38" s="2955" t="s">
        <v>3944</v>
      </c>
      <c r="R38" s="2955" t="s">
        <v>4000</v>
      </c>
      <c r="S38" s="2955" t="s">
        <v>4172</v>
      </c>
      <c r="T38" s="2955" t="s">
        <v>4166</v>
      </c>
      <c r="U38" s="2955" t="s">
        <v>4166</v>
      </c>
    </row>
    <row r="39" spans="1:21" s="2957" customFormat="1" x14ac:dyDescent="0.3">
      <c r="A39" s="2956" t="s">
        <v>3527</v>
      </c>
      <c r="B39" s="2955" t="s">
        <v>3767</v>
      </c>
      <c r="C39" s="2955" t="s">
        <v>4173</v>
      </c>
      <c r="D39" s="2955" t="s">
        <v>3658</v>
      </c>
      <c r="E39" s="2955" t="s">
        <v>4156</v>
      </c>
      <c r="F39" s="2955" t="s">
        <v>4174</v>
      </c>
      <c r="G39" s="2955" t="s">
        <v>4175</v>
      </c>
      <c r="H39" s="2955" t="s">
        <v>4154</v>
      </c>
      <c r="I39" s="2955" t="s">
        <v>4167</v>
      </c>
      <c r="J39" s="2955" t="s">
        <v>4176</v>
      </c>
      <c r="K39" s="2955" t="s">
        <v>4169</v>
      </c>
      <c r="L39" s="2955" t="s">
        <v>4170</v>
      </c>
      <c r="M39" s="2955" t="s">
        <v>4161</v>
      </c>
      <c r="N39" s="2955" t="s">
        <v>4171</v>
      </c>
      <c r="O39" s="2955" t="s">
        <v>4177</v>
      </c>
      <c r="P39" s="2955" t="s">
        <v>4178</v>
      </c>
      <c r="Q39" s="2955" t="s">
        <v>3961</v>
      </c>
      <c r="R39" s="2955" t="s">
        <v>3961</v>
      </c>
      <c r="S39" s="2955" t="s">
        <v>4172</v>
      </c>
      <c r="T39" s="2955" t="s">
        <v>4166</v>
      </c>
      <c r="U39" s="2955" t="s">
        <v>4179</v>
      </c>
    </row>
    <row r="40" spans="1:21" s="2957" customFormat="1" x14ac:dyDescent="0.3">
      <c r="A40" s="2956" t="s">
        <v>3551</v>
      </c>
      <c r="B40" s="2955" t="s">
        <v>4180</v>
      </c>
      <c r="C40" s="2955" t="s">
        <v>3812</v>
      </c>
      <c r="D40" s="2955" t="s">
        <v>3966</v>
      </c>
      <c r="E40" s="2955" t="s">
        <v>3436</v>
      </c>
      <c r="F40" s="2955" t="s">
        <v>4157</v>
      </c>
      <c r="G40" s="2955" t="s">
        <v>4181</v>
      </c>
      <c r="H40" s="2955" t="s">
        <v>3950</v>
      </c>
      <c r="I40" s="2955" t="s">
        <v>3988</v>
      </c>
      <c r="J40" s="2955" t="s">
        <v>4182</v>
      </c>
      <c r="K40" s="2955" t="s">
        <v>4183</v>
      </c>
      <c r="L40" s="2955" t="s">
        <v>4184</v>
      </c>
      <c r="M40" s="2955" t="s">
        <v>3962</v>
      </c>
      <c r="N40" s="2955" t="s">
        <v>4185</v>
      </c>
      <c r="O40" s="2955" t="s">
        <v>4163</v>
      </c>
      <c r="P40" s="2955" t="s">
        <v>4000</v>
      </c>
      <c r="Q40" s="2955" t="s">
        <v>4185</v>
      </c>
      <c r="R40" s="2955" t="s">
        <v>4064</v>
      </c>
      <c r="S40" s="2955" t="s">
        <v>4064</v>
      </c>
      <c r="T40" s="2955" t="s">
        <v>4185</v>
      </c>
      <c r="U40" s="2955" t="s">
        <v>4186</v>
      </c>
    </row>
    <row r="41" spans="1:21" s="2959" customFormat="1" ht="15.6" customHeight="1" x14ac:dyDescent="0.3">
      <c r="A41" s="2958" t="s">
        <v>3557</v>
      </c>
      <c r="B41" s="2955" t="s">
        <v>3418</v>
      </c>
      <c r="C41" s="2955" t="s">
        <v>3339</v>
      </c>
      <c r="D41" s="2955" t="s">
        <v>3966</v>
      </c>
      <c r="E41" s="2955" t="s">
        <v>3982</v>
      </c>
      <c r="F41" s="2955" t="s">
        <v>4187</v>
      </c>
      <c r="G41" s="2955" t="s">
        <v>1311</v>
      </c>
      <c r="H41" s="2955" t="s">
        <v>3988</v>
      </c>
      <c r="I41" s="2955" t="s">
        <v>4188</v>
      </c>
      <c r="J41" s="2955" t="s">
        <v>4189</v>
      </c>
      <c r="K41" s="2955" t="s">
        <v>3983</v>
      </c>
      <c r="L41" s="2955" t="s">
        <v>4190</v>
      </c>
      <c r="M41" s="2955" t="s">
        <v>4032</v>
      </c>
      <c r="N41" s="2955" t="s">
        <v>4024</v>
      </c>
      <c r="O41" s="2955" t="s">
        <v>4191</v>
      </c>
      <c r="P41" s="2955" t="s">
        <v>4024</v>
      </c>
      <c r="Q41" s="2955" t="s">
        <v>4192</v>
      </c>
      <c r="R41" s="2955" t="s">
        <v>3972</v>
      </c>
      <c r="S41" s="2955" t="s">
        <v>3972</v>
      </c>
      <c r="T41" s="2955" t="s">
        <v>4185</v>
      </c>
      <c r="U41" s="2955" t="s">
        <v>4192</v>
      </c>
    </row>
    <row r="42" spans="1:21" s="2959" customFormat="1" ht="15.6" customHeight="1" x14ac:dyDescent="0.3">
      <c r="A42" s="2958" t="s">
        <v>3559</v>
      </c>
      <c r="B42" s="2955" t="s">
        <v>3339</v>
      </c>
      <c r="C42" s="2955" t="s">
        <v>3339</v>
      </c>
      <c r="D42" s="2955" t="s">
        <v>3966</v>
      </c>
      <c r="E42" s="2955" t="s">
        <v>3436</v>
      </c>
      <c r="F42" s="2955" t="s">
        <v>4193</v>
      </c>
      <c r="G42" s="2955" t="s">
        <v>3968</v>
      </c>
      <c r="H42" s="2955" t="s">
        <v>3521</v>
      </c>
      <c r="I42" s="2955" t="s">
        <v>4194</v>
      </c>
      <c r="J42" s="2955">
        <v>9</v>
      </c>
      <c r="K42" s="2955" t="s">
        <v>4195</v>
      </c>
      <c r="L42" s="2955" t="s">
        <v>4184</v>
      </c>
      <c r="M42" s="2955" t="s">
        <v>4196</v>
      </c>
      <c r="N42" s="2955" t="s">
        <v>4197</v>
      </c>
      <c r="O42" s="2955">
        <v>10.5</v>
      </c>
      <c r="P42" s="2955" t="s">
        <v>4197</v>
      </c>
      <c r="Q42" s="2955" t="s">
        <v>4198</v>
      </c>
      <c r="R42" s="2955">
        <v>10.5</v>
      </c>
      <c r="S42" s="2955" t="s">
        <v>4199</v>
      </c>
      <c r="T42" s="2955" t="s">
        <v>4199</v>
      </c>
      <c r="U42" s="2955">
        <v>10.5</v>
      </c>
    </row>
    <row r="43" spans="1:21" s="2959" customFormat="1" ht="15.6" customHeight="1" x14ac:dyDescent="0.3">
      <c r="A43" s="2958" t="s">
        <v>3563</v>
      </c>
      <c r="B43" s="2955" t="s">
        <v>3368</v>
      </c>
      <c r="C43" s="2955" t="s">
        <v>3339</v>
      </c>
      <c r="D43" s="2955" t="s">
        <v>3966</v>
      </c>
      <c r="E43" s="2955" t="s">
        <v>3966</v>
      </c>
      <c r="F43" s="2955" t="s">
        <v>3966</v>
      </c>
      <c r="G43" s="2955" t="s">
        <v>3968</v>
      </c>
      <c r="H43" s="2955" t="s">
        <v>3968</v>
      </c>
      <c r="I43" s="2955" t="s">
        <v>3988</v>
      </c>
      <c r="J43" s="2955" t="s">
        <v>3970</v>
      </c>
      <c r="K43" s="2955" t="s">
        <v>3970</v>
      </c>
      <c r="L43" s="2955" t="s">
        <v>4031</v>
      </c>
      <c r="M43" s="2955" t="s">
        <v>3972</v>
      </c>
      <c r="N43" s="2955" t="s">
        <v>3972</v>
      </c>
      <c r="O43" s="2955" t="s">
        <v>4200</v>
      </c>
      <c r="P43" s="2955" t="s">
        <v>3972</v>
      </c>
      <c r="Q43" s="2955" t="s">
        <v>4024</v>
      </c>
      <c r="R43" s="2955" t="s">
        <v>4024</v>
      </c>
      <c r="S43" s="2955" t="s">
        <v>3972</v>
      </c>
      <c r="T43" s="2955" t="s">
        <v>3972</v>
      </c>
      <c r="U43" s="2955" t="s">
        <v>4201</v>
      </c>
    </row>
    <row r="44" spans="1:21" s="2959" customFormat="1" x14ac:dyDescent="0.3">
      <c r="A44" s="2956" t="s">
        <v>3564</v>
      </c>
      <c r="B44" s="2955" t="s">
        <v>4180</v>
      </c>
      <c r="C44" s="2955" t="s">
        <v>3812</v>
      </c>
      <c r="D44" s="2955" t="s">
        <v>4028</v>
      </c>
      <c r="E44" s="2955" t="s">
        <v>4202</v>
      </c>
      <c r="F44" s="2955" t="s">
        <v>4157</v>
      </c>
      <c r="G44" s="2955" t="s">
        <v>4181</v>
      </c>
      <c r="H44" s="2955" t="s">
        <v>4203</v>
      </c>
      <c r="I44" s="2955" t="s">
        <v>4025</v>
      </c>
      <c r="J44" s="2955" t="s">
        <v>4204</v>
      </c>
      <c r="K44" s="2955" t="s">
        <v>4205</v>
      </c>
      <c r="L44" s="2955" t="s">
        <v>4031</v>
      </c>
      <c r="M44" s="2955" t="s">
        <v>3962</v>
      </c>
      <c r="N44" s="2955" t="s">
        <v>4185</v>
      </c>
      <c r="O44" s="2955" t="s">
        <v>4206</v>
      </c>
      <c r="P44" s="2955" t="s">
        <v>4000</v>
      </c>
      <c r="Q44" s="2955" t="s">
        <v>4207</v>
      </c>
      <c r="R44" s="2955" t="s">
        <v>4064</v>
      </c>
      <c r="S44" s="2955" t="s">
        <v>4208</v>
      </c>
      <c r="T44" s="2955" t="s">
        <v>4209</v>
      </c>
      <c r="U44" s="2955" t="s">
        <v>4210</v>
      </c>
    </row>
    <row r="45" spans="1:21" ht="15.6" customHeight="1" x14ac:dyDescent="0.3">
      <c r="A45" s="2954" t="s">
        <v>2778</v>
      </c>
      <c r="B45" s="2955" t="s">
        <v>3340</v>
      </c>
      <c r="C45" s="2955" t="s">
        <v>3368</v>
      </c>
      <c r="D45" s="2955" t="s">
        <v>3438</v>
      </c>
      <c r="E45" s="2955" t="s">
        <v>4211</v>
      </c>
      <c r="F45" s="2955" t="s">
        <v>4212</v>
      </c>
      <c r="G45" s="2955" t="s">
        <v>3988</v>
      </c>
      <c r="H45" s="2955" t="s">
        <v>4144</v>
      </c>
      <c r="I45" s="2955" t="s">
        <v>3514</v>
      </c>
      <c r="J45" s="2955" t="s">
        <v>4213</v>
      </c>
      <c r="K45" s="2955" t="s">
        <v>4214</v>
      </c>
      <c r="L45" s="2955" t="s">
        <v>4215</v>
      </c>
      <c r="M45" s="2955" t="s">
        <v>3961</v>
      </c>
      <c r="N45" s="2955" t="s">
        <v>4216</v>
      </c>
      <c r="O45" s="2955" t="s">
        <v>4217</v>
      </c>
      <c r="P45" s="2955" t="s">
        <v>4218</v>
      </c>
      <c r="Q45" s="2955" t="s">
        <v>4219</v>
      </c>
      <c r="R45" s="2955" t="s">
        <v>4080</v>
      </c>
      <c r="S45" s="2955" t="s">
        <v>4220</v>
      </c>
      <c r="T45" s="2955" t="s">
        <v>4142</v>
      </c>
      <c r="U45" s="2955" t="s">
        <v>4079</v>
      </c>
    </row>
    <row r="46" spans="1:21" ht="15.6" customHeight="1" x14ac:dyDescent="0.3">
      <c r="A46" s="2954" t="s">
        <v>2779</v>
      </c>
      <c r="B46" s="2955" t="s">
        <v>3585</v>
      </c>
      <c r="C46" s="2955" t="s">
        <v>3448</v>
      </c>
      <c r="D46" s="2955" t="s">
        <v>4121</v>
      </c>
      <c r="E46" s="2955" t="s">
        <v>4221</v>
      </c>
      <c r="F46" s="2955" t="s">
        <v>4153</v>
      </c>
      <c r="G46" s="2955" t="s">
        <v>4158</v>
      </c>
      <c r="H46" s="2955" t="s">
        <v>4222</v>
      </c>
      <c r="I46" s="2955" t="s">
        <v>4223</v>
      </c>
      <c r="J46" s="2955" t="s">
        <v>4156</v>
      </c>
      <c r="K46" s="2955" t="s">
        <v>4134</v>
      </c>
      <c r="L46" s="2955" t="s">
        <v>4224</v>
      </c>
      <c r="M46" s="2955" t="s">
        <v>4142</v>
      </c>
      <c r="N46" s="2955" t="s">
        <v>3992</v>
      </c>
      <c r="O46" s="2955" t="s">
        <v>4225</v>
      </c>
      <c r="P46" s="2955" t="s">
        <v>3944</v>
      </c>
      <c r="Q46" s="2955" t="s">
        <v>4137</v>
      </c>
      <c r="R46" s="2955" t="s">
        <v>4226</v>
      </c>
      <c r="S46" s="2955" t="s">
        <v>4227</v>
      </c>
      <c r="T46" s="2955" t="s">
        <v>4142</v>
      </c>
      <c r="U46" s="2955" t="s">
        <v>4228</v>
      </c>
    </row>
    <row r="47" spans="1:21" s="2944" customFormat="1" x14ac:dyDescent="0.3">
      <c r="A47" s="2953" t="s">
        <v>2780</v>
      </c>
      <c r="B47" s="2952" t="s">
        <v>3393</v>
      </c>
      <c r="C47" s="2952" t="s">
        <v>4229</v>
      </c>
      <c r="D47" s="2952" t="s">
        <v>3393</v>
      </c>
      <c r="E47" s="2952" t="s">
        <v>4157</v>
      </c>
      <c r="F47" s="2952" t="s">
        <v>3953</v>
      </c>
      <c r="G47" s="2952" t="s">
        <v>3428</v>
      </c>
      <c r="H47" s="2952" t="s">
        <v>4230</v>
      </c>
      <c r="I47" s="2952" t="s">
        <v>4231</v>
      </c>
      <c r="J47" s="2952" t="s">
        <v>4232</v>
      </c>
      <c r="K47" s="2952" t="s">
        <v>3940</v>
      </c>
      <c r="L47" s="2952" t="s">
        <v>3941</v>
      </c>
      <c r="M47" s="2952" t="s">
        <v>4233</v>
      </c>
      <c r="N47" s="2952" t="s">
        <v>3944</v>
      </c>
      <c r="O47" s="2952" t="s">
        <v>4234</v>
      </c>
      <c r="P47" s="2952" t="s">
        <v>4235</v>
      </c>
      <c r="Q47" s="2952" t="s">
        <v>4164</v>
      </c>
      <c r="R47" s="2952" t="s">
        <v>4164</v>
      </c>
      <c r="S47" s="2952" t="s">
        <v>4236</v>
      </c>
      <c r="T47" s="2952" t="s">
        <v>4237</v>
      </c>
      <c r="U47" s="2952" t="s">
        <v>3947</v>
      </c>
    </row>
    <row r="48" spans="1:21" ht="15" customHeight="1" x14ac:dyDescent="0.3">
      <c r="A48" s="2954" t="s">
        <v>2781</v>
      </c>
      <c r="B48" s="2955" t="s">
        <v>4238</v>
      </c>
      <c r="C48" s="2955" t="s">
        <v>4239</v>
      </c>
      <c r="D48" s="2955" t="s">
        <v>3953</v>
      </c>
      <c r="E48" s="2955" t="s">
        <v>4240</v>
      </c>
      <c r="F48" s="2955" t="s">
        <v>4241</v>
      </c>
      <c r="G48" s="2955" t="s">
        <v>4242</v>
      </c>
      <c r="H48" s="2955" t="s">
        <v>4243</v>
      </c>
      <c r="I48" s="2955" t="s">
        <v>4244</v>
      </c>
      <c r="J48" s="2955" t="s">
        <v>4244</v>
      </c>
      <c r="K48" s="2955" t="s">
        <v>4245</v>
      </c>
      <c r="L48" s="2955" t="s">
        <v>4246</v>
      </c>
      <c r="M48" s="2955" t="s">
        <v>4247</v>
      </c>
      <c r="N48" s="2955" t="s">
        <v>4248</v>
      </c>
      <c r="O48" s="2955" t="s">
        <v>4249</v>
      </c>
      <c r="P48" s="2955" t="s">
        <v>4250</v>
      </c>
      <c r="Q48" s="2955" t="s">
        <v>4251</v>
      </c>
      <c r="R48" s="2955" t="s">
        <v>4252</v>
      </c>
      <c r="S48" s="2955" t="s">
        <v>4253</v>
      </c>
      <c r="T48" s="2955" t="s">
        <v>4254</v>
      </c>
      <c r="U48" s="2955" t="s">
        <v>3965</v>
      </c>
    </row>
    <row r="49" spans="1:21" ht="15" customHeight="1" x14ac:dyDescent="0.3">
      <c r="A49" s="2954" t="s">
        <v>2782</v>
      </c>
      <c r="B49" s="2955" t="s">
        <v>4255</v>
      </c>
      <c r="C49" s="2955" t="s">
        <v>4256</v>
      </c>
      <c r="D49" s="2955" t="s">
        <v>3525</v>
      </c>
      <c r="E49" s="2955" t="s">
        <v>4257</v>
      </c>
      <c r="F49" s="2955" t="s">
        <v>4258</v>
      </c>
      <c r="G49" s="2955" t="s">
        <v>3428</v>
      </c>
      <c r="H49" s="2955" t="s">
        <v>4259</v>
      </c>
      <c r="I49" s="2955" t="s">
        <v>4231</v>
      </c>
      <c r="J49" s="2955" t="s">
        <v>4232</v>
      </c>
      <c r="K49" s="2955" t="s">
        <v>3940</v>
      </c>
      <c r="L49" s="2955" t="s">
        <v>4260</v>
      </c>
      <c r="M49" s="2955" t="s">
        <v>4261</v>
      </c>
      <c r="N49" s="2955" t="s">
        <v>4262</v>
      </c>
      <c r="O49" s="2955" t="s">
        <v>4234</v>
      </c>
      <c r="P49" s="2955" t="s">
        <v>4161</v>
      </c>
      <c r="Q49" s="2955" t="s">
        <v>4164</v>
      </c>
      <c r="R49" s="2955" t="s">
        <v>4169</v>
      </c>
      <c r="S49" s="2955" t="s">
        <v>4169</v>
      </c>
      <c r="T49" s="2955" t="s">
        <v>4263</v>
      </c>
      <c r="U49" s="2955" t="s">
        <v>4169</v>
      </c>
    </row>
    <row r="50" spans="1:21" ht="15" customHeight="1" x14ac:dyDescent="0.3">
      <c r="A50" s="2954" t="s">
        <v>2783</v>
      </c>
      <c r="B50" s="2955" t="s">
        <v>3393</v>
      </c>
      <c r="C50" s="2955" t="s">
        <v>4264</v>
      </c>
      <c r="D50" s="2955" t="s">
        <v>3393</v>
      </c>
      <c r="E50" s="2955" t="s">
        <v>3953</v>
      </c>
      <c r="F50" s="2955" t="s">
        <v>3953</v>
      </c>
      <c r="G50" s="2955" t="s">
        <v>4265</v>
      </c>
      <c r="H50" s="2955" t="s">
        <v>4230</v>
      </c>
      <c r="I50" s="2955" t="s">
        <v>3765</v>
      </c>
      <c r="J50" s="2955" t="s">
        <v>4232</v>
      </c>
      <c r="K50" s="2955" t="s">
        <v>4266</v>
      </c>
      <c r="L50" s="2955" t="s">
        <v>4267</v>
      </c>
      <c r="M50" s="2955" t="s">
        <v>4233</v>
      </c>
      <c r="N50" s="2955" t="s">
        <v>4268</v>
      </c>
      <c r="O50" s="2955" t="s">
        <v>4268</v>
      </c>
      <c r="P50" s="2955" t="s">
        <v>4269</v>
      </c>
      <c r="Q50" s="2955" t="s">
        <v>4270</v>
      </c>
      <c r="R50" s="2955" t="s">
        <v>4164</v>
      </c>
      <c r="S50" s="2955" t="s">
        <v>4110</v>
      </c>
      <c r="T50" s="2955" t="s">
        <v>4271</v>
      </c>
      <c r="U50" s="2955" t="s">
        <v>3947</v>
      </c>
    </row>
    <row r="51" spans="1:21" s="2944" customFormat="1" x14ac:dyDescent="0.3">
      <c r="A51" s="2953" t="s">
        <v>2784</v>
      </c>
      <c r="B51" s="2952" t="s">
        <v>4272</v>
      </c>
      <c r="C51" s="2952" t="s">
        <v>3422</v>
      </c>
      <c r="D51" s="2952" t="s">
        <v>4273</v>
      </c>
      <c r="E51" s="2952" t="s">
        <v>4274</v>
      </c>
      <c r="F51" s="2952" t="s">
        <v>4156</v>
      </c>
      <c r="G51" s="2952" t="s">
        <v>4275</v>
      </c>
      <c r="H51" s="2952" t="s">
        <v>4276</v>
      </c>
      <c r="I51" s="2952" t="s">
        <v>4276</v>
      </c>
      <c r="J51" s="2952" t="s">
        <v>4232</v>
      </c>
      <c r="K51" s="2952" t="s">
        <v>4277</v>
      </c>
      <c r="L51" s="2952" t="s">
        <v>4278</v>
      </c>
      <c r="M51" s="2952" t="s">
        <v>3942</v>
      </c>
      <c r="N51" s="2952" t="s">
        <v>4279</v>
      </c>
      <c r="O51" s="2952" t="s">
        <v>4161</v>
      </c>
      <c r="P51" s="2952" t="s">
        <v>4000</v>
      </c>
      <c r="Q51" s="2952" t="s">
        <v>4042</v>
      </c>
      <c r="R51" s="2952" t="s">
        <v>4000</v>
      </c>
      <c r="S51" s="2952" t="s">
        <v>4137</v>
      </c>
      <c r="T51" s="2952" t="s">
        <v>4217</v>
      </c>
      <c r="U51" s="2952" t="s">
        <v>4114</v>
      </c>
    </row>
    <row r="52" spans="1:21" ht="15" customHeight="1" x14ac:dyDescent="0.3">
      <c r="A52" s="2954" t="s">
        <v>2785</v>
      </c>
      <c r="B52" s="2955" t="s">
        <v>3471</v>
      </c>
      <c r="C52" s="2955" t="s">
        <v>3353</v>
      </c>
      <c r="D52" s="2955" t="s">
        <v>4280</v>
      </c>
      <c r="E52" s="2955" t="s">
        <v>4274</v>
      </c>
      <c r="F52" s="2955" t="s">
        <v>4156</v>
      </c>
      <c r="G52" s="2955" t="s">
        <v>4275</v>
      </c>
      <c r="H52" s="2955" t="s">
        <v>4276</v>
      </c>
      <c r="I52" s="2955" t="s">
        <v>4276</v>
      </c>
      <c r="J52" s="2955" t="s">
        <v>4232</v>
      </c>
      <c r="K52" s="2955" t="s">
        <v>4277</v>
      </c>
      <c r="L52" s="2955" t="s">
        <v>4278</v>
      </c>
      <c r="M52" s="2955" t="s">
        <v>3393</v>
      </c>
      <c r="N52" s="2955" t="s">
        <v>4279</v>
      </c>
      <c r="O52" s="2955" t="s">
        <v>4161</v>
      </c>
      <c r="P52" s="2955" t="s">
        <v>4000</v>
      </c>
      <c r="Q52" s="2955" t="s">
        <v>4042</v>
      </c>
      <c r="R52" s="2955" t="s">
        <v>4000</v>
      </c>
      <c r="S52" s="2955" t="s">
        <v>4137</v>
      </c>
      <c r="T52" s="2955" t="s">
        <v>4217</v>
      </c>
      <c r="U52" s="2955" t="s">
        <v>4114</v>
      </c>
    </row>
    <row r="53" spans="1:21" ht="15" customHeight="1" x14ac:dyDescent="0.3">
      <c r="A53" s="2954" t="s">
        <v>2786</v>
      </c>
      <c r="B53" s="2955" t="s">
        <v>4281</v>
      </c>
      <c r="C53" s="2955" t="s">
        <v>3669</v>
      </c>
      <c r="D53" s="2955" t="s">
        <v>4282</v>
      </c>
      <c r="E53" s="2955" t="s">
        <v>4283</v>
      </c>
      <c r="F53" s="2955" t="s">
        <v>3966</v>
      </c>
      <c r="G53" s="2955" t="s">
        <v>4284</v>
      </c>
      <c r="H53" s="2955">
        <v>8.25</v>
      </c>
      <c r="I53" s="2955" t="s">
        <v>3968</v>
      </c>
      <c r="J53" s="2955" t="s">
        <v>1315</v>
      </c>
      <c r="K53" s="2955">
        <v>9</v>
      </c>
      <c r="L53" s="2955" t="s">
        <v>4031</v>
      </c>
      <c r="M53" s="2955" t="s">
        <v>4285</v>
      </c>
      <c r="N53" s="2955" t="s">
        <v>3972</v>
      </c>
      <c r="O53" s="2955" t="s">
        <v>4286</v>
      </c>
      <c r="P53" s="2955" t="s">
        <v>4197</v>
      </c>
      <c r="Q53" s="2955" t="s">
        <v>4197</v>
      </c>
      <c r="R53" s="2955" t="s">
        <v>4287</v>
      </c>
      <c r="S53" s="2955" t="s">
        <v>4288</v>
      </c>
      <c r="T53" s="2955" t="s">
        <v>3972</v>
      </c>
      <c r="U53" s="2955" t="s">
        <v>3972</v>
      </c>
    </row>
    <row r="54" spans="1:21" ht="15" customHeight="1" x14ac:dyDescent="0.3">
      <c r="A54" s="2954" t="s">
        <v>2787</v>
      </c>
      <c r="B54" s="2955">
        <v>7.85</v>
      </c>
      <c r="C54" s="2955">
        <v>7.85</v>
      </c>
      <c r="D54" s="2955">
        <v>8</v>
      </c>
      <c r="E54" s="2955" t="s">
        <v>4289</v>
      </c>
      <c r="F54" s="2955">
        <v>8</v>
      </c>
      <c r="G54" s="2955">
        <v>8.25</v>
      </c>
      <c r="H54" s="2955">
        <v>8.25</v>
      </c>
      <c r="I54" s="2955">
        <v>8.25</v>
      </c>
      <c r="J54" s="2955">
        <v>1.7</v>
      </c>
      <c r="K54" s="2955" t="s">
        <v>1014</v>
      </c>
      <c r="L54" s="2955" t="s">
        <v>1014</v>
      </c>
      <c r="M54" s="2955" t="s">
        <v>1014</v>
      </c>
      <c r="N54" s="2955" t="s">
        <v>1014</v>
      </c>
      <c r="O54" s="2955" t="s">
        <v>1014</v>
      </c>
      <c r="P54" s="2955">
        <v>10.5</v>
      </c>
      <c r="Q54" s="2955" t="s">
        <v>1014</v>
      </c>
      <c r="R54" s="2955">
        <v>10.5</v>
      </c>
      <c r="S54" s="2955" t="s">
        <v>1014</v>
      </c>
      <c r="T54" s="2955">
        <v>10.5</v>
      </c>
      <c r="U54" s="2955" t="s">
        <v>4093</v>
      </c>
    </row>
    <row r="55" spans="1:21" ht="15" customHeight="1" x14ac:dyDescent="0.3">
      <c r="A55" s="2954" t="s">
        <v>2788</v>
      </c>
      <c r="B55" s="2955" t="s">
        <v>4272</v>
      </c>
      <c r="C55" s="2955" t="s">
        <v>3340</v>
      </c>
      <c r="D55" s="2955" t="s">
        <v>4290</v>
      </c>
      <c r="E55" s="2955" t="s">
        <v>3987</v>
      </c>
      <c r="F55" s="2955" t="s">
        <v>4291</v>
      </c>
      <c r="G55" s="2955" t="s">
        <v>4292</v>
      </c>
      <c r="H55" s="2955" t="s">
        <v>4144</v>
      </c>
      <c r="I55" s="2955" t="s">
        <v>3988</v>
      </c>
      <c r="J55" s="2955" t="s">
        <v>4148</v>
      </c>
      <c r="K55" s="2955" t="s">
        <v>4148</v>
      </c>
      <c r="L55" s="2955" t="s">
        <v>4293</v>
      </c>
      <c r="M55" s="2955" t="s">
        <v>3992</v>
      </c>
      <c r="N55" s="2955" t="s">
        <v>4294</v>
      </c>
      <c r="O55" s="2955" t="s">
        <v>4295</v>
      </c>
      <c r="P55" s="2955" t="s">
        <v>4295</v>
      </c>
      <c r="Q55" s="2955" t="s">
        <v>4296</v>
      </c>
      <c r="R55" s="2955" t="s">
        <v>4297</v>
      </c>
      <c r="S55" s="2955" t="s">
        <v>4298</v>
      </c>
      <c r="T55" s="2955" t="s">
        <v>4298</v>
      </c>
      <c r="U55" s="2955" t="s">
        <v>4142</v>
      </c>
    </row>
    <row r="56" spans="1:21" ht="15" customHeight="1" x14ac:dyDescent="0.3">
      <c r="A56" s="2954" t="s">
        <v>2789</v>
      </c>
      <c r="B56" s="2955">
        <v>7.85</v>
      </c>
      <c r="C56" s="2955">
        <v>7.85</v>
      </c>
      <c r="D56" s="2955">
        <v>8</v>
      </c>
      <c r="E56" s="2955" t="s">
        <v>3977</v>
      </c>
      <c r="F56" s="2955">
        <v>8</v>
      </c>
      <c r="G56" s="2955">
        <v>8.25</v>
      </c>
      <c r="H56" s="2955">
        <v>8.25</v>
      </c>
      <c r="I56" s="2955">
        <v>8.25</v>
      </c>
      <c r="J56" s="2955">
        <v>9</v>
      </c>
      <c r="K56" s="2955">
        <v>9</v>
      </c>
      <c r="L56" s="2955">
        <v>10</v>
      </c>
      <c r="M56" s="2955">
        <v>10.5</v>
      </c>
      <c r="N56" s="2955">
        <v>10.5</v>
      </c>
      <c r="O56" s="2955">
        <v>10.5</v>
      </c>
      <c r="P56" s="2955">
        <v>10.5</v>
      </c>
      <c r="Q56" s="2955">
        <v>10.5</v>
      </c>
      <c r="R56" s="2955">
        <v>10.5</v>
      </c>
      <c r="S56" s="2955">
        <v>10.5</v>
      </c>
      <c r="T56" s="2955">
        <v>10.5</v>
      </c>
      <c r="U56" s="2955">
        <v>10.5</v>
      </c>
    </row>
    <row r="57" spans="1:21" s="2944" customFormat="1" x14ac:dyDescent="0.3">
      <c r="A57" s="2953" t="s">
        <v>2790</v>
      </c>
      <c r="B57" s="2952" t="s">
        <v>3340</v>
      </c>
      <c r="C57" s="2952" t="s">
        <v>4299</v>
      </c>
      <c r="D57" s="2952" t="s">
        <v>4300</v>
      </c>
      <c r="E57" s="2952" t="s">
        <v>4260</v>
      </c>
      <c r="F57" s="2952" t="s">
        <v>3438</v>
      </c>
      <c r="G57" s="2952" t="s">
        <v>3354</v>
      </c>
      <c r="H57" s="2952" t="s">
        <v>3354</v>
      </c>
      <c r="I57" s="2952" t="s">
        <v>3354</v>
      </c>
      <c r="J57" s="2952" t="s">
        <v>4095</v>
      </c>
      <c r="K57" s="2952" t="s">
        <v>4095</v>
      </c>
      <c r="L57" s="2952" t="s">
        <v>4301</v>
      </c>
      <c r="M57" s="2952" t="s">
        <v>4000</v>
      </c>
      <c r="N57" s="2952" t="s">
        <v>3721</v>
      </c>
      <c r="O57" s="2952" t="s">
        <v>3515</v>
      </c>
      <c r="P57" s="2952" t="s">
        <v>4302</v>
      </c>
      <c r="Q57" s="2952" t="s">
        <v>4303</v>
      </c>
      <c r="R57" s="2952" t="s">
        <v>4304</v>
      </c>
      <c r="S57" s="2952" t="s">
        <v>3963</v>
      </c>
      <c r="T57" s="2952" t="s">
        <v>3515</v>
      </c>
      <c r="U57" s="2952" t="s">
        <v>4080</v>
      </c>
    </row>
    <row r="58" spans="1:21" ht="15" customHeight="1" x14ac:dyDescent="0.3">
      <c r="A58" s="2954" t="s">
        <v>2791</v>
      </c>
      <c r="B58" s="2955" t="s">
        <v>3340</v>
      </c>
      <c r="C58" s="2955" t="s">
        <v>3368</v>
      </c>
      <c r="D58" s="2955" t="s">
        <v>3623</v>
      </c>
      <c r="E58" s="2955" t="s">
        <v>4260</v>
      </c>
      <c r="F58" s="2955" t="s">
        <v>3438</v>
      </c>
      <c r="G58" s="2955" t="s">
        <v>3354</v>
      </c>
      <c r="H58" s="2955" t="s">
        <v>3354</v>
      </c>
      <c r="I58" s="2955" t="s">
        <v>3354</v>
      </c>
      <c r="J58" s="2955" t="s">
        <v>4095</v>
      </c>
      <c r="K58" s="2955" t="s">
        <v>4095</v>
      </c>
      <c r="L58" s="2955" t="s">
        <v>4301</v>
      </c>
      <c r="M58" s="2955" t="s">
        <v>4305</v>
      </c>
      <c r="N58" s="2955" t="s">
        <v>3721</v>
      </c>
      <c r="O58" s="2955" t="s">
        <v>4306</v>
      </c>
      <c r="P58" s="2955" t="s">
        <v>4302</v>
      </c>
      <c r="Q58" s="2955" t="s">
        <v>4303</v>
      </c>
      <c r="R58" s="2955" t="s">
        <v>4304</v>
      </c>
      <c r="S58" s="2955" t="s">
        <v>4307</v>
      </c>
      <c r="T58" s="2955" t="s">
        <v>3971</v>
      </c>
      <c r="U58" s="2955" t="s">
        <v>4209</v>
      </c>
    </row>
    <row r="59" spans="1:21" s="2957" customFormat="1" ht="15" customHeight="1" x14ac:dyDescent="0.3">
      <c r="A59" s="2956" t="s">
        <v>3692</v>
      </c>
      <c r="B59" s="2955" t="s">
        <v>3368</v>
      </c>
      <c r="C59" s="2955" t="s">
        <v>3339</v>
      </c>
      <c r="D59" s="2955" t="s">
        <v>3438</v>
      </c>
      <c r="E59" s="2955" t="s">
        <v>3438</v>
      </c>
      <c r="F59" s="2955" t="s">
        <v>3966</v>
      </c>
      <c r="G59" s="2955" t="s">
        <v>3514</v>
      </c>
      <c r="H59" s="2955" t="s">
        <v>3514</v>
      </c>
      <c r="I59" s="2955" t="s">
        <v>3514</v>
      </c>
      <c r="J59" s="2955" t="s">
        <v>4095</v>
      </c>
      <c r="K59" s="2955" t="s">
        <v>4095</v>
      </c>
      <c r="L59" s="2955" t="s">
        <v>4301</v>
      </c>
      <c r="M59" s="2955" t="s">
        <v>4305</v>
      </c>
      <c r="N59" s="2955" t="s">
        <v>4306</v>
      </c>
      <c r="O59" s="2955" t="s">
        <v>4306</v>
      </c>
      <c r="P59" s="2955" t="s">
        <v>4308</v>
      </c>
      <c r="Q59" s="2955" t="s">
        <v>3971</v>
      </c>
      <c r="R59" s="2955" t="s">
        <v>3971</v>
      </c>
      <c r="S59" s="2955" t="s">
        <v>4307</v>
      </c>
      <c r="T59" s="2955" t="s">
        <v>3971</v>
      </c>
      <c r="U59" s="2955" t="s">
        <v>4209</v>
      </c>
    </row>
    <row r="60" spans="1:21" s="2957" customFormat="1" ht="15" customHeight="1" x14ac:dyDescent="0.3">
      <c r="A60" s="2956" t="s">
        <v>3694</v>
      </c>
      <c r="B60" s="2955" t="s">
        <v>3340</v>
      </c>
      <c r="C60" s="2955" t="s">
        <v>3368</v>
      </c>
      <c r="D60" s="2955" t="s">
        <v>4309</v>
      </c>
      <c r="E60" s="2955" t="s">
        <v>4310</v>
      </c>
      <c r="F60" s="2955" t="s">
        <v>3438</v>
      </c>
      <c r="G60" s="2955" t="s">
        <v>3988</v>
      </c>
      <c r="H60" s="2955" t="s">
        <v>3514</v>
      </c>
      <c r="I60" s="2955" t="s">
        <v>3521</v>
      </c>
      <c r="J60" s="2955" t="s">
        <v>3991</v>
      </c>
      <c r="K60" s="2955" t="s">
        <v>4068</v>
      </c>
      <c r="L60" s="2955" t="s">
        <v>1305</v>
      </c>
      <c r="M60" s="2955" t="s">
        <v>3992</v>
      </c>
      <c r="N60" s="2955" t="s">
        <v>3972</v>
      </c>
      <c r="O60" s="2955" t="s">
        <v>4311</v>
      </c>
      <c r="P60" s="2955" t="s">
        <v>3972</v>
      </c>
      <c r="Q60" s="2955" t="s">
        <v>3992</v>
      </c>
      <c r="R60" s="2955" t="s">
        <v>3972</v>
      </c>
      <c r="S60" s="2955" t="s">
        <v>3809</v>
      </c>
      <c r="T60" s="2955" t="s">
        <v>3972</v>
      </c>
      <c r="U60" s="2955" t="s">
        <v>3972</v>
      </c>
    </row>
    <row r="61" spans="1:21" s="2957" customFormat="1" ht="15" customHeight="1" x14ac:dyDescent="0.3">
      <c r="A61" s="2956" t="s">
        <v>3697</v>
      </c>
      <c r="B61" s="2955" t="s">
        <v>3368</v>
      </c>
      <c r="C61" s="2955" t="s">
        <v>3368</v>
      </c>
      <c r="D61" s="2955" t="s">
        <v>3966</v>
      </c>
      <c r="E61" s="2955" t="s">
        <v>3987</v>
      </c>
      <c r="F61" s="2955" t="s">
        <v>3987</v>
      </c>
      <c r="G61" s="2955" t="s">
        <v>3988</v>
      </c>
      <c r="H61" s="2955" t="s">
        <v>3988</v>
      </c>
      <c r="I61" s="2955" t="s">
        <v>3968</v>
      </c>
      <c r="J61" s="2955" t="s">
        <v>3970</v>
      </c>
      <c r="K61" s="2955" t="s">
        <v>3970</v>
      </c>
      <c r="L61" s="2955" t="s">
        <v>4031</v>
      </c>
      <c r="M61" s="2955" t="s">
        <v>3972</v>
      </c>
      <c r="N61" s="2955" t="s">
        <v>3972</v>
      </c>
      <c r="O61" s="2955" t="s">
        <v>3972</v>
      </c>
      <c r="P61" s="2955" t="s">
        <v>3972</v>
      </c>
      <c r="Q61" s="2955" t="s">
        <v>3972</v>
      </c>
      <c r="R61" s="2955" t="s">
        <v>3972</v>
      </c>
      <c r="S61" s="2955" t="s">
        <v>3972</v>
      </c>
      <c r="T61" s="2955" t="s">
        <v>3972</v>
      </c>
      <c r="U61" s="2955" t="s">
        <v>3972</v>
      </c>
    </row>
    <row r="62" spans="1:21" s="2957" customFormat="1" ht="15" customHeight="1" x14ac:dyDescent="0.3">
      <c r="A62" s="2956" t="s">
        <v>3698</v>
      </c>
      <c r="B62" s="2955" t="s">
        <v>3339</v>
      </c>
      <c r="C62" s="2955" t="s">
        <v>3339</v>
      </c>
      <c r="D62" s="2955">
        <v>8</v>
      </c>
      <c r="E62" s="2955" t="s">
        <v>3976</v>
      </c>
      <c r="F62" s="2955" t="s">
        <v>3976</v>
      </c>
      <c r="G62" s="2955" t="s">
        <v>4312</v>
      </c>
      <c r="H62" s="2955" t="s">
        <v>4313</v>
      </c>
      <c r="I62" s="2955" t="s">
        <v>4314</v>
      </c>
      <c r="J62" s="2955" t="s">
        <v>1373</v>
      </c>
      <c r="K62" s="2955" t="s">
        <v>4315</v>
      </c>
      <c r="L62" s="2955" t="s">
        <v>4031</v>
      </c>
      <c r="M62" s="2955" t="s">
        <v>4192</v>
      </c>
      <c r="N62" s="2955" t="s">
        <v>4024</v>
      </c>
      <c r="O62" s="2955">
        <v>10.5</v>
      </c>
      <c r="P62" s="2955" t="s">
        <v>4302</v>
      </c>
      <c r="Q62" s="2955" t="s">
        <v>3980</v>
      </c>
      <c r="R62" s="2955" t="s">
        <v>4316</v>
      </c>
      <c r="S62" s="2955">
        <v>10.5</v>
      </c>
      <c r="T62" s="2955" t="s">
        <v>3980</v>
      </c>
      <c r="U62" s="2955">
        <v>10.5</v>
      </c>
    </row>
    <row r="63" spans="1:21" s="2957" customFormat="1" ht="15" customHeight="1" x14ac:dyDescent="0.3">
      <c r="A63" s="2956" t="s">
        <v>3700</v>
      </c>
      <c r="B63" s="2955" t="s">
        <v>3669</v>
      </c>
      <c r="C63" s="2955" t="s">
        <v>3368</v>
      </c>
      <c r="D63" s="2955" t="s">
        <v>3987</v>
      </c>
      <c r="E63" s="2955" t="s">
        <v>3987</v>
      </c>
      <c r="F63" s="2955" t="s">
        <v>3987</v>
      </c>
      <c r="G63" s="2955" t="s">
        <v>3988</v>
      </c>
      <c r="H63" s="2955" t="s">
        <v>3988</v>
      </c>
      <c r="I63" s="2955" t="s">
        <v>3988</v>
      </c>
      <c r="J63" s="2955" t="s">
        <v>4068</v>
      </c>
      <c r="K63" s="2955" t="s">
        <v>3991</v>
      </c>
      <c r="L63" s="2955">
        <v>10</v>
      </c>
      <c r="M63" s="2955" t="s">
        <v>4317</v>
      </c>
      <c r="N63" s="2955">
        <v>10.5</v>
      </c>
      <c r="O63" s="2955" t="s">
        <v>3992</v>
      </c>
      <c r="P63" s="2955" t="s">
        <v>3992</v>
      </c>
      <c r="Q63" s="2955" t="s">
        <v>3992</v>
      </c>
      <c r="R63" s="2955" t="s">
        <v>3992</v>
      </c>
      <c r="S63" s="2955">
        <v>10.5</v>
      </c>
      <c r="T63" s="2955" t="s">
        <v>3992</v>
      </c>
      <c r="U63" s="2955">
        <v>10.5</v>
      </c>
    </row>
    <row r="64" spans="1:21" s="2957" customFormat="1" ht="15" customHeight="1" x14ac:dyDescent="0.3">
      <c r="A64" s="2956" t="s">
        <v>3701</v>
      </c>
      <c r="B64" s="2955" t="s">
        <v>3703</v>
      </c>
      <c r="C64" s="2955" t="s">
        <v>3703</v>
      </c>
      <c r="D64" s="2955" t="s">
        <v>4187</v>
      </c>
      <c r="E64" s="2955" t="s">
        <v>4187</v>
      </c>
      <c r="F64" s="2955" t="s">
        <v>4318</v>
      </c>
      <c r="G64" s="2955" t="s">
        <v>4188</v>
      </c>
      <c r="H64" s="2955" t="s">
        <v>4188</v>
      </c>
      <c r="I64" s="2955" t="s">
        <v>4188</v>
      </c>
      <c r="J64" s="2955" t="s">
        <v>4313</v>
      </c>
      <c r="K64" s="2955" t="s">
        <v>4319</v>
      </c>
      <c r="L64" s="2955" t="s">
        <v>4320</v>
      </c>
      <c r="M64" s="2955" t="s">
        <v>4091</v>
      </c>
      <c r="N64" s="2955" t="s">
        <v>4321</v>
      </c>
      <c r="O64" s="2955" t="s">
        <v>4321</v>
      </c>
      <c r="P64" s="2955" t="s">
        <v>4091</v>
      </c>
      <c r="Q64" s="2955" t="s">
        <v>4322</v>
      </c>
      <c r="R64" s="2955" t="s">
        <v>4323</v>
      </c>
      <c r="S64" s="2955">
        <v>10.5</v>
      </c>
      <c r="T64" s="2955" t="s">
        <v>4091</v>
      </c>
      <c r="U64" s="2955" t="s">
        <v>4324</v>
      </c>
    </row>
    <row r="65" spans="1:22" ht="17.45" customHeight="1" thickBot="1" x14ac:dyDescent="0.35">
      <c r="A65" s="2960" t="s">
        <v>2798</v>
      </c>
      <c r="B65" s="2961" t="s">
        <v>3368</v>
      </c>
      <c r="C65" s="2961" t="s">
        <v>4299</v>
      </c>
      <c r="D65" s="2961" t="s">
        <v>4325</v>
      </c>
      <c r="E65" s="2961" t="s">
        <v>3987</v>
      </c>
      <c r="F65" s="2961" t="s">
        <v>3438</v>
      </c>
      <c r="G65" s="2961" t="s">
        <v>4326</v>
      </c>
      <c r="H65" s="2961" t="s">
        <v>4327</v>
      </c>
      <c r="I65" s="2961" t="s">
        <v>3988</v>
      </c>
      <c r="J65" s="2961" t="s">
        <v>4328</v>
      </c>
      <c r="K65" s="2961" t="s">
        <v>4329</v>
      </c>
      <c r="L65" s="2961" t="s">
        <v>4330</v>
      </c>
      <c r="M65" s="2961" t="s">
        <v>4000</v>
      </c>
      <c r="N65" s="2961" t="s">
        <v>4079</v>
      </c>
      <c r="O65" s="2961" t="s">
        <v>4227</v>
      </c>
      <c r="P65" s="2961" t="s">
        <v>4331</v>
      </c>
      <c r="Q65" s="2961" t="s">
        <v>4332</v>
      </c>
      <c r="R65" s="2961" t="s">
        <v>4079</v>
      </c>
      <c r="S65" s="2961" t="s">
        <v>4079</v>
      </c>
      <c r="T65" s="2961" t="s">
        <v>3515</v>
      </c>
      <c r="U65" s="2961" t="s">
        <v>4142</v>
      </c>
    </row>
    <row r="66" spans="1:22" ht="18" thickTop="1" x14ac:dyDescent="0.3">
      <c r="A66" s="2962" t="s">
        <v>3713</v>
      </c>
      <c r="B66" s="2963"/>
      <c r="C66" s="2963"/>
      <c r="D66" s="2963"/>
      <c r="E66" s="2963"/>
      <c r="F66" s="2963"/>
      <c r="G66" s="2963"/>
      <c r="H66" s="2963"/>
      <c r="I66" s="2963"/>
      <c r="J66" s="2963"/>
      <c r="K66" s="2963"/>
      <c r="L66" s="2963"/>
      <c r="M66" s="2963"/>
      <c r="N66" s="2963"/>
      <c r="O66" s="2963"/>
      <c r="P66" s="2963"/>
      <c r="Q66" s="2963"/>
      <c r="R66" s="2963"/>
      <c r="S66" s="2963"/>
      <c r="T66" s="2963"/>
      <c r="U66" s="2963"/>
    </row>
    <row r="67" spans="1:22" ht="9.75" customHeight="1" x14ac:dyDescent="0.3">
      <c r="A67" s="2964"/>
      <c r="B67" s="2963"/>
      <c r="C67" s="2963"/>
      <c r="D67" s="2963"/>
      <c r="E67" s="2963"/>
      <c r="F67" s="2963"/>
      <c r="G67" s="2963"/>
      <c r="H67" s="2963"/>
      <c r="I67" s="2963"/>
      <c r="J67" s="2963"/>
      <c r="K67" s="2963"/>
      <c r="L67" s="2963"/>
      <c r="M67" s="2963"/>
      <c r="N67" s="2963"/>
      <c r="O67" s="2963"/>
      <c r="P67" s="2963"/>
      <c r="Q67" s="2963"/>
      <c r="R67" s="2963"/>
      <c r="S67" s="2963"/>
      <c r="T67" s="2963"/>
      <c r="U67" s="2963"/>
    </row>
    <row r="68" spans="1:22" s="2944" customFormat="1" ht="21" customHeight="1" thickBot="1" x14ac:dyDescent="0.35">
      <c r="A68" s="2945"/>
      <c r="B68" s="2946"/>
      <c r="C68" s="2946"/>
      <c r="D68" s="2946"/>
      <c r="E68" s="2946"/>
      <c r="F68" s="2946"/>
      <c r="G68" s="2946"/>
      <c r="H68" s="2946"/>
      <c r="I68" s="2946"/>
      <c r="J68" s="2946"/>
      <c r="K68" s="2946"/>
      <c r="L68" s="2946"/>
      <c r="M68" s="2946"/>
      <c r="N68" s="2946"/>
      <c r="O68" s="2946"/>
      <c r="P68" s="2946"/>
      <c r="Q68" s="2946"/>
      <c r="R68" s="2946"/>
      <c r="S68" s="2946"/>
      <c r="T68" s="2946"/>
      <c r="U68" s="2946"/>
    </row>
    <row r="69" spans="1:22" ht="26.25" customHeight="1" thickTop="1" thickBot="1" x14ac:dyDescent="0.35">
      <c r="A69" s="2965" t="s">
        <v>2737</v>
      </c>
      <c r="B69" s="2966">
        <v>44562</v>
      </c>
      <c r="C69" s="2966">
        <v>44593</v>
      </c>
      <c r="D69" s="2966">
        <v>44621</v>
      </c>
      <c r="E69" s="2966">
        <v>44652</v>
      </c>
      <c r="F69" s="2966">
        <v>44682</v>
      </c>
      <c r="G69" s="2966">
        <v>44713</v>
      </c>
      <c r="H69" s="2966">
        <v>44743</v>
      </c>
      <c r="I69" s="2966">
        <v>44774</v>
      </c>
      <c r="J69" s="2966">
        <v>44805</v>
      </c>
      <c r="K69" s="2966">
        <v>44835</v>
      </c>
      <c r="L69" s="2966">
        <v>44866</v>
      </c>
      <c r="M69" s="2966">
        <v>44896</v>
      </c>
      <c r="N69" s="2966">
        <v>44927</v>
      </c>
      <c r="O69" s="2966">
        <v>44958</v>
      </c>
      <c r="P69" s="2966">
        <v>44986</v>
      </c>
      <c r="Q69" s="2966">
        <v>45017</v>
      </c>
      <c r="R69" s="2966">
        <v>45047</v>
      </c>
      <c r="S69" s="2966">
        <v>45078</v>
      </c>
      <c r="T69" s="2966">
        <v>45108</v>
      </c>
      <c r="U69" s="2966">
        <v>45139</v>
      </c>
    </row>
    <row r="70" spans="1:22" s="2944" customFormat="1" ht="17.25" customHeight="1" thickTop="1" x14ac:dyDescent="0.3">
      <c r="A70" s="2953" t="s">
        <v>2801</v>
      </c>
      <c r="B70" s="2952" t="s">
        <v>3732</v>
      </c>
      <c r="C70" s="2952" t="s">
        <v>3353</v>
      </c>
      <c r="D70" s="2952" t="s">
        <v>3623</v>
      </c>
      <c r="E70" s="2952" t="s">
        <v>4034</v>
      </c>
      <c r="F70" s="2952" t="s">
        <v>4333</v>
      </c>
      <c r="G70" s="2952" t="s">
        <v>4334</v>
      </c>
      <c r="H70" s="2952" t="s">
        <v>4335</v>
      </c>
      <c r="I70" s="2952" t="s">
        <v>4132</v>
      </c>
      <c r="J70" s="2952" t="s">
        <v>4336</v>
      </c>
      <c r="K70" s="2952" t="s">
        <v>4329</v>
      </c>
      <c r="L70" s="2952" t="s">
        <v>4337</v>
      </c>
      <c r="M70" s="2952" t="s">
        <v>4338</v>
      </c>
      <c r="N70" s="2952" t="s">
        <v>4142</v>
      </c>
      <c r="O70" s="2952" t="s">
        <v>4216</v>
      </c>
      <c r="P70" s="2952" t="s">
        <v>4142</v>
      </c>
      <c r="Q70" s="2952" t="s">
        <v>4339</v>
      </c>
      <c r="R70" s="2952" t="s">
        <v>4000</v>
      </c>
      <c r="S70" s="2952" t="s">
        <v>4340</v>
      </c>
      <c r="T70" s="2952" t="s">
        <v>4228</v>
      </c>
      <c r="U70" s="2952" t="s">
        <v>4130</v>
      </c>
    </row>
    <row r="71" spans="1:22" x14ac:dyDescent="0.3">
      <c r="A71" s="2954" t="s">
        <v>2802</v>
      </c>
      <c r="B71" s="2955" t="s">
        <v>3368</v>
      </c>
      <c r="C71" s="2955" t="s">
        <v>3368</v>
      </c>
      <c r="D71" s="2955" t="s">
        <v>3987</v>
      </c>
      <c r="E71" s="2955" t="s">
        <v>3987</v>
      </c>
      <c r="F71" s="2955" t="s">
        <v>3987</v>
      </c>
      <c r="G71" s="2955" t="s">
        <v>4154</v>
      </c>
      <c r="H71" s="2955" t="s">
        <v>3988</v>
      </c>
      <c r="I71" s="2955" t="s">
        <v>3988</v>
      </c>
      <c r="J71" s="2955" t="s">
        <v>3991</v>
      </c>
      <c r="K71" s="2955" t="s">
        <v>3991</v>
      </c>
      <c r="L71" s="2955" t="s">
        <v>4190</v>
      </c>
      <c r="M71" s="2955" t="s">
        <v>3992</v>
      </c>
      <c r="N71" s="2955" t="s">
        <v>3992</v>
      </c>
      <c r="O71" s="2955" t="s">
        <v>4192</v>
      </c>
      <c r="P71" s="2955" t="s">
        <v>3992</v>
      </c>
      <c r="Q71" s="2955" t="s">
        <v>3972</v>
      </c>
      <c r="R71" s="2955" t="s">
        <v>3992</v>
      </c>
      <c r="S71" s="2955" t="s">
        <v>4142</v>
      </c>
      <c r="T71" s="2955" t="s">
        <v>4142</v>
      </c>
      <c r="U71" s="2955" t="s">
        <v>4142</v>
      </c>
    </row>
    <row r="72" spans="1:22" x14ac:dyDescent="0.3">
      <c r="A72" s="2954" t="s">
        <v>2803</v>
      </c>
      <c r="B72" s="2955" t="s">
        <v>3368</v>
      </c>
      <c r="C72" s="2955" t="s">
        <v>3368</v>
      </c>
      <c r="D72" s="2955" t="s">
        <v>3987</v>
      </c>
      <c r="E72" s="2955" t="s">
        <v>3987</v>
      </c>
      <c r="F72" s="2955" t="s">
        <v>3987</v>
      </c>
      <c r="G72" s="2955" t="s">
        <v>3988</v>
      </c>
      <c r="H72" s="2955" t="s">
        <v>3988</v>
      </c>
      <c r="I72" s="2955" t="s">
        <v>3988</v>
      </c>
      <c r="J72" s="2955" t="s">
        <v>3991</v>
      </c>
      <c r="K72" s="2955" t="s">
        <v>3991</v>
      </c>
      <c r="L72" s="2955" t="s">
        <v>1305</v>
      </c>
      <c r="M72" s="2955" t="s">
        <v>3992</v>
      </c>
      <c r="N72" s="2955" t="s">
        <v>3992</v>
      </c>
      <c r="O72" s="2955" t="s">
        <v>3992</v>
      </c>
      <c r="P72" s="2955" t="s">
        <v>3992</v>
      </c>
      <c r="Q72" s="2955" t="s">
        <v>4307</v>
      </c>
      <c r="R72" s="2955" t="s">
        <v>3992</v>
      </c>
      <c r="S72" s="2955" t="s">
        <v>3992</v>
      </c>
      <c r="T72" s="2955" t="s">
        <v>4080</v>
      </c>
      <c r="U72" s="2955" t="s">
        <v>4142</v>
      </c>
    </row>
    <row r="73" spans="1:22" x14ac:dyDescent="0.3">
      <c r="A73" s="2954" t="s">
        <v>2804</v>
      </c>
      <c r="B73" s="2955" t="s">
        <v>1014</v>
      </c>
      <c r="C73" s="2955" t="s">
        <v>1014</v>
      </c>
      <c r="D73" s="2955" t="s">
        <v>4341</v>
      </c>
      <c r="E73" s="2955" t="s">
        <v>1014</v>
      </c>
      <c r="F73" s="2955" t="s">
        <v>1014</v>
      </c>
      <c r="G73" s="2955" t="s">
        <v>1014</v>
      </c>
      <c r="H73" s="2955" t="s">
        <v>1014</v>
      </c>
      <c r="I73" s="2955">
        <v>8.25</v>
      </c>
      <c r="J73" s="2955" t="s">
        <v>1014</v>
      </c>
      <c r="K73" s="2955" t="s">
        <v>1014</v>
      </c>
      <c r="L73" s="2955" t="s">
        <v>1014</v>
      </c>
      <c r="M73" s="2955" t="s">
        <v>1014</v>
      </c>
      <c r="N73" s="2955" t="s">
        <v>1014</v>
      </c>
      <c r="O73" s="2955">
        <v>10.5</v>
      </c>
      <c r="P73" s="2955" t="s">
        <v>1014</v>
      </c>
      <c r="Q73" s="2955" t="s">
        <v>1014</v>
      </c>
      <c r="R73" s="2955" t="s">
        <v>1014</v>
      </c>
      <c r="S73" s="2955">
        <v>10.5</v>
      </c>
      <c r="T73" s="2955" t="s">
        <v>1014</v>
      </c>
      <c r="U73" s="2955">
        <v>7.75</v>
      </c>
    </row>
    <row r="74" spans="1:22" x14ac:dyDescent="0.3">
      <c r="A74" s="2954" t="s">
        <v>2805</v>
      </c>
      <c r="B74" s="2955" t="s">
        <v>3732</v>
      </c>
      <c r="C74" s="2955" t="s">
        <v>3339</v>
      </c>
      <c r="D74" s="2955" t="s">
        <v>4309</v>
      </c>
      <c r="E74" s="2955" t="s">
        <v>4342</v>
      </c>
      <c r="F74" s="2955" t="s">
        <v>4343</v>
      </c>
      <c r="G74" s="2955" t="s">
        <v>4334</v>
      </c>
      <c r="H74" s="2955" t="s">
        <v>4344</v>
      </c>
      <c r="I74" s="2955" t="s">
        <v>4132</v>
      </c>
      <c r="J74" s="2955" t="s">
        <v>4345</v>
      </c>
      <c r="K74" s="2955" t="s">
        <v>4346</v>
      </c>
      <c r="L74" s="2955" t="s">
        <v>4347</v>
      </c>
      <c r="M74" s="2955" t="s">
        <v>3836</v>
      </c>
      <c r="N74" s="2955" t="s">
        <v>4348</v>
      </c>
      <c r="O74" s="2955" t="s">
        <v>4348</v>
      </c>
      <c r="P74" s="2955" t="s">
        <v>4349</v>
      </c>
      <c r="Q74" s="2955" t="s">
        <v>4349</v>
      </c>
      <c r="R74" s="2955" t="s">
        <v>4348</v>
      </c>
      <c r="S74" s="2955" t="s">
        <v>4064</v>
      </c>
      <c r="T74" s="2955" t="s">
        <v>3992</v>
      </c>
      <c r="U74" s="2955" t="s">
        <v>4350</v>
      </c>
    </row>
    <row r="75" spans="1:22" x14ac:dyDescent="0.3">
      <c r="A75" s="2954" t="s">
        <v>2806</v>
      </c>
      <c r="B75" s="2955" t="s">
        <v>3368</v>
      </c>
      <c r="C75" s="2955" t="s">
        <v>3353</v>
      </c>
      <c r="D75" s="2955" t="s">
        <v>3354</v>
      </c>
      <c r="E75" s="2955" t="s">
        <v>4034</v>
      </c>
      <c r="F75" s="2955" t="s">
        <v>4099</v>
      </c>
      <c r="G75" s="2955" t="s">
        <v>3988</v>
      </c>
      <c r="H75" s="2955" t="s">
        <v>4036</v>
      </c>
      <c r="I75" s="2955" t="s">
        <v>4036</v>
      </c>
      <c r="J75" s="2955" t="s">
        <v>4351</v>
      </c>
      <c r="K75" s="2955" t="s">
        <v>4077</v>
      </c>
      <c r="L75" s="2955" t="s">
        <v>4337</v>
      </c>
      <c r="M75" s="2955" t="s">
        <v>4338</v>
      </c>
      <c r="N75" s="2955" t="s">
        <v>4045</v>
      </c>
      <c r="O75" s="2955" t="s">
        <v>4216</v>
      </c>
      <c r="P75" s="2955" t="s">
        <v>4045</v>
      </c>
      <c r="Q75" s="2955" t="s">
        <v>4340</v>
      </c>
      <c r="R75" s="2955" t="s">
        <v>4000</v>
      </c>
      <c r="S75" s="2955" t="s">
        <v>4340</v>
      </c>
      <c r="T75" s="2955" t="s">
        <v>4217</v>
      </c>
      <c r="U75" s="2955" t="s">
        <v>4045</v>
      </c>
    </row>
    <row r="76" spans="1:22" x14ac:dyDescent="0.3">
      <c r="A76" s="2954" t="s">
        <v>2807</v>
      </c>
      <c r="B76" s="2955" t="s">
        <v>3382</v>
      </c>
      <c r="C76" s="2955" t="s">
        <v>3577</v>
      </c>
      <c r="D76" s="2955" t="s">
        <v>3986</v>
      </c>
      <c r="E76" s="2955" t="s">
        <v>3986</v>
      </c>
      <c r="F76" s="2955" t="s">
        <v>3986</v>
      </c>
      <c r="G76" s="2955" t="s">
        <v>3989</v>
      </c>
      <c r="H76" s="2955" t="s">
        <v>3989</v>
      </c>
      <c r="I76" s="2955" t="s">
        <v>3989</v>
      </c>
      <c r="J76" s="2955" t="s">
        <v>3990</v>
      </c>
      <c r="K76" s="2955" t="s">
        <v>4352</v>
      </c>
      <c r="L76" s="2955" t="s">
        <v>4353</v>
      </c>
      <c r="M76" s="2955" t="s">
        <v>4064</v>
      </c>
      <c r="N76" s="2955" t="s">
        <v>3972</v>
      </c>
      <c r="O76" s="2955" t="s">
        <v>3972</v>
      </c>
      <c r="P76" s="2955" t="s">
        <v>4064</v>
      </c>
      <c r="Q76" s="2955" t="s">
        <v>4354</v>
      </c>
      <c r="R76" s="2955" t="s">
        <v>1370</v>
      </c>
      <c r="S76" s="2955" t="s">
        <v>4064</v>
      </c>
      <c r="T76" s="2955" t="s">
        <v>4355</v>
      </c>
      <c r="U76" s="2955" t="s">
        <v>4064</v>
      </c>
    </row>
    <row r="77" spans="1:22" s="2944" customFormat="1" x14ac:dyDescent="0.3">
      <c r="A77" s="2953" t="s">
        <v>2808</v>
      </c>
      <c r="B77" s="2952" t="s">
        <v>4356</v>
      </c>
      <c r="C77" s="2952" t="s">
        <v>3526</v>
      </c>
      <c r="D77" s="2952" t="s">
        <v>4357</v>
      </c>
      <c r="E77" s="2952" t="s">
        <v>4193</v>
      </c>
      <c r="F77" s="2952" t="s">
        <v>4358</v>
      </c>
      <c r="G77" s="2952" t="s">
        <v>4359</v>
      </c>
      <c r="H77" s="2952" t="s">
        <v>4360</v>
      </c>
      <c r="I77" s="2952" t="s">
        <v>4361</v>
      </c>
      <c r="J77" s="2952" t="s">
        <v>4362</v>
      </c>
      <c r="K77" s="2952" t="s">
        <v>4363</v>
      </c>
      <c r="L77" s="2952" t="s">
        <v>4364</v>
      </c>
      <c r="M77" s="2952" t="s">
        <v>4365</v>
      </c>
      <c r="N77" s="2952" t="s">
        <v>4366</v>
      </c>
      <c r="O77" s="2952" t="s">
        <v>4338</v>
      </c>
      <c r="P77" s="2952" t="s">
        <v>4298</v>
      </c>
      <c r="Q77" s="2952" t="s">
        <v>4367</v>
      </c>
      <c r="R77" s="2952" t="s">
        <v>4137</v>
      </c>
      <c r="S77" s="2952" t="s">
        <v>4368</v>
      </c>
      <c r="T77" s="2952" t="s">
        <v>4217</v>
      </c>
      <c r="U77" s="2952" t="s">
        <v>4369</v>
      </c>
      <c r="V77" s="2967"/>
    </row>
    <row r="78" spans="1:22" s="2944" customFormat="1" x14ac:dyDescent="0.3">
      <c r="A78" s="2953" t="s">
        <v>2809</v>
      </c>
      <c r="B78" s="2952" t="s">
        <v>4370</v>
      </c>
      <c r="C78" s="2952" t="s">
        <v>4371</v>
      </c>
      <c r="D78" s="2952" t="s">
        <v>3428</v>
      </c>
      <c r="E78" s="2952" t="s">
        <v>3354</v>
      </c>
      <c r="F78" s="2952" t="s">
        <v>4372</v>
      </c>
      <c r="G78" s="2952" t="s">
        <v>4157</v>
      </c>
      <c r="H78" s="2952" t="s">
        <v>4335</v>
      </c>
      <c r="I78" s="2952" t="s">
        <v>4373</v>
      </c>
      <c r="J78" s="2952" t="s">
        <v>4160</v>
      </c>
      <c r="K78" s="2952" t="s">
        <v>4374</v>
      </c>
      <c r="L78" s="2952" t="s">
        <v>4375</v>
      </c>
      <c r="M78" s="2952" t="s">
        <v>4376</v>
      </c>
      <c r="N78" s="2952" t="s">
        <v>4377</v>
      </c>
      <c r="O78" s="2952" t="s">
        <v>4378</v>
      </c>
      <c r="P78" s="2952" t="s">
        <v>3931</v>
      </c>
      <c r="Q78" s="2952" t="s">
        <v>4379</v>
      </c>
      <c r="R78" s="2952" t="s">
        <v>4380</v>
      </c>
      <c r="S78" s="2952" t="s">
        <v>4381</v>
      </c>
      <c r="T78" s="2952" t="s">
        <v>4261</v>
      </c>
      <c r="U78" s="2952" t="s">
        <v>4137</v>
      </c>
    </row>
    <row r="79" spans="1:22" x14ac:dyDescent="0.3">
      <c r="A79" s="2954" t="s">
        <v>2810</v>
      </c>
      <c r="B79" s="2955" t="s">
        <v>3353</v>
      </c>
      <c r="C79" s="2955" t="s">
        <v>3470</v>
      </c>
      <c r="D79" s="2955" t="s">
        <v>4239</v>
      </c>
      <c r="E79" s="2955" t="s">
        <v>4034</v>
      </c>
      <c r="F79" s="2955" t="s">
        <v>4068</v>
      </c>
      <c r="G79" s="2955" t="s">
        <v>4154</v>
      </c>
      <c r="H79" s="2955" t="s">
        <v>4111</v>
      </c>
      <c r="I79" s="2955" t="s">
        <v>4382</v>
      </c>
      <c r="J79" s="2955" t="s">
        <v>4077</v>
      </c>
      <c r="K79" s="2955" t="s">
        <v>4383</v>
      </c>
      <c r="L79" s="2955" t="s">
        <v>4384</v>
      </c>
      <c r="M79" s="2955" t="s">
        <v>4385</v>
      </c>
      <c r="N79" s="2955" t="s">
        <v>4385</v>
      </c>
      <c r="O79" s="2955" t="s">
        <v>4385</v>
      </c>
      <c r="P79" s="2955" t="s">
        <v>4045</v>
      </c>
      <c r="Q79" s="2955" t="s">
        <v>4385</v>
      </c>
      <c r="R79" s="2955" t="s">
        <v>4385</v>
      </c>
      <c r="S79" s="2955" t="s">
        <v>3972</v>
      </c>
      <c r="T79" s="2955" t="s">
        <v>4217</v>
      </c>
      <c r="U79" s="2955" t="s">
        <v>4385</v>
      </c>
    </row>
    <row r="80" spans="1:22" x14ac:dyDescent="0.3">
      <c r="A80" s="2954" t="s">
        <v>2811</v>
      </c>
      <c r="B80" s="2955" t="s">
        <v>3411</v>
      </c>
      <c r="C80" s="2955" t="s">
        <v>4371</v>
      </c>
      <c r="D80" s="2955" t="s">
        <v>4386</v>
      </c>
      <c r="E80" s="2955" t="s">
        <v>4387</v>
      </c>
      <c r="F80" s="2955" t="s">
        <v>4372</v>
      </c>
      <c r="G80" s="2955" t="s">
        <v>4157</v>
      </c>
      <c r="H80" s="2955" t="s">
        <v>4388</v>
      </c>
      <c r="I80" s="2955" t="s">
        <v>4389</v>
      </c>
      <c r="J80" s="2955" t="s">
        <v>4390</v>
      </c>
      <c r="K80" s="2955" t="s">
        <v>4391</v>
      </c>
      <c r="L80" s="2955" t="s">
        <v>4375</v>
      </c>
      <c r="M80" s="2955" t="s">
        <v>4392</v>
      </c>
      <c r="N80" s="2955" t="s">
        <v>4393</v>
      </c>
      <c r="O80" s="2955" t="s">
        <v>3960</v>
      </c>
      <c r="P80" s="2955" t="s">
        <v>4394</v>
      </c>
      <c r="Q80" s="2955" t="s">
        <v>4379</v>
      </c>
      <c r="R80" s="2955" t="s">
        <v>3960</v>
      </c>
      <c r="S80" s="2955" t="s">
        <v>4307</v>
      </c>
      <c r="T80" s="2955" t="s">
        <v>3963</v>
      </c>
      <c r="U80" s="2955" t="s">
        <v>4307</v>
      </c>
    </row>
    <row r="81" spans="1:21" x14ac:dyDescent="0.3">
      <c r="A81" s="2954" t="s">
        <v>2812</v>
      </c>
      <c r="B81" s="2955" t="s">
        <v>3368</v>
      </c>
      <c r="C81" s="2955" t="s">
        <v>3368</v>
      </c>
      <c r="D81" s="2955" t="s">
        <v>3987</v>
      </c>
      <c r="E81" s="2955" t="s">
        <v>3966</v>
      </c>
      <c r="F81" s="2955" t="s">
        <v>3987</v>
      </c>
      <c r="G81" s="2955" t="s">
        <v>3968</v>
      </c>
      <c r="H81" s="2955" t="s">
        <v>3988</v>
      </c>
      <c r="I81" s="2955" t="s">
        <v>1313</v>
      </c>
      <c r="J81" s="2955" t="s">
        <v>4395</v>
      </c>
      <c r="K81" s="2955" t="s">
        <v>3983</v>
      </c>
      <c r="L81" s="2955" t="s">
        <v>1305</v>
      </c>
      <c r="M81" s="2955" t="s">
        <v>3980</v>
      </c>
      <c r="N81" s="2955" t="s">
        <v>3992</v>
      </c>
      <c r="O81" s="2955" t="s">
        <v>3980</v>
      </c>
      <c r="P81" s="2955" t="s">
        <v>3972</v>
      </c>
      <c r="Q81" s="2955" t="s">
        <v>4396</v>
      </c>
      <c r="R81" s="2955" t="s">
        <v>4397</v>
      </c>
      <c r="S81" s="2955" t="s">
        <v>3992</v>
      </c>
      <c r="T81" s="2955" t="s">
        <v>4398</v>
      </c>
      <c r="U81" s="2955" t="s">
        <v>4061</v>
      </c>
    </row>
    <row r="82" spans="1:21" x14ac:dyDescent="0.3">
      <c r="A82" s="2954" t="s">
        <v>2813</v>
      </c>
      <c r="B82" s="2955">
        <v>7.85</v>
      </c>
      <c r="C82" s="2955" t="s">
        <v>3369</v>
      </c>
      <c r="D82" s="2955">
        <v>8</v>
      </c>
      <c r="E82" s="2955" t="s">
        <v>4029</v>
      </c>
      <c r="F82" s="2955">
        <v>8</v>
      </c>
      <c r="G82" s="2955">
        <v>8.25</v>
      </c>
      <c r="H82" s="2955" t="s">
        <v>1310</v>
      </c>
      <c r="I82" s="2955" t="s">
        <v>1310</v>
      </c>
      <c r="J82" s="2955" t="s">
        <v>1014</v>
      </c>
      <c r="K82" s="2955" t="s">
        <v>1014</v>
      </c>
      <c r="L82" s="2955">
        <v>8.75</v>
      </c>
      <c r="M82" s="2955">
        <v>10.5</v>
      </c>
      <c r="N82" s="2955" t="s">
        <v>4399</v>
      </c>
      <c r="O82" s="2955">
        <v>10.5</v>
      </c>
      <c r="P82" s="2955" t="s">
        <v>4399</v>
      </c>
      <c r="Q82" s="2955" t="s">
        <v>4399</v>
      </c>
      <c r="R82" s="2955">
        <v>10.5</v>
      </c>
      <c r="S82" s="2955">
        <v>10.5</v>
      </c>
      <c r="T82" s="2955">
        <v>10.5</v>
      </c>
      <c r="U82" s="2955">
        <v>10.5</v>
      </c>
    </row>
    <row r="83" spans="1:21" x14ac:dyDescent="0.3">
      <c r="A83" s="2954" t="s">
        <v>2814</v>
      </c>
      <c r="B83" s="2955" t="s">
        <v>3368</v>
      </c>
      <c r="C83" s="2955" t="s">
        <v>3368</v>
      </c>
      <c r="D83" s="2955" t="s">
        <v>3438</v>
      </c>
      <c r="E83" s="2955" t="s">
        <v>3438</v>
      </c>
      <c r="F83" s="2955" t="s">
        <v>3987</v>
      </c>
      <c r="G83" s="2955" t="s">
        <v>4400</v>
      </c>
      <c r="H83" s="2955" t="s">
        <v>3988</v>
      </c>
      <c r="I83" s="2955" t="s">
        <v>4132</v>
      </c>
      <c r="J83" s="2955" t="s">
        <v>4329</v>
      </c>
      <c r="K83" s="2955" t="s">
        <v>4401</v>
      </c>
      <c r="L83" s="2955" t="s">
        <v>4402</v>
      </c>
      <c r="M83" s="2955" t="s">
        <v>3992</v>
      </c>
      <c r="N83" s="2955" t="s">
        <v>4403</v>
      </c>
      <c r="O83" s="2955" t="s">
        <v>3992</v>
      </c>
      <c r="P83" s="2955" t="s">
        <v>4080</v>
      </c>
      <c r="Q83" s="2955" t="s">
        <v>4142</v>
      </c>
      <c r="R83" s="2955" t="s">
        <v>4142</v>
      </c>
      <c r="S83" s="2955" t="s">
        <v>4220</v>
      </c>
      <c r="T83" s="2955" t="s">
        <v>3992</v>
      </c>
      <c r="U83" s="2955" t="s">
        <v>4142</v>
      </c>
    </row>
    <row r="84" spans="1:21" ht="14.25" customHeight="1" x14ac:dyDescent="0.3">
      <c r="A84" s="2954" t="s">
        <v>2815</v>
      </c>
      <c r="B84" s="2955" t="s">
        <v>4404</v>
      </c>
      <c r="C84" s="2955" t="s">
        <v>4405</v>
      </c>
      <c r="D84" s="2955" t="s">
        <v>4406</v>
      </c>
      <c r="E84" s="2955" t="s">
        <v>3438</v>
      </c>
      <c r="F84" s="2955" t="s">
        <v>4407</v>
      </c>
      <c r="G84" s="2955" t="s">
        <v>4408</v>
      </c>
      <c r="H84" s="2955" t="s">
        <v>4344</v>
      </c>
      <c r="I84" s="2955" t="s">
        <v>3514</v>
      </c>
      <c r="J84" s="2955" t="s">
        <v>4160</v>
      </c>
      <c r="K84" s="2955" t="s">
        <v>4068</v>
      </c>
      <c r="L84" s="2955" t="s">
        <v>4409</v>
      </c>
      <c r="M84" s="2955" t="s">
        <v>4376</v>
      </c>
      <c r="N84" s="2955" t="s">
        <v>4392</v>
      </c>
      <c r="O84" s="2955" t="s">
        <v>4410</v>
      </c>
      <c r="P84" s="2955" t="s">
        <v>4411</v>
      </c>
      <c r="Q84" s="2955" t="s">
        <v>4137</v>
      </c>
      <c r="R84" s="2955" t="s">
        <v>4380</v>
      </c>
      <c r="S84" s="2955" t="s">
        <v>4412</v>
      </c>
      <c r="T84" s="2955" t="s">
        <v>4261</v>
      </c>
      <c r="U84" s="2955" t="s">
        <v>4413</v>
      </c>
    </row>
    <row r="85" spans="1:21" s="2944" customFormat="1" x14ac:dyDescent="0.3">
      <c r="A85" s="2953" t="s">
        <v>2816</v>
      </c>
      <c r="B85" s="2952" t="s">
        <v>3428</v>
      </c>
      <c r="C85" s="2952" t="s">
        <v>3764</v>
      </c>
      <c r="D85" s="2952" t="s">
        <v>3393</v>
      </c>
      <c r="E85" s="2952" t="s">
        <v>4414</v>
      </c>
      <c r="F85" s="2952" t="s">
        <v>4306</v>
      </c>
      <c r="G85" s="2952" t="s">
        <v>4415</v>
      </c>
      <c r="H85" s="2952" t="s">
        <v>4095</v>
      </c>
      <c r="I85" s="2952" t="s">
        <v>4276</v>
      </c>
      <c r="J85" s="2952" t="s">
        <v>4416</v>
      </c>
      <c r="K85" s="2952" t="s">
        <v>4416</v>
      </c>
      <c r="L85" s="2952" t="s">
        <v>3603</v>
      </c>
      <c r="M85" s="2952" t="s">
        <v>4415</v>
      </c>
      <c r="N85" s="2952" t="s">
        <v>4278</v>
      </c>
      <c r="O85" s="2952" t="s">
        <v>4415</v>
      </c>
      <c r="P85" s="2952" t="s">
        <v>4201</v>
      </c>
      <c r="Q85" s="2952" t="s">
        <v>4417</v>
      </c>
      <c r="R85" s="2952" t="s">
        <v>4418</v>
      </c>
      <c r="S85" s="2952" t="s">
        <v>4419</v>
      </c>
      <c r="T85" s="2952" t="s">
        <v>3943</v>
      </c>
      <c r="U85" s="2952" t="s">
        <v>4420</v>
      </c>
    </row>
    <row r="86" spans="1:21" x14ac:dyDescent="0.3">
      <c r="A86" s="2954" t="s">
        <v>2817</v>
      </c>
      <c r="B86" s="2955" t="s">
        <v>3368</v>
      </c>
      <c r="C86" s="2955" t="s">
        <v>3368</v>
      </c>
      <c r="D86" s="2955" t="s">
        <v>3623</v>
      </c>
      <c r="E86" s="2955" t="s">
        <v>4421</v>
      </c>
      <c r="F86" s="2955" t="s">
        <v>3987</v>
      </c>
      <c r="G86" s="2955" t="s">
        <v>3988</v>
      </c>
      <c r="H86" s="2955" t="s">
        <v>4139</v>
      </c>
      <c r="I86" s="2955" t="s">
        <v>4067</v>
      </c>
      <c r="J86" s="2955" t="s">
        <v>4204</v>
      </c>
      <c r="K86" s="2955" t="s">
        <v>4422</v>
      </c>
      <c r="L86" s="2955" t="s">
        <v>4146</v>
      </c>
      <c r="M86" s="2955" t="s">
        <v>4423</v>
      </c>
      <c r="N86" s="2955" t="s">
        <v>4424</v>
      </c>
      <c r="O86" s="2955" t="s">
        <v>4425</v>
      </c>
      <c r="P86" s="2955" t="s">
        <v>4424</v>
      </c>
      <c r="Q86" s="2955" t="s">
        <v>3992</v>
      </c>
      <c r="R86" s="2955" t="s">
        <v>4426</v>
      </c>
      <c r="S86" s="2955" t="s">
        <v>4427</v>
      </c>
      <c r="T86" s="2955" t="s">
        <v>4079</v>
      </c>
      <c r="U86" s="2955" t="s">
        <v>4413</v>
      </c>
    </row>
    <row r="87" spans="1:21" x14ac:dyDescent="0.3">
      <c r="A87" s="2954" t="s">
        <v>2818</v>
      </c>
      <c r="B87" s="2955">
        <v>7.85</v>
      </c>
      <c r="C87" s="2955">
        <v>7.85</v>
      </c>
      <c r="D87" s="2955">
        <v>8</v>
      </c>
      <c r="E87" s="2955" t="s">
        <v>4428</v>
      </c>
      <c r="F87" s="2955">
        <v>8</v>
      </c>
      <c r="G87" s="2955">
        <v>8.25</v>
      </c>
      <c r="H87" s="2955">
        <v>8.25</v>
      </c>
      <c r="I87" s="2955">
        <v>8.25</v>
      </c>
      <c r="J87" s="2955" t="s">
        <v>4429</v>
      </c>
      <c r="K87" s="2955" t="s">
        <v>4430</v>
      </c>
      <c r="L87" s="2955">
        <v>10</v>
      </c>
      <c r="M87" s="2955">
        <v>10.5</v>
      </c>
      <c r="N87" s="2955">
        <v>10.5</v>
      </c>
      <c r="O87" s="2955">
        <v>10.5</v>
      </c>
      <c r="P87" s="2955">
        <v>10.5</v>
      </c>
      <c r="Q87" s="2955">
        <v>10.5</v>
      </c>
      <c r="R87" s="2955">
        <v>10.5</v>
      </c>
      <c r="S87" s="2955" t="s">
        <v>4431</v>
      </c>
      <c r="T87" s="2955" t="s">
        <v>3980</v>
      </c>
      <c r="U87" s="2955">
        <v>10.5</v>
      </c>
    </row>
    <row r="88" spans="1:21" x14ac:dyDescent="0.3">
      <c r="A88" s="2954" t="s">
        <v>2819</v>
      </c>
      <c r="B88" s="2955" t="s">
        <v>3428</v>
      </c>
      <c r="C88" s="2955" t="s">
        <v>3368</v>
      </c>
      <c r="D88" s="2955" t="s">
        <v>4432</v>
      </c>
      <c r="E88" s="2955" t="s">
        <v>4433</v>
      </c>
      <c r="F88" s="2955" t="s">
        <v>3623</v>
      </c>
      <c r="G88" s="2955" t="s">
        <v>4415</v>
      </c>
      <c r="H88" s="2955" t="s">
        <v>3514</v>
      </c>
      <c r="I88" s="2955" t="s">
        <v>3514</v>
      </c>
      <c r="J88" s="2955" t="s">
        <v>3354</v>
      </c>
      <c r="K88" s="2955" t="s">
        <v>4095</v>
      </c>
      <c r="L88" s="2955" t="s">
        <v>3496</v>
      </c>
      <c r="M88" s="2955" t="s">
        <v>4415</v>
      </c>
      <c r="N88" s="2955" t="s">
        <v>3515</v>
      </c>
      <c r="O88" s="2955" t="s">
        <v>4415</v>
      </c>
      <c r="P88" s="2955" t="s">
        <v>4295</v>
      </c>
      <c r="Q88" s="2955" t="s">
        <v>4417</v>
      </c>
      <c r="R88" s="2955" t="s">
        <v>3992</v>
      </c>
      <c r="S88" s="2955" t="s">
        <v>4130</v>
      </c>
      <c r="T88" s="2955" t="s">
        <v>4366</v>
      </c>
      <c r="U88" s="2955" t="s">
        <v>4220</v>
      </c>
    </row>
    <row r="89" spans="1:21" x14ac:dyDescent="0.3">
      <c r="A89" s="2954" t="s">
        <v>2820</v>
      </c>
      <c r="B89" s="2955" t="s">
        <v>3368</v>
      </c>
      <c r="C89" s="2955" t="s">
        <v>3368</v>
      </c>
      <c r="D89" s="2955" t="s">
        <v>4434</v>
      </c>
      <c r="E89" s="2955" t="s">
        <v>3987</v>
      </c>
      <c r="F89" s="2955" t="s">
        <v>3987</v>
      </c>
      <c r="G89" s="2955" t="s">
        <v>3988</v>
      </c>
      <c r="H89" s="2955" t="s">
        <v>3988</v>
      </c>
      <c r="I89" s="2955" t="s">
        <v>3521</v>
      </c>
      <c r="J89" s="2955" t="s">
        <v>3991</v>
      </c>
      <c r="K89" s="2955" t="s">
        <v>3991</v>
      </c>
      <c r="L89" s="2955" t="s">
        <v>1305</v>
      </c>
      <c r="M89" s="2955" t="s">
        <v>3992</v>
      </c>
      <c r="N89" s="2955" t="s">
        <v>4079</v>
      </c>
      <c r="O89" s="2955" t="s">
        <v>3992</v>
      </c>
      <c r="P89" s="2955" t="s">
        <v>4079</v>
      </c>
      <c r="Q89" s="2955" t="s">
        <v>3992</v>
      </c>
      <c r="R89" s="2955" t="s">
        <v>4079</v>
      </c>
      <c r="S89" s="2955" t="s">
        <v>4079</v>
      </c>
      <c r="T89" s="2955" t="s">
        <v>4079</v>
      </c>
      <c r="U89" s="2955" t="s">
        <v>3992</v>
      </c>
    </row>
    <row r="90" spans="1:21" x14ac:dyDescent="0.3">
      <c r="A90" s="2954" t="s">
        <v>2821</v>
      </c>
      <c r="B90" s="2955" t="s">
        <v>3773</v>
      </c>
      <c r="C90" s="2955" t="s">
        <v>3427</v>
      </c>
      <c r="D90" s="2955" t="s">
        <v>3767</v>
      </c>
      <c r="E90" s="2955" t="s">
        <v>4435</v>
      </c>
      <c r="F90" s="2955" t="s">
        <v>4193</v>
      </c>
      <c r="G90" s="2955" t="s">
        <v>4436</v>
      </c>
      <c r="H90" s="2955" t="s">
        <v>4389</v>
      </c>
      <c r="I90" s="2955" t="s">
        <v>4437</v>
      </c>
      <c r="J90" s="2955" t="s">
        <v>4363</v>
      </c>
      <c r="K90" s="2955" t="s">
        <v>4148</v>
      </c>
      <c r="L90" s="2955" t="s">
        <v>4438</v>
      </c>
      <c r="M90" s="2955" t="s">
        <v>4377</v>
      </c>
      <c r="N90" s="2955" t="s">
        <v>4079</v>
      </c>
      <c r="O90" s="2955" t="s">
        <v>4217</v>
      </c>
      <c r="P90" s="2955" t="s">
        <v>4142</v>
      </c>
      <c r="Q90" s="2955" t="s">
        <v>4079</v>
      </c>
      <c r="R90" s="2955" t="s">
        <v>4439</v>
      </c>
      <c r="S90" s="2955" t="s">
        <v>4440</v>
      </c>
      <c r="T90" s="2955" t="s">
        <v>4114</v>
      </c>
      <c r="U90" s="2955" t="s">
        <v>4114</v>
      </c>
    </row>
    <row r="91" spans="1:21" x14ac:dyDescent="0.3">
      <c r="A91" s="2954" t="s">
        <v>2822</v>
      </c>
      <c r="B91" s="2955" t="s">
        <v>3473</v>
      </c>
      <c r="C91" s="2955" t="s">
        <v>3764</v>
      </c>
      <c r="D91" s="2955" t="s">
        <v>3496</v>
      </c>
      <c r="E91" s="2955" t="s">
        <v>4096</v>
      </c>
      <c r="F91" s="2955" t="s">
        <v>4441</v>
      </c>
      <c r="G91" s="2955" t="s">
        <v>4442</v>
      </c>
      <c r="H91" s="2955" t="s">
        <v>4443</v>
      </c>
      <c r="I91" s="2955" t="s">
        <v>4444</v>
      </c>
      <c r="J91" s="2955" t="s">
        <v>4445</v>
      </c>
      <c r="K91" s="2955" t="s">
        <v>4416</v>
      </c>
      <c r="L91" s="2955" t="s">
        <v>3565</v>
      </c>
      <c r="M91" s="2955" t="s">
        <v>4098</v>
      </c>
      <c r="N91" s="2955" t="s">
        <v>4098</v>
      </c>
      <c r="O91" s="2955" t="s">
        <v>4446</v>
      </c>
      <c r="P91" s="2955" t="s">
        <v>4098</v>
      </c>
      <c r="Q91" s="2955" t="s">
        <v>4447</v>
      </c>
      <c r="R91" s="2955" t="s">
        <v>4447</v>
      </c>
      <c r="S91" s="2955" t="s">
        <v>4098</v>
      </c>
      <c r="T91" s="2955" t="s">
        <v>4278</v>
      </c>
      <c r="U91" s="2955" t="s">
        <v>4447</v>
      </c>
    </row>
    <row r="92" spans="1:21" s="2944" customFormat="1" ht="16.899999999999999" customHeight="1" x14ac:dyDescent="0.3">
      <c r="A92" s="2953" t="s">
        <v>2823</v>
      </c>
      <c r="B92" s="2952" t="s">
        <v>3339</v>
      </c>
      <c r="C92" s="2952" t="s">
        <v>3368</v>
      </c>
      <c r="D92" s="2952" t="s">
        <v>3987</v>
      </c>
      <c r="E92" s="2952" t="s">
        <v>3987</v>
      </c>
      <c r="F92" s="2952" t="s">
        <v>3987</v>
      </c>
      <c r="G92" s="2952" t="s">
        <v>3988</v>
      </c>
      <c r="H92" s="2952" t="s">
        <v>4448</v>
      </c>
      <c r="I92" s="2952" t="s">
        <v>3988</v>
      </c>
      <c r="J92" s="2952" t="s">
        <v>4156</v>
      </c>
      <c r="K92" s="2952" t="s">
        <v>3991</v>
      </c>
      <c r="L92" s="2952" t="s">
        <v>4449</v>
      </c>
      <c r="M92" s="2952" t="s">
        <v>4220</v>
      </c>
      <c r="N92" s="2952" t="s">
        <v>4305</v>
      </c>
      <c r="O92" s="2952" t="s">
        <v>4079</v>
      </c>
      <c r="P92" s="2952" t="s">
        <v>4079</v>
      </c>
      <c r="Q92" s="2952" t="s">
        <v>4147</v>
      </c>
      <c r="R92" s="2952" t="s">
        <v>4425</v>
      </c>
      <c r="S92" s="2952" t="s">
        <v>4450</v>
      </c>
      <c r="T92" s="2952" t="s">
        <v>4425</v>
      </c>
      <c r="U92" s="2952" t="s">
        <v>4451</v>
      </c>
    </row>
    <row r="93" spans="1:21" x14ac:dyDescent="0.3">
      <c r="A93" s="2954" t="s">
        <v>2824</v>
      </c>
      <c r="B93" s="2955" t="s">
        <v>3339</v>
      </c>
      <c r="C93" s="2955" t="s">
        <v>3368</v>
      </c>
      <c r="D93" s="2955" t="s">
        <v>3987</v>
      </c>
      <c r="E93" s="2955" t="s">
        <v>3987</v>
      </c>
      <c r="F93" s="2955" t="s">
        <v>4202</v>
      </c>
      <c r="G93" s="2955" t="s">
        <v>3988</v>
      </c>
      <c r="H93" s="2955" t="s">
        <v>3968</v>
      </c>
      <c r="I93" s="2955" t="s">
        <v>3968</v>
      </c>
      <c r="J93" s="2955" t="s">
        <v>3991</v>
      </c>
      <c r="K93" s="2955" t="s">
        <v>3970</v>
      </c>
      <c r="L93" s="2955" t="s">
        <v>4449</v>
      </c>
      <c r="M93" s="2955" t="s">
        <v>4220</v>
      </c>
      <c r="N93" s="2955" t="s">
        <v>3992</v>
      </c>
      <c r="O93" s="2955" t="s">
        <v>4192</v>
      </c>
      <c r="P93" s="2955" t="s">
        <v>3992</v>
      </c>
      <c r="Q93" s="2955" t="s">
        <v>3992</v>
      </c>
      <c r="R93" s="2955">
        <v>10.5</v>
      </c>
      <c r="S93" s="2955" t="s">
        <v>3992</v>
      </c>
      <c r="T93" s="2955" t="s">
        <v>4452</v>
      </c>
      <c r="U93" s="2955" t="s">
        <v>4453</v>
      </c>
    </row>
    <row r="94" spans="1:21" x14ac:dyDescent="0.3">
      <c r="A94" s="2954" t="s">
        <v>2825</v>
      </c>
      <c r="B94" s="2955" t="s">
        <v>1014</v>
      </c>
      <c r="C94" s="2955" t="s">
        <v>1014</v>
      </c>
      <c r="D94" s="2955" t="s">
        <v>4454</v>
      </c>
      <c r="E94" s="2955" t="s">
        <v>4455</v>
      </c>
      <c r="F94" s="2955">
        <v>8</v>
      </c>
      <c r="G94" s="2955" t="s">
        <v>4456</v>
      </c>
      <c r="H94" s="2955" t="s">
        <v>4448</v>
      </c>
      <c r="I94" s="2955" t="s">
        <v>3988</v>
      </c>
      <c r="J94" s="2955" t="s">
        <v>3991</v>
      </c>
      <c r="K94" s="2955" t="s">
        <v>3991</v>
      </c>
      <c r="L94" s="2955" t="s">
        <v>1305</v>
      </c>
      <c r="M94" s="2955" t="s">
        <v>3972</v>
      </c>
      <c r="N94" s="2955">
        <v>10.5</v>
      </c>
      <c r="O94" s="2955">
        <v>10.5</v>
      </c>
      <c r="P94" s="2955" t="s">
        <v>3980</v>
      </c>
      <c r="Q94" s="2955" t="s">
        <v>3809</v>
      </c>
      <c r="R94" s="2955" t="s">
        <v>3809</v>
      </c>
      <c r="S94" s="2955" t="s">
        <v>4457</v>
      </c>
      <c r="T94" s="2955" t="s">
        <v>3992</v>
      </c>
      <c r="U94" s="2955" t="s">
        <v>4087</v>
      </c>
    </row>
    <row r="95" spans="1:21" x14ac:dyDescent="0.3">
      <c r="A95" s="2954" t="s">
        <v>2826</v>
      </c>
      <c r="B95" s="2955" t="s">
        <v>3382</v>
      </c>
      <c r="C95" s="2955" t="s">
        <v>3382</v>
      </c>
      <c r="D95" s="2955">
        <v>8</v>
      </c>
      <c r="E95" s="2955" t="s">
        <v>3977</v>
      </c>
      <c r="F95" s="2955">
        <v>8</v>
      </c>
      <c r="G95" s="2955">
        <v>8.25</v>
      </c>
      <c r="H95" s="2955">
        <v>8.25</v>
      </c>
      <c r="I95" s="2955" t="s">
        <v>3968</v>
      </c>
      <c r="J95" s="2955" t="s">
        <v>3970</v>
      </c>
      <c r="K95" s="2955">
        <v>9</v>
      </c>
      <c r="L95" s="2955" t="s">
        <v>4031</v>
      </c>
      <c r="M95" s="2955" t="s">
        <v>3972</v>
      </c>
      <c r="N95" s="2955" t="s">
        <v>3972</v>
      </c>
      <c r="O95" s="2955" t="s">
        <v>3972</v>
      </c>
      <c r="P95" s="2955" t="s">
        <v>4458</v>
      </c>
      <c r="Q95" s="2955" t="s">
        <v>4024</v>
      </c>
      <c r="R95" s="2955" t="s">
        <v>4024</v>
      </c>
      <c r="S95" s="2955" t="s">
        <v>4459</v>
      </c>
      <c r="T95" s="2955">
        <v>10.5</v>
      </c>
      <c r="U95" s="2955" t="s">
        <v>4459</v>
      </c>
    </row>
    <row r="96" spans="1:21" x14ac:dyDescent="0.3">
      <c r="A96" s="2954" t="s">
        <v>2827</v>
      </c>
      <c r="B96" s="2955" t="s">
        <v>3339</v>
      </c>
      <c r="C96" s="2955" t="s">
        <v>3368</v>
      </c>
      <c r="D96" s="2955" t="s">
        <v>3987</v>
      </c>
      <c r="E96" s="2955" t="s">
        <v>3987</v>
      </c>
      <c r="F96" s="2955" t="s">
        <v>3987</v>
      </c>
      <c r="G96" s="2955" t="s">
        <v>3988</v>
      </c>
      <c r="H96" s="2955" t="s">
        <v>3988</v>
      </c>
      <c r="I96" s="2955" t="s">
        <v>3968</v>
      </c>
      <c r="J96" s="2955" t="s">
        <v>3970</v>
      </c>
      <c r="K96" s="2955" t="s">
        <v>3991</v>
      </c>
      <c r="L96" s="2955" t="s">
        <v>1305</v>
      </c>
      <c r="M96" s="2955" t="s">
        <v>3972</v>
      </c>
      <c r="N96" s="2955" t="s">
        <v>4305</v>
      </c>
      <c r="O96" s="2955" t="s">
        <v>4079</v>
      </c>
      <c r="P96" s="2955" t="s">
        <v>4024</v>
      </c>
      <c r="Q96" s="2955" t="s">
        <v>4079</v>
      </c>
      <c r="R96" s="2955" t="s">
        <v>4142</v>
      </c>
      <c r="S96" s="2955" t="s">
        <v>4450</v>
      </c>
      <c r="T96" s="2955" t="s">
        <v>4425</v>
      </c>
      <c r="U96" s="2955" t="s">
        <v>4142</v>
      </c>
    </row>
    <row r="97" spans="1:21" x14ac:dyDescent="0.3">
      <c r="A97" s="2954" t="s">
        <v>2828</v>
      </c>
      <c r="B97" s="2955" t="s">
        <v>1014</v>
      </c>
      <c r="C97" s="2955" t="s">
        <v>1014</v>
      </c>
      <c r="D97" s="2955">
        <v>4</v>
      </c>
      <c r="E97" s="2955" t="s">
        <v>1014</v>
      </c>
      <c r="F97" s="2955" t="s">
        <v>1014</v>
      </c>
      <c r="G97" s="2955">
        <v>8.25</v>
      </c>
      <c r="H97" s="2955">
        <v>6.65</v>
      </c>
      <c r="I97" s="2955">
        <v>7.4</v>
      </c>
      <c r="J97" s="2955" t="s">
        <v>4460</v>
      </c>
      <c r="K97" s="2955">
        <v>7.4</v>
      </c>
      <c r="L97" s="2955">
        <v>10</v>
      </c>
      <c r="M97" s="2955">
        <v>8.9</v>
      </c>
      <c r="N97" s="2955" t="s">
        <v>1014</v>
      </c>
      <c r="O97" s="2955" t="s">
        <v>4461</v>
      </c>
      <c r="P97" s="2955" t="s">
        <v>4199</v>
      </c>
      <c r="Q97" s="2955" t="s">
        <v>4457</v>
      </c>
      <c r="R97" s="2955">
        <v>10.5</v>
      </c>
      <c r="S97" s="2955" t="s">
        <v>4458</v>
      </c>
      <c r="T97" s="2955" t="s">
        <v>4462</v>
      </c>
      <c r="U97" s="2955">
        <v>10.5</v>
      </c>
    </row>
    <row r="98" spans="1:21" s="2944" customFormat="1" x14ac:dyDescent="0.3">
      <c r="A98" s="2953" t="s">
        <v>2829</v>
      </c>
      <c r="B98" s="2952" t="s">
        <v>3368</v>
      </c>
      <c r="C98" s="2952" t="s">
        <v>4463</v>
      </c>
      <c r="D98" s="2952" t="s">
        <v>3966</v>
      </c>
      <c r="E98" s="2952" t="s">
        <v>4138</v>
      </c>
      <c r="F98" s="2952" t="s">
        <v>4464</v>
      </c>
      <c r="G98" s="2952" t="s">
        <v>3968</v>
      </c>
      <c r="H98" s="2952" t="s">
        <v>4059</v>
      </c>
      <c r="I98" s="2952" t="s">
        <v>4465</v>
      </c>
      <c r="J98" s="2952" t="s">
        <v>4466</v>
      </c>
      <c r="K98" s="2952" t="s">
        <v>4312</v>
      </c>
      <c r="L98" s="2952" t="s">
        <v>4107</v>
      </c>
      <c r="M98" s="2952" t="s">
        <v>4467</v>
      </c>
      <c r="N98" s="2952" t="s">
        <v>4468</v>
      </c>
      <c r="O98" s="2952" t="s">
        <v>4469</v>
      </c>
      <c r="P98" s="2952" t="s">
        <v>4064</v>
      </c>
      <c r="Q98" s="2952" t="s">
        <v>4054</v>
      </c>
      <c r="R98" s="2952" t="s">
        <v>4470</v>
      </c>
      <c r="S98" s="2952" t="s">
        <v>4471</v>
      </c>
      <c r="T98" s="2952" t="s">
        <v>4472</v>
      </c>
      <c r="U98" s="2952" t="s">
        <v>4472</v>
      </c>
    </row>
    <row r="99" spans="1:21" x14ac:dyDescent="0.3">
      <c r="A99" s="2954" t="s">
        <v>2830</v>
      </c>
      <c r="B99" s="2955" t="s">
        <v>3339</v>
      </c>
      <c r="C99" s="2955" t="s">
        <v>4463</v>
      </c>
      <c r="D99" s="2955" t="s">
        <v>3966</v>
      </c>
      <c r="E99" s="2955" t="s">
        <v>4138</v>
      </c>
      <c r="F99" s="2955" t="s">
        <v>4464</v>
      </c>
      <c r="G99" s="2955" t="s">
        <v>3968</v>
      </c>
      <c r="H99" s="2955" t="s">
        <v>4059</v>
      </c>
      <c r="I99" s="2955" t="s">
        <v>4465</v>
      </c>
      <c r="J99" s="2955" t="s">
        <v>4466</v>
      </c>
      <c r="K99" s="2955" t="s">
        <v>4312</v>
      </c>
      <c r="L99" s="2955" t="s">
        <v>4107</v>
      </c>
      <c r="M99" s="2955" t="s">
        <v>4467</v>
      </c>
      <c r="N99" s="2955" t="s">
        <v>4468</v>
      </c>
      <c r="O99" s="2955" t="s">
        <v>4469</v>
      </c>
      <c r="P99" s="2955" t="s">
        <v>4064</v>
      </c>
      <c r="Q99" s="2955" t="s">
        <v>4054</v>
      </c>
      <c r="R99" s="2955" t="s">
        <v>4470</v>
      </c>
      <c r="S99" s="2955" t="s">
        <v>4471</v>
      </c>
      <c r="T99" s="2955" t="s">
        <v>4472</v>
      </c>
      <c r="U99" s="2955" t="s">
        <v>4472</v>
      </c>
    </row>
    <row r="100" spans="1:21" x14ac:dyDescent="0.3">
      <c r="A100" s="2954" t="s">
        <v>2831</v>
      </c>
      <c r="B100" s="2955" t="s">
        <v>3368</v>
      </c>
      <c r="C100" s="2955" t="s">
        <v>3339</v>
      </c>
      <c r="D100" s="2955" t="s">
        <v>4473</v>
      </c>
      <c r="E100" s="2955" t="s">
        <v>3966</v>
      </c>
      <c r="F100" s="2955" t="s">
        <v>1014</v>
      </c>
      <c r="G100" s="2955">
        <v>8.25</v>
      </c>
      <c r="H100" s="2955" t="s">
        <v>1014</v>
      </c>
      <c r="I100" s="2955" t="s">
        <v>1014</v>
      </c>
      <c r="J100" s="2955" t="s">
        <v>3791</v>
      </c>
      <c r="K100" s="2955">
        <v>6.25</v>
      </c>
      <c r="L100" s="2955">
        <v>7.25</v>
      </c>
      <c r="M100" s="2955" t="s">
        <v>3980</v>
      </c>
      <c r="N100" s="2955">
        <v>10.5</v>
      </c>
      <c r="O100" s="2955">
        <v>10.5</v>
      </c>
      <c r="P100" s="2955" t="s">
        <v>4461</v>
      </c>
      <c r="Q100" s="2955" t="s">
        <v>1014</v>
      </c>
      <c r="R100" s="2955" t="s">
        <v>1014</v>
      </c>
      <c r="S100" s="2955" t="s">
        <v>1014</v>
      </c>
      <c r="T100" s="2955" t="s">
        <v>1014</v>
      </c>
      <c r="U100" s="2955" t="s">
        <v>1014</v>
      </c>
    </row>
    <row r="101" spans="1:21" s="2944" customFormat="1" x14ac:dyDescent="0.3">
      <c r="A101" s="2953" t="s">
        <v>2832</v>
      </c>
      <c r="B101" s="2952" t="s">
        <v>3368</v>
      </c>
      <c r="C101" s="2952" t="s">
        <v>3340</v>
      </c>
      <c r="D101" s="2952" t="s">
        <v>4474</v>
      </c>
      <c r="E101" s="2952" t="s">
        <v>3438</v>
      </c>
      <c r="F101" s="2952" t="s">
        <v>4260</v>
      </c>
      <c r="G101" s="2952" t="s">
        <v>4475</v>
      </c>
      <c r="H101" s="2952" t="s">
        <v>3988</v>
      </c>
      <c r="I101" s="2952" t="s">
        <v>3988</v>
      </c>
      <c r="J101" s="2952" t="s">
        <v>3354</v>
      </c>
      <c r="K101" s="2952" t="s">
        <v>4068</v>
      </c>
      <c r="L101" s="2952" t="s">
        <v>3496</v>
      </c>
      <c r="M101" s="2952" t="s">
        <v>3992</v>
      </c>
      <c r="N101" s="2952" t="s">
        <v>3992</v>
      </c>
      <c r="O101" s="2952" t="s">
        <v>4476</v>
      </c>
      <c r="P101" s="2952" t="s">
        <v>3971</v>
      </c>
      <c r="Q101" s="2952" t="s">
        <v>4142</v>
      </c>
      <c r="R101" s="2952" t="s">
        <v>3515</v>
      </c>
      <c r="S101" s="2952" t="s">
        <v>3992</v>
      </c>
      <c r="T101" s="2952" t="s">
        <v>4228</v>
      </c>
      <c r="U101" s="2952" t="s">
        <v>4142</v>
      </c>
    </row>
    <row r="102" spans="1:21" x14ac:dyDescent="0.3">
      <c r="A102" s="2954" t="s">
        <v>2833</v>
      </c>
      <c r="B102" s="2955" t="s">
        <v>3368</v>
      </c>
      <c r="C102" s="2955" t="s">
        <v>3339</v>
      </c>
      <c r="D102" s="2955" t="s">
        <v>3987</v>
      </c>
      <c r="E102" s="2955" t="s">
        <v>3987</v>
      </c>
      <c r="F102" s="2955" t="s">
        <v>4421</v>
      </c>
      <c r="G102" s="2955" t="s">
        <v>3988</v>
      </c>
      <c r="H102" s="2955" t="s">
        <v>3988</v>
      </c>
      <c r="I102" s="2955" t="s">
        <v>3988</v>
      </c>
      <c r="J102" s="2955" t="s">
        <v>3354</v>
      </c>
      <c r="K102" s="2955" t="s">
        <v>4068</v>
      </c>
      <c r="L102" s="2955" t="s">
        <v>3496</v>
      </c>
      <c r="M102" s="2955" t="s">
        <v>3992</v>
      </c>
      <c r="N102" s="2955" t="s">
        <v>3992</v>
      </c>
      <c r="O102" s="2955" t="s">
        <v>4477</v>
      </c>
      <c r="P102" s="2955" t="s">
        <v>3992</v>
      </c>
      <c r="Q102" s="2955" t="s">
        <v>4142</v>
      </c>
      <c r="R102" s="2955" t="s">
        <v>4142</v>
      </c>
      <c r="S102" s="2955" t="s">
        <v>3972</v>
      </c>
      <c r="T102" s="2955" t="s">
        <v>4228</v>
      </c>
      <c r="U102" s="2955" t="s">
        <v>4142</v>
      </c>
    </row>
    <row r="103" spans="1:21" x14ac:dyDescent="0.3">
      <c r="A103" s="2954" t="s">
        <v>2834</v>
      </c>
      <c r="B103" s="2955" t="s">
        <v>3820</v>
      </c>
      <c r="C103" s="2955">
        <v>3.85</v>
      </c>
      <c r="D103" s="2955" t="s">
        <v>3723</v>
      </c>
      <c r="E103" s="2955" t="s">
        <v>4455</v>
      </c>
      <c r="F103" s="2955" t="s">
        <v>3791</v>
      </c>
      <c r="G103" s="2955" t="s">
        <v>4478</v>
      </c>
      <c r="H103" s="2955" t="s">
        <v>3988</v>
      </c>
      <c r="I103" s="2955" t="s">
        <v>3988</v>
      </c>
      <c r="J103" s="2955" t="s">
        <v>3991</v>
      </c>
      <c r="K103" s="2955" t="s">
        <v>3991</v>
      </c>
      <c r="L103" s="2955" t="s">
        <v>4031</v>
      </c>
      <c r="M103" s="2955" t="s">
        <v>3992</v>
      </c>
      <c r="N103" s="2955" t="s">
        <v>3972</v>
      </c>
      <c r="O103" s="2955" t="s">
        <v>3992</v>
      </c>
      <c r="P103" s="2955" t="s">
        <v>3972</v>
      </c>
      <c r="Q103" s="2955" t="s">
        <v>3992</v>
      </c>
      <c r="R103" s="2955" t="s">
        <v>3972</v>
      </c>
      <c r="S103" s="2955" t="s">
        <v>3992</v>
      </c>
      <c r="T103" s="2955" t="s">
        <v>3992</v>
      </c>
      <c r="U103" s="2955" t="s">
        <v>3972</v>
      </c>
    </row>
    <row r="104" spans="1:21" x14ac:dyDescent="0.3">
      <c r="A104" s="2954" t="s">
        <v>2835</v>
      </c>
      <c r="B104" s="2955" t="s">
        <v>3418</v>
      </c>
      <c r="C104" s="2955" t="s">
        <v>3340</v>
      </c>
      <c r="D104" s="2955" t="s">
        <v>4479</v>
      </c>
      <c r="E104" s="2955" t="s">
        <v>3438</v>
      </c>
      <c r="F104" s="2955" t="s">
        <v>3438</v>
      </c>
      <c r="G104" s="2955" t="s">
        <v>4124</v>
      </c>
      <c r="H104" s="2955" t="s">
        <v>1311</v>
      </c>
      <c r="I104" s="2955" t="s">
        <v>4480</v>
      </c>
      <c r="J104" s="2955" t="s">
        <v>4430</v>
      </c>
      <c r="K104" s="2955" t="s">
        <v>4481</v>
      </c>
      <c r="L104" s="2955" t="s">
        <v>3978</v>
      </c>
      <c r="M104" s="2955" t="s">
        <v>3980</v>
      </c>
      <c r="N104" s="2955" t="s">
        <v>4152</v>
      </c>
      <c r="O104" s="2955" t="s">
        <v>4192</v>
      </c>
      <c r="P104" s="2955" t="s">
        <v>4192</v>
      </c>
      <c r="Q104" s="2955" t="s">
        <v>4458</v>
      </c>
      <c r="R104" s="2955" t="s">
        <v>4306</v>
      </c>
      <c r="S104" s="2955" t="s">
        <v>4192</v>
      </c>
      <c r="T104" s="2955" t="s">
        <v>4192</v>
      </c>
      <c r="U104" s="2955" t="s">
        <v>4482</v>
      </c>
    </row>
    <row r="105" spans="1:21" x14ac:dyDescent="0.3">
      <c r="A105" s="2954" t="s">
        <v>2836</v>
      </c>
      <c r="B105" s="2955" t="s">
        <v>3368</v>
      </c>
      <c r="C105" s="2955" t="s">
        <v>3382</v>
      </c>
      <c r="D105" s="2955" t="s">
        <v>4153</v>
      </c>
      <c r="E105" s="2955" t="s">
        <v>3987</v>
      </c>
      <c r="F105" s="2955" t="s">
        <v>4153</v>
      </c>
      <c r="G105" s="2955" t="s">
        <v>4154</v>
      </c>
      <c r="H105" s="2955" t="s">
        <v>3988</v>
      </c>
      <c r="I105" s="2955" t="s">
        <v>3988</v>
      </c>
      <c r="J105" s="2955" t="s">
        <v>3991</v>
      </c>
      <c r="K105" s="2955" t="s">
        <v>3991</v>
      </c>
      <c r="L105" s="2955" t="s">
        <v>1305</v>
      </c>
      <c r="M105" s="2955" t="s">
        <v>3992</v>
      </c>
      <c r="N105" s="2955" t="s">
        <v>3992</v>
      </c>
      <c r="O105" s="2955" t="s">
        <v>3992</v>
      </c>
      <c r="P105" s="2955" t="s">
        <v>3971</v>
      </c>
      <c r="Q105" s="2955" t="s">
        <v>3992</v>
      </c>
      <c r="R105" s="2955" t="s">
        <v>3992</v>
      </c>
      <c r="S105" s="2955" t="s">
        <v>1370</v>
      </c>
      <c r="T105" s="2955" t="s">
        <v>3992</v>
      </c>
      <c r="U105" s="2955" t="s">
        <v>3972</v>
      </c>
    </row>
    <row r="106" spans="1:21" s="2944" customFormat="1" x14ac:dyDescent="0.3">
      <c r="A106" s="2953" t="s">
        <v>2837</v>
      </c>
      <c r="B106" s="2952" t="s">
        <v>3827</v>
      </c>
      <c r="C106" s="2952" t="s">
        <v>3780</v>
      </c>
      <c r="D106" s="2952" t="s">
        <v>4474</v>
      </c>
      <c r="E106" s="2952" t="s">
        <v>4483</v>
      </c>
      <c r="F106" s="2952" t="s">
        <v>3623</v>
      </c>
      <c r="G106" s="2952" t="s">
        <v>4484</v>
      </c>
      <c r="H106" s="2952" t="s">
        <v>4485</v>
      </c>
      <c r="I106" s="2952" t="s">
        <v>4486</v>
      </c>
      <c r="J106" s="2952" t="s">
        <v>4487</v>
      </c>
      <c r="K106" s="2952" t="s">
        <v>4097</v>
      </c>
      <c r="L106" s="2952" t="s">
        <v>1320</v>
      </c>
      <c r="M106" s="2952" t="s">
        <v>4001</v>
      </c>
      <c r="N106" s="2952" t="s">
        <v>4488</v>
      </c>
      <c r="O106" s="2952" t="s">
        <v>4488</v>
      </c>
      <c r="P106" s="2952" t="s">
        <v>4489</v>
      </c>
      <c r="Q106" s="2952" t="s">
        <v>4490</v>
      </c>
      <c r="R106" s="2952" t="s">
        <v>4491</v>
      </c>
      <c r="S106" s="2952" t="s">
        <v>4130</v>
      </c>
      <c r="T106" s="2952" t="s">
        <v>3565</v>
      </c>
      <c r="U106" s="2952" t="s">
        <v>4488</v>
      </c>
    </row>
    <row r="107" spans="1:21" x14ac:dyDescent="0.3">
      <c r="A107" s="2954" t="s">
        <v>2838</v>
      </c>
      <c r="B107" s="2955" t="s">
        <v>3339</v>
      </c>
      <c r="C107" s="2955" t="s">
        <v>3669</v>
      </c>
      <c r="D107" s="2955" t="s">
        <v>4492</v>
      </c>
      <c r="E107" s="2955" t="s">
        <v>3966</v>
      </c>
      <c r="F107" s="2955" t="s">
        <v>3966</v>
      </c>
      <c r="G107" s="2955" t="s">
        <v>4094</v>
      </c>
      <c r="H107" s="2955" t="s">
        <v>3968</v>
      </c>
      <c r="I107" s="2955" t="s">
        <v>3968</v>
      </c>
      <c r="J107" s="2955" t="s">
        <v>3970</v>
      </c>
      <c r="K107" s="2955" t="s">
        <v>1315</v>
      </c>
      <c r="L107" s="2955" t="s">
        <v>4031</v>
      </c>
      <c r="M107" s="2955" t="s">
        <v>4493</v>
      </c>
      <c r="N107" s="2955" t="s">
        <v>4493</v>
      </c>
      <c r="O107" s="2955" t="s">
        <v>3972</v>
      </c>
      <c r="P107" s="2955" t="s">
        <v>4317</v>
      </c>
      <c r="Q107" s="2955" t="s">
        <v>4385</v>
      </c>
      <c r="R107" s="2955" t="s">
        <v>3972</v>
      </c>
      <c r="S107" s="2955" t="s">
        <v>4385</v>
      </c>
      <c r="T107" s="2955" t="s">
        <v>4317</v>
      </c>
      <c r="U107" s="2955" t="s">
        <v>3972</v>
      </c>
    </row>
    <row r="108" spans="1:21" x14ac:dyDescent="0.3">
      <c r="A108" s="2954" t="s">
        <v>2839</v>
      </c>
      <c r="B108" s="2955" t="s">
        <v>3449</v>
      </c>
      <c r="C108" s="2955" t="s">
        <v>3780</v>
      </c>
      <c r="D108" s="2955" t="s">
        <v>4494</v>
      </c>
      <c r="E108" s="2955" t="s">
        <v>4057</v>
      </c>
      <c r="F108" s="2955" t="s">
        <v>4495</v>
      </c>
      <c r="G108" s="2955" t="s">
        <v>4484</v>
      </c>
      <c r="H108" s="2955" t="s">
        <v>4496</v>
      </c>
      <c r="I108" s="2955" t="s">
        <v>4395</v>
      </c>
      <c r="J108" s="2955" t="s">
        <v>4395</v>
      </c>
      <c r="K108" s="2955" t="s">
        <v>4090</v>
      </c>
      <c r="L108" s="2955" t="s">
        <v>4353</v>
      </c>
      <c r="M108" s="2955" t="s">
        <v>3962</v>
      </c>
      <c r="N108" s="2955" t="s">
        <v>4024</v>
      </c>
      <c r="O108" s="2955" t="s">
        <v>1370</v>
      </c>
      <c r="P108" s="2955" t="s">
        <v>4146</v>
      </c>
      <c r="Q108" s="2955" t="s">
        <v>4490</v>
      </c>
      <c r="R108" s="2955" t="s">
        <v>4086</v>
      </c>
      <c r="S108" s="2955" t="s">
        <v>4497</v>
      </c>
      <c r="T108" s="2955" t="s">
        <v>4498</v>
      </c>
      <c r="U108" s="2955" t="s">
        <v>4499</v>
      </c>
    </row>
    <row r="109" spans="1:21" ht="18" thickBot="1" x14ac:dyDescent="0.35">
      <c r="A109" s="2954" t="s">
        <v>2840</v>
      </c>
      <c r="B109" s="2955" t="s">
        <v>3831</v>
      </c>
      <c r="C109" s="2955" t="s">
        <v>3831</v>
      </c>
      <c r="D109" s="2955" t="s">
        <v>4500</v>
      </c>
      <c r="E109" s="2955" t="s">
        <v>4500</v>
      </c>
      <c r="F109" s="2955" t="s">
        <v>4373</v>
      </c>
      <c r="G109" s="2955" t="s">
        <v>4125</v>
      </c>
      <c r="H109" s="2955" t="s">
        <v>4485</v>
      </c>
      <c r="I109" s="2955" t="s">
        <v>4501</v>
      </c>
      <c r="J109" s="2955" t="s">
        <v>3959</v>
      </c>
      <c r="K109" s="2955" t="s">
        <v>3959</v>
      </c>
      <c r="L109" s="2955" t="s">
        <v>1320</v>
      </c>
      <c r="M109" s="2955" t="s">
        <v>4502</v>
      </c>
      <c r="N109" s="2955" t="s">
        <v>4488</v>
      </c>
      <c r="O109" s="2955" t="s">
        <v>4488</v>
      </c>
      <c r="P109" s="2955" t="s">
        <v>4488</v>
      </c>
      <c r="Q109" s="2955" t="s">
        <v>4488</v>
      </c>
      <c r="R109" s="2955" t="s">
        <v>4488</v>
      </c>
      <c r="S109" s="2955" t="s">
        <v>4080</v>
      </c>
      <c r="T109" s="2955" t="s">
        <v>4488</v>
      </c>
      <c r="U109" s="2955" t="s">
        <v>4488</v>
      </c>
    </row>
    <row r="110" spans="1:21" ht="18.75" customHeight="1" x14ac:dyDescent="0.3">
      <c r="A110" s="2968" t="s">
        <v>3858</v>
      </c>
      <c r="B110" s="2970" t="s">
        <v>3865</v>
      </c>
      <c r="C110" s="2970" t="s">
        <v>3865</v>
      </c>
      <c r="D110" s="2970" t="s">
        <v>4503</v>
      </c>
      <c r="E110" s="2970" t="s">
        <v>4503</v>
      </c>
      <c r="F110" s="2970" t="s">
        <v>4503</v>
      </c>
      <c r="G110" s="2970" t="s">
        <v>4504</v>
      </c>
      <c r="H110" s="2970" t="s">
        <v>4504</v>
      </c>
      <c r="I110" s="2970" t="s">
        <v>4504</v>
      </c>
      <c r="J110" s="2970" t="s">
        <v>4504</v>
      </c>
      <c r="K110" s="2970" t="s">
        <v>4504</v>
      </c>
      <c r="L110" s="2970" t="s">
        <v>4504</v>
      </c>
      <c r="M110" s="2970" t="s">
        <v>4504</v>
      </c>
      <c r="N110" s="2970" t="s">
        <v>4504</v>
      </c>
      <c r="O110" s="2970" t="s">
        <v>4505</v>
      </c>
      <c r="P110" s="2970" t="s">
        <v>4506</v>
      </c>
      <c r="Q110" s="2970" t="s">
        <v>4506</v>
      </c>
      <c r="R110" s="2970" t="s">
        <v>4506</v>
      </c>
      <c r="S110" s="2970" t="s">
        <v>4506</v>
      </c>
      <c r="T110" s="2970" t="s">
        <v>4506</v>
      </c>
      <c r="U110" s="2970" t="s">
        <v>4506</v>
      </c>
    </row>
    <row r="111" spans="1:21" x14ac:dyDescent="0.3">
      <c r="A111" s="2956" t="s">
        <v>3866</v>
      </c>
      <c r="B111" s="2971" t="s">
        <v>3879</v>
      </c>
      <c r="C111" s="2971" t="s">
        <v>3879</v>
      </c>
      <c r="D111" s="2971" t="s">
        <v>4507</v>
      </c>
      <c r="E111" s="2971" t="s">
        <v>4508</v>
      </c>
      <c r="F111" s="2971" t="s">
        <v>4509</v>
      </c>
      <c r="G111" s="2971" t="s">
        <v>4508</v>
      </c>
      <c r="H111" s="2971" t="s">
        <v>4510</v>
      </c>
      <c r="I111" s="2971" t="s">
        <v>4511</v>
      </c>
      <c r="J111" s="2971" t="s">
        <v>4511</v>
      </c>
      <c r="K111" s="2971" t="s">
        <v>4512</v>
      </c>
      <c r="L111" s="2971" t="s">
        <v>4513</v>
      </c>
      <c r="M111" s="2971" t="s">
        <v>4514</v>
      </c>
      <c r="N111" s="2971" t="s">
        <v>4515</v>
      </c>
      <c r="O111" s="2971" t="s">
        <v>4515</v>
      </c>
      <c r="P111" s="2971" t="s">
        <v>4515</v>
      </c>
      <c r="Q111" s="2971" t="s">
        <v>4515</v>
      </c>
      <c r="R111" s="2971" t="s">
        <v>4513</v>
      </c>
      <c r="S111" s="2971" t="s">
        <v>4516</v>
      </c>
      <c r="T111" s="2971" t="s">
        <v>4516</v>
      </c>
      <c r="U111" s="2971" t="s">
        <v>4517</v>
      </c>
    </row>
    <row r="112" spans="1:21" x14ac:dyDescent="0.3">
      <c r="A112" s="2972" t="s">
        <v>4518</v>
      </c>
      <c r="B112" s="2973" t="s">
        <v>4519</v>
      </c>
      <c r="C112" s="2973" t="s">
        <v>4520</v>
      </c>
      <c r="D112" s="2973" t="s">
        <v>4521</v>
      </c>
      <c r="E112" s="2973" t="s">
        <v>3872</v>
      </c>
      <c r="F112" s="2973" t="s">
        <v>4522</v>
      </c>
      <c r="G112" s="2973" t="s">
        <v>4523</v>
      </c>
      <c r="H112" s="2973" t="s">
        <v>3861</v>
      </c>
      <c r="I112" s="2973" t="s">
        <v>4524</v>
      </c>
      <c r="J112" s="2973" t="s">
        <v>4525</v>
      </c>
      <c r="K112" s="2973" t="s">
        <v>4526</v>
      </c>
      <c r="L112" s="2973" t="s">
        <v>4526</v>
      </c>
      <c r="M112" s="2973" t="s">
        <v>4244</v>
      </c>
      <c r="N112" s="2973" t="s">
        <v>4527</v>
      </c>
      <c r="O112" s="2973" t="s">
        <v>4528</v>
      </c>
      <c r="P112" s="2973" t="s">
        <v>4529</v>
      </c>
      <c r="Q112" s="2973" t="s">
        <v>4530</v>
      </c>
      <c r="R112" s="2973" t="s">
        <v>4003</v>
      </c>
      <c r="S112" s="2973" t="s">
        <v>4531</v>
      </c>
      <c r="T112" s="2973" t="s">
        <v>4532</v>
      </c>
      <c r="U112" s="2973" t="s">
        <v>4533</v>
      </c>
    </row>
    <row r="113" spans="1:22" ht="18.75" x14ac:dyDescent="0.3">
      <c r="A113" s="2953" t="s">
        <v>4534</v>
      </c>
      <c r="B113" s="2952" t="s">
        <v>3462</v>
      </c>
      <c r="C113" s="2952" t="s">
        <v>3340</v>
      </c>
      <c r="D113" s="2952" t="s">
        <v>4535</v>
      </c>
      <c r="E113" s="2952" t="s">
        <v>4212</v>
      </c>
      <c r="F113" s="2952" t="s">
        <v>4536</v>
      </c>
      <c r="G113" s="2952" t="s">
        <v>4537</v>
      </c>
      <c r="H113" s="2952" t="s">
        <v>4094</v>
      </c>
      <c r="I113" s="2952" t="s">
        <v>4094</v>
      </c>
      <c r="J113" s="2952" t="s">
        <v>4312</v>
      </c>
      <c r="K113" s="2952" t="s">
        <v>4538</v>
      </c>
      <c r="L113" s="2952" t="s">
        <v>4539</v>
      </c>
      <c r="M113" s="2952" t="s">
        <v>4074</v>
      </c>
      <c r="N113" s="2952" t="s">
        <v>3972</v>
      </c>
      <c r="O113" s="2952" t="s">
        <v>4074</v>
      </c>
      <c r="P113" s="2952" t="s">
        <v>4540</v>
      </c>
      <c r="Q113" s="2952" t="s">
        <v>4541</v>
      </c>
      <c r="R113" s="2952" t="s">
        <v>4541</v>
      </c>
      <c r="S113" s="2952" t="s">
        <v>4540</v>
      </c>
      <c r="T113" s="2952" t="s">
        <v>4540</v>
      </c>
      <c r="U113" s="2973" t="s">
        <v>3532</v>
      </c>
      <c r="V113" s="2974"/>
    </row>
    <row r="114" spans="1:22" x14ac:dyDescent="0.3">
      <c r="A114" s="2953" t="s">
        <v>4542</v>
      </c>
      <c r="B114" s="2952">
        <v>7.85</v>
      </c>
      <c r="C114" s="2952">
        <v>7.85</v>
      </c>
      <c r="D114" s="2952">
        <v>8</v>
      </c>
      <c r="E114" s="2952">
        <v>8</v>
      </c>
      <c r="F114" s="2952">
        <v>8</v>
      </c>
      <c r="G114" s="2952">
        <v>8.25</v>
      </c>
      <c r="H114" s="2952">
        <v>8.25</v>
      </c>
      <c r="I114" s="2952">
        <v>8.25</v>
      </c>
      <c r="J114" s="2952">
        <v>9</v>
      </c>
      <c r="K114" s="2952">
        <v>9</v>
      </c>
      <c r="L114" s="2952">
        <v>10</v>
      </c>
      <c r="M114" s="2952">
        <v>10.5</v>
      </c>
      <c r="N114" s="2952">
        <v>10.5</v>
      </c>
      <c r="O114" s="2952">
        <v>10.5</v>
      </c>
      <c r="P114" s="2952">
        <v>10.5</v>
      </c>
      <c r="Q114" s="2952">
        <v>10.5</v>
      </c>
      <c r="R114" s="2952">
        <v>10.5</v>
      </c>
      <c r="S114" s="2952">
        <v>10.5</v>
      </c>
      <c r="T114" s="2952">
        <v>10.5</v>
      </c>
      <c r="U114" s="2952">
        <v>10.5</v>
      </c>
    </row>
    <row r="115" spans="1:22" ht="18" thickBot="1" x14ac:dyDescent="0.35">
      <c r="A115" s="2975" t="s">
        <v>4543</v>
      </c>
      <c r="B115" s="2978" t="s">
        <v>4544</v>
      </c>
      <c r="C115" s="2978" t="s">
        <v>1014</v>
      </c>
      <c r="D115" s="2978">
        <v>4.25</v>
      </c>
      <c r="E115" s="2978" t="s">
        <v>1014</v>
      </c>
      <c r="F115" s="2978" t="s">
        <v>1531</v>
      </c>
      <c r="G115" s="2978" t="s">
        <v>4545</v>
      </c>
      <c r="H115" s="2978" t="s">
        <v>3546</v>
      </c>
      <c r="I115" s="2978" t="s">
        <v>4545</v>
      </c>
      <c r="J115" s="2978" t="s">
        <v>4546</v>
      </c>
      <c r="K115" s="2978" t="s">
        <v>4547</v>
      </c>
      <c r="L115" s="2978" t="s">
        <v>4127</v>
      </c>
      <c r="M115" s="2978" t="s">
        <v>3809</v>
      </c>
      <c r="N115" s="2978" t="s">
        <v>4548</v>
      </c>
      <c r="O115" s="2978" t="s">
        <v>4548</v>
      </c>
      <c r="P115" s="2978" t="s">
        <v>4467</v>
      </c>
      <c r="Q115" s="2978" t="s">
        <v>4549</v>
      </c>
      <c r="R115" s="2978" t="s">
        <v>3809</v>
      </c>
      <c r="S115" s="2978" t="s">
        <v>4177</v>
      </c>
      <c r="T115" s="2978" t="s">
        <v>4228</v>
      </c>
      <c r="U115" s="2978" t="s">
        <v>4550</v>
      </c>
    </row>
    <row r="116" spans="1:22" s="2983" customFormat="1" ht="35.25" customHeight="1" thickTop="1" x14ac:dyDescent="0.25">
      <c r="A116" s="3264" t="s">
        <v>3932</v>
      </c>
      <c r="B116" s="3264"/>
      <c r="C116" s="3264"/>
      <c r="D116" s="3264"/>
      <c r="E116" s="3264"/>
      <c r="F116" s="3264"/>
      <c r="G116" s="3264"/>
      <c r="H116" s="3264"/>
      <c r="I116" s="3264"/>
      <c r="J116" s="3264"/>
      <c r="K116" s="3264"/>
      <c r="L116" s="3264"/>
      <c r="M116" s="3264"/>
      <c r="N116" s="3264"/>
      <c r="O116" s="3264"/>
      <c r="P116" s="3264"/>
      <c r="Q116" s="3264"/>
      <c r="R116" s="3264"/>
      <c r="S116" s="3264"/>
      <c r="T116" s="3264"/>
      <c r="U116" s="2982"/>
    </row>
    <row r="117" spans="1:22" ht="18.75" customHeight="1" x14ac:dyDescent="0.25">
      <c r="A117" s="3264" t="s">
        <v>4551</v>
      </c>
      <c r="B117" s="3264"/>
      <c r="C117" s="3264"/>
      <c r="D117" s="3264"/>
      <c r="E117" s="3264"/>
      <c r="F117" s="3264"/>
      <c r="G117" s="3264"/>
      <c r="H117" s="3264"/>
      <c r="I117" s="3264"/>
      <c r="J117" s="3264"/>
      <c r="K117" s="3264"/>
      <c r="L117" s="3264"/>
      <c r="M117" s="3264"/>
      <c r="N117" s="3264"/>
      <c r="O117" s="3264"/>
      <c r="P117" s="3264"/>
      <c r="Q117" s="3264"/>
      <c r="R117" s="3264"/>
      <c r="S117" s="3264"/>
      <c r="T117" s="3264"/>
      <c r="U117" s="2982"/>
    </row>
    <row r="118" spans="1:22" s="2979" customFormat="1" ht="29.25" customHeight="1" x14ac:dyDescent="0.25">
      <c r="A118" s="292" t="s">
        <v>290</v>
      </c>
      <c r="B118" s="292"/>
      <c r="C118" s="292"/>
      <c r="D118" s="292"/>
      <c r="E118" s="292"/>
      <c r="F118" s="292"/>
      <c r="G118" s="292"/>
      <c r="H118" s="292"/>
      <c r="I118" s="292"/>
      <c r="J118" s="292"/>
      <c r="K118" s="292"/>
      <c r="L118" s="292"/>
      <c r="M118" s="292"/>
      <c r="N118" s="292"/>
      <c r="O118" s="292"/>
      <c r="P118" s="292"/>
      <c r="Q118" s="292"/>
      <c r="R118" s="292"/>
      <c r="S118" s="292"/>
      <c r="T118" s="292"/>
      <c r="U118" s="292"/>
    </row>
  </sheetData>
  <dataConsolidate function="countNums">
    <dataRefs count="2">
      <dataRef ref="C4:AJ4" sheet="Bulletin - New Loans" r:id="rId1"/>
      <dataRef ref="C4:AL104" sheet="Bulletin - New Loans" r:id="rId2"/>
    </dataRefs>
  </dataConsolidate>
  <mergeCells count="2">
    <mergeCell ref="A116:T116"/>
    <mergeCell ref="A117:T117"/>
  </mergeCells>
  <pageMargins left="0.98425196850393704" right="0.70866141732283472" top="0.51181102362204722" bottom="0.15748031496062992" header="0.31496062992125984" footer="0.31496062992125984"/>
  <pageSetup paperSize="9" scale="47" fitToHeight="0" orientation="portrait" r:id="rId3"/>
  <headerFooter alignWithMargins="0"/>
  <rowBreaks count="1" manualBreakCount="1">
    <brk id="66" max="16383" man="1"/>
  </rowBreak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227"/>
  <sheetViews>
    <sheetView zoomScale="90" zoomScaleNormal="90" zoomScaleSheetLayoutView="100" workbookViewId="0">
      <pane xSplit="1" ySplit="185" topLeftCell="B215" activePane="bottomRight" state="frozen"/>
      <selection activeCell="A38" sqref="A38"/>
      <selection pane="topRight" activeCell="A38" sqref="A38"/>
      <selection pane="bottomLeft" activeCell="A38" sqref="A38"/>
      <selection pane="bottomRight" activeCell="A38" sqref="A38"/>
    </sheetView>
  </sheetViews>
  <sheetFormatPr defaultRowHeight="14.25" x14ac:dyDescent="0.25"/>
  <cols>
    <col min="1" max="1" width="11.28515625" style="2986" customWidth="1"/>
    <col min="2" max="4" width="13.140625" style="2986" customWidth="1"/>
    <col min="5" max="5" width="13.7109375" style="2986" customWidth="1"/>
    <col min="6" max="6" width="13.7109375" style="2986" bestFit="1" customWidth="1"/>
    <col min="7" max="7" width="14.140625" style="2986" customWidth="1"/>
    <col min="8" max="8" width="12" style="2986" bestFit="1" customWidth="1"/>
    <col min="9" max="9" width="14.28515625" style="2986" customWidth="1"/>
    <col min="10" max="16384" width="9.140625" style="2986"/>
  </cols>
  <sheetData>
    <row r="1" spans="1:9" s="2985" customFormat="1" ht="17.25" x14ac:dyDescent="0.3">
      <c r="A1" s="2984" t="s">
        <v>4552</v>
      </c>
    </row>
    <row r="2" spans="1:9" ht="20.25" customHeight="1" thickBot="1" x14ac:dyDescent="0.3">
      <c r="I2" s="2909" t="s">
        <v>1129</v>
      </c>
    </row>
    <row r="3" spans="1:9" s="2991" customFormat="1" ht="17.25" thickTop="1" x14ac:dyDescent="0.3">
      <c r="A3" s="2987"/>
      <c r="B3" s="2988" t="s">
        <v>4553</v>
      </c>
      <c r="C3" s="2989" t="s">
        <v>4554</v>
      </c>
      <c r="D3" s="2989" t="s">
        <v>4555</v>
      </c>
      <c r="E3" s="2989" t="s">
        <v>4555</v>
      </c>
      <c r="F3" s="2989" t="s">
        <v>4555</v>
      </c>
      <c r="G3" s="2989" t="s">
        <v>4556</v>
      </c>
      <c r="H3" s="2989" t="s">
        <v>4556</v>
      </c>
      <c r="I3" s="2990" t="s">
        <v>4557</v>
      </c>
    </row>
    <row r="4" spans="1:9" s="2991" customFormat="1" ht="17.25" x14ac:dyDescent="0.3">
      <c r="A4" s="2992"/>
      <c r="B4" s="2993" t="s">
        <v>4558</v>
      </c>
      <c r="C4" s="2994" t="s">
        <v>4559</v>
      </c>
      <c r="D4" s="2994" t="s">
        <v>4560</v>
      </c>
      <c r="E4" s="2994" t="s">
        <v>4560</v>
      </c>
      <c r="F4" s="2994" t="s">
        <v>4561</v>
      </c>
      <c r="G4" s="2994" t="s">
        <v>4562</v>
      </c>
      <c r="H4" s="2994" t="s">
        <v>4562</v>
      </c>
      <c r="I4" s="2995" t="s">
        <v>294</v>
      </c>
    </row>
    <row r="5" spans="1:9" s="2991" customFormat="1" ht="16.5" x14ac:dyDescent="0.3">
      <c r="A5" s="2992"/>
      <c r="B5" s="2993"/>
      <c r="C5" s="2994" t="s">
        <v>4563</v>
      </c>
      <c r="D5" s="2994" t="s">
        <v>1549</v>
      </c>
      <c r="E5" s="2994" t="s">
        <v>1549</v>
      </c>
      <c r="F5" s="2994" t="s">
        <v>4564</v>
      </c>
      <c r="G5" s="2994" t="s">
        <v>1549</v>
      </c>
      <c r="H5" s="2994" t="s">
        <v>1549</v>
      </c>
      <c r="I5" s="2995" t="s">
        <v>4565</v>
      </c>
    </row>
    <row r="6" spans="1:9" s="2991" customFormat="1" ht="16.5" x14ac:dyDescent="0.3">
      <c r="A6" s="2992"/>
      <c r="B6" s="2993"/>
      <c r="C6" s="2994" t="s">
        <v>4566</v>
      </c>
      <c r="D6" s="2994" t="s">
        <v>4567</v>
      </c>
      <c r="E6" s="2994" t="s">
        <v>4568</v>
      </c>
      <c r="F6" s="2994" t="s">
        <v>4569</v>
      </c>
      <c r="G6" s="2994" t="s">
        <v>4570</v>
      </c>
      <c r="H6" s="2994" t="s">
        <v>4559</v>
      </c>
      <c r="I6" s="2995" t="s">
        <v>4571</v>
      </c>
    </row>
    <row r="7" spans="1:9" s="2991" customFormat="1" ht="16.5" x14ac:dyDescent="0.3">
      <c r="A7" s="2992"/>
      <c r="B7" s="2993"/>
      <c r="C7" s="2994"/>
      <c r="D7" s="2994" t="s">
        <v>2682</v>
      </c>
      <c r="E7" s="2994" t="s">
        <v>2682</v>
      </c>
      <c r="F7" s="2994" t="s">
        <v>4572</v>
      </c>
      <c r="G7" s="2994" t="s">
        <v>4573</v>
      </c>
      <c r="H7" s="2994" t="s">
        <v>4574</v>
      </c>
      <c r="I7" s="2995" t="s">
        <v>4575</v>
      </c>
    </row>
    <row r="8" spans="1:9" s="2991" customFormat="1" ht="17.25" customHeight="1" x14ac:dyDescent="0.3">
      <c r="A8" s="2992"/>
      <c r="B8" s="2993"/>
      <c r="C8" s="2994"/>
      <c r="D8" s="2994" t="s">
        <v>4576</v>
      </c>
      <c r="E8" s="2994" t="s">
        <v>4577</v>
      </c>
      <c r="F8" s="2994" t="s">
        <v>4578</v>
      </c>
      <c r="G8" s="2994"/>
      <c r="H8" s="2994" t="s">
        <v>1232</v>
      </c>
      <c r="I8" s="2995" t="s">
        <v>4579</v>
      </c>
    </row>
    <row r="9" spans="1:9" s="2991" customFormat="1" ht="18.75" customHeight="1" thickBot="1" x14ac:dyDescent="0.35">
      <c r="A9" s="2996"/>
      <c r="B9" s="2997"/>
      <c r="C9" s="2998"/>
      <c r="D9" s="2998"/>
      <c r="E9" s="2998"/>
      <c r="F9" s="2998"/>
      <c r="G9" s="2998"/>
      <c r="H9" s="2998"/>
      <c r="I9" s="2999" t="s">
        <v>4580</v>
      </c>
    </row>
    <row r="10" spans="1:9" ht="16.5" hidden="1" x14ac:dyDescent="0.3">
      <c r="A10" s="3000">
        <v>38687</v>
      </c>
      <c r="B10" s="3001"/>
      <c r="C10" s="3001" t="s">
        <v>4581</v>
      </c>
      <c r="D10" s="3001" t="s">
        <v>4582</v>
      </c>
      <c r="E10" s="3002" t="s">
        <v>4583</v>
      </c>
      <c r="F10" s="3002" t="s">
        <v>4584</v>
      </c>
      <c r="G10" s="3003">
        <v>5.7</v>
      </c>
      <c r="H10" s="3003">
        <v>10.81</v>
      </c>
      <c r="I10" s="3004">
        <v>7.45</v>
      </c>
    </row>
    <row r="11" spans="1:9" ht="16.5" hidden="1" x14ac:dyDescent="0.3">
      <c r="A11" s="3000">
        <v>38718</v>
      </c>
      <c r="B11" s="3001"/>
      <c r="C11" s="3001" t="s">
        <v>4581</v>
      </c>
      <c r="D11" s="3001" t="s">
        <v>4582</v>
      </c>
      <c r="E11" s="3002" t="s">
        <v>4583</v>
      </c>
      <c r="F11" s="3002" t="s">
        <v>4584</v>
      </c>
      <c r="G11" s="3003">
        <v>5.76</v>
      </c>
      <c r="H11" s="3003">
        <v>10.85</v>
      </c>
      <c r="I11" s="3004">
        <v>7.52</v>
      </c>
    </row>
    <row r="12" spans="1:9" ht="16.5" hidden="1" x14ac:dyDescent="0.3">
      <c r="A12" s="3000">
        <v>38749</v>
      </c>
      <c r="B12" s="3001"/>
      <c r="C12" s="3001" t="s">
        <v>4581</v>
      </c>
      <c r="D12" s="3001" t="s">
        <v>4582</v>
      </c>
      <c r="E12" s="3002" t="s">
        <v>4583</v>
      </c>
      <c r="F12" s="3002" t="s">
        <v>4584</v>
      </c>
      <c r="G12" s="3003">
        <v>6.34</v>
      </c>
      <c r="H12" s="3003">
        <v>10.84</v>
      </c>
      <c r="I12" s="3004">
        <v>7.49</v>
      </c>
    </row>
    <row r="13" spans="1:9" ht="16.5" hidden="1" x14ac:dyDescent="0.3">
      <c r="A13" s="3000">
        <v>38777</v>
      </c>
      <c r="B13" s="3001"/>
      <c r="C13" s="3001" t="s">
        <v>4581</v>
      </c>
      <c r="D13" s="3001" t="s">
        <v>4582</v>
      </c>
      <c r="E13" s="3002" t="s">
        <v>4583</v>
      </c>
      <c r="F13" s="3002" t="s">
        <v>4584</v>
      </c>
      <c r="G13" s="3003">
        <v>5.76</v>
      </c>
      <c r="H13" s="3003">
        <v>10.73</v>
      </c>
      <c r="I13" s="3004">
        <v>7.53</v>
      </c>
    </row>
    <row r="14" spans="1:9" ht="16.5" hidden="1" x14ac:dyDescent="0.3">
      <c r="A14" s="3000">
        <v>38808</v>
      </c>
      <c r="B14" s="3001"/>
      <c r="C14" s="3001" t="s">
        <v>4581</v>
      </c>
      <c r="D14" s="3001" t="s">
        <v>4582</v>
      </c>
      <c r="E14" s="3002" t="s">
        <v>4583</v>
      </c>
      <c r="F14" s="3002" t="s">
        <v>4584</v>
      </c>
      <c r="G14" s="3003">
        <v>5.79</v>
      </c>
      <c r="H14" s="3003">
        <v>10.74</v>
      </c>
      <c r="I14" s="3004">
        <v>7.49</v>
      </c>
    </row>
    <row r="15" spans="1:9" ht="16.5" hidden="1" x14ac:dyDescent="0.3">
      <c r="A15" s="3000">
        <v>38838</v>
      </c>
      <c r="B15" s="3001"/>
      <c r="C15" s="3001" t="s">
        <v>4581</v>
      </c>
      <c r="D15" s="3001" t="s">
        <v>4582</v>
      </c>
      <c r="E15" s="3002" t="s">
        <v>4583</v>
      </c>
      <c r="F15" s="3002" t="s">
        <v>4584</v>
      </c>
      <c r="G15" s="3003">
        <v>5.8</v>
      </c>
      <c r="H15" s="3003">
        <v>10.8</v>
      </c>
      <c r="I15" s="3004">
        <v>7.47</v>
      </c>
    </row>
    <row r="16" spans="1:9" ht="16.5" hidden="1" x14ac:dyDescent="0.3">
      <c r="A16" s="3000">
        <v>38869</v>
      </c>
      <c r="B16" s="3001"/>
      <c r="C16" s="3001" t="s">
        <v>4581</v>
      </c>
      <c r="D16" s="3001" t="s">
        <v>4582</v>
      </c>
      <c r="E16" s="3002" t="s">
        <v>4583</v>
      </c>
      <c r="F16" s="3002" t="s">
        <v>4584</v>
      </c>
      <c r="G16" s="3003">
        <v>5.52</v>
      </c>
      <c r="H16" s="3003">
        <v>11.08</v>
      </c>
      <c r="I16" s="3004">
        <v>7.33</v>
      </c>
    </row>
    <row r="17" spans="1:9" ht="16.5" hidden="1" x14ac:dyDescent="0.3">
      <c r="A17" s="3000">
        <v>38899</v>
      </c>
      <c r="B17" s="3001"/>
      <c r="C17" s="3001" t="s">
        <v>4585</v>
      </c>
      <c r="D17" s="3001" t="s">
        <v>4586</v>
      </c>
      <c r="E17" s="3002" t="s">
        <v>4587</v>
      </c>
      <c r="F17" s="3002" t="s">
        <v>4588</v>
      </c>
      <c r="G17" s="3003">
        <v>6.24</v>
      </c>
      <c r="H17" s="3003">
        <v>11.51</v>
      </c>
      <c r="I17" s="3004">
        <v>7.35</v>
      </c>
    </row>
    <row r="18" spans="1:9" ht="16.5" hidden="1" x14ac:dyDescent="0.3">
      <c r="A18" s="3000">
        <v>38930</v>
      </c>
      <c r="B18" s="3001"/>
      <c r="C18" s="3001" t="s">
        <v>4585</v>
      </c>
      <c r="D18" s="3001" t="s">
        <v>4586</v>
      </c>
      <c r="E18" s="3002" t="s">
        <v>4587</v>
      </c>
      <c r="F18" s="3002" t="s">
        <v>4588</v>
      </c>
      <c r="G18" s="3003">
        <v>6.24</v>
      </c>
      <c r="H18" s="3003">
        <v>11.48</v>
      </c>
      <c r="I18" s="3004">
        <v>7.3</v>
      </c>
    </row>
    <row r="19" spans="1:9" ht="16.5" hidden="1" x14ac:dyDescent="0.3">
      <c r="A19" s="3000">
        <v>38961</v>
      </c>
      <c r="B19" s="3001"/>
      <c r="C19" s="3001" t="s">
        <v>4589</v>
      </c>
      <c r="D19" s="3001" t="s">
        <v>4590</v>
      </c>
      <c r="E19" s="3002" t="s">
        <v>4591</v>
      </c>
      <c r="F19" s="3002" t="s">
        <v>4592</v>
      </c>
      <c r="G19" s="3003">
        <v>7</v>
      </c>
      <c r="H19" s="3003">
        <v>12.29</v>
      </c>
      <c r="I19" s="3004">
        <v>9.2100000000000009</v>
      </c>
    </row>
    <row r="20" spans="1:9" ht="16.5" hidden="1" x14ac:dyDescent="0.3">
      <c r="A20" s="3000">
        <v>38991</v>
      </c>
      <c r="B20" s="3001"/>
      <c r="C20" s="3001" t="s">
        <v>4589</v>
      </c>
      <c r="D20" s="3001" t="s">
        <v>4590</v>
      </c>
      <c r="E20" s="3002" t="s">
        <v>4591</v>
      </c>
      <c r="F20" s="3002" t="s">
        <v>4592</v>
      </c>
      <c r="G20" s="3003">
        <v>7.04</v>
      </c>
      <c r="H20" s="3003">
        <v>12.28</v>
      </c>
      <c r="I20" s="3004">
        <v>10.210000000000001</v>
      </c>
    </row>
    <row r="21" spans="1:9" ht="18.75" hidden="1" customHeight="1" x14ac:dyDescent="0.3">
      <c r="A21" s="3000">
        <v>39022</v>
      </c>
      <c r="B21" s="3001"/>
      <c r="C21" s="3001" t="s">
        <v>4589</v>
      </c>
      <c r="D21" s="3001" t="s">
        <v>4590</v>
      </c>
      <c r="E21" s="3002" t="s">
        <v>4591</v>
      </c>
      <c r="F21" s="3002" t="s">
        <v>4592</v>
      </c>
      <c r="G21" s="3003">
        <v>7.13</v>
      </c>
      <c r="H21" s="3003">
        <v>12.2</v>
      </c>
      <c r="I21" s="3004">
        <v>10.74</v>
      </c>
    </row>
    <row r="22" spans="1:9" ht="18" hidden="1" customHeight="1" x14ac:dyDescent="0.3">
      <c r="A22" s="3000">
        <v>39052</v>
      </c>
      <c r="B22" s="3001">
        <v>8.5</v>
      </c>
      <c r="C22" s="3001" t="s">
        <v>4589</v>
      </c>
      <c r="D22" s="3001" t="s">
        <v>4590</v>
      </c>
      <c r="E22" s="3002" t="s">
        <v>4593</v>
      </c>
      <c r="F22" s="3002" t="s">
        <v>4592</v>
      </c>
      <c r="G22" s="3003">
        <v>7.12</v>
      </c>
      <c r="H22" s="3003">
        <v>12.2</v>
      </c>
      <c r="I22" s="3004">
        <v>11.98</v>
      </c>
    </row>
    <row r="23" spans="1:9" ht="18" hidden="1" customHeight="1" x14ac:dyDescent="0.3">
      <c r="A23" s="3000">
        <v>39083</v>
      </c>
      <c r="B23" s="3001">
        <v>8.5</v>
      </c>
      <c r="C23" s="3001" t="s">
        <v>4589</v>
      </c>
      <c r="D23" s="3001" t="s">
        <v>4590</v>
      </c>
      <c r="E23" s="3002" t="s">
        <v>4594</v>
      </c>
      <c r="F23" s="3002" t="s">
        <v>4592</v>
      </c>
      <c r="G23" s="3003">
        <v>7.26</v>
      </c>
      <c r="H23" s="3003">
        <v>12.22</v>
      </c>
      <c r="I23" s="3004">
        <v>13.07</v>
      </c>
    </row>
    <row r="24" spans="1:9" ht="18" hidden="1" customHeight="1" x14ac:dyDescent="0.3">
      <c r="A24" s="3000">
        <v>39114</v>
      </c>
      <c r="B24" s="3001">
        <v>8.5</v>
      </c>
      <c r="C24" s="3001" t="s">
        <v>4589</v>
      </c>
      <c r="D24" s="3001" t="s">
        <v>4590</v>
      </c>
      <c r="E24" s="3002" t="s">
        <v>4594</v>
      </c>
      <c r="F24" s="3002" t="s">
        <v>4592</v>
      </c>
      <c r="G24" s="3003">
        <v>7.26</v>
      </c>
      <c r="H24" s="3003">
        <v>12.23</v>
      </c>
      <c r="I24" s="3004">
        <v>13.13</v>
      </c>
    </row>
    <row r="25" spans="1:9" ht="18" hidden="1" customHeight="1" x14ac:dyDescent="0.3">
      <c r="A25" s="3000">
        <v>39142</v>
      </c>
      <c r="B25" s="3001">
        <v>8.5</v>
      </c>
      <c r="C25" s="3001" t="s">
        <v>4589</v>
      </c>
      <c r="D25" s="3001" t="s">
        <v>4590</v>
      </c>
      <c r="E25" s="3002" t="s">
        <v>4595</v>
      </c>
      <c r="F25" s="3002" t="s">
        <v>4592</v>
      </c>
      <c r="G25" s="3003">
        <v>7.35</v>
      </c>
      <c r="H25" s="3003">
        <v>12.31</v>
      </c>
      <c r="I25" s="3004">
        <v>11.94</v>
      </c>
    </row>
    <row r="26" spans="1:9" ht="18" hidden="1" customHeight="1" x14ac:dyDescent="0.3">
      <c r="A26" s="3000">
        <v>39173</v>
      </c>
      <c r="B26" s="3001">
        <v>8.5</v>
      </c>
      <c r="C26" s="3001" t="s">
        <v>4589</v>
      </c>
      <c r="D26" s="3001" t="s">
        <v>4590</v>
      </c>
      <c r="E26" s="3002" t="s">
        <v>4596</v>
      </c>
      <c r="F26" s="3002" t="s">
        <v>4592</v>
      </c>
      <c r="G26" s="3003">
        <v>7.36</v>
      </c>
      <c r="H26" s="3003">
        <v>12.43</v>
      </c>
      <c r="I26" s="3004">
        <v>11.52</v>
      </c>
    </row>
    <row r="27" spans="1:9" ht="18" hidden="1" customHeight="1" x14ac:dyDescent="0.3">
      <c r="A27" s="3000">
        <v>39203</v>
      </c>
      <c r="B27" s="3001">
        <v>8.5</v>
      </c>
      <c r="C27" s="3001" t="s">
        <v>4589</v>
      </c>
      <c r="D27" s="3001" t="s">
        <v>4590</v>
      </c>
      <c r="E27" s="3002" t="s">
        <v>4594</v>
      </c>
      <c r="F27" s="3002" t="s">
        <v>4592</v>
      </c>
      <c r="G27" s="3003">
        <v>7.3</v>
      </c>
      <c r="H27" s="3003">
        <v>12.35</v>
      </c>
      <c r="I27" s="3004">
        <v>11.65</v>
      </c>
    </row>
    <row r="28" spans="1:9" ht="18" hidden="1" customHeight="1" x14ac:dyDescent="0.3">
      <c r="A28" s="3000">
        <v>39234</v>
      </c>
      <c r="B28" s="3001">
        <v>8.5</v>
      </c>
      <c r="C28" s="3001" t="s">
        <v>4589</v>
      </c>
      <c r="D28" s="3001" t="s">
        <v>4590</v>
      </c>
      <c r="E28" s="3002" t="s">
        <v>4597</v>
      </c>
      <c r="F28" s="3002" t="s">
        <v>4592</v>
      </c>
      <c r="G28" s="3003">
        <v>7.21</v>
      </c>
      <c r="H28" s="3003">
        <v>12.35</v>
      </c>
      <c r="I28" s="3004">
        <v>11.04</v>
      </c>
    </row>
    <row r="29" spans="1:9" ht="18" hidden="1" customHeight="1" x14ac:dyDescent="0.3">
      <c r="A29" s="3000">
        <v>39264</v>
      </c>
      <c r="B29" s="3001">
        <v>9.25</v>
      </c>
      <c r="C29" s="3001" t="s">
        <v>4598</v>
      </c>
      <c r="D29" s="3001" t="s">
        <v>4599</v>
      </c>
      <c r="E29" s="3002" t="s">
        <v>4594</v>
      </c>
      <c r="F29" s="3002" t="s">
        <v>4600</v>
      </c>
      <c r="G29" s="3003">
        <v>7.79</v>
      </c>
      <c r="H29" s="3003">
        <v>12.73</v>
      </c>
      <c r="I29" s="3004">
        <v>11.29</v>
      </c>
    </row>
    <row r="30" spans="1:9" ht="18" hidden="1" customHeight="1" x14ac:dyDescent="0.3">
      <c r="A30" s="3000">
        <v>39295</v>
      </c>
      <c r="B30" s="3001">
        <v>9.25</v>
      </c>
      <c r="C30" s="3001" t="s">
        <v>4598</v>
      </c>
      <c r="D30" s="3001" t="s">
        <v>4599</v>
      </c>
      <c r="E30" s="3002" t="s">
        <v>4594</v>
      </c>
      <c r="F30" s="3002" t="s">
        <v>4588</v>
      </c>
      <c r="G30" s="3003">
        <v>7.88</v>
      </c>
      <c r="H30" s="3003">
        <v>12.76</v>
      </c>
      <c r="I30" s="3004">
        <v>10.029999999999999</v>
      </c>
    </row>
    <row r="31" spans="1:9" ht="18" hidden="1" customHeight="1" x14ac:dyDescent="0.3">
      <c r="A31" s="3000">
        <v>39326</v>
      </c>
      <c r="B31" s="3001">
        <v>9.25</v>
      </c>
      <c r="C31" s="3001" t="s">
        <v>4598</v>
      </c>
      <c r="D31" s="3001" t="s">
        <v>4599</v>
      </c>
      <c r="E31" s="3002" t="s">
        <v>4594</v>
      </c>
      <c r="F31" s="3002" t="s">
        <v>4601</v>
      </c>
      <c r="G31" s="3003">
        <v>7.79</v>
      </c>
      <c r="H31" s="3003">
        <v>12.72</v>
      </c>
      <c r="I31" s="3004">
        <v>9.4499999999999993</v>
      </c>
    </row>
    <row r="32" spans="1:9" ht="18" hidden="1" customHeight="1" x14ac:dyDescent="0.3">
      <c r="A32" s="3000">
        <v>39356</v>
      </c>
      <c r="B32" s="3001">
        <v>9.25</v>
      </c>
      <c r="C32" s="3001" t="s">
        <v>4602</v>
      </c>
      <c r="D32" s="3001" t="s">
        <v>4599</v>
      </c>
      <c r="E32" s="3002" t="s">
        <v>4596</v>
      </c>
      <c r="F32" s="3002" t="s">
        <v>4603</v>
      </c>
      <c r="G32" s="3003">
        <v>7.72</v>
      </c>
      <c r="H32" s="3003">
        <v>12.77</v>
      </c>
      <c r="I32" s="3004">
        <v>9.14</v>
      </c>
    </row>
    <row r="33" spans="1:9" ht="18" hidden="1" customHeight="1" x14ac:dyDescent="0.3">
      <c r="A33" s="3000">
        <v>39387</v>
      </c>
      <c r="B33" s="3001">
        <v>9.25</v>
      </c>
      <c r="C33" s="3001" t="s">
        <v>4602</v>
      </c>
      <c r="D33" s="3001" t="s">
        <v>4599</v>
      </c>
      <c r="E33" s="3002" t="s">
        <v>4604</v>
      </c>
      <c r="F33" s="3002" t="s">
        <v>4601</v>
      </c>
      <c r="G33" s="3003">
        <v>7.72</v>
      </c>
      <c r="H33" s="3003">
        <v>12.82</v>
      </c>
      <c r="I33" s="3004">
        <v>9.16</v>
      </c>
    </row>
    <row r="34" spans="1:9" ht="18" hidden="1" customHeight="1" x14ac:dyDescent="0.3">
      <c r="A34" s="3000">
        <v>39417</v>
      </c>
      <c r="B34" s="3001">
        <v>9.25</v>
      </c>
      <c r="C34" s="3001" t="s">
        <v>4602</v>
      </c>
      <c r="D34" s="3001" t="s">
        <v>4599</v>
      </c>
      <c r="E34" s="3002" t="s">
        <v>4604</v>
      </c>
      <c r="F34" s="3002" t="s">
        <v>4601</v>
      </c>
      <c r="G34" s="3003">
        <v>7.43</v>
      </c>
      <c r="H34" s="3003">
        <v>12.84</v>
      </c>
      <c r="I34" s="3004">
        <v>10.029999999999999</v>
      </c>
    </row>
    <row r="35" spans="1:9" ht="18" hidden="1" customHeight="1" x14ac:dyDescent="0.3">
      <c r="A35" s="3000">
        <v>39455</v>
      </c>
      <c r="B35" s="3001">
        <v>9.25</v>
      </c>
      <c r="C35" s="3001" t="s">
        <v>4602</v>
      </c>
      <c r="D35" s="3001" t="s">
        <v>4599</v>
      </c>
      <c r="E35" s="3002" t="s">
        <v>4594</v>
      </c>
      <c r="F35" s="3002" t="s">
        <v>4601</v>
      </c>
      <c r="G35" s="3003">
        <v>7.58</v>
      </c>
      <c r="H35" s="3003">
        <v>13.03</v>
      </c>
      <c r="I35" s="3004">
        <v>9.85</v>
      </c>
    </row>
    <row r="36" spans="1:9" ht="18" hidden="1" customHeight="1" x14ac:dyDescent="0.3">
      <c r="A36" s="3000">
        <v>39486</v>
      </c>
      <c r="B36" s="3001">
        <v>9</v>
      </c>
      <c r="C36" s="3001" t="s">
        <v>4605</v>
      </c>
      <c r="D36" s="3001" t="s">
        <v>4606</v>
      </c>
      <c r="E36" s="3002" t="s">
        <v>4607</v>
      </c>
      <c r="F36" s="3002" t="s">
        <v>4608</v>
      </c>
      <c r="G36" s="3003">
        <v>7.36</v>
      </c>
      <c r="H36" s="3003">
        <v>12.87</v>
      </c>
      <c r="I36" s="3004">
        <v>8.26</v>
      </c>
    </row>
    <row r="37" spans="1:9" ht="18" hidden="1" customHeight="1" x14ac:dyDescent="0.3">
      <c r="A37" s="3000">
        <v>39515</v>
      </c>
      <c r="B37" s="3001">
        <v>8.5</v>
      </c>
      <c r="C37" s="3001" t="s">
        <v>4609</v>
      </c>
      <c r="D37" s="3001" t="s">
        <v>4610</v>
      </c>
      <c r="E37" s="3002" t="s">
        <v>4607</v>
      </c>
      <c r="F37" s="3002" t="s">
        <v>4611</v>
      </c>
      <c r="G37" s="3003">
        <v>7.08</v>
      </c>
      <c r="H37" s="3003">
        <v>12.46</v>
      </c>
      <c r="I37" s="3004">
        <v>7.51</v>
      </c>
    </row>
    <row r="38" spans="1:9" ht="18" hidden="1" customHeight="1" x14ac:dyDescent="0.3">
      <c r="A38" s="3000">
        <v>39546</v>
      </c>
      <c r="B38" s="3001">
        <v>8.5</v>
      </c>
      <c r="C38" s="3001" t="s">
        <v>4609</v>
      </c>
      <c r="D38" s="3001" t="s">
        <v>1306</v>
      </c>
      <c r="E38" s="3002" t="s">
        <v>4607</v>
      </c>
      <c r="F38" s="3002" t="s">
        <v>4612</v>
      </c>
      <c r="G38" s="3003">
        <v>6.91</v>
      </c>
      <c r="H38" s="3003">
        <v>12.49</v>
      </c>
      <c r="I38" s="3004">
        <v>7.56</v>
      </c>
    </row>
    <row r="39" spans="1:9" ht="18" hidden="1" customHeight="1" x14ac:dyDescent="0.3">
      <c r="A39" s="3000">
        <v>39576</v>
      </c>
      <c r="B39" s="3001">
        <v>8</v>
      </c>
      <c r="C39" s="3001" t="s">
        <v>4613</v>
      </c>
      <c r="D39" s="3001" t="s">
        <v>1321</v>
      </c>
      <c r="E39" s="3002" t="s">
        <v>4607</v>
      </c>
      <c r="F39" s="3002" t="s">
        <v>4614</v>
      </c>
      <c r="G39" s="3003">
        <v>6.54</v>
      </c>
      <c r="H39" s="3003">
        <v>12.03</v>
      </c>
      <c r="I39" s="3004">
        <v>7.33</v>
      </c>
    </row>
    <row r="40" spans="1:9" ht="18" hidden="1" customHeight="1" x14ac:dyDescent="0.3">
      <c r="A40" s="3000">
        <v>39607</v>
      </c>
      <c r="B40" s="3001">
        <v>8</v>
      </c>
      <c r="C40" s="3001" t="s">
        <v>4613</v>
      </c>
      <c r="D40" s="3001" t="s">
        <v>1321</v>
      </c>
      <c r="E40" s="3002" t="s">
        <v>3931</v>
      </c>
      <c r="F40" s="3002" t="s">
        <v>4615</v>
      </c>
      <c r="G40" s="3003">
        <v>6.4</v>
      </c>
      <c r="H40" s="3003">
        <v>12.03</v>
      </c>
      <c r="I40" s="3004">
        <v>7.37</v>
      </c>
    </row>
    <row r="41" spans="1:9" ht="16.5" hidden="1" x14ac:dyDescent="0.3">
      <c r="A41" s="3000">
        <v>39637</v>
      </c>
      <c r="B41" s="3001">
        <v>8.25</v>
      </c>
      <c r="C41" s="3001" t="s">
        <v>4613</v>
      </c>
      <c r="D41" s="3001" t="s">
        <v>4616</v>
      </c>
      <c r="E41" s="3002" t="s">
        <v>3931</v>
      </c>
      <c r="F41" s="3002" t="s">
        <v>4617</v>
      </c>
      <c r="G41" s="3003">
        <v>6.6</v>
      </c>
      <c r="H41" s="3003">
        <v>12.04</v>
      </c>
      <c r="I41" s="3004">
        <v>7.36</v>
      </c>
    </row>
    <row r="42" spans="1:9" ht="16.5" hidden="1" x14ac:dyDescent="0.3">
      <c r="A42" s="3000">
        <v>39668</v>
      </c>
      <c r="B42" s="3001">
        <v>8.25</v>
      </c>
      <c r="C42" s="3001" t="s">
        <v>4609</v>
      </c>
      <c r="D42" s="3001" t="s">
        <v>4616</v>
      </c>
      <c r="E42" s="3002" t="s">
        <v>3931</v>
      </c>
      <c r="F42" s="3002" t="s">
        <v>4618</v>
      </c>
      <c r="G42" s="3003">
        <v>6.65</v>
      </c>
      <c r="H42" s="3003">
        <v>12.31</v>
      </c>
      <c r="I42" s="3004">
        <v>7.93</v>
      </c>
    </row>
    <row r="43" spans="1:9" ht="18" hidden="1" customHeight="1" x14ac:dyDescent="0.3">
      <c r="A43" s="3000">
        <v>39699</v>
      </c>
      <c r="B43" s="3001">
        <v>8.25</v>
      </c>
      <c r="C43" s="3001" t="s">
        <v>4609</v>
      </c>
      <c r="D43" s="3001" t="s">
        <v>4616</v>
      </c>
      <c r="E43" s="3002" t="s">
        <v>3931</v>
      </c>
      <c r="F43" s="3002" t="s">
        <v>4619</v>
      </c>
      <c r="G43" s="3003">
        <v>6.7</v>
      </c>
      <c r="H43" s="3003">
        <v>12.27</v>
      </c>
      <c r="I43" s="3004">
        <v>8.91</v>
      </c>
    </row>
    <row r="44" spans="1:9" ht="18" hidden="1" customHeight="1" x14ac:dyDescent="0.3">
      <c r="A44" s="3000">
        <v>39729</v>
      </c>
      <c r="B44" s="3001">
        <v>7.75</v>
      </c>
      <c r="C44" s="3001" t="s">
        <v>4609</v>
      </c>
      <c r="D44" s="3001" t="s">
        <v>4616</v>
      </c>
      <c r="E44" s="3002" t="s">
        <v>3931</v>
      </c>
      <c r="F44" s="3002" t="s">
        <v>4619</v>
      </c>
      <c r="G44" s="3003">
        <v>6.76</v>
      </c>
      <c r="H44" s="3003">
        <v>12.26</v>
      </c>
      <c r="I44" s="3004">
        <v>9.4</v>
      </c>
    </row>
    <row r="45" spans="1:9" ht="18" hidden="1" customHeight="1" x14ac:dyDescent="0.3">
      <c r="A45" s="3000">
        <v>39760</v>
      </c>
      <c r="B45" s="3001">
        <v>7.75</v>
      </c>
      <c r="C45" s="3001" t="s">
        <v>4620</v>
      </c>
      <c r="D45" s="3001" t="s">
        <v>4621</v>
      </c>
      <c r="E45" s="3002" t="s">
        <v>4622</v>
      </c>
      <c r="F45" s="3002" t="s">
        <v>4623</v>
      </c>
      <c r="G45" s="3003">
        <v>6.38</v>
      </c>
      <c r="H45" s="3003">
        <v>11.74</v>
      </c>
      <c r="I45" s="3004">
        <v>9.24</v>
      </c>
    </row>
    <row r="46" spans="1:9" ht="18" hidden="1" customHeight="1" x14ac:dyDescent="0.3">
      <c r="A46" s="3000">
        <v>39790</v>
      </c>
      <c r="B46" s="3001">
        <v>6.75</v>
      </c>
      <c r="C46" s="3001" t="s">
        <v>4624</v>
      </c>
      <c r="D46" s="3001" t="s">
        <v>4625</v>
      </c>
      <c r="E46" s="3002" t="s">
        <v>3931</v>
      </c>
      <c r="F46" s="3002" t="s">
        <v>4626</v>
      </c>
      <c r="G46" s="3003">
        <v>5.77</v>
      </c>
      <c r="H46" s="3003">
        <v>11.04</v>
      </c>
      <c r="I46" s="3004">
        <v>8.9600000000000009</v>
      </c>
    </row>
    <row r="47" spans="1:9" ht="18" hidden="1" customHeight="1" x14ac:dyDescent="0.3">
      <c r="A47" s="3000">
        <v>39821</v>
      </c>
      <c r="B47" s="3001">
        <v>6.75</v>
      </c>
      <c r="C47" s="3001" t="s">
        <v>4624</v>
      </c>
      <c r="D47" s="3001" t="s">
        <v>4625</v>
      </c>
      <c r="E47" s="3002" t="s">
        <v>3931</v>
      </c>
      <c r="F47" s="3002" t="s">
        <v>4626</v>
      </c>
      <c r="G47" s="3003">
        <v>5.79</v>
      </c>
      <c r="H47" s="3003">
        <v>10.99</v>
      </c>
      <c r="I47" s="3004">
        <v>8.0399999999999991</v>
      </c>
    </row>
    <row r="48" spans="1:9" ht="18" hidden="1" customHeight="1" x14ac:dyDescent="0.3">
      <c r="A48" s="3000">
        <v>39852</v>
      </c>
      <c r="B48" s="3001">
        <v>6.75</v>
      </c>
      <c r="C48" s="3001" t="s">
        <v>4624</v>
      </c>
      <c r="D48" s="3001" t="s">
        <v>4625</v>
      </c>
      <c r="E48" s="3002" t="s">
        <v>3931</v>
      </c>
      <c r="F48" s="3002" t="s">
        <v>4626</v>
      </c>
      <c r="G48" s="3003">
        <v>5.79</v>
      </c>
      <c r="H48" s="3003">
        <v>10.98</v>
      </c>
      <c r="I48" s="3004">
        <v>7.02</v>
      </c>
    </row>
    <row r="49" spans="1:9" ht="18" hidden="1" customHeight="1" x14ac:dyDescent="0.3">
      <c r="A49" s="3000">
        <v>39880</v>
      </c>
      <c r="B49" s="3001">
        <v>5.75</v>
      </c>
      <c r="C49" s="3001" t="s">
        <v>4627</v>
      </c>
      <c r="D49" s="3001" t="s">
        <v>4628</v>
      </c>
      <c r="E49" s="3002" t="s">
        <v>4607</v>
      </c>
      <c r="F49" s="3002" t="s">
        <v>4626</v>
      </c>
      <c r="G49" s="3003">
        <v>5.44</v>
      </c>
      <c r="H49" s="3003">
        <v>10.54</v>
      </c>
      <c r="I49" s="3004">
        <v>6.07</v>
      </c>
    </row>
    <row r="50" spans="1:9" ht="18" hidden="1" customHeight="1" x14ac:dyDescent="0.3">
      <c r="A50" s="3000">
        <v>39911</v>
      </c>
      <c r="B50" s="3001">
        <v>5.75</v>
      </c>
      <c r="C50" s="3001" t="s">
        <v>4629</v>
      </c>
      <c r="D50" s="3001" t="s">
        <v>4630</v>
      </c>
      <c r="E50" s="3002" t="s">
        <v>4406</v>
      </c>
      <c r="F50" s="3002" t="s">
        <v>4626</v>
      </c>
      <c r="G50" s="3003">
        <v>4.79</v>
      </c>
      <c r="H50" s="3003">
        <v>10.220000000000001</v>
      </c>
      <c r="I50" s="3004">
        <v>5.09</v>
      </c>
    </row>
    <row r="51" spans="1:9" ht="18" hidden="1" customHeight="1" x14ac:dyDescent="0.3">
      <c r="A51" s="3000">
        <v>39941</v>
      </c>
      <c r="B51" s="3001">
        <v>5.75</v>
      </c>
      <c r="C51" s="3001" t="s">
        <v>4629</v>
      </c>
      <c r="D51" s="3001" t="s">
        <v>4630</v>
      </c>
      <c r="E51" s="3002" t="s">
        <v>4406</v>
      </c>
      <c r="F51" s="3002" t="s">
        <v>4626</v>
      </c>
      <c r="G51" s="3003">
        <v>4.8099999999999996</v>
      </c>
      <c r="H51" s="3003">
        <v>10.210000000000001</v>
      </c>
      <c r="I51" s="3004">
        <v>4.79</v>
      </c>
    </row>
    <row r="52" spans="1:9" ht="18" hidden="1" customHeight="1" x14ac:dyDescent="0.3">
      <c r="A52" s="3000">
        <v>39972</v>
      </c>
      <c r="B52" s="3001">
        <v>5.75</v>
      </c>
      <c r="C52" s="3001" t="s">
        <v>4629</v>
      </c>
      <c r="D52" s="3001" t="s">
        <v>4630</v>
      </c>
      <c r="E52" s="3002" t="s">
        <v>4406</v>
      </c>
      <c r="F52" s="3002" t="s">
        <v>4626</v>
      </c>
      <c r="G52" s="3003">
        <v>4.78</v>
      </c>
      <c r="H52" s="3003">
        <v>10.119999999999999</v>
      </c>
      <c r="I52" s="3004">
        <v>4.72</v>
      </c>
    </row>
    <row r="53" spans="1:9" ht="18" hidden="1" customHeight="1" x14ac:dyDescent="0.3">
      <c r="A53" s="3000">
        <v>40002</v>
      </c>
      <c r="B53" s="3001">
        <v>5.75</v>
      </c>
      <c r="C53" s="3001" t="s">
        <v>4629</v>
      </c>
      <c r="D53" s="3001" t="s">
        <v>4630</v>
      </c>
      <c r="E53" s="3002" t="s">
        <v>4406</v>
      </c>
      <c r="F53" s="3002" t="s">
        <v>4626</v>
      </c>
      <c r="G53" s="3003">
        <v>4.75</v>
      </c>
      <c r="H53" s="3003">
        <v>10.16</v>
      </c>
      <c r="I53" s="3004">
        <v>4.66</v>
      </c>
    </row>
    <row r="54" spans="1:9" ht="18" hidden="1" customHeight="1" x14ac:dyDescent="0.3">
      <c r="A54" s="3000">
        <v>40033</v>
      </c>
      <c r="B54" s="3001">
        <v>5.75</v>
      </c>
      <c r="C54" s="3001" t="s">
        <v>4629</v>
      </c>
      <c r="D54" s="3001" t="s">
        <v>4630</v>
      </c>
      <c r="E54" s="3002" t="s">
        <v>4406</v>
      </c>
      <c r="F54" s="3002" t="s">
        <v>4626</v>
      </c>
      <c r="G54" s="3003">
        <v>4.74</v>
      </c>
      <c r="H54" s="3003">
        <v>10.119999999999999</v>
      </c>
      <c r="I54" s="3004">
        <v>4.5</v>
      </c>
    </row>
    <row r="55" spans="1:9" ht="18" hidden="1" customHeight="1" x14ac:dyDescent="0.3">
      <c r="A55" s="3000">
        <v>40064</v>
      </c>
      <c r="B55" s="3001">
        <v>5.75</v>
      </c>
      <c r="C55" s="3001" t="s">
        <v>4629</v>
      </c>
      <c r="D55" s="3001" t="s">
        <v>4630</v>
      </c>
      <c r="E55" s="3002" t="s">
        <v>4406</v>
      </c>
      <c r="F55" s="3002" t="s">
        <v>4626</v>
      </c>
      <c r="G55" s="3003">
        <v>4.66</v>
      </c>
      <c r="H55" s="3003">
        <v>10.09</v>
      </c>
      <c r="I55" s="3004">
        <v>4.45</v>
      </c>
    </row>
    <row r="56" spans="1:9" ht="18" hidden="1" customHeight="1" x14ac:dyDescent="0.3">
      <c r="A56" s="3000">
        <v>40094</v>
      </c>
      <c r="B56" s="3001">
        <v>5.75</v>
      </c>
      <c r="C56" s="3001" t="s">
        <v>4629</v>
      </c>
      <c r="D56" s="3001" t="s">
        <v>4630</v>
      </c>
      <c r="E56" s="3002" t="s">
        <v>4406</v>
      </c>
      <c r="F56" s="3002" t="s">
        <v>4626</v>
      </c>
      <c r="G56" s="3003">
        <v>4.6500000000000004</v>
      </c>
      <c r="H56" s="3003">
        <v>10.15</v>
      </c>
      <c r="I56" s="3004">
        <v>4.71</v>
      </c>
    </row>
    <row r="57" spans="1:9" ht="18" hidden="1" customHeight="1" x14ac:dyDescent="0.3">
      <c r="A57" s="3000">
        <v>40125</v>
      </c>
      <c r="B57" s="3001">
        <v>5.75</v>
      </c>
      <c r="C57" s="3001" t="s">
        <v>4629</v>
      </c>
      <c r="D57" s="3001" t="s">
        <v>4630</v>
      </c>
      <c r="E57" s="3002" t="s">
        <v>4406</v>
      </c>
      <c r="F57" s="3002" t="s">
        <v>4626</v>
      </c>
      <c r="G57" s="3003">
        <v>4.66</v>
      </c>
      <c r="H57" s="3003">
        <v>10.08</v>
      </c>
      <c r="I57" s="3004">
        <v>4.49</v>
      </c>
    </row>
    <row r="58" spans="1:9" ht="18" hidden="1" customHeight="1" x14ac:dyDescent="0.3">
      <c r="A58" s="3000">
        <v>40155</v>
      </c>
      <c r="B58" s="3001">
        <v>5.75</v>
      </c>
      <c r="C58" s="3001" t="s">
        <v>4629</v>
      </c>
      <c r="D58" s="3001" t="s">
        <v>4630</v>
      </c>
      <c r="E58" s="3002" t="s">
        <v>4406</v>
      </c>
      <c r="F58" s="3002" t="s">
        <v>4626</v>
      </c>
      <c r="G58" s="3003">
        <v>4.57</v>
      </c>
      <c r="H58" s="3003">
        <v>10.08</v>
      </c>
      <c r="I58" s="3004">
        <v>4.4000000000000004</v>
      </c>
    </row>
    <row r="59" spans="1:9" ht="18" hidden="1" customHeight="1" x14ac:dyDescent="0.3">
      <c r="A59" s="3000">
        <v>40186</v>
      </c>
      <c r="B59" s="3001">
        <v>5.75</v>
      </c>
      <c r="C59" s="3001" t="s">
        <v>4629</v>
      </c>
      <c r="D59" s="3001" t="s">
        <v>4630</v>
      </c>
      <c r="E59" s="3002" t="s">
        <v>4406</v>
      </c>
      <c r="F59" s="3002" t="s">
        <v>4631</v>
      </c>
      <c r="G59" s="3003" t="s">
        <v>4632</v>
      </c>
      <c r="H59" s="3003">
        <v>10.050000000000001</v>
      </c>
      <c r="I59" s="3004">
        <v>4.5199999999999996</v>
      </c>
    </row>
    <row r="60" spans="1:9" ht="18" hidden="1" customHeight="1" x14ac:dyDescent="0.3">
      <c r="A60" s="3000">
        <v>40217</v>
      </c>
      <c r="B60" s="3001">
        <v>5.75</v>
      </c>
      <c r="C60" s="3001" t="s">
        <v>4629</v>
      </c>
      <c r="D60" s="3001" t="s">
        <v>4630</v>
      </c>
      <c r="E60" s="3002" t="s">
        <v>4406</v>
      </c>
      <c r="F60" s="3002" t="s">
        <v>4631</v>
      </c>
      <c r="G60" s="3003">
        <v>4.55</v>
      </c>
      <c r="H60" s="3003">
        <v>10.01</v>
      </c>
      <c r="I60" s="3004">
        <v>4.4800000000000004</v>
      </c>
    </row>
    <row r="61" spans="1:9" ht="18" hidden="1" customHeight="1" x14ac:dyDescent="0.3">
      <c r="A61" s="3000">
        <v>40245</v>
      </c>
      <c r="B61" s="3001">
        <v>5.75</v>
      </c>
      <c r="C61" s="3001" t="s">
        <v>4629</v>
      </c>
      <c r="D61" s="3001" t="s">
        <v>4630</v>
      </c>
      <c r="E61" s="3002" t="s">
        <v>4406</v>
      </c>
      <c r="F61" s="3002" t="s">
        <v>4631</v>
      </c>
      <c r="G61" s="3003">
        <v>4.5199999999999996</v>
      </c>
      <c r="H61" s="3003">
        <v>9.99</v>
      </c>
      <c r="I61" s="3004">
        <v>4.24</v>
      </c>
    </row>
    <row r="62" spans="1:9" ht="18" hidden="1" customHeight="1" x14ac:dyDescent="0.3">
      <c r="A62" s="3000">
        <v>40276</v>
      </c>
      <c r="B62" s="3001">
        <v>5.75</v>
      </c>
      <c r="C62" s="3001" t="s">
        <v>4629</v>
      </c>
      <c r="D62" s="3001" t="s">
        <v>4630</v>
      </c>
      <c r="E62" s="3002" t="s">
        <v>4406</v>
      </c>
      <c r="F62" s="3002" t="s">
        <v>4631</v>
      </c>
      <c r="G62" s="3003">
        <v>4.5599999999999996</v>
      </c>
      <c r="H62" s="3003">
        <v>10.029999999999999</v>
      </c>
      <c r="I62" s="3004">
        <v>4.49</v>
      </c>
    </row>
    <row r="63" spans="1:9" ht="18" hidden="1" customHeight="1" x14ac:dyDescent="0.3">
      <c r="A63" s="3000">
        <v>40306</v>
      </c>
      <c r="B63" s="3001">
        <v>5.75</v>
      </c>
      <c r="C63" s="3001" t="s">
        <v>4629</v>
      </c>
      <c r="D63" s="3001" t="s">
        <v>4630</v>
      </c>
      <c r="E63" s="3002" t="s">
        <v>4406</v>
      </c>
      <c r="F63" s="3002" t="s">
        <v>4631</v>
      </c>
      <c r="G63" s="3003">
        <v>4.5199999999999996</v>
      </c>
      <c r="H63" s="3003">
        <v>10.02</v>
      </c>
      <c r="I63" s="3004">
        <v>3.91</v>
      </c>
    </row>
    <row r="64" spans="1:9" ht="18" hidden="1" customHeight="1" x14ac:dyDescent="0.3">
      <c r="A64" s="3000">
        <v>40337</v>
      </c>
      <c r="B64" s="3001">
        <v>5.75</v>
      </c>
      <c r="C64" s="3001" t="s">
        <v>4629</v>
      </c>
      <c r="D64" s="3001" t="s">
        <v>4630</v>
      </c>
      <c r="E64" s="3002" t="s">
        <v>4406</v>
      </c>
      <c r="F64" s="3002" t="s">
        <v>4631</v>
      </c>
      <c r="G64" s="3003">
        <v>4.57</v>
      </c>
      <c r="H64" s="3003">
        <v>10.06</v>
      </c>
      <c r="I64" s="3004">
        <v>3.48</v>
      </c>
    </row>
    <row r="65" spans="1:9" ht="18" hidden="1" customHeight="1" x14ac:dyDescent="0.3">
      <c r="A65" s="3000">
        <v>40367</v>
      </c>
      <c r="B65" s="3001">
        <v>5.75</v>
      </c>
      <c r="C65" s="3001" t="s">
        <v>4629</v>
      </c>
      <c r="D65" s="3001" t="s">
        <v>4630</v>
      </c>
      <c r="E65" s="3002" t="s">
        <v>4406</v>
      </c>
      <c r="F65" s="3002" t="s">
        <v>4631</v>
      </c>
      <c r="G65" s="3003">
        <v>4.58</v>
      </c>
      <c r="H65" s="3003">
        <v>9.98</v>
      </c>
      <c r="I65" s="3004">
        <v>3.77</v>
      </c>
    </row>
    <row r="66" spans="1:9" ht="18" hidden="1" customHeight="1" x14ac:dyDescent="0.3">
      <c r="A66" s="3000">
        <v>40398</v>
      </c>
      <c r="B66" s="3001">
        <v>5.75</v>
      </c>
      <c r="C66" s="3001" t="s">
        <v>4629</v>
      </c>
      <c r="D66" s="3001" t="s">
        <v>4630</v>
      </c>
      <c r="E66" s="3002" t="s">
        <v>4406</v>
      </c>
      <c r="F66" s="3002" t="s">
        <v>4631</v>
      </c>
      <c r="G66" s="3003">
        <v>4.5599999999999996</v>
      </c>
      <c r="H66" s="3003">
        <v>9.91</v>
      </c>
      <c r="I66" s="3004">
        <v>2.92</v>
      </c>
    </row>
    <row r="67" spans="1:9" ht="18" hidden="1" customHeight="1" x14ac:dyDescent="0.3">
      <c r="A67" s="3000">
        <v>40429</v>
      </c>
      <c r="B67" s="3001">
        <v>4.75</v>
      </c>
      <c r="C67" s="3001" t="s">
        <v>4633</v>
      </c>
      <c r="D67" s="3001" t="s">
        <v>4634</v>
      </c>
      <c r="E67" s="3002" t="s">
        <v>4372</v>
      </c>
      <c r="F67" s="3002" t="s">
        <v>4631</v>
      </c>
      <c r="G67" s="3003">
        <v>4.5</v>
      </c>
      <c r="H67" s="3003">
        <v>9.9</v>
      </c>
      <c r="I67" s="3004">
        <v>2.81</v>
      </c>
    </row>
    <row r="68" spans="1:9" ht="18" hidden="1" customHeight="1" x14ac:dyDescent="0.3">
      <c r="A68" s="3000" t="s">
        <v>4635</v>
      </c>
      <c r="B68" s="3001">
        <v>4.75</v>
      </c>
      <c r="C68" s="3001" t="s">
        <v>4636</v>
      </c>
      <c r="D68" s="3001" t="s">
        <v>4637</v>
      </c>
      <c r="E68" s="3002" t="s">
        <v>4372</v>
      </c>
      <c r="F68" s="3002" t="s">
        <v>4638</v>
      </c>
      <c r="G68" s="3003">
        <v>3.85</v>
      </c>
      <c r="H68" s="3003">
        <v>9.23</v>
      </c>
      <c r="I68" s="3004">
        <v>4.42</v>
      </c>
    </row>
    <row r="69" spans="1:9" ht="18" hidden="1" customHeight="1" x14ac:dyDescent="0.3">
      <c r="A69" s="3000" t="s">
        <v>4639</v>
      </c>
      <c r="B69" s="3001">
        <v>4.75</v>
      </c>
      <c r="C69" s="3001" t="s">
        <v>4636</v>
      </c>
      <c r="D69" s="3001" t="s">
        <v>4637</v>
      </c>
      <c r="E69" s="3002" t="s">
        <v>4640</v>
      </c>
      <c r="F69" s="3002" t="s">
        <v>4641</v>
      </c>
      <c r="G69" s="3003">
        <v>3.78</v>
      </c>
      <c r="H69" s="3003">
        <v>9.26</v>
      </c>
      <c r="I69" s="3004">
        <v>3.85</v>
      </c>
    </row>
    <row r="70" spans="1:9" ht="18" hidden="1" customHeight="1" x14ac:dyDescent="0.3">
      <c r="A70" s="3000" t="s">
        <v>4642</v>
      </c>
      <c r="B70" s="3001">
        <v>4.75</v>
      </c>
      <c r="C70" s="3001" t="s">
        <v>4636</v>
      </c>
      <c r="D70" s="3001" t="s">
        <v>4637</v>
      </c>
      <c r="E70" s="3002" t="s">
        <v>4640</v>
      </c>
      <c r="F70" s="3002" t="s">
        <v>4641</v>
      </c>
      <c r="G70" s="3003">
        <v>3.65</v>
      </c>
      <c r="H70" s="3003">
        <v>9.2200000000000006</v>
      </c>
      <c r="I70" s="3004">
        <v>3.07</v>
      </c>
    </row>
    <row r="71" spans="1:9" ht="18" hidden="1" customHeight="1" x14ac:dyDescent="0.3">
      <c r="A71" s="3000" t="s">
        <v>4643</v>
      </c>
      <c r="B71" s="3001">
        <v>4.75</v>
      </c>
      <c r="C71" s="3001" t="s">
        <v>4636</v>
      </c>
      <c r="D71" s="3001" t="s">
        <v>4637</v>
      </c>
      <c r="E71" s="3002" t="s">
        <v>4640</v>
      </c>
      <c r="F71" s="3002" t="s">
        <v>4641</v>
      </c>
      <c r="G71" s="3003">
        <v>3.59</v>
      </c>
      <c r="H71" s="3003">
        <v>9.17</v>
      </c>
      <c r="I71" s="3004">
        <v>3.04</v>
      </c>
    </row>
    <row r="72" spans="1:9" ht="18.75" hidden="1" customHeight="1" x14ac:dyDescent="0.3">
      <c r="A72" s="3000" t="s">
        <v>4644</v>
      </c>
      <c r="B72" s="3001">
        <v>4.75</v>
      </c>
      <c r="C72" s="3001" t="s">
        <v>4636</v>
      </c>
      <c r="D72" s="3001" t="s">
        <v>4637</v>
      </c>
      <c r="E72" s="3002" t="s">
        <v>4640</v>
      </c>
      <c r="F72" s="3002" t="s">
        <v>4641</v>
      </c>
      <c r="G72" s="3003">
        <v>3.56</v>
      </c>
      <c r="H72" s="3003">
        <v>9.1199999999999992</v>
      </c>
      <c r="I72" s="3004">
        <v>2.77</v>
      </c>
    </row>
    <row r="73" spans="1:9" ht="18.75" hidden="1" customHeight="1" x14ac:dyDescent="0.3">
      <c r="A73" s="3000" t="s">
        <v>4645</v>
      </c>
      <c r="B73" s="3001">
        <v>5.25</v>
      </c>
      <c r="C73" s="3001" t="s">
        <v>4633</v>
      </c>
      <c r="D73" s="3001" t="s">
        <v>4637</v>
      </c>
      <c r="E73" s="3002" t="s">
        <v>4640</v>
      </c>
      <c r="F73" s="3002" t="s">
        <v>4641</v>
      </c>
      <c r="G73" s="3003">
        <v>3.81</v>
      </c>
      <c r="H73" s="3003">
        <v>9.14</v>
      </c>
      <c r="I73" s="3004">
        <v>2.39</v>
      </c>
    </row>
    <row r="74" spans="1:9" ht="18.75" hidden="1" customHeight="1" x14ac:dyDescent="0.3">
      <c r="A74" s="3000">
        <v>40634</v>
      </c>
      <c r="B74" s="3001">
        <v>5.25</v>
      </c>
      <c r="C74" s="3001" t="s">
        <v>4633</v>
      </c>
      <c r="D74" s="3001" t="s">
        <v>4637</v>
      </c>
      <c r="E74" s="3002" t="s">
        <v>4640</v>
      </c>
      <c r="F74" s="3002" t="s">
        <v>4641</v>
      </c>
      <c r="G74" s="3003">
        <v>4.13</v>
      </c>
      <c r="H74" s="3003">
        <v>9.4700000000000006</v>
      </c>
      <c r="I74" s="3004">
        <v>4.1500000000000004</v>
      </c>
    </row>
    <row r="75" spans="1:9" ht="18.75" hidden="1" customHeight="1" x14ac:dyDescent="0.3">
      <c r="A75" s="3000">
        <v>40664</v>
      </c>
      <c r="B75" s="3001">
        <v>5.25</v>
      </c>
      <c r="C75" s="3001" t="s">
        <v>4646</v>
      </c>
      <c r="D75" s="3001" t="s">
        <v>4637</v>
      </c>
      <c r="E75" s="3002" t="s">
        <v>4640</v>
      </c>
      <c r="F75" s="3002" t="s">
        <v>4641</v>
      </c>
      <c r="G75" s="3003">
        <v>4.12</v>
      </c>
      <c r="H75" s="3003">
        <v>9.4499999999999993</v>
      </c>
      <c r="I75" s="3004">
        <v>4.0599999999999996</v>
      </c>
    </row>
    <row r="76" spans="1:9" ht="18.75" hidden="1" customHeight="1" x14ac:dyDescent="0.3">
      <c r="A76" s="3000">
        <v>40695</v>
      </c>
      <c r="B76" s="3001">
        <v>5.5</v>
      </c>
      <c r="C76" s="3001" t="s">
        <v>4646</v>
      </c>
      <c r="D76" s="3001" t="s">
        <v>4647</v>
      </c>
      <c r="E76" s="3002" t="s">
        <v>4640</v>
      </c>
      <c r="F76" s="3002" t="s">
        <v>4641</v>
      </c>
      <c r="G76" s="3003">
        <v>4.25</v>
      </c>
      <c r="H76" s="3003">
        <v>9.58</v>
      </c>
      <c r="I76" s="3004">
        <v>4.33</v>
      </c>
    </row>
    <row r="77" spans="1:9" ht="18.75" hidden="1" customHeight="1" x14ac:dyDescent="0.3">
      <c r="A77" s="3000">
        <v>40725</v>
      </c>
      <c r="B77" s="3001">
        <v>5.5</v>
      </c>
      <c r="C77" s="3001" t="s">
        <v>4648</v>
      </c>
      <c r="D77" s="3001" t="s">
        <v>4647</v>
      </c>
      <c r="E77" s="3002" t="s">
        <v>4640</v>
      </c>
      <c r="F77" s="3002" t="s">
        <v>4641</v>
      </c>
      <c r="G77" s="3003">
        <v>4.37</v>
      </c>
      <c r="H77" s="3003">
        <v>9.65</v>
      </c>
      <c r="I77" s="3004">
        <v>4.4000000000000004</v>
      </c>
    </row>
    <row r="78" spans="1:9" ht="18.75" hidden="1" customHeight="1" x14ac:dyDescent="0.3">
      <c r="A78" s="3000">
        <v>40756</v>
      </c>
      <c r="B78" s="3001">
        <v>5.5</v>
      </c>
      <c r="C78" s="3001" t="s">
        <v>4648</v>
      </c>
      <c r="D78" s="3001" t="s">
        <v>4647</v>
      </c>
      <c r="E78" s="3002" t="s">
        <v>4640</v>
      </c>
      <c r="F78" s="3002" t="s">
        <v>4649</v>
      </c>
      <c r="G78" s="3003">
        <v>4.33</v>
      </c>
      <c r="H78" s="3003">
        <v>9.66</v>
      </c>
      <c r="I78" s="3004">
        <v>4.42</v>
      </c>
    </row>
    <row r="79" spans="1:9" ht="18.75" hidden="1" customHeight="1" x14ac:dyDescent="0.3">
      <c r="A79" s="3000">
        <v>40787</v>
      </c>
      <c r="B79" s="3001">
        <v>5.5</v>
      </c>
      <c r="C79" s="3001" t="s">
        <v>4648</v>
      </c>
      <c r="D79" s="3001" t="s">
        <v>4647</v>
      </c>
      <c r="E79" s="3002" t="s">
        <v>4640</v>
      </c>
      <c r="F79" s="3002" t="s">
        <v>4649</v>
      </c>
      <c r="G79" s="3003">
        <v>4.34</v>
      </c>
      <c r="H79" s="3003">
        <v>9.33</v>
      </c>
      <c r="I79" s="3004">
        <v>4.45</v>
      </c>
    </row>
    <row r="80" spans="1:9" ht="18.75" hidden="1" customHeight="1" x14ac:dyDescent="0.3">
      <c r="A80" s="3000">
        <v>40817</v>
      </c>
      <c r="B80" s="3001">
        <v>5.5</v>
      </c>
      <c r="C80" s="3001" t="s">
        <v>4648</v>
      </c>
      <c r="D80" s="3001" t="s">
        <v>4647</v>
      </c>
      <c r="E80" s="3002" t="s">
        <v>4640</v>
      </c>
      <c r="F80" s="3002" t="s">
        <v>4649</v>
      </c>
      <c r="G80" s="3003">
        <v>4.34</v>
      </c>
      <c r="H80" s="3003">
        <v>9.32</v>
      </c>
      <c r="I80" s="3004">
        <v>4.42</v>
      </c>
    </row>
    <row r="81" spans="1:9" ht="18.75" hidden="1" customHeight="1" x14ac:dyDescent="0.3">
      <c r="A81" s="3000">
        <v>40848</v>
      </c>
      <c r="B81" s="3001">
        <v>5.5</v>
      </c>
      <c r="C81" s="3001" t="s">
        <v>4648</v>
      </c>
      <c r="D81" s="3001" t="s">
        <v>4647</v>
      </c>
      <c r="E81" s="3002" t="s">
        <v>4640</v>
      </c>
      <c r="F81" s="3002" t="s">
        <v>4650</v>
      </c>
      <c r="G81" s="3003">
        <v>4.32</v>
      </c>
      <c r="H81" s="3003">
        <v>9.27</v>
      </c>
      <c r="I81" s="3004">
        <v>4.51</v>
      </c>
    </row>
    <row r="82" spans="1:9" ht="18.75" hidden="1" customHeight="1" x14ac:dyDescent="0.3">
      <c r="A82" s="3000">
        <v>40878</v>
      </c>
      <c r="B82" s="3001">
        <v>5.4</v>
      </c>
      <c r="C82" s="3001" t="s">
        <v>4648</v>
      </c>
      <c r="D82" s="3001" t="s">
        <v>4647</v>
      </c>
      <c r="E82" s="3002" t="s">
        <v>4640</v>
      </c>
      <c r="F82" s="3002" t="s">
        <v>4651</v>
      </c>
      <c r="G82" s="3003">
        <v>4.29</v>
      </c>
      <c r="H82" s="3003">
        <v>9.1999999999999993</v>
      </c>
      <c r="I82" s="3004">
        <v>4.59</v>
      </c>
    </row>
    <row r="83" spans="1:9" ht="18.75" hidden="1" customHeight="1" x14ac:dyDescent="0.3">
      <c r="A83" s="3000">
        <v>40910</v>
      </c>
      <c r="B83" s="3001">
        <v>5.4</v>
      </c>
      <c r="C83" s="3001" t="s">
        <v>4648</v>
      </c>
      <c r="D83" s="3001" t="s">
        <v>4647</v>
      </c>
      <c r="E83" s="3002" t="s">
        <v>4640</v>
      </c>
      <c r="F83" s="3002" t="s">
        <v>4651</v>
      </c>
      <c r="G83" s="3003">
        <v>4.1500000000000004</v>
      </c>
      <c r="H83" s="3003">
        <v>9.09</v>
      </c>
      <c r="I83" s="3004">
        <v>4.33</v>
      </c>
    </row>
    <row r="84" spans="1:9" ht="18.75" hidden="1" customHeight="1" x14ac:dyDescent="0.3">
      <c r="A84" s="3000">
        <v>40941</v>
      </c>
      <c r="B84" s="3001">
        <v>5.4</v>
      </c>
      <c r="C84" s="3001" t="s">
        <v>4648</v>
      </c>
      <c r="D84" s="3001" t="s">
        <v>4647</v>
      </c>
      <c r="E84" s="3002" t="s">
        <v>4640</v>
      </c>
      <c r="F84" s="3002" t="s">
        <v>4651</v>
      </c>
      <c r="G84" s="3003">
        <v>4.13</v>
      </c>
      <c r="H84" s="3003">
        <v>9.06</v>
      </c>
      <c r="I84" s="3004">
        <v>4.25</v>
      </c>
    </row>
    <row r="85" spans="1:9" ht="18.75" hidden="1" customHeight="1" x14ac:dyDescent="0.3">
      <c r="A85" s="3000">
        <v>40970</v>
      </c>
      <c r="B85" s="3001">
        <v>4.9000000000000004</v>
      </c>
      <c r="C85" s="3001" t="s">
        <v>4652</v>
      </c>
      <c r="D85" s="3001" t="s">
        <v>4653</v>
      </c>
      <c r="E85" s="3002" t="s">
        <v>4654</v>
      </c>
      <c r="F85" s="3002" t="s">
        <v>4655</v>
      </c>
      <c r="G85" s="3003">
        <v>3.86</v>
      </c>
      <c r="H85" s="3003">
        <v>8.9600000000000009</v>
      </c>
      <c r="I85" s="3004">
        <v>4.08</v>
      </c>
    </row>
    <row r="86" spans="1:9" ht="18.75" hidden="1" customHeight="1" x14ac:dyDescent="0.3">
      <c r="A86" s="3000">
        <v>41001</v>
      </c>
      <c r="B86" s="3001">
        <v>4.9000000000000004</v>
      </c>
      <c r="C86" s="3001" t="s">
        <v>4656</v>
      </c>
      <c r="D86" s="3001" t="s">
        <v>4657</v>
      </c>
      <c r="E86" s="3002" t="s">
        <v>4658</v>
      </c>
      <c r="F86" s="3002" t="s">
        <v>4659</v>
      </c>
      <c r="G86" s="3003">
        <v>3.8</v>
      </c>
      <c r="H86" s="3003">
        <v>8.57</v>
      </c>
      <c r="I86" s="3004">
        <v>3.77</v>
      </c>
    </row>
    <row r="87" spans="1:9" ht="18.75" hidden="1" customHeight="1" x14ac:dyDescent="0.3">
      <c r="A87" s="3000">
        <v>41031</v>
      </c>
      <c r="B87" s="3001">
        <v>4.9000000000000004</v>
      </c>
      <c r="C87" s="3001" t="s">
        <v>1309</v>
      </c>
      <c r="D87" s="3001" t="s">
        <v>4657</v>
      </c>
      <c r="E87" s="3002" t="s">
        <v>4658</v>
      </c>
      <c r="F87" s="3002" t="s">
        <v>4660</v>
      </c>
      <c r="G87" s="3003">
        <v>3.82</v>
      </c>
      <c r="H87" s="3003">
        <v>8.59</v>
      </c>
      <c r="I87" s="3004">
        <v>3.71</v>
      </c>
    </row>
    <row r="88" spans="1:9" ht="18.75" hidden="1" customHeight="1" x14ac:dyDescent="0.3">
      <c r="A88" s="3000">
        <v>41062</v>
      </c>
      <c r="B88" s="3001">
        <v>4.9000000000000004</v>
      </c>
      <c r="C88" s="3001" t="s">
        <v>1309</v>
      </c>
      <c r="D88" s="3001" t="s">
        <v>4657</v>
      </c>
      <c r="E88" s="3002" t="s">
        <v>4661</v>
      </c>
      <c r="F88" s="3002" t="s">
        <v>4659</v>
      </c>
      <c r="G88" s="3003">
        <v>3.65</v>
      </c>
      <c r="H88" s="3003">
        <v>8.5299999999999994</v>
      </c>
      <c r="I88" s="3004">
        <v>3.44</v>
      </c>
    </row>
    <row r="89" spans="1:9" ht="18.75" hidden="1" customHeight="1" x14ac:dyDescent="0.3">
      <c r="A89" s="3000">
        <v>41092</v>
      </c>
      <c r="B89" s="3001">
        <v>4.9000000000000004</v>
      </c>
      <c r="C89" s="3001" t="s">
        <v>1309</v>
      </c>
      <c r="D89" s="3001" t="s">
        <v>4657</v>
      </c>
      <c r="E89" s="3002" t="s">
        <v>4661</v>
      </c>
      <c r="F89" s="3002" t="s">
        <v>4659</v>
      </c>
      <c r="G89" s="3003">
        <v>3.64</v>
      </c>
      <c r="H89" s="3003">
        <v>8.52</v>
      </c>
      <c r="I89" s="3004">
        <v>3.55</v>
      </c>
    </row>
    <row r="90" spans="1:9" ht="18.75" hidden="1" customHeight="1" x14ac:dyDescent="0.3">
      <c r="A90" s="3000">
        <v>41123</v>
      </c>
      <c r="B90" s="3001">
        <v>4.9000000000000004</v>
      </c>
      <c r="C90" s="3001" t="s">
        <v>1309</v>
      </c>
      <c r="D90" s="3001" t="s">
        <v>4657</v>
      </c>
      <c r="E90" s="3002" t="s">
        <v>4661</v>
      </c>
      <c r="F90" s="3002" t="s">
        <v>4659</v>
      </c>
      <c r="G90" s="3003">
        <v>3.67</v>
      </c>
      <c r="H90" s="3003">
        <v>8.5399999999999991</v>
      </c>
      <c r="I90" s="3004">
        <v>3.56</v>
      </c>
    </row>
    <row r="91" spans="1:9" ht="18.75" hidden="1" customHeight="1" x14ac:dyDescent="0.3">
      <c r="A91" s="3000">
        <v>41154</v>
      </c>
      <c r="B91" s="3001">
        <v>4.9000000000000004</v>
      </c>
      <c r="C91" s="3001" t="s">
        <v>1309</v>
      </c>
      <c r="D91" s="3001" t="s">
        <v>4657</v>
      </c>
      <c r="E91" s="3002" t="s">
        <v>4661</v>
      </c>
      <c r="F91" s="3002" t="s">
        <v>4659</v>
      </c>
      <c r="G91" s="3003">
        <v>3.63</v>
      </c>
      <c r="H91" s="3003">
        <v>8.49</v>
      </c>
      <c r="I91" s="3004">
        <v>3.6</v>
      </c>
    </row>
    <row r="92" spans="1:9" ht="18.75" hidden="1" customHeight="1" x14ac:dyDescent="0.3">
      <c r="A92" s="3000">
        <v>41184</v>
      </c>
      <c r="B92" s="3001">
        <v>4.9000000000000004</v>
      </c>
      <c r="C92" s="3001" t="s">
        <v>1309</v>
      </c>
      <c r="D92" s="3001" t="s">
        <v>4657</v>
      </c>
      <c r="E92" s="3002" t="s">
        <v>4661</v>
      </c>
      <c r="F92" s="3002" t="s">
        <v>4659</v>
      </c>
      <c r="G92" s="3003">
        <v>3.65</v>
      </c>
      <c r="H92" s="3003">
        <v>8.52</v>
      </c>
      <c r="I92" s="3004">
        <v>3.23</v>
      </c>
    </row>
    <row r="93" spans="1:9" ht="18.75" hidden="1" customHeight="1" x14ac:dyDescent="0.3">
      <c r="A93" s="3000">
        <v>41215</v>
      </c>
      <c r="B93" s="3001">
        <v>4.9000000000000004</v>
      </c>
      <c r="C93" s="3001" t="s">
        <v>1309</v>
      </c>
      <c r="D93" s="3001" t="s">
        <v>4657</v>
      </c>
      <c r="E93" s="3002" t="s">
        <v>4662</v>
      </c>
      <c r="F93" s="3002" t="s">
        <v>4659</v>
      </c>
      <c r="G93" s="3003">
        <v>3.64</v>
      </c>
      <c r="H93" s="3003">
        <v>8.48</v>
      </c>
      <c r="I93" s="3004">
        <v>3.09</v>
      </c>
    </row>
    <row r="94" spans="1:9" ht="18.75" hidden="1" customHeight="1" x14ac:dyDescent="0.3">
      <c r="A94" s="3000">
        <v>41245</v>
      </c>
      <c r="B94" s="3001">
        <v>4.9000000000000004</v>
      </c>
      <c r="C94" s="3001" t="s">
        <v>1309</v>
      </c>
      <c r="D94" s="3001" t="s">
        <v>4657</v>
      </c>
      <c r="E94" s="3002" t="s">
        <v>4662</v>
      </c>
      <c r="F94" s="3002" t="s">
        <v>4659</v>
      </c>
      <c r="G94" s="3003">
        <v>3.48</v>
      </c>
      <c r="H94" s="3003">
        <v>8.42</v>
      </c>
      <c r="I94" s="3004">
        <v>2.92</v>
      </c>
    </row>
    <row r="95" spans="1:9" ht="18.75" hidden="1" customHeight="1" x14ac:dyDescent="0.3">
      <c r="A95" s="3000">
        <v>41276</v>
      </c>
      <c r="B95" s="3001">
        <v>4.9000000000000004</v>
      </c>
      <c r="C95" s="3001" t="s">
        <v>1309</v>
      </c>
      <c r="D95" s="3001" t="s">
        <v>4657</v>
      </c>
      <c r="E95" s="3002" t="s">
        <v>4662</v>
      </c>
      <c r="F95" s="3002" t="s">
        <v>4659</v>
      </c>
      <c r="G95" s="3003">
        <v>3.32</v>
      </c>
      <c r="H95" s="3003">
        <v>8.42</v>
      </c>
      <c r="I95" s="3004">
        <v>2.88</v>
      </c>
    </row>
    <row r="96" spans="1:9" ht="18.75" hidden="1" customHeight="1" x14ac:dyDescent="0.3">
      <c r="A96" s="3000">
        <v>41307</v>
      </c>
      <c r="B96" s="3001">
        <v>4.9000000000000004</v>
      </c>
      <c r="C96" s="3001" t="s">
        <v>1309</v>
      </c>
      <c r="D96" s="3001" t="s">
        <v>4657</v>
      </c>
      <c r="E96" s="3002" t="s">
        <v>3598</v>
      </c>
      <c r="F96" s="3002" t="s">
        <v>4663</v>
      </c>
      <c r="G96" s="3003">
        <v>3.42</v>
      </c>
      <c r="H96" s="3003">
        <v>8.39</v>
      </c>
      <c r="I96" s="3004">
        <v>2.67</v>
      </c>
    </row>
    <row r="97" spans="1:9" ht="18.75" hidden="1" customHeight="1" x14ac:dyDescent="0.3">
      <c r="A97" s="3000">
        <v>41335</v>
      </c>
      <c r="B97" s="3001">
        <v>4.9000000000000004</v>
      </c>
      <c r="C97" s="3001" t="s">
        <v>1309</v>
      </c>
      <c r="D97" s="3001" t="s">
        <v>4657</v>
      </c>
      <c r="E97" s="3002" t="s">
        <v>3600</v>
      </c>
      <c r="F97" s="3002" t="s">
        <v>4664</v>
      </c>
      <c r="G97" s="3003">
        <v>3.41</v>
      </c>
      <c r="H97" s="3003">
        <v>8.36</v>
      </c>
      <c r="I97" s="3004">
        <v>2.37</v>
      </c>
    </row>
    <row r="98" spans="1:9" ht="18.75" hidden="1" customHeight="1" x14ac:dyDescent="0.3">
      <c r="A98" s="3000">
        <v>41366</v>
      </c>
      <c r="B98" s="3001">
        <v>4.9000000000000004</v>
      </c>
      <c r="C98" s="3001" t="s">
        <v>1309</v>
      </c>
      <c r="D98" s="3001" t="s">
        <v>4657</v>
      </c>
      <c r="E98" s="3002" t="s">
        <v>4665</v>
      </c>
      <c r="F98" s="3002" t="s">
        <v>4666</v>
      </c>
      <c r="G98" s="3003">
        <v>3.45</v>
      </c>
      <c r="H98" s="3003">
        <v>8.33</v>
      </c>
      <c r="I98" s="3004">
        <v>2.33</v>
      </c>
    </row>
    <row r="99" spans="1:9" ht="18.75" hidden="1" customHeight="1" x14ac:dyDescent="0.3">
      <c r="A99" s="3000">
        <v>41396</v>
      </c>
      <c r="B99" s="3001">
        <v>4.9000000000000004</v>
      </c>
      <c r="C99" s="3001" t="s">
        <v>1309</v>
      </c>
      <c r="D99" s="3001" t="s">
        <v>4657</v>
      </c>
      <c r="E99" s="3002" t="s">
        <v>3598</v>
      </c>
      <c r="F99" s="3002" t="s">
        <v>4667</v>
      </c>
      <c r="G99" s="3003">
        <v>3.47</v>
      </c>
      <c r="H99" s="3003">
        <v>8.42</v>
      </c>
      <c r="I99" s="3004">
        <v>2.3199999999999998</v>
      </c>
    </row>
    <row r="100" spans="1:9" ht="18.75" hidden="1" customHeight="1" x14ac:dyDescent="0.3">
      <c r="A100" s="3000">
        <v>41427</v>
      </c>
      <c r="B100" s="3001">
        <v>4.6500000000000004</v>
      </c>
      <c r="C100" s="3001" t="s">
        <v>1309</v>
      </c>
      <c r="D100" s="3001" t="s">
        <v>4668</v>
      </c>
      <c r="E100" s="3002" t="s">
        <v>3598</v>
      </c>
      <c r="F100" s="3002" t="s">
        <v>4669</v>
      </c>
      <c r="G100" s="3003">
        <v>3.28</v>
      </c>
      <c r="H100" s="3003">
        <v>8.26</v>
      </c>
      <c r="I100" s="3004">
        <v>2.72</v>
      </c>
    </row>
    <row r="101" spans="1:9" ht="18.75" hidden="1" customHeight="1" x14ac:dyDescent="0.3">
      <c r="A101" s="3000">
        <v>41457</v>
      </c>
      <c r="B101" s="3001">
        <v>4.6500000000000004</v>
      </c>
      <c r="C101" s="3001" t="s">
        <v>4670</v>
      </c>
      <c r="D101" s="3001" t="s">
        <v>4671</v>
      </c>
      <c r="E101" s="3002" t="s">
        <v>3598</v>
      </c>
      <c r="F101" s="3002" t="s">
        <v>4672</v>
      </c>
      <c r="G101" s="3003">
        <v>3.21</v>
      </c>
      <c r="H101" s="3003">
        <v>8.2200000000000006</v>
      </c>
      <c r="I101" s="3004">
        <v>2.94</v>
      </c>
    </row>
    <row r="102" spans="1:9" ht="18.75" hidden="1" customHeight="1" x14ac:dyDescent="0.3">
      <c r="A102" s="3000">
        <v>41488</v>
      </c>
      <c r="B102" s="3001">
        <v>4.6500000000000004</v>
      </c>
      <c r="C102" s="3001" t="s">
        <v>4670</v>
      </c>
      <c r="D102" s="3001" t="s">
        <v>4671</v>
      </c>
      <c r="E102" s="3002" t="s">
        <v>4673</v>
      </c>
      <c r="F102" s="3002" t="s">
        <v>4674</v>
      </c>
      <c r="G102" s="3003">
        <v>3.24</v>
      </c>
      <c r="H102" s="3003">
        <v>8.18</v>
      </c>
      <c r="I102" s="3004">
        <v>2.85</v>
      </c>
    </row>
    <row r="103" spans="1:9" ht="18.75" hidden="1" customHeight="1" x14ac:dyDescent="0.3">
      <c r="A103" s="3000">
        <v>41519</v>
      </c>
      <c r="B103" s="3001">
        <v>4.6500000000000004</v>
      </c>
      <c r="C103" s="3001" t="s">
        <v>4670</v>
      </c>
      <c r="D103" s="3001" t="s">
        <v>4671</v>
      </c>
      <c r="E103" s="3002" t="s">
        <v>3598</v>
      </c>
      <c r="F103" s="3002" t="s">
        <v>4675</v>
      </c>
      <c r="G103" s="3003">
        <v>3.26</v>
      </c>
      <c r="H103" s="3003">
        <v>8.15</v>
      </c>
      <c r="I103" s="3004">
        <v>2.73</v>
      </c>
    </row>
    <row r="104" spans="1:9" ht="18.75" hidden="1" customHeight="1" x14ac:dyDescent="0.3">
      <c r="A104" s="3000">
        <v>41549</v>
      </c>
      <c r="B104" s="3001">
        <v>4.6500000000000004</v>
      </c>
      <c r="C104" s="3001" t="s">
        <v>4676</v>
      </c>
      <c r="D104" s="3001" t="s">
        <v>4677</v>
      </c>
      <c r="E104" s="3002" t="s">
        <v>3598</v>
      </c>
      <c r="F104" s="3002" t="s">
        <v>4678</v>
      </c>
      <c r="G104" s="3003">
        <v>3.26</v>
      </c>
      <c r="H104" s="3003">
        <v>8.1</v>
      </c>
      <c r="I104" s="3004">
        <v>3.29</v>
      </c>
    </row>
    <row r="105" spans="1:9" ht="18.75" hidden="1" customHeight="1" x14ac:dyDescent="0.3">
      <c r="A105" s="3000">
        <v>41580</v>
      </c>
      <c r="B105" s="3001">
        <v>4.6500000000000004</v>
      </c>
      <c r="C105" s="3001" t="s">
        <v>4676</v>
      </c>
      <c r="D105" s="3001" t="s">
        <v>4677</v>
      </c>
      <c r="E105" s="3002" t="s">
        <v>4679</v>
      </c>
      <c r="F105" s="3002" t="s">
        <v>4675</v>
      </c>
      <c r="G105" s="3003">
        <v>3.25</v>
      </c>
      <c r="H105" s="3003">
        <v>8.09</v>
      </c>
      <c r="I105" s="3004">
        <v>3.52</v>
      </c>
    </row>
    <row r="106" spans="1:9" ht="18.75" hidden="1" customHeight="1" x14ac:dyDescent="0.3">
      <c r="A106" s="3000">
        <v>41610</v>
      </c>
      <c r="B106" s="3001">
        <v>4.6500000000000004</v>
      </c>
      <c r="C106" s="3001" t="s">
        <v>4676</v>
      </c>
      <c r="D106" s="3001" t="s">
        <v>4677</v>
      </c>
      <c r="E106" s="3002" t="s">
        <v>4680</v>
      </c>
      <c r="F106" s="3002" t="s">
        <v>4681</v>
      </c>
      <c r="G106" s="3003">
        <v>3.2174550585821531</v>
      </c>
      <c r="H106" s="3003">
        <v>8.07</v>
      </c>
      <c r="I106" s="3004">
        <v>3.64</v>
      </c>
    </row>
    <row r="107" spans="1:9" ht="18.75" hidden="1" customHeight="1" x14ac:dyDescent="0.3">
      <c r="A107" s="3000">
        <v>41641</v>
      </c>
      <c r="B107" s="3001">
        <v>4.6500000000000004</v>
      </c>
      <c r="C107" s="3001" t="s">
        <v>4676</v>
      </c>
      <c r="D107" s="3001" t="s">
        <v>4677</v>
      </c>
      <c r="E107" s="3002" t="s">
        <v>4682</v>
      </c>
      <c r="F107" s="3002" t="s">
        <v>4683</v>
      </c>
      <c r="G107" s="3003">
        <v>3.27</v>
      </c>
      <c r="H107" s="3003">
        <v>8.14</v>
      </c>
      <c r="I107" s="3004">
        <v>3.53</v>
      </c>
    </row>
    <row r="108" spans="1:9" ht="18.75" hidden="1" customHeight="1" x14ac:dyDescent="0.3">
      <c r="A108" s="3000">
        <v>41672</v>
      </c>
      <c r="B108" s="3001">
        <v>4.6500000000000004</v>
      </c>
      <c r="C108" s="3001" t="s">
        <v>4676</v>
      </c>
      <c r="D108" s="3001" t="s">
        <v>4677</v>
      </c>
      <c r="E108" s="3002" t="s">
        <v>4680</v>
      </c>
      <c r="F108" s="3002" t="s">
        <v>4684</v>
      </c>
      <c r="G108" s="3003">
        <v>3.16</v>
      </c>
      <c r="H108" s="3003">
        <v>8.1199999999999992</v>
      </c>
      <c r="I108" s="3004">
        <v>3.23</v>
      </c>
    </row>
    <row r="109" spans="1:9" ht="18.75" hidden="1" customHeight="1" x14ac:dyDescent="0.3">
      <c r="A109" s="3000">
        <v>41700</v>
      </c>
      <c r="B109" s="3001">
        <v>4.6500000000000004</v>
      </c>
      <c r="C109" s="3001" t="s">
        <v>4676</v>
      </c>
      <c r="D109" s="3001" t="s">
        <v>4685</v>
      </c>
      <c r="E109" s="3002" t="s">
        <v>4680</v>
      </c>
      <c r="F109" s="3002" t="s">
        <v>4686</v>
      </c>
      <c r="G109" s="3003">
        <v>3.18</v>
      </c>
      <c r="H109" s="3003">
        <v>8.1199999999999992</v>
      </c>
      <c r="I109" s="3004">
        <v>3.05</v>
      </c>
    </row>
    <row r="110" spans="1:9" ht="18.75" hidden="1" customHeight="1" x14ac:dyDescent="0.3">
      <c r="A110" s="3000">
        <v>41731</v>
      </c>
      <c r="B110" s="3001">
        <v>4.6500000000000004</v>
      </c>
      <c r="C110" s="3001" t="s">
        <v>4676</v>
      </c>
      <c r="D110" s="3001" t="s">
        <v>4685</v>
      </c>
      <c r="E110" s="3002" t="s">
        <v>4687</v>
      </c>
      <c r="F110" s="3002" t="s">
        <v>4688</v>
      </c>
      <c r="G110" s="3003">
        <v>3.1551113181666208</v>
      </c>
      <c r="H110" s="3003">
        <v>8.0825323835957139</v>
      </c>
      <c r="I110" s="3004">
        <v>2.98</v>
      </c>
    </row>
    <row r="111" spans="1:9" ht="18.75" hidden="1" customHeight="1" x14ac:dyDescent="0.3">
      <c r="A111" s="3000">
        <v>41761</v>
      </c>
      <c r="B111" s="3001">
        <v>4.6500000000000004</v>
      </c>
      <c r="C111" s="3001" t="s">
        <v>4676</v>
      </c>
      <c r="D111" s="3001" t="s">
        <v>4685</v>
      </c>
      <c r="E111" s="3002" t="s">
        <v>4680</v>
      </c>
      <c r="F111" s="3002" t="s">
        <v>4689</v>
      </c>
      <c r="G111" s="3003">
        <v>3.38</v>
      </c>
      <c r="H111" s="3003">
        <v>8.11</v>
      </c>
      <c r="I111" s="3004">
        <v>2.78</v>
      </c>
    </row>
    <row r="112" spans="1:9" ht="18.75" hidden="1" customHeight="1" x14ac:dyDescent="0.3">
      <c r="A112" s="3000">
        <v>41792</v>
      </c>
      <c r="B112" s="3001">
        <v>4.6500000000000004</v>
      </c>
      <c r="C112" s="3001" t="s">
        <v>4676</v>
      </c>
      <c r="D112" s="3001" t="s">
        <v>4685</v>
      </c>
      <c r="E112" s="3002" t="s">
        <v>4687</v>
      </c>
      <c r="F112" s="3002" t="s">
        <v>4690</v>
      </c>
      <c r="G112" s="3003">
        <v>3.3</v>
      </c>
      <c r="H112" s="3003">
        <v>8.0399999999999991</v>
      </c>
      <c r="I112" s="3004">
        <v>2.48</v>
      </c>
    </row>
    <row r="113" spans="1:9" ht="18.75" hidden="1" customHeight="1" x14ac:dyDescent="0.3">
      <c r="A113" s="3000">
        <v>41822</v>
      </c>
      <c r="B113" s="3001">
        <v>4.6500000000000004</v>
      </c>
      <c r="C113" s="3001" t="s">
        <v>4676</v>
      </c>
      <c r="D113" s="3001" t="s">
        <v>4685</v>
      </c>
      <c r="E113" s="3002" t="s">
        <v>4680</v>
      </c>
      <c r="F113" s="3002" t="s">
        <v>4686</v>
      </c>
      <c r="G113" s="3003">
        <v>3.298881731933109</v>
      </c>
      <c r="H113" s="3003">
        <v>7.9800628050706601</v>
      </c>
      <c r="I113" s="3004">
        <v>2.1</v>
      </c>
    </row>
    <row r="114" spans="1:9" ht="18.75" hidden="1" customHeight="1" x14ac:dyDescent="0.3">
      <c r="A114" s="3000">
        <v>41853</v>
      </c>
      <c r="B114" s="3001">
        <v>4.6500000000000004</v>
      </c>
      <c r="C114" s="3001" t="s">
        <v>4676</v>
      </c>
      <c r="D114" s="3001" t="s">
        <v>4685</v>
      </c>
      <c r="E114" s="3002" t="s">
        <v>4691</v>
      </c>
      <c r="F114" s="3002" t="s">
        <v>4692</v>
      </c>
      <c r="G114" s="3003">
        <v>3.2930000000000001</v>
      </c>
      <c r="H114" s="3003">
        <v>7.98</v>
      </c>
      <c r="I114" s="3004">
        <v>1.17</v>
      </c>
    </row>
    <row r="115" spans="1:9" ht="18.75" hidden="1" customHeight="1" x14ac:dyDescent="0.3">
      <c r="A115" s="3000">
        <v>41884</v>
      </c>
      <c r="B115" s="3001">
        <v>4.6500000000000004</v>
      </c>
      <c r="C115" s="3001" t="s">
        <v>4676</v>
      </c>
      <c r="D115" s="3001" t="s">
        <v>4685</v>
      </c>
      <c r="E115" s="3002" t="s">
        <v>4691</v>
      </c>
      <c r="F115" s="3002" t="s">
        <v>4693</v>
      </c>
      <c r="G115" s="3003">
        <v>3.27</v>
      </c>
      <c r="H115" s="3003">
        <v>7.95</v>
      </c>
      <c r="I115" s="3004">
        <v>1.71</v>
      </c>
    </row>
    <row r="116" spans="1:9" ht="18.75" hidden="1" customHeight="1" x14ac:dyDescent="0.3">
      <c r="A116" s="3000">
        <v>41914</v>
      </c>
      <c r="B116" s="3001">
        <v>4.6500000000000004</v>
      </c>
      <c r="C116" s="3001" t="s">
        <v>4676</v>
      </c>
      <c r="D116" s="3001" t="s">
        <v>4685</v>
      </c>
      <c r="E116" s="3002" t="s">
        <v>4694</v>
      </c>
      <c r="F116" s="3002" t="s">
        <v>4695</v>
      </c>
      <c r="G116" s="3003">
        <v>3.27</v>
      </c>
      <c r="H116" s="3003">
        <v>7.94</v>
      </c>
      <c r="I116" s="3004">
        <v>1.47</v>
      </c>
    </row>
    <row r="117" spans="1:9" ht="18.75" hidden="1" customHeight="1" x14ac:dyDescent="0.3">
      <c r="A117" s="3000">
        <v>41945</v>
      </c>
      <c r="B117" s="3001">
        <v>4.6500000000000004</v>
      </c>
      <c r="C117" s="3001" t="s">
        <v>4676</v>
      </c>
      <c r="D117" s="3001" t="s">
        <v>4685</v>
      </c>
      <c r="E117" s="3002" t="s">
        <v>4694</v>
      </c>
      <c r="F117" s="3002" t="s">
        <v>4696</v>
      </c>
      <c r="G117" s="3003">
        <v>3.24</v>
      </c>
      <c r="H117" s="3003">
        <v>7.83</v>
      </c>
      <c r="I117" s="3004">
        <v>1.44</v>
      </c>
    </row>
    <row r="118" spans="1:9" ht="18.75" hidden="1" customHeight="1" x14ac:dyDescent="0.3">
      <c r="A118" s="3000">
        <v>41975</v>
      </c>
      <c r="B118" s="3001">
        <v>4.6500000000000004</v>
      </c>
      <c r="C118" s="3001" t="s">
        <v>4676</v>
      </c>
      <c r="D118" s="3001" t="s">
        <v>4697</v>
      </c>
      <c r="E118" s="3002" t="s">
        <v>4698</v>
      </c>
      <c r="F118" s="3002" t="s">
        <v>4672</v>
      </c>
      <c r="G118" s="3003">
        <v>3.2</v>
      </c>
      <c r="H118" s="3003">
        <v>7.79</v>
      </c>
      <c r="I118" s="3004">
        <v>2.44</v>
      </c>
    </row>
    <row r="119" spans="1:9" ht="18.75" hidden="1" customHeight="1" x14ac:dyDescent="0.3">
      <c r="A119" s="3000">
        <v>42006</v>
      </c>
      <c r="B119" s="3001">
        <v>4.6500000000000004</v>
      </c>
      <c r="C119" s="3001" t="s">
        <v>4676</v>
      </c>
      <c r="D119" s="3001" t="s">
        <v>1339</v>
      </c>
      <c r="E119" s="3002" t="s">
        <v>4699</v>
      </c>
      <c r="F119" s="3002" t="s">
        <v>4692</v>
      </c>
      <c r="G119" s="3003">
        <v>3.18</v>
      </c>
      <c r="H119" s="3003">
        <v>7.7200728639789542</v>
      </c>
      <c r="I119" s="3004">
        <v>2.82</v>
      </c>
    </row>
    <row r="120" spans="1:9" ht="18.75" hidden="1" customHeight="1" x14ac:dyDescent="0.3">
      <c r="A120" s="3000">
        <v>42037</v>
      </c>
      <c r="B120" s="3001">
        <v>4.6500000000000004</v>
      </c>
      <c r="C120" s="3001" t="s">
        <v>4676</v>
      </c>
      <c r="D120" s="3001" t="s">
        <v>1339</v>
      </c>
      <c r="E120" s="3002" t="s">
        <v>4699</v>
      </c>
      <c r="F120" s="3002" t="s">
        <v>4669</v>
      </c>
      <c r="G120" s="3003">
        <v>3.2</v>
      </c>
      <c r="H120" s="3003">
        <v>7.75</v>
      </c>
      <c r="I120" s="3004">
        <v>2.36</v>
      </c>
    </row>
    <row r="121" spans="1:9" ht="18.75" hidden="1" customHeight="1" x14ac:dyDescent="0.3">
      <c r="A121" s="3000">
        <v>42065</v>
      </c>
      <c r="B121" s="3001">
        <v>4.6500000000000004</v>
      </c>
      <c r="C121" s="3001" t="s">
        <v>4676</v>
      </c>
      <c r="D121" s="3001" t="s">
        <v>1339</v>
      </c>
      <c r="E121" s="3002" t="s">
        <v>4699</v>
      </c>
      <c r="F121" s="3002" t="s">
        <v>4695</v>
      </c>
      <c r="G121" s="3003">
        <v>3.17</v>
      </c>
      <c r="H121" s="3003">
        <v>7.81</v>
      </c>
      <c r="I121" s="3004">
        <v>1.88</v>
      </c>
    </row>
    <row r="122" spans="1:9" ht="18.75" hidden="1" customHeight="1" x14ac:dyDescent="0.3">
      <c r="A122" s="3000">
        <v>42096</v>
      </c>
      <c r="B122" s="3001">
        <v>4.6500000000000004</v>
      </c>
      <c r="C122" s="3001" t="s">
        <v>4676</v>
      </c>
      <c r="D122" s="3001" t="s">
        <v>1339</v>
      </c>
      <c r="E122" s="3002" t="s">
        <v>4694</v>
      </c>
      <c r="F122" s="3002" t="s">
        <v>4700</v>
      </c>
      <c r="G122" s="3003">
        <v>3.0515322413801469</v>
      </c>
      <c r="H122" s="3003">
        <v>7.75</v>
      </c>
      <c r="I122" s="3004">
        <v>1.47</v>
      </c>
    </row>
    <row r="123" spans="1:9" ht="18.75" hidden="1" customHeight="1" x14ac:dyDescent="0.3">
      <c r="A123" s="3000">
        <v>42126</v>
      </c>
      <c r="B123" s="3001">
        <v>4.6500000000000004</v>
      </c>
      <c r="C123" s="3001" t="s">
        <v>4676</v>
      </c>
      <c r="D123" s="3001" t="s">
        <v>1339</v>
      </c>
      <c r="E123" s="3002" t="s">
        <v>4694</v>
      </c>
      <c r="F123" s="3002" t="s">
        <v>4701</v>
      </c>
      <c r="G123" s="3003">
        <v>2.84</v>
      </c>
      <c r="H123" s="3003">
        <v>7.7</v>
      </c>
      <c r="I123" s="3004">
        <v>1.44</v>
      </c>
    </row>
    <row r="124" spans="1:9" ht="18.75" hidden="1" customHeight="1" x14ac:dyDescent="0.3">
      <c r="A124" s="3000">
        <v>42157</v>
      </c>
      <c r="B124" s="3001">
        <v>4.6500000000000004</v>
      </c>
      <c r="C124" s="3001" t="s">
        <v>4676</v>
      </c>
      <c r="D124" s="3001" t="s">
        <v>1339</v>
      </c>
      <c r="E124" s="3002" t="s">
        <v>4702</v>
      </c>
      <c r="F124" s="3002" t="s">
        <v>4703</v>
      </c>
      <c r="G124" s="3003">
        <v>2.82</v>
      </c>
      <c r="H124" s="3003">
        <v>7.68</v>
      </c>
      <c r="I124" s="3004">
        <v>1.78</v>
      </c>
    </row>
    <row r="125" spans="1:9" ht="18.75" hidden="1" customHeight="1" x14ac:dyDescent="0.3">
      <c r="A125" s="3000">
        <v>42187</v>
      </c>
      <c r="B125" s="3001">
        <v>4.6500000000000004</v>
      </c>
      <c r="C125" s="3001" t="s">
        <v>4676</v>
      </c>
      <c r="D125" s="3001" t="s">
        <v>1339</v>
      </c>
      <c r="E125" s="3002" t="s">
        <v>4699</v>
      </c>
      <c r="F125" s="3002" t="s">
        <v>4703</v>
      </c>
      <c r="G125" s="3003">
        <v>2.8</v>
      </c>
      <c r="H125" s="3003">
        <v>7.64</v>
      </c>
      <c r="I125" s="3004">
        <v>1.79</v>
      </c>
    </row>
    <row r="126" spans="1:9" ht="18.75" hidden="1" customHeight="1" x14ac:dyDescent="0.3">
      <c r="A126" s="3000">
        <v>42218</v>
      </c>
      <c r="B126" s="3001">
        <v>4.6500000000000004</v>
      </c>
      <c r="C126" s="3001" t="s">
        <v>4676</v>
      </c>
      <c r="D126" s="3001" t="s">
        <v>1339</v>
      </c>
      <c r="E126" s="3002" t="s">
        <v>4704</v>
      </c>
      <c r="F126" s="3002" t="s">
        <v>4703</v>
      </c>
      <c r="G126" s="3003">
        <v>2.8068282217058096</v>
      </c>
      <c r="H126" s="3003">
        <v>7.615889360455923</v>
      </c>
      <c r="I126" s="3004">
        <v>1.67</v>
      </c>
    </row>
    <row r="127" spans="1:9" ht="18.75" hidden="1" customHeight="1" x14ac:dyDescent="0.3">
      <c r="A127" s="3000">
        <v>42249</v>
      </c>
      <c r="B127" s="3001">
        <v>4.6500000000000004</v>
      </c>
      <c r="C127" s="3001" t="s">
        <v>4676</v>
      </c>
      <c r="D127" s="3001" t="s">
        <v>1339</v>
      </c>
      <c r="E127" s="3002" t="s">
        <v>4704</v>
      </c>
      <c r="F127" s="3002" t="s">
        <v>4705</v>
      </c>
      <c r="G127" s="3003">
        <v>2.83</v>
      </c>
      <c r="H127" s="3003">
        <v>7.55</v>
      </c>
      <c r="I127" s="3004">
        <v>1.96</v>
      </c>
    </row>
    <row r="128" spans="1:9" ht="18.75" hidden="1" customHeight="1" x14ac:dyDescent="0.3">
      <c r="A128" s="3000">
        <v>42279</v>
      </c>
      <c r="B128" s="3001">
        <v>4.6500000000000004</v>
      </c>
      <c r="C128" s="3001" t="s">
        <v>4676</v>
      </c>
      <c r="D128" s="3001" t="s">
        <v>1339</v>
      </c>
      <c r="E128" s="3002" t="s">
        <v>4706</v>
      </c>
      <c r="F128" s="3002" t="s">
        <v>4707</v>
      </c>
      <c r="G128" s="3003">
        <v>2.808737315412309</v>
      </c>
      <c r="H128" s="3003">
        <v>7.4735343910847893</v>
      </c>
      <c r="I128" s="3004">
        <v>2.34</v>
      </c>
    </row>
    <row r="129" spans="1:9" ht="18.75" hidden="1" customHeight="1" x14ac:dyDescent="0.3">
      <c r="A129" s="3000">
        <v>42310</v>
      </c>
      <c r="B129" s="3001">
        <v>4.4000000000000004</v>
      </c>
      <c r="C129" s="3001" t="s">
        <v>4676</v>
      </c>
      <c r="D129" s="3001" t="s">
        <v>1339</v>
      </c>
      <c r="E129" s="3002" t="s">
        <v>4706</v>
      </c>
      <c r="F129" s="3002" t="s">
        <v>4708</v>
      </c>
      <c r="G129" s="3003">
        <v>2.66</v>
      </c>
      <c r="H129" s="3003">
        <v>7.28</v>
      </c>
      <c r="I129" s="3004">
        <v>2.74</v>
      </c>
    </row>
    <row r="130" spans="1:9" ht="18.75" hidden="1" customHeight="1" x14ac:dyDescent="0.3">
      <c r="A130" s="3000">
        <v>42340</v>
      </c>
      <c r="B130" s="3001">
        <v>4.4000000000000004</v>
      </c>
      <c r="C130" s="3001" t="s">
        <v>4676</v>
      </c>
      <c r="D130" s="3001" t="s">
        <v>1339</v>
      </c>
      <c r="E130" s="3002" t="s">
        <v>4706</v>
      </c>
      <c r="F130" s="3002" t="s">
        <v>4708</v>
      </c>
      <c r="G130" s="3003">
        <v>2.6262079505853757</v>
      </c>
      <c r="H130" s="3003">
        <v>7.2387669228824993</v>
      </c>
      <c r="I130" s="3004">
        <v>3.45</v>
      </c>
    </row>
    <row r="131" spans="1:9" ht="18.75" hidden="1" customHeight="1" x14ac:dyDescent="0.3">
      <c r="A131" s="3000">
        <v>42371</v>
      </c>
      <c r="B131" s="3001">
        <v>4.4000000000000004</v>
      </c>
      <c r="C131" s="3001" t="s">
        <v>4676</v>
      </c>
      <c r="D131" s="3001" t="s">
        <v>1339</v>
      </c>
      <c r="E131" s="3002" t="s">
        <v>4709</v>
      </c>
      <c r="F131" s="3002" t="s">
        <v>4710</v>
      </c>
      <c r="G131" s="3003">
        <v>2.62</v>
      </c>
      <c r="H131" s="3003">
        <v>7.23</v>
      </c>
      <c r="I131" s="3004">
        <v>3.18</v>
      </c>
    </row>
    <row r="132" spans="1:9" ht="18.75" hidden="1" customHeight="1" x14ac:dyDescent="0.3">
      <c r="A132" s="3000">
        <v>42402</v>
      </c>
      <c r="B132" s="3001">
        <v>4.4000000000000004</v>
      </c>
      <c r="C132" s="3001" t="s">
        <v>4676</v>
      </c>
      <c r="D132" s="3001" t="s">
        <v>1339</v>
      </c>
      <c r="E132" s="3002" t="s">
        <v>4709</v>
      </c>
      <c r="F132" s="3002" t="s">
        <v>4710</v>
      </c>
      <c r="G132" s="3003">
        <v>2.59</v>
      </c>
      <c r="H132" s="3003">
        <v>7.23</v>
      </c>
      <c r="I132" s="3004">
        <v>2.52</v>
      </c>
    </row>
    <row r="133" spans="1:9" ht="18.75" hidden="1" customHeight="1" x14ac:dyDescent="0.3">
      <c r="A133" s="3000">
        <v>42431</v>
      </c>
      <c r="B133" s="3001">
        <v>4.4000000000000004</v>
      </c>
      <c r="C133" s="3001" t="s">
        <v>4676</v>
      </c>
      <c r="D133" s="3001" t="s">
        <v>1339</v>
      </c>
      <c r="E133" s="3002" t="s">
        <v>4709</v>
      </c>
      <c r="F133" s="3002" t="s">
        <v>4711</v>
      </c>
      <c r="G133" s="3003">
        <v>2.58</v>
      </c>
      <c r="H133" s="3003">
        <v>7.21</v>
      </c>
      <c r="I133" s="3004">
        <v>2.75</v>
      </c>
    </row>
    <row r="134" spans="1:9" ht="18.75" hidden="1" customHeight="1" x14ac:dyDescent="0.3">
      <c r="A134" s="3000">
        <v>42462</v>
      </c>
      <c r="B134" s="3001">
        <v>4.4000000000000004</v>
      </c>
      <c r="C134" s="3001" t="s">
        <v>4676</v>
      </c>
      <c r="D134" s="3001" t="s">
        <v>1339</v>
      </c>
      <c r="E134" s="3002" t="s">
        <v>4709</v>
      </c>
      <c r="F134" s="3002" t="s">
        <v>4712</v>
      </c>
      <c r="G134" s="3003">
        <v>2.62</v>
      </c>
      <c r="H134" s="3003">
        <v>7.19</v>
      </c>
      <c r="I134" s="3004">
        <v>2.84</v>
      </c>
    </row>
    <row r="135" spans="1:9" ht="18.75" hidden="1" customHeight="1" x14ac:dyDescent="0.3">
      <c r="A135" s="3000">
        <v>42491</v>
      </c>
      <c r="B135" s="3001">
        <v>4.4000000000000004</v>
      </c>
      <c r="C135" s="3001" t="s">
        <v>4676</v>
      </c>
      <c r="D135" s="3001" t="s">
        <v>1339</v>
      </c>
      <c r="E135" s="3002" t="s">
        <v>4709</v>
      </c>
      <c r="F135" s="3002" t="s">
        <v>4712</v>
      </c>
      <c r="G135" s="3003">
        <v>2.57</v>
      </c>
      <c r="H135" s="3003">
        <v>7.21</v>
      </c>
      <c r="I135" s="3004">
        <v>2.65</v>
      </c>
    </row>
    <row r="136" spans="1:9" ht="18.75" hidden="1" customHeight="1" x14ac:dyDescent="0.3">
      <c r="A136" s="3000">
        <v>42522</v>
      </c>
      <c r="B136" s="3001">
        <v>4.4000000000000004</v>
      </c>
      <c r="C136" s="3001" t="s">
        <v>4676</v>
      </c>
      <c r="D136" s="3001" t="s">
        <v>1339</v>
      </c>
      <c r="E136" s="3002" t="s">
        <v>4709</v>
      </c>
      <c r="F136" s="3002" t="s">
        <v>4713</v>
      </c>
      <c r="G136" s="3003">
        <v>2.5499999999999998</v>
      </c>
      <c r="H136" s="3003">
        <v>7.23</v>
      </c>
      <c r="I136" s="3004">
        <v>2.29</v>
      </c>
    </row>
    <row r="137" spans="1:9" ht="18.75" hidden="1" customHeight="1" x14ac:dyDescent="0.3">
      <c r="A137" s="3000">
        <v>42552</v>
      </c>
      <c r="B137" s="3001">
        <v>4</v>
      </c>
      <c r="C137" s="3001" t="s">
        <v>4676</v>
      </c>
      <c r="D137" s="3001" t="s">
        <v>1339</v>
      </c>
      <c r="E137" s="3002" t="s">
        <v>4709</v>
      </c>
      <c r="F137" s="3002" t="s">
        <v>4713</v>
      </c>
      <c r="G137" s="3003">
        <v>2.5099999999999998</v>
      </c>
      <c r="H137" s="3003">
        <v>7.12</v>
      </c>
      <c r="I137" s="3004">
        <v>2.79</v>
      </c>
    </row>
    <row r="138" spans="1:9" ht="18.75" hidden="1" customHeight="1" x14ac:dyDescent="0.3">
      <c r="A138" s="3000">
        <v>42583</v>
      </c>
      <c r="B138" s="3001">
        <v>4</v>
      </c>
      <c r="C138" s="3001" t="s">
        <v>1314</v>
      </c>
      <c r="D138" s="3001" t="s">
        <v>4714</v>
      </c>
      <c r="E138" s="3002" t="s">
        <v>4709</v>
      </c>
      <c r="F138" s="3002" t="s">
        <v>4715</v>
      </c>
      <c r="G138" s="3003">
        <v>2.2000000000000002</v>
      </c>
      <c r="H138" s="3003">
        <v>6.87</v>
      </c>
      <c r="I138" s="3004">
        <v>2.48</v>
      </c>
    </row>
    <row r="139" spans="1:9" ht="18.75" hidden="1" customHeight="1" x14ac:dyDescent="0.3">
      <c r="A139" s="3000">
        <v>42614</v>
      </c>
      <c r="B139" s="3001">
        <v>4</v>
      </c>
      <c r="C139" s="3001" t="s">
        <v>1314</v>
      </c>
      <c r="D139" s="3001" t="s">
        <v>4714</v>
      </c>
      <c r="E139" s="3002" t="s">
        <v>4709</v>
      </c>
      <c r="F139" s="3002" t="s">
        <v>4716</v>
      </c>
      <c r="G139" s="3003">
        <v>2.16</v>
      </c>
      <c r="H139" s="3003">
        <v>6.84</v>
      </c>
      <c r="I139" s="3004">
        <v>2.46</v>
      </c>
    </row>
    <row r="140" spans="1:9" ht="18.75" hidden="1" customHeight="1" x14ac:dyDescent="0.3">
      <c r="A140" s="3000">
        <v>42644</v>
      </c>
      <c r="B140" s="3001">
        <v>4</v>
      </c>
      <c r="C140" s="3001" t="s">
        <v>1314</v>
      </c>
      <c r="D140" s="3001" t="s">
        <v>2888</v>
      </c>
      <c r="E140" s="3002" t="s">
        <v>4709</v>
      </c>
      <c r="F140" s="3002" t="s">
        <v>4715</v>
      </c>
      <c r="G140" s="3003">
        <v>2.16</v>
      </c>
      <c r="H140" s="3003">
        <v>6.88</v>
      </c>
      <c r="I140" s="3004">
        <v>2.6</v>
      </c>
    </row>
    <row r="141" spans="1:9" ht="18.75" hidden="1" customHeight="1" x14ac:dyDescent="0.3">
      <c r="A141" s="3000">
        <v>42675</v>
      </c>
      <c r="B141" s="3001">
        <v>4</v>
      </c>
      <c r="C141" s="3001" t="s">
        <v>1314</v>
      </c>
      <c r="D141" s="3001" t="s">
        <v>2888</v>
      </c>
      <c r="E141" s="3002" t="s">
        <v>4709</v>
      </c>
      <c r="F141" s="3002" t="s">
        <v>4716</v>
      </c>
      <c r="G141" s="3003">
        <v>2.21</v>
      </c>
      <c r="H141" s="3003">
        <v>6.83</v>
      </c>
      <c r="I141" s="3004">
        <v>2.68</v>
      </c>
    </row>
    <row r="142" spans="1:9" ht="16.5" hidden="1" x14ac:dyDescent="0.3">
      <c r="A142" s="3000">
        <v>42705</v>
      </c>
      <c r="B142" s="3001">
        <v>4</v>
      </c>
      <c r="C142" s="3001" t="s">
        <v>1314</v>
      </c>
      <c r="D142" s="3001" t="s">
        <v>2888</v>
      </c>
      <c r="E142" s="3002" t="s">
        <v>4709</v>
      </c>
      <c r="F142" s="3002" t="s">
        <v>4717</v>
      </c>
      <c r="G142" s="3003">
        <v>2.21</v>
      </c>
      <c r="H142" s="3003">
        <v>6.86</v>
      </c>
      <c r="I142" s="3004">
        <v>2.87</v>
      </c>
    </row>
    <row r="143" spans="1:9" ht="17.25" hidden="1" customHeight="1" x14ac:dyDescent="0.3">
      <c r="A143" s="3000">
        <v>42736</v>
      </c>
      <c r="B143" s="3001">
        <v>4</v>
      </c>
      <c r="C143" s="3001" t="s">
        <v>1314</v>
      </c>
      <c r="D143" s="3001" t="s">
        <v>2888</v>
      </c>
      <c r="E143" s="3002" t="s">
        <v>4718</v>
      </c>
      <c r="F143" s="3002" t="s">
        <v>4719</v>
      </c>
      <c r="G143" s="3003">
        <v>2.16</v>
      </c>
      <c r="H143" s="3003">
        <v>6.87</v>
      </c>
      <c r="I143" s="3004">
        <v>2.64</v>
      </c>
    </row>
    <row r="144" spans="1:9" ht="18.75" hidden="1" customHeight="1" x14ac:dyDescent="0.3">
      <c r="A144" s="3000">
        <v>42767</v>
      </c>
      <c r="B144" s="3001">
        <v>4</v>
      </c>
      <c r="C144" s="3001" t="s">
        <v>1314</v>
      </c>
      <c r="D144" s="3001" t="s">
        <v>2888</v>
      </c>
      <c r="E144" s="3002" t="s">
        <v>4720</v>
      </c>
      <c r="F144" s="3002" t="s">
        <v>4719</v>
      </c>
      <c r="G144" s="3003">
        <v>2.14</v>
      </c>
      <c r="H144" s="3003">
        <v>6.83</v>
      </c>
      <c r="I144" s="3004">
        <v>2.21</v>
      </c>
    </row>
    <row r="145" spans="1:9" ht="18.75" hidden="1" customHeight="1" x14ac:dyDescent="0.3">
      <c r="A145" s="3000">
        <v>42795</v>
      </c>
      <c r="B145" s="3001">
        <v>4</v>
      </c>
      <c r="C145" s="3001" t="s">
        <v>1314</v>
      </c>
      <c r="D145" s="3001" t="s">
        <v>2888</v>
      </c>
      <c r="E145" s="3002" t="s">
        <v>4718</v>
      </c>
      <c r="F145" s="3002" t="s">
        <v>4703</v>
      </c>
      <c r="G145" s="3003">
        <v>2.14</v>
      </c>
      <c r="H145" s="3003">
        <v>6.74</v>
      </c>
      <c r="I145" s="3004">
        <v>2.5099999999999998</v>
      </c>
    </row>
    <row r="146" spans="1:9" ht="18.75" hidden="1" customHeight="1" x14ac:dyDescent="0.3">
      <c r="A146" s="3000">
        <v>42826</v>
      </c>
      <c r="B146" s="3001">
        <v>4</v>
      </c>
      <c r="C146" s="3001" t="s">
        <v>1314</v>
      </c>
      <c r="D146" s="3001" t="s">
        <v>2888</v>
      </c>
      <c r="E146" s="3002" t="s">
        <v>4718</v>
      </c>
      <c r="F146" s="3002" t="s">
        <v>4719</v>
      </c>
      <c r="G146" s="3003">
        <v>2.16</v>
      </c>
      <c r="H146" s="3003">
        <v>6.74</v>
      </c>
      <c r="I146" s="3004">
        <v>2.75</v>
      </c>
    </row>
    <row r="147" spans="1:9" ht="18.75" hidden="1" customHeight="1" x14ac:dyDescent="0.3">
      <c r="A147" s="3000">
        <v>42856</v>
      </c>
      <c r="B147" s="3001">
        <v>4</v>
      </c>
      <c r="C147" s="3001" t="s">
        <v>1314</v>
      </c>
      <c r="D147" s="3001" t="s">
        <v>2888</v>
      </c>
      <c r="E147" s="3002" t="s">
        <v>4721</v>
      </c>
      <c r="F147" s="3002" t="s">
        <v>4703</v>
      </c>
      <c r="G147" s="3003">
        <v>2.13</v>
      </c>
      <c r="H147" s="3003">
        <v>6.76</v>
      </c>
      <c r="I147" s="3004">
        <v>2.12</v>
      </c>
    </row>
    <row r="148" spans="1:9" ht="18.75" hidden="1" customHeight="1" x14ac:dyDescent="0.3">
      <c r="A148" s="3000">
        <v>42887</v>
      </c>
      <c r="B148" s="3001">
        <v>4</v>
      </c>
      <c r="C148" s="3001" t="s">
        <v>1314</v>
      </c>
      <c r="D148" s="3001" t="s">
        <v>2888</v>
      </c>
      <c r="E148" s="3002" t="s">
        <v>4722</v>
      </c>
      <c r="F148" s="3002" t="s">
        <v>4703</v>
      </c>
      <c r="G148" s="3003">
        <v>2.15</v>
      </c>
      <c r="H148" s="3003">
        <v>6.81</v>
      </c>
      <c r="I148" s="3004">
        <v>2.0499999999999998</v>
      </c>
    </row>
    <row r="149" spans="1:9" ht="18.75" hidden="1" customHeight="1" x14ac:dyDescent="0.3">
      <c r="A149" s="3000">
        <v>42917</v>
      </c>
      <c r="B149" s="3001">
        <v>4</v>
      </c>
      <c r="C149" s="3001" t="s">
        <v>1314</v>
      </c>
      <c r="D149" s="3001" t="s">
        <v>2889</v>
      </c>
      <c r="E149" s="3002" t="s">
        <v>4722</v>
      </c>
      <c r="F149" s="3002" t="s">
        <v>4703</v>
      </c>
      <c r="G149" s="3003">
        <v>2.14</v>
      </c>
      <c r="H149" s="3003">
        <v>6.78</v>
      </c>
      <c r="I149" s="3004">
        <v>1.97</v>
      </c>
    </row>
    <row r="150" spans="1:9" ht="18.75" hidden="1" customHeight="1" x14ac:dyDescent="0.3">
      <c r="A150" s="3000">
        <v>42948</v>
      </c>
      <c r="B150" s="3001">
        <v>4</v>
      </c>
      <c r="C150" s="3001" t="s">
        <v>1314</v>
      </c>
      <c r="D150" s="3001" t="s">
        <v>2890</v>
      </c>
      <c r="E150" s="3002" t="s">
        <v>4723</v>
      </c>
      <c r="F150" s="3002" t="s">
        <v>4703</v>
      </c>
      <c r="G150" s="3003">
        <v>2.09</v>
      </c>
      <c r="H150" s="3003">
        <v>6.73</v>
      </c>
      <c r="I150" s="3004">
        <v>2.0499999999999998</v>
      </c>
    </row>
    <row r="151" spans="1:9" ht="18.75" hidden="1" customHeight="1" x14ac:dyDescent="0.3">
      <c r="A151" s="3000">
        <v>42979</v>
      </c>
      <c r="B151" s="3001">
        <v>3.5</v>
      </c>
      <c r="C151" s="3001" t="s">
        <v>4724</v>
      </c>
      <c r="D151" s="3001" t="s">
        <v>1413</v>
      </c>
      <c r="E151" s="3002" t="s">
        <v>4722</v>
      </c>
      <c r="F151" s="3002" t="s">
        <v>3308</v>
      </c>
      <c r="G151" s="3003">
        <v>1.75</v>
      </c>
      <c r="H151" s="3003">
        <v>6.28</v>
      </c>
      <c r="I151" s="3004">
        <v>2</v>
      </c>
    </row>
    <row r="152" spans="1:9" ht="18.75" hidden="1" customHeight="1" x14ac:dyDescent="0.3">
      <c r="A152" s="3000">
        <v>43009</v>
      </c>
      <c r="B152" s="3001">
        <v>3.5</v>
      </c>
      <c r="C152" s="3001" t="s">
        <v>4724</v>
      </c>
      <c r="D152" s="3001" t="s">
        <v>1462</v>
      </c>
      <c r="E152" s="3002" t="s">
        <v>4725</v>
      </c>
      <c r="F152" s="3002" t="s">
        <v>3308</v>
      </c>
      <c r="G152" s="3003">
        <v>1.68</v>
      </c>
      <c r="H152" s="3003">
        <v>6.15</v>
      </c>
      <c r="I152" s="3004">
        <v>1.78</v>
      </c>
    </row>
    <row r="153" spans="1:9" ht="18.75" hidden="1" customHeight="1" x14ac:dyDescent="0.3">
      <c r="A153" s="3000">
        <v>43040</v>
      </c>
      <c r="B153" s="3001">
        <v>3.5</v>
      </c>
      <c r="C153" s="3001" t="s">
        <v>4724</v>
      </c>
      <c r="D153" s="3001" t="s">
        <v>1462</v>
      </c>
      <c r="E153" s="3002" t="s">
        <v>4726</v>
      </c>
      <c r="F153" s="3002" t="s">
        <v>3308</v>
      </c>
      <c r="G153" s="3003">
        <v>1.69</v>
      </c>
      <c r="H153" s="3003">
        <v>6.2</v>
      </c>
      <c r="I153" s="3004">
        <v>1.96</v>
      </c>
    </row>
    <row r="154" spans="1:9" ht="18.75" hidden="1" customHeight="1" x14ac:dyDescent="0.3">
      <c r="A154" s="3000">
        <v>43070</v>
      </c>
      <c r="B154" s="3001">
        <v>3.5</v>
      </c>
      <c r="C154" s="3001" t="s">
        <v>4724</v>
      </c>
      <c r="D154" s="3001" t="s">
        <v>1462</v>
      </c>
      <c r="E154" s="3002" t="s">
        <v>4727</v>
      </c>
      <c r="F154" s="3002" t="s">
        <v>3308</v>
      </c>
      <c r="G154" s="3003">
        <v>1.67</v>
      </c>
      <c r="H154" s="3003">
        <v>6.2</v>
      </c>
      <c r="I154" s="3004">
        <v>2.4700000000000002</v>
      </c>
    </row>
    <row r="155" spans="1:9" ht="18.75" hidden="1" customHeight="1" x14ac:dyDescent="0.3">
      <c r="A155" s="3000">
        <v>43101</v>
      </c>
      <c r="B155" s="3001">
        <v>3.5</v>
      </c>
      <c r="C155" s="3001" t="s">
        <v>4724</v>
      </c>
      <c r="D155" s="3001" t="s">
        <v>1462</v>
      </c>
      <c r="E155" s="3002" t="s">
        <v>4728</v>
      </c>
      <c r="F155" s="3002" t="s">
        <v>3308</v>
      </c>
      <c r="G155" s="3003">
        <v>1.67</v>
      </c>
      <c r="H155" s="3003">
        <v>6.16</v>
      </c>
      <c r="I155" s="3004">
        <v>2.5099999999999998</v>
      </c>
    </row>
    <row r="156" spans="1:9" ht="18.75" hidden="1" customHeight="1" x14ac:dyDescent="0.3">
      <c r="A156" s="3000">
        <v>43132</v>
      </c>
      <c r="B156" s="3001">
        <v>3.5</v>
      </c>
      <c r="C156" s="3001" t="s">
        <v>4724</v>
      </c>
      <c r="D156" s="3001" t="s">
        <v>1462</v>
      </c>
      <c r="E156" s="3002" t="s">
        <v>4721</v>
      </c>
      <c r="F156" s="3002" t="s">
        <v>3308</v>
      </c>
      <c r="G156" s="3003">
        <v>1.68</v>
      </c>
      <c r="H156" s="3003">
        <v>6.13</v>
      </c>
      <c r="I156" s="3004">
        <v>2.91</v>
      </c>
    </row>
    <row r="157" spans="1:9" ht="18.75" hidden="1" customHeight="1" x14ac:dyDescent="0.3">
      <c r="A157" s="3000">
        <v>43160</v>
      </c>
      <c r="B157" s="3001">
        <v>3.5</v>
      </c>
      <c r="C157" s="3001" t="s">
        <v>4724</v>
      </c>
      <c r="D157" s="3001" t="s">
        <v>1462</v>
      </c>
      <c r="E157" s="3002" t="s">
        <v>4727</v>
      </c>
      <c r="F157" s="3002" t="s">
        <v>4729</v>
      </c>
      <c r="G157" s="3003">
        <v>1.66</v>
      </c>
      <c r="H157" s="3003">
        <v>6.17</v>
      </c>
      <c r="I157" s="3004">
        <v>3.74</v>
      </c>
    </row>
    <row r="158" spans="1:9" ht="18.75" hidden="1" customHeight="1" x14ac:dyDescent="0.3">
      <c r="A158" s="3000">
        <v>43191</v>
      </c>
      <c r="B158" s="3001">
        <v>3.5</v>
      </c>
      <c r="C158" s="3001" t="s">
        <v>4724</v>
      </c>
      <c r="D158" s="3001" t="s">
        <v>1462</v>
      </c>
      <c r="E158" s="3002" t="s">
        <v>4730</v>
      </c>
      <c r="F158" s="3002" t="s">
        <v>4729</v>
      </c>
      <c r="G158" s="3003">
        <v>1.65</v>
      </c>
      <c r="H158" s="3003">
        <v>6.18</v>
      </c>
      <c r="I158" s="3004">
        <v>3.69</v>
      </c>
    </row>
    <row r="159" spans="1:9" ht="18.75" hidden="1" customHeight="1" x14ac:dyDescent="0.3">
      <c r="A159" s="3000">
        <v>43221</v>
      </c>
      <c r="B159" s="3001">
        <v>3.5</v>
      </c>
      <c r="C159" s="3001" t="s">
        <v>4724</v>
      </c>
      <c r="D159" s="3001" t="s">
        <v>1462</v>
      </c>
      <c r="E159" s="3002" t="s">
        <v>4731</v>
      </c>
      <c r="F159" s="3002" t="s">
        <v>4729</v>
      </c>
      <c r="G159" s="3003">
        <v>1.65</v>
      </c>
      <c r="H159" s="3003">
        <v>6.19</v>
      </c>
      <c r="I159" s="3004">
        <v>3.52</v>
      </c>
    </row>
    <row r="160" spans="1:9" ht="18.75" hidden="1" customHeight="1" x14ac:dyDescent="0.3">
      <c r="A160" s="3000" t="s">
        <v>894</v>
      </c>
      <c r="B160" s="3001">
        <v>3.5</v>
      </c>
      <c r="C160" s="3001" t="s">
        <v>4724</v>
      </c>
      <c r="D160" s="3001" t="s">
        <v>1462</v>
      </c>
      <c r="E160" s="3002" t="s">
        <v>4720</v>
      </c>
      <c r="F160" s="3002" t="s">
        <v>4729</v>
      </c>
      <c r="G160" s="3003">
        <v>1.64</v>
      </c>
      <c r="H160" s="3003">
        <v>6.24</v>
      </c>
      <c r="I160" s="3004">
        <v>3.68</v>
      </c>
    </row>
    <row r="161" spans="1:9" ht="18.75" hidden="1" customHeight="1" x14ac:dyDescent="0.3">
      <c r="A161" s="3000">
        <v>43282</v>
      </c>
      <c r="B161" s="3001">
        <v>3.5</v>
      </c>
      <c r="C161" s="3001" t="s">
        <v>4724</v>
      </c>
      <c r="D161" s="3001" t="s">
        <v>1462</v>
      </c>
      <c r="E161" s="3002" t="s">
        <v>4732</v>
      </c>
      <c r="F161" s="3002" t="s">
        <v>4729</v>
      </c>
      <c r="G161" s="3003">
        <v>1.65</v>
      </c>
      <c r="H161" s="3003">
        <v>6.23</v>
      </c>
      <c r="I161" s="3004">
        <v>3.55</v>
      </c>
    </row>
    <row r="162" spans="1:9" ht="18.75" hidden="1" customHeight="1" x14ac:dyDescent="0.3">
      <c r="A162" s="3000">
        <v>43313</v>
      </c>
      <c r="B162" s="3001">
        <v>3.5</v>
      </c>
      <c r="C162" s="3001" t="s">
        <v>4724</v>
      </c>
      <c r="D162" s="3001" t="s">
        <v>1355</v>
      </c>
      <c r="E162" s="3002" t="s">
        <v>4733</v>
      </c>
      <c r="F162" s="3002" t="s">
        <v>4729</v>
      </c>
      <c r="G162" s="3003">
        <v>1.66</v>
      </c>
      <c r="H162" s="3003">
        <v>6.22</v>
      </c>
      <c r="I162" s="3004">
        <v>3.62</v>
      </c>
    </row>
    <row r="163" spans="1:9" ht="18.75" hidden="1" customHeight="1" x14ac:dyDescent="0.3">
      <c r="A163" s="3000">
        <v>43344</v>
      </c>
      <c r="B163" s="3001">
        <v>3.5</v>
      </c>
      <c r="C163" s="3001" t="s">
        <v>4724</v>
      </c>
      <c r="D163" s="3001" t="s">
        <v>2891</v>
      </c>
      <c r="E163" s="3002" t="s">
        <v>4734</v>
      </c>
      <c r="F163" s="3002" t="s">
        <v>4735</v>
      </c>
      <c r="G163" s="3003">
        <v>1.71</v>
      </c>
      <c r="H163" s="3003">
        <v>6.22</v>
      </c>
      <c r="I163" s="3004">
        <v>3.6</v>
      </c>
    </row>
    <row r="164" spans="1:9" ht="18.75" hidden="1" customHeight="1" x14ac:dyDescent="0.3">
      <c r="A164" s="3000">
        <v>43374</v>
      </c>
      <c r="B164" s="3001">
        <v>3.5</v>
      </c>
      <c r="C164" s="3001" t="s">
        <v>4724</v>
      </c>
      <c r="D164" s="3001" t="s">
        <v>2891</v>
      </c>
      <c r="E164" s="3002" t="s">
        <v>4736</v>
      </c>
      <c r="F164" s="3002" t="s">
        <v>3304</v>
      </c>
      <c r="G164" s="3003">
        <v>1.71</v>
      </c>
      <c r="H164" s="3003">
        <v>6.39</v>
      </c>
      <c r="I164" s="3004">
        <v>3.55</v>
      </c>
    </row>
    <row r="165" spans="1:9" ht="18.75" hidden="1" customHeight="1" x14ac:dyDescent="0.3">
      <c r="A165" s="3000">
        <v>43405</v>
      </c>
      <c r="B165" s="3001">
        <v>3.5</v>
      </c>
      <c r="C165" s="3001" t="s">
        <v>4724</v>
      </c>
      <c r="D165" s="3001" t="s">
        <v>2891</v>
      </c>
      <c r="E165" s="3002" t="s">
        <v>4737</v>
      </c>
      <c r="F165" s="3002" t="s">
        <v>3305</v>
      </c>
      <c r="G165" s="3003">
        <v>1.7</v>
      </c>
      <c r="H165" s="3003">
        <v>6.34</v>
      </c>
      <c r="I165" s="3004">
        <v>3.58</v>
      </c>
    </row>
    <row r="166" spans="1:9" ht="18.75" hidden="1" customHeight="1" x14ac:dyDescent="0.3">
      <c r="A166" s="3000">
        <v>43435</v>
      </c>
      <c r="B166" s="3001">
        <v>3.5</v>
      </c>
      <c r="C166" s="3001" t="s">
        <v>4724</v>
      </c>
      <c r="D166" s="3001" t="s">
        <v>2891</v>
      </c>
      <c r="E166" s="3002" t="s">
        <v>4738</v>
      </c>
      <c r="F166" s="3002" t="s">
        <v>4739</v>
      </c>
      <c r="G166" s="3003">
        <v>1.72</v>
      </c>
      <c r="H166" s="3003">
        <v>6.21</v>
      </c>
      <c r="I166" s="3004">
        <v>3.51</v>
      </c>
    </row>
    <row r="167" spans="1:9" ht="18.75" hidden="1" customHeight="1" x14ac:dyDescent="0.3">
      <c r="A167" s="3000">
        <v>43466</v>
      </c>
      <c r="B167" s="3001">
        <v>3.5</v>
      </c>
      <c r="C167" s="3001" t="s">
        <v>4724</v>
      </c>
      <c r="D167" s="3001" t="s">
        <v>2891</v>
      </c>
      <c r="E167" s="3002" t="s">
        <v>4740</v>
      </c>
      <c r="F167" s="3002" t="s">
        <v>4739</v>
      </c>
      <c r="G167" s="3003">
        <v>1.73</v>
      </c>
      <c r="H167" s="3003">
        <v>6.21</v>
      </c>
      <c r="I167" s="3004">
        <v>3.43</v>
      </c>
    </row>
    <row r="168" spans="1:9" ht="18.75" hidden="1" customHeight="1" x14ac:dyDescent="0.3">
      <c r="A168" s="3000">
        <v>43497</v>
      </c>
      <c r="B168" s="3001">
        <v>3.5</v>
      </c>
      <c r="C168" s="3001" t="s">
        <v>4724</v>
      </c>
      <c r="D168" s="3001" t="s">
        <v>2891</v>
      </c>
      <c r="E168" s="3002" t="s">
        <v>4741</v>
      </c>
      <c r="F168" s="3002" t="s">
        <v>4739</v>
      </c>
      <c r="G168" s="3003">
        <v>1.73</v>
      </c>
      <c r="H168" s="3003">
        <v>6.3</v>
      </c>
      <c r="I168" s="3004">
        <v>3.45</v>
      </c>
    </row>
    <row r="169" spans="1:9" ht="18.75" hidden="1" customHeight="1" x14ac:dyDescent="0.3">
      <c r="A169" s="3000">
        <v>43525</v>
      </c>
      <c r="B169" s="3001">
        <v>3.5</v>
      </c>
      <c r="C169" s="3001" t="s">
        <v>4724</v>
      </c>
      <c r="D169" s="3001" t="s">
        <v>2891</v>
      </c>
      <c r="E169" s="3002" t="s">
        <v>4742</v>
      </c>
      <c r="F169" s="3002" t="s">
        <v>4739</v>
      </c>
      <c r="G169" s="3003">
        <v>1.74</v>
      </c>
      <c r="H169" s="3003">
        <v>6.24</v>
      </c>
      <c r="I169" s="3004">
        <v>3.3</v>
      </c>
    </row>
    <row r="170" spans="1:9" ht="18.75" hidden="1" customHeight="1" x14ac:dyDescent="0.3">
      <c r="A170" s="3000">
        <v>43556</v>
      </c>
      <c r="B170" s="3001">
        <v>3.5</v>
      </c>
      <c r="C170" s="3001" t="s">
        <v>4724</v>
      </c>
      <c r="D170" s="3001" t="s">
        <v>2891</v>
      </c>
      <c r="E170" s="3002" t="s">
        <v>3034</v>
      </c>
      <c r="F170" s="3002" t="s">
        <v>3307</v>
      </c>
      <c r="G170" s="3003">
        <v>1.72</v>
      </c>
      <c r="H170" s="3003">
        <v>6.25</v>
      </c>
      <c r="I170" s="3004">
        <v>3.28</v>
      </c>
    </row>
    <row r="171" spans="1:9" ht="18.75" hidden="1" customHeight="1" x14ac:dyDescent="0.3">
      <c r="A171" s="3000">
        <v>43586</v>
      </c>
      <c r="B171" s="3001">
        <v>3.5</v>
      </c>
      <c r="C171" s="3001" t="s">
        <v>4724</v>
      </c>
      <c r="D171" s="3001" t="s">
        <v>2891</v>
      </c>
      <c r="E171" s="3002" t="s">
        <v>4743</v>
      </c>
      <c r="F171" s="3002" t="s">
        <v>3307</v>
      </c>
      <c r="G171" s="3003">
        <v>1.73</v>
      </c>
      <c r="H171" s="3003">
        <v>6.24</v>
      </c>
      <c r="I171" s="3004">
        <v>2.95</v>
      </c>
    </row>
    <row r="172" spans="1:9" ht="18.75" hidden="1" customHeight="1" x14ac:dyDescent="0.3">
      <c r="A172" s="3000">
        <v>43617</v>
      </c>
      <c r="B172" s="3001">
        <v>3.5</v>
      </c>
      <c r="C172" s="3001" t="s">
        <v>4724</v>
      </c>
      <c r="D172" s="3001" t="s">
        <v>2891</v>
      </c>
      <c r="E172" s="3002" t="s">
        <v>4723</v>
      </c>
      <c r="F172" s="3002" t="s">
        <v>4739</v>
      </c>
      <c r="G172" s="3003">
        <v>1.71</v>
      </c>
      <c r="H172" s="3003">
        <v>6.22</v>
      </c>
      <c r="I172" s="3004">
        <v>2.77</v>
      </c>
    </row>
    <row r="173" spans="1:9" ht="18.75" hidden="1" customHeight="1" x14ac:dyDescent="0.3">
      <c r="A173" s="3000">
        <v>43647</v>
      </c>
      <c r="B173" s="3001">
        <v>3.5</v>
      </c>
      <c r="C173" s="3001" t="s">
        <v>4724</v>
      </c>
      <c r="D173" s="3001" t="s">
        <v>2891</v>
      </c>
      <c r="E173" s="3002" t="s">
        <v>4740</v>
      </c>
      <c r="F173" s="3002" t="s">
        <v>4739</v>
      </c>
      <c r="G173" s="3003">
        <v>1.72</v>
      </c>
      <c r="H173" s="3003">
        <v>6.24</v>
      </c>
      <c r="I173" s="3004">
        <v>3.17</v>
      </c>
    </row>
    <row r="174" spans="1:9" ht="18.75" hidden="1" customHeight="1" x14ac:dyDescent="0.3">
      <c r="A174" s="3000">
        <v>43678</v>
      </c>
      <c r="B174" s="3001">
        <v>3.35</v>
      </c>
      <c r="C174" s="3001" t="s">
        <v>4744</v>
      </c>
      <c r="D174" s="3001" t="s">
        <v>1355</v>
      </c>
      <c r="E174" s="3002" t="s">
        <v>4745</v>
      </c>
      <c r="F174" s="3002" t="s">
        <v>4739</v>
      </c>
      <c r="G174" s="3003">
        <v>1.63</v>
      </c>
      <c r="H174" s="3003">
        <v>6.11</v>
      </c>
      <c r="I174" s="3004">
        <v>3.09</v>
      </c>
    </row>
    <row r="175" spans="1:9" ht="18.75" hidden="1" customHeight="1" x14ac:dyDescent="0.3">
      <c r="A175" s="3000">
        <v>43709</v>
      </c>
      <c r="B175" s="3001">
        <v>3.35</v>
      </c>
      <c r="C175" s="3001" t="s">
        <v>4746</v>
      </c>
      <c r="D175" s="3001" t="s">
        <v>1462</v>
      </c>
      <c r="E175" s="3002" t="s">
        <v>2925</v>
      </c>
      <c r="F175" s="3002" t="s">
        <v>4739</v>
      </c>
      <c r="G175" s="3003">
        <v>1.61</v>
      </c>
      <c r="H175" s="3003">
        <v>6.08</v>
      </c>
      <c r="I175" s="3004">
        <v>2.7</v>
      </c>
    </row>
    <row r="176" spans="1:9" ht="18.75" hidden="1" customHeight="1" x14ac:dyDescent="0.3">
      <c r="A176" s="3000">
        <v>43739</v>
      </c>
      <c r="B176" s="3001">
        <v>3.35</v>
      </c>
      <c r="C176" s="3001" t="s">
        <v>4746</v>
      </c>
      <c r="D176" s="3001" t="s">
        <v>2892</v>
      </c>
      <c r="E176" s="3002" t="s">
        <v>4747</v>
      </c>
      <c r="F176" s="3002" t="s">
        <v>4739</v>
      </c>
      <c r="G176" s="3003">
        <v>1.61</v>
      </c>
      <c r="H176" s="3003">
        <v>6.11</v>
      </c>
      <c r="I176" s="3004">
        <v>2.63</v>
      </c>
    </row>
    <row r="177" spans="1:9" ht="18.75" hidden="1" customHeight="1" x14ac:dyDescent="0.3">
      <c r="A177" s="3000">
        <v>43770</v>
      </c>
      <c r="B177" s="3001">
        <v>3.35</v>
      </c>
      <c r="C177" s="3001" t="s">
        <v>4746</v>
      </c>
      <c r="D177" s="3001" t="s">
        <v>2892</v>
      </c>
      <c r="E177" s="3002" t="s">
        <v>4740</v>
      </c>
      <c r="F177" s="3002" t="s">
        <v>4739</v>
      </c>
      <c r="G177" s="3003">
        <v>1.61</v>
      </c>
      <c r="H177" s="3003">
        <v>6.12</v>
      </c>
      <c r="I177" s="3004">
        <v>2.78</v>
      </c>
    </row>
    <row r="178" spans="1:9" ht="18.75" hidden="1" customHeight="1" x14ac:dyDescent="0.3">
      <c r="A178" s="3000">
        <v>43800</v>
      </c>
      <c r="B178" s="3001">
        <v>3.35</v>
      </c>
      <c r="C178" s="3001" t="s">
        <v>4746</v>
      </c>
      <c r="D178" s="3001" t="s">
        <v>2892</v>
      </c>
      <c r="E178" s="3002" t="s">
        <v>4748</v>
      </c>
      <c r="F178" s="3002" t="s">
        <v>3861</v>
      </c>
      <c r="G178" s="3003">
        <v>1.57</v>
      </c>
      <c r="H178" s="3003">
        <v>6.09</v>
      </c>
      <c r="I178" s="3004">
        <v>2.72</v>
      </c>
    </row>
    <row r="179" spans="1:9" ht="18.75" hidden="1" customHeight="1" x14ac:dyDescent="0.3">
      <c r="A179" s="3000">
        <v>43831</v>
      </c>
      <c r="B179" s="3001">
        <v>3.35</v>
      </c>
      <c r="C179" s="3001" t="s">
        <v>4746</v>
      </c>
      <c r="D179" s="3001" t="s">
        <v>2892</v>
      </c>
      <c r="E179" s="3002" t="s">
        <v>4749</v>
      </c>
      <c r="F179" s="3002" t="s">
        <v>3861</v>
      </c>
      <c r="G179" s="3003">
        <v>1.61</v>
      </c>
      <c r="H179" s="3003">
        <v>6.09</v>
      </c>
      <c r="I179" s="3004">
        <v>2.2599999999999998</v>
      </c>
    </row>
    <row r="180" spans="1:9" ht="18.75" hidden="1" customHeight="1" x14ac:dyDescent="0.3">
      <c r="A180" s="3000">
        <v>43862</v>
      </c>
      <c r="B180" s="3001">
        <v>3.35</v>
      </c>
      <c r="C180" s="3001" t="s">
        <v>4746</v>
      </c>
      <c r="D180" s="3001" t="s">
        <v>2892</v>
      </c>
      <c r="E180" s="3002" t="s">
        <v>4750</v>
      </c>
      <c r="F180" s="3002" t="s">
        <v>3861</v>
      </c>
      <c r="G180" s="3003">
        <v>1.56</v>
      </c>
      <c r="H180" s="3003">
        <v>6.07</v>
      </c>
      <c r="I180" s="3004">
        <v>2.19</v>
      </c>
    </row>
    <row r="181" spans="1:9" ht="18.75" hidden="1" customHeight="1" x14ac:dyDescent="0.3">
      <c r="A181" s="3000">
        <v>43891</v>
      </c>
      <c r="B181" s="3001">
        <v>2.85</v>
      </c>
      <c r="C181" s="3001" t="s">
        <v>3457</v>
      </c>
      <c r="D181" s="3001" t="s">
        <v>2893</v>
      </c>
      <c r="E181" s="3002" t="s">
        <v>4751</v>
      </c>
      <c r="F181" s="3002" t="s">
        <v>3862</v>
      </c>
      <c r="G181" s="3003">
        <v>1.3</v>
      </c>
      <c r="H181" s="3003">
        <v>5.7</v>
      </c>
      <c r="I181" s="3004">
        <v>1.42</v>
      </c>
    </row>
    <row r="182" spans="1:9" ht="18.75" hidden="1" customHeight="1" x14ac:dyDescent="0.3">
      <c r="A182" s="3000">
        <v>43922</v>
      </c>
      <c r="B182" s="3001">
        <v>1.85</v>
      </c>
      <c r="C182" s="3001" t="s">
        <v>4752</v>
      </c>
      <c r="D182" s="3001" t="s">
        <v>2894</v>
      </c>
      <c r="E182" s="3002" t="s">
        <v>4753</v>
      </c>
      <c r="F182" s="3002" t="s">
        <v>3314</v>
      </c>
      <c r="G182" s="3003">
        <v>0.71</v>
      </c>
      <c r="H182" s="3003">
        <v>4.9000000000000004</v>
      </c>
      <c r="I182" s="3004">
        <v>0.43</v>
      </c>
    </row>
    <row r="183" spans="1:9" ht="18.75" hidden="1" customHeight="1" x14ac:dyDescent="0.3">
      <c r="A183" s="3000">
        <v>43952</v>
      </c>
      <c r="B183" s="3001">
        <v>1.85</v>
      </c>
      <c r="C183" s="3001" t="s">
        <v>4752</v>
      </c>
      <c r="D183" s="3001" t="s">
        <v>2895</v>
      </c>
      <c r="E183" s="3002" t="s">
        <v>2915</v>
      </c>
      <c r="F183" s="3002" t="s">
        <v>3314</v>
      </c>
      <c r="G183" s="3003">
        <v>0.51</v>
      </c>
      <c r="H183" s="3003">
        <v>4.71</v>
      </c>
      <c r="I183" s="3004">
        <v>0.19</v>
      </c>
    </row>
    <row r="184" spans="1:9" ht="18.75" hidden="1" customHeight="1" x14ac:dyDescent="0.3">
      <c r="A184" s="3000">
        <v>43983</v>
      </c>
      <c r="B184" s="3001">
        <v>1.85</v>
      </c>
      <c r="C184" s="3001" t="s">
        <v>4752</v>
      </c>
      <c r="D184" s="3001" t="s">
        <v>2895</v>
      </c>
      <c r="E184" s="3002" t="s">
        <v>2915</v>
      </c>
      <c r="F184" s="3002" t="s">
        <v>4754</v>
      </c>
      <c r="G184" s="3003">
        <v>0.5</v>
      </c>
      <c r="H184" s="3003">
        <v>4.67</v>
      </c>
      <c r="I184" s="3004">
        <v>0.78</v>
      </c>
    </row>
    <row r="185" spans="1:9" ht="18.75" hidden="1" customHeight="1" x14ac:dyDescent="0.3">
      <c r="A185" s="3000">
        <v>44013</v>
      </c>
      <c r="B185" s="3001">
        <v>1.85</v>
      </c>
      <c r="C185" s="3001" t="s">
        <v>4752</v>
      </c>
      <c r="D185" s="3001" t="s">
        <v>2895</v>
      </c>
      <c r="E185" s="3002" t="s">
        <v>4755</v>
      </c>
      <c r="F185" s="3002" t="s">
        <v>4754</v>
      </c>
      <c r="G185" s="3003">
        <v>0.49</v>
      </c>
      <c r="H185" s="3003">
        <v>4.6399999999999997</v>
      </c>
      <c r="I185" s="3004" t="s">
        <v>1014</v>
      </c>
    </row>
    <row r="186" spans="1:9" ht="18.75" hidden="1" customHeight="1" x14ac:dyDescent="0.3">
      <c r="A186" s="3000">
        <v>44044</v>
      </c>
      <c r="B186" s="3001">
        <v>1.85</v>
      </c>
      <c r="C186" s="3001" t="s">
        <v>4752</v>
      </c>
      <c r="D186" s="3001" t="s">
        <v>2895</v>
      </c>
      <c r="E186" s="3002" t="s">
        <v>4756</v>
      </c>
      <c r="F186" s="3002" t="s">
        <v>4754</v>
      </c>
      <c r="G186" s="3003">
        <v>0.5</v>
      </c>
      <c r="H186" s="3003">
        <v>4.71</v>
      </c>
      <c r="I186" s="3004">
        <v>1.3</v>
      </c>
    </row>
    <row r="187" spans="1:9" ht="18.75" hidden="1" customHeight="1" x14ac:dyDescent="0.3">
      <c r="A187" s="3000">
        <v>44075</v>
      </c>
      <c r="B187" s="3001">
        <v>1.85</v>
      </c>
      <c r="C187" s="3001" t="s">
        <v>4752</v>
      </c>
      <c r="D187" s="3001" t="s">
        <v>2895</v>
      </c>
      <c r="E187" s="3002" t="s">
        <v>4757</v>
      </c>
      <c r="F187" s="3002" t="s">
        <v>4754</v>
      </c>
      <c r="G187" s="3003">
        <v>0.49</v>
      </c>
      <c r="H187" s="3003">
        <v>4.7300000000000004</v>
      </c>
      <c r="I187" s="3004">
        <v>1.38</v>
      </c>
    </row>
    <row r="188" spans="1:9" ht="18.75" hidden="1" customHeight="1" x14ac:dyDescent="0.3">
      <c r="A188" s="3000">
        <v>44105</v>
      </c>
      <c r="B188" s="3001">
        <v>1.85</v>
      </c>
      <c r="C188" s="3001" t="s">
        <v>4752</v>
      </c>
      <c r="D188" s="3001" t="s">
        <v>2895</v>
      </c>
      <c r="E188" s="3002" t="s">
        <v>4757</v>
      </c>
      <c r="F188" s="3002" t="s">
        <v>4754</v>
      </c>
      <c r="G188" s="3003">
        <v>0.49</v>
      </c>
      <c r="H188" s="3003">
        <v>4.7</v>
      </c>
      <c r="I188" s="3004" t="s">
        <v>1014</v>
      </c>
    </row>
    <row r="189" spans="1:9" ht="18.75" hidden="1" customHeight="1" x14ac:dyDescent="0.3">
      <c r="A189" s="3000">
        <v>44136</v>
      </c>
      <c r="B189" s="3001">
        <v>1.85</v>
      </c>
      <c r="C189" s="3001" t="s">
        <v>4752</v>
      </c>
      <c r="D189" s="3001" t="s">
        <v>2895</v>
      </c>
      <c r="E189" s="3002" t="s">
        <v>4758</v>
      </c>
      <c r="F189" s="3002" t="s">
        <v>4754</v>
      </c>
      <c r="G189" s="3003">
        <v>0.48</v>
      </c>
      <c r="H189" s="3003">
        <v>4.7</v>
      </c>
      <c r="I189" s="3004">
        <v>0.64</v>
      </c>
    </row>
    <row r="190" spans="1:9" ht="18.75" hidden="1" customHeight="1" x14ac:dyDescent="0.3">
      <c r="A190" s="3000">
        <v>44166</v>
      </c>
      <c r="B190" s="3001">
        <v>1.85</v>
      </c>
      <c r="C190" s="3001" t="s">
        <v>4752</v>
      </c>
      <c r="D190" s="3001" t="s">
        <v>2895</v>
      </c>
      <c r="E190" s="3002" t="s">
        <v>4759</v>
      </c>
      <c r="F190" s="3002" t="s">
        <v>4754</v>
      </c>
      <c r="G190" s="3003">
        <v>0.47</v>
      </c>
      <c r="H190" s="3003">
        <v>4.7</v>
      </c>
      <c r="I190" s="3004">
        <v>0.31</v>
      </c>
    </row>
    <row r="191" spans="1:9" ht="19.5" hidden="1" customHeight="1" x14ac:dyDescent="0.3">
      <c r="A191" s="3000">
        <v>44197</v>
      </c>
      <c r="B191" s="3001">
        <v>1.85</v>
      </c>
      <c r="C191" s="3001" t="s">
        <v>4752</v>
      </c>
      <c r="D191" s="3001" t="s">
        <v>2895</v>
      </c>
      <c r="E191" s="3002" t="s">
        <v>4760</v>
      </c>
      <c r="F191" s="3002" t="s">
        <v>4754</v>
      </c>
      <c r="G191" s="3003">
        <v>0.46</v>
      </c>
      <c r="H191" s="3003">
        <v>4.7</v>
      </c>
      <c r="I191" s="3004">
        <v>0.28999999999999998</v>
      </c>
    </row>
    <row r="192" spans="1:9" ht="19.5" hidden="1" customHeight="1" x14ac:dyDescent="0.3">
      <c r="A192" s="3000">
        <v>44228</v>
      </c>
      <c r="B192" s="3001">
        <v>1.85</v>
      </c>
      <c r="C192" s="3001" t="s">
        <v>4752</v>
      </c>
      <c r="D192" s="3001" t="s">
        <v>2895</v>
      </c>
      <c r="E192" s="3002" t="s">
        <v>2915</v>
      </c>
      <c r="F192" s="3002" t="s">
        <v>4754</v>
      </c>
      <c r="G192" s="3003">
        <v>0.44</v>
      </c>
      <c r="H192" s="3003">
        <v>4.67</v>
      </c>
      <c r="I192" s="3004">
        <v>0.24</v>
      </c>
    </row>
    <row r="193" spans="1:9" ht="19.5" hidden="1" customHeight="1" x14ac:dyDescent="0.3">
      <c r="A193" s="3000">
        <v>44256</v>
      </c>
      <c r="B193" s="3001">
        <v>1.85</v>
      </c>
      <c r="C193" s="3001" t="s">
        <v>4752</v>
      </c>
      <c r="D193" s="3001" t="s">
        <v>2895</v>
      </c>
      <c r="E193" s="3002" t="s">
        <v>2911</v>
      </c>
      <c r="F193" s="3002" t="s">
        <v>4761</v>
      </c>
      <c r="G193" s="3003">
        <v>0.44</v>
      </c>
      <c r="H193" s="3003">
        <v>4.7</v>
      </c>
      <c r="I193" s="3004">
        <v>0.28000000000000003</v>
      </c>
    </row>
    <row r="194" spans="1:9" ht="19.5" hidden="1" customHeight="1" x14ac:dyDescent="0.3">
      <c r="A194" s="3000">
        <v>44287</v>
      </c>
      <c r="B194" s="3001">
        <v>1.85</v>
      </c>
      <c r="C194" s="3001" t="s">
        <v>4752</v>
      </c>
      <c r="D194" s="3001" t="s">
        <v>2895</v>
      </c>
      <c r="E194" s="3002" t="s">
        <v>2912</v>
      </c>
      <c r="F194" s="3002" t="s">
        <v>4754</v>
      </c>
      <c r="G194" s="3003">
        <v>0.43</v>
      </c>
      <c r="H194" s="3003">
        <v>4.5999999999999996</v>
      </c>
      <c r="I194" s="3004">
        <v>0.49</v>
      </c>
    </row>
    <row r="195" spans="1:9" ht="19.5" hidden="1" customHeight="1" x14ac:dyDescent="0.3">
      <c r="A195" s="3000">
        <v>44317</v>
      </c>
      <c r="B195" s="3001">
        <v>1.85</v>
      </c>
      <c r="C195" s="3001" t="s">
        <v>4752</v>
      </c>
      <c r="D195" s="3001" t="s">
        <v>2895</v>
      </c>
      <c r="E195" s="3002" t="s">
        <v>4762</v>
      </c>
      <c r="F195" s="3002" t="s">
        <v>4754</v>
      </c>
      <c r="G195" s="3003">
        <v>0.42</v>
      </c>
      <c r="H195" s="3003">
        <v>4.55</v>
      </c>
      <c r="I195" s="3004">
        <v>0.8</v>
      </c>
    </row>
    <row r="196" spans="1:9" ht="19.5" hidden="1" customHeight="1" x14ac:dyDescent="0.3">
      <c r="A196" s="3000">
        <v>44348</v>
      </c>
      <c r="B196" s="3001">
        <v>1.85</v>
      </c>
      <c r="C196" s="3001" t="s">
        <v>4752</v>
      </c>
      <c r="D196" s="3001" t="s">
        <v>2895</v>
      </c>
      <c r="E196" s="3002" t="s">
        <v>4763</v>
      </c>
      <c r="F196" s="3002" t="s">
        <v>4754</v>
      </c>
      <c r="G196" s="3003">
        <v>0.43</v>
      </c>
      <c r="H196" s="3003">
        <v>4.59</v>
      </c>
      <c r="I196" s="3004">
        <v>1.29</v>
      </c>
    </row>
    <row r="197" spans="1:9" ht="19.5" hidden="1" customHeight="1" x14ac:dyDescent="0.3">
      <c r="A197" s="3000">
        <v>44378</v>
      </c>
      <c r="B197" s="3001">
        <v>1.85</v>
      </c>
      <c r="C197" s="3001" t="s">
        <v>4752</v>
      </c>
      <c r="D197" s="3001" t="s">
        <v>2895</v>
      </c>
      <c r="E197" s="3002" t="s">
        <v>2916</v>
      </c>
      <c r="F197" s="3002" t="s">
        <v>4754</v>
      </c>
      <c r="G197" s="3003">
        <v>0.42</v>
      </c>
      <c r="H197" s="3003">
        <v>4.54</v>
      </c>
      <c r="I197" s="3004">
        <v>0.75</v>
      </c>
    </row>
    <row r="198" spans="1:9" ht="19.5" customHeight="1" x14ac:dyDescent="0.3">
      <c r="A198" s="3000">
        <v>44409</v>
      </c>
      <c r="B198" s="3001">
        <v>1.85</v>
      </c>
      <c r="C198" s="3001" t="s">
        <v>4752</v>
      </c>
      <c r="D198" s="3001" t="s">
        <v>2895</v>
      </c>
      <c r="E198" s="3002" t="s">
        <v>4757</v>
      </c>
      <c r="F198" s="3002" t="s">
        <v>4754</v>
      </c>
      <c r="G198" s="3003">
        <v>0.42</v>
      </c>
      <c r="H198" s="3003">
        <v>4.6100000000000003</v>
      </c>
      <c r="I198" s="3004">
        <v>0.83</v>
      </c>
    </row>
    <row r="199" spans="1:9" ht="19.5" customHeight="1" x14ac:dyDescent="0.3">
      <c r="A199" s="3000">
        <v>44440</v>
      </c>
      <c r="B199" s="3001">
        <v>1.85</v>
      </c>
      <c r="C199" s="3001" t="s">
        <v>4752</v>
      </c>
      <c r="D199" s="3001" t="s">
        <v>2895</v>
      </c>
      <c r="E199" s="3002" t="s">
        <v>2912</v>
      </c>
      <c r="F199" s="3002" t="s">
        <v>4754</v>
      </c>
      <c r="G199" s="3003">
        <v>0.42</v>
      </c>
      <c r="H199" s="3003">
        <v>4.6100000000000003</v>
      </c>
      <c r="I199" s="3004">
        <v>0.78</v>
      </c>
    </row>
    <row r="200" spans="1:9" ht="19.5" customHeight="1" x14ac:dyDescent="0.3">
      <c r="A200" s="3000">
        <v>44470</v>
      </c>
      <c r="B200" s="3001">
        <v>1.85</v>
      </c>
      <c r="C200" s="3001" t="s">
        <v>4752</v>
      </c>
      <c r="D200" s="3001" t="s">
        <v>2895</v>
      </c>
      <c r="E200" s="3002" t="s">
        <v>2912</v>
      </c>
      <c r="F200" s="3002" t="s">
        <v>4754</v>
      </c>
      <c r="G200" s="3003">
        <v>0.41</v>
      </c>
      <c r="H200" s="3003">
        <v>4.62</v>
      </c>
      <c r="I200" s="3004">
        <v>0.79</v>
      </c>
    </row>
    <row r="201" spans="1:9" ht="19.5" customHeight="1" x14ac:dyDescent="0.3">
      <c r="A201" s="3000">
        <v>44501</v>
      </c>
      <c r="B201" s="3001">
        <v>1.85</v>
      </c>
      <c r="C201" s="3001" t="s">
        <v>4764</v>
      </c>
      <c r="D201" s="3001" t="s">
        <v>2895</v>
      </c>
      <c r="E201" s="3002" t="s">
        <v>2912</v>
      </c>
      <c r="F201" s="3002" t="s">
        <v>4754</v>
      </c>
      <c r="G201" s="3003">
        <v>0.42</v>
      </c>
      <c r="H201" s="3003">
        <v>4.58</v>
      </c>
      <c r="I201" s="3004">
        <v>0.83</v>
      </c>
    </row>
    <row r="202" spans="1:9" ht="19.5" customHeight="1" x14ac:dyDescent="0.3">
      <c r="A202" s="3000">
        <v>44531</v>
      </c>
      <c r="B202" s="3001">
        <v>1.85</v>
      </c>
      <c r="C202" s="3001" t="s">
        <v>4752</v>
      </c>
      <c r="D202" s="3001" t="s">
        <v>2895</v>
      </c>
      <c r="E202" s="3002" t="s">
        <v>4765</v>
      </c>
      <c r="F202" s="3002" t="s">
        <v>4754</v>
      </c>
      <c r="G202" s="3003">
        <v>0.4</v>
      </c>
      <c r="H202" s="3003">
        <v>4.54</v>
      </c>
      <c r="I202" s="3004">
        <v>0.65</v>
      </c>
    </row>
    <row r="203" spans="1:9" ht="19.5" customHeight="1" x14ac:dyDescent="0.3">
      <c r="A203" s="3000">
        <v>44562</v>
      </c>
      <c r="B203" s="3001">
        <v>1.85</v>
      </c>
      <c r="C203" s="3001" t="s">
        <v>4752</v>
      </c>
      <c r="D203" s="3001" t="s">
        <v>2895</v>
      </c>
      <c r="E203" s="3002" t="s">
        <v>4765</v>
      </c>
      <c r="F203" s="3002" t="s">
        <v>4754</v>
      </c>
      <c r="G203" s="3003">
        <v>0.4</v>
      </c>
      <c r="H203" s="3003">
        <v>4.5599999999999996</v>
      </c>
      <c r="I203" s="3004">
        <v>0.66</v>
      </c>
    </row>
    <row r="204" spans="1:9" ht="18.75" customHeight="1" x14ac:dyDescent="0.3">
      <c r="A204" s="3000">
        <v>44593</v>
      </c>
      <c r="B204" s="3001">
        <v>1.85</v>
      </c>
      <c r="C204" s="3001" t="s">
        <v>4752</v>
      </c>
      <c r="D204" s="3001" t="s">
        <v>2895</v>
      </c>
      <c r="E204" s="3002" t="s">
        <v>4766</v>
      </c>
      <c r="F204" s="3002" t="s">
        <v>4754</v>
      </c>
      <c r="G204" s="3003">
        <v>0.39</v>
      </c>
      <c r="H204" s="3003">
        <v>4.55</v>
      </c>
      <c r="I204" s="3004">
        <v>0.65</v>
      </c>
    </row>
    <row r="205" spans="1:9" ht="19.5" customHeight="1" x14ac:dyDescent="0.3">
      <c r="A205" s="3000">
        <v>44621</v>
      </c>
      <c r="B205" s="3001">
        <v>2</v>
      </c>
      <c r="C205" s="3001" t="s">
        <v>4767</v>
      </c>
      <c r="D205" s="3001" t="s">
        <v>2896</v>
      </c>
      <c r="E205" s="3002" t="s">
        <v>4768</v>
      </c>
      <c r="F205" s="3002" t="s">
        <v>4769</v>
      </c>
      <c r="G205" s="3003">
        <v>0.48</v>
      </c>
      <c r="H205" s="3003">
        <v>4.6500000000000004</v>
      </c>
      <c r="I205" s="3004">
        <v>0.74</v>
      </c>
    </row>
    <row r="206" spans="1:9" ht="19.5" customHeight="1" x14ac:dyDescent="0.3">
      <c r="A206" s="3000">
        <v>44652</v>
      </c>
      <c r="B206" s="3001">
        <v>2</v>
      </c>
      <c r="C206" s="3001" t="s">
        <v>4770</v>
      </c>
      <c r="D206" s="3001" t="s">
        <v>2896</v>
      </c>
      <c r="E206" s="3002" t="s">
        <v>2912</v>
      </c>
      <c r="F206" s="3002" t="s">
        <v>4769</v>
      </c>
      <c r="G206" s="3003">
        <v>0.5</v>
      </c>
      <c r="H206" s="3003">
        <v>4.6500000000000004</v>
      </c>
      <c r="I206" s="3004">
        <v>0.8</v>
      </c>
    </row>
    <row r="207" spans="1:9" ht="19.5" customHeight="1" x14ac:dyDescent="0.3">
      <c r="A207" s="3000">
        <v>44682</v>
      </c>
      <c r="B207" s="3001">
        <v>2</v>
      </c>
      <c r="C207" s="3001" t="s">
        <v>4770</v>
      </c>
      <c r="D207" s="3001" t="s">
        <v>2896</v>
      </c>
      <c r="E207" s="3002" t="s">
        <v>4771</v>
      </c>
      <c r="F207" s="3002" t="s">
        <v>4769</v>
      </c>
      <c r="G207" s="3003">
        <v>0.5</v>
      </c>
      <c r="H207" s="3003">
        <v>4.68</v>
      </c>
      <c r="I207" s="3004">
        <v>0.83</v>
      </c>
    </row>
    <row r="208" spans="1:9" ht="19.5" customHeight="1" x14ac:dyDescent="0.3">
      <c r="A208" s="3000">
        <v>44713</v>
      </c>
      <c r="B208" s="3001">
        <v>2.25</v>
      </c>
      <c r="C208" s="3001" t="s">
        <v>4772</v>
      </c>
      <c r="D208" s="3001" t="s">
        <v>2897</v>
      </c>
      <c r="E208" s="3002" t="s">
        <v>2981</v>
      </c>
      <c r="F208" s="3002" t="s">
        <v>4773</v>
      </c>
      <c r="G208" s="3003">
        <v>0.63</v>
      </c>
      <c r="H208" s="3003">
        <v>4.99</v>
      </c>
      <c r="I208" s="3004">
        <v>1</v>
      </c>
    </row>
    <row r="209" spans="1:9" ht="19.5" customHeight="1" x14ac:dyDescent="0.3">
      <c r="A209" s="3000">
        <v>44743</v>
      </c>
      <c r="B209" s="3001">
        <v>2.25</v>
      </c>
      <c r="C209" s="3001" t="s">
        <v>4772</v>
      </c>
      <c r="D209" s="3001" t="s">
        <v>2898</v>
      </c>
      <c r="E209" s="3002" t="s">
        <v>4774</v>
      </c>
      <c r="F209" s="3002" t="s">
        <v>4773</v>
      </c>
      <c r="G209" s="3003">
        <v>0.64</v>
      </c>
      <c r="H209" s="3003">
        <v>4.99</v>
      </c>
      <c r="I209" s="3004">
        <v>1.06</v>
      </c>
    </row>
    <row r="210" spans="1:9" ht="19.5" customHeight="1" x14ac:dyDescent="0.3">
      <c r="A210" s="3000">
        <v>44774</v>
      </c>
      <c r="B210" s="3001">
        <v>2.25</v>
      </c>
      <c r="C210" s="3001" t="s">
        <v>4772</v>
      </c>
      <c r="D210" s="3001" t="s">
        <v>2898</v>
      </c>
      <c r="E210" s="3002" t="s">
        <v>4775</v>
      </c>
      <c r="F210" s="3002" t="s">
        <v>4773</v>
      </c>
      <c r="G210" s="3003">
        <v>0.64</v>
      </c>
      <c r="H210" s="3003">
        <v>5</v>
      </c>
      <c r="I210" s="3004">
        <v>1.08</v>
      </c>
    </row>
    <row r="211" spans="1:9" ht="19.5" customHeight="1" x14ac:dyDescent="0.3">
      <c r="A211" s="3000">
        <v>44805</v>
      </c>
      <c r="B211" s="3001">
        <v>3</v>
      </c>
      <c r="C211" s="3001" t="s">
        <v>4772</v>
      </c>
      <c r="D211" s="3001" t="s">
        <v>2899</v>
      </c>
      <c r="E211" s="3002" t="s">
        <v>4776</v>
      </c>
      <c r="F211" s="3002" t="s">
        <v>4504</v>
      </c>
      <c r="G211" s="3003">
        <v>0.91</v>
      </c>
      <c r="H211" s="3003">
        <v>5.27</v>
      </c>
      <c r="I211" s="3004">
        <v>1.33</v>
      </c>
    </row>
    <row r="212" spans="1:9" ht="19.5" customHeight="1" x14ac:dyDescent="0.3">
      <c r="A212" s="3000">
        <v>44835</v>
      </c>
      <c r="B212" s="3001">
        <v>3</v>
      </c>
      <c r="C212" s="3001" t="s">
        <v>4777</v>
      </c>
      <c r="D212" s="3001" t="s">
        <v>2900</v>
      </c>
      <c r="E212" s="3002" t="s">
        <v>4778</v>
      </c>
      <c r="F212" s="3002" t="s">
        <v>4504</v>
      </c>
      <c r="G212" s="3003">
        <v>1.1100000000000001</v>
      </c>
      <c r="H212" s="3003">
        <v>5.64</v>
      </c>
      <c r="I212" s="3004">
        <v>1.75</v>
      </c>
    </row>
    <row r="213" spans="1:9" ht="19.5" customHeight="1" x14ac:dyDescent="0.3">
      <c r="A213" s="3000">
        <v>44866</v>
      </c>
      <c r="B213" s="3001">
        <v>4</v>
      </c>
      <c r="C213" s="3001" t="s">
        <v>4779</v>
      </c>
      <c r="D213" s="3001" t="s">
        <v>2901</v>
      </c>
      <c r="E213" s="3002" t="s">
        <v>3032</v>
      </c>
      <c r="F213" s="3002" t="s">
        <v>4504</v>
      </c>
      <c r="G213" s="3003">
        <v>1.76</v>
      </c>
      <c r="H213" s="3003">
        <v>6.59</v>
      </c>
      <c r="I213" s="3004">
        <v>2.68</v>
      </c>
    </row>
    <row r="214" spans="1:9" ht="19.5" customHeight="1" x14ac:dyDescent="0.3">
      <c r="A214" s="3000">
        <v>44896</v>
      </c>
      <c r="B214" s="3001">
        <v>4.5</v>
      </c>
      <c r="C214" s="3001" t="s">
        <v>4780</v>
      </c>
      <c r="D214" s="3001" t="s">
        <v>2902</v>
      </c>
      <c r="E214" s="3002" t="s">
        <v>4781</v>
      </c>
      <c r="F214" s="3002" t="s">
        <v>4504</v>
      </c>
      <c r="G214" s="3003">
        <v>2.15</v>
      </c>
      <c r="H214" s="3003">
        <v>6.99</v>
      </c>
      <c r="I214" s="3004">
        <v>3.78</v>
      </c>
    </row>
    <row r="215" spans="1:9" ht="18.75" customHeight="1" x14ac:dyDescent="0.3">
      <c r="A215" s="3000">
        <v>44927</v>
      </c>
      <c r="B215" s="3001">
        <v>4.5</v>
      </c>
      <c r="C215" s="3001" t="s">
        <v>4782</v>
      </c>
      <c r="D215" s="3001" t="s">
        <v>2903</v>
      </c>
      <c r="E215" s="3002" t="s">
        <v>4783</v>
      </c>
      <c r="F215" s="3002" t="s">
        <v>4504</v>
      </c>
      <c r="G215" s="3003">
        <v>2.21</v>
      </c>
      <c r="H215" s="3003">
        <v>7.07</v>
      </c>
      <c r="I215" s="3004">
        <v>4.38</v>
      </c>
    </row>
    <row r="216" spans="1:9" ht="18.75" customHeight="1" x14ac:dyDescent="0.3">
      <c r="A216" s="3000">
        <v>44958</v>
      </c>
      <c r="B216" s="3001">
        <v>4.5</v>
      </c>
      <c r="C216" s="3001" t="s">
        <v>4782</v>
      </c>
      <c r="D216" s="3001" t="s">
        <v>2903</v>
      </c>
      <c r="E216" s="3002" t="s">
        <v>4784</v>
      </c>
      <c r="F216" s="3002" t="s">
        <v>4504</v>
      </c>
      <c r="G216" s="3003">
        <v>2.29</v>
      </c>
      <c r="H216" s="3003">
        <v>7.09</v>
      </c>
      <c r="I216" s="3004">
        <v>4.46</v>
      </c>
    </row>
    <row r="217" spans="1:9" ht="18.75" customHeight="1" x14ac:dyDescent="0.3">
      <c r="A217" s="3000">
        <v>44986</v>
      </c>
      <c r="B217" s="3001">
        <v>4.5</v>
      </c>
      <c r="C217" s="3001" t="s">
        <v>4782</v>
      </c>
      <c r="D217" s="3001" t="s">
        <v>2904</v>
      </c>
      <c r="E217" s="3002" t="s">
        <v>4785</v>
      </c>
      <c r="F217" s="3002" t="s">
        <v>4506</v>
      </c>
      <c r="G217" s="3003">
        <v>2.46</v>
      </c>
      <c r="H217" s="3003">
        <v>7.14</v>
      </c>
      <c r="I217" s="3004">
        <v>4.4800000000000004</v>
      </c>
    </row>
    <row r="218" spans="1:9" ht="18.75" customHeight="1" x14ac:dyDescent="0.3">
      <c r="A218" s="3000">
        <v>45017</v>
      </c>
      <c r="B218" s="3001">
        <v>4.5</v>
      </c>
      <c r="C218" s="3001" t="s">
        <v>4782</v>
      </c>
      <c r="D218" s="3001" t="s">
        <v>2905</v>
      </c>
      <c r="E218" s="3002" t="s">
        <v>4786</v>
      </c>
      <c r="F218" s="3002" t="s">
        <v>4506</v>
      </c>
      <c r="G218" s="3003">
        <v>2.5</v>
      </c>
      <c r="H218" s="3003">
        <v>7.17</v>
      </c>
      <c r="I218" s="3004">
        <v>4.63</v>
      </c>
    </row>
    <row r="219" spans="1:9" ht="18.75" customHeight="1" x14ac:dyDescent="0.3">
      <c r="A219" s="3000">
        <v>45047</v>
      </c>
      <c r="B219" s="3001">
        <v>4.5</v>
      </c>
      <c r="C219" s="3001" t="s">
        <v>4782</v>
      </c>
      <c r="D219" s="3001" t="s">
        <v>2905</v>
      </c>
      <c r="E219" s="3002" t="s">
        <v>4787</v>
      </c>
      <c r="F219" s="3002" t="s">
        <v>4504</v>
      </c>
      <c r="G219" s="3003">
        <v>2.5099999999999998</v>
      </c>
      <c r="H219" s="3003">
        <v>7.17</v>
      </c>
      <c r="I219" s="3004">
        <v>4.7300000000000004</v>
      </c>
    </row>
    <row r="220" spans="1:9" ht="18.75" customHeight="1" x14ac:dyDescent="0.3">
      <c r="A220" s="3000">
        <v>45078</v>
      </c>
      <c r="B220" s="3001">
        <v>4.5</v>
      </c>
      <c r="C220" s="3001" t="s">
        <v>1387</v>
      </c>
      <c r="D220" s="3001" t="s">
        <v>2905</v>
      </c>
      <c r="E220" s="3002" t="s">
        <v>4788</v>
      </c>
      <c r="F220" s="3002" t="s">
        <v>4506</v>
      </c>
      <c r="G220" s="3003">
        <v>2.4900000000000002</v>
      </c>
      <c r="H220" s="3003">
        <v>7.18</v>
      </c>
      <c r="I220" s="3004">
        <v>4.7699999999999996</v>
      </c>
    </row>
    <row r="221" spans="1:9" ht="18.75" customHeight="1" x14ac:dyDescent="0.3">
      <c r="A221" s="3000">
        <v>45108</v>
      </c>
      <c r="B221" s="3001">
        <v>4.5</v>
      </c>
      <c r="C221" s="3001" t="s">
        <v>1387</v>
      </c>
      <c r="D221" s="3001" t="s">
        <v>2905</v>
      </c>
      <c r="E221" s="3002" t="s">
        <v>4789</v>
      </c>
      <c r="F221" s="3002" t="s">
        <v>4506</v>
      </c>
      <c r="G221" s="3003">
        <v>2.48</v>
      </c>
      <c r="H221" s="3003">
        <v>7.13</v>
      </c>
      <c r="I221" s="3004">
        <v>3.64</v>
      </c>
    </row>
    <row r="222" spans="1:9" ht="18.75" customHeight="1" thickBot="1" x14ac:dyDescent="0.35">
      <c r="A222" s="3005">
        <v>45139</v>
      </c>
      <c r="B222" s="3006">
        <v>4.5</v>
      </c>
      <c r="C222" s="3006" t="s">
        <v>1387</v>
      </c>
      <c r="D222" s="3006" t="s">
        <v>2905</v>
      </c>
      <c r="E222" s="3007" t="s">
        <v>4790</v>
      </c>
      <c r="F222" s="3007" t="s">
        <v>4506</v>
      </c>
      <c r="G222" s="3008">
        <v>2.5</v>
      </c>
      <c r="H222" s="3008">
        <v>7.16</v>
      </c>
      <c r="I222" s="3009">
        <v>3.16</v>
      </c>
    </row>
    <row r="223" spans="1:9" s="3010" customFormat="1" ht="33.75" customHeight="1" thickTop="1" x14ac:dyDescent="0.25">
      <c r="A223" s="3265"/>
      <c r="B223" s="3265"/>
      <c r="C223" s="3265"/>
      <c r="D223" s="3265"/>
      <c r="E223" s="3265"/>
      <c r="F223" s="3265"/>
      <c r="G223" s="3265"/>
      <c r="H223" s="3265"/>
      <c r="I223" s="3265"/>
    </row>
    <row r="224" spans="1:9" s="3010" customFormat="1" ht="36" customHeight="1" x14ac:dyDescent="0.25">
      <c r="A224" s="3266" t="s">
        <v>4791</v>
      </c>
      <c r="B224" s="3266"/>
      <c r="C224" s="3266"/>
      <c r="D224" s="3266"/>
      <c r="E224" s="3266"/>
      <c r="F224" s="3266"/>
      <c r="G224" s="3266"/>
      <c r="H224" s="3266"/>
      <c r="I224" s="3266"/>
    </row>
    <row r="225" spans="1:20" s="3011" customFormat="1" ht="33" customHeight="1" x14ac:dyDescent="0.25">
      <c r="A225" s="3267" t="s">
        <v>4792</v>
      </c>
      <c r="B225" s="3267"/>
      <c r="C225" s="3267"/>
      <c r="D225" s="3267"/>
      <c r="E225" s="3267"/>
      <c r="F225" s="3267"/>
      <c r="G225" s="3267"/>
      <c r="H225" s="3267"/>
      <c r="I225" s="3267"/>
      <c r="J225" s="3010"/>
      <c r="K225" s="3010"/>
      <c r="L225" s="3010"/>
      <c r="M225" s="3010"/>
      <c r="N225" s="3010"/>
      <c r="O225" s="3010"/>
      <c r="P225" s="3010"/>
      <c r="Q225" s="3010"/>
      <c r="R225" s="3010"/>
      <c r="S225" s="3010"/>
      <c r="T225" s="3010"/>
    </row>
    <row r="226" spans="1:20" s="3010" customFormat="1" ht="28.5" customHeight="1" x14ac:dyDescent="0.25">
      <c r="A226" s="3266" t="s">
        <v>4793</v>
      </c>
      <c r="B226" s="3266"/>
      <c r="C226" s="3266"/>
      <c r="D226" s="3266"/>
      <c r="E226" s="3266"/>
      <c r="F226" s="3266"/>
      <c r="G226" s="3266"/>
      <c r="H226" s="3266"/>
      <c r="I226" s="3266"/>
    </row>
    <row r="227" spans="1:20" s="3010" customFormat="1" x14ac:dyDescent="0.25">
      <c r="A227" s="3012" t="s">
        <v>290</v>
      </c>
      <c r="F227" s="3012"/>
      <c r="G227" s="3013"/>
    </row>
  </sheetData>
  <mergeCells count="4">
    <mergeCell ref="A223:I223"/>
    <mergeCell ref="A224:I224"/>
    <mergeCell ref="A225:I225"/>
    <mergeCell ref="A226:I226"/>
  </mergeCells>
  <printOptions horizontalCentered="1"/>
  <pageMargins left="0.75" right="0.75" top="0.75" bottom="0.75" header="0.3" footer="0"/>
  <pageSetup paperSize="9" scale="71" fitToWidth="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WU38"/>
  <sheetViews>
    <sheetView zoomScale="70" zoomScaleNormal="70" zoomScaleSheetLayoutView="85" workbookViewId="0">
      <pane xSplit="1" ySplit="3" topLeftCell="B17" activePane="bottomRight" state="frozen"/>
      <selection activeCell="A38" sqref="A38"/>
      <selection pane="topRight" activeCell="A38" sqref="A38"/>
      <selection pane="bottomLeft" activeCell="A38" sqref="A38"/>
      <selection pane="bottomRight" activeCell="A38" sqref="A38"/>
    </sheetView>
  </sheetViews>
  <sheetFormatPr defaultColWidth="74.28515625" defaultRowHeight="25.5" x14ac:dyDescent="0.5"/>
  <cols>
    <col min="1" max="1" width="97.28515625" style="625" customWidth="1"/>
    <col min="2" max="2" width="12.7109375" style="625" customWidth="1"/>
    <col min="3" max="3" width="12.7109375" style="3014" customWidth="1"/>
    <col min="4" max="4" width="12.7109375" style="625" customWidth="1"/>
    <col min="5" max="5" width="5.5703125" style="627" customWidth="1"/>
    <col min="6" max="7" width="7.7109375" style="627" customWidth="1"/>
    <col min="8" max="8" width="12.85546875" style="627" bestFit="1" customWidth="1"/>
    <col min="9" max="12" width="7.7109375" style="627" customWidth="1"/>
    <col min="13" max="16384" width="74.28515625" style="627"/>
  </cols>
  <sheetData>
    <row r="1" spans="1:9" ht="17.25" x14ac:dyDescent="0.3">
      <c r="A1" s="3260" t="s">
        <v>4794</v>
      </c>
      <c r="B1" s="3260"/>
      <c r="C1" s="3260"/>
      <c r="D1" s="3260"/>
    </row>
    <row r="2" spans="1:9" ht="18.75" customHeight="1" thickBot="1" x14ac:dyDescent="0.55000000000000004">
      <c r="D2" s="3015" t="s">
        <v>2734</v>
      </c>
    </row>
    <row r="3" spans="1:9" ht="30" customHeight="1" thickTop="1" thickBot="1" x14ac:dyDescent="0.35">
      <c r="A3" s="2848"/>
      <c r="B3" s="2652" t="s">
        <v>4795</v>
      </c>
      <c r="C3" s="2652" t="s">
        <v>2736</v>
      </c>
      <c r="D3" s="2652" t="s">
        <v>387</v>
      </c>
    </row>
    <row r="4" spans="1:9" s="631" customFormat="1" ht="30" customHeight="1" thickTop="1" x14ac:dyDescent="0.25">
      <c r="A4" s="3016" t="s">
        <v>2737</v>
      </c>
      <c r="B4" s="3017">
        <v>5202.2667961900006</v>
      </c>
      <c r="C4" s="3018">
        <v>11.413819819999999</v>
      </c>
      <c r="D4" s="3017">
        <v>5213.6806160100004</v>
      </c>
      <c r="G4" s="3019"/>
      <c r="H4" s="3019"/>
      <c r="I4" s="3019"/>
    </row>
    <row r="5" spans="1:9" s="631" customFormat="1" ht="30" customHeight="1" x14ac:dyDescent="0.25">
      <c r="A5" s="3020" t="s">
        <v>4796</v>
      </c>
      <c r="B5" s="3017">
        <v>233.61989116000004</v>
      </c>
      <c r="C5" s="3021">
        <v>0.12574493</v>
      </c>
      <c r="D5" s="3017">
        <v>233.74563609000003</v>
      </c>
      <c r="G5" s="3019"/>
      <c r="H5" s="3019"/>
      <c r="I5" s="3019"/>
    </row>
    <row r="6" spans="1:9" s="1968" customFormat="1" ht="30" customHeight="1" x14ac:dyDescent="0.25">
      <c r="A6" s="3020" t="s">
        <v>2744</v>
      </c>
      <c r="B6" s="3017">
        <v>0</v>
      </c>
      <c r="C6" s="3022">
        <v>0</v>
      </c>
      <c r="D6" s="3017">
        <v>0</v>
      </c>
      <c r="G6" s="3019"/>
      <c r="H6" s="3019"/>
      <c r="I6" s="3019"/>
    </row>
    <row r="7" spans="1:9" s="1968" customFormat="1" ht="30" customHeight="1" x14ac:dyDescent="0.25">
      <c r="A7" s="3020" t="s">
        <v>2745</v>
      </c>
      <c r="B7" s="3017">
        <v>680.48632372999987</v>
      </c>
      <c r="C7" s="3018">
        <v>11.076143229999998</v>
      </c>
      <c r="D7" s="3017">
        <v>691.56246695999994</v>
      </c>
      <c r="E7" s="3023"/>
      <c r="G7" s="3019"/>
      <c r="H7" s="3019"/>
      <c r="I7" s="3019"/>
    </row>
    <row r="8" spans="1:9" s="1968" customFormat="1" ht="30" customHeight="1" x14ac:dyDescent="0.25">
      <c r="A8" s="3020" t="s">
        <v>2768</v>
      </c>
      <c r="B8" s="3017">
        <v>7.7047541099999997</v>
      </c>
      <c r="C8" s="3022">
        <v>0</v>
      </c>
      <c r="D8" s="3017">
        <v>7.7047541099999997</v>
      </c>
      <c r="G8" s="3019"/>
      <c r="H8" s="3019"/>
      <c r="I8" s="3019"/>
    </row>
    <row r="9" spans="1:9" s="1968" customFormat="1" ht="30" customHeight="1" x14ac:dyDescent="0.25">
      <c r="A9" s="3020" t="s">
        <v>2769</v>
      </c>
      <c r="B9" s="3017">
        <v>16.472377209999998</v>
      </c>
      <c r="C9" s="3022">
        <v>0</v>
      </c>
      <c r="D9" s="3017">
        <v>16.472377209999998</v>
      </c>
      <c r="G9" s="3019"/>
      <c r="H9" s="3019"/>
      <c r="I9" s="3019"/>
    </row>
    <row r="10" spans="1:9" s="631" customFormat="1" ht="30" customHeight="1" x14ac:dyDescent="0.25">
      <c r="A10" s="3020" t="s">
        <v>2770</v>
      </c>
      <c r="B10" s="3017">
        <v>535.51316491</v>
      </c>
      <c r="C10" s="3022">
        <v>0</v>
      </c>
      <c r="D10" s="3017">
        <v>535.51316491</v>
      </c>
      <c r="G10" s="3019"/>
      <c r="H10" s="3019"/>
      <c r="I10" s="3019"/>
    </row>
    <row r="11" spans="1:9" s="631" customFormat="1" ht="30" customHeight="1" x14ac:dyDescent="0.25">
      <c r="A11" s="3020" t="s">
        <v>2780</v>
      </c>
      <c r="B11" s="3017">
        <v>1324.3804856500001</v>
      </c>
      <c r="C11" s="3018">
        <v>0</v>
      </c>
      <c r="D11" s="3017">
        <v>1324.3804856500001</v>
      </c>
      <c r="G11" s="3019"/>
      <c r="H11" s="3019"/>
      <c r="I11" s="3019"/>
    </row>
    <row r="12" spans="1:9" s="631" customFormat="1" ht="30" customHeight="1" x14ac:dyDescent="0.25">
      <c r="A12" s="3020" t="s">
        <v>2784</v>
      </c>
      <c r="B12" s="3017">
        <v>725.40616974</v>
      </c>
      <c r="C12" s="3018">
        <v>0</v>
      </c>
      <c r="D12" s="3017">
        <v>725.40616974</v>
      </c>
      <c r="G12" s="3019"/>
      <c r="H12" s="3024"/>
      <c r="I12" s="3019"/>
    </row>
    <row r="13" spans="1:9" s="631" customFormat="1" ht="30" customHeight="1" x14ac:dyDescent="0.25">
      <c r="A13" s="3020" t="s">
        <v>2790</v>
      </c>
      <c r="B13" s="3017">
        <v>209.15573395999999</v>
      </c>
      <c r="C13" s="3018">
        <v>1.3416200000000001E-2</v>
      </c>
      <c r="D13" s="3017">
        <v>209.16915015999996</v>
      </c>
      <c r="G13" s="3019"/>
      <c r="H13" s="3019"/>
      <c r="I13" s="3019"/>
    </row>
    <row r="14" spans="1:9" s="631" customFormat="1" ht="30" customHeight="1" x14ac:dyDescent="0.25">
      <c r="A14" s="3020" t="s">
        <v>2801</v>
      </c>
      <c r="B14" s="3017">
        <v>124.70537188</v>
      </c>
      <c r="C14" s="3022">
        <v>0.19851546</v>
      </c>
      <c r="D14" s="3017">
        <v>124.90388733999998</v>
      </c>
      <c r="G14" s="3019"/>
      <c r="H14" s="3019"/>
      <c r="I14" s="3019"/>
    </row>
    <row r="15" spans="1:9" s="631" customFormat="1" ht="30" customHeight="1" x14ac:dyDescent="0.25">
      <c r="A15" s="3020" t="s">
        <v>2808</v>
      </c>
      <c r="B15" s="3017">
        <v>78.995869380000002</v>
      </c>
      <c r="C15" s="3022">
        <v>0</v>
      </c>
      <c r="D15" s="3017">
        <v>78.995869380000002</v>
      </c>
      <c r="G15" s="3019"/>
      <c r="H15" s="3019"/>
      <c r="I15" s="3019"/>
    </row>
    <row r="16" spans="1:9" s="631" customFormat="1" ht="30" customHeight="1" x14ac:dyDescent="0.25">
      <c r="A16" s="3020" t="s">
        <v>2809</v>
      </c>
      <c r="B16" s="3017">
        <v>489.83757388999999</v>
      </c>
      <c r="C16" s="3018">
        <v>0</v>
      </c>
      <c r="D16" s="3017">
        <v>489.83757388999999</v>
      </c>
      <c r="G16" s="3019"/>
      <c r="H16" s="3019"/>
      <c r="I16" s="3019"/>
    </row>
    <row r="17" spans="1:1971" s="631" customFormat="1" ht="30" customHeight="1" x14ac:dyDescent="0.25">
      <c r="A17" s="3020" t="s">
        <v>2816</v>
      </c>
      <c r="B17" s="3017">
        <v>475.71737707</v>
      </c>
      <c r="C17" s="3022">
        <v>0</v>
      </c>
      <c r="D17" s="3017">
        <v>475.71737707</v>
      </c>
      <c r="G17" s="3019"/>
      <c r="H17" s="3019"/>
      <c r="I17" s="3019"/>
    </row>
    <row r="18" spans="1:1971" s="631" customFormat="1" ht="30" customHeight="1" x14ac:dyDescent="0.25">
      <c r="A18" s="3020" t="s">
        <v>2823</v>
      </c>
      <c r="B18" s="3017">
        <v>27.934524900000003</v>
      </c>
      <c r="C18" s="3022">
        <v>0</v>
      </c>
      <c r="D18" s="3017">
        <v>27.934524900000003</v>
      </c>
      <c r="G18" s="3019"/>
      <c r="H18" s="3019"/>
      <c r="I18" s="3019"/>
    </row>
    <row r="19" spans="1:1971" s="631" customFormat="1" ht="30" customHeight="1" x14ac:dyDescent="0.25">
      <c r="A19" s="3020" t="s">
        <v>2829</v>
      </c>
      <c r="B19" s="3017">
        <v>85.628730810000008</v>
      </c>
      <c r="C19" s="3022">
        <v>0</v>
      </c>
      <c r="D19" s="3017">
        <v>85.628730810000008</v>
      </c>
      <c r="G19" s="3019"/>
      <c r="H19" s="3019"/>
      <c r="I19" s="3019"/>
    </row>
    <row r="20" spans="1:1971" s="631" customFormat="1" ht="30" customHeight="1" x14ac:dyDescent="0.25">
      <c r="A20" s="3020" t="s">
        <v>2832</v>
      </c>
      <c r="B20" s="3017">
        <v>94.989371080000012</v>
      </c>
      <c r="C20" s="3018">
        <v>0</v>
      </c>
      <c r="D20" s="3017">
        <v>94.989371080000012</v>
      </c>
      <c r="G20" s="3019"/>
      <c r="H20" s="3019"/>
      <c r="I20" s="3019"/>
    </row>
    <row r="21" spans="1:1971" s="631" customFormat="1" ht="30" customHeight="1" thickBot="1" x14ac:dyDescent="0.3">
      <c r="A21" s="3020" t="s">
        <v>2837</v>
      </c>
      <c r="B21" s="3017">
        <v>91.719076709999996</v>
      </c>
      <c r="C21" s="3022">
        <v>0</v>
      </c>
      <c r="D21" s="3017">
        <v>91.719076709999996</v>
      </c>
      <c r="G21" s="3019"/>
      <c r="H21" s="3019"/>
      <c r="I21" s="3019"/>
    </row>
    <row r="22" spans="1:1971" s="631" customFormat="1" ht="30" customHeight="1" x14ac:dyDescent="0.25">
      <c r="A22" s="3025" t="s">
        <v>2841</v>
      </c>
      <c r="B22" s="3026">
        <v>52506.21429602</v>
      </c>
      <c r="C22" s="3026">
        <v>0</v>
      </c>
      <c r="D22" s="3027">
        <v>52506.21429602</v>
      </c>
      <c r="G22" s="3019"/>
      <c r="H22" s="3019"/>
      <c r="I22" s="3019"/>
    </row>
    <row r="23" spans="1:1971" s="631" customFormat="1" ht="30" customHeight="1" x14ac:dyDescent="0.25">
      <c r="A23" s="3028" t="s">
        <v>2842</v>
      </c>
      <c r="B23" s="3029">
        <v>17903.271120000001</v>
      </c>
      <c r="C23" s="3029">
        <v>0</v>
      </c>
      <c r="D23" s="3030">
        <v>17903.271120000001</v>
      </c>
      <c r="G23" s="3019"/>
      <c r="H23" s="3019"/>
      <c r="I23" s="3019"/>
    </row>
    <row r="24" spans="1:1971" s="3033" customFormat="1" ht="30" customHeight="1" x14ac:dyDescent="0.25">
      <c r="A24" s="3016" t="s">
        <v>2843</v>
      </c>
      <c r="B24" s="3031">
        <v>37.314902609999997</v>
      </c>
      <c r="C24" s="3031">
        <v>0</v>
      </c>
      <c r="D24" s="3032">
        <v>37.314902609999997</v>
      </c>
      <c r="E24" s="631"/>
      <c r="F24" s="631"/>
      <c r="G24" s="3019"/>
      <c r="H24" s="3019"/>
      <c r="I24" s="3019"/>
      <c r="J24" s="631"/>
      <c r="K24" s="631"/>
      <c r="L24" s="631"/>
      <c r="M24" s="631"/>
      <c r="N24" s="631"/>
      <c r="O24" s="631"/>
      <c r="P24" s="631"/>
      <c r="Q24" s="631"/>
      <c r="R24" s="631"/>
      <c r="S24" s="631"/>
      <c r="T24" s="631"/>
      <c r="U24" s="631"/>
      <c r="V24" s="631"/>
      <c r="W24" s="631"/>
      <c r="X24" s="631"/>
      <c r="Y24" s="631"/>
      <c r="Z24" s="631"/>
      <c r="AA24" s="631"/>
      <c r="AB24" s="631"/>
      <c r="AC24" s="631"/>
      <c r="AD24" s="631"/>
      <c r="AE24" s="631"/>
      <c r="AF24" s="631"/>
      <c r="AG24" s="631"/>
      <c r="AH24" s="631"/>
      <c r="AI24" s="631"/>
      <c r="AJ24" s="631"/>
      <c r="AK24" s="631"/>
      <c r="AL24" s="631"/>
      <c r="AM24" s="631"/>
      <c r="AN24" s="631"/>
      <c r="AO24" s="631"/>
      <c r="AP24" s="631"/>
      <c r="AQ24" s="631"/>
      <c r="AR24" s="631"/>
      <c r="AS24" s="631"/>
      <c r="AT24" s="631"/>
      <c r="AU24" s="631"/>
      <c r="AV24" s="631"/>
      <c r="AW24" s="631"/>
      <c r="AX24" s="631"/>
      <c r="AY24" s="631"/>
      <c r="AZ24" s="631"/>
      <c r="BA24" s="631"/>
      <c r="BB24" s="631"/>
      <c r="BC24" s="631"/>
      <c r="BD24" s="631"/>
      <c r="BE24" s="631"/>
      <c r="BF24" s="631"/>
      <c r="BG24" s="631"/>
      <c r="BH24" s="631"/>
      <c r="BI24" s="631"/>
      <c r="BJ24" s="631"/>
      <c r="BK24" s="631"/>
      <c r="BL24" s="631"/>
      <c r="BM24" s="631"/>
      <c r="BN24" s="631"/>
      <c r="BO24" s="631"/>
      <c r="BP24" s="631"/>
      <c r="BQ24" s="631"/>
      <c r="BR24" s="631"/>
      <c r="BS24" s="631"/>
      <c r="BT24" s="631"/>
      <c r="BU24" s="631"/>
      <c r="BV24" s="631"/>
      <c r="BW24" s="631"/>
      <c r="BX24" s="631"/>
      <c r="BY24" s="631"/>
      <c r="BZ24" s="631"/>
      <c r="CA24" s="631"/>
      <c r="CB24" s="631"/>
      <c r="CC24" s="631"/>
      <c r="CD24" s="631"/>
      <c r="CE24" s="631"/>
      <c r="CF24" s="631"/>
      <c r="CG24" s="631"/>
      <c r="CH24" s="631"/>
      <c r="CI24" s="631"/>
      <c r="CJ24" s="631"/>
      <c r="CK24" s="631"/>
      <c r="CL24" s="631"/>
      <c r="CM24" s="631"/>
      <c r="CN24" s="631"/>
      <c r="CO24" s="631"/>
      <c r="CP24" s="631"/>
      <c r="CQ24" s="631"/>
      <c r="CR24" s="631"/>
      <c r="CS24" s="631"/>
      <c r="CT24" s="631"/>
      <c r="CU24" s="631"/>
      <c r="CV24" s="631"/>
      <c r="CW24" s="631"/>
      <c r="CX24" s="631"/>
      <c r="CY24" s="631"/>
      <c r="CZ24" s="631"/>
      <c r="DA24" s="631"/>
      <c r="DB24" s="631"/>
      <c r="DC24" s="631"/>
      <c r="DD24" s="631"/>
      <c r="DE24" s="631"/>
      <c r="DF24" s="631"/>
      <c r="DG24" s="631"/>
      <c r="DH24" s="631"/>
      <c r="DI24" s="631"/>
      <c r="DJ24" s="631"/>
      <c r="DK24" s="631"/>
      <c r="DL24" s="631"/>
      <c r="DM24" s="631"/>
      <c r="DN24" s="631"/>
      <c r="DO24" s="631"/>
      <c r="DP24" s="631"/>
      <c r="DQ24" s="631"/>
      <c r="DR24" s="631"/>
      <c r="DS24" s="631"/>
      <c r="DT24" s="631"/>
      <c r="DU24" s="631"/>
      <c r="DV24" s="631"/>
      <c r="DW24" s="631"/>
      <c r="DX24" s="631"/>
      <c r="DY24" s="631"/>
      <c r="DZ24" s="631"/>
      <c r="EA24" s="631"/>
      <c r="EB24" s="631"/>
      <c r="EC24" s="631"/>
      <c r="ED24" s="631"/>
      <c r="EE24" s="631"/>
      <c r="EF24" s="631"/>
      <c r="EG24" s="631"/>
      <c r="EH24" s="631"/>
      <c r="EI24" s="631"/>
      <c r="EJ24" s="631"/>
      <c r="EK24" s="631"/>
      <c r="EL24" s="631"/>
      <c r="EM24" s="631"/>
      <c r="EN24" s="631"/>
      <c r="EO24" s="631"/>
      <c r="EP24" s="631"/>
      <c r="EQ24" s="631"/>
      <c r="ER24" s="631"/>
      <c r="ES24" s="631"/>
      <c r="ET24" s="631"/>
      <c r="EU24" s="631"/>
      <c r="EV24" s="631"/>
      <c r="EW24" s="631"/>
      <c r="EX24" s="631"/>
      <c r="EY24" s="631"/>
      <c r="EZ24" s="631"/>
      <c r="FA24" s="631"/>
      <c r="FB24" s="631"/>
      <c r="FC24" s="631"/>
      <c r="FD24" s="631"/>
      <c r="FE24" s="631"/>
      <c r="FF24" s="631"/>
      <c r="FG24" s="631"/>
      <c r="FH24" s="631"/>
      <c r="FI24" s="631"/>
      <c r="FJ24" s="631"/>
      <c r="FK24" s="631"/>
      <c r="FL24" s="631"/>
      <c r="FM24" s="631"/>
      <c r="FN24" s="631"/>
      <c r="FO24" s="631"/>
      <c r="FP24" s="631"/>
      <c r="FQ24" s="631"/>
      <c r="FR24" s="631"/>
      <c r="FS24" s="631"/>
      <c r="FT24" s="631"/>
      <c r="FU24" s="631"/>
      <c r="FV24" s="631"/>
      <c r="FW24" s="631"/>
      <c r="FX24" s="631"/>
      <c r="FY24" s="631"/>
      <c r="FZ24" s="631"/>
      <c r="GA24" s="631"/>
      <c r="GB24" s="631"/>
      <c r="GC24" s="631"/>
      <c r="GD24" s="631"/>
      <c r="GE24" s="631"/>
      <c r="GF24" s="631"/>
      <c r="GG24" s="631"/>
      <c r="GH24" s="631"/>
      <c r="GI24" s="631"/>
      <c r="GJ24" s="631"/>
      <c r="GK24" s="631"/>
      <c r="GL24" s="631"/>
      <c r="GM24" s="631"/>
      <c r="GN24" s="631"/>
      <c r="GO24" s="631"/>
      <c r="GP24" s="631"/>
      <c r="GQ24" s="631"/>
      <c r="GR24" s="631"/>
      <c r="GS24" s="631"/>
      <c r="GT24" s="631"/>
      <c r="GU24" s="631"/>
      <c r="GV24" s="631"/>
      <c r="GW24" s="631"/>
      <c r="GX24" s="631"/>
      <c r="GY24" s="631"/>
      <c r="GZ24" s="631"/>
      <c r="HA24" s="631"/>
      <c r="HB24" s="631"/>
      <c r="HC24" s="631"/>
      <c r="HD24" s="631"/>
      <c r="HE24" s="631"/>
      <c r="HF24" s="631"/>
      <c r="HG24" s="631"/>
      <c r="HH24" s="631"/>
      <c r="HI24" s="631"/>
      <c r="HJ24" s="631"/>
      <c r="HK24" s="631"/>
      <c r="HL24" s="631"/>
      <c r="HM24" s="631"/>
      <c r="HN24" s="631"/>
      <c r="HO24" s="631"/>
      <c r="HP24" s="631"/>
      <c r="HQ24" s="631"/>
      <c r="HR24" s="631"/>
      <c r="HS24" s="631"/>
      <c r="HT24" s="631"/>
      <c r="HU24" s="631"/>
      <c r="HV24" s="631"/>
      <c r="HW24" s="631"/>
      <c r="HX24" s="631"/>
      <c r="HY24" s="631"/>
      <c r="HZ24" s="631"/>
      <c r="IA24" s="631"/>
      <c r="IB24" s="631"/>
      <c r="IC24" s="631"/>
      <c r="ID24" s="631"/>
      <c r="IE24" s="631"/>
      <c r="IF24" s="631"/>
      <c r="IG24" s="631"/>
      <c r="IH24" s="631"/>
      <c r="II24" s="631"/>
      <c r="IJ24" s="631"/>
      <c r="IK24" s="631"/>
      <c r="IL24" s="631"/>
      <c r="IM24" s="631"/>
      <c r="IN24" s="631"/>
      <c r="IO24" s="631"/>
      <c r="IP24" s="631"/>
      <c r="IQ24" s="631"/>
      <c r="IR24" s="631"/>
      <c r="IS24" s="631"/>
      <c r="IT24" s="631"/>
      <c r="IU24" s="631"/>
      <c r="IV24" s="631"/>
      <c r="IW24" s="631"/>
      <c r="IX24" s="631"/>
      <c r="IY24" s="631"/>
      <c r="IZ24" s="631"/>
      <c r="JA24" s="631"/>
      <c r="JB24" s="631"/>
      <c r="JC24" s="631"/>
      <c r="JD24" s="631"/>
      <c r="JE24" s="631"/>
      <c r="JF24" s="631"/>
      <c r="JG24" s="631"/>
      <c r="JH24" s="631"/>
      <c r="JI24" s="631"/>
      <c r="JJ24" s="631"/>
      <c r="JK24" s="631"/>
      <c r="JL24" s="631"/>
      <c r="JM24" s="631"/>
      <c r="JN24" s="631"/>
      <c r="JO24" s="631"/>
      <c r="JP24" s="631"/>
      <c r="JQ24" s="631"/>
      <c r="JR24" s="631"/>
      <c r="JS24" s="631"/>
      <c r="JT24" s="631"/>
      <c r="JU24" s="631"/>
      <c r="JV24" s="631"/>
      <c r="JW24" s="631"/>
      <c r="JX24" s="631"/>
      <c r="JY24" s="631"/>
      <c r="JZ24" s="631"/>
      <c r="KA24" s="631"/>
      <c r="KB24" s="631"/>
      <c r="KC24" s="631"/>
      <c r="KD24" s="631"/>
      <c r="KE24" s="631"/>
      <c r="KF24" s="631"/>
      <c r="KG24" s="631"/>
      <c r="KH24" s="631"/>
      <c r="KI24" s="631"/>
      <c r="KJ24" s="631"/>
      <c r="KK24" s="631"/>
      <c r="KL24" s="631"/>
      <c r="KM24" s="631"/>
      <c r="KN24" s="631"/>
      <c r="KO24" s="631"/>
      <c r="KP24" s="631"/>
      <c r="KQ24" s="631"/>
      <c r="KR24" s="631"/>
      <c r="KS24" s="631"/>
      <c r="KT24" s="631"/>
      <c r="KU24" s="631"/>
      <c r="KV24" s="631"/>
      <c r="KW24" s="631"/>
      <c r="KX24" s="631"/>
      <c r="KY24" s="631"/>
      <c r="KZ24" s="631"/>
      <c r="LA24" s="631"/>
      <c r="LB24" s="631"/>
      <c r="LC24" s="631"/>
      <c r="LD24" s="631"/>
      <c r="LE24" s="631"/>
      <c r="LF24" s="631"/>
      <c r="LG24" s="631"/>
      <c r="LH24" s="631"/>
      <c r="LI24" s="631"/>
      <c r="LJ24" s="631"/>
      <c r="LK24" s="631"/>
      <c r="LL24" s="631"/>
      <c r="LM24" s="631"/>
      <c r="LN24" s="631"/>
      <c r="LO24" s="631"/>
      <c r="LP24" s="631"/>
      <c r="LQ24" s="631"/>
      <c r="LR24" s="631"/>
      <c r="LS24" s="631"/>
      <c r="LT24" s="631"/>
      <c r="LU24" s="631"/>
      <c r="LV24" s="631"/>
      <c r="LW24" s="631"/>
      <c r="LX24" s="631"/>
      <c r="LY24" s="631"/>
      <c r="LZ24" s="631"/>
      <c r="MA24" s="631"/>
      <c r="MB24" s="631"/>
      <c r="MC24" s="631"/>
      <c r="MD24" s="631"/>
      <c r="ME24" s="631"/>
      <c r="MF24" s="631"/>
      <c r="MG24" s="631"/>
      <c r="MH24" s="631"/>
      <c r="MI24" s="631"/>
      <c r="MJ24" s="631"/>
      <c r="MK24" s="631"/>
      <c r="ML24" s="631"/>
      <c r="MM24" s="631"/>
      <c r="MN24" s="631"/>
      <c r="MO24" s="631"/>
      <c r="MP24" s="631"/>
      <c r="MQ24" s="631"/>
      <c r="MR24" s="631"/>
      <c r="MS24" s="631"/>
      <c r="MT24" s="631"/>
      <c r="MU24" s="631"/>
      <c r="MV24" s="631"/>
      <c r="MW24" s="631"/>
      <c r="MX24" s="631"/>
      <c r="MY24" s="631"/>
      <c r="MZ24" s="631"/>
      <c r="NA24" s="631"/>
      <c r="NB24" s="631"/>
      <c r="NC24" s="631"/>
      <c r="ND24" s="631"/>
      <c r="NE24" s="631"/>
      <c r="NF24" s="631"/>
      <c r="NG24" s="631"/>
      <c r="NH24" s="631"/>
      <c r="NI24" s="631"/>
      <c r="NJ24" s="631"/>
      <c r="NK24" s="631"/>
      <c r="NL24" s="631"/>
      <c r="NM24" s="631"/>
      <c r="NN24" s="631"/>
      <c r="NO24" s="631"/>
      <c r="NP24" s="631"/>
      <c r="NQ24" s="631"/>
      <c r="NR24" s="631"/>
      <c r="NS24" s="631"/>
      <c r="NT24" s="631"/>
      <c r="NU24" s="631"/>
      <c r="NV24" s="631"/>
      <c r="NW24" s="631"/>
      <c r="NX24" s="631"/>
      <c r="NY24" s="631"/>
      <c r="NZ24" s="631"/>
      <c r="OA24" s="631"/>
      <c r="OB24" s="631"/>
      <c r="OC24" s="631"/>
      <c r="OD24" s="631"/>
      <c r="OE24" s="631"/>
      <c r="OF24" s="631"/>
      <c r="OG24" s="631"/>
      <c r="OH24" s="631"/>
      <c r="OI24" s="631"/>
      <c r="OJ24" s="631"/>
      <c r="OK24" s="631"/>
      <c r="OL24" s="631"/>
      <c r="OM24" s="631"/>
      <c r="ON24" s="631"/>
      <c r="OO24" s="631"/>
      <c r="OP24" s="631"/>
      <c r="OQ24" s="631"/>
      <c r="OR24" s="631"/>
      <c r="OS24" s="631"/>
      <c r="OT24" s="631"/>
      <c r="OU24" s="631"/>
      <c r="OV24" s="631"/>
      <c r="OW24" s="631"/>
      <c r="OX24" s="631"/>
      <c r="OY24" s="631"/>
      <c r="OZ24" s="631"/>
      <c r="PA24" s="631"/>
      <c r="PB24" s="631"/>
      <c r="PC24" s="631"/>
      <c r="PD24" s="631"/>
      <c r="PE24" s="631"/>
      <c r="PF24" s="631"/>
      <c r="PG24" s="631"/>
      <c r="PH24" s="631"/>
      <c r="PI24" s="631"/>
      <c r="PJ24" s="631"/>
      <c r="PK24" s="631"/>
      <c r="PL24" s="631"/>
      <c r="PM24" s="631"/>
      <c r="PN24" s="631"/>
      <c r="PO24" s="631"/>
      <c r="PP24" s="631"/>
      <c r="PQ24" s="631"/>
      <c r="PR24" s="631"/>
      <c r="PS24" s="631"/>
      <c r="PT24" s="631"/>
      <c r="PU24" s="631"/>
      <c r="PV24" s="631"/>
      <c r="PW24" s="631"/>
      <c r="PX24" s="631"/>
      <c r="PY24" s="631"/>
      <c r="PZ24" s="631"/>
      <c r="QA24" s="631"/>
      <c r="QB24" s="631"/>
      <c r="QC24" s="631"/>
      <c r="QD24" s="631"/>
      <c r="QE24" s="631"/>
      <c r="QF24" s="631"/>
      <c r="QG24" s="631"/>
      <c r="QH24" s="631"/>
      <c r="QI24" s="631"/>
      <c r="QJ24" s="631"/>
      <c r="QK24" s="631"/>
      <c r="QL24" s="631"/>
      <c r="QM24" s="631"/>
      <c r="QN24" s="631"/>
      <c r="QO24" s="631"/>
      <c r="QP24" s="631"/>
      <c r="QQ24" s="631"/>
      <c r="QR24" s="631"/>
      <c r="QS24" s="631"/>
      <c r="QT24" s="631"/>
      <c r="QU24" s="631"/>
      <c r="QV24" s="631"/>
      <c r="QW24" s="631"/>
      <c r="QX24" s="631"/>
      <c r="QY24" s="631"/>
      <c r="QZ24" s="631"/>
      <c r="RA24" s="631"/>
      <c r="RB24" s="631"/>
      <c r="RC24" s="631"/>
      <c r="RD24" s="631"/>
      <c r="RE24" s="631"/>
      <c r="RF24" s="631"/>
      <c r="RG24" s="631"/>
      <c r="RH24" s="631"/>
      <c r="RI24" s="631"/>
      <c r="RJ24" s="631"/>
      <c r="RK24" s="631"/>
      <c r="RL24" s="631"/>
      <c r="RM24" s="631"/>
      <c r="RN24" s="631"/>
      <c r="RO24" s="631"/>
      <c r="RP24" s="631"/>
      <c r="RQ24" s="631"/>
      <c r="RR24" s="631"/>
      <c r="RS24" s="631"/>
      <c r="RT24" s="631"/>
      <c r="RU24" s="631"/>
      <c r="RV24" s="631"/>
      <c r="RW24" s="631"/>
      <c r="RX24" s="631"/>
      <c r="RY24" s="631"/>
      <c r="RZ24" s="631"/>
      <c r="SA24" s="631"/>
      <c r="SB24" s="631"/>
      <c r="SC24" s="631"/>
      <c r="SD24" s="631"/>
      <c r="SE24" s="631"/>
      <c r="SF24" s="631"/>
      <c r="SG24" s="631"/>
      <c r="SH24" s="631"/>
      <c r="SI24" s="631"/>
      <c r="SJ24" s="631"/>
      <c r="SK24" s="631"/>
      <c r="SL24" s="631"/>
      <c r="SM24" s="631"/>
      <c r="SN24" s="631"/>
      <c r="SO24" s="631"/>
      <c r="SP24" s="631"/>
      <c r="SQ24" s="631"/>
      <c r="SR24" s="631"/>
      <c r="SS24" s="631"/>
      <c r="ST24" s="631"/>
      <c r="SU24" s="631"/>
      <c r="SV24" s="631"/>
      <c r="SW24" s="631"/>
      <c r="SX24" s="631"/>
      <c r="SY24" s="631"/>
      <c r="SZ24" s="631"/>
      <c r="TA24" s="631"/>
      <c r="TB24" s="631"/>
      <c r="TC24" s="631"/>
      <c r="TD24" s="631"/>
      <c r="TE24" s="631"/>
      <c r="TF24" s="631"/>
      <c r="TG24" s="631"/>
      <c r="TH24" s="631"/>
      <c r="TI24" s="631"/>
      <c r="TJ24" s="631"/>
      <c r="TK24" s="631"/>
      <c r="TL24" s="631"/>
      <c r="TM24" s="631"/>
      <c r="TN24" s="631"/>
      <c r="TO24" s="631"/>
      <c r="TP24" s="631"/>
      <c r="TQ24" s="631"/>
      <c r="TR24" s="631"/>
      <c r="TS24" s="631"/>
      <c r="TT24" s="631"/>
      <c r="TU24" s="631"/>
      <c r="TV24" s="631"/>
      <c r="TW24" s="631"/>
      <c r="TX24" s="631"/>
      <c r="TY24" s="631"/>
      <c r="TZ24" s="631"/>
      <c r="UA24" s="631"/>
      <c r="UB24" s="631"/>
      <c r="UC24" s="631"/>
      <c r="UD24" s="631"/>
      <c r="UE24" s="631"/>
      <c r="UF24" s="631"/>
      <c r="UG24" s="631"/>
      <c r="UH24" s="631"/>
      <c r="UI24" s="631"/>
      <c r="UJ24" s="631"/>
      <c r="UK24" s="631"/>
      <c r="UL24" s="631"/>
      <c r="UM24" s="631"/>
      <c r="UN24" s="631"/>
      <c r="UO24" s="631"/>
      <c r="UP24" s="631"/>
      <c r="UQ24" s="631"/>
      <c r="UR24" s="631"/>
      <c r="US24" s="631"/>
      <c r="UT24" s="631"/>
      <c r="UU24" s="631"/>
      <c r="UV24" s="631"/>
      <c r="UW24" s="631"/>
      <c r="UX24" s="631"/>
      <c r="UY24" s="631"/>
      <c r="UZ24" s="631"/>
      <c r="VA24" s="631"/>
      <c r="VB24" s="631"/>
      <c r="VC24" s="631"/>
      <c r="VD24" s="631"/>
      <c r="VE24" s="631"/>
      <c r="VF24" s="631"/>
      <c r="VG24" s="631"/>
      <c r="VH24" s="631"/>
      <c r="VI24" s="631"/>
      <c r="VJ24" s="631"/>
      <c r="VK24" s="631"/>
      <c r="VL24" s="631"/>
      <c r="VM24" s="631"/>
      <c r="VN24" s="631"/>
      <c r="VO24" s="631"/>
      <c r="VP24" s="631"/>
      <c r="VQ24" s="631"/>
      <c r="VR24" s="631"/>
      <c r="VS24" s="631"/>
      <c r="VT24" s="631"/>
      <c r="VU24" s="631"/>
      <c r="VV24" s="631"/>
      <c r="VW24" s="631"/>
      <c r="VX24" s="631"/>
      <c r="VY24" s="631"/>
      <c r="VZ24" s="631"/>
      <c r="WA24" s="631"/>
      <c r="WB24" s="631"/>
      <c r="WC24" s="631"/>
      <c r="WD24" s="631"/>
      <c r="WE24" s="631"/>
      <c r="WF24" s="631"/>
      <c r="WG24" s="631"/>
      <c r="WH24" s="631"/>
      <c r="WI24" s="631"/>
      <c r="WJ24" s="631"/>
      <c r="WK24" s="631"/>
      <c r="WL24" s="631"/>
      <c r="WM24" s="631"/>
      <c r="WN24" s="631"/>
      <c r="WO24" s="631"/>
      <c r="WP24" s="631"/>
      <c r="WQ24" s="631"/>
      <c r="WR24" s="631"/>
      <c r="WS24" s="631"/>
      <c r="WT24" s="631"/>
      <c r="WU24" s="631"/>
      <c r="WV24" s="631"/>
      <c r="WW24" s="631"/>
      <c r="WX24" s="631"/>
      <c r="WY24" s="631"/>
      <c r="WZ24" s="631"/>
      <c r="XA24" s="631"/>
      <c r="XB24" s="631"/>
      <c r="XC24" s="631"/>
      <c r="XD24" s="631"/>
      <c r="XE24" s="631"/>
      <c r="XF24" s="631"/>
      <c r="XG24" s="631"/>
      <c r="XH24" s="631"/>
      <c r="XI24" s="631"/>
      <c r="XJ24" s="631"/>
      <c r="XK24" s="631"/>
      <c r="XL24" s="631"/>
      <c r="XM24" s="631"/>
      <c r="XN24" s="631"/>
      <c r="XO24" s="631"/>
      <c r="XP24" s="631"/>
      <c r="XQ24" s="631"/>
      <c r="XR24" s="631"/>
      <c r="XS24" s="631"/>
      <c r="XT24" s="631"/>
      <c r="XU24" s="631"/>
      <c r="XV24" s="631"/>
      <c r="XW24" s="631"/>
      <c r="XX24" s="631"/>
      <c r="XY24" s="631"/>
      <c r="XZ24" s="631"/>
      <c r="YA24" s="631"/>
      <c r="YB24" s="631"/>
      <c r="YC24" s="631"/>
      <c r="YD24" s="631"/>
      <c r="YE24" s="631"/>
      <c r="YF24" s="631"/>
      <c r="YG24" s="631"/>
      <c r="YH24" s="631"/>
      <c r="YI24" s="631"/>
      <c r="YJ24" s="631"/>
      <c r="YK24" s="631"/>
      <c r="YL24" s="631"/>
      <c r="YM24" s="631"/>
      <c r="YN24" s="631"/>
      <c r="YO24" s="631"/>
      <c r="YP24" s="631"/>
      <c r="YQ24" s="631"/>
      <c r="YR24" s="631"/>
      <c r="YS24" s="631"/>
      <c r="YT24" s="631"/>
      <c r="YU24" s="631"/>
      <c r="YV24" s="631"/>
      <c r="YW24" s="631"/>
      <c r="YX24" s="631"/>
      <c r="YY24" s="631"/>
      <c r="YZ24" s="631"/>
      <c r="ZA24" s="631"/>
      <c r="ZB24" s="631"/>
      <c r="ZC24" s="631"/>
      <c r="ZD24" s="631"/>
      <c r="ZE24" s="631"/>
      <c r="ZF24" s="631"/>
      <c r="ZG24" s="631"/>
      <c r="ZH24" s="631"/>
      <c r="ZI24" s="631"/>
      <c r="ZJ24" s="631"/>
      <c r="ZK24" s="631"/>
      <c r="ZL24" s="631"/>
      <c r="ZM24" s="631"/>
      <c r="ZN24" s="631"/>
      <c r="ZO24" s="631"/>
      <c r="ZP24" s="631"/>
      <c r="ZQ24" s="631"/>
      <c r="ZR24" s="631"/>
      <c r="ZS24" s="631"/>
      <c r="ZT24" s="631"/>
      <c r="ZU24" s="631"/>
      <c r="ZV24" s="631"/>
      <c r="ZW24" s="631"/>
      <c r="ZX24" s="631"/>
      <c r="ZY24" s="631"/>
      <c r="ZZ24" s="631"/>
      <c r="AAA24" s="631"/>
      <c r="AAB24" s="631"/>
      <c r="AAC24" s="631"/>
      <c r="AAD24" s="631"/>
      <c r="AAE24" s="631"/>
      <c r="AAF24" s="631"/>
      <c r="AAG24" s="631"/>
      <c r="AAH24" s="631"/>
      <c r="AAI24" s="631"/>
      <c r="AAJ24" s="631"/>
      <c r="AAK24" s="631"/>
      <c r="AAL24" s="631"/>
      <c r="AAM24" s="631"/>
      <c r="AAN24" s="631"/>
      <c r="AAO24" s="631"/>
      <c r="AAP24" s="631"/>
      <c r="AAQ24" s="631"/>
      <c r="AAR24" s="631"/>
      <c r="AAS24" s="631"/>
      <c r="AAT24" s="631"/>
      <c r="AAU24" s="631"/>
      <c r="AAV24" s="631"/>
      <c r="AAW24" s="631"/>
      <c r="AAX24" s="631"/>
      <c r="AAY24" s="631"/>
      <c r="AAZ24" s="631"/>
      <c r="ABA24" s="631"/>
      <c r="ABB24" s="631"/>
      <c r="ABC24" s="631"/>
      <c r="ABD24" s="631"/>
      <c r="ABE24" s="631"/>
      <c r="ABF24" s="631"/>
      <c r="ABG24" s="631"/>
      <c r="ABH24" s="631"/>
      <c r="ABI24" s="631"/>
      <c r="ABJ24" s="631"/>
      <c r="ABK24" s="631"/>
      <c r="ABL24" s="631"/>
      <c r="ABM24" s="631"/>
      <c r="ABN24" s="631"/>
      <c r="ABO24" s="631"/>
      <c r="ABP24" s="631"/>
      <c r="ABQ24" s="631"/>
      <c r="ABR24" s="631"/>
      <c r="ABS24" s="631"/>
      <c r="ABT24" s="631"/>
      <c r="ABU24" s="631"/>
      <c r="ABV24" s="631"/>
      <c r="ABW24" s="631"/>
      <c r="ABX24" s="631"/>
      <c r="ABY24" s="631"/>
      <c r="ABZ24" s="631"/>
      <c r="ACA24" s="631"/>
      <c r="ACB24" s="631"/>
      <c r="ACC24" s="631"/>
      <c r="ACD24" s="631"/>
      <c r="ACE24" s="631"/>
      <c r="ACF24" s="631"/>
      <c r="ACG24" s="631"/>
      <c r="ACH24" s="631"/>
      <c r="ACI24" s="631"/>
      <c r="ACJ24" s="631"/>
      <c r="ACK24" s="631"/>
      <c r="ACL24" s="631"/>
      <c r="ACM24" s="631"/>
      <c r="ACN24" s="631"/>
      <c r="ACO24" s="631"/>
      <c r="ACP24" s="631"/>
      <c r="ACQ24" s="631"/>
      <c r="ACR24" s="631"/>
      <c r="ACS24" s="631"/>
      <c r="ACT24" s="631"/>
      <c r="ACU24" s="631"/>
      <c r="ACV24" s="631"/>
      <c r="ACW24" s="631"/>
      <c r="ACX24" s="631"/>
      <c r="ACY24" s="631"/>
      <c r="ACZ24" s="631"/>
      <c r="ADA24" s="631"/>
      <c r="ADB24" s="631"/>
      <c r="ADC24" s="631"/>
      <c r="ADD24" s="631"/>
      <c r="ADE24" s="631"/>
      <c r="ADF24" s="631"/>
      <c r="ADG24" s="631"/>
      <c r="ADH24" s="631"/>
      <c r="ADI24" s="631"/>
      <c r="ADJ24" s="631"/>
      <c r="ADK24" s="631"/>
      <c r="ADL24" s="631"/>
      <c r="ADM24" s="631"/>
      <c r="ADN24" s="631"/>
      <c r="ADO24" s="631"/>
      <c r="ADP24" s="631"/>
      <c r="ADQ24" s="631"/>
      <c r="ADR24" s="631"/>
      <c r="ADS24" s="631"/>
      <c r="ADT24" s="631"/>
      <c r="ADU24" s="631"/>
      <c r="ADV24" s="631"/>
      <c r="ADW24" s="631"/>
      <c r="ADX24" s="631"/>
      <c r="ADY24" s="631"/>
      <c r="ADZ24" s="631"/>
      <c r="AEA24" s="631"/>
      <c r="AEB24" s="631"/>
      <c r="AEC24" s="631"/>
      <c r="AED24" s="631"/>
      <c r="AEE24" s="631"/>
      <c r="AEF24" s="631"/>
      <c r="AEG24" s="631"/>
      <c r="AEH24" s="631"/>
      <c r="AEI24" s="631"/>
      <c r="AEJ24" s="631"/>
      <c r="AEK24" s="631"/>
      <c r="AEL24" s="631"/>
      <c r="AEM24" s="631"/>
      <c r="AEN24" s="631"/>
      <c r="AEO24" s="631"/>
      <c r="AEP24" s="631"/>
      <c r="AEQ24" s="631"/>
      <c r="AER24" s="631"/>
      <c r="AES24" s="631"/>
      <c r="AET24" s="631"/>
      <c r="AEU24" s="631"/>
      <c r="AEV24" s="631"/>
      <c r="AEW24" s="631"/>
      <c r="AEX24" s="631"/>
      <c r="AEY24" s="631"/>
      <c r="AEZ24" s="631"/>
      <c r="AFA24" s="631"/>
      <c r="AFB24" s="631"/>
      <c r="AFC24" s="631"/>
      <c r="AFD24" s="631"/>
      <c r="AFE24" s="631"/>
      <c r="AFF24" s="631"/>
      <c r="AFG24" s="631"/>
      <c r="AFH24" s="631"/>
      <c r="AFI24" s="631"/>
      <c r="AFJ24" s="631"/>
      <c r="AFK24" s="631"/>
      <c r="AFL24" s="631"/>
      <c r="AFM24" s="631"/>
      <c r="AFN24" s="631"/>
      <c r="AFO24" s="631"/>
      <c r="AFP24" s="631"/>
      <c r="AFQ24" s="631"/>
      <c r="AFR24" s="631"/>
      <c r="AFS24" s="631"/>
      <c r="AFT24" s="631"/>
      <c r="AFU24" s="631"/>
      <c r="AFV24" s="631"/>
      <c r="AFW24" s="631"/>
      <c r="AFX24" s="631"/>
      <c r="AFY24" s="631"/>
      <c r="AFZ24" s="631"/>
      <c r="AGA24" s="631"/>
      <c r="AGB24" s="631"/>
      <c r="AGC24" s="631"/>
      <c r="AGD24" s="631"/>
      <c r="AGE24" s="631"/>
      <c r="AGF24" s="631"/>
      <c r="AGG24" s="631"/>
      <c r="AGH24" s="631"/>
      <c r="AGI24" s="631"/>
      <c r="AGJ24" s="631"/>
      <c r="AGK24" s="631"/>
      <c r="AGL24" s="631"/>
      <c r="AGM24" s="631"/>
      <c r="AGN24" s="631"/>
      <c r="AGO24" s="631"/>
      <c r="AGP24" s="631"/>
      <c r="AGQ24" s="631"/>
      <c r="AGR24" s="631"/>
      <c r="AGS24" s="631"/>
      <c r="AGT24" s="631"/>
      <c r="AGU24" s="631"/>
      <c r="AGV24" s="631"/>
      <c r="AGW24" s="631"/>
      <c r="AGX24" s="631"/>
      <c r="AGY24" s="631"/>
      <c r="AGZ24" s="631"/>
      <c r="AHA24" s="631"/>
      <c r="AHB24" s="631"/>
      <c r="AHC24" s="631"/>
      <c r="AHD24" s="631"/>
      <c r="AHE24" s="631"/>
      <c r="AHF24" s="631"/>
      <c r="AHG24" s="631"/>
      <c r="AHH24" s="631"/>
      <c r="AHI24" s="631"/>
      <c r="AHJ24" s="631"/>
      <c r="AHK24" s="631"/>
      <c r="AHL24" s="631"/>
      <c r="AHM24" s="631"/>
      <c r="AHN24" s="631"/>
      <c r="AHO24" s="631"/>
      <c r="AHP24" s="631"/>
      <c r="AHQ24" s="631"/>
      <c r="AHR24" s="631"/>
      <c r="AHS24" s="631"/>
      <c r="AHT24" s="631"/>
      <c r="AHU24" s="631"/>
      <c r="AHV24" s="631"/>
      <c r="AHW24" s="631"/>
      <c r="AHX24" s="631"/>
      <c r="AHY24" s="631"/>
      <c r="AHZ24" s="631"/>
      <c r="AIA24" s="631"/>
      <c r="AIB24" s="631"/>
      <c r="AIC24" s="631"/>
      <c r="AID24" s="631"/>
      <c r="AIE24" s="631"/>
      <c r="AIF24" s="631"/>
      <c r="AIG24" s="631"/>
      <c r="AIH24" s="631"/>
      <c r="AII24" s="631"/>
      <c r="AIJ24" s="631"/>
      <c r="AIK24" s="631"/>
      <c r="AIL24" s="631"/>
      <c r="AIM24" s="631"/>
      <c r="AIN24" s="631"/>
      <c r="AIO24" s="631"/>
      <c r="AIP24" s="631"/>
      <c r="AIQ24" s="631"/>
      <c r="AIR24" s="631"/>
      <c r="AIS24" s="631"/>
      <c r="AIT24" s="631"/>
      <c r="AIU24" s="631"/>
      <c r="AIV24" s="631"/>
      <c r="AIW24" s="631"/>
      <c r="AIX24" s="631"/>
      <c r="AIY24" s="631"/>
      <c r="AIZ24" s="631"/>
      <c r="AJA24" s="631"/>
      <c r="AJB24" s="631"/>
      <c r="AJC24" s="631"/>
      <c r="AJD24" s="631"/>
      <c r="AJE24" s="631"/>
      <c r="AJF24" s="631"/>
      <c r="AJG24" s="631"/>
      <c r="AJH24" s="631"/>
      <c r="AJI24" s="631"/>
      <c r="AJJ24" s="631"/>
      <c r="AJK24" s="631"/>
      <c r="AJL24" s="631"/>
      <c r="AJM24" s="631"/>
      <c r="AJN24" s="631"/>
      <c r="AJO24" s="631"/>
      <c r="AJP24" s="631"/>
      <c r="AJQ24" s="631"/>
      <c r="AJR24" s="631"/>
      <c r="AJS24" s="631"/>
      <c r="AJT24" s="631"/>
      <c r="AJU24" s="631"/>
      <c r="AJV24" s="631"/>
      <c r="AJW24" s="631"/>
      <c r="AJX24" s="631"/>
      <c r="AJY24" s="631"/>
      <c r="AJZ24" s="631"/>
      <c r="AKA24" s="631"/>
      <c r="AKB24" s="631"/>
      <c r="AKC24" s="631"/>
      <c r="AKD24" s="631"/>
      <c r="AKE24" s="631"/>
      <c r="AKF24" s="631"/>
      <c r="AKG24" s="631"/>
      <c r="AKH24" s="631"/>
      <c r="AKI24" s="631"/>
      <c r="AKJ24" s="631"/>
      <c r="AKK24" s="631"/>
      <c r="AKL24" s="631"/>
      <c r="AKM24" s="631"/>
      <c r="AKN24" s="631"/>
      <c r="AKO24" s="631"/>
      <c r="AKP24" s="631"/>
      <c r="AKQ24" s="631"/>
      <c r="AKR24" s="631"/>
      <c r="AKS24" s="631"/>
      <c r="AKT24" s="631"/>
      <c r="AKU24" s="631"/>
      <c r="AKV24" s="631"/>
      <c r="AKW24" s="631"/>
      <c r="AKX24" s="631"/>
      <c r="AKY24" s="631"/>
      <c r="AKZ24" s="631"/>
      <c r="ALA24" s="631"/>
      <c r="ALB24" s="631"/>
      <c r="ALC24" s="631"/>
      <c r="ALD24" s="631"/>
      <c r="ALE24" s="631"/>
      <c r="ALF24" s="631"/>
      <c r="ALG24" s="631"/>
      <c r="ALH24" s="631"/>
      <c r="ALI24" s="631"/>
      <c r="ALJ24" s="631"/>
      <c r="ALK24" s="631"/>
      <c r="ALL24" s="631"/>
      <c r="ALM24" s="631"/>
      <c r="ALN24" s="631"/>
      <c r="ALO24" s="631"/>
      <c r="ALP24" s="631"/>
      <c r="ALQ24" s="631"/>
      <c r="ALR24" s="631"/>
      <c r="ALS24" s="631"/>
      <c r="ALT24" s="631"/>
      <c r="ALU24" s="631"/>
      <c r="ALV24" s="631"/>
      <c r="ALW24" s="631"/>
      <c r="ALX24" s="631"/>
      <c r="ALY24" s="631"/>
      <c r="ALZ24" s="631"/>
      <c r="AMA24" s="631"/>
      <c r="AMB24" s="631"/>
      <c r="AMC24" s="631"/>
      <c r="AMD24" s="631"/>
      <c r="AME24" s="631"/>
      <c r="AMF24" s="631"/>
      <c r="AMG24" s="631"/>
      <c r="AMH24" s="631"/>
      <c r="AMI24" s="631"/>
      <c r="AMJ24" s="631"/>
      <c r="AMK24" s="631"/>
      <c r="AML24" s="631"/>
      <c r="AMM24" s="631"/>
      <c r="AMN24" s="631"/>
      <c r="AMO24" s="631"/>
      <c r="AMP24" s="631"/>
      <c r="AMQ24" s="631"/>
      <c r="AMR24" s="631"/>
      <c r="AMS24" s="631"/>
      <c r="AMT24" s="631"/>
      <c r="AMU24" s="631"/>
      <c r="AMV24" s="631"/>
      <c r="AMW24" s="631"/>
      <c r="AMX24" s="631"/>
      <c r="AMY24" s="631"/>
      <c r="AMZ24" s="631"/>
      <c r="ANA24" s="631"/>
      <c r="ANB24" s="631"/>
      <c r="ANC24" s="631"/>
      <c r="AND24" s="631"/>
      <c r="ANE24" s="631"/>
      <c r="ANF24" s="631"/>
      <c r="ANG24" s="631"/>
      <c r="ANH24" s="631"/>
      <c r="ANI24" s="631"/>
      <c r="ANJ24" s="631"/>
      <c r="ANK24" s="631"/>
      <c r="ANL24" s="631"/>
      <c r="ANM24" s="631"/>
      <c r="ANN24" s="631"/>
      <c r="ANO24" s="631"/>
      <c r="ANP24" s="631"/>
      <c r="ANQ24" s="631"/>
      <c r="ANR24" s="631"/>
      <c r="ANS24" s="631"/>
      <c r="ANT24" s="631"/>
      <c r="ANU24" s="631"/>
      <c r="ANV24" s="631"/>
      <c r="ANW24" s="631"/>
      <c r="ANX24" s="631"/>
      <c r="ANY24" s="631"/>
      <c r="ANZ24" s="631"/>
      <c r="AOA24" s="631"/>
      <c r="AOB24" s="631"/>
      <c r="AOC24" s="631"/>
      <c r="AOD24" s="631"/>
      <c r="AOE24" s="631"/>
      <c r="AOF24" s="631"/>
      <c r="AOG24" s="631"/>
      <c r="AOH24" s="631"/>
      <c r="AOI24" s="631"/>
      <c r="AOJ24" s="631"/>
      <c r="AOK24" s="631"/>
      <c r="AOL24" s="631"/>
      <c r="AOM24" s="631"/>
      <c r="AON24" s="631"/>
      <c r="AOO24" s="631"/>
      <c r="AOP24" s="631"/>
      <c r="AOQ24" s="631"/>
      <c r="AOR24" s="631"/>
      <c r="AOS24" s="631"/>
      <c r="AOT24" s="631"/>
      <c r="AOU24" s="631"/>
      <c r="AOV24" s="631"/>
      <c r="AOW24" s="631"/>
      <c r="AOX24" s="631"/>
      <c r="AOY24" s="631"/>
      <c r="AOZ24" s="631"/>
      <c r="APA24" s="631"/>
      <c r="APB24" s="631"/>
      <c r="APC24" s="631"/>
      <c r="APD24" s="631"/>
      <c r="APE24" s="631"/>
      <c r="APF24" s="631"/>
      <c r="APG24" s="631"/>
      <c r="APH24" s="631"/>
      <c r="API24" s="631"/>
      <c r="APJ24" s="631"/>
      <c r="APK24" s="631"/>
      <c r="APL24" s="631"/>
      <c r="APM24" s="631"/>
      <c r="APN24" s="631"/>
      <c r="APO24" s="631"/>
      <c r="APP24" s="631"/>
      <c r="APQ24" s="631"/>
      <c r="APR24" s="631"/>
      <c r="APS24" s="631"/>
      <c r="APT24" s="631"/>
      <c r="APU24" s="631"/>
      <c r="APV24" s="631"/>
      <c r="APW24" s="631"/>
      <c r="APX24" s="631"/>
      <c r="APY24" s="631"/>
      <c r="APZ24" s="631"/>
      <c r="AQA24" s="631"/>
      <c r="AQB24" s="631"/>
      <c r="AQC24" s="631"/>
      <c r="AQD24" s="631"/>
      <c r="AQE24" s="631"/>
      <c r="AQF24" s="631"/>
      <c r="AQG24" s="631"/>
      <c r="AQH24" s="631"/>
      <c r="AQI24" s="631"/>
      <c r="AQJ24" s="631"/>
      <c r="AQK24" s="631"/>
      <c r="AQL24" s="631"/>
      <c r="AQM24" s="631"/>
      <c r="AQN24" s="631"/>
      <c r="AQO24" s="631"/>
      <c r="AQP24" s="631"/>
      <c r="AQQ24" s="631"/>
      <c r="AQR24" s="631"/>
      <c r="AQS24" s="631"/>
      <c r="AQT24" s="631"/>
      <c r="AQU24" s="631"/>
      <c r="AQV24" s="631"/>
      <c r="AQW24" s="631"/>
      <c r="AQX24" s="631"/>
      <c r="AQY24" s="631"/>
      <c r="AQZ24" s="631"/>
      <c r="ARA24" s="631"/>
      <c r="ARB24" s="631"/>
      <c r="ARC24" s="631"/>
      <c r="ARD24" s="631"/>
      <c r="ARE24" s="631"/>
      <c r="ARF24" s="631"/>
      <c r="ARG24" s="631"/>
      <c r="ARH24" s="631"/>
      <c r="ARI24" s="631"/>
      <c r="ARJ24" s="631"/>
      <c r="ARK24" s="631"/>
      <c r="ARL24" s="631"/>
      <c r="ARM24" s="631"/>
      <c r="ARN24" s="631"/>
      <c r="ARO24" s="631"/>
      <c r="ARP24" s="631"/>
      <c r="ARQ24" s="631"/>
      <c r="ARR24" s="631"/>
      <c r="ARS24" s="631"/>
      <c r="ART24" s="631"/>
      <c r="ARU24" s="631"/>
      <c r="ARV24" s="631"/>
      <c r="ARW24" s="631"/>
      <c r="ARX24" s="631"/>
      <c r="ARY24" s="631"/>
      <c r="ARZ24" s="631"/>
      <c r="ASA24" s="631"/>
      <c r="ASB24" s="631"/>
      <c r="ASC24" s="631"/>
      <c r="ASD24" s="631"/>
      <c r="ASE24" s="631"/>
      <c r="ASF24" s="631"/>
      <c r="ASG24" s="631"/>
      <c r="ASH24" s="631"/>
      <c r="ASI24" s="631"/>
      <c r="ASJ24" s="631"/>
      <c r="ASK24" s="631"/>
      <c r="ASL24" s="631"/>
      <c r="ASM24" s="631"/>
      <c r="ASN24" s="631"/>
      <c r="ASO24" s="631"/>
      <c r="ASP24" s="631"/>
      <c r="ASQ24" s="631"/>
      <c r="ASR24" s="631"/>
      <c r="ASS24" s="631"/>
      <c r="AST24" s="631"/>
      <c r="ASU24" s="631"/>
      <c r="ASV24" s="631"/>
      <c r="ASW24" s="631"/>
      <c r="ASX24" s="631"/>
      <c r="ASY24" s="631"/>
      <c r="ASZ24" s="631"/>
      <c r="ATA24" s="631"/>
      <c r="ATB24" s="631"/>
      <c r="ATC24" s="631"/>
      <c r="ATD24" s="631"/>
      <c r="ATE24" s="631"/>
      <c r="ATF24" s="631"/>
      <c r="ATG24" s="631"/>
      <c r="ATH24" s="631"/>
      <c r="ATI24" s="631"/>
      <c r="ATJ24" s="631"/>
      <c r="ATK24" s="631"/>
      <c r="ATL24" s="631"/>
      <c r="ATM24" s="631"/>
      <c r="ATN24" s="631"/>
      <c r="ATO24" s="631"/>
      <c r="ATP24" s="631"/>
      <c r="ATQ24" s="631"/>
      <c r="ATR24" s="631"/>
      <c r="ATS24" s="631"/>
      <c r="ATT24" s="631"/>
      <c r="ATU24" s="631"/>
      <c r="ATV24" s="631"/>
      <c r="ATW24" s="631"/>
      <c r="ATX24" s="631"/>
      <c r="ATY24" s="631"/>
      <c r="ATZ24" s="631"/>
      <c r="AUA24" s="631"/>
      <c r="AUB24" s="631"/>
      <c r="AUC24" s="631"/>
      <c r="AUD24" s="631"/>
      <c r="AUE24" s="631"/>
      <c r="AUF24" s="631"/>
      <c r="AUG24" s="631"/>
      <c r="AUH24" s="631"/>
      <c r="AUI24" s="631"/>
      <c r="AUJ24" s="631"/>
      <c r="AUK24" s="631"/>
      <c r="AUL24" s="631"/>
      <c r="AUM24" s="631"/>
      <c r="AUN24" s="631"/>
      <c r="AUO24" s="631"/>
      <c r="AUP24" s="631"/>
      <c r="AUQ24" s="631"/>
      <c r="AUR24" s="631"/>
      <c r="AUS24" s="631"/>
      <c r="AUT24" s="631"/>
      <c r="AUU24" s="631"/>
      <c r="AUV24" s="631"/>
      <c r="AUW24" s="631"/>
      <c r="AUX24" s="631"/>
      <c r="AUY24" s="631"/>
      <c r="AUZ24" s="631"/>
      <c r="AVA24" s="631"/>
      <c r="AVB24" s="631"/>
      <c r="AVC24" s="631"/>
      <c r="AVD24" s="631"/>
      <c r="AVE24" s="631"/>
      <c r="AVF24" s="631"/>
      <c r="AVG24" s="631"/>
      <c r="AVH24" s="631"/>
      <c r="AVI24" s="631"/>
      <c r="AVJ24" s="631"/>
      <c r="AVK24" s="631"/>
      <c r="AVL24" s="631"/>
      <c r="AVM24" s="631"/>
      <c r="AVN24" s="631"/>
      <c r="AVO24" s="631"/>
      <c r="AVP24" s="631"/>
      <c r="AVQ24" s="631"/>
      <c r="AVR24" s="631"/>
      <c r="AVS24" s="631"/>
      <c r="AVT24" s="631"/>
      <c r="AVU24" s="631"/>
      <c r="AVV24" s="631"/>
      <c r="AVW24" s="631"/>
      <c r="AVX24" s="631"/>
      <c r="AVY24" s="631"/>
      <c r="AVZ24" s="631"/>
      <c r="AWA24" s="631"/>
      <c r="AWB24" s="631"/>
      <c r="AWC24" s="631"/>
      <c r="AWD24" s="631"/>
      <c r="AWE24" s="631"/>
      <c r="AWF24" s="631"/>
      <c r="AWG24" s="631"/>
      <c r="AWH24" s="631"/>
      <c r="AWI24" s="631"/>
      <c r="AWJ24" s="631"/>
      <c r="AWK24" s="631"/>
      <c r="AWL24" s="631"/>
      <c r="AWM24" s="631"/>
      <c r="AWN24" s="631"/>
      <c r="AWO24" s="631"/>
      <c r="AWP24" s="631"/>
      <c r="AWQ24" s="631"/>
      <c r="AWR24" s="631"/>
      <c r="AWS24" s="631"/>
      <c r="AWT24" s="631"/>
      <c r="AWU24" s="631"/>
      <c r="AWV24" s="631"/>
      <c r="AWW24" s="631"/>
      <c r="AWX24" s="631"/>
      <c r="AWY24" s="631"/>
      <c r="AWZ24" s="631"/>
      <c r="AXA24" s="631"/>
      <c r="AXB24" s="631"/>
      <c r="AXC24" s="631"/>
      <c r="AXD24" s="631"/>
      <c r="AXE24" s="631"/>
      <c r="AXF24" s="631"/>
      <c r="AXG24" s="631"/>
      <c r="AXH24" s="631"/>
      <c r="AXI24" s="631"/>
      <c r="AXJ24" s="631"/>
      <c r="AXK24" s="631"/>
      <c r="AXL24" s="631"/>
      <c r="AXM24" s="631"/>
      <c r="AXN24" s="631"/>
      <c r="AXO24" s="631"/>
      <c r="AXP24" s="631"/>
      <c r="AXQ24" s="631"/>
      <c r="AXR24" s="631"/>
      <c r="AXS24" s="631"/>
      <c r="AXT24" s="631"/>
      <c r="AXU24" s="631"/>
      <c r="AXV24" s="631"/>
      <c r="AXW24" s="631"/>
      <c r="AXX24" s="631"/>
      <c r="AXY24" s="631"/>
      <c r="AXZ24" s="631"/>
      <c r="AYA24" s="631"/>
      <c r="AYB24" s="631"/>
      <c r="AYC24" s="631"/>
      <c r="AYD24" s="631"/>
      <c r="AYE24" s="631"/>
      <c r="AYF24" s="631"/>
      <c r="AYG24" s="631"/>
      <c r="AYH24" s="631"/>
      <c r="AYI24" s="631"/>
      <c r="AYJ24" s="631"/>
      <c r="AYK24" s="631"/>
      <c r="AYL24" s="631"/>
      <c r="AYM24" s="631"/>
      <c r="AYN24" s="631"/>
      <c r="AYO24" s="631"/>
      <c r="AYP24" s="631"/>
      <c r="AYQ24" s="631"/>
      <c r="AYR24" s="631"/>
      <c r="AYS24" s="631"/>
      <c r="AYT24" s="631"/>
      <c r="AYU24" s="631"/>
      <c r="AYV24" s="631"/>
      <c r="AYW24" s="631"/>
      <c r="AYX24" s="631"/>
      <c r="AYY24" s="631"/>
      <c r="AYZ24" s="631"/>
      <c r="AZA24" s="631"/>
      <c r="AZB24" s="631"/>
      <c r="AZC24" s="631"/>
      <c r="AZD24" s="631"/>
      <c r="AZE24" s="631"/>
      <c r="AZF24" s="631"/>
      <c r="AZG24" s="631"/>
      <c r="AZH24" s="631"/>
      <c r="AZI24" s="631"/>
      <c r="AZJ24" s="631"/>
      <c r="AZK24" s="631"/>
      <c r="AZL24" s="631"/>
      <c r="AZM24" s="631"/>
      <c r="AZN24" s="631"/>
      <c r="AZO24" s="631"/>
      <c r="AZP24" s="631"/>
      <c r="AZQ24" s="631"/>
      <c r="AZR24" s="631"/>
      <c r="AZS24" s="631"/>
      <c r="AZT24" s="631"/>
      <c r="AZU24" s="631"/>
      <c r="AZV24" s="631"/>
      <c r="AZW24" s="631"/>
      <c r="AZX24" s="631"/>
      <c r="AZY24" s="631"/>
      <c r="AZZ24" s="631"/>
      <c r="BAA24" s="631"/>
      <c r="BAB24" s="631"/>
      <c r="BAC24" s="631"/>
      <c r="BAD24" s="631"/>
      <c r="BAE24" s="631"/>
      <c r="BAF24" s="631"/>
      <c r="BAG24" s="631"/>
      <c r="BAH24" s="631"/>
      <c r="BAI24" s="631"/>
      <c r="BAJ24" s="631"/>
      <c r="BAK24" s="631"/>
      <c r="BAL24" s="631"/>
      <c r="BAM24" s="631"/>
      <c r="BAN24" s="631"/>
      <c r="BAO24" s="631"/>
      <c r="BAP24" s="631"/>
      <c r="BAQ24" s="631"/>
      <c r="BAR24" s="631"/>
      <c r="BAS24" s="631"/>
      <c r="BAT24" s="631"/>
      <c r="BAU24" s="631"/>
      <c r="BAV24" s="631"/>
      <c r="BAW24" s="631"/>
      <c r="BAX24" s="631"/>
      <c r="BAY24" s="631"/>
      <c r="BAZ24" s="631"/>
      <c r="BBA24" s="631"/>
      <c r="BBB24" s="631"/>
      <c r="BBC24" s="631"/>
      <c r="BBD24" s="631"/>
      <c r="BBE24" s="631"/>
      <c r="BBF24" s="631"/>
      <c r="BBG24" s="631"/>
      <c r="BBH24" s="631"/>
      <c r="BBI24" s="631"/>
      <c r="BBJ24" s="631"/>
      <c r="BBK24" s="631"/>
      <c r="BBL24" s="631"/>
      <c r="BBM24" s="631"/>
      <c r="BBN24" s="631"/>
      <c r="BBO24" s="631"/>
      <c r="BBP24" s="631"/>
      <c r="BBQ24" s="631"/>
      <c r="BBR24" s="631"/>
      <c r="BBS24" s="631"/>
      <c r="BBT24" s="631"/>
      <c r="BBU24" s="631"/>
      <c r="BBV24" s="631"/>
      <c r="BBW24" s="631"/>
      <c r="BBX24" s="631"/>
      <c r="BBY24" s="631"/>
      <c r="BBZ24" s="631"/>
      <c r="BCA24" s="631"/>
      <c r="BCB24" s="631"/>
      <c r="BCC24" s="631"/>
      <c r="BCD24" s="631"/>
      <c r="BCE24" s="631"/>
      <c r="BCF24" s="631"/>
      <c r="BCG24" s="631"/>
      <c r="BCH24" s="631"/>
      <c r="BCI24" s="631"/>
      <c r="BCJ24" s="631"/>
      <c r="BCK24" s="631"/>
      <c r="BCL24" s="631"/>
      <c r="BCM24" s="631"/>
      <c r="BCN24" s="631"/>
      <c r="BCO24" s="631"/>
      <c r="BCP24" s="631"/>
      <c r="BCQ24" s="631"/>
      <c r="BCR24" s="631"/>
      <c r="BCS24" s="631"/>
      <c r="BCT24" s="631"/>
      <c r="BCU24" s="631"/>
      <c r="BCV24" s="631"/>
      <c r="BCW24" s="631"/>
      <c r="BCX24" s="631"/>
      <c r="BCY24" s="631"/>
      <c r="BCZ24" s="631"/>
      <c r="BDA24" s="631"/>
      <c r="BDB24" s="631"/>
      <c r="BDC24" s="631"/>
      <c r="BDD24" s="631"/>
      <c r="BDE24" s="631"/>
      <c r="BDF24" s="631"/>
      <c r="BDG24" s="631"/>
      <c r="BDH24" s="631"/>
      <c r="BDI24" s="631"/>
      <c r="BDJ24" s="631"/>
      <c r="BDK24" s="631"/>
      <c r="BDL24" s="631"/>
      <c r="BDM24" s="631"/>
      <c r="BDN24" s="631"/>
      <c r="BDO24" s="631"/>
      <c r="BDP24" s="631"/>
      <c r="BDQ24" s="631"/>
      <c r="BDR24" s="631"/>
      <c r="BDS24" s="631"/>
      <c r="BDT24" s="631"/>
      <c r="BDU24" s="631"/>
      <c r="BDV24" s="631"/>
      <c r="BDW24" s="631"/>
      <c r="BDX24" s="631"/>
      <c r="BDY24" s="631"/>
      <c r="BDZ24" s="631"/>
      <c r="BEA24" s="631"/>
      <c r="BEB24" s="631"/>
      <c r="BEC24" s="631"/>
      <c r="BED24" s="631"/>
      <c r="BEE24" s="631"/>
      <c r="BEF24" s="631"/>
      <c r="BEG24" s="631"/>
      <c r="BEH24" s="631"/>
      <c r="BEI24" s="631"/>
      <c r="BEJ24" s="631"/>
      <c r="BEK24" s="631"/>
      <c r="BEL24" s="631"/>
      <c r="BEM24" s="631"/>
      <c r="BEN24" s="631"/>
      <c r="BEO24" s="631"/>
      <c r="BEP24" s="631"/>
      <c r="BEQ24" s="631"/>
      <c r="BER24" s="631"/>
      <c r="BES24" s="631"/>
      <c r="BET24" s="631"/>
      <c r="BEU24" s="631"/>
      <c r="BEV24" s="631"/>
      <c r="BEW24" s="631"/>
      <c r="BEX24" s="631"/>
      <c r="BEY24" s="631"/>
      <c r="BEZ24" s="631"/>
      <c r="BFA24" s="631"/>
      <c r="BFB24" s="631"/>
      <c r="BFC24" s="631"/>
      <c r="BFD24" s="631"/>
      <c r="BFE24" s="631"/>
      <c r="BFF24" s="631"/>
      <c r="BFG24" s="631"/>
      <c r="BFH24" s="631"/>
      <c r="BFI24" s="631"/>
      <c r="BFJ24" s="631"/>
      <c r="BFK24" s="631"/>
      <c r="BFL24" s="631"/>
      <c r="BFM24" s="631"/>
      <c r="BFN24" s="631"/>
      <c r="BFO24" s="631"/>
      <c r="BFP24" s="631"/>
      <c r="BFQ24" s="631"/>
      <c r="BFR24" s="631"/>
      <c r="BFS24" s="631"/>
      <c r="BFT24" s="631"/>
      <c r="BFU24" s="631"/>
      <c r="BFV24" s="631"/>
      <c r="BFW24" s="631"/>
      <c r="BFX24" s="631"/>
      <c r="BFY24" s="631"/>
      <c r="BFZ24" s="631"/>
      <c r="BGA24" s="631"/>
      <c r="BGB24" s="631"/>
      <c r="BGC24" s="631"/>
      <c r="BGD24" s="631"/>
      <c r="BGE24" s="631"/>
      <c r="BGF24" s="631"/>
      <c r="BGG24" s="631"/>
      <c r="BGH24" s="631"/>
      <c r="BGI24" s="631"/>
      <c r="BGJ24" s="631"/>
      <c r="BGK24" s="631"/>
      <c r="BGL24" s="631"/>
      <c r="BGM24" s="631"/>
      <c r="BGN24" s="631"/>
      <c r="BGO24" s="631"/>
      <c r="BGP24" s="631"/>
      <c r="BGQ24" s="631"/>
      <c r="BGR24" s="631"/>
      <c r="BGS24" s="631"/>
      <c r="BGT24" s="631"/>
      <c r="BGU24" s="631"/>
      <c r="BGV24" s="631"/>
      <c r="BGW24" s="631"/>
      <c r="BGX24" s="631"/>
      <c r="BGY24" s="631"/>
      <c r="BGZ24" s="631"/>
      <c r="BHA24" s="631"/>
      <c r="BHB24" s="631"/>
      <c r="BHC24" s="631"/>
      <c r="BHD24" s="631"/>
      <c r="BHE24" s="631"/>
      <c r="BHF24" s="631"/>
      <c r="BHG24" s="631"/>
      <c r="BHH24" s="631"/>
      <c r="BHI24" s="631"/>
      <c r="BHJ24" s="631"/>
      <c r="BHK24" s="631"/>
      <c r="BHL24" s="631"/>
      <c r="BHM24" s="631"/>
      <c r="BHN24" s="631"/>
      <c r="BHO24" s="631"/>
      <c r="BHP24" s="631"/>
      <c r="BHQ24" s="631"/>
      <c r="BHR24" s="631"/>
      <c r="BHS24" s="631"/>
      <c r="BHT24" s="631"/>
      <c r="BHU24" s="631"/>
      <c r="BHV24" s="631"/>
      <c r="BHW24" s="631"/>
      <c r="BHX24" s="631"/>
      <c r="BHY24" s="631"/>
      <c r="BHZ24" s="631"/>
      <c r="BIA24" s="631"/>
      <c r="BIB24" s="631"/>
      <c r="BIC24" s="631"/>
      <c r="BID24" s="631"/>
      <c r="BIE24" s="631"/>
      <c r="BIF24" s="631"/>
      <c r="BIG24" s="631"/>
      <c r="BIH24" s="631"/>
      <c r="BII24" s="631"/>
      <c r="BIJ24" s="631"/>
      <c r="BIK24" s="631"/>
      <c r="BIL24" s="631"/>
      <c r="BIM24" s="631"/>
      <c r="BIN24" s="631"/>
      <c r="BIO24" s="631"/>
      <c r="BIP24" s="631"/>
      <c r="BIQ24" s="631"/>
      <c r="BIR24" s="631"/>
      <c r="BIS24" s="631"/>
      <c r="BIT24" s="631"/>
      <c r="BIU24" s="631"/>
      <c r="BIV24" s="631"/>
      <c r="BIW24" s="631"/>
      <c r="BIX24" s="631"/>
      <c r="BIY24" s="631"/>
      <c r="BIZ24" s="631"/>
      <c r="BJA24" s="631"/>
      <c r="BJB24" s="631"/>
      <c r="BJC24" s="631"/>
      <c r="BJD24" s="631"/>
      <c r="BJE24" s="631"/>
      <c r="BJF24" s="631"/>
      <c r="BJG24" s="631"/>
      <c r="BJH24" s="631"/>
      <c r="BJI24" s="631"/>
      <c r="BJJ24" s="631"/>
      <c r="BJK24" s="631"/>
      <c r="BJL24" s="631"/>
      <c r="BJM24" s="631"/>
      <c r="BJN24" s="631"/>
      <c r="BJO24" s="631"/>
      <c r="BJP24" s="631"/>
      <c r="BJQ24" s="631"/>
      <c r="BJR24" s="631"/>
      <c r="BJS24" s="631"/>
      <c r="BJT24" s="631"/>
      <c r="BJU24" s="631"/>
      <c r="BJV24" s="631"/>
      <c r="BJW24" s="631"/>
      <c r="BJX24" s="631"/>
      <c r="BJY24" s="631"/>
      <c r="BJZ24" s="631"/>
      <c r="BKA24" s="631"/>
      <c r="BKB24" s="631"/>
      <c r="BKC24" s="631"/>
      <c r="BKD24" s="631"/>
      <c r="BKE24" s="631"/>
      <c r="BKF24" s="631"/>
      <c r="BKG24" s="631"/>
      <c r="BKH24" s="631"/>
      <c r="BKI24" s="631"/>
      <c r="BKJ24" s="631"/>
      <c r="BKK24" s="631"/>
      <c r="BKL24" s="631"/>
      <c r="BKM24" s="631"/>
      <c r="BKN24" s="631"/>
      <c r="BKO24" s="631"/>
      <c r="BKP24" s="631"/>
      <c r="BKQ24" s="631"/>
      <c r="BKR24" s="631"/>
      <c r="BKS24" s="631"/>
      <c r="BKT24" s="631"/>
      <c r="BKU24" s="631"/>
      <c r="BKV24" s="631"/>
      <c r="BKW24" s="631"/>
      <c r="BKX24" s="631"/>
      <c r="BKY24" s="631"/>
      <c r="BKZ24" s="631"/>
      <c r="BLA24" s="631"/>
      <c r="BLB24" s="631"/>
      <c r="BLC24" s="631"/>
      <c r="BLD24" s="631"/>
      <c r="BLE24" s="631"/>
      <c r="BLF24" s="631"/>
      <c r="BLG24" s="631"/>
      <c r="BLH24" s="631"/>
      <c r="BLI24" s="631"/>
      <c r="BLJ24" s="631"/>
      <c r="BLK24" s="631"/>
      <c r="BLL24" s="631"/>
      <c r="BLM24" s="631"/>
      <c r="BLN24" s="631"/>
      <c r="BLO24" s="631"/>
      <c r="BLP24" s="631"/>
      <c r="BLQ24" s="631"/>
      <c r="BLR24" s="631"/>
      <c r="BLS24" s="631"/>
      <c r="BLT24" s="631"/>
      <c r="BLU24" s="631"/>
      <c r="BLV24" s="631"/>
      <c r="BLW24" s="631"/>
      <c r="BLX24" s="631"/>
      <c r="BLY24" s="631"/>
      <c r="BLZ24" s="631"/>
      <c r="BMA24" s="631"/>
      <c r="BMB24" s="631"/>
      <c r="BMC24" s="631"/>
      <c r="BMD24" s="631"/>
      <c r="BME24" s="631"/>
      <c r="BMF24" s="631"/>
      <c r="BMG24" s="631"/>
      <c r="BMH24" s="631"/>
      <c r="BMI24" s="631"/>
      <c r="BMJ24" s="631"/>
      <c r="BMK24" s="631"/>
      <c r="BML24" s="631"/>
      <c r="BMM24" s="631"/>
      <c r="BMN24" s="631"/>
      <c r="BMO24" s="631"/>
      <c r="BMP24" s="631"/>
      <c r="BMQ24" s="631"/>
      <c r="BMR24" s="631"/>
      <c r="BMS24" s="631"/>
      <c r="BMT24" s="631"/>
      <c r="BMU24" s="631"/>
      <c r="BMV24" s="631"/>
      <c r="BMW24" s="631"/>
      <c r="BMX24" s="631"/>
      <c r="BMY24" s="631"/>
      <c r="BMZ24" s="631"/>
      <c r="BNA24" s="631"/>
      <c r="BNB24" s="631"/>
      <c r="BNC24" s="631"/>
      <c r="BND24" s="631"/>
      <c r="BNE24" s="631"/>
      <c r="BNF24" s="631"/>
      <c r="BNG24" s="631"/>
      <c r="BNH24" s="631"/>
      <c r="BNI24" s="631"/>
      <c r="BNJ24" s="631"/>
      <c r="BNK24" s="631"/>
      <c r="BNL24" s="631"/>
      <c r="BNM24" s="631"/>
      <c r="BNN24" s="631"/>
      <c r="BNO24" s="631"/>
      <c r="BNP24" s="631"/>
      <c r="BNQ24" s="631"/>
      <c r="BNR24" s="631"/>
      <c r="BNS24" s="631"/>
      <c r="BNT24" s="631"/>
      <c r="BNU24" s="631"/>
      <c r="BNV24" s="631"/>
      <c r="BNW24" s="631"/>
      <c r="BNX24" s="631"/>
      <c r="BNY24" s="631"/>
      <c r="BNZ24" s="631"/>
      <c r="BOA24" s="631"/>
      <c r="BOB24" s="631"/>
      <c r="BOC24" s="631"/>
      <c r="BOD24" s="631"/>
      <c r="BOE24" s="631"/>
      <c r="BOF24" s="631"/>
      <c r="BOG24" s="631"/>
      <c r="BOH24" s="631"/>
      <c r="BOI24" s="631"/>
      <c r="BOJ24" s="631"/>
      <c r="BOK24" s="631"/>
      <c r="BOL24" s="631"/>
      <c r="BOM24" s="631"/>
      <c r="BON24" s="631"/>
      <c r="BOO24" s="631"/>
      <c r="BOP24" s="631"/>
      <c r="BOQ24" s="631"/>
      <c r="BOR24" s="631"/>
      <c r="BOS24" s="631"/>
      <c r="BOT24" s="631"/>
      <c r="BOU24" s="631"/>
      <c r="BOV24" s="631"/>
      <c r="BOW24" s="631"/>
      <c r="BOX24" s="631"/>
      <c r="BOY24" s="631"/>
      <c r="BOZ24" s="631"/>
      <c r="BPA24" s="631"/>
      <c r="BPB24" s="631"/>
      <c r="BPC24" s="631"/>
      <c r="BPD24" s="631"/>
      <c r="BPE24" s="631"/>
      <c r="BPF24" s="631"/>
      <c r="BPG24" s="631"/>
      <c r="BPH24" s="631"/>
      <c r="BPI24" s="631"/>
      <c r="BPJ24" s="631"/>
      <c r="BPK24" s="631"/>
      <c r="BPL24" s="631"/>
      <c r="BPM24" s="631"/>
      <c r="BPN24" s="631"/>
      <c r="BPO24" s="631"/>
      <c r="BPP24" s="631"/>
      <c r="BPQ24" s="631"/>
      <c r="BPR24" s="631"/>
      <c r="BPS24" s="631"/>
      <c r="BPT24" s="631"/>
      <c r="BPU24" s="631"/>
      <c r="BPV24" s="631"/>
      <c r="BPW24" s="631"/>
      <c r="BPX24" s="631"/>
      <c r="BPY24" s="631"/>
      <c r="BPZ24" s="631"/>
      <c r="BQA24" s="631"/>
      <c r="BQB24" s="631"/>
      <c r="BQC24" s="631"/>
      <c r="BQD24" s="631"/>
      <c r="BQE24" s="631"/>
      <c r="BQF24" s="631"/>
      <c r="BQG24" s="631"/>
      <c r="BQH24" s="631"/>
      <c r="BQI24" s="631"/>
      <c r="BQJ24" s="631"/>
      <c r="BQK24" s="631"/>
      <c r="BQL24" s="631"/>
      <c r="BQM24" s="631"/>
      <c r="BQN24" s="631"/>
      <c r="BQO24" s="631"/>
      <c r="BQP24" s="631"/>
      <c r="BQQ24" s="631"/>
      <c r="BQR24" s="631"/>
      <c r="BQS24" s="631"/>
      <c r="BQT24" s="631"/>
      <c r="BQU24" s="631"/>
      <c r="BQV24" s="631"/>
      <c r="BQW24" s="631"/>
      <c r="BQX24" s="631"/>
      <c r="BQY24" s="631"/>
      <c r="BQZ24" s="631"/>
      <c r="BRA24" s="631"/>
      <c r="BRB24" s="631"/>
      <c r="BRC24" s="631"/>
      <c r="BRD24" s="631"/>
      <c r="BRE24" s="631"/>
      <c r="BRF24" s="631"/>
      <c r="BRG24" s="631"/>
      <c r="BRH24" s="631"/>
      <c r="BRI24" s="631"/>
      <c r="BRJ24" s="631"/>
      <c r="BRK24" s="631"/>
      <c r="BRL24" s="631"/>
      <c r="BRM24" s="631"/>
      <c r="BRN24" s="631"/>
      <c r="BRO24" s="631"/>
      <c r="BRP24" s="631"/>
      <c r="BRQ24" s="631"/>
      <c r="BRR24" s="631"/>
      <c r="BRS24" s="631"/>
      <c r="BRT24" s="631"/>
      <c r="BRU24" s="631"/>
      <c r="BRV24" s="631"/>
      <c r="BRW24" s="631"/>
      <c r="BRX24" s="631"/>
      <c r="BRY24" s="631"/>
      <c r="BRZ24" s="631"/>
      <c r="BSA24" s="631"/>
      <c r="BSB24" s="631"/>
      <c r="BSC24" s="631"/>
      <c r="BSD24" s="631"/>
      <c r="BSE24" s="631"/>
      <c r="BSF24" s="631"/>
      <c r="BSG24" s="631"/>
      <c r="BSH24" s="631"/>
      <c r="BSI24" s="631"/>
      <c r="BSJ24" s="631"/>
      <c r="BSK24" s="631"/>
      <c r="BSL24" s="631"/>
      <c r="BSM24" s="631"/>
      <c r="BSN24" s="631"/>
      <c r="BSO24" s="631"/>
      <c r="BSP24" s="631"/>
      <c r="BSQ24" s="631"/>
      <c r="BSR24" s="631"/>
      <c r="BSS24" s="631"/>
      <c r="BST24" s="631"/>
      <c r="BSU24" s="631"/>
      <c r="BSV24" s="631"/>
      <c r="BSW24" s="631"/>
      <c r="BSX24" s="631"/>
      <c r="BSY24" s="631"/>
      <c r="BSZ24" s="631"/>
      <c r="BTA24" s="631"/>
      <c r="BTB24" s="631"/>
      <c r="BTC24" s="631"/>
      <c r="BTD24" s="631"/>
      <c r="BTE24" s="631"/>
      <c r="BTF24" s="631"/>
      <c r="BTG24" s="631"/>
      <c r="BTH24" s="631"/>
      <c r="BTI24" s="631"/>
      <c r="BTJ24" s="631"/>
      <c r="BTK24" s="631"/>
      <c r="BTL24" s="631"/>
      <c r="BTM24" s="631"/>
      <c r="BTN24" s="631"/>
      <c r="BTO24" s="631"/>
      <c r="BTP24" s="631"/>
      <c r="BTQ24" s="631"/>
      <c r="BTR24" s="631"/>
      <c r="BTS24" s="631"/>
      <c r="BTT24" s="631"/>
      <c r="BTU24" s="631"/>
      <c r="BTV24" s="631"/>
      <c r="BTW24" s="631"/>
      <c r="BTX24" s="631"/>
      <c r="BTY24" s="631"/>
      <c r="BTZ24" s="631"/>
      <c r="BUA24" s="631"/>
      <c r="BUB24" s="631"/>
      <c r="BUC24" s="631"/>
      <c r="BUD24" s="631"/>
      <c r="BUE24" s="631"/>
      <c r="BUF24" s="631"/>
      <c r="BUG24" s="631"/>
      <c r="BUH24" s="631"/>
      <c r="BUI24" s="631"/>
      <c r="BUJ24" s="631"/>
      <c r="BUK24" s="631"/>
      <c r="BUL24" s="631"/>
      <c r="BUM24" s="631"/>
      <c r="BUN24" s="631"/>
      <c r="BUO24" s="631"/>
      <c r="BUP24" s="631"/>
      <c r="BUQ24" s="631"/>
      <c r="BUR24" s="631"/>
      <c r="BUS24" s="631"/>
      <c r="BUT24" s="631"/>
      <c r="BUU24" s="631"/>
      <c r="BUV24" s="631"/>
      <c r="BUW24" s="631"/>
      <c r="BUX24" s="631"/>
      <c r="BUY24" s="631"/>
      <c r="BUZ24" s="631"/>
      <c r="BVA24" s="631"/>
      <c r="BVB24" s="631"/>
      <c r="BVC24" s="631"/>
      <c r="BVD24" s="631"/>
      <c r="BVE24" s="631"/>
      <c r="BVF24" s="631"/>
      <c r="BVG24" s="631"/>
      <c r="BVH24" s="631"/>
      <c r="BVI24" s="631"/>
      <c r="BVJ24" s="631"/>
      <c r="BVK24" s="631"/>
      <c r="BVL24" s="631"/>
      <c r="BVM24" s="631"/>
      <c r="BVN24" s="631"/>
      <c r="BVO24" s="631"/>
      <c r="BVP24" s="631"/>
      <c r="BVQ24" s="631"/>
      <c r="BVR24" s="631"/>
      <c r="BVS24" s="631"/>
      <c r="BVT24" s="631"/>
      <c r="BVU24" s="631"/>
      <c r="BVV24" s="631"/>
      <c r="BVW24" s="631"/>
      <c r="BVX24" s="631"/>
      <c r="BVY24" s="631"/>
      <c r="BVZ24" s="631"/>
      <c r="BWA24" s="631"/>
      <c r="BWB24" s="631"/>
      <c r="BWC24" s="631"/>
      <c r="BWD24" s="631"/>
      <c r="BWE24" s="631"/>
      <c r="BWF24" s="631"/>
      <c r="BWG24" s="631"/>
      <c r="BWH24" s="631"/>
      <c r="BWI24" s="631"/>
      <c r="BWJ24" s="631"/>
      <c r="BWK24" s="631"/>
      <c r="BWL24" s="631"/>
      <c r="BWM24" s="631"/>
      <c r="BWN24" s="631"/>
      <c r="BWO24" s="631"/>
      <c r="BWP24" s="631"/>
      <c r="BWQ24" s="631"/>
      <c r="BWR24" s="631"/>
      <c r="BWS24" s="631"/>
      <c r="BWT24" s="631"/>
      <c r="BWU24" s="631"/>
    </row>
    <row r="25" spans="1:1971" s="3036" customFormat="1" ht="30" customHeight="1" thickBot="1" x14ac:dyDescent="0.3">
      <c r="A25" s="3016" t="s">
        <v>2844</v>
      </c>
      <c r="B25" s="3034">
        <v>0</v>
      </c>
      <c r="C25" s="3034">
        <v>0</v>
      </c>
      <c r="D25" s="3035">
        <v>0</v>
      </c>
      <c r="E25" s="631"/>
      <c r="F25" s="631"/>
      <c r="G25" s="3019"/>
      <c r="H25" s="3019"/>
      <c r="I25" s="3019"/>
      <c r="J25" s="631"/>
      <c r="K25" s="631"/>
      <c r="L25" s="631"/>
      <c r="M25" s="631"/>
      <c r="N25" s="631"/>
      <c r="O25" s="631"/>
      <c r="P25" s="631"/>
      <c r="Q25" s="631"/>
      <c r="R25" s="631"/>
      <c r="S25" s="631"/>
      <c r="T25" s="631"/>
      <c r="U25" s="631"/>
      <c r="V25" s="631"/>
      <c r="W25" s="631"/>
      <c r="X25" s="631"/>
      <c r="Y25" s="631"/>
      <c r="Z25" s="631"/>
      <c r="AA25" s="631"/>
      <c r="AB25" s="631"/>
      <c r="AC25" s="631"/>
      <c r="AD25" s="631"/>
      <c r="AE25" s="631"/>
      <c r="AF25" s="631"/>
      <c r="AG25" s="631"/>
      <c r="AH25" s="631"/>
      <c r="AI25" s="631"/>
      <c r="AJ25" s="631"/>
      <c r="AK25" s="631"/>
      <c r="AL25" s="631"/>
      <c r="AM25" s="631"/>
      <c r="AN25" s="631"/>
      <c r="AO25" s="631"/>
      <c r="AP25" s="631"/>
      <c r="AQ25" s="631"/>
      <c r="AR25" s="631"/>
      <c r="AS25" s="631"/>
      <c r="AT25" s="631"/>
      <c r="AU25" s="631"/>
      <c r="AV25" s="631"/>
      <c r="AW25" s="631"/>
      <c r="AX25" s="631"/>
      <c r="AY25" s="631"/>
      <c r="AZ25" s="631"/>
      <c r="BA25" s="631"/>
      <c r="BB25" s="631"/>
      <c r="BC25" s="631"/>
      <c r="BD25" s="631"/>
      <c r="BE25" s="631"/>
      <c r="BF25" s="631"/>
      <c r="BG25" s="631"/>
      <c r="BH25" s="631"/>
      <c r="BI25" s="631"/>
      <c r="BJ25" s="631"/>
      <c r="BK25" s="631"/>
      <c r="BL25" s="631"/>
      <c r="BM25" s="631"/>
      <c r="BN25" s="631"/>
      <c r="BO25" s="631"/>
      <c r="BP25" s="631"/>
      <c r="BQ25" s="631"/>
      <c r="BR25" s="631"/>
      <c r="BS25" s="631"/>
      <c r="BT25" s="631"/>
      <c r="BU25" s="631"/>
      <c r="BV25" s="631"/>
      <c r="BW25" s="631"/>
      <c r="BX25" s="631"/>
      <c r="BY25" s="631"/>
      <c r="BZ25" s="631"/>
      <c r="CA25" s="631"/>
      <c r="CB25" s="631"/>
      <c r="CC25" s="631"/>
      <c r="CD25" s="631"/>
      <c r="CE25" s="631"/>
      <c r="CF25" s="631"/>
      <c r="CG25" s="631"/>
      <c r="CH25" s="631"/>
      <c r="CI25" s="631"/>
      <c r="CJ25" s="631"/>
      <c r="CK25" s="631"/>
      <c r="CL25" s="631"/>
      <c r="CM25" s="631"/>
      <c r="CN25" s="631"/>
      <c r="CO25" s="631"/>
      <c r="CP25" s="631"/>
      <c r="CQ25" s="631"/>
      <c r="CR25" s="631"/>
      <c r="CS25" s="631"/>
      <c r="CT25" s="631"/>
      <c r="CU25" s="631"/>
      <c r="CV25" s="631"/>
      <c r="CW25" s="631"/>
      <c r="CX25" s="631"/>
      <c r="CY25" s="631"/>
      <c r="CZ25" s="631"/>
      <c r="DA25" s="631"/>
      <c r="DB25" s="631"/>
      <c r="DC25" s="631"/>
      <c r="DD25" s="631"/>
      <c r="DE25" s="631"/>
      <c r="DF25" s="631"/>
      <c r="DG25" s="631"/>
      <c r="DH25" s="631"/>
      <c r="DI25" s="631"/>
      <c r="DJ25" s="631"/>
      <c r="DK25" s="631"/>
      <c r="DL25" s="631"/>
      <c r="DM25" s="631"/>
      <c r="DN25" s="631"/>
      <c r="DO25" s="631"/>
      <c r="DP25" s="631"/>
      <c r="DQ25" s="631"/>
      <c r="DR25" s="631"/>
      <c r="DS25" s="631"/>
      <c r="DT25" s="631"/>
      <c r="DU25" s="631"/>
      <c r="DV25" s="631"/>
      <c r="DW25" s="631"/>
      <c r="DX25" s="631"/>
      <c r="DY25" s="631"/>
      <c r="DZ25" s="631"/>
      <c r="EA25" s="631"/>
      <c r="EB25" s="631"/>
      <c r="EC25" s="631"/>
      <c r="ED25" s="631"/>
      <c r="EE25" s="631"/>
      <c r="EF25" s="631"/>
      <c r="EG25" s="631"/>
      <c r="EH25" s="631"/>
      <c r="EI25" s="631"/>
      <c r="EJ25" s="631"/>
      <c r="EK25" s="631"/>
      <c r="EL25" s="631"/>
      <c r="EM25" s="631"/>
      <c r="EN25" s="631"/>
      <c r="EO25" s="631"/>
      <c r="EP25" s="631"/>
      <c r="EQ25" s="631"/>
      <c r="ER25" s="631"/>
      <c r="ES25" s="631"/>
      <c r="ET25" s="631"/>
      <c r="EU25" s="631"/>
      <c r="EV25" s="631"/>
      <c r="EW25" s="631"/>
      <c r="EX25" s="631"/>
      <c r="EY25" s="631"/>
      <c r="EZ25" s="631"/>
      <c r="FA25" s="631"/>
      <c r="FB25" s="631"/>
      <c r="FC25" s="631"/>
      <c r="FD25" s="631"/>
      <c r="FE25" s="631"/>
      <c r="FF25" s="631"/>
      <c r="FG25" s="631"/>
      <c r="FH25" s="631"/>
      <c r="FI25" s="631"/>
      <c r="FJ25" s="631"/>
      <c r="FK25" s="631"/>
      <c r="FL25" s="631"/>
      <c r="FM25" s="631"/>
      <c r="FN25" s="631"/>
      <c r="FO25" s="631"/>
      <c r="FP25" s="631"/>
      <c r="FQ25" s="631"/>
      <c r="FR25" s="631"/>
      <c r="FS25" s="631"/>
      <c r="FT25" s="631"/>
      <c r="FU25" s="631"/>
      <c r="FV25" s="631"/>
      <c r="FW25" s="631"/>
      <c r="FX25" s="631"/>
      <c r="FY25" s="631"/>
      <c r="FZ25" s="631"/>
      <c r="GA25" s="631"/>
      <c r="GB25" s="631"/>
      <c r="GC25" s="631"/>
      <c r="GD25" s="631"/>
      <c r="GE25" s="631"/>
      <c r="GF25" s="631"/>
      <c r="GG25" s="631"/>
      <c r="GH25" s="631"/>
      <c r="GI25" s="631"/>
      <c r="GJ25" s="631"/>
      <c r="GK25" s="631"/>
      <c r="GL25" s="631"/>
      <c r="GM25" s="631"/>
      <c r="GN25" s="631"/>
      <c r="GO25" s="631"/>
      <c r="GP25" s="631"/>
      <c r="GQ25" s="631"/>
      <c r="GR25" s="631"/>
      <c r="GS25" s="631"/>
      <c r="GT25" s="631"/>
      <c r="GU25" s="631"/>
      <c r="GV25" s="631"/>
      <c r="GW25" s="631"/>
      <c r="GX25" s="631"/>
      <c r="GY25" s="631"/>
      <c r="GZ25" s="631"/>
      <c r="HA25" s="631"/>
      <c r="HB25" s="631"/>
      <c r="HC25" s="631"/>
      <c r="HD25" s="631"/>
      <c r="HE25" s="631"/>
      <c r="HF25" s="631"/>
      <c r="HG25" s="631"/>
      <c r="HH25" s="631"/>
      <c r="HI25" s="631"/>
      <c r="HJ25" s="631"/>
      <c r="HK25" s="631"/>
      <c r="HL25" s="631"/>
      <c r="HM25" s="631"/>
      <c r="HN25" s="631"/>
      <c r="HO25" s="631"/>
      <c r="HP25" s="631"/>
      <c r="HQ25" s="631"/>
      <c r="HR25" s="631"/>
      <c r="HS25" s="631"/>
      <c r="HT25" s="631"/>
      <c r="HU25" s="631"/>
      <c r="HV25" s="631"/>
      <c r="HW25" s="631"/>
      <c r="HX25" s="631"/>
      <c r="HY25" s="631"/>
      <c r="HZ25" s="631"/>
      <c r="IA25" s="631"/>
      <c r="IB25" s="631"/>
      <c r="IC25" s="631"/>
      <c r="ID25" s="631"/>
      <c r="IE25" s="631"/>
      <c r="IF25" s="631"/>
      <c r="IG25" s="631"/>
      <c r="IH25" s="631"/>
      <c r="II25" s="631"/>
      <c r="IJ25" s="631"/>
      <c r="IK25" s="631"/>
      <c r="IL25" s="631"/>
      <c r="IM25" s="631"/>
      <c r="IN25" s="631"/>
      <c r="IO25" s="631"/>
      <c r="IP25" s="631"/>
      <c r="IQ25" s="631"/>
      <c r="IR25" s="631"/>
      <c r="IS25" s="631"/>
      <c r="IT25" s="631"/>
      <c r="IU25" s="631"/>
      <c r="IV25" s="631"/>
      <c r="IW25" s="631"/>
      <c r="IX25" s="631"/>
      <c r="IY25" s="631"/>
      <c r="IZ25" s="631"/>
      <c r="JA25" s="631"/>
      <c r="JB25" s="631"/>
      <c r="JC25" s="631"/>
      <c r="JD25" s="631"/>
      <c r="JE25" s="631"/>
      <c r="JF25" s="631"/>
      <c r="JG25" s="631"/>
      <c r="JH25" s="631"/>
      <c r="JI25" s="631"/>
      <c r="JJ25" s="631"/>
      <c r="JK25" s="631"/>
      <c r="JL25" s="631"/>
      <c r="JM25" s="631"/>
      <c r="JN25" s="631"/>
      <c r="JO25" s="631"/>
      <c r="JP25" s="631"/>
      <c r="JQ25" s="631"/>
      <c r="JR25" s="631"/>
      <c r="JS25" s="631"/>
      <c r="JT25" s="631"/>
      <c r="JU25" s="631"/>
      <c r="JV25" s="631"/>
      <c r="JW25" s="631"/>
      <c r="JX25" s="631"/>
      <c r="JY25" s="631"/>
      <c r="JZ25" s="631"/>
      <c r="KA25" s="631"/>
      <c r="KB25" s="631"/>
      <c r="KC25" s="631"/>
      <c r="KD25" s="631"/>
      <c r="KE25" s="631"/>
      <c r="KF25" s="631"/>
      <c r="KG25" s="631"/>
      <c r="KH25" s="631"/>
      <c r="KI25" s="631"/>
      <c r="KJ25" s="631"/>
      <c r="KK25" s="631"/>
      <c r="KL25" s="631"/>
      <c r="KM25" s="631"/>
      <c r="KN25" s="631"/>
      <c r="KO25" s="631"/>
      <c r="KP25" s="631"/>
      <c r="KQ25" s="631"/>
      <c r="KR25" s="631"/>
      <c r="KS25" s="631"/>
      <c r="KT25" s="631"/>
      <c r="KU25" s="631"/>
      <c r="KV25" s="631"/>
      <c r="KW25" s="631"/>
      <c r="KX25" s="631"/>
      <c r="KY25" s="631"/>
      <c r="KZ25" s="631"/>
      <c r="LA25" s="631"/>
      <c r="LB25" s="631"/>
      <c r="LC25" s="631"/>
      <c r="LD25" s="631"/>
      <c r="LE25" s="631"/>
      <c r="LF25" s="631"/>
      <c r="LG25" s="631"/>
      <c r="LH25" s="631"/>
      <c r="LI25" s="631"/>
      <c r="LJ25" s="631"/>
      <c r="LK25" s="631"/>
      <c r="LL25" s="631"/>
      <c r="LM25" s="631"/>
      <c r="LN25" s="631"/>
      <c r="LO25" s="631"/>
      <c r="LP25" s="631"/>
      <c r="LQ25" s="631"/>
      <c r="LR25" s="631"/>
      <c r="LS25" s="631"/>
      <c r="LT25" s="631"/>
      <c r="LU25" s="631"/>
      <c r="LV25" s="631"/>
      <c r="LW25" s="631"/>
      <c r="LX25" s="631"/>
      <c r="LY25" s="631"/>
      <c r="LZ25" s="631"/>
      <c r="MA25" s="631"/>
      <c r="MB25" s="631"/>
      <c r="MC25" s="631"/>
      <c r="MD25" s="631"/>
      <c r="ME25" s="631"/>
      <c r="MF25" s="631"/>
      <c r="MG25" s="631"/>
      <c r="MH25" s="631"/>
      <c r="MI25" s="631"/>
      <c r="MJ25" s="631"/>
      <c r="MK25" s="631"/>
      <c r="ML25" s="631"/>
      <c r="MM25" s="631"/>
      <c r="MN25" s="631"/>
      <c r="MO25" s="631"/>
      <c r="MP25" s="631"/>
      <c r="MQ25" s="631"/>
      <c r="MR25" s="631"/>
      <c r="MS25" s="631"/>
      <c r="MT25" s="631"/>
      <c r="MU25" s="631"/>
      <c r="MV25" s="631"/>
      <c r="MW25" s="631"/>
      <c r="MX25" s="631"/>
      <c r="MY25" s="631"/>
      <c r="MZ25" s="631"/>
      <c r="NA25" s="631"/>
      <c r="NB25" s="631"/>
      <c r="NC25" s="631"/>
      <c r="ND25" s="631"/>
      <c r="NE25" s="631"/>
      <c r="NF25" s="631"/>
      <c r="NG25" s="631"/>
      <c r="NH25" s="631"/>
      <c r="NI25" s="631"/>
      <c r="NJ25" s="631"/>
      <c r="NK25" s="631"/>
      <c r="NL25" s="631"/>
      <c r="NM25" s="631"/>
      <c r="NN25" s="631"/>
      <c r="NO25" s="631"/>
      <c r="NP25" s="631"/>
      <c r="NQ25" s="631"/>
      <c r="NR25" s="631"/>
      <c r="NS25" s="631"/>
      <c r="NT25" s="631"/>
      <c r="NU25" s="631"/>
      <c r="NV25" s="631"/>
      <c r="NW25" s="631"/>
      <c r="NX25" s="631"/>
      <c r="NY25" s="631"/>
      <c r="NZ25" s="631"/>
      <c r="OA25" s="631"/>
      <c r="OB25" s="631"/>
      <c r="OC25" s="631"/>
      <c r="OD25" s="631"/>
      <c r="OE25" s="631"/>
      <c r="OF25" s="631"/>
      <c r="OG25" s="631"/>
      <c r="OH25" s="631"/>
      <c r="OI25" s="631"/>
      <c r="OJ25" s="631"/>
      <c r="OK25" s="631"/>
      <c r="OL25" s="631"/>
      <c r="OM25" s="631"/>
      <c r="ON25" s="631"/>
      <c r="OO25" s="631"/>
      <c r="OP25" s="631"/>
      <c r="OQ25" s="631"/>
      <c r="OR25" s="631"/>
      <c r="OS25" s="631"/>
      <c r="OT25" s="631"/>
      <c r="OU25" s="631"/>
      <c r="OV25" s="631"/>
      <c r="OW25" s="631"/>
      <c r="OX25" s="631"/>
      <c r="OY25" s="631"/>
      <c r="OZ25" s="631"/>
      <c r="PA25" s="631"/>
      <c r="PB25" s="631"/>
      <c r="PC25" s="631"/>
      <c r="PD25" s="631"/>
      <c r="PE25" s="631"/>
      <c r="PF25" s="631"/>
      <c r="PG25" s="631"/>
      <c r="PH25" s="631"/>
      <c r="PI25" s="631"/>
      <c r="PJ25" s="631"/>
      <c r="PK25" s="631"/>
      <c r="PL25" s="631"/>
      <c r="PM25" s="631"/>
      <c r="PN25" s="631"/>
      <c r="PO25" s="631"/>
      <c r="PP25" s="631"/>
      <c r="PQ25" s="631"/>
      <c r="PR25" s="631"/>
      <c r="PS25" s="631"/>
      <c r="PT25" s="631"/>
      <c r="PU25" s="631"/>
      <c r="PV25" s="631"/>
      <c r="PW25" s="631"/>
      <c r="PX25" s="631"/>
      <c r="PY25" s="631"/>
      <c r="PZ25" s="631"/>
      <c r="QA25" s="631"/>
      <c r="QB25" s="631"/>
      <c r="QC25" s="631"/>
      <c r="QD25" s="631"/>
      <c r="QE25" s="631"/>
      <c r="QF25" s="631"/>
      <c r="QG25" s="631"/>
      <c r="QH25" s="631"/>
      <c r="QI25" s="631"/>
      <c r="QJ25" s="631"/>
      <c r="QK25" s="631"/>
      <c r="QL25" s="631"/>
      <c r="QM25" s="631"/>
      <c r="QN25" s="631"/>
      <c r="QO25" s="631"/>
      <c r="QP25" s="631"/>
      <c r="QQ25" s="631"/>
      <c r="QR25" s="631"/>
      <c r="QS25" s="631"/>
      <c r="QT25" s="631"/>
      <c r="QU25" s="631"/>
      <c r="QV25" s="631"/>
      <c r="QW25" s="631"/>
      <c r="QX25" s="631"/>
      <c r="QY25" s="631"/>
      <c r="QZ25" s="631"/>
      <c r="RA25" s="631"/>
      <c r="RB25" s="631"/>
      <c r="RC25" s="631"/>
      <c r="RD25" s="631"/>
      <c r="RE25" s="631"/>
      <c r="RF25" s="631"/>
      <c r="RG25" s="631"/>
      <c r="RH25" s="631"/>
      <c r="RI25" s="631"/>
      <c r="RJ25" s="631"/>
      <c r="RK25" s="631"/>
      <c r="RL25" s="631"/>
      <c r="RM25" s="631"/>
      <c r="RN25" s="631"/>
      <c r="RO25" s="631"/>
      <c r="RP25" s="631"/>
      <c r="RQ25" s="631"/>
      <c r="RR25" s="631"/>
      <c r="RS25" s="631"/>
      <c r="RT25" s="631"/>
      <c r="RU25" s="631"/>
      <c r="RV25" s="631"/>
      <c r="RW25" s="631"/>
      <c r="RX25" s="631"/>
      <c r="RY25" s="631"/>
      <c r="RZ25" s="631"/>
      <c r="SA25" s="631"/>
      <c r="SB25" s="631"/>
      <c r="SC25" s="631"/>
      <c r="SD25" s="631"/>
      <c r="SE25" s="631"/>
      <c r="SF25" s="631"/>
      <c r="SG25" s="631"/>
      <c r="SH25" s="631"/>
      <c r="SI25" s="631"/>
      <c r="SJ25" s="631"/>
      <c r="SK25" s="631"/>
      <c r="SL25" s="631"/>
      <c r="SM25" s="631"/>
      <c r="SN25" s="631"/>
      <c r="SO25" s="631"/>
      <c r="SP25" s="631"/>
      <c r="SQ25" s="631"/>
      <c r="SR25" s="631"/>
      <c r="SS25" s="631"/>
      <c r="ST25" s="631"/>
      <c r="SU25" s="631"/>
      <c r="SV25" s="631"/>
      <c r="SW25" s="631"/>
      <c r="SX25" s="631"/>
      <c r="SY25" s="631"/>
      <c r="SZ25" s="631"/>
      <c r="TA25" s="631"/>
      <c r="TB25" s="631"/>
      <c r="TC25" s="631"/>
      <c r="TD25" s="631"/>
      <c r="TE25" s="631"/>
      <c r="TF25" s="631"/>
      <c r="TG25" s="631"/>
      <c r="TH25" s="631"/>
      <c r="TI25" s="631"/>
      <c r="TJ25" s="631"/>
      <c r="TK25" s="631"/>
      <c r="TL25" s="631"/>
      <c r="TM25" s="631"/>
      <c r="TN25" s="631"/>
      <c r="TO25" s="631"/>
      <c r="TP25" s="631"/>
      <c r="TQ25" s="631"/>
      <c r="TR25" s="631"/>
      <c r="TS25" s="631"/>
      <c r="TT25" s="631"/>
      <c r="TU25" s="631"/>
      <c r="TV25" s="631"/>
      <c r="TW25" s="631"/>
      <c r="TX25" s="631"/>
      <c r="TY25" s="631"/>
      <c r="TZ25" s="631"/>
      <c r="UA25" s="631"/>
      <c r="UB25" s="631"/>
      <c r="UC25" s="631"/>
      <c r="UD25" s="631"/>
      <c r="UE25" s="631"/>
      <c r="UF25" s="631"/>
      <c r="UG25" s="631"/>
      <c r="UH25" s="631"/>
      <c r="UI25" s="631"/>
      <c r="UJ25" s="631"/>
      <c r="UK25" s="631"/>
      <c r="UL25" s="631"/>
      <c r="UM25" s="631"/>
      <c r="UN25" s="631"/>
      <c r="UO25" s="631"/>
      <c r="UP25" s="631"/>
      <c r="UQ25" s="631"/>
      <c r="UR25" s="631"/>
      <c r="US25" s="631"/>
      <c r="UT25" s="631"/>
      <c r="UU25" s="631"/>
      <c r="UV25" s="631"/>
      <c r="UW25" s="631"/>
      <c r="UX25" s="631"/>
      <c r="UY25" s="631"/>
      <c r="UZ25" s="631"/>
      <c r="VA25" s="631"/>
      <c r="VB25" s="631"/>
      <c r="VC25" s="631"/>
      <c r="VD25" s="631"/>
      <c r="VE25" s="631"/>
      <c r="VF25" s="631"/>
      <c r="VG25" s="631"/>
      <c r="VH25" s="631"/>
      <c r="VI25" s="631"/>
      <c r="VJ25" s="631"/>
      <c r="VK25" s="631"/>
      <c r="VL25" s="631"/>
      <c r="VM25" s="631"/>
      <c r="VN25" s="631"/>
      <c r="VO25" s="631"/>
      <c r="VP25" s="631"/>
      <c r="VQ25" s="631"/>
      <c r="VR25" s="631"/>
      <c r="VS25" s="631"/>
      <c r="VT25" s="631"/>
      <c r="VU25" s="631"/>
      <c r="VV25" s="631"/>
      <c r="VW25" s="631"/>
      <c r="VX25" s="631"/>
      <c r="VY25" s="631"/>
      <c r="VZ25" s="631"/>
      <c r="WA25" s="631"/>
      <c r="WB25" s="631"/>
      <c r="WC25" s="631"/>
      <c r="WD25" s="631"/>
      <c r="WE25" s="631"/>
      <c r="WF25" s="631"/>
      <c r="WG25" s="631"/>
      <c r="WH25" s="631"/>
      <c r="WI25" s="631"/>
      <c r="WJ25" s="631"/>
      <c r="WK25" s="631"/>
      <c r="WL25" s="631"/>
      <c r="WM25" s="631"/>
      <c r="WN25" s="631"/>
      <c r="WO25" s="631"/>
      <c r="WP25" s="631"/>
      <c r="WQ25" s="631"/>
      <c r="WR25" s="631"/>
      <c r="WS25" s="631"/>
      <c r="WT25" s="631"/>
      <c r="WU25" s="631"/>
      <c r="WV25" s="631"/>
      <c r="WW25" s="631"/>
      <c r="WX25" s="631"/>
      <c r="WY25" s="631"/>
      <c r="WZ25" s="631"/>
      <c r="XA25" s="631"/>
      <c r="XB25" s="631"/>
      <c r="XC25" s="631"/>
      <c r="XD25" s="631"/>
      <c r="XE25" s="631"/>
      <c r="XF25" s="631"/>
      <c r="XG25" s="631"/>
      <c r="XH25" s="631"/>
      <c r="XI25" s="631"/>
      <c r="XJ25" s="631"/>
      <c r="XK25" s="631"/>
      <c r="XL25" s="631"/>
      <c r="XM25" s="631"/>
      <c r="XN25" s="631"/>
      <c r="XO25" s="631"/>
      <c r="XP25" s="631"/>
      <c r="XQ25" s="631"/>
      <c r="XR25" s="631"/>
      <c r="XS25" s="631"/>
      <c r="XT25" s="631"/>
      <c r="XU25" s="631"/>
      <c r="XV25" s="631"/>
      <c r="XW25" s="631"/>
      <c r="XX25" s="631"/>
      <c r="XY25" s="631"/>
      <c r="XZ25" s="631"/>
      <c r="YA25" s="631"/>
      <c r="YB25" s="631"/>
      <c r="YC25" s="631"/>
      <c r="YD25" s="631"/>
      <c r="YE25" s="631"/>
      <c r="YF25" s="631"/>
      <c r="YG25" s="631"/>
      <c r="YH25" s="631"/>
      <c r="YI25" s="631"/>
      <c r="YJ25" s="631"/>
      <c r="YK25" s="631"/>
      <c r="YL25" s="631"/>
      <c r="YM25" s="631"/>
      <c r="YN25" s="631"/>
      <c r="YO25" s="631"/>
      <c r="YP25" s="631"/>
      <c r="YQ25" s="631"/>
      <c r="YR25" s="631"/>
      <c r="YS25" s="631"/>
      <c r="YT25" s="631"/>
      <c r="YU25" s="631"/>
      <c r="YV25" s="631"/>
      <c r="YW25" s="631"/>
      <c r="YX25" s="631"/>
      <c r="YY25" s="631"/>
      <c r="YZ25" s="631"/>
      <c r="ZA25" s="631"/>
      <c r="ZB25" s="631"/>
      <c r="ZC25" s="631"/>
      <c r="ZD25" s="631"/>
      <c r="ZE25" s="631"/>
      <c r="ZF25" s="631"/>
      <c r="ZG25" s="631"/>
      <c r="ZH25" s="631"/>
      <c r="ZI25" s="631"/>
      <c r="ZJ25" s="631"/>
      <c r="ZK25" s="631"/>
      <c r="ZL25" s="631"/>
      <c r="ZM25" s="631"/>
      <c r="ZN25" s="631"/>
      <c r="ZO25" s="631"/>
      <c r="ZP25" s="631"/>
      <c r="ZQ25" s="631"/>
      <c r="ZR25" s="631"/>
      <c r="ZS25" s="631"/>
      <c r="ZT25" s="631"/>
      <c r="ZU25" s="631"/>
      <c r="ZV25" s="631"/>
      <c r="ZW25" s="631"/>
      <c r="ZX25" s="631"/>
      <c r="ZY25" s="631"/>
      <c r="ZZ25" s="631"/>
      <c r="AAA25" s="631"/>
      <c r="AAB25" s="631"/>
      <c r="AAC25" s="631"/>
      <c r="AAD25" s="631"/>
      <c r="AAE25" s="631"/>
      <c r="AAF25" s="631"/>
      <c r="AAG25" s="631"/>
      <c r="AAH25" s="631"/>
      <c r="AAI25" s="631"/>
      <c r="AAJ25" s="631"/>
      <c r="AAK25" s="631"/>
      <c r="AAL25" s="631"/>
      <c r="AAM25" s="631"/>
      <c r="AAN25" s="631"/>
      <c r="AAO25" s="631"/>
      <c r="AAP25" s="631"/>
      <c r="AAQ25" s="631"/>
      <c r="AAR25" s="631"/>
      <c r="AAS25" s="631"/>
      <c r="AAT25" s="631"/>
      <c r="AAU25" s="631"/>
      <c r="AAV25" s="631"/>
      <c r="AAW25" s="631"/>
      <c r="AAX25" s="631"/>
      <c r="AAY25" s="631"/>
      <c r="AAZ25" s="631"/>
      <c r="ABA25" s="631"/>
      <c r="ABB25" s="631"/>
      <c r="ABC25" s="631"/>
      <c r="ABD25" s="631"/>
      <c r="ABE25" s="631"/>
      <c r="ABF25" s="631"/>
      <c r="ABG25" s="631"/>
      <c r="ABH25" s="631"/>
      <c r="ABI25" s="631"/>
      <c r="ABJ25" s="631"/>
      <c r="ABK25" s="631"/>
      <c r="ABL25" s="631"/>
      <c r="ABM25" s="631"/>
      <c r="ABN25" s="631"/>
      <c r="ABO25" s="631"/>
      <c r="ABP25" s="631"/>
      <c r="ABQ25" s="631"/>
      <c r="ABR25" s="631"/>
      <c r="ABS25" s="631"/>
      <c r="ABT25" s="631"/>
      <c r="ABU25" s="631"/>
      <c r="ABV25" s="631"/>
      <c r="ABW25" s="631"/>
      <c r="ABX25" s="631"/>
      <c r="ABY25" s="631"/>
      <c r="ABZ25" s="631"/>
      <c r="ACA25" s="631"/>
      <c r="ACB25" s="631"/>
      <c r="ACC25" s="631"/>
      <c r="ACD25" s="631"/>
      <c r="ACE25" s="631"/>
      <c r="ACF25" s="631"/>
      <c r="ACG25" s="631"/>
      <c r="ACH25" s="631"/>
      <c r="ACI25" s="631"/>
      <c r="ACJ25" s="631"/>
      <c r="ACK25" s="631"/>
      <c r="ACL25" s="631"/>
      <c r="ACM25" s="631"/>
      <c r="ACN25" s="631"/>
      <c r="ACO25" s="631"/>
      <c r="ACP25" s="631"/>
      <c r="ACQ25" s="631"/>
      <c r="ACR25" s="631"/>
      <c r="ACS25" s="631"/>
      <c r="ACT25" s="631"/>
      <c r="ACU25" s="631"/>
      <c r="ACV25" s="631"/>
      <c r="ACW25" s="631"/>
      <c r="ACX25" s="631"/>
      <c r="ACY25" s="631"/>
      <c r="ACZ25" s="631"/>
      <c r="ADA25" s="631"/>
      <c r="ADB25" s="631"/>
      <c r="ADC25" s="631"/>
      <c r="ADD25" s="631"/>
      <c r="ADE25" s="631"/>
      <c r="ADF25" s="631"/>
      <c r="ADG25" s="631"/>
      <c r="ADH25" s="631"/>
      <c r="ADI25" s="631"/>
      <c r="ADJ25" s="631"/>
      <c r="ADK25" s="631"/>
      <c r="ADL25" s="631"/>
      <c r="ADM25" s="631"/>
      <c r="ADN25" s="631"/>
      <c r="ADO25" s="631"/>
      <c r="ADP25" s="631"/>
      <c r="ADQ25" s="631"/>
      <c r="ADR25" s="631"/>
      <c r="ADS25" s="631"/>
      <c r="ADT25" s="631"/>
      <c r="ADU25" s="631"/>
      <c r="ADV25" s="631"/>
      <c r="ADW25" s="631"/>
      <c r="ADX25" s="631"/>
      <c r="ADY25" s="631"/>
      <c r="ADZ25" s="631"/>
      <c r="AEA25" s="631"/>
      <c r="AEB25" s="631"/>
      <c r="AEC25" s="631"/>
      <c r="AED25" s="631"/>
      <c r="AEE25" s="631"/>
      <c r="AEF25" s="631"/>
      <c r="AEG25" s="631"/>
      <c r="AEH25" s="631"/>
      <c r="AEI25" s="631"/>
      <c r="AEJ25" s="631"/>
      <c r="AEK25" s="631"/>
      <c r="AEL25" s="631"/>
      <c r="AEM25" s="631"/>
      <c r="AEN25" s="631"/>
      <c r="AEO25" s="631"/>
      <c r="AEP25" s="631"/>
      <c r="AEQ25" s="631"/>
      <c r="AER25" s="631"/>
      <c r="AES25" s="631"/>
      <c r="AET25" s="631"/>
      <c r="AEU25" s="631"/>
      <c r="AEV25" s="631"/>
      <c r="AEW25" s="631"/>
      <c r="AEX25" s="631"/>
      <c r="AEY25" s="631"/>
      <c r="AEZ25" s="631"/>
      <c r="AFA25" s="631"/>
      <c r="AFB25" s="631"/>
      <c r="AFC25" s="631"/>
      <c r="AFD25" s="631"/>
      <c r="AFE25" s="631"/>
      <c r="AFF25" s="631"/>
      <c r="AFG25" s="631"/>
      <c r="AFH25" s="631"/>
      <c r="AFI25" s="631"/>
      <c r="AFJ25" s="631"/>
      <c r="AFK25" s="631"/>
      <c r="AFL25" s="631"/>
      <c r="AFM25" s="631"/>
      <c r="AFN25" s="631"/>
      <c r="AFO25" s="631"/>
      <c r="AFP25" s="631"/>
      <c r="AFQ25" s="631"/>
      <c r="AFR25" s="631"/>
      <c r="AFS25" s="631"/>
      <c r="AFT25" s="631"/>
      <c r="AFU25" s="631"/>
      <c r="AFV25" s="631"/>
      <c r="AFW25" s="631"/>
      <c r="AFX25" s="631"/>
      <c r="AFY25" s="631"/>
      <c r="AFZ25" s="631"/>
      <c r="AGA25" s="631"/>
      <c r="AGB25" s="631"/>
      <c r="AGC25" s="631"/>
      <c r="AGD25" s="631"/>
      <c r="AGE25" s="631"/>
      <c r="AGF25" s="631"/>
      <c r="AGG25" s="631"/>
      <c r="AGH25" s="631"/>
      <c r="AGI25" s="631"/>
      <c r="AGJ25" s="631"/>
      <c r="AGK25" s="631"/>
      <c r="AGL25" s="631"/>
      <c r="AGM25" s="631"/>
      <c r="AGN25" s="631"/>
      <c r="AGO25" s="631"/>
      <c r="AGP25" s="631"/>
      <c r="AGQ25" s="631"/>
      <c r="AGR25" s="631"/>
      <c r="AGS25" s="631"/>
      <c r="AGT25" s="631"/>
      <c r="AGU25" s="631"/>
      <c r="AGV25" s="631"/>
      <c r="AGW25" s="631"/>
      <c r="AGX25" s="631"/>
      <c r="AGY25" s="631"/>
      <c r="AGZ25" s="631"/>
      <c r="AHA25" s="631"/>
      <c r="AHB25" s="631"/>
      <c r="AHC25" s="631"/>
      <c r="AHD25" s="631"/>
      <c r="AHE25" s="631"/>
      <c r="AHF25" s="631"/>
      <c r="AHG25" s="631"/>
      <c r="AHH25" s="631"/>
      <c r="AHI25" s="631"/>
      <c r="AHJ25" s="631"/>
      <c r="AHK25" s="631"/>
      <c r="AHL25" s="631"/>
      <c r="AHM25" s="631"/>
      <c r="AHN25" s="631"/>
      <c r="AHO25" s="631"/>
      <c r="AHP25" s="631"/>
      <c r="AHQ25" s="631"/>
      <c r="AHR25" s="631"/>
      <c r="AHS25" s="631"/>
      <c r="AHT25" s="631"/>
      <c r="AHU25" s="631"/>
      <c r="AHV25" s="631"/>
      <c r="AHW25" s="631"/>
      <c r="AHX25" s="631"/>
      <c r="AHY25" s="631"/>
      <c r="AHZ25" s="631"/>
      <c r="AIA25" s="631"/>
      <c r="AIB25" s="631"/>
      <c r="AIC25" s="631"/>
      <c r="AID25" s="631"/>
      <c r="AIE25" s="631"/>
      <c r="AIF25" s="631"/>
      <c r="AIG25" s="631"/>
      <c r="AIH25" s="631"/>
      <c r="AII25" s="631"/>
      <c r="AIJ25" s="631"/>
      <c r="AIK25" s="631"/>
      <c r="AIL25" s="631"/>
      <c r="AIM25" s="631"/>
      <c r="AIN25" s="631"/>
      <c r="AIO25" s="631"/>
      <c r="AIP25" s="631"/>
      <c r="AIQ25" s="631"/>
      <c r="AIR25" s="631"/>
      <c r="AIS25" s="631"/>
      <c r="AIT25" s="631"/>
      <c r="AIU25" s="631"/>
      <c r="AIV25" s="631"/>
      <c r="AIW25" s="631"/>
      <c r="AIX25" s="631"/>
      <c r="AIY25" s="631"/>
      <c r="AIZ25" s="631"/>
      <c r="AJA25" s="631"/>
      <c r="AJB25" s="631"/>
      <c r="AJC25" s="631"/>
      <c r="AJD25" s="631"/>
      <c r="AJE25" s="631"/>
      <c r="AJF25" s="631"/>
      <c r="AJG25" s="631"/>
      <c r="AJH25" s="631"/>
      <c r="AJI25" s="631"/>
      <c r="AJJ25" s="631"/>
      <c r="AJK25" s="631"/>
      <c r="AJL25" s="631"/>
      <c r="AJM25" s="631"/>
      <c r="AJN25" s="631"/>
      <c r="AJO25" s="631"/>
      <c r="AJP25" s="631"/>
      <c r="AJQ25" s="631"/>
      <c r="AJR25" s="631"/>
      <c r="AJS25" s="631"/>
      <c r="AJT25" s="631"/>
      <c r="AJU25" s="631"/>
      <c r="AJV25" s="631"/>
      <c r="AJW25" s="631"/>
      <c r="AJX25" s="631"/>
      <c r="AJY25" s="631"/>
      <c r="AJZ25" s="631"/>
      <c r="AKA25" s="631"/>
      <c r="AKB25" s="631"/>
      <c r="AKC25" s="631"/>
      <c r="AKD25" s="631"/>
      <c r="AKE25" s="631"/>
      <c r="AKF25" s="631"/>
      <c r="AKG25" s="631"/>
      <c r="AKH25" s="631"/>
      <c r="AKI25" s="631"/>
      <c r="AKJ25" s="631"/>
      <c r="AKK25" s="631"/>
      <c r="AKL25" s="631"/>
      <c r="AKM25" s="631"/>
      <c r="AKN25" s="631"/>
      <c r="AKO25" s="631"/>
      <c r="AKP25" s="631"/>
      <c r="AKQ25" s="631"/>
      <c r="AKR25" s="631"/>
      <c r="AKS25" s="631"/>
      <c r="AKT25" s="631"/>
      <c r="AKU25" s="631"/>
      <c r="AKV25" s="631"/>
      <c r="AKW25" s="631"/>
      <c r="AKX25" s="631"/>
      <c r="AKY25" s="631"/>
      <c r="AKZ25" s="631"/>
      <c r="ALA25" s="631"/>
      <c r="ALB25" s="631"/>
      <c r="ALC25" s="631"/>
      <c r="ALD25" s="631"/>
      <c r="ALE25" s="631"/>
      <c r="ALF25" s="631"/>
      <c r="ALG25" s="631"/>
      <c r="ALH25" s="631"/>
      <c r="ALI25" s="631"/>
      <c r="ALJ25" s="631"/>
      <c r="ALK25" s="631"/>
      <c r="ALL25" s="631"/>
      <c r="ALM25" s="631"/>
      <c r="ALN25" s="631"/>
      <c r="ALO25" s="631"/>
      <c r="ALP25" s="631"/>
      <c r="ALQ25" s="631"/>
      <c r="ALR25" s="631"/>
      <c r="ALS25" s="631"/>
      <c r="ALT25" s="631"/>
      <c r="ALU25" s="631"/>
      <c r="ALV25" s="631"/>
      <c r="ALW25" s="631"/>
      <c r="ALX25" s="631"/>
      <c r="ALY25" s="631"/>
      <c r="ALZ25" s="631"/>
      <c r="AMA25" s="631"/>
      <c r="AMB25" s="631"/>
      <c r="AMC25" s="631"/>
      <c r="AMD25" s="631"/>
      <c r="AME25" s="631"/>
      <c r="AMF25" s="631"/>
      <c r="AMG25" s="631"/>
      <c r="AMH25" s="631"/>
      <c r="AMI25" s="631"/>
      <c r="AMJ25" s="631"/>
      <c r="AMK25" s="631"/>
      <c r="AML25" s="631"/>
      <c r="AMM25" s="631"/>
      <c r="AMN25" s="631"/>
      <c r="AMO25" s="631"/>
      <c r="AMP25" s="631"/>
      <c r="AMQ25" s="631"/>
      <c r="AMR25" s="631"/>
      <c r="AMS25" s="631"/>
      <c r="AMT25" s="631"/>
      <c r="AMU25" s="631"/>
      <c r="AMV25" s="631"/>
      <c r="AMW25" s="631"/>
      <c r="AMX25" s="631"/>
      <c r="AMY25" s="631"/>
      <c r="AMZ25" s="631"/>
      <c r="ANA25" s="631"/>
      <c r="ANB25" s="631"/>
      <c r="ANC25" s="631"/>
      <c r="AND25" s="631"/>
      <c r="ANE25" s="631"/>
      <c r="ANF25" s="631"/>
      <c r="ANG25" s="631"/>
      <c r="ANH25" s="631"/>
      <c r="ANI25" s="631"/>
      <c r="ANJ25" s="631"/>
      <c r="ANK25" s="631"/>
      <c r="ANL25" s="631"/>
      <c r="ANM25" s="631"/>
      <c r="ANN25" s="631"/>
      <c r="ANO25" s="631"/>
      <c r="ANP25" s="631"/>
      <c r="ANQ25" s="631"/>
      <c r="ANR25" s="631"/>
      <c r="ANS25" s="631"/>
      <c r="ANT25" s="631"/>
      <c r="ANU25" s="631"/>
      <c r="ANV25" s="631"/>
      <c r="ANW25" s="631"/>
      <c r="ANX25" s="631"/>
      <c r="ANY25" s="631"/>
      <c r="ANZ25" s="631"/>
      <c r="AOA25" s="631"/>
      <c r="AOB25" s="631"/>
      <c r="AOC25" s="631"/>
      <c r="AOD25" s="631"/>
      <c r="AOE25" s="631"/>
      <c r="AOF25" s="631"/>
      <c r="AOG25" s="631"/>
      <c r="AOH25" s="631"/>
      <c r="AOI25" s="631"/>
      <c r="AOJ25" s="631"/>
      <c r="AOK25" s="631"/>
      <c r="AOL25" s="631"/>
      <c r="AOM25" s="631"/>
      <c r="AON25" s="631"/>
      <c r="AOO25" s="631"/>
      <c r="AOP25" s="631"/>
      <c r="AOQ25" s="631"/>
      <c r="AOR25" s="631"/>
      <c r="AOS25" s="631"/>
      <c r="AOT25" s="631"/>
      <c r="AOU25" s="631"/>
      <c r="AOV25" s="631"/>
      <c r="AOW25" s="631"/>
      <c r="AOX25" s="631"/>
      <c r="AOY25" s="631"/>
      <c r="AOZ25" s="631"/>
      <c r="APA25" s="631"/>
      <c r="APB25" s="631"/>
      <c r="APC25" s="631"/>
      <c r="APD25" s="631"/>
      <c r="APE25" s="631"/>
      <c r="APF25" s="631"/>
      <c r="APG25" s="631"/>
      <c r="APH25" s="631"/>
      <c r="API25" s="631"/>
      <c r="APJ25" s="631"/>
      <c r="APK25" s="631"/>
      <c r="APL25" s="631"/>
      <c r="APM25" s="631"/>
      <c r="APN25" s="631"/>
      <c r="APO25" s="631"/>
      <c r="APP25" s="631"/>
      <c r="APQ25" s="631"/>
      <c r="APR25" s="631"/>
      <c r="APS25" s="631"/>
      <c r="APT25" s="631"/>
      <c r="APU25" s="631"/>
      <c r="APV25" s="631"/>
      <c r="APW25" s="631"/>
      <c r="APX25" s="631"/>
      <c r="APY25" s="631"/>
      <c r="APZ25" s="631"/>
      <c r="AQA25" s="631"/>
      <c r="AQB25" s="631"/>
      <c r="AQC25" s="631"/>
      <c r="AQD25" s="631"/>
      <c r="AQE25" s="631"/>
      <c r="AQF25" s="631"/>
      <c r="AQG25" s="631"/>
      <c r="AQH25" s="631"/>
      <c r="AQI25" s="631"/>
      <c r="AQJ25" s="631"/>
      <c r="AQK25" s="631"/>
      <c r="AQL25" s="631"/>
      <c r="AQM25" s="631"/>
      <c r="AQN25" s="631"/>
      <c r="AQO25" s="631"/>
      <c r="AQP25" s="631"/>
      <c r="AQQ25" s="631"/>
      <c r="AQR25" s="631"/>
      <c r="AQS25" s="631"/>
      <c r="AQT25" s="631"/>
      <c r="AQU25" s="631"/>
      <c r="AQV25" s="631"/>
      <c r="AQW25" s="631"/>
      <c r="AQX25" s="631"/>
      <c r="AQY25" s="631"/>
      <c r="AQZ25" s="631"/>
      <c r="ARA25" s="631"/>
      <c r="ARB25" s="631"/>
      <c r="ARC25" s="631"/>
      <c r="ARD25" s="631"/>
      <c r="ARE25" s="631"/>
      <c r="ARF25" s="631"/>
      <c r="ARG25" s="631"/>
      <c r="ARH25" s="631"/>
      <c r="ARI25" s="631"/>
      <c r="ARJ25" s="631"/>
      <c r="ARK25" s="631"/>
      <c r="ARL25" s="631"/>
      <c r="ARM25" s="631"/>
      <c r="ARN25" s="631"/>
      <c r="ARO25" s="631"/>
      <c r="ARP25" s="631"/>
      <c r="ARQ25" s="631"/>
      <c r="ARR25" s="631"/>
      <c r="ARS25" s="631"/>
      <c r="ART25" s="631"/>
      <c r="ARU25" s="631"/>
      <c r="ARV25" s="631"/>
      <c r="ARW25" s="631"/>
      <c r="ARX25" s="631"/>
      <c r="ARY25" s="631"/>
      <c r="ARZ25" s="631"/>
      <c r="ASA25" s="631"/>
      <c r="ASB25" s="631"/>
      <c r="ASC25" s="631"/>
      <c r="ASD25" s="631"/>
      <c r="ASE25" s="631"/>
      <c r="ASF25" s="631"/>
      <c r="ASG25" s="631"/>
      <c r="ASH25" s="631"/>
      <c r="ASI25" s="631"/>
      <c r="ASJ25" s="631"/>
      <c r="ASK25" s="631"/>
      <c r="ASL25" s="631"/>
      <c r="ASM25" s="631"/>
      <c r="ASN25" s="631"/>
      <c r="ASO25" s="631"/>
      <c r="ASP25" s="631"/>
      <c r="ASQ25" s="631"/>
      <c r="ASR25" s="631"/>
      <c r="ASS25" s="631"/>
      <c r="AST25" s="631"/>
      <c r="ASU25" s="631"/>
      <c r="ASV25" s="631"/>
      <c r="ASW25" s="631"/>
      <c r="ASX25" s="631"/>
      <c r="ASY25" s="631"/>
      <c r="ASZ25" s="631"/>
      <c r="ATA25" s="631"/>
      <c r="ATB25" s="631"/>
      <c r="ATC25" s="631"/>
      <c r="ATD25" s="631"/>
      <c r="ATE25" s="631"/>
      <c r="ATF25" s="631"/>
      <c r="ATG25" s="631"/>
      <c r="ATH25" s="631"/>
      <c r="ATI25" s="631"/>
      <c r="ATJ25" s="631"/>
      <c r="ATK25" s="631"/>
      <c r="ATL25" s="631"/>
      <c r="ATM25" s="631"/>
      <c r="ATN25" s="631"/>
      <c r="ATO25" s="631"/>
      <c r="ATP25" s="631"/>
      <c r="ATQ25" s="631"/>
      <c r="ATR25" s="631"/>
      <c r="ATS25" s="631"/>
      <c r="ATT25" s="631"/>
      <c r="ATU25" s="631"/>
      <c r="ATV25" s="631"/>
      <c r="ATW25" s="631"/>
      <c r="ATX25" s="631"/>
      <c r="ATY25" s="631"/>
      <c r="ATZ25" s="631"/>
      <c r="AUA25" s="631"/>
      <c r="AUB25" s="631"/>
      <c r="AUC25" s="631"/>
      <c r="AUD25" s="631"/>
      <c r="AUE25" s="631"/>
      <c r="AUF25" s="631"/>
      <c r="AUG25" s="631"/>
      <c r="AUH25" s="631"/>
      <c r="AUI25" s="631"/>
      <c r="AUJ25" s="631"/>
      <c r="AUK25" s="631"/>
      <c r="AUL25" s="631"/>
      <c r="AUM25" s="631"/>
      <c r="AUN25" s="631"/>
      <c r="AUO25" s="631"/>
      <c r="AUP25" s="631"/>
      <c r="AUQ25" s="631"/>
      <c r="AUR25" s="631"/>
      <c r="AUS25" s="631"/>
      <c r="AUT25" s="631"/>
      <c r="AUU25" s="631"/>
      <c r="AUV25" s="631"/>
      <c r="AUW25" s="631"/>
      <c r="AUX25" s="631"/>
      <c r="AUY25" s="631"/>
      <c r="AUZ25" s="631"/>
      <c r="AVA25" s="631"/>
      <c r="AVB25" s="631"/>
      <c r="AVC25" s="631"/>
      <c r="AVD25" s="631"/>
      <c r="AVE25" s="631"/>
      <c r="AVF25" s="631"/>
      <c r="AVG25" s="631"/>
      <c r="AVH25" s="631"/>
      <c r="AVI25" s="631"/>
      <c r="AVJ25" s="631"/>
      <c r="AVK25" s="631"/>
      <c r="AVL25" s="631"/>
      <c r="AVM25" s="631"/>
      <c r="AVN25" s="631"/>
      <c r="AVO25" s="631"/>
      <c r="AVP25" s="631"/>
      <c r="AVQ25" s="631"/>
      <c r="AVR25" s="631"/>
      <c r="AVS25" s="631"/>
      <c r="AVT25" s="631"/>
      <c r="AVU25" s="631"/>
      <c r="AVV25" s="631"/>
      <c r="AVW25" s="631"/>
      <c r="AVX25" s="631"/>
      <c r="AVY25" s="631"/>
      <c r="AVZ25" s="631"/>
      <c r="AWA25" s="631"/>
      <c r="AWB25" s="631"/>
      <c r="AWC25" s="631"/>
      <c r="AWD25" s="631"/>
      <c r="AWE25" s="631"/>
      <c r="AWF25" s="631"/>
      <c r="AWG25" s="631"/>
      <c r="AWH25" s="631"/>
      <c r="AWI25" s="631"/>
      <c r="AWJ25" s="631"/>
      <c r="AWK25" s="631"/>
      <c r="AWL25" s="631"/>
      <c r="AWM25" s="631"/>
      <c r="AWN25" s="631"/>
      <c r="AWO25" s="631"/>
      <c r="AWP25" s="631"/>
      <c r="AWQ25" s="631"/>
      <c r="AWR25" s="631"/>
      <c r="AWS25" s="631"/>
      <c r="AWT25" s="631"/>
      <c r="AWU25" s="631"/>
      <c r="AWV25" s="631"/>
      <c r="AWW25" s="631"/>
      <c r="AWX25" s="631"/>
      <c r="AWY25" s="631"/>
      <c r="AWZ25" s="631"/>
      <c r="AXA25" s="631"/>
      <c r="AXB25" s="631"/>
      <c r="AXC25" s="631"/>
      <c r="AXD25" s="631"/>
      <c r="AXE25" s="631"/>
      <c r="AXF25" s="631"/>
      <c r="AXG25" s="631"/>
      <c r="AXH25" s="631"/>
      <c r="AXI25" s="631"/>
      <c r="AXJ25" s="631"/>
      <c r="AXK25" s="631"/>
      <c r="AXL25" s="631"/>
      <c r="AXM25" s="631"/>
      <c r="AXN25" s="631"/>
      <c r="AXO25" s="631"/>
      <c r="AXP25" s="631"/>
      <c r="AXQ25" s="631"/>
      <c r="AXR25" s="631"/>
      <c r="AXS25" s="631"/>
      <c r="AXT25" s="631"/>
      <c r="AXU25" s="631"/>
      <c r="AXV25" s="631"/>
      <c r="AXW25" s="631"/>
      <c r="AXX25" s="631"/>
      <c r="AXY25" s="631"/>
      <c r="AXZ25" s="631"/>
      <c r="AYA25" s="631"/>
      <c r="AYB25" s="631"/>
      <c r="AYC25" s="631"/>
      <c r="AYD25" s="631"/>
      <c r="AYE25" s="631"/>
      <c r="AYF25" s="631"/>
      <c r="AYG25" s="631"/>
      <c r="AYH25" s="631"/>
      <c r="AYI25" s="631"/>
      <c r="AYJ25" s="631"/>
      <c r="AYK25" s="631"/>
      <c r="AYL25" s="631"/>
      <c r="AYM25" s="631"/>
      <c r="AYN25" s="631"/>
      <c r="AYO25" s="631"/>
      <c r="AYP25" s="631"/>
      <c r="AYQ25" s="631"/>
      <c r="AYR25" s="631"/>
      <c r="AYS25" s="631"/>
      <c r="AYT25" s="631"/>
      <c r="AYU25" s="631"/>
      <c r="AYV25" s="631"/>
      <c r="AYW25" s="631"/>
      <c r="AYX25" s="631"/>
      <c r="AYY25" s="631"/>
      <c r="AYZ25" s="631"/>
      <c r="AZA25" s="631"/>
      <c r="AZB25" s="631"/>
      <c r="AZC25" s="631"/>
      <c r="AZD25" s="631"/>
      <c r="AZE25" s="631"/>
      <c r="AZF25" s="631"/>
      <c r="AZG25" s="631"/>
      <c r="AZH25" s="631"/>
      <c r="AZI25" s="631"/>
      <c r="AZJ25" s="631"/>
      <c r="AZK25" s="631"/>
      <c r="AZL25" s="631"/>
      <c r="AZM25" s="631"/>
      <c r="AZN25" s="631"/>
      <c r="AZO25" s="631"/>
      <c r="AZP25" s="631"/>
      <c r="AZQ25" s="631"/>
      <c r="AZR25" s="631"/>
      <c r="AZS25" s="631"/>
      <c r="AZT25" s="631"/>
      <c r="AZU25" s="631"/>
      <c r="AZV25" s="631"/>
      <c r="AZW25" s="631"/>
      <c r="AZX25" s="631"/>
      <c r="AZY25" s="631"/>
      <c r="AZZ25" s="631"/>
      <c r="BAA25" s="631"/>
      <c r="BAB25" s="631"/>
      <c r="BAC25" s="631"/>
      <c r="BAD25" s="631"/>
      <c r="BAE25" s="631"/>
      <c r="BAF25" s="631"/>
      <c r="BAG25" s="631"/>
      <c r="BAH25" s="631"/>
      <c r="BAI25" s="631"/>
      <c r="BAJ25" s="631"/>
      <c r="BAK25" s="631"/>
      <c r="BAL25" s="631"/>
      <c r="BAM25" s="631"/>
      <c r="BAN25" s="631"/>
      <c r="BAO25" s="631"/>
      <c r="BAP25" s="631"/>
      <c r="BAQ25" s="631"/>
      <c r="BAR25" s="631"/>
      <c r="BAS25" s="631"/>
      <c r="BAT25" s="631"/>
      <c r="BAU25" s="631"/>
      <c r="BAV25" s="631"/>
      <c r="BAW25" s="631"/>
      <c r="BAX25" s="631"/>
      <c r="BAY25" s="631"/>
      <c r="BAZ25" s="631"/>
      <c r="BBA25" s="631"/>
      <c r="BBB25" s="631"/>
      <c r="BBC25" s="631"/>
      <c r="BBD25" s="631"/>
      <c r="BBE25" s="631"/>
      <c r="BBF25" s="631"/>
      <c r="BBG25" s="631"/>
      <c r="BBH25" s="631"/>
      <c r="BBI25" s="631"/>
      <c r="BBJ25" s="631"/>
      <c r="BBK25" s="631"/>
      <c r="BBL25" s="631"/>
      <c r="BBM25" s="631"/>
      <c r="BBN25" s="631"/>
      <c r="BBO25" s="631"/>
      <c r="BBP25" s="631"/>
      <c r="BBQ25" s="631"/>
      <c r="BBR25" s="631"/>
      <c r="BBS25" s="631"/>
      <c r="BBT25" s="631"/>
      <c r="BBU25" s="631"/>
      <c r="BBV25" s="631"/>
      <c r="BBW25" s="631"/>
      <c r="BBX25" s="631"/>
      <c r="BBY25" s="631"/>
      <c r="BBZ25" s="631"/>
      <c r="BCA25" s="631"/>
      <c r="BCB25" s="631"/>
      <c r="BCC25" s="631"/>
      <c r="BCD25" s="631"/>
      <c r="BCE25" s="631"/>
      <c r="BCF25" s="631"/>
      <c r="BCG25" s="631"/>
      <c r="BCH25" s="631"/>
      <c r="BCI25" s="631"/>
      <c r="BCJ25" s="631"/>
      <c r="BCK25" s="631"/>
      <c r="BCL25" s="631"/>
      <c r="BCM25" s="631"/>
      <c r="BCN25" s="631"/>
      <c r="BCO25" s="631"/>
      <c r="BCP25" s="631"/>
      <c r="BCQ25" s="631"/>
      <c r="BCR25" s="631"/>
      <c r="BCS25" s="631"/>
      <c r="BCT25" s="631"/>
      <c r="BCU25" s="631"/>
      <c r="BCV25" s="631"/>
      <c r="BCW25" s="631"/>
      <c r="BCX25" s="631"/>
      <c r="BCY25" s="631"/>
      <c r="BCZ25" s="631"/>
      <c r="BDA25" s="631"/>
      <c r="BDB25" s="631"/>
      <c r="BDC25" s="631"/>
      <c r="BDD25" s="631"/>
      <c r="BDE25" s="631"/>
      <c r="BDF25" s="631"/>
      <c r="BDG25" s="631"/>
      <c r="BDH25" s="631"/>
      <c r="BDI25" s="631"/>
      <c r="BDJ25" s="631"/>
      <c r="BDK25" s="631"/>
      <c r="BDL25" s="631"/>
      <c r="BDM25" s="631"/>
      <c r="BDN25" s="631"/>
      <c r="BDO25" s="631"/>
      <c r="BDP25" s="631"/>
      <c r="BDQ25" s="631"/>
      <c r="BDR25" s="631"/>
      <c r="BDS25" s="631"/>
      <c r="BDT25" s="631"/>
      <c r="BDU25" s="631"/>
      <c r="BDV25" s="631"/>
      <c r="BDW25" s="631"/>
      <c r="BDX25" s="631"/>
      <c r="BDY25" s="631"/>
      <c r="BDZ25" s="631"/>
      <c r="BEA25" s="631"/>
      <c r="BEB25" s="631"/>
      <c r="BEC25" s="631"/>
      <c r="BED25" s="631"/>
      <c r="BEE25" s="631"/>
      <c r="BEF25" s="631"/>
      <c r="BEG25" s="631"/>
      <c r="BEH25" s="631"/>
      <c r="BEI25" s="631"/>
      <c r="BEJ25" s="631"/>
      <c r="BEK25" s="631"/>
      <c r="BEL25" s="631"/>
      <c r="BEM25" s="631"/>
      <c r="BEN25" s="631"/>
      <c r="BEO25" s="631"/>
      <c r="BEP25" s="631"/>
      <c r="BEQ25" s="631"/>
      <c r="BER25" s="631"/>
      <c r="BES25" s="631"/>
      <c r="BET25" s="631"/>
      <c r="BEU25" s="631"/>
      <c r="BEV25" s="631"/>
      <c r="BEW25" s="631"/>
      <c r="BEX25" s="631"/>
      <c r="BEY25" s="631"/>
      <c r="BEZ25" s="631"/>
      <c r="BFA25" s="631"/>
      <c r="BFB25" s="631"/>
      <c r="BFC25" s="631"/>
      <c r="BFD25" s="631"/>
      <c r="BFE25" s="631"/>
      <c r="BFF25" s="631"/>
      <c r="BFG25" s="631"/>
      <c r="BFH25" s="631"/>
      <c r="BFI25" s="631"/>
      <c r="BFJ25" s="631"/>
      <c r="BFK25" s="631"/>
      <c r="BFL25" s="631"/>
      <c r="BFM25" s="631"/>
      <c r="BFN25" s="631"/>
      <c r="BFO25" s="631"/>
      <c r="BFP25" s="631"/>
      <c r="BFQ25" s="631"/>
      <c r="BFR25" s="631"/>
      <c r="BFS25" s="631"/>
      <c r="BFT25" s="631"/>
      <c r="BFU25" s="631"/>
      <c r="BFV25" s="631"/>
      <c r="BFW25" s="631"/>
      <c r="BFX25" s="631"/>
      <c r="BFY25" s="631"/>
      <c r="BFZ25" s="631"/>
      <c r="BGA25" s="631"/>
      <c r="BGB25" s="631"/>
      <c r="BGC25" s="631"/>
      <c r="BGD25" s="631"/>
      <c r="BGE25" s="631"/>
      <c r="BGF25" s="631"/>
      <c r="BGG25" s="631"/>
      <c r="BGH25" s="631"/>
      <c r="BGI25" s="631"/>
      <c r="BGJ25" s="631"/>
      <c r="BGK25" s="631"/>
      <c r="BGL25" s="631"/>
      <c r="BGM25" s="631"/>
      <c r="BGN25" s="631"/>
      <c r="BGO25" s="631"/>
      <c r="BGP25" s="631"/>
      <c r="BGQ25" s="631"/>
      <c r="BGR25" s="631"/>
      <c r="BGS25" s="631"/>
      <c r="BGT25" s="631"/>
      <c r="BGU25" s="631"/>
      <c r="BGV25" s="631"/>
      <c r="BGW25" s="631"/>
      <c r="BGX25" s="631"/>
      <c r="BGY25" s="631"/>
      <c r="BGZ25" s="631"/>
      <c r="BHA25" s="631"/>
      <c r="BHB25" s="631"/>
      <c r="BHC25" s="631"/>
      <c r="BHD25" s="631"/>
      <c r="BHE25" s="631"/>
      <c r="BHF25" s="631"/>
      <c r="BHG25" s="631"/>
      <c r="BHH25" s="631"/>
      <c r="BHI25" s="631"/>
      <c r="BHJ25" s="631"/>
      <c r="BHK25" s="631"/>
      <c r="BHL25" s="631"/>
      <c r="BHM25" s="631"/>
      <c r="BHN25" s="631"/>
      <c r="BHO25" s="631"/>
      <c r="BHP25" s="631"/>
      <c r="BHQ25" s="631"/>
      <c r="BHR25" s="631"/>
      <c r="BHS25" s="631"/>
      <c r="BHT25" s="631"/>
      <c r="BHU25" s="631"/>
      <c r="BHV25" s="631"/>
      <c r="BHW25" s="631"/>
      <c r="BHX25" s="631"/>
      <c r="BHY25" s="631"/>
      <c r="BHZ25" s="631"/>
      <c r="BIA25" s="631"/>
      <c r="BIB25" s="631"/>
      <c r="BIC25" s="631"/>
      <c r="BID25" s="631"/>
      <c r="BIE25" s="631"/>
      <c r="BIF25" s="631"/>
      <c r="BIG25" s="631"/>
      <c r="BIH25" s="631"/>
      <c r="BII25" s="631"/>
      <c r="BIJ25" s="631"/>
      <c r="BIK25" s="631"/>
      <c r="BIL25" s="631"/>
      <c r="BIM25" s="631"/>
      <c r="BIN25" s="631"/>
      <c r="BIO25" s="631"/>
      <c r="BIP25" s="631"/>
      <c r="BIQ25" s="631"/>
      <c r="BIR25" s="631"/>
      <c r="BIS25" s="631"/>
      <c r="BIT25" s="631"/>
      <c r="BIU25" s="631"/>
      <c r="BIV25" s="631"/>
      <c r="BIW25" s="631"/>
      <c r="BIX25" s="631"/>
      <c r="BIY25" s="631"/>
      <c r="BIZ25" s="631"/>
      <c r="BJA25" s="631"/>
      <c r="BJB25" s="631"/>
      <c r="BJC25" s="631"/>
      <c r="BJD25" s="631"/>
      <c r="BJE25" s="631"/>
      <c r="BJF25" s="631"/>
      <c r="BJG25" s="631"/>
      <c r="BJH25" s="631"/>
      <c r="BJI25" s="631"/>
      <c r="BJJ25" s="631"/>
      <c r="BJK25" s="631"/>
      <c r="BJL25" s="631"/>
      <c r="BJM25" s="631"/>
      <c r="BJN25" s="631"/>
      <c r="BJO25" s="631"/>
      <c r="BJP25" s="631"/>
      <c r="BJQ25" s="631"/>
      <c r="BJR25" s="631"/>
      <c r="BJS25" s="631"/>
      <c r="BJT25" s="631"/>
      <c r="BJU25" s="631"/>
      <c r="BJV25" s="631"/>
      <c r="BJW25" s="631"/>
      <c r="BJX25" s="631"/>
      <c r="BJY25" s="631"/>
      <c r="BJZ25" s="631"/>
      <c r="BKA25" s="631"/>
      <c r="BKB25" s="631"/>
      <c r="BKC25" s="631"/>
      <c r="BKD25" s="631"/>
      <c r="BKE25" s="631"/>
      <c r="BKF25" s="631"/>
      <c r="BKG25" s="631"/>
      <c r="BKH25" s="631"/>
      <c r="BKI25" s="631"/>
      <c r="BKJ25" s="631"/>
      <c r="BKK25" s="631"/>
      <c r="BKL25" s="631"/>
      <c r="BKM25" s="631"/>
      <c r="BKN25" s="631"/>
      <c r="BKO25" s="631"/>
      <c r="BKP25" s="631"/>
      <c r="BKQ25" s="631"/>
      <c r="BKR25" s="631"/>
      <c r="BKS25" s="631"/>
      <c r="BKT25" s="631"/>
      <c r="BKU25" s="631"/>
      <c r="BKV25" s="631"/>
      <c r="BKW25" s="631"/>
      <c r="BKX25" s="631"/>
      <c r="BKY25" s="631"/>
      <c r="BKZ25" s="631"/>
      <c r="BLA25" s="631"/>
      <c r="BLB25" s="631"/>
      <c r="BLC25" s="631"/>
      <c r="BLD25" s="631"/>
      <c r="BLE25" s="631"/>
      <c r="BLF25" s="631"/>
      <c r="BLG25" s="631"/>
      <c r="BLH25" s="631"/>
      <c r="BLI25" s="631"/>
      <c r="BLJ25" s="631"/>
      <c r="BLK25" s="631"/>
      <c r="BLL25" s="631"/>
      <c r="BLM25" s="631"/>
      <c r="BLN25" s="631"/>
      <c r="BLO25" s="631"/>
      <c r="BLP25" s="631"/>
      <c r="BLQ25" s="631"/>
      <c r="BLR25" s="631"/>
      <c r="BLS25" s="631"/>
      <c r="BLT25" s="631"/>
      <c r="BLU25" s="631"/>
      <c r="BLV25" s="631"/>
      <c r="BLW25" s="631"/>
      <c r="BLX25" s="631"/>
      <c r="BLY25" s="631"/>
      <c r="BLZ25" s="631"/>
      <c r="BMA25" s="631"/>
      <c r="BMB25" s="631"/>
      <c r="BMC25" s="631"/>
      <c r="BMD25" s="631"/>
      <c r="BME25" s="631"/>
      <c r="BMF25" s="631"/>
      <c r="BMG25" s="631"/>
      <c r="BMH25" s="631"/>
      <c r="BMI25" s="631"/>
      <c r="BMJ25" s="631"/>
      <c r="BMK25" s="631"/>
      <c r="BML25" s="631"/>
      <c r="BMM25" s="631"/>
      <c r="BMN25" s="631"/>
      <c r="BMO25" s="631"/>
      <c r="BMP25" s="631"/>
      <c r="BMQ25" s="631"/>
      <c r="BMR25" s="631"/>
      <c r="BMS25" s="631"/>
      <c r="BMT25" s="631"/>
      <c r="BMU25" s="631"/>
      <c r="BMV25" s="631"/>
      <c r="BMW25" s="631"/>
      <c r="BMX25" s="631"/>
      <c r="BMY25" s="631"/>
      <c r="BMZ25" s="631"/>
      <c r="BNA25" s="631"/>
      <c r="BNB25" s="631"/>
      <c r="BNC25" s="631"/>
      <c r="BND25" s="631"/>
      <c r="BNE25" s="631"/>
      <c r="BNF25" s="631"/>
      <c r="BNG25" s="631"/>
      <c r="BNH25" s="631"/>
      <c r="BNI25" s="631"/>
      <c r="BNJ25" s="631"/>
      <c r="BNK25" s="631"/>
      <c r="BNL25" s="631"/>
      <c r="BNM25" s="631"/>
      <c r="BNN25" s="631"/>
      <c r="BNO25" s="631"/>
      <c r="BNP25" s="631"/>
      <c r="BNQ25" s="631"/>
      <c r="BNR25" s="631"/>
      <c r="BNS25" s="631"/>
      <c r="BNT25" s="631"/>
      <c r="BNU25" s="631"/>
      <c r="BNV25" s="631"/>
      <c r="BNW25" s="631"/>
      <c r="BNX25" s="631"/>
      <c r="BNY25" s="631"/>
      <c r="BNZ25" s="631"/>
      <c r="BOA25" s="631"/>
      <c r="BOB25" s="631"/>
      <c r="BOC25" s="631"/>
      <c r="BOD25" s="631"/>
      <c r="BOE25" s="631"/>
      <c r="BOF25" s="631"/>
      <c r="BOG25" s="631"/>
      <c r="BOH25" s="631"/>
      <c r="BOI25" s="631"/>
      <c r="BOJ25" s="631"/>
      <c r="BOK25" s="631"/>
      <c r="BOL25" s="631"/>
      <c r="BOM25" s="631"/>
      <c r="BON25" s="631"/>
      <c r="BOO25" s="631"/>
      <c r="BOP25" s="631"/>
      <c r="BOQ25" s="631"/>
      <c r="BOR25" s="631"/>
      <c r="BOS25" s="631"/>
      <c r="BOT25" s="631"/>
      <c r="BOU25" s="631"/>
      <c r="BOV25" s="631"/>
      <c r="BOW25" s="631"/>
      <c r="BOX25" s="631"/>
      <c r="BOY25" s="631"/>
      <c r="BOZ25" s="631"/>
      <c r="BPA25" s="631"/>
      <c r="BPB25" s="631"/>
      <c r="BPC25" s="631"/>
      <c r="BPD25" s="631"/>
      <c r="BPE25" s="631"/>
      <c r="BPF25" s="631"/>
      <c r="BPG25" s="631"/>
      <c r="BPH25" s="631"/>
      <c r="BPI25" s="631"/>
      <c r="BPJ25" s="631"/>
      <c r="BPK25" s="631"/>
      <c r="BPL25" s="631"/>
      <c r="BPM25" s="631"/>
      <c r="BPN25" s="631"/>
      <c r="BPO25" s="631"/>
      <c r="BPP25" s="631"/>
      <c r="BPQ25" s="631"/>
      <c r="BPR25" s="631"/>
      <c r="BPS25" s="631"/>
      <c r="BPT25" s="631"/>
      <c r="BPU25" s="631"/>
      <c r="BPV25" s="631"/>
      <c r="BPW25" s="631"/>
      <c r="BPX25" s="631"/>
      <c r="BPY25" s="631"/>
      <c r="BPZ25" s="631"/>
      <c r="BQA25" s="631"/>
      <c r="BQB25" s="631"/>
      <c r="BQC25" s="631"/>
      <c r="BQD25" s="631"/>
      <c r="BQE25" s="631"/>
      <c r="BQF25" s="631"/>
      <c r="BQG25" s="631"/>
      <c r="BQH25" s="631"/>
      <c r="BQI25" s="631"/>
      <c r="BQJ25" s="631"/>
      <c r="BQK25" s="631"/>
      <c r="BQL25" s="631"/>
      <c r="BQM25" s="631"/>
      <c r="BQN25" s="631"/>
      <c r="BQO25" s="631"/>
      <c r="BQP25" s="631"/>
      <c r="BQQ25" s="631"/>
      <c r="BQR25" s="631"/>
      <c r="BQS25" s="631"/>
      <c r="BQT25" s="631"/>
      <c r="BQU25" s="631"/>
      <c r="BQV25" s="631"/>
      <c r="BQW25" s="631"/>
      <c r="BQX25" s="631"/>
      <c r="BQY25" s="631"/>
      <c r="BQZ25" s="631"/>
      <c r="BRA25" s="631"/>
      <c r="BRB25" s="631"/>
      <c r="BRC25" s="631"/>
      <c r="BRD25" s="631"/>
      <c r="BRE25" s="631"/>
      <c r="BRF25" s="631"/>
      <c r="BRG25" s="631"/>
      <c r="BRH25" s="631"/>
      <c r="BRI25" s="631"/>
      <c r="BRJ25" s="631"/>
      <c r="BRK25" s="631"/>
      <c r="BRL25" s="631"/>
      <c r="BRM25" s="631"/>
      <c r="BRN25" s="631"/>
      <c r="BRO25" s="631"/>
      <c r="BRP25" s="631"/>
      <c r="BRQ25" s="631"/>
      <c r="BRR25" s="631"/>
      <c r="BRS25" s="631"/>
      <c r="BRT25" s="631"/>
      <c r="BRU25" s="631"/>
      <c r="BRV25" s="631"/>
      <c r="BRW25" s="631"/>
      <c r="BRX25" s="631"/>
      <c r="BRY25" s="631"/>
      <c r="BRZ25" s="631"/>
      <c r="BSA25" s="631"/>
      <c r="BSB25" s="631"/>
      <c r="BSC25" s="631"/>
      <c r="BSD25" s="631"/>
      <c r="BSE25" s="631"/>
      <c r="BSF25" s="631"/>
      <c r="BSG25" s="631"/>
      <c r="BSH25" s="631"/>
      <c r="BSI25" s="631"/>
      <c r="BSJ25" s="631"/>
      <c r="BSK25" s="631"/>
      <c r="BSL25" s="631"/>
      <c r="BSM25" s="631"/>
      <c r="BSN25" s="631"/>
      <c r="BSO25" s="631"/>
      <c r="BSP25" s="631"/>
      <c r="BSQ25" s="631"/>
      <c r="BSR25" s="631"/>
      <c r="BSS25" s="631"/>
      <c r="BST25" s="631"/>
      <c r="BSU25" s="631"/>
      <c r="BSV25" s="631"/>
      <c r="BSW25" s="631"/>
      <c r="BSX25" s="631"/>
      <c r="BSY25" s="631"/>
      <c r="BSZ25" s="631"/>
      <c r="BTA25" s="631"/>
      <c r="BTB25" s="631"/>
      <c r="BTC25" s="631"/>
      <c r="BTD25" s="631"/>
      <c r="BTE25" s="631"/>
      <c r="BTF25" s="631"/>
      <c r="BTG25" s="631"/>
      <c r="BTH25" s="631"/>
      <c r="BTI25" s="631"/>
      <c r="BTJ25" s="631"/>
      <c r="BTK25" s="631"/>
      <c r="BTL25" s="631"/>
      <c r="BTM25" s="631"/>
      <c r="BTN25" s="631"/>
      <c r="BTO25" s="631"/>
      <c r="BTP25" s="631"/>
      <c r="BTQ25" s="631"/>
      <c r="BTR25" s="631"/>
      <c r="BTS25" s="631"/>
      <c r="BTT25" s="631"/>
      <c r="BTU25" s="631"/>
      <c r="BTV25" s="631"/>
      <c r="BTW25" s="631"/>
      <c r="BTX25" s="631"/>
      <c r="BTY25" s="631"/>
      <c r="BTZ25" s="631"/>
      <c r="BUA25" s="631"/>
      <c r="BUB25" s="631"/>
      <c r="BUC25" s="631"/>
      <c r="BUD25" s="631"/>
      <c r="BUE25" s="631"/>
      <c r="BUF25" s="631"/>
      <c r="BUG25" s="631"/>
      <c r="BUH25" s="631"/>
      <c r="BUI25" s="631"/>
      <c r="BUJ25" s="631"/>
      <c r="BUK25" s="631"/>
      <c r="BUL25" s="631"/>
      <c r="BUM25" s="631"/>
      <c r="BUN25" s="631"/>
      <c r="BUO25" s="631"/>
      <c r="BUP25" s="631"/>
      <c r="BUQ25" s="631"/>
      <c r="BUR25" s="631"/>
      <c r="BUS25" s="631"/>
      <c r="BUT25" s="631"/>
      <c r="BUU25" s="631"/>
      <c r="BUV25" s="631"/>
      <c r="BUW25" s="631"/>
      <c r="BUX25" s="631"/>
      <c r="BUY25" s="631"/>
      <c r="BUZ25" s="631"/>
      <c r="BVA25" s="631"/>
      <c r="BVB25" s="631"/>
      <c r="BVC25" s="631"/>
      <c r="BVD25" s="631"/>
      <c r="BVE25" s="631"/>
      <c r="BVF25" s="631"/>
      <c r="BVG25" s="631"/>
      <c r="BVH25" s="631"/>
      <c r="BVI25" s="631"/>
      <c r="BVJ25" s="631"/>
      <c r="BVK25" s="631"/>
      <c r="BVL25" s="631"/>
      <c r="BVM25" s="631"/>
      <c r="BVN25" s="631"/>
      <c r="BVO25" s="631"/>
      <c r="BVP25" s="631"/>
      <c r="BVQ25" s="631"/>
      <c r="BVR25" s="631"/>
      <c r="BVS25" s="631"/>
      <c r="BVT25" s="631"/>
      <c r="BVU25" s="631"/>
      <c r="BVV25" s="631"/>
      <c r="BVW25" s="631"/>
      <c r="BVX25" s="631"/>
      <c r="BVY25" s="631"/>
      <c r="BVZ25" s="631"/>
      <c r="BWA25" s="631"/>
      <c r="BWB25" s="631"/>
      <c r="BWC25" s="631"/>
      <c r="BWD25" s="631"/>
      <c r="BWE25" s="631"/>
      <c r="BWF25" s="631"/>
      <c r="BWG25" s="631"/>
      <c r="BWH25" s="631"/>
      <c r="BWI25" s="631"/>
      <c r="BWJ25" s="631"/>
      <c r="BWK25" s="631"/>
      <c r="BWL25" s="631"/>
      <c r="BWM25" s="631"/>
      <c r="BWN25" s="631"/>
      <c r="BWO25" s="631"/>
      <c r="BWP25" s="631"/>
      <c r="BWQ25" s="631"/>
      <c r="BWR25" s="631"/>
      <c r="BWS25" s="631"/>
      <c r="BWT25" s="631"/>
      <c r="BWU25" s="631"/>
    </row>
    <row r="26" spans="1:1971" s="631" customFormat="1" ht="30" customHeight="1" x14ac:dyDescent="0.25">
      <c r="A26" s="3037" t="s">
        <v>2845</v>
      </c>
      <c r="B26" s="3038">
        <v>17.164168490000002</v>
      </c>
      <c r="C26" s="3038">
        <v>0</v>
      </c>
      <c r="D26" s="3039">
        <v>17.164168490000002</v>
      </c>
      <c r="G26" s="3019"/>
      <c r="H26" s="3019"/>
      <c r="I26" s="3019"/>
    </row>
    <row r="27" spans="1:1971" s="631" customFormat="1" ht="30" customHeight="1" thickBot="1" x14ac:dyDescent="0.3">
      <c r="A27" s="3020" t="s">
        <v>2846</v>
      </c>
      <c r="B27" s="3034">
        <v>1.7103874700000001</v>
      </c>
      <c r="C27" s="3034">
        <v>0</v>
      </c>
      <c r="D27" s="3035">
        <v>1.7103874700000001</v>
      </c>
      <c r="G27" s="3019"/>
      <c r="H27" s="3019"/>
      <c r="I27" s="3019"/>
    </row>
    <row r="28" spans="1:1971" s="631" customFormat="1" ht="30" customHeight="1" thickTop="1" thickBot="1" x14ac:dyDescent="0.3">
      <c r="A28" s="3040" t="s">
        <v>2847</v>
      </c>
      <c r="B28" s="3041">
        <v>57764.67055078</v>
      </c>
      <c r="C28" s="3041">
        <v>11.413819819999999</v>
      </c>
      <c r="D28" s="3042">
        <v>57776.084370600001</v>
      </c>
      <c r="G28" s="3019"/>
      <c r="H28" s="3019"/>
      <c r="I28" s="3019"/>
    </row>
    <row r="29" spans="1:1971" s="631" customFormat="1" ht="30" customHeight="1" thickTop="1" thickBot="1" x14ac:dyDescent="0.3">
      <c r="A29" s="3040" t="s">
        <v>2848</v>
      </c>
      <c r="B29" s="3041">
        <v>57745.79599482</v>
      </c>
      <c r="C29" s="3041">
        <v>11.413819819999999</v>
      </c>
      <c r="D29" s="3042">
        <v>57757.209814640002</v>
      </c>
      <c r="G29" s="3019"/>
      <c r="H29" s="3019"/>
      <c r="I29" s="3019"/>
    </row>
    <row r="30" spans="1:1971" s="1428" customFormat="1" ht="18" customHeight="1" thickTop="1" x14ac:dyDescent="0.5">
      <c r="A30" s="3043" t="s">
        <v>173</v>
      </c>
      <c r="B30" s="3044"/>
      <c r="C30" s="3045"/>
      <c r="D30" s="3044"/>
    </row>
    <row r="31" spans="1:1971" ht="19.5" customHeight="1" x14ac:dyDescent="0.5">
      <c r="A31" s="307" t="s">
        <v>4797</v>
      </c>
      <c r="B31" s="3046"/>
      <c r="C31" s="3047"/>
      <c r="D31" s="3048"/>
    </row>
    <row r="32" spans="1:1971" ht="19.5" customHeight="1" x14ac:dyDescent="0.25">
      <c r="A32" s="307" t="s">
        <v>4798</v>
      </c>
      <c r="B32" s="3046"/>
      <c r="C32" s="3046"/>
      <c r="D32" s="3046"/>
    </row>
    <row r="33" spans="1:4" ht="19.5" customHeight="1" x14ac:dyDescent="0.5">
      <c r="A33" s="3049" t="s">
        <v>4799</v>
      </c>
      <c r="B33" s="3050"/>
      <c r="C33" s="3051"/>
      <c r="D33" s="3050"/>
    </row>
    <row r="34" spans="1:4" ht="19.5" customHeight="1" x14ac:dyDescent="0.5">
      <c r="A34" s="3052" t="s">
        <v>4800</v>
      </c>
      <c r="B34" s="3053"/>
      <c r="C34" s="3054"/>
      <c r="D34" s="3053"/>
    </row>
    <row r="35" spans="1:4" ht="19.5" customHeight="1" x14ac:dyDescent="0.25">
      <c r="A35" s="3268" t="s">
        <v>2852</v>
      </c>
      <c r="B35" s="3268"/>
      <c r="C35" s="3268"/>
      <c r="D35" s="3268"/>
    </row>
    <row r="36" spans="1:4" ht="19.5" customHeight="1" x14ac:dyDescent="0.5">
      <c r="A36" s="3043" t="s">
        <v>290</v>
      </c>
      <c r="B36" s="3050"/>
      <c r="C36" s="3051"/>
      <c r="D36" s="3050"/>
    </row>
    <row r="37" spans="1:4" x14ac:dyDescent="0.5">
      <c r="A37" s="3055"/>
    </row>
    <row r="38" spans="1:4" s="2739" customFormat="1" x14ac:dyDescent="0.5">
      <c r="A38" s="3056"/>
      <c r="B38" s="3056"/>
      <c r="C38" s="3057"/>
      <c r="D38" s="3056"/>
    </row>
  </sheetData>
  <mergeCells count="2">
    <mergeCell ref="A1:D1"/>
    <mergeCell ref="A35:D35"/>
  </mergeCells>
  <pageMargins left="0.75" right="0.75" top="0.75" bottom="0.75" header="0.3" footer="0"/>
  <pageSetup paperSize="9" scale="63"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J39"/>
  <sheetViews>
    <sheetView showGridLines="0" zoomScale="55" zoomScaleNormal="55" zoomScaleSheetLayoutView="80" workbookViewId="0">
      <pane xSplit="1" ySplit="3" topLeftCell="Z16" activePane="bottomRight" state="frozen"/>
      <selection activeCell="A38" sqref="A38"/>
      <selection pane="topRight" activeCell="A38" sqref="A38"/>
      <selection pane="bottomLeft" activeCell="A38" sqref="A38"/>
      <selection pane="bottomRight" activeCell="A38" sqref="A38"/>
    </sheetView>
  </sheetViews>
  <sheetFormatPr defaultRowHeight="20.25" x14ac:dyDescent="0.35"/>
  <cols>
    <col min="1" max="1" width="91.85546875" style="625" customWidth="1"/>
    <col min="2" max="7" width="15.7109375" style="625" hidden="1" customWidth="1"/>
    <col min="8" max="8" width="12.85546875" style="625" hidden="1" customWidth="1"/>
    <col min="9" max="23" width="15.7109375" style="625" hidden="1" customWidth="1"/>
    <col min="24" max="25" width="15.7109375" style="627" hidden="1" customWidth="1"/>
    <col min="26" max="38" width="15.7109375" style="627" customWidth="1"/>
    <col min="39" max="88" width="9.140625" style="1027"/>
  </cols>
  <sheetData>
    <row r="1" spans="1:38" ht="28.5" customHeight="1" x14ac:dyDescent="0.45">
      <c r="A1" s="2871" t="s">
        <v>4801</v>
      </c>
      <c r="B1" s="3058"/>
      <c r="C1" s="3058"/>
      <c r="D1" s="3058"/>
      <c r="E1" s="3058"/>
      <c r="F1" s="627"/>
      <c r="G1" s="627"/>
      <c r="H1" s="3058"/>
      <c r="I1" s="627"/>
      <c r="J1" s="627"/>
      <c r="K1" s="3058"/>
      <c r="L1" s="3058"/>
      <c r="M1" s="3058"/>
      <c r="N1" s="3058"/>
      <c r="O1" s="3058"/>
      <c r="P1" s="3058"/>
      <c r="Q1" s="3058"/>
      <c r="R1" s="3058"/>
      <c r="S1" s="3058"/>
      <c r="T1" s="3058"/>
      <c r="U1" s="3058"/>
      <c r="V1" s="3058"/>
      <c r="W1" s="3058"/>
    </row>
    <row r="2" spans="1:38" ht="15" customHeight="1" thickBot="1" x14ac:dyDescent="0.4">
      <c r="A2" s="3059"/>
      <c r="F2" s="3060"/>
      <c r="G2" s="3060"/>
      <c r="I2" s="3060"/>
      <c r="J2" s="3060"/>
      <c r="O2" s="1694"/>
      <c r="P2" s="1694"/>
      <c r="Q2" s="1694"/>
      <c r="R2" s="1694"/>
      <c r="S2" s="1694"/>
      <c r="T2" s="1694"/>
      <c r="U2" s="1694"/>
      <c r="V2" s="1694"/>
      <c r="Y2" s="1694"/>
      <c r="Z2" s="1694"/>
      <c r="AA2" s="1694"/>
      <c r="AB2" s="1694"/>
      <c r="AC2" s="1694"/>
      <c r="AD2" s="1694"/>
      <c r="AE2" s="1694"/>
      <c r="AF2" s="1694"/>
      <c r="AG2" s="1694"/>
      <c r="AH2" s="1694"/>
      <c r="AI2" s="1694"/>
      <c r="AJ2" s="1694"/>
      <c r="AK2" s="1694"/>
      <c r="AL2" s="1694"/>
    </row>
    <row r="3" spans="1:38" ht="27.95" customHeight="1" thickTop="1" thickBot="1" x14ac:dyDescent="0.3">
      <c r="A3" s="3061"/>
      <c r="B3" s="3062">
        <v>43435</v>
      </c>
      <c r="C3" s="3063">
        <v>43466</v>
      </c>
      <c r="D3" s="3062">
        <v>43497</v>
      </c>
      <c r="E3" s="3063">
        <v>43525</v>
      </c>
      <c r="F3" s="3062">
        <v>43556</v>
      </c>
      <c r="G3" s="3063">
        <v>43586</v>
      </c>
      <c r="H3" s="3062">
        <v>43617</v>
      </c>
      <c r="I3" s="3063">
        <v>43647</v>
      </c>
      <c r="J3" s="3062">
        <v>43678</v>
      </c>
      <c r="K3" s="3063">
        <v>43709</v>
      </c>
      <c r="L3" s="3062">
        <v>43739</v>
      </c>
      <c r="M3" s="3063">
        <v>43770</v>
      </c>
      <c r="N3" s="3062">
        <v>43800</v>
      </c>
      <c r="O3" s="3063">
        <v>43831</v>
      </c>
      <c r="P3" s="3063" t="s">
        <v>4802</v>
      </c>
      <c r="Q3" s="3063" t="s">
        <v>900</v>
      </c>
      <c r="R3" s="3063" t="s">
        <v>311</v>
      </c>
      <c r="S3" s="3063" t="s">
        <v>312</v>
      </c>
      <c r="T3" s="3063">
        <v>43983</v>
      </c>
      <c r="U3" s="3063">
        <v>44013</v>
      </c>
      <c r="V3" s="3063">
        <v>44044</v>
      </c>
      <c r="W3" s="3063">
        <v>44075</v>
      </c>
      <c r="X3" s="3063">
        <v>44106</v>
      </c>
      <c r="Y3" s="3063">
        <v>44136</v>
      </c>
      <c r="Z3" s="3063">
        <v>44166</v>
      </c>
      <c r="AA3" s="3063">
        <v>44197</v>
      </c>
      <c r="AB3" s="3063" t="s">
        <v>321</v>
      </c>
      <c r="AC3" s="3063" t="s">
        <v>322</v>
      </c>
      <c r="AD3" s="3063" t="s">
        <v>323</v>
      </c>
      <c r="AE3" s="3063" t="s">
        <v>324</v>
      </c>
      <c r="AF3" s="3063" t="s">
        <v>325</v>
      </c>
      <c r="AG3" s="3063" t="s">
        <v>326</v>
      </c>
      <c r="AH3" s="3063">
        <v>44439</v>
      </c>
      <c r="AI3" s="3063">
        <v>44469</v>
      </c>
      <c r="AJ3" s="3063">
        <v>44500</v>
      </c>
      <c r="AK3" s="3063">
        <v>44530</v>
      </c>
      <c r="AL3" s="3063">
        <v>44561</v>
      </c>
    </row>
    <row r="4" spans="1:38" ht="27.95" customHeight="1" thickTop="1" x14ac:dyDescent="0.25">
      <c r="A4" s="3016" t="s">
        <v>2737</v>
      </c>
      <c r="B4" s="3064">
        <v>7381.8308040700012</v>
      </c>
      <c r="C4" s="3064">
        <v>7295.1135384500012</v>
      </c>
      <c r="D4" s="3064">
        <v>7223.0844884299986</v>
      </c>
      <c r="E4" s="3064">
        <v>7212.85939409</v>
      </c>
      <c r="F4" s="3064">
        <v>7160.9139457299989</v>
      </c>
      <c r="G4" s="3064">
        <v>7212.5251683000006</v>
      </c>
      <c r="H4" s="3064">
        <v>7356.1106059799986</v>
      </c>
      <c r="I4" s="3064">
        <v>7352.6454573399988</v>
      </c>
      <c r="J4" s="3064">
        <v>7411.9245628299996</v>
      </c>
      <c r="K4" s="3064">
        <v>7333.7552548399999</v>
      </c>
      <c r="L4" s="3064">
        <v>7314.7101898399997</v>
      </c>
      <c r="M4" s="3064">
        <v>7387.5283878299988</v>
      </c>
      <c r="N4" s="3064">
        <v>7494.8389286799993</v>
      </c>
      <c r="O4" s="3064">
        <v>7204.0479296499971</v>
      </c>
      <c r="P4" s="3064">
        <v>4968.9218289499995</v>
      </c>
      <c r="Q4" s="3064">
        <v>4860.1564898899996</v>
      </c>
      <c r="R4" s="3064">
        <v>4799.6079644399997</v>
      </c>
      <c r="S4" s="3064">
        <v>4776.92586381</v>
      </c>
      <c r="T4" s="3064">
        <v>4706.2486504600001</v>
      </c>
      <c r="U4" s="3064">
        <v>4786.9978488999996</v>
      </c>
      <c r="V4" s="3064">
        <v>4791.6827885400007</v>
      </c>
      <c r="W4" s="3064">
        <v>4824.0207262799995</v>
      </c>
      <c r="X4" s="3064">
        <v>4762.4161550600011</v>
      </c>
      <c r="Y4" s="3064">
        <v>4695.1096564399986</v>
      </c>
      <c r="Z4" s="3064">
        <v>4643.5602542800007</v>
      </c>
      <c r="AA4" s="3064">
        <v>4673.3408473199997</v>
      </c>
      <c r="AB4" s="3064">
        <v>4766.6771346699998</v>
      </c>
      <c r="AC4" s="3064">
        <v>4679.1717760700003</v>
      </c>
      <c r="AD4" s="3064">
        <v>4600.2861646000001</v>
      </c>
      <c r="AE4" s="3064">
        <v>4561.7208613900002</v>
      </c>
      <c r="AF4" s="3065">
        <v>4662.2045780200006</v>
      </c>
      <c r="AG4" s="3065">
        <v>4593.2487132699998</v>
      </c>
      <c r="AH4" s="3065">
        <v>4660.7970455500017</v>
      </c>
      <c r="AI4" s="3065">
        <v>4671.7000063799987</v>
      </c>
      <c r="AJ4" s="3065">
        <v>4694.4862133600009</v>
      </c>
      <c r="AK4" s="3065">
        <v>4629.1560120099994</v>
      </c>
      <c r="AL4" s="3065">
        <v>4694.994537309999</v>
      </c>
    </row>
    <row r="5" spans="1:38" ht="27.95" customHeight="1" x14ac:dyDescent="0.25">
      <c r="A5" s="3020" t="s">
        <v>4796</v>
      </c>
      <c r="B5" s="3017">
        <v>439.19352444000003</v>
      </c>
      <c r="C5" s="3017">
        <v>418.23649968999996</v>
      </c>
      <c r="D5" s="3017">
        <v>413.42124459999997</v>
      </c>
      <c r="E5" s="3017">
        <v>468.92576066000004</v>
      </c>
      <c r="F5" s="3017">
        <v>475.27239429999997</v>
      </c>
      <c r="G5" s="3017">
        <v>473.43483005000002</v>
      </c>
      <c r="H5" s="3017">
        <v>468.12230837000004</v>
      </c>
      <c r="I5" s="3017">
        <v>458.05163639</v>
      </c>
      <c r="J5" s="3017">
        <v>482.46148215999995</v>
      </c>
      <c r="K5" s="3017">
        <v>471.05227606</v>
      </c>
      <c r="L5" s="3017">
        <v>471.85604283999999</v>
      </c>
      <c r="M5" s="3017">
        <v>464.41908011000004</v>
      </c>
      <c r="N5" s="3017">
        <v>456.88199537000003</v>
      </c>
      <c r="O5" s="3017">
        <v>444.81002380000001</v>
      </c>
      <c r="P5" s="3017">
        <v>344.59098285999994</v>
      </c>
      <c r="Q5" s="3017">
        <v>331.25477619000003</v>
      </c>
      <c r="R5" s="3017">
        <v>325.60861328999994</v>
      </c>
      <c r="S5" s="3017">
        <v>321.41275749000005</v>
      </c>
      <c r="T5" s="3017">
        <v>320.92796264000003</v>
      </c>
      <c r="U5" s="3017">
        <v>356.42688883</v>
      </c>
      <c r="V5" s="3017">
        <v>349.45444566000009</v>
      </c>
      <c r="W5" s="3017">
        <v>329.45990058000007</v>
      </c>
      <c r="X5" s="3017">
        <v>328.91797147999995</v>
      </c>
      <c r="Y5" s="3017">
        <v>324.11037345</v>
      </c>
      <c r="Z5" s="3017">
        <v>318.46696170000001</v>
      </c>
      <c r="AA5" s="3017">
        <v>339.80221272999995</v>
      </c>
      <c r="AB5" s="3017">
        <v>338.48293883999997</v>
      </c>
      <c r="AC5" s="3017">
        <v>316.65823933999997</v>
      </c>
      <c r="AD5" s="3017">
        <v>300.82317554000002</v>
      </c>
      <c r="AE5" s="3017">
        <v>303.73962069999999</v>
      </c>
      <c r="AF5" s="3017">
        <v>298.64709932</v>
      </c>
      <c r="AG5" s="3017">
        <v>291.22914443999991</v>
      </c>
      <c r="AH5" s="3017">
        <v>313.16384355000002</v>
      </c>
      <c r="AI5" s="3017">
        <v>304.16250654999999</v>
      </c>
      <c r="AJ5" s="3017">
        <v>300.12300311000001</v>
      </c>
      <c r="AK5" s="3017">
        <v>291.92556708000006</v>
      </c>
      <c r="AL5" s="3017">
        <v>288.95391835999999</v>
      </c>
    </row>
    <row r="6" spans="1:38" ht="27.95" customHeight="1" x14ac:dyDescent="0.25">
      <c r="A6" s="3020" t="s">
        <v>2744</v>
      </c>
      <c r="B6" s="3017">
        <v>25.069902670000001</v>
      </c>
      <c r="C6" s="3017">
        <v>24.691616449999998</v>
      </c>
      <c r="D6" s="3017">
        <v>23.745337500000002</v>
      </c>
      <c r="E6" s="3017">
        <v>24.7001484</v>
      </c>
      <c r="F6" s="3017">
        <v>24.306892850000001</v>
      </c>
      <c r="G6" s="3017">
        <v>23.911425219999998</v>
      </c>
      <c r="H6" s="3017">
        <v>44.526285990000005</v>
      </c>
      <c r="I6" s="3017">
        <v>43.928657919999999</v>
      </c>
      <c r="J6" s="3017">
        <v>43.287082329999997</v>
      </c>
      <c r="K6" s="3017">
        <v>42.723228799999994</v>
      </c>
      <c r="L6" s="3017">
        <v>42.115389260000001</v>
      </c>
      <c r="M6" s="3017">
        <v>41.504107229999995</v>
      </c>
      <c r="N6" s="3017">
        <v>41.674909619999994</v>
      </c>
      <c r="O6" s="3017">
        <v>41.045535530000002</v>
      </c>
      <c r="P6" s="3017">
        <v>40.412597470000001</v>
      </c>
      <c r="Q6" s="3017">
        <v>46.604903460000003</v>
      </c>
      <c r="R6" s="3017">
        <v>39.726557069999998</v>
      </c>
      <c r="S6" s="3017">
        <v>39.948039049999998</v>
      </c>
      <c r="T6" s="3017">
        <v>39.948039049999998</v>
      </c>
      <c r="U6" s="3017">
        <v>39.942714380000005</v>
      </c>
      <c r="V6" s="3017">
        <v>40.059116060000001</v>
      </c>
      <c r="W6" s="3017">
        <v>0</v>
      </c>
      <c r="X6" s="3017">
        <v>0</v>
      </c>
      <c r="Y6" s="3017">
        <v>0</v>
      </c>
      <c r="Z6" s="3017">
        <v>0</v>
      </c>
      <c r="AA6" s="3017">
        <v>0</v>
      </c>
      <c r="AB6" s="3017">
        <v>0</v>
      </c>
      <c r="AC6" s="3017">
        <v>0</v>
      </c>
      <c r="AD6" s="3017">
        <v>0</v>
      </c>
      <c r="AE6" s="3017">
        <v>0</v>
      </c>
      <c r="AF6" s="3017">
        <v>0</v>
      </c>
      <c r="AG6" s="3017">
        <v>0</v>
      </c>
      <c r="AH6" s="3017">
        <v>0</v>
      </c>
      <c r="AI6" s="3017">
        <v>0</v>
      </c>
      <c r="AJ6" s="3017">
        <v>0</v>
      </c>
      <c r="AK6" s="3017">
        <v>0</v>
      </c>
      <c r="AL6" s="3017">
        <v>0</v>
      </c>
    </row>
    <row r="7" spans="1:38" ht="27.95" customHeight="1" x14ac:dyDescent="0.25">
      <c r="A7" s="3020" t="s">
        <v>2745</v>
      </c>
      <c r="B7" s="3017">
        <v>1263.7652785299997</v>
      </c>
      <c r="C7" s="3017">
        <v>1215.7496628199999</v>
      </c>
      <c r="D7" s="3017">
        <v>1199.1505472899998</v>
      </c>
      <c r="E7" s="3017">
        <v>1188.19451953</v>
      </c>
      <c r="F7" s="3017">
        <v>1165.1350127599999</v>
      </c>
      <c r="G7" s="3017">
        <v>1125.21744408</v>
      </c>
      <c r="H7" s="3017">
        <v>1208.6122970699998</v>
      </c>
      <c r="I7" s="3017">
        <v>1167.2512087999999</v>
      </c>
      <c r="J7" s="3017">
        <v>1153.4565319200001</v>
      </c>
      <c r="K7" s="3017">
        <v>1115.9065433600001</v>
      </c>
      <c r="L7" s="3017">
        <v>1105.00715352</v>
      </c>
      <c r="M7" s="3017">
        <v>1111.4336489699999</v>
      </c>
      <c r="N7" s="3017">
        <v>1116.04143821</v>
      </c>
      <c r="O7" s="3017">
        <v>1051.49984834</v>
      </c>
      <c r="P7" s="3017">
        <v>870.66082232000008</v>
      </c>
      <c r="Q7" s="3017">
        <v>812.42102571999988</v>
      </c>
      <c r="R7" s="3017">
        <v>818.11232269000004</v>
      </c>
      <c r="S7" s="3017">
        <v>840.39006446000008</v>
      </c>
      <c r="T7" s="3017">
        <v>805.93558149</v>
      </c>
      <c r="U7" s="3017">
        <v>832.22339190999992</v>
      </c>
      <c r="V7" s="3017">
        <v>856.60028907000003</v>
      </c>
      <c r="W7" s="3017">
        <v>913.18241914999999</v>
      </c>
      <c r="X7" s="3017">
        <v>904.20718908000003</v>
      </c>
      <c r="Y7" s="3017">
        <v>840.00914236000006</v>
      </c>
      <c r="Z7" s="3017">
        <v>841.47063172000003</v>
      </c>
      <c r="AA7" s="3017">
        <v>845.13430146999985</v>
      </c>
      <c r="AB7" s="3017">
        <v>842.38840428999993</v>
      </c>
      <c r="AC7" s="3017">
        <v>820.78110732000005</v>
      </c>
      <c r="AD7" s="3017">
        <v>789.47266354999999</v>
      </c>
      <c r="AE7" s="3017">
        <v>772.16965645999994</v>
      </c>
      <c r="AF7" s="3017">
        <v>705.6752766699999</v>
      </c>
      <c r="AG7" s="3017">
        <v>710.94517561999999</v>
      </c>
      <c r="AH7" s="3017">
        <v>716.62381612000013</v>
      </c>
      <c r="AI7" s="3017">
        <v>702.94126961000006</v>
      </c>
      <c r="AJ7" s="3017">
        <v>715.4626056699999</v>
      </c>
      <c r="AK7" s="3017">
        <v>694.39868456999989</v>
      </c>
      <c r="AL7" s="3017">
        <v>706.71412541999996</v>
      </c>
    </row>
    <row r="8" spans="1:38" ht="27.95" customHeight="1" x14ac:dyDescent="0.25">
      <c r="A8" s="3020" t="s">
        <v>2768</v>
      </c>
      <c r="B8" s="3017">
        <v>15.61557432</v>
      </c>
      <c r="C8" s="3017">
        <v>15.103698260000002</v>
      </c>
      <c r="D8" s="3017">
        <v>14.820746439999999</v>
      </c>
      <c r="E8" s="3017">
        <v>15.091351490000003</v>
      </c>
      <c r="F8" s="3017">
        <v>15.594111800000002</v>
      </c>
      <c r="G8" s="3017">
        <v>14.67830665</v>
      </c>
      <c r="H8" s="3017">
        <v>14.223198930000001</v>
      </c>
      <c r="I8" s="3017">
        <v>13.72762206</v>
      </c>
      <c r="J8" s="3017">
        <v>13.40461367</v>
      </c>
      <c r="K8" s="3017">
        <v>12.729160630000001</v>
      </c>
      <c r="L8" s="3017">
        <v>12.125906070000001</v>
      </c>
      <c r="M8" s="3017">
        <v>13.061912449999999</v>
      </c>
      <c r="N8" s="3017">
        <v>12.702972990000001</v>
      </c>
      <c r="O8" s="3017">
        <v>11.933254899999998</v>
      </c>
      <c r="P8" s="3017">
        <v>12.205447339999999</v>
      </c>
      <c r="Q8" s="3017">
        <v>12.85055184</v>
      </c>
      <c r="R8" s="3017">
        <v>12.456987880000002</v>
      </c>
      <c r="S8" s="3017">
        <v>12.22325266</v>
      </c>
      <c r="T8" s="3017">
        <v>12.28775484</v>
      </c>
      <c r="U8" s="3017">
        <v>9.2710809100000002</v>
      </c>
      <c r="V8" s="3017">
        <v>9.0383483999999985</v>
      </c>
      <c r="W8" s="3017">
        <v>11.601945839999999</v>
      </c>
      <c r="X8" s="3017">
        <v>13.020327330000001</v>
      </c>
      <c r="Y8" s="3017">
        <v>12.72731351</v>
      </c>
      <c r="Z8" s="3017">
        <v>12.300218340000001</v>
      </c>
      <c r="AA8" s="3017">
        <v>11.524653530000002</v>
      </c>
      <c r="AB8" s="3017">
        <v>11.197459240000001</v>
      </c>
      <c r="AC8" s="3017">
        <v>10.786004879999998</v>
      </c>
      <c r="AD8" s="3017">
        <v>10.547760190000002</v>
      </c>
      <c r="AE8" s="3017">
        <v>10.192792580000001</v>
      </c>
      <c r="AF8" s="3017">
        <v>9.9664991599999997</v>
      </c>
      <c r="AG8" s="3017">
        <v>9.5004563100000006</v>
      </c>
      <c r="AH8" s="3017">
        <v>9.5121644399999994</v>
      </c>
      <c r="AI8" s="3017">
        <v>14.671100989999999</v>
      </c>
      <c r="AJ8" s="3017">
        <v>14.157396329999997</v>
      </c>
      <c r="AK8" s="3017">
        <v>13.497789699999998</v>
      </c>
      <c r="AL8" s="3017">
        <v>12.86537903</v>
      </c>
    </row>
    <row r="9" spans="1:38" ht="27.95" customHeight="1" x14ac:dyDescent="0.25">
      <c r="A9" s="3020" t="s">
        <v>2769</v>
      </c>
      <c r="B9" s="3017">
        <v>37.420556240000003</v>
      </c>
      <c r="C9" s="3017">
        <v>34.982574629999995</v>
      </c>
      <c r="D9" s="3017">
        <v>33.204380239999999</v>
      </c>
      <c r="E9" s="3017">
        <v>36.526421629999994</v>
      </c>
      <c r="F9" s="3017">
        <v>35.450305469999996</v>
      </c>
      <c r="G9" s="3017">
        <v>40.51457319</v>
      </c>
      <c r="H9" s="3017">
        <v>38.573065970000002</v>
      </c>
      <c r="I9" s="3017">
        <v>36.427633159999999</v>
      </c>
      <c r="J9" s="3017">
        <v>36.223089159999994</v>
      </c>
      <c r="K9" s="3017">
        <v>34.003915599999999</v>
      </c>
      <c r="L9" s="3017">
        <v>32.722919940000004</v>
      </c>
      <c r="M9" s="3017">
        <v>31.75634732</v>
      </c>
      <c r="N9" s="3017">
        <v>48.336560350000006</v>
      </c>
      <c r="O9" s="3017">
        <v>37.365647530000004</v>
      </c>
      <c r="P9" s="3017">
        <v>22.903021460000001</v>
      </c>
      <c r="Q9" s="3017">
        <v>22.585041260000001</v>
      </c>
      <c r="R9" s="3017">
        <v>22.344408059999999</v>
      </c>
      <c r="S9" s="3017">
        <v>22.035264100000003</v>
      </c>
      <c r="T9" s="3017">
        <v>22.518439000000001</v>
      </c>
      <c r="U9" s="3017">
        <v>22.296961360000001</v>
      </c>
      <c r="V9" s="3017">
        <v>21.341213140000001</v>
      </c>
      <c r="W9" s="3017">
        <v>11.133694289999999</v>
      </c>
      <c r="X9" s="3017">
        <v>12.376033980000001</v>
      </c>
      <c r="Y9" s="3017">
        <v>16.004757980000001</v>
      </c>
      <c r="Z9" s="3017">
        <v>15.60919472</v>
      </c>
      <c r="AA9" s="3017">
        <v>15.047621230000001</v>
      </c>
      <c r="AB9" s="3017">
        <v>15.070833850000001</v>
      </c>
      <c r="AC9" s="3017">
        <v>14.66367398</v>
      </c>
      <c r="AD9" s="3017">
        <v>14.291770189999999</v>
      </c>
      <c r="AE9" s="3017">
        <v>14.394699920000001</v>
      </c>
      <c r="AF9" s="3017">
        <v>14.33887923</v>
      </c>
      <c r="AG9" s="3017">
        <v>13.5946006</v>
      </c>
      <c r="AH9" s="3017">
        <v>16.905545589999999</v>
      </c>
      <c r="AI9" s="3017">
        <v>24.211003999999999</v>
      </c>
      <c r="AJ9" s="3017">
        <v>23.69312678</v>
      </c>
      <c r="AK9" s="3017">
        <v>22.915561529999998</v>
      </c>
      <c r="AL9" s="3017">
        <v>21.771083659999999</v>
      </c>
    </row>
    <row r="10" spans="1:38" ht="27.95" customHeight="1" x14ac:dyDescent="0.25">
      <c r="A10" s="3020" t="s">
        <v>2770</v>
      </c>
      <c r="B10" s="3017">
        <v>568.30441629999996</v>
      </c>
      <c r="C10" s="3017">
        <v>586.18332148999991</v>
      </c>
      <c r="D10" s="3017">
        <v>592.12065328999995</v>
      </c>
      <c r="E10" s="3017">
        <v>683.49813503000007</v>
      </c>
      <c r="F10" s="3017">
        <v>684.10736048000001</v>
      </c>
      <c r="G10" s="3017">
        <v>714.17745337999997</v>
      </c>
      <c r="H10" s="3017">
        <v>718.55560097</v>
      </c>
      <c r="I10" s="3017">
        <v>720.36349987000017</v>
      </c>
      <c r="J10" s="3017">
        <v>713.46447872999988</v>
      </c>
      <c r="K10" s="3017">
        <v>706.78786055000012</v>
      </c>
      <c r="L10" s="3017">
        <v>715.82175928999993</v>
      </c>
      <c r="M10" s="3017">
        <v>715.82013835999999</v>
      </c>
      <c r="N10" s="3017">
        <v>715.86975664000011</v>
      </c>
      <c r="O10" s="3017">
        <v>664.94217956999989</v>
      </c>
      <c r="P10" s="3017">
        <v>539.25525348999997</v>
      </c>
      <c r="Q10" s="3017">
        <v>539.68428973999994</v>
      </c>
      <c r="R10" s="3017">
        <v>538.73989372000005</v>
      </c>
      <c r="S10" s="3017">
        <v>542.02311404</v>
      </c>
      <c r="T10" s="3017">
        <v>534.83246159999999</v>
      </c>
      <c r="U10" s="3017">
        <v>542.90018224999994</v>
      </c>
      <c r="V10" s="3017">
        <v>543.75260394000009</v>
      </c>
      <c r="W10" s="3017">
        <v>549.38711950000004</v>
      </c>
      <c r="X10" s="3017">
        <v>500.29383910000001</v>
      </c>
      <c r="Y10" s="3017">
        <v>500.71531314999999</v>
      </c>
      <c r="Z10" s="3017">
        <v>494.45125780000001</v>
      </c>
      <c r="AA10" s="3017">
        <v>496.64132151000001</v>
      </c>
      <c r="AB10" s="3017">
        <v>576.46456737000005</v>
      </c>
      <c r="AC10" s="3017">
        <v>564.53585618</v>
      </c>
      <c r="AD10" s="3017">
        <v>555.17207527999994</v>
      </c>
      <c r="AE10" s="3017">
        <v>553.73071688000016</v>
      </c>
      <c r="AF10" s="3017">
        <v>566.56245142</v>
      </c>
      <c r="AG10" s="3017">
        <v>555.61387365000007</v>
      </c>
      <c r="AH10" s="3017">
        <v>558.4447656000001</v>
      </c>
      <c r="AI10" s="3017">
        <v>538.03487655999993</v>
      </c>
      <c r="AJ10" s="3017">
        <v>536.45962165000003</v>
      </c>
      <c r="AK10" s="3017">
        <v>531.03500768000004</v>
      </c>
      <c r="AL10" s="3017">
        <v>531.60351172000003</v>
      </c>
    </row>
    <row r="11" spans="1:38" ht="27.95" customHeight="1" x14ac:dyDescent="0.25">
      <c r="A11" s="3020" t="s">
        <v>2780</v>
      </c>
      <c r="B11" s="3017">
        <v>1896.78357544</v>
      </c>
      <c r="C11" s="3017">
        <v>1861.4282696300002</v>
      </c>
      <c r="D11" s="3017">
        <v>1812.3628041400002</v>
      </c>
      <c r="E11" s="3017">
        <v>1746.46395919</v>
      </c>
      <c r="F11" s="3017">
        <v>1713.3900340099999</v>
      </c>
      <c r="G11" s="3017">
        <v>1748.86280304</v>
      </c>
      <c r="H11" s="3017"/>
      <c r="I11" s="3017">
        <v>1786.9481770800001</v>
      </c>
      <c r="J11" s="3017">
        <v>1814.0840241300002</v>
      </c>
      <c r="K11" s="3017">
        <v>1800.5382651800003</v>
      </c>
      <c r="L11" s="3017">
        <v>1800.7958809900003</v>
      </c>
      <c r="M11" s="3017">
        <v>1864.1882456400001</v>
      </c>
      <c r="N11" s="3017">
        <v>1938.8864077500002</v>
      </c>
      <c r="O11" s="3017">
        <v>1891.5223910899999</v>
      </c>
      <c r="P11" s="3017">
        <v>894.9472959499999</v>
      </c>
      <c r="Q11" s="3017">
        <v>894.04139486000008</v>
      </c>
      <c r="R11" s="3017">
        <v>879.01231230999997</v>
      </c>
      <c r="S11" s="3017">
        <v>868.80135547999998</v>
      </c>
      <c r="T11" s="3017">
        <v>859.80039933</v>
      </c>
      <c r="U11" s="3017">
        <v>856.97969202000002</v>
      </c>
      <c r="V11" s="3017">
        <v>865.63768581000011</v>
      </c>
      <c r="W11" s="3017">
        <v>855.96028000000001</v>
      </c>
      <c r="X11" s="3017">
        <v>864.38220950000004</v>
      </c>
      <c r="Y11" s="3017">
        <v>893.74357808000002</v>
      </c>
      <c r="Z11" s="3017">
        <v>872.56723192000004</v>
      </c>
      <c r="AA11" s="3017">
        <v>875.27917007999997</v>
      </c>
      <c r="AB11" s="3017">
        <v>896.33628762000001</v>
      </c>
      <c r="AC11" s="3017">
        <v>913.50760792000005</v>
      </c>
      <c r="AD11" s="3017">
        <v>908.12731813000005</v>
      </c>
      <c r="AE11" s="3017">
        <v>913.79352503000007</v>
      </c>
      <c r="AF11" s="3017">
        <v>972.14609710999991</v>
      </c>
      <c r="AG11" s="3017">
        <v>977.34052286999986</v>
      </c>
      <c r="AH11" s="3017">
        <v>1028.63975848</v>
      </c>
      <c r="AI11" s="3017">
        <v>1161.9838685700001</v>
      </c>
      <c r="AJ11" s="3017">
        <v>1180.4735232099999</v>
      </c>
      <c r="AK11" s="3017">
        <v>1168.09590536</v>
      </c>
      <c r="AL11" s="3017">
        <v>1211.2166322</v>
      </c>
    </row>
    <row r="12" spans="1:38" ht="27.95" customHeight="1" x14ac:dyDescent="0.25">
      <c r="A12" s="3020" t="s">
        <v>2784</v>
      </c>
      <c r="B12" s="3017">
        <v>602.39891882999996</v>
      </c>
      <c r="C12" s="3017">
        <v>605.12303939000014</v>
      </c>
      <c r="D12" s="3017">
        <v>601.89896656999997</v>
      </c>
      <c r="E12" s="3017">
        <v>668.79520532999993</v>
      </c>
      <c r="F12" s="3017">
        <v>679.2566899200001</v>
      </c>
      <c r="G12" s="3017">
        <v>692.19778666999991</v>
      </c>
      <c r="H12" s="3066"/>
      <c r="I12" s="3017">
        <v>726.5984458800001</v>
      </c>
      <c r="J12" s="3017">
        <v>733.69694248000008</v>
      </c>
      <c r="K12" s="3017">
        <v>743.45200935000003</v>
      </c>
      <c r="L12" s="3017">
        <v>764.06928649999998</v>
      </c>
      <c r="M12" s="3017">
        <v>765.23190433999991</v>
      </c>
      <c r="N12" s="3017">
        <v>780.63231736</v>
      </c>
      <c r="O12" s="3017">
        <v>763.57791253000005</v>
      </c>
      <c r="P12" s="3017">
        <v>635.90515183999992</v>
      </c>
      <c r="Q12" s="3017">
        <v>634.54456033000008</v>
      </c>
      <c r="R12" s="3017">
        <v>627.04535208000004</v>
      </c>
      <c r="S12" s="3017">
        <v>618.7216238200001</v>
      </c>
      <c r="T12" s="3017">
        <v>618.76036785999986</v>
      </c>
      <c r="U12" s="3017">
        <v>622.48923689000003</v>
      </c>
      <c r="V12" s="3017">
        <v>608.26053294999997</v>
      </c>
      <c r="W12" s="3017">
        <v>613.17455961999997</v>
      </c>
      <c r="X12" s="3017">
        <v>607.74008600000002</v>
      </c>
      <c r="Y12" s="3017">
        <v>596.70230623999998</v>
      </c>
      <c r="Z12" s="3017">
        <v>592.60398657999997</v>
      </c>
      <c r="AA12" s="3017">
        <v>588.83306091000009</v>
      </c>
      <c r="AB12" s="3017">
        <v>597.71073860999991</v>
      </c>
      <c r="AC12" s="3017">
        <v>575.91771834999997</v>
      </c>
      <c r="AD12" s="3017">
        <v>573.56325036999988</v>
      </c>
      <c r="AE12" s="3017">
        <v>554.23935641999992</v>
      </c>
      <c r="AF12" s="3017">
        <v>593.35223302000009</v>
      </c>
      <c r="AG12" s="3017">
        <v>558.07234592999998</v>
      </c>
      <c r="AH12" s="3017">
        <v>549.27336883999999</v>
      </c>
      <c r="AI12" s="3017">
        <v>552.10875672999998</v>
      </c>
      <c r="AJ12" s="3017">
        <v>562.37806036999996</v>
      </c>
      <c r="AK12" s="3017">
        <v>558.1615580900002</v>
      </c>
      <c r="AL12" s="3017">
        <v>558.9644694000001</v>
      </c>
    </row>
    <row r="13" spans="1:38" ht="27.95" customHeight="1" x14ac:dyDescent="0.25">
      <c r="A13" s="3020" t="s">
        <v>2790</v>
      </c>
      <c r="B13" s="3017">
        <v>367.91732250000001</v>
      </c>
      <c r="C13" s="3017">
        <v>364.74302048999994</v>
      </c>
      <c r="D13" s="3017">
        <v>356.58291106999997</v>
      </c>
      <c r="E13" s="3017">
        <v>353.96305084999995</v>
      </c>
      <c r="F13" s="3017">
        <v>336.29762796000006</v>
      </c>
      <c r="G13" s="3017">
        <v>336.81463874000002</v>
      </c>
      <c r="H13" s="3017"/>
      <c r="I13" s="3017">
        <v>325.75963158999997</v>
      </c>
      <c r="J13" s="3017">
        <v>332.02920137999996</v>
      </c>
      <c r="K13" s="3017">
        <v>320.42811126999999</v>
      </c>
      <c r="L13" s="3017">
        <v>319.35156898999998</v>
      </c>
      <c r="M13" s="3017">
        <v>316.75952694999995</v>
      </c>
      <c r="N13" s="3017">
        <v>321.57677588000001</v>
      </c>
      <c r="O13" s="3017">
        <v>307.50375781999998</v>
      </c>
      <c r="P13" s="3017">
        <v>172.86961011</v>
      </c>
      <c r="Q13" s="3017">
        <v>170.38176751999998</v>
      </c>
      <c r="R13" s="3017">
        <v>168.35197258000002</v>
      </c>
      <c r="S13" s="3017">
        <v>170.60927016999997</v>
      </c>
      <c r="T13" s="3017">
        <v>170.99907879</v>
      </c>
      <c r="U13" s="3017">
        <v>181.79535754000003</v>
      </c>
      <c r="V13" s="3017">
        <v>179.21010086999996</v>
      </c>
      <c r="W13" s="3017">
        <v>203.17403965999998</v>
      </c>
      <c r="X13" s="3017">
        <v>219.08012493000001</v>
      </c>
      <c r="Y13" s="3017">
        <v>216.87375641</v>
      </c>
      <c r="Z13" s="3017">
        <v>213.77661010000003</v>
      </c>
      <c r="AA13" s="3017">
        <v>229.00479742000002</v>
      </c>
      <c r="AB13" s="3017">
        <v>226.21477443000001</v>
      </c>
      <c r="AC13" s="3017">
        <v>224.99612407999999</v>
      </c>
      <c r="AD13" s="3017">
        <v>221.30427865999999</v>
      </c>
      <c r="AE13" s="3017">
        <v>215.60736434999995</v>
      </c>
      <c r="AF13" s="3017">
        <v>221.35943646000001</v>
      </c>
      <c r="AG13" s="3017">
        <v>212.49442729000003</v>
      </c>
      <c r="AH13" s="3017">
        <v>212.67874173000001</v>
      </c>
      <c r="AI13" s="3017">
        <v>230.90462374000001</v>
      </c>
      <c r="AJ13" s="3017">
        <v>229.16087416000002</v>
      </c>
      <c r="AK13" s="3017">
        <v>224.13744002999996</v>
      </c>
      <c r="AL13" s="3017">
        <v>221.94363026000002</v>
      </c>
    </row>
    <row r="14" spans="1:38" ht="27.95" customHeight="1" x14ac:dyDescent="0.25">
      <c r="A14" s="3020" t="s">
        <v>2801</v>
      </c>
      <c r="B14" s="3017">
        <v>123.57019205000002</v>
      </c>
      <c r="C14" s="3017">
        <v>131.59119407</v>
      </c>
      <c r="D14" s="3017">
        <v>134.68947945999997</v>
      </c>
      <c r="E14" s="3017">
        <v>124.64964605</v>
      </c>
      <c r="F14" s="3017">
        <v>120.85085146999998</v>
      </c>
      <c r="G14" s="3017">
        <v>117.05640968</v>
      </c>
      <c r="H14" s="3017">
        <v>113.98185414999999</v>
      </c>
      <c r="I14" s="3017">
        <v>112.54308864999999</v>
      </c>
      <c r="J14" s="3017">
        <v>117.67977968</v>
      </c>
      <c r="K14" s="3017">
        <v>114.53761525000002</v>
      </c>
      <c r="L14" s="3017">
        <v>112.80400546999999</v>
      </c>
      <c r="M14" s="3017">
        <v>111.23770164999999</v>
      </c>
      <c r="N14" s="3017">
        <v>111.75356337000001</v>
      </c>
      <c r="O14" s="3017">
        <v>101.98029658</v>
      </c>
      <c r="P14" s="3017">
        <v>79.409687890000001</v>
      </c>
      <c r="Q14" s="3017">
        <v>77.357168970000004</v>
      </c>
      <c r="R14" s="3017">
        <v>74.943966010000011</v>
      </c>
      <c r="S14" s="3017">
        <v>74.531692820000004</v>
      </c>
      <c r="T14" s="3017">
        <v>79.057322999999997</v>
      </c>
      <c r="U14" s="3017">
        <v>80.69310969</v>
      </c>
      <c r="V14" s="3017">
        <v>79.146332420000007</v>
      </c>
      <c r="W14" s="3017">
        <v>101.63128115000001</v>
      </c>
      <c r="X14" s="3017">
        <v>99.866657679999989</v>
      </c>
      <c r="Y14" s="3017">
        <v>96.616644669999999</v>
      </c>
      <c r="Z14" s="3017">
        <v>95.720763210000015</v>
      </c>
      <c r="AA14" s="3017">
        <v>93.01223662000001</v>
      </c>
      <c r="AB14" s="3017">
        <v>95.681556949999987</v>
      </c>
      <c r="AC14" s="3017">
        <v>96.70330039000001</v>
      </c>
      <c r="AD14" s="3017">
        <v>93.392190450000001</v>
      </c>
      <c r="AE14" s="3017">
        <v>90.173775819999989</v>
      </c>
      <c r="AF14" s="3017">
        <v>95.096785570000009</v>
      </c>
      <c r="AG14" s="3017">
        <v>92.768341769999992</v>
      </c>
      <c r="AH14" s="3017">
        <v>90.691425839999994</v>
      </c>
      <c r="AI14" s="3017">
        <v>111.03593151999999</v>
      </c>
      <c r="AJ14" s="3017">
        <v>108.67837120000002</v>
      </c>
      <c r="AK14" s="3017">
        <v>104.96670904000001</v>
      </c>
      <c r="AL14" s="3017">
        <v>110.53225626999999</v>
      </c>
    </row>
    <row r="15" spans="1:38" ht="27.95" customHeight="1" x14ac:dyDescent="0.25">
      <c r="A15" s="3020" t="s">
        <v>2808</v>
      </c>
      <c r="B15" s="3017">
        <v>73.217951099999993</v>
      </c>
      <c r="C15" s="3017">
        <v>74.66263975999999</v>
      </c>
      <c r="D15" s="3017">
        <v>75.326574340000008</v>
      </c>
      <c r="E15" s="3017">
        <v>76.683762789999989</v>
      </c>
      <c r="F15" s="3017">
        <v>80.931526649999995</v>
      </c>
      <c r="G15" s="3017">
        <v>79.136795309999997</v>
      </c>
      <c r="H15" s="3017">
        <v>79.00577890000001</v>
      </c>
      <c r="I15" s="3017">
        <v>77.197969400000005</v>
      </c>
      <c r="J15" s="3017">
        <v>78.995504179999998</v>
      </c>
      <c r="K15" s="3017">
        <v>75.445712520000001</v>
      </c>
      <c r="L15" s="3017">
        <v>74.490434789999995</v>
      </c>
      <c r="M15" s="3017">
        <v>74.174906200000009</v>
      </c>
      <c r="N15" s="3017">
        <v>76.705363939999998</v>
      </c>
      <c r="O15" s="3017">
        <v>70.877677240000011</v>
      </c>
      <c r="P15" s="3017">
        <v>49.888311279999996</v>
      </c>
      <c r="Q15" s="3017">
        <v>48.396398690000005</v>
      </c>
      <c r="R15" s="3017">
        <v>47.679917270000004</v>
      </c>
      <c r="S15" s="3017">
        <v>47.064448110000001</v>
      </c>
      <c r="T15" s="3017">
        <v>46.923700980000007</v>
      </c>
      <c r="U15" s="3017">
        <v>46.973167099999991</v>
      </c>
      <c r="V15" s="3017">
        <v>47.480160120000001</v>
      </c>
      <c r="W15" s="3017">
        <v>73.266851499999987</v>
      </c>
      <c r="X15" s="3017">
        <v>69.028822290000008</v>
      </c>
      <c r="Y15" s="3017">
        <v>67.804328999999996</v>
      </c>
      <c r="Z15" s="3017">
        <v>65.132677549999997</v>
      </c>
      <c r="AA15" s="3017">
        <v>64.138312200000001</v>
      </c>
      <c r="AB15" s="3017">
        <v>64.745095879999994</v>
      </c>
      <c r="AC15" s="3017">
        <v>65.340463530000008</v>
      </c>
      <c r="AD15" s="3017">
        <v>63.841345409999995</v>
      </c>
      <c r="AE15" s="3017">
        <v>62.757746189999999</v>
      </c>
      <c r="AF15" s="3017">
        <v>65.526346790000005</v>
      </c>
      <c r="AG15" s="3017">
        <v>64.263345860000001</v>
      </c>
      <c r="AH15" s="3017">
        <v>62.816111530000001</v>
      </c>
      <c r="AI15" s="3017">
        <v>69.687216230000004</v>
      </c>
      <c r="AJ15" s="3017">
        <v>72.665565839999999</v>
      </c>
      <c r="AK15" s="3017">
        <v>69.564965970000003</v>
      </c>
      <c r="AL15" s="3017">
        <v>71.965510370000004</v>
      </c>
    </row>
    <row r="16" spans="1:38" ht="27.95" customHeight="1" x14ac:dyDescent="0.25">
      <c r="A16" s="3020" t="s">
        <v>2809</v>
      </c>
      <c r="B16" s="3017">
        <v>545.37484876999997</v>
      </c>
      <c r="C16" s="3017">
        <v>553.35118201</v>
      </c>
      <c r="D16" s="3017">
        <v>547.95244241</v>
      </c>
      <c r="E16" s="3017">
        <v>518.5032013</v>
      </c>
      <c r="F16" s="3017">
        <v>522.05573257000003</v>
      </c>
      <c r="G16" s="3017">
        <v>522.08837320000009</v>
      </c>
      <c r="H16" s="3017">
        <v>517.30092285000001</v>
      </c>
      <c r="I16" s="3017">
        <v>522.75295849000008</v>
      </c>
      <c r="J16" s="3017">
        <v>524.42432069999995</v>
      </c>
      <c r="K16" s="3017">
        <v>518.05834614999992</v>
      </c>
      <c r="L16" s="3017">
        <v>513.26075719999994</v>
      </c>
      <c r="M16" s="3017">
        <v>513.50063704000013</v>
      </c>
      <c r="N16" s="3017">
        <v>511.94426003000001</v>
      </c>
      <c r="O16" s="3017">
        <v>519.12445685</v>
      </c>
      <c r="P16" s="3017">
        <v>358.83715024000003</v>
      </c>
      <c r="Q16" s="3017">
        <v>353.37206450000002</v>
      </c>
      <c r="R16" s="3017">
        <v>347.07110021999995</v>
      </c>
      <c r="S16" s="3017">
        <v>338.68002056</v>
      </c>
      <c r="T16" s="3017">
        <v>335.36052168999998</v>
      </c>
      <c r="U16" s="3017">
        <v>341.16963292000003</v>
      </c>
      <c r="V16" s="3017">
        <v>341.37737305999997</v>
      </c>
      <c r="W16" s="3017">
        <v>314.81755942000001</v>
      </c>
      <c r="X16" s="3017">
        <v>309.45553889000001</v>
      </c>
      <c r="Y16" s="3017">
        <v>303.92621515999997</v>
      </c>
      <c r="Z16" s="3017">
        <v>301.58018035000003</v>
      </c>
      <c r="AA16" s="3017">
        <v>301.58224892999999</v>
      </c>
      <c r="AB16" s="3017">
        <v>298.88808649000003</v>
      </c>
      <c r="AC16" s="3017">
        <v>292.94425177000005</v>
      </c>
      <c r="AD16" s="3017">
        <v>291.31781773999995</v>
      </c>
      <c r="AE16" s="3017">
        <v>290.07002929000004</v>
      </c>
      <c r="AF16" s="3017">
        <v>328.08310026000004</v>
      </c>
      <c r="AG16" s="3017">
        <v>328.37431394999999</v>
      </c>
      <c r="AH16" s="3017">
        <v>328.99314072999999</v>
      </c>
      <c r="AI16" s="3017">
        <v>341.06833669999997</v>
      </c>
      <c r="AJ16" s="3017">
        <v>349.62300491999997</v>
      </c>
      <c r="AK16" s="3017">
        <v>355.49675068000005</v>
      </c>
      <c r="AL16" s="3017">
        <v>369.39660416000004</v>
      </c>
    </row>
    <row r="17" spans="1:38" ht="27.95" customHeight="1" x14ac:dyDescent="0.25">
      <c r="A17" s="3020" t="s">
        <v>2816</v>
      </c>
      <c r="B17" s="3017">
        <v>609.48656267000001</v>
      </c>
      <c r="C17" s="3017">
        <v>594.96922243999995</v>
      </c>
      <c r="D17" s="3017">
        <v>585.57660936000002</v>
      </c>
      <c r="E17" s="3017">
        <v>915.53225958000007</v>
      </c>
      <c r="F17" s="3017">
        <v>922.17736760000014</v>
      </c>
      <c r="G17" s="3017">
        <v>932.21226410999998</v>
      </c>
      <c r="H17" s="3017">
        <v>956.50172708000002</v>
      </c>
      <c r="I17" s="3017">
        <v>968.79943632999993</v>
      </c>
      <c r="J17" s="3017">
        <v>972.70582018000005</v>
      </c>
      <c r="K17" s="3017">
        <v>982.68403472</v>
      </c>
      <c r="L17" s="3017">
        <v>959.62670385000001</v>
      </c>
      <c r="M17" s="3017">
        <v>955.31293545000005</v>
      </c>
      <c r="N17" s="3017">
        <v>949.99247864999995</v>
      </c>
      <c r="O17" s="3017">
        <v>885.47774711999989</v>
      </c>
      <c r="P17" s="3017">
        <v>618.04082748999997</v>
      </c>
      <c r="Q17" s="3017">
        <v>587.71340671000007</v>
      </c>
      <c r="R17" s="3017">
        <v>574.97511460999999</v>
      </c>
      <c r="S17" s="3017">
        <v>564.11982762000002</v>
      </c>
      <c r="T17" s="3017">
        <v>548.77861713999994</v>
      </c>
      <c r="U17" s="3017">
        <v>541.69690098000001</v>
      </c>
      <c r="V17" s="3017">
        <v>540.85089577999997</v>
      </c>
      <c r="W17" s="3017">
        <v>526.89658777</v>
      </c>
      <c r="X17" s="3017">
        <v>518.83598573999996</v>
      </c>
      <c r="Y17" s="3017">
        <v>516.82825653999998</v>
      </c>
      <c r="Z17" s="3017">
        <v>518.6109189</v>
      </c>
      <c r="AA17" s="3017">
        <v>514.37667119000002</v>
      </c>
      <c r="AB17" s="3017">
        <v>513.75121378999995</v>
      </c>
      <c r="AC17" s="3017">
        <v>498.62713997999998</v>
      </c>
      <c r="AD17" s="3017">
        <v>500.71523391000005</v>
      </c>
      <c r="AE17" s="3017">
        <v>502.46715879999999</v>
      </c>
      <c r="AF17" s="3017">
        <v>507.09798966000005</v>
      </c>
      <c r="AG17" s="3017">
        <v>496.56066937000003</v>
      </c>
      <c r="AH17" s="3017">
        <v>496.76921209000005</v>
      </c>
      <c r="AI17" s="3017">
        <v>326.85997685999996</v>
      </c>
      <c r="AJ17" s="3017">
        <v>317.70341721</v>
      </c>
      <c r="AK17" s="3017">
        <v>321.18090899000003</v>
      </c>
      <c r="AL17" s="3017">
        <v>322.62177727999995</v>
      </c>
    </row>
    <row r="18" spans="1:38" ht="27.95" customHeight="1" x14ac:dyDescent="0.25">
      <c r="A18" s="3020" t="s">
        <v>2823</v>
      </c>
      <c r="B18" s="3017">
        <v>48.452196950000001</v>
      </c>
      <c r="C18" s="3017">
        <v>48.487423900000003</v>
      </c>
      <c r="D18" s="3017">
        <v>50.307563850000001</v>
      </c>
      <c r="E18" s="3017">
        <v>54.171950750000001</v>
      </c>
      <c r="F18" s="3017">
        <v>54.390621659999994</v>
      </c>
      <c r="G18" s="3017">
        <v>56.618213410000003</v>
      </c>
      <c r="H18" s="3017">
        <v>60.868264200000006</v>
      </c>
      <c r="I18" s="3017">
        <v>58.405129750000008</v>
      </c>
      <c r="J18" s="3017">
        <v>65.110821990000005</v>
      </c>
      <c r="K18" s="3017">
        <v>64.457557440000002</v>
      </c>
      <c r="L18" s="3017">
        <v>63.68358997</v>
      </c>
      <c r="M18" s="3017">
        <v>64.376418229999999</v>
      </c>
      <c r="N18" s="3017">
        <v>65.229827560000004</v>
      </c>
      <c r="O18" s="3017">
        <v>64.208863179999994</v>
      </c>
      <c r="P18" s="3017">
        <v>32.533069070000003</v>
      </c>
      <c r="Q18" s="3017">
        <v>33.306323669999998</v>
      </c>
      <c r="R18" s="3017">
        <v>32.847574510000001</v>
      </c>
      <c r="S18" s="3017">
        <v>32.472277699999999</v>
      </c>
      <c r="T18" s="3017">
        <v>31.737559950000001</v>
      </c>
      <c r="U18" s="3017">
        <v>32.863992340000003</v>
      </c>
      <c r="V18" s="3017">
        <v>34.069773269999999</v>
      </c>
      <c r="W18" s="3017">
        <v>37.075529430000003</v>
      </c>
      <c r="X18" s="3017">
        <v>35.717174970000002</v>
      </c>
      <c r="Y18" s="3017">
        <v>36.311062440000008</v>
      </c>
      <c r="Z18" s="3017">
        <v>35.918685439999997</v>
      </c>
      <c r="AA18" s="3017">
        <v>34.744287100000001</v>
      </c>
      <c r="AB18" s="3017">
        <v>33.935787810000001</v>
      </c>
      <c r="AC18" s="3017">
        <v>32.310332619999997</v>
      </c>
      <c r="AD18" s="3017">
        <v>31.502331820000002</v>
      </c>
      <c r="AE18" s="3017">
        <v>30.820799530000002</v>
      </c>
      <c r="AF18" s="3017">
        <v>31.110007539999998</v>
      </c>
      <c r="AG18" s="3017">
        <v>31.103929659999999</v>
      </c>
      <c r="AH18" s="3017">
        <v>31.102585019999999</v>
      </c>
      <c r="AI18" s="3017">
        <v>32.587785859999997</v>
      </c>
      <c r="AJ18" s="3017">
        <v>32.244202090000002</v>
      </c>
      <c r="AK18" s="3017">
        <v>30.679881380000001</v>
      </c>
      <c r="AL18" s="3017">
        <v>30.715728990000002</v>
      </c>
    </row>
    <row r="19" spans="1:38" ht="27.95" customHeight="1" x14ac:dyDescent="0.25">
      <c r="A19" s="3020" t="s">
        <v>2829</v>
      </c>
      <c r="B19" s="3017">
        <v>41.097003439999995</v>
      </c>
      <c r="C19" s="3017">
        <v>40.060443349999993</v>
      </c>
      <c r="D19" s="3017">
        <v>38.987441740000001</v>
      </c>
      <c r="E19" s="3017">
        <v>59.947146100000012</v>
      </c>
      <c r="F19" s="3017">
        <v>58.450167620000002</v>
      </c>
      <c r="G19" s="3017">
        <v>57.087237400000006</v>
      </c>
      <c r="H19" s="3017">
        <v>60.254646940000008</v>
      </c>
      <c r="I19" s="3017">
        <v>63.402447019999997</v>
      </c>
      <c r="J19" s="3017">
        <v>63.135423780000004</v>
      </c>
      <c r="K19" s="3017">
        <v>65.454040140000004</v>
      </c>
      <c r="L19" s="3017">
        <v>66.186316959999999</v>
      </c>
      <c r="M19" s="3017">
        <v>65.418477609999997</v>
      </c>
      <c r="N19" s="3017">
        <v>63.752156759999998</v>
      </c>
      <c r="O19" s="3017">
        <v>62.561259960000008</v>
      </c>
      <c r="P19" s="3017">
        <v>45.116174969999996</v>
      </c>
      <c r="Q19" s="3017">
        <v>46.317007289999992</v>
      </c>
      <c r="R19" s="3017">
        <v>45.62302382</v>
      </c>
      <c r="S19" s="3017">
        <v>45.495328600000001</v>
      </c>
      <c r="T19" s="3017">
        <v>44.288599470000008</v>
      </c>
      <c r="U19" s="3017">
        <v>46.853259199999997</v>
      </c>
      <c r="V19" s="3017">
        <v>48.10973722</v>
      </c>
      <c r="W19" s="3017">
        <v>64.53988425</v>
      </c>
      <c r="X19" s="3017">
        <v>63.718916400000005</v>
      </c>
      <c r="Y19" s="3017">
        <v>62.291099899999999</v>
      </c>
      <c r="Z19" s="3017">
        <v>59.410903619999999</v>
      </c>
      <c r="AA19" s="3017">
        <v>57.576913429999991</v>
      </c>
      <c r="AB19" s="3017">
        <v>55.978309870000004</v>
      </c>
      <c r="AC19" s="3017">
        <v>54.056943289999992</v>
      </c>
      <c r="AD19" s="3017">
        <v>53.249379040000001</v>
      </c>
      <c r="AE19" s="3017">
        <v>58.069571840000002</v>
      </c>
      <c r="AF19" s="3017">
        <v>61.021077600000012</v>
      </c>
      <c r="AG19" s="3017">
        <v>65.619901780000006</v>
      </c>
      <c r="AH19" s="3017">
        <v>63.803615309999998</v>
      </c>
      <c r="AI19" s="3017">
        <v>83.213474950000005</v>
      </c>
      <c r="AJ19" s="3017">
        <v>80.346940549999999</v>
      </c>
      <c r="AK19" s="3017">
        <v>77.368425860000002</v>
      </c>
      <c r="AL19" s="3017">
        <v>75.320296689999992</v>
      </c>
    </row>
    <row r="20" spans="1:38" ht="27.95" customHeight="1" x14ac:dyDescent="0.25">
      <c r="A20" s="3020" t="s">
        <v>2832</v>
      </c>
      <c r="B20" s="3017">
        <v>127.00217401</v>
      </c>
      <c r="C20" s="3017">
        <v>128.46533281999999</v>
      </c>
      <c r="D20" s="3017">
        <v>130.63930461999999</v>
      </c>
      <c r="E20" s="3017">
        <v>170.27955474000004</v>
      </c>
      <c r="F20" s="3017">
        <v>166.43303312</v>
      </c>
      <c r="G20" s="3017">
        <v>166.34152279999998</v>
      </c>
      <c r="H20" s="3017">
        <v>162.47908748000003</v>
      </c>
      <c r="I20" s="3017">
        <v>159.54712423999999</v>
      </c>
      <c r="J20" s="3017">
        <v>158.20364656999999</v>
      </c>
      <c r="K20" s="3017">
        <v>159.33061479999998</v>
      </c>
      <c r="L20" s="3017">
        <v>155.20575896</v>
      </c>
      <c r="M20" s="3017">
        <v>166.99685081000001</v>
      </c>
      <c r="N20" s="3017">
        <v>177.66092875000001</v>
      </c>
      <c r="O20" s="3017">
        <v>184.21454908999999</v>
      </c>
      <c r="P20" s="3017">
        <v>157.98969520000003</v>
      </c>
      <c r="Q20" s="3017">
        <v>155.74264638</v>
      </c>
      <c r="R20" s="3017">
        <v>152.42264326999998</v>
      </c>
      <c r="S20" s="3017">
        <v>147.84603050999999</v>
      </c>
      <c r="T20" s="3017">
        <v>143.73299157</v>
      </c>
      <c r="U20" s="3017">
        <v>142.10612149000002</v>
      </c>
      <c r="V20" s="3017">
        <v>138.43848478000001</v>
      </c>
      <c r="W20" s="3017">
        <v>140.89859475999998</v>
      </c>
      <c r="X20" s="3017">
        <v>139.24481265</v>
      </c>
      <c r="Y20" s="3017">
        <v>137.25755103</v>
      </c>
      <c r="Z20" s="3017">
        <v>133.26609315000002</v>
      </c>
      <c r="AA20" s="3017">
        <v>131.34554155000001</v>
      </c>
      <c r="AB20" s="3017">
        <v>124.98249756</v>
      </c>
      <c r="AC20" s="3017">
        <v>123.01681217999999</v>
      </c>
      <c r="AD20" s="3017">
        <v>118.95750123999998</v>
      </c>
      <c r="AE20" s="3017">
        <v>115.74605529999999</v>
      </c>
      <c r="AF20" s="3017">
        <v>114.43507274</v>
      </c>
      <c r="AG20" s="3017">
        <v>110.57982087000001</v>
      </c>
      <c r="AH20" s="3017">
        <v>106.29472159999999</v>
      </c>
      <c r="AI20" s="3017">
        <v>99.951591220000012</v>
      </c>
      <c r="AJ20" s="3017">
        <v>95.150307670000004</v>
      </c>
      <c r="AK20" s="3017">
        <v>90.52094387999999</v>
      </c>
      <c r="AL20" s="3017">
        <v>87.979998719999998</v>
      </c>
    </row>
    <row r="21" spans="1:38" ht="27.95" customHeight="1" thickBot="1" x14ac:dyDescent="0.3">
      <c r="A21" s="3020" t="s">
        <v>2837</v>
      </c>
      <c r="B21" s="3017">
        <v>597.16080580999994</v>
      </c>
      <c r="C21" s="3017">
        <v>597.28439724999998</v>
      </c>
      <c r="D21" s="3017">
        <v>612.29748151000001</v>
      </c>
      <c r="E21" s="3017">
        <v>106.93332067</v>
      </c>
      <c r="F21" s="3017">
        <v>106.81421549000001</v>
      </c>
      <c r="G21" s="3017">
        <v>112.17509137</v>
      </c>
      <c r="H21" s="3017">
        <v>112.29636789</v>
      </c>
      <c r="I21" s="3017">
        <v>110.94079070999999</v>
      </c>
      <c r="J21" s="3017">
        <v>109.56179979000001</v>
      </c>
      <c r="K21" s="3017">
        <v>106.16596301999998</v>
      </c>
      <c r="L21" s="3017">
        <v>105.58671523999999</v>
      </c>
      <c r="M21" s="3017">
        <v>112.33554947</v>
      </c>
      <c r="N21" s="3017">
        <v>105.19721545</v>
      </c>
      <c r="O21" s="3017">
        <v>101.40252851999999</v>
      </c>
      <c r="P21" s="3017">
        <v>93.356729970000004</v>
      </c>
      <c r="Q21" s="3017">
        <v>93.583162760000008</v>
      </c>
      <c r="R21" s="3017">
        <v>92.646205049999992</v>
      </c>
      <c r="S21" s="3017">
        <v>90.551496620000009</v>
      </c>
      <c r="T21" s="3017">
        <v>90.359252059999989</v>
      </c>
      <c r="U21" s="3017">
        <v>90.316159089999999</v>
      </c>
      <c r="V21" s="3017">
        <v>88.855695990000001</v>
      </c>
      <c r="W21" s="3017">
        <v>77.820479360000007</v>
      </c>
      <c r="X21" s="3017">
        <v>76.53046504000001</v>
      </c>
      <c r="Y21" s="3017">
        <v>73.18795652</v>
      </c>
      <c r="Z21" s="3017">
        <v>72.673939180000005</v>
      </c>
      <c r="AA21" s="3017">
        <v>75.297497419999999</v>
      </c>
      <c r="AB21" s="3017">
        <v>74.848582069999992</v>
      </c>
      <c r="AC21" s="3017">
        <v>74.326200260000007</v>
      </c>
      <c r="AD21" s="3017">
        <v>74.008073080000003</v>
      </c>
      <c r="AE21" s="3017">
        <v>73.747992280000005</v>
      </c>
      <c r="AF21" s="3017">
        <v>77.786225470000005</v>
      </c>
      <c r="AG21" s="3017">
        <v>75.187843299999997</v>
      </c>
      <c r="AH21" s="3017">
        <v>75.084229080000014</v>
      </c>
      <c r="AI21" s="3017">
        <v>78.277686290000005</v>
      </c>
      <c r="AJ21" s="3017">
        <v>76.166192599999988</v>
      </c>
      <c r="AK21" s="3017">
        <v>75.209912169999996</v>
      </c>
      <c r="AL21" s="3017">
        <v>72.429614779999994</v>
      </c>
    </row>
    <row r="22" spans="1:38" ht="27.95" customHeight="1" x14ac:dyDescent="0.25">
      <c r="A22" s="3025" t="s">
        <v>2841</v>
      </c>
      <c r="B22" s="3067">
        <v>55235.951802159994</v>
      </c>
      <c r="C22" s="3067">
        <v>55480.914553979994</v>
      </c>
      <c r="D22" s="3067">
        <v>55411.818721819996</v>
      </c>
      <c r="E22" s="3067">
        <v>55483.186740470002</v>
      </c>
      <c r="F22" s="3067">
        <v>55516.292739399993</v>
      </c>
      <c r="G22" s="3067">
        <v>55921.881336959996</v>
      </c>
      <c r="H22" s="3067">
        <v>56364.598339190001</v>
      </c>
      <c r="I22" s="3067">
        <v>56477.637135699995</v>
      </c>
      <c r="J22" s="3067">
        <v>56557.637627709999</v>
      </c>
      <c r="K22" s="3067">
        <v>56556.596804209999</v>
      </c>
      <c r="L22" s="3067">
        <v>56689.812717190005</v>
      </c>
      <c r="M22" s="3067">
        <v>57152.028239370004</v>
      </c>
      <c r="N22" s="3067">
        <v>57893.945190770006</v>
      </c>
      <c r="O22" s="3067">
        <v>57761.226740089995</v>
      </c>
      <c r="P22" s="3067">
        <v>46139.055147039995</v>
      </c>
      <c r="Q22" s="3067">
        <v>45993.181178779996</v>
      </c>
      <c r="R22" s="3067">
        <v>45736.957010839993</v>
      </c>
      <c r="S22" s="3067">
        <v>45721.02903587</v>
      </c>
      <c r="T22" s="3067">
        <v>45505.63464222</v>
      </c>
      <c r="U22" s="3067">
        <v>45764.200659219998</v>
      </c>
      <c r="V22" s="3067">
        <v>46113.726576510002</v>
      </c>
      <c r="W22" s="3067">
        <v>46743.258458080003</v>
      </c>
      <c r="X22" s="3067">
        <v>45864.03787136</v>
      </c>
      <c r="Y22" s="3067">
        <v>46295.0304722</v>
      </c>
      <c r="Z22" s="3027">
        <v>46218.800151529998</v>
      </c>
      <c r="AA22" s="3027">
        <v>47065.636361390003</v>
      </c>
      <c r="AB22" s="3027">
        <v>47766.100416839996</v>
      </c>
      <c r="AC22" s="3027">
        <v>47932.584664670001</v>
      </c>
      <c r="AD22" s="3027">
        <v>47760.321076579996</v>
      </c>
      <c r="AE22" s="3027">
        <v>47560.14393002</v>
      </c>
      <c r="AF22" s="3027">
        <v>47852.257565170003</v>
      </c>
      <c r="AG22" s="3027">
        <v>48257.973031689995</v>
      </c>
      <c r="AH22" s="3027">
        <v>48398.986883689999</v>
      </c>
      <c r="AI22" s="3027">
        <v>48577.047412700005</v>
      </c>
      <c r="AJ22" s="3027">
        <v>48660.207625770003</v>
      </c>
      <c r="AK22" s="3027">
        <v>48638.045618179996</v>
      </c>
      <c r="AL22" s="3027">
        <v>48638.512638399996</v>
      </c>
    </row>
    <row r="23" spans="1:38" ht="27.95" customHeight="1" x14ac:dyDescent="0.25">
      <c r="A23" s="3028" t="s">
        <v>2842</v>
      </c>
      <c r="B23" s="3068">
        <v>15632.4251339</v>
      </c>
      <c r="C23" s="3068">
        <v>15667.076082830001</v>
      </c>
      <c r="D23" s="3068">
        <v>15643.354920619999</v>
      </c>
      <c r="E23" s="3068">
        <v>15568.237738080001</v>
      </c>
      <c r="F23" s="3068">
        <v>15505.94324138</v>
      </c>
      <c r="G23" s="3068">
        <v>15893.045626970001</v>
      </c>
      <c r="H23" s="3068">
        <v>15922.922032650002</v>
      </c>
      <c r="I23" s="3068">
        <v>15908.379003979999</v>
      </c>
      <c r="J23" s="3068">
        <v>15936.428254440001</v>
      </c>
      <c r="K23" s="3068">
        <v>15877.31406004</v>
      </c>
      <c r="L23" s="3068">
        <v>15898.10129391</v>
      </c>
      <c r="M23" s="3068">
        <v>16028.56542753</v>
      </c>
      <c r="N23" s="3068">
        <v>16050.368949740001</v>
      </c>
      <c r="O23" s="3068">
        <v>15991.351057080001</v>
      </c>
      <c r="P23" s="3068">
        <v>16314.118940279999</v>
      </c>
      <c r="Q23" s="3068">
        <v>16109.97004367</v>
      </c>
      <c r="R23" s="3068">
        <v>16005.481500649999</v>
      </c>
      <c r="S23" s="3068">
        <v>16003.630678330001</v>
      </c>
      <c r="T23" s="3068">
        <v>16040.285136660001</v>
      </c>
      <c r="U23" s="3068">
        <v>16025.551209649999</v>
      </c>
      <c r="V23" s="3068">
        <v>16014.916546130002</v>
      </c>
      <c r="W23" s="3068">
        <v>16207.281993250001</v>
      </c>
      <c r="X23" s="3068">
        <v>15214.584619610001</v>
      </c>
      <c r="Y23" s="3068">
        <v>15333.216096479999</v>
      </c>
      <c r="Z23" s="3030">
        <v>15289.0669316</v>
      </c>
      <c r="AA23" s="3030">
        <v>15984.91910909</v>
      </c>
      <c r="AB23" s="3030">
        <v>16419.40419479</v>
      </c>
      <c r="AC23" s="3030">
        <v>16474.167546200002</v>
      </c>
      <c r="AD23" s="3030">
        <v>16503.336084890001</v>
      </c>
      <c r="AE23" s="3030">
        <v>16464.24369816</v>
      </c>
      <c r="AF23" s="3030">
        <v>16605.350953579997</v>
      </c>
      <c r="AG23" s="3030">
        <v>16749.956609019999</v>
      </c>
      <c r="AH23" s="3030">
        <v>16784.690062909998</v>
      </c>
      <c r="AI23" s="3030">
        <v>16867.16574239</v>
      </c>
      <c r="AJ23" s="3030">
        <v>16925.931006769999</v>
      </c>
      <c r="AK23" s="3030">
        <v>16965.48456244</v>
      </c>
      <c r="AL23" s="3030">
        <v>16990.23561937</v>
      </c>
    </row>
    <row r="24" spans="1:38" ht="27.95" customHeight="1" x14ac:dyDescent="0.25">
      <c r="A24" s="3016" t="s">
        <v>2875</v>
      </c>
      <c r="B24" s="3032">
        <v>302.62507574999995</v>
      </c>
      <c r="C24" s="3032">
        <v>295.43540435</v>
      </c>
      <c r="D24" s="3032">
        <v>295.70377499</v>
      </c>
      <c r="E24" s="3032">
        <v>288.21533376000002</v>
      </c>
      <c r="F24" s="3032">
        <v>284.97672244</v>
      </c>
      <c r="G24" s="3032">
        <v>277.61701155999998</v>
      </c>
      <c r="H24" s="3032">
        <v>274.57909070999995</v>
      </c>
      <c r="I24" s="3032">
        <v>262.18072727000003</v>
      </c>
      <c r="J24" s="3032">
        <v>257.29498290999999</v>
      </c>
      <c r="K24" s="3032">
        <v>252.67309204</v>
      </c>
      <c r="L24" s="3032">
        <v>244.45113764999996</v>
      </c>
      <c r="M24" s="3032">
        <v>239.39695988000005</v>
      </c>
      <c r="N24" s="3032">
        <v>234.72018494</v>
      </c>
      <c r="O24" s="3032">
        <v>219.26891641999998</v>
      </c>
      <c r="P24" s="3032">
        <v>214.20889710000003</v>
      </c>
      <c r="Q24" s="3032">
        <v>203.32483567999998</v>
      </c>
      <c r="R24" s="3032">
        <v>197.15724121999997</v>
      </c>
      <c r="S24" s="3032">
        <v>190.85719231000002</v>
      </c>
      <c r="T24" s="3032">
        <v>183.45893171999995</v>
      </c>
      <c r="U24" s="3032">
        <v>178.87039532999998</v>
      </c>
      <c r="V24" s="3032">
        <v>172.28696393999999</v>
      </c>
      <c r="W24" s="3032">
        <v>173.01027386000001</v>
      </c>
      <c r="X24" s="3032">
        <v>166.06333506999999</v>
      </c>
      <c r="Y24" s="3032">
        <v>164.53763904000002</v>
      </c>
      <c r="Z24" s="3035">
        <v>159.22823878</v>
      </c>
      <c r="AA24" s="3035">
        <v>152.75633329000001</v>
      </c>
      <c r="AB24" s="3035">
        <v>157.04296821</v>
      </c>
      <c r="AC24" s="3035">
        <v>149.56026201999998</v>
      </c>
      <c r="AD24" s="3035">
        <v>141.62629385</v>
      </c>
      <c r="AE24" s="3035">
        <v>129.33400417999999</v>
      </c>
      <c r="AF24" s="3035">
        <v>122.55212059999999</v>
      </c>
      <c r="AG24" s="3035">
        <v>119.73489736999997</v>
      </c>
      <c r="AH24" s="3035">
        <v>111.80831683999997</v>
      </c>
      <c r="AI24" s="3035">
        <v>85.224259039999978</v>
      </c>
      <c r="AJ24" s="3035">
        <v>87.071475550000002</v>
      </c>
      <c r="AK24" s="3035">
        <v>84.581908439999992</v>
      </c>
      <c r="AL24" s="3035">
        <v>77.591613200000012</v>
      </c>
    </row>
    <row r="25" spans="1:38" ht="27.95" customHeight="1" thickBot="1" x14ac:dyDescent="0.3">
      <c r="A25" s="3016" t="s">
        <v>4803</v>
      </c>
      <c r="B25" s="3032">
        <v>10.164715470000001</v>
      </c>
      <c r="C25" s="3032">
        <v>10.164715470000001</v>
      </c>
      <c r="D25" s="3032">
        <v>10.13967422</v>
      </c>
      <c r="E25" s="3032">
        <v>10.17709522</v>
      </c>
      <c r="F25" s="3032">
        <v>9.2246077199999998</v>
      </c>
      <c r="G25" s="3032">
        <v>9.1795852199999999</v>
      </c>
      <c r="H25" s="3032">
        <v>9.1850189700000016</v>
      </c>
      <c r="I25" s="3032">
        <v>9.232450720000001</v>
      </c>
      <c r="J25" s="3032">
        <v>9.2246019700000002</v>
      </c>
      <c r="K25" s="3032">
        <v>9.2246024700000007</v>
      </c>
      <c r="L25" s="3032">
        <v>9.2246024700000007</v>
      </c>
      <c r="M25" s="3032">
        <v>9.2246024700000007</v>
      </c>
      <c r="N25" s="3032">
        <v>9.1882044700000005</v>
      </c>
      <c r="O25" s="3032">
        <v>9.1771707200000012</v>
      </c>
      <c r="P25" s="3032">
        <v>0</v>
      </c>
      <c r="Q25" s="3032">
        <v>0</v>
      </c>
      <c r="R25" s="3032">
        <v>0</v>
      </c>
      <c r="S25" s="3032">
        <v>0</v>
      </c>
      <c r="T25" s="3032">
        <v>0</v>
      </c>
      <c r="U25" s="3032">
        <v>0</v>
      </c>
      <c r="V25" s="3032">
        <v>0</v>
      </c>
      <c r="W25" s="3032">
        <v>0</v>
      </c>
      <c r="X25" s="3032">
        <v>0</v>
      </c>
      <c r="Y25" s="3032">
        <v>0</v>
      </c>
      <c r="Z25" s="3035">
        <v>0</v>
      </c>
      <c r="AA25" s="3035">
        <v>0</v>
      </c>
      <c r="AB25" s="3035">
        <v>0</v>
      </c>
      <c r="AC25" s="3035">
        <v>0</v>
      </c>
      <c r="AD25" s="3035">
        <v>0</v>
      </c>
      <c r="AE25" s="3035">
        <v>0</v>
      </c>
      <c r="AF25" s="3035">
        <v>0</v>
      </c>
      <c r="AG25" s="3035">
        <v>0</v>
      </c>
      <c r="AH25" s="3035">
        <v>0</v>
      </c>
      <c r="AI25" s="3035">
        <v>0</v>
      </c>
      <c r="AJ25" s="3035">
        <v>0</v>
      </c>
      <c r="AK25" s="3035">
        <v>0</v>
      </c>
      <c r="AL25" s="3035">
        <v>0</v>
      </c>
    </row>
    <row r="26" spans="1:38" ht="27.95" customHeight="1" x14ac:dyDescent="0.25">
      <c r="A26" s="3037" t="s">
        <v>2877</v>
      </c>
      <c r="B26" s="3069">
        <v>10.16913344</v>
      </c>
      <c r="C26" s="3069">
        <v>11.36843359</v>
      </c>
      <c r="D26" s="3069">
        <v>11.65545966</v>
      </c>
      <c r="E26" s="3069">
        <v>11.49918778</v>
      </c>
      <c r="F26" s="3069">
        <v>12.289257279999999</v>
      </c>
      <c r="G26" s="3069">
        <v>13.782049460000001</v>
      </c>
      <c r="H26" s="3069">
        <v>10.614540379999999</v>
      </c>
      <c r="I26" s="3069">
        <v>15.03454924</v>
      </c>
      <c r="J26" s="3069">
        <v>15.663357730000001</v>
      </c>
      <c r="K26" s="3069">
        <v>15.256561</v>
      </c>
      <c r="L26" s="3069">
        <v>15.59121388</v>
      </c>
      <c r="M26" s="3069">
        <v>15.37445666</v>
      </c>
      <c r="N26" s="3069">
        <v>14.943050379999999</v>
      </c>
      <c r="O26" s="3069">
        <v>14.470511589999999</v>
      </c>
      <c r="P26" s="3069">
        <v>10.84317306</v>
      </c>
      <c r="Q26" s="3069">
        <v>17.31644322</v>
      </c>
      <c r="R26" s="3069">
        <v>17.089838689999997</v>
      </c>
      <c r="S26" s="3069">
        <v>16.906848969999999</v>
      </c>
      <c r="T26" s="3069">
        <v>16.353613240000001</v>
      </c>
      <c r="U26" s="3069">
        <v>15.366368529999999</v>
      </c>
      <c r="V26" s="3069">
        <v>15.013795380000001</v>
      </c>
      <c r="W26" s="3069">
        <v>18.530971649999998</v>
      </c>
      <c r="X26" s="3069">
        <v>25.41919725</v>
      </c>
      <c r="Y26" s="3069">
        <v>19.031955870000001</v>
      </c>
      <c r="Z26" s="3039">
        <v>18.735012709999999</v>
      </c>
      <c r="AA26" s="3039">
        <v>18.766498809999998</v>
      </c>
      <c r="AB26" s="3039">
        <v>18.47641131</v>
      </c>
      <c r="AC26" s="3039">
        <v>20.855390499999999</v>
      </c>
      <c r="AD26" s="3039">
        <v>20.659764079999999</v>
      </c>
      <c r="AE26" s="3039">
        <v>20.107755190000002</v>
      </c>
      <c r="AF26" s="3039">
        <v>19.972582210000002</v>
      </c>
      <c r="AG26" s="3039">
        <v>19.81908997</v>
      </c>
      <c r="AH26" s="3039">
        <v>19.063494420000001</v>
      </c>
      <c r="AI26" s="3039">
        <v>22.226689649999997</v>
      </c>
      <c r="AJ26" s="3039">
        <v>22.97931543</v>
      </c>
      <c r="AK26" s="3039">
        <v>15.604337879999999</v>
      </c>
      <c r="AL26" s="3039">
        <v>15.362800709999998</v>
      </c>
    </row>
    <row r="27" spans="1:38" ht="27.95" customHeight="1" x14ac:dyDescent="0.25">
      <c r="A27" s="3020" t="s">
        <v>4804</v>
      </c>
      <c r="B27" s="3032">
        <v>0</v>
      </c>
      <c r="C27" s="3032">
        <v>0</v>
      </c>
      <c r="D27" s="3032">
        <v>0</v>
      </c>
      <c r="E27" s="3032">
        <v>0</v>
      </c>
      <c r="F27" s="3032">
        <v>0</v>
      </c>
      <c r="G27" s="3032">
        <v>0</v>
      </c>
      <c r="H27" s="3032">
        <v>0</v>
      </c>
      <c r="I27" s="3032">
        <v>0</v>
      </c>
      <c r="J27" s="3032">
        <v>0</v>
      </c>
      <c r="K27" s="3032">
        <v>0</v>
      </c>
      <c r="L27" s="3032">
        <v>0</v>
      </c>
      <c r="M27" s="3032">
        <v>0</v>
      </c>
      <c r="N27" s="3032">
        <v>0</v>
      </c>
      <c r="O27" s="3032">
        <v>0</v>
      </c>
      <c r="P27" s="3032">
        <v>0</v>
      </c>
      <c r="Q27" s="3032">
        <v>0</v>
      </c>
      <c r="R27" s="3032">
        <v>0</v>
      </c>
      <c r="S27" s="3032">
        <v>0</v>
      </c>
      <c r="T27" s="3032">
        <v>0</v>
      </c>
      <c r="U27" s="3032">
        <v>0</v>
      </c>
      <c r="V27" s="3032">
        <v>0</v>
      </c>
      <c r="W27" s="3032">
        <v>0</v>
      </c>
      <c r="X27" s="3032">
        <v>0</v>
      </c>
      <c r="Y27" s="3032">
        <v>9.5332110500000002</v>
      </c>
      <c r="Z27" s="3035">
        <v>9.244465550000001</v>
      </c>
      <c r="AA27" s="3035">
        <v>8.9536154000000003</v>
      </c>
      <c r="AB27" s="3035">
        <v>8.6206920099999991</v>
      </c>
      <c r="AC27" s="3035">
        <v>11.284746269999999</v>
      </c>
      <c r="AD27" s="3035">
        <v>10.866020259999999</v>
      </c>
      <c r="AE27" s="3035">
        <v>10.44466096</v>
      </c>
      <c r="AF27" s="3035">
        <v>9.054771689999999</v>
      </c>
      <c r="AG27" s="3035">
        <v>13.06099217</v>
      </c>
      <c r="AH27" s="3035">
        <v>12.612423960000001</v>
      </c>
      <c r="AI27" s="3035">
        <v>11.51286522</v>
      </c>
      <c r="AJ27" s="3035">
        <v>11.18165731</v>
      </c>
      <c r="AK27" s="3035">
        <v>10.80878308</v>
      </c>
      <c r="AL27" s="3035">
        <v>10.42997946</v>
      </c>
    </row>
    <row r="28" spans="1:38" ht="27.95" customHeight="1" thickBot="1" x14ac:dyDescent="0.3">
      <c r="A28" s="3070" t="s">
        <v>2879</v>
      </c>
      <c r="B28" s="3071">
        <v>0</v>
      </c>
      <c r="C28" s="3071">
        <v>0</v>
      </c>
      <c r="D28" s="3071">
        <v>0</v>
      </c>
      <c r="E28" s="3071">
        <v>0</v>
      </c>
      <c r="F28" s="3071">
        <v>0</v>
      </c>
      <c r="G28" s="3071">
        <v>0</v>
      </c>
      <c r="H28" s="3071">
        <v>0</v>
      </c>
      <c r="I28" s="3071">
        <v>0</v>
      </c>
      <c r="J28" s="3071">
        <v>0</v>
      </c>
      <c r="K28" s="3071">
        <v>0</v>
      </c>
      <c r="L28" s="3071">
        <v>0</v>
      </c>
      <c r="M28" s="3071">
        <v>0</v>
      </c>
      <c r="N28" s="3071">
        <v>0.94662819999999992</v>
      </c>
      <c r="O28" s="3071">
        <v>0.93338726000000005</v>
      </c>
      <c r="P28" s="3071">
        <v>0.92006632999999993</v>
      </c>
      <c r="Q28" s="3071">
        <v>0.9066649200000001</v>
      </c>
      <c r="R28" s="3071">
        <v>0.89318255000000002</v>
      </c>
      <c r="S28" s="3071">
        <v>0.87961871999999997</v>
      </c>
      <c r="T28" s="3071">
        <v>0.86597293999999991</v>
      </c>
      <c r="U28" s="3071">
        <v>0.85224471999999996</v>
      </c>
      <c r="V28" s="3071">
        <v>0.83843355000000008</v>
      </c>
      <c r="W28" s="3071">
        <v>0.82453894999999999</v>
      </c>
      <c r="X28" s="3071">
        <v>2.9297474999999999</v>
      </c>
      <c r="Y28" s="3071">
        <v>0.79649738000000003</v>
      </c>
      <c r="Z28" s="3072">
        <v>0.78234942000000007</v>
      </c>
      <c r="AA28" s="3072">
        <v>0.76811596999999998</v>
      </c>
      <c r="AB28" s="3072">
        <v>0.75379653000000002</v>
      </c>
      <c r="AC28" s="3072">
        <v>0.73939056999999997</v>
      </c>
      <c r="AD28" s="3072">
        <v>0.72489758999999998</v>
      </c>
      <c r="AE28" s="3072">
        <v>0.71031704000000007</v>
      </c>
      <c r="AF28" s="3072">
        <v>0.71449467</v>
      </c>
      <c r="AG28" s="3072">
        <v>0.68089113000000001</v>
      </c>
      <c r="AH28" s="3072">
        <v>0.66604469999999993</v>
      </c>
      <c r="AI28" s="3072">
        <v>0.66995486000000004</v>
      </c>
      <c r="AJ28" s="3072">
        <v>0.65492850000000002</v>
      </c>
      <c r="AK28" s="3072">
        <v>0.63981135999999994</v>
      </c>
      <c r="AL28" s="3072">
        <v>0.62087429000000005</v>
      </c>
    </row>
    <row r="29" spans="1:38" ht="27.95" customHeight="1" thickTop="1" thickBot="1" x14ac:dyDescent="0.3">
      <c r="A29" s="3040" t="s">
        <v>2880</v>
      </c>
      <c r="B29" s="3073">
        <v>62940.741530889994</v>
      </c>
      <c r="C29" s="3073">
        <v>63092.996645839994</v>
      </c>
      <c r="D29" s="3073">
        <v>62952.402119119994</v>
      </c>
      <c r="E29" s="3073">
        <v>63005.937751320009</v>
      </c>
      <c r="F29" s="3073">
        <v>62983.697272569989</v>
      </c>
      <c r="G29" s="3073">
        <v>63434.985151500005</v>
      </c>
      <c r="H29" s="3073">
        <v>64015.087595229998</v>
      </c>
      <c r="I29" s="3073">
        <v>64116.730320269999</v>
      </c>
      <c r="J29" s="3073">
        <v>64251.745133150005</v>
      </c>
      <c r="K29" s="3073">
        <v>64167.50631456</v>
      </c>
      <c r="L29" s="3073">
        <v>64273.789861030004</v>
      </c>
      <c r="M29" s="3073">
        <v>64803.552646210002</v>
      </c>
      <c r="N29" s="3073">
        <v>65648.582187440014</v>
      </c>
      <c r="O29" s="3073">
        <v>65209.124655729989</v>
      </c>
      <c r="P29" s="3073">
        <v>51333.94911247999</v>
      </c>
      <c r="Q29" s="3073">
        <v>51074.885612489998</v>
      </c>
      <c r="R29" s="3073">
        <v>50751.705237739989</v>
      </c>
      <c r="S29" s="3073">
        <v>50706.598559680002</v>
      </c>
      <c r="T29" s="3073">
        <v>50412.561810580002</v>
      </c>
      <c r="U29" s="3073">
        <v>50746.287516699995</v>
      </c>
      <c r="V29" s="3073">
        <v>51093.548557920003</v>
      </c>
      <c r="W29" s="3073">
        <v>51759.644968820001</v>
      </c>
      <c r="X29" s="3073">
        <v>50820.866306240001</v>
      </c>
      <c r="Y29" s="3073">
        <v>51184.039431979996</v>
      </c>
      <c r="Z29" s="3073">
        <v>51050.350472270002</v>
      </c>
      <c r="AA29" s="3073">
        <v>51920.221772180004</v>
      </c>
      <c r="AB29" s="3073">
        <v>52717.671419569997</v>
      </c>
      <c r="AC29" s="3073">
        <v>52794.196230100002</v>
      </c>
      <c r="AD29" s="3073">
        <v>52534.484216960002</v>
      </c>
      <c r="AE29" s="3073">
        <v>52282.461528779997</v>
      </c>
      <c r="AF29" s="3073">
        <v>52666.756112359995</v>
      </c>
      <c r="AG29" s="3073">
        <v>53004.517615600002</v>
      </c>
      <c r="AH29" s="3073">
        <v>53203.934189160005</v>
      </c>
      <c r="AI29" s="3073">
        <v>53368.381187850006</v>
      </c>
      <c r="AJ29" s="3073">
        <v>53476.58121592</v>
      </c>
      <c r="AK29" s="3073">
        <v>53378.836470950009</v>
      </c>
      <c r="AL29" s="3073">
        <v>53437.512443369997</v>
      </c>
    </row>
    <row r="30" spans="1:38" ht="27.95" customHeight="1" thickTop="1" thickBot="1" x14ac:dyDescent="0.3">
      <c r="A30" s="3040" t="s">
        <v>2881</v>
      </c>
      <c r="B30" s="3073">
        <v>62930.572397449992</v>
      </c>
      <c r="C30" s="3073">
        <v>63081.628212249991</v>
      </c>
      <c r="D30" s="3073">
        <v>62940.74665945999</v>
      </c>
      <c r="E30" s="3073">
        <v>62994.43856354001</v>
      </c>
      <c r="F30" s="3073">
        <v>62971.408015289991</v>
      </c>
      <c r="G30" s="3073">
        <v>63421.203102040003</v>
      </c>
      <c r="H30" s="3073">
        <v>64004.473054850001</v>
      </c>
      <c r="I30" s="3073">
        <v>64101.695771029998</v>
      </c>
      <c r="J30" s="3073">
        <v>64236.081775420003</v>
      </c>
      <c r="K30" s="3073">
        <v>64152.249753559998</v>
      </c>
      <c r="L30" s="3073">
        <v>64258.198647150006</v>
      </c>
      <c r="M30" s="3073">
        <v>64788.178189550003</v>
      </c>
      <c r="N30" s="3073">
        <v>65632.692508860011</v>
      </c>
      <c r="O30" s="3073">
        <v>65193.720756879993</v>
      </c>
      <c r="P30" s="3073">
        <v>51322.185873089991</v>
      </c>
      <c r="Q30" s="3073">
        <v>51056.662504349995</v>
      </c>
      <c r="R30" s="3073">
        <v>50733.722216499991</v>
      </c>
      <c r="S30" s="3073">
        <v>50688.812091990003</v>
      </c>
      <c r="T30" s="3073">
        <v>50395.342224400003</v>
      </c>
      <c r="U30" s="3073">
        <v>50730.068903449996</v>
      </c>
      <c r="V30" s="3073">
        <v>51077.696328990001</v>
      </c>
      <c r="W30" s="3073">
        <v>51740.289458220002</v>
      </c>
      <c r="X30" s="3073">
        <v>50792.517361490005</v>
      </c>
      <c r="Y30" s="3073">
        <v>51154.677767679997</v>
      </c>
      <c r="Z30" s="3073">
        <v>51021.588644590003</v>
      </c>
      <c r="AA30" s="3073">
        <v>51891.733542000002</v>
      </c>
      <c r="AB30" s="3073">
        <v>52689.820519719993</v>
      </c>
      <c r="AC30" s="3073">
        <v>52761.316702759999</v>
      </c>
      <c r="AD30" s="3073">
        <v>52502.233535029998</v>
      </c>
      <c r="AE30" s="3073">
        <v>52251.198795589997</v>
      </c>
      <c r="AF30" s="3073">
        <v>52637.014263789999</v>
      </c>
      <c r="AG30" s="3073">
        <v>52970.956642329991</v>
      </c>
      <c r="AH30" s="3073">
        <v>53171.592246079999</v>
      </c>
      <c r="AI30" s="3073">
        <v>53333.971678120004</v>
      </c>
      <c r="AJ30" s="3073">
        <v>53441.765314680008</v>
      </c>
      <c r="AK30" s="3073">
        <v>53351.783538629992</v>
      </c>
      <c r="AL30" s="3073">
        <v>53411.098788909992</v>
      </c>
    </row>
    <row r="31" spans="1:38" ht="16.5" customHeight="1" thickTop="1" x14ac:dyDescent="0.25">
      <c r="A31" s="2868" t="s">
        <v>173</v>
      </c>
      <c r="B31" s="3074"/>
      <c r="C31" s="3074"/>
      <c r="D31" s="3074"/>
      <c r="E31" s="3074"/>
      <c r="F31" s="3074"/>
      <c r="G31" s="3074"/>
      <c r="H31" s="3074"/>
      <c r="I31" s="3074"/>
      <c r="J31" s="3074"/>
      <c r="K31" s="3074"/>
      <c r="L31" s="3074"/>
      <c r="M31" s="3074"/>
      <c r="N31" s="3074"/>
      <c r="O31" s="3074"/>
      <c r="P31" s="3074"/>
      <c r="Q31" s="3074"/>
      <c r="R31" s="3074"/>
      <c r="S31" s="3074"/>
      <c r="T31" s="3074"/>
      <c r="U31" s="3074"/>
      <c r="V31" s="3074"/>
      <c r="W31" s="3074"/>
      <c r="X31" s="1428"/>
      <c r="Y31" s="1428"/>
      <c r="Z31" s="1428"/>
      <c r="AA31" s="1428"/>
      <c r="AB31" s="1428"/>
      <c r="AC31" s="1428"/>
      <c r="AD31" s="1428"/>
      <c r="AE31" s="1428"/>
      <c r="AF31" s="1428"/>
      <c r="AG31" s="1428"/>
      <c r="AH31" s="1428"/>
      <c r="AI31" s="1428"/>
      <c r="AJ31" s="1428"/>
      <c r="AK31" s="1428"/>
      <c r="AL31" s="1428"/>
    </row>
    <row r="32" spans="1:38" ht="16.5" customHeight="1" x14ac:dyDescent="0.25">
      <c r="A32" s="2868" t="s">
        <v>4797</v>
      </c>
      <c r="B32" s="3075"/>
      <c r="C32" s="3075"/>
      <c r="D32" s="3075"/>
      <c r="E32" s="3075"/>
      <c r="F32" s="3075"/>
      <c r="G32" s="3075"/>
      <c r="H32" s="3075"/>
      <c r="I32" s="3075"/>
      <c r="J32" s="3075"/>
      <c r="K32" s="3075"/>
      <c r="L32" s="3075"/>
      <c r="M32" s="3075"/>
      <c r="N32" s="3075"/>
      <c r="O32" s="3075"/>
      <c r="P32" s="3075"/>
      <c r="Q32" s="3075"/>
      <c r="R32" s="3075"/>
      <c r="S32" s="3075"/>
      <c r="T32" s="3075"/>
      <c r="U32" s="3075"/>
      <c r="V32" s="3075"/>
      <c r="W32" s="3075"/>
    </row>
    <row r="33" spans="1:38" ht="16.5" customHeight="1" x14ac:dyDescent="0.25">
      <c r="A33" s="2329" t="s">
        <v>4805</v>
      </c>
      <c r="B33" s="691"/>
      <c r="C33" s="691"/>
      <c r="D33" s="691"/>
      <c r="E33" s="691"/>
      <c r="F33" s="691"/>
      <c r="G33" s="691"/>
      <c r="H33" s="691"/>
      <c r="I33" s="691"/>
      <c r="J33" s="691"/>
      <c r="K33" s="691"/>
      <c r="L33" s="691"/>
      <c r="M33" s="691"/>
      <c r="N33" s="691"/>
      <c r="O33" s="691"/>
      <c r="P33" s="691"/>
      <c r="Q33" s="691"/>
      <c r="R33" s="691"/>
      <c r="S33" s="691"/>
      <c r="T33" s="691"/>
      <c r="U33" s="691"/>
      <c r="V33" s="691"/>
      <c r="W33" s="691"/>
    </row>
    <row r="34" spans="1:38" ht="18.75" customHeight="1" x14ac:dyDescent="0.25">
      <c r="A34" s="3043" t="s">
        <v>290</v>
      </c>
      <c r="B34" s="3052"/>
      <c r="C34" s="3076"/>
      <c r="D34" s="3052"/>
      <c r="E34" s="631"/>
      <c r="F34" s="631"/>
      <c r="G34" s="631"/>
      <c r="H34" s="631"/>
      <c r="I34" s="631"/>
      <c r="J34" s="631"/>
      <c r="K34" s="631"/>
      <c r="L34" s="631"/>
      <c r="M34" s="631"/>
      <c r="N34" s="631"/>
      <c r="O34" s="631"/>
      <c r="P34" s="631"/>
      <c r="Q34" s="631"/>
      <c r="R34" s="631"/>
      <c r="S34" s="631"/>
      <c r="T34" s="631"/>
      <c r="U34" s="631"/>
      <c r="V34" s="631"/>
      <c r="W34" s="631"/>
      <c r="X34" s="631"/>
      <c r="Y34" s="631"/>
      <c r="Z34" s="631"/>
      <c r="AA34" s="631"/>
      <c r="AB34" s="631"/>
      <c r="AC34" s="631"/>
      <c r="AD34" s="631"/>
      <c r="AE34" s="631"/>
      <c r="AF34" s="631"/>
      <c r="AG34" s="631"/>
      <c r="AH34" s="631"/>
      <c r="AI34" s="631"/>
      <c r="AJ34" s="631"/>
      <c r="AK34" s="631"/>
      <c r="AL34" s="631"/>
    </row>
    <row r="35" spans="1:38" ht="18" customHeight="1" x14ac:dyDescent="0.35">
      <c r="B35" s="3075"/>
      <c r="C35" s="3075"/>
      <c r="D35" s="3075"/>
      <c r="E35" s="3075"/>
      <c r="F35" s="3075"/>
      <c r="G35" s="3075"/>
      <c r="H35" s="3075"/>
      <c r="I35" s="3075"/>
      <c r="J35" s="3075"/>
      <c r="K35" s="3075"/>
      <c r="L35" s="3075"/>
      <c r="M35" s="3075"/>
      <c r="N35" s="3075"/>
      <c r="O35" s="3075"/>
      <c r="P35" s="3075"/>
      <c r="Q35" s="3075"/>
      <c r="R35" s="3075"/>
      <c r="S35" s="3075"/>
      <c r="T35" s="3075"/>
      <c r="U35" s="3075"/>
      <c r="V35" s="3075"/>
      <c r="W35" s="3075"/>
    </row>
    <row r="36" spans="1:38" x14ac:dyDescent="0.35">
      <c r="A36" s="2878"/>
    </row>
    <row r="38" spans="1:38" x14ac:dyDescent="0.35">
      <c r="B38" s="3077"/>
      <c r="C38" s="3077"/>
      <c r="D38" s="3077"/>
      <c r="E38" s="3077"/>
      <c r="F38" s="3077"/>
      <c r="G38" s="3077"/>
      <c r="H38" s="3077"/>
      <c r="I38" s="3077"/>
      <c r="J38" s="3077"/>
      <c r="K38" s="3077"/>
      <c r="L38" s="3077"/>
      <c r="M38" s="3077"/>
      <c r="N38" s="3077"/>
      <c r="O38" s="3077"/>
      <c r="P38" s="3077"/>
      <c r="Q38" s="3077"/>
      <c r="R38" s="3077"/>
      <c r="S38" s="3077"/>
      <c r="T38" s="3077"/>
      <c r="U38" s="3077"/>
      <c r="V38" s="3077"/>
      <c r="W38" s="3077"/>
    </row>
    <row r="39" spans="1:38" x14ac:dyDescent="0.35">
      <c r="B39" s="3077"/>
      <c r="C39" s="3077"/>
      <c r="D39" s="3077"/>
      <c r="E39" s="3077"/>
      <c r="F39" s="3077"/>
      <c r="G39" s="3077"/>
      <c r="H39" s="3077"/>
      <c r="I39" s="3077"/>
      <c r="J39" s="3077"/>
      <c r="K39" s="3077"/>
      <c r="L39" s="3077"/>
      <c r="M39" s="3077"/>
      <c r="N39" s="3077"/>
      <c r="O39" s="3077"/>
      <c r="P39" s="3077"/>
      <c r="Q39" s="3077"/>
      <c r="R39" s="3077"/>
      <c r="S39" s="3077"/>
      <c r="T39" s="3077"/>
      <c r="U39" s="3077"/>
      <c r="V39" s="3077"/>
      <c r="W39" s="3077"/>
    </row>
  </sheetData>
  <pageMargins left="0.75" right="0.75" top="0.75" bottom="0.75" header="0.3" footer="0"/>
  <pageSetup paperSize="9" scale="43"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WJ36"/>
  <sheetViews>
    <sheetView zoomScaleNormal="100" zoomScaleSheetLayoutView="80" workbookViewId="0">
      <selection activeCell="A38" sqref="A38"/>
    </sheetView>
  </sheetViews>
  <sheetFormatPr defaultColWidth="74.28515625" defaultRowHeight="20.25" x14ac:dyDescent="0.35"/>
  <cols>
    <col min="1" max="1" width="91.85546875" style="625" customWidth="1"/>
    <col min="2" max="8" width="15.7109375" style="627" hidden="1" customWidth="1"/>
    <col min="9" max="21" width="15.7109375" style="627" customWidth="1"/>
    <col min="22" max="22" width="5" style="627" customWidth="1"/>
    <col min="23" max="65" width="15.7109375" style="627" customWidth="1"/>
    <col min="66" max="16384" width="74.28515625" style="627"/>
  </cols>
  <sheetData>
    <row r="1" spans="1:21" ht="18.75" x14ac:dyDescent="0.3">
      <c r="A1" s="2871" t="s">
        <v>4806</v>
      </c>
    </row>
    <row r="2" spans="1:21" ht="18" thickBot="1" x14ac:dyDescent="0.35">
      <c r="A2" s="3059"/>
      <c r="B2" s="1694"/>
      <c r="C2" s="1694"/>
      <c r="D2" s="1694"/>
      <c r="E2" s="1694"/>
      <c r="F2" s="1694"/>
      <c r="G2" s="1694"/>
      <c r="H2" s="1694"/>
      <c r="I2" s="1694"/>
      <c r="J2" s="1694"/>
      <c r="K2" s="3015"/>
      <c r="L2" s="3015"/>
      <c r="M2" s="3015"/>
      <c r="N2" s="3015"/>
      <c r="O2" s="3015"/>
      <c r="P2" s="3015"/>
      <c r="Q2" s="3015"/>
      <c r="R2" s="3015"/>
      <c r="S2" s="3015"/>
      <c r="T2" s="3015"/>
      <c r="U2" s="3015" t="s">
        <v>2734</v>
      </c>
    </row>
    <row r="3" spans="1:21" s="631" customFormat="1" ht="18" thickTop="1" thickBot="1" x14ac:dyDescent="0.3">
      <c r="A3" s="3061"/>
      <c r="B3" s="3063">
        <v>44592</v>
      </c>
      <c r="C3" s="3063">
        <v>44620</v>
      </c>
      <c r="D3" s="3063">
        <v>44651</v>
      </c>
      <c r="E3" s="3063">
        <v>44676</v>
      </c>
      <c r="F3" s="3063">
        <v>44701</v>
      </c>
      <c r="G3" s="3063">
        <v>44732</v>
      </c>
      <c r="H3" s="3063">
        <v>44763</v>
      </c>
      <c r="I3" s="3063">
        <v>44794</v>
      </c>
      <c r="J3" s="3063">
        <v>44825</v>
      </c>
      <c r="K3" s="3063">
        <v>44855</v>
      </c>
      <c r="L3" s="3063">
        <v>44886</v>
      </c>
      <c r="M3" s="3063">
        <v>44917</v>
      </c>
      <c r="N3" s="3063">
        <v>44948</v>
      </c>
      <c r="O3" s="3063">
        <v>44979</v>
      </c>
      <c r="P3" s="3063">
        <v>45007</v>
      </c>
      <c r="Q3" s="3063">
        <v>45038</v>
      </c>
      <c r="R3" s="3063">
        <v>45068</v>
      </c>
      <c r="S3" s="3063">
        <v>45099</v>
      </c>
      <c r="T3" s="3063">
        <v>45129</v>
      </c>
      <c r="U3" s="3063">
        <v>45160</v>
      </c>
    </row>
    <row r="4" spans="1:21" s="631" customFormat="1" ht="17.25" thickTop="1" x14ac:dyDescent="0.25">
      <c r="A4" s="3016" t="s">
        <v>2737</v>
      </c>
      <c r="B4" s="3065">
        <v>4680.0048549599996</v>
      </c>
      <c r="C4" s="3065">
        <v>4657.8454251599996</v>
      </c>
      <c r="D4" s="3065">
        <v>4603.769144150001</v>
      </c>
      <c r="E4" s="3065">
        <v>4609.2590612100012</v>
      </c>
      <c r="F4" s="3065">
        <v>4623.8084033699997</v>
      </c>
      <c r="G4" s="3065">
        <v>4677.392518059999</v>
      </c>
      <c r="H4" s="3065">
        <v>4742.9071783200006</v>
      </c>
      <c r="I4" s="3065">
        <v>4751.0296066399997</v>
      </c>
      <c r="J4" s="3065">
        <v>4795.6257738400009</v>
      </c>
      <c r="K4" s="3065">
        <v>4836.8423120199996</v>
      </c>
      <c r="L4" s="3065">
        <v>4878.6916352300013</v>
      </c>
      <c r="M4" s="3065">
        <v>4955.3528091300013</v>
      </c>
      <c r="N4" s="3065">
        <v>4919.9850906599995</v>
      </c>
      <c r="O4" s="3065">
        <v>4967.3890903700003</v>
      </c>
      <c r="P4" s="3065">
        <v>5015.4579388900002</v>
      </c>
      <c r="Q4" s="3065">
        <v>5116.1891844000002</v>
      </c>
      <c r="R4" s="3065">
        <v>5110.1360052800001</v>
      </c>
      <c r="S4" s="3065">
        <v>5200.1364394699995</v>
      </c>
      <c r="T4" s="3065">
        <v>5176.4872533500002</v>
      </c>
      <c r="U4" s="3065">
        <v>5213.6806160100004</v>
      </c>
    </row>
    <row r="5" spans="1:21" s="631" customFormat="1" ht="16.5" x14ac:dyDescent="0.25">
      <c r="A5" s="3020" t="s">
        <v>4796</v>
      </c>
      <c r="B5" s="3017">
        <v>276.41036751999997</v>
      </c>
      <c r="C5" s="3017">
        <v>271.62751910000003</v>
      </c>
      <c r="D5" s="3017">
        <v>263.09595705999999</v>
      </c>
      <c r="E5" s="3017">
        <v>216.41300228000003</v>
      </c>
      <c r="F5" s="3017">
        <v>210.19198481999999</v>
      </c>
      <c r="G5" s="3017">
        <v>225.22908180999997</v>
      </c>
      <c r="H5" s="3017">
        <v>226.55339130000004</v>
      </c>
      <c r="I5" s="3017">
        <v>222.81140329000002</v>
      </c>
      <c r="J5" s="3017">
        <v>221.8115775</v>
      </c>
      <c r="K5" s="3017">
        <v>234.34295354999995</v>
      </c>
      <c r="L5" s="3017">
        <v>226.32186787999999</v>
      </c>
      <c r="M5" s="3017">
        <v>228.85980835000004</v>
      </c>
      <c r="N5" s="3017">
        <v>225.49598764999999</v>
      </c>
      <c r="O5" s="3017">
        <v>222.73133622</v>
      </c>
      <c r="P5" s="3017">
        <v>221.04614652999999</v>
      </c>
      <c r="Q5" s="3017">
        <v>225.90712705999999</v>
      </c>
      <c r="R5" s="3017">
        <v>226.10794428</v>
      </c>
      <c r="S5" s="3017">
        <v>226.04710571000001</v>
      </c>
      <c r="T5" s="3017">
        <v>225.83168132000003</v>
      </c>
      <c r="U5" s="3017">
        <v>233.74563609000003</v>
      </c>
    </row>
    <row r="6" spans="1:21" s="1968" customFormat="1" ht="16.5" x14ac:dyDescent="0.25">
      <c r="A6" s="3020" t="s">
        <v>2744</v>
      </c>
      <c r="B6" s="3017">
        <v>0</v>
      </c>
      <c r="C6" s="3017">
        <v>0</v>
      </c>
      <c r="D6" s="3017">
        <v>0</v>
      </c>
      <c r="E6" s="3017">
        <v>0</v>
      </c>
      <c r="F6" s="3017">
        <v>0</v>
      </c>
      <c r="G6" s="3017">
        <v>0</v>
      </c>
      <c r="H6" s="3017">
        <v>0</v>
      </c>
      <c r="I6" s="3017">
        <v>0</v>
      </c>
      <c r="J6" s="3017">
        <v>0</v>
      </c>
      <c r="K6" s="3017">
        <v>0</v>
      </c>
      <c r="L6" s="3017">
        <v>0</v>
      </c>
      <c r="M6" s="3017">
        <v>0</v>
      </c>
      <c r="N6" s="3017">
        <v>0</v>
      </c>
      <c r="O6" s="3017">
        <v>0</v>
      </c>
      <c r="P6" s="3017">
        <v>0</v>
      </c>
      <c r="Q6" s="3017">
        <v>0</v>
      </c>
      <c r="R6" s="3017">
        <v>0</v>
      </c>
      <c r="S6" s="3017">
        <v>0</v>
      </c>
      <c r="T6" s="3017">
        <v>0</v>
      </c>
      <c r="U6" s="3017">
        <v>0</v>
      </c>
    </row>
    <row r="7" spans="1:21" s="1968" customFormat="1" ht="16.5" x14ac:dyDescent="0.25">
      <c r="A7" s="3020" t="s">
        <v>2745</v>
      </c>
      <c r="B7" s="3017">
        <v>709.93525239000007</v>
      </c>
      <c r="C7" s="3017">
        <v>695.44508646999986</v>
      </c>
      <c r="D7" s="3017">
        <v>681.48470735000001</v>
      </c>
      <c r="E7" s="3017">
        <v>689.97776736000014</v>
      </c>
      <c r="F7" s="3017">
        <v>694.49951062000002</v>
      </c>
      <c r="G7" s="3017">
        <v>701.40467910999996</v>
      </c>
      <c r="H7" s="3017">
        <v>701.08499053999981</v>
      </c>
      <c r="I7" s="3017">
        <v>690.79106187000014</v>
      </c>
      <c r="J7" s="3017">
        <v>702.93794957</v>
      </c>
      <c r="K7" s="3017">
        <v>688.93171935999987</v>
      </c>
      <c r="L7" s="3017">
        <v>674.74975655000003</v>
      </c>
      <c r="M7" s="3017">
        <v>719.14369106999993</v>
      </c>
      <c r="N7" s="3017">
        <v>714.00150459000008</v>
      </c>
      <c r="O7" s="3017">
        <v>706.42872721000015</v>
      </c>
      <c r="P7" s="3017">
        <v>725.43076341000005</v>
      </c>
      <c r="Q7" s="3017">
        <v>726.43401276000009</v>
      </c>
      <c r="R7" s="3017">
        <v>712.67189516000008</v>
      </c>
      <c r="S7" s="3017">
        <v>697.75184807999995</v>
      </c>
      <c r="T7" s="3017">
        <v>690.63806825999995</v>
      </c>
      <c r="U7" s="3017">
        <v>691.56246695999994</v>
      </c>
    </row>
    <row r="8" spans="1:21" s="1968" customFormat="1" ht="16.5" x14ac:dyDescent="0.25">
      <c r="A8" s="3020" t="s">
        <v>2768</v>
      </c>
      <c r="B8" s="3017">
        <v>12.309113280000002</v>
      </c>
      <c r="C8" s="3017">
        <v>12.385892229999998</v>
      </c>
      <c r="D8" s="3017">
        <v>11.473789219999999</v>
      </c>
      <c r="E8" s="3017">
        <v>11.17825403</v>
      </c>
      <c r="F8" s="3017">
        <v>10.25030419</v>
      </c>
      <c r="G8" s="3017">
        <v>9.7188870399999985</v>
      </c>
      <c r="H8" s="3017">
        <v>9.1445554499999986</v>
      </c>
      <c r="I8" s="3017">
        <v>9.0675485499999997</v>
      </c>
      <c r="J8" s="3017">
        <v>8.5019731200000006</v>
      </c>
      <c r="K8" s="3017">
        <v>8.0747523000000001</v>
      </c>
      <c r="L8" s="3017">
        <v>7.8770263299999996</v>
      </c>
      <c r="M8" s="3017">
        <v>7.5889314399999996</v>
      </c>
      <c r="N8" s="3017">
        <v>9.1644766900000008</v>
      </c>
      <c r="O8" s="3017">
        <v>8.8984331599999997</v>
      </c>
      <c r="P8" s="3017">
        <v>8.532252269999999</v>
      </c>
      <c r="Q8" s="3017">
        <v>8.3821330200000013</v>
      </c>
      <c r="R8" s="3017">
        <v>8.2569196799999993</v>
      </c>
      <c r="S8" s="3017">
        <v>8.0988453400000004</v>
      </c>
      <c r="T8" s="3017">
        <v>7.8718213600000011</v>
      </c>
      <c r="U8" s="3017">
        <v>7.7047541099999997</v>
      </c>
    </row>
    <row r="9" spans="1:21" s="1968" customFormat="1" ht="16.5" x14ac:dyDescent="0.25">
      <c r="A9" s="3020" t="s">
        <v>2769</v>
      </c>
      <c r="B9" s="3017">
        <v>21.15272989</v>
      </c>
      <c r="C9" s="3017">
        <v>21.80820765</v>
      </c>
      <c r="D9" s="3017">
        <v>21.930263660000001</v>
      </c>
      <c r="E9" s="3017">
        <v>22.37289556</v>
      </c>
      <c r="F9" s="3017">
        <v>21.640824289999998</v>
      </c>
      <c r="G9" s="3017">
        <v>20.76704823</v>
      </c>
      <c r="H9" s="3017">
        <v>20.102654789999999</v>
      </c>
      <c r="I9" s="3017">
        <v>19.408480279999999</v>
      </c>
      <c r="J9" s="3017">
        <v>18.832298619999996</v>
      </c>
      <c r="K9" s="3017">
        <v>18.163480069999999</v>
      </c>
      <c r="L9" s="3017">
        <v>18.556275960000001</v>
      </c>
      <c r="M9" s="3017">
        <v>17.911931029999998</v>
      </c>
      <c r="N9" s="3017">
        <v>17.188822950000002</v>
      </c>
      <c r="O9" s="3017">
        <v>16.692056210000001</v>
      </c>
      <c r="P9" s="3017">
        <v>19.05323907</v>
      </c>
      <c r="Q9" s="3017">
        <v>18.560059210000002</v>
      </c>
      <c r="R9" s="3017">
        <v>17.720332320000001</v>
      </c>
      <c r="S9" s="3017">
        <v>18.014051369999997</v>
      </c>
      <c r="T9" s="3017">
        <v>17.197276809999998</v>
      </c>
      <c r="U9" s="3017">
        <v>16.472377209999998</v>
      </c>
    </row>
    <row r="10" spans="1:21" s="631" customFormat="1" ht="16.5" x14ac:dyDescent="0.25">
      <c r="A10" s="3020" t="s">
        <v>2770</v>
      </c>
      <c r="B10" s="3017">
        <v>523.68663331000005</v>
      </c>
      <c r="C10" s="3017">
        <v>517.52512130000002</v>
      </c>
      <c r="D10" s="3017">
        <v>507.34831435000001</v>
      </c>
      <c r="E10" s="3017">
        <v>511.75945639000003</v>
      </c>
      <c r="F10" s="3017">
        <v>509.97048211999999</v>
      </c>
      <c r="G10" s="3017">
        <v>523.31784217000006</v>
      </c>
      <c r="H10" s="3017">
        <v>534.08158623999998</v>
      </c>
      <c r="I10" s="3017">
        <v>529.54892158999996</v>
      </c>
      <c r="J10" s="3017">
        <v>535.53613733000009</v>
      </c>
      <c r="K10" s="3017">
        <v>542.76709684000002</v>
      </c>
      <c r="L10" s="3017">
        <v>554.22748376999994</v>
      </c>
      <c r="M10" s="3017">
        <v>540.56691104999993</v>
      </c>
      <c r="N10" s="3017">
        <v>542.34970555999996</v>
      </c>
      <c r="O10" s="3017">
        <v>547.44616474999998</v>
      </c>
      <c r="P10" s="3017">
        <v>537.71036428000002</v>
      </c>
      <c r="Q10" s="3017">
        <v>549.95204224999998</v>
      </c>
      <c r="R10" s="3017">
        <v>539.39173111000002</v>
      </c>
      <c r="S10" s="3017">
        <v>530.24687149999988</v>
      </c>
      <c r="T10" s="3017">
        <v>533.28538501000003</v>
      </c>
      <c r="U10" s="3017">
        <v>535.51316491</v>
      </c>
    </row>
    <row r="11" spans="1:21" s="631" customFormat="1" ht="16.5" x14ac:dyDescent="0.25">
      <c r="A11" s="3020" t="s">
        <v>2780</v>
      </c>
      <c r="B11" s="3017">
        <v>1210.44203212</v>
      </c>
      <c r="C11" s="3017">
        <v>1207.9747760299999</v>
      </c>
      <c r="D11" s="3017">
        <v>1195.1647782600003</v>
      </c>
      <c r="E11" s="3017">
        <v>1200.02792333</v>
      </c>
      <c r="F11" s="3017">
        <v>1201.8191274900003</v>
      </c>
      <c r="G11" s="3017">
        <v>1198.21593472</v>
      </c>
      <c r="H11" s="3017">
        <v>1211.1747121399999</v>
      </c>
      <c r="I11" s="3017">
        <v>1207.7147548899998</v>
      </c>
      <c r="J11" s="3017">
        <v>1218.8567038300002</v>
      </c>
      <c r="K11" s="3017">
        <v>1224.4967180399999</v>
      </c>
      <c r="L11" s="3017">
        <v>1222.3315968299999</v>
      </c>
      <c r="M11" s="3017">
        <v>1252.30582224</v>
      </c>
      <c r="N11" s="3017">
        <v>1247.47945024</v>
      </c>
      <c r="O11" s="3017">
        <v>1277.4891607500001</v>
      </c>
      <c r="P11" s="3017">
        <v>1281.4883474899998</v>
      </c>
      <c r="Q11" s="3017">
        <v>1320.5105132200001</v>
      </c>
      <c r="R11" s="3017">
        <v>1302.9812141299999</v>
      </c>
      <c r="S11" s="3017">
        <v>1339.4740371899998</v>
      </c>
      <c r="T11" s="3017">
        <v>1329.1312250799999</v>
      </c>
      <c r="U11" s="3017">
        <v>1324.3804856500001</v>
      </c>
    </row>
    <row r="12" spans="1:21" s="631" customFormat="1" ht="16.5" x14ac:dyDescent="0.25">
      <c r="A12" s="3020" t="s">
        <v>2784</v>
      </c>
      <c r="B12" s="3017">
        <v>574.52673876999995</v>
      </c>
      <c r="C12" s="3017">
        <v>578.34584417999997</v>
      </c>
      <c r="D12" s="3017">
        <v>578.82739476999996</v>
      </c>
      <c r="E12" s="3017">
        <v>599.08368311000004</v>
      </c>
      <c r="F12" s="3017">
        <v>616.63926972000002</v>
      </c>
      <c r="G12" s="3017">
        <v>619.49732976999996</v>
      </c>
      <c r="H12" s="3017">
        <v>641.74045617999991</v>
      </c>
      <c r="I12" s="3017">
        <v>656.86103667999998</v>
      </c>
      <c r="J12" s="3017">
        <v>683.68562426999995</v>
      </c>
      <c r="K12" s="3017">
        <v>681.82523596999999</v>
      </c>
      <c r="L12" s="3017">
        <v>707.44284728000002</v>
      </c>
      <c r="M12" s="3017">
        <v>703.04470619000006</v>
      </c>
      <c r="N12" s="3017">
        <v>692.70107560999998</v>
      </c>
      <c r="O12" s="3017">
        <v>687.59883825999998</v>
      </c>
      <c r="P12" s="3017">
        <v>673.59521044000007</v>
      </c>
      <c r="Q12" s="3017">
        <v>708.70654439999998</v>
      </c>
      <c r="R12" s="3017">
        <v>707.08933658000012</v>
      </c>
      <c r="S12" s="3017">
        <v>714.69935653999994</v>
      </c>
      <c r="T12" s="3017">
        <v>706.5844860200001</v>
      </c>
      <c r="U12" s="3017">
        <v>725.40616974</v>
      </c>
    </row>
    <row r="13" spans="1:21" s="631" customFormat="1" ht="16.5" x14ac:dyDescent="0.25">
      <c r="A13" s="3020" t="s">
        <v>2790</v>
      </c>
      <c r="B13" s="3017">
        <v>217.78795137999998</v>
      </c>
      <c r="C13" s="3017">
        <v>211.76748686000002</v>
      </c>
      <c r="D13" s="3017">
        <v>206.42690941999999</v>
      </c>
      <c r="E13" s="3017">
        <v>203.67319377000001</v>
      </c>
      <c r="F13" s="3017">
        <v>211.951042</v>
      </c>
      <c r="G13" s="3017">
        <v>209.45100199999999</v>
      </c>
      <c r="H13" s="3017">
        <v>204.70712388999999</v>
      </c>
      <c r="I13" s="3017">
        <v>205.87085976000003</v>
      </c>
      <c r="J13" s="3017">
        <v>205.47431201999999</v>
      </c>
      <c r="K13" s="3017">
        <v>226.88744745</v>
      </c>
      <c r="L13" s="3017">
        <v>224.62455697000001</v>
      </c>
      <c r="M13" s="3017">
        <v>224.08795958999997</v>
      </c>
      <c r="N13" s="3017">
        <v>222.37352307</v>
      </c>
      <c r="O13" s="3017">
        <v>220.62292977999996</v>
      </c>
      <c r="P13" s="3017">
        <v>219.45873201000003</v>
      </c>
      <c r="Q13" s="3017">
        <v>220.77692574</v>
      </c>
      <c r="R13" s="3017">
        <v>216.40456370999999</v>
      </c>
      <c r="S13" s="3017">
        <v>220.89821736999997</v>
      </c>
      <c r="T13" s="3017">
        <v>214.52965326</v>
      </c>
      <c r="U13" s="3017">
        <v>209.16915015999996</v>
      </c>
    </row>
    <row r="14" spans="1:21" s="631" customFormat="1" ht="16.5" x14ac:dyDescent="0.25">
      <c r="A14" s="3020" t="s">
        <v>2801</v>
      </c>
      <c r="B14" s="3017">
        <v>108.88330784</v>
      </c>
      <c r="C14" s="3017">
        <v>107.04283554999999</v>
      </c>
      <c r="D14" s="3017">
        <v>105.64491685999998</v>
      </c>
      <c r="E14" s="3017">
        <v>113.96176182000001</v>
      </c>
      <c r="F14" s="3017">
        <v>116.13966767999999</v>
      </c>
      <c r="G14" s="3017">
        <v>113.80658536999999</v>
      </c>
      <c r="H14" s="3017">
        <v>113.79362941999999</v>
      </c>
      <c r="I14" s="3017">
        <v>114.58978337000002</v>
      </c>
      <c r="J14" s="3017">
        <v>110.74567087999999</v>
      </c>
      <c r="K14" s="3017">
        <v>109.51238603</v>
      </c>
      <c r="L14" s="3017">
        <v>103.01239115</v>
      </c>
      <c r="M14" s="3017">
        <v>99.561356729999986</v>
      </c>
      <c r="N14" s="3017">
        <v>98.373742650000011</v>
      </c>
      <c r="O14" s="3017">
        <v>96.706565139999981</v>
      </c>
      <c r="P14" s="3017">
        <v>95.20271717</v>
      </c>
      <c r="Q14" s="3017">
        <v>95.975818000000004</v>
      </c>
      <c r="R14" s="3017">
        <v>95.950879820000011</v>
      </c>
      <c r="S14" s="3017">
        <v>115.95025435999999</v>
      </c>
      <c r="T14" s="3017">
        <v>116.01302869999999</v>
      </c>
      <c r="U14" s="3017">
        <v>124.90388733999998</v>
      </c>
    </row>
    <row r="15" spans="1:21" s="631" customFormat="1" ht="16.5" x14ac:dyDescent="0.25">
      <c r="A15" s="3020" t="s">
        <v>2808</v>
      </c>
      <c r="B15" s="3017">
        <v>69.655221330000003</v>
      </c>
      <c r="C15" s="3017">
        <v>67.117057629999991</v>
      </c>
      <c r="D15" s="3017">
        <v>65.096824060000003</v>
      </c>
      <c r="E15" s="3017">
        <v>64.136630199999999</v>
      </c>
      <c r="F15" s="3017">
        <v>62.89306655</v>
      </c>
      <c r="G15" s="3017">
        <v>66.532596720000001</v>
      </c>
      <c r="H15" s="3017">
        <v>66.984462700000009</v>
      </c>
      <c r="I15" s="3017">
        <v>68.708987639999989</v>
      </c>
      <c r="J15" s="3017">
        <v>67.809162139999984</v>
      </c>
      <c r="K15" s="3017">
        <v>69.496200290000004</v>
      </c>
      <c r="L15" s="3017">
        <v>70.227706569999995</v>
      </c>
      <c r="M15" s="3017">
        <v>64.057289280000006</v>
      </c>
      <c r="N15" s="3017">
        <v>70.894752350000005</v>
      </c>
      <c r="O15" s="3017">
        <v>70.690438520000001</v>
      </c>
      <c r="P15" s="3017">
        <v>67.303152940000004</v>
      </c>
      <c r="Q15" s="3017">
        <v>64.360306269999995</v>
      </c>
      <c r="R15" s="3017">
        <v>62.128884110000001</v>
      </c>
      <c r="S15" s="3017">
        <v>79.768167869999999</v>
      </c>
      <c r="T15" s="3017">
        <v>80.009446980000007</v>
      </c>
      <c r="U15" s="3017">
        <v>78.995869380000002</v>
      </c>
    </row>
    <row r="16" spans="1:21" s="631" customFormat="1" ht="16.5" x14ac:dyDescent="0.25">
      <c r="A16" s="3020" t="s">
        <v>2809</v>
      </c>
      <c r="B16" s="3017">
        <v>373.31302340000002</v>
      </c>
      <c r="C16" s="3017">
        <v>369.02796271999995</v>
      </c>
      <c r="D16" s="3017">
        <v>365.18529554999998</v>
      </c>
      <c r="E16" s="3017">
        <v>372.69540124000002</v>
      </c>
      <c r="F16" s="3017">
        <v>373.10757184999989</v>
      </c>
      <c r="G16" s="3017">
        <v>386.68687141999999</v>
      </c>
      <c r="H16" s="3017">
        <v>389.12419379999994</v>
      </c>
      <c r="I16" s="3017">
        <v>386.17321696999994</v>
      </c>
      <c r="J16" s="3017">
        <v>388.48003917</v>
      </c>
      <c r="K16" s="3017">
        <v>398.10113028000001</v>
      </c>
      <c r="L16" s="3017">
        <v>423.65652941999997</v>
      </c>
      <c r="M16" s="3017">
        <v>436.66275128000001</v>
      </c>
      <c r="N16" s="3017">
        <v>420.15793307999996</v>
      </c>
      <c r="O16" s="3017">
        <v>417.12717339</v>
      </c>
      <c r="P16" s="3017">
        <v>441.86148486000002</v>
      </c>
      <c r="Q16" s="3017">
        <v>444.55080778999996</v>
      </c>
      <c r="R16" s="3017">
        <v>448.12202377</v>
      </c>
      <c r="S16" s="3017">
        <v>469.24746426000002</v>
      </c>
      <c r="T16" s="3017">
        <v>477.90748614999995</v>
      </c>
      <c r="U16" s="3017">
        <v>489.83757388999999</v>
      </c>
    </row>
    <row r="17" spans="1:1960" s="631" customFormat="1" ht="16.5" x14ac:dyDescent="0.25">
      <c r="A17" s="3020" t="s">
        <v>2816</v>
      </c>
      <c r="B17" s="3017">
        <v>319.27714889999999</v>
      </c>
      <c r="C17" s="3017">
        <v>335.87260778000001</v>
      </c>
      <c r="D17" s="3017">
        <v>346.22605838999999</v>
      </c>
      <c r="E17" s="3017">
        <v>352.39576183000003</v>
      </c>
      <c r="F17" s="3017">
        <v>352.38642022999994</v>
      </c>
      <c r="G17" s="3017">
        <v>361.97403941999994</v>
      </c>
      <c r="H17" s="3017">
        <v>368.57567768000007</v>
      </c>
      <c r="I17" s="3017">
        <v>374.42729045999999</v>
      </c>
      <c r="J17" s="3017">
        <v>389.10129447000003</v>
      </c>
      <c r="K17" s="3017">
        <v>397.32933717000003</v>
      </c>
      <c r="L17" s="3017">
        <v>399.97555773999994</v>
      </c>
      <c r="M17" s="3017">
        <v>414.63160901999998</v>
      </c>
      <c r="N17" s="3017">
        <v>418.18175762999999</v>
      </c>
      <c r="O17" s="3017">
        <v>447.63385905000001</v>
      </c>
      <c r="P17" s="3017">
        <v>446.61556069999995</v>
      </c>
      <c r="Q17" s="3017">
        <v>449.40366584000003</v>
      </c>
      <c r="R17" s="3017">
        <v>469.97178587999997</v>
      </c>
      <c r="S17" s="3017">
        <v>472.80231978999996</v>
      </c>
      <c r="T17" s="3017">
        <v>472.08390729999996</v>
      </c>
      <c r="U17" s="3017">
        <v>475.71737707</v>
      </c>
    </row>
    <row r="18" spans="1:1960" s="631" customFormat="1" ht="16.5" x14ac:dyDescent="0.25">
      <c r="A18" s="3020" t="s">
        <v>2823</v>
      </c>
      <c r="B18" s="3017">
        <v>30.509238209999999</v>
      </c>
      <c r="C18" s="3017">
        <v>29.619725969999998</v>
      </c>
      <c r="D18" s="3017">
        <v>29.26134592</v>
      </c>
      <c r="E18" s="3017">
        <v>29.06996006</v>
      </c>
      <c r="F18" s="3017">
        <v>27.552777549999998</v>
      </c>
      <c r="G18" s="3017">
        <v>27.306624509999999</v>
      </c>
      <c r="H18" s="3017">
        <v>26.419725890000002</v>
      </c>
      <c r="I18" s="3017">
        <v>25.056361220000003</v>
      </c>
      <c r="J18" s="3017">
        <v>24.419198600000001</v>
      </c>
      <c r="K18" s="3017">
        <v>23.562261469999999</v>
      </c>
      <c r="L18" s="3017">
        <v>30.803358080000002</v>
      </c>
      <c r="M18" s="3017">
        <v>29.434947870000002</v>
      </c>
      <c r="N18" s="3017">
        <v>28.343022940000001</v>
      </c>
      <c r="O18" s="3017">
        <v>27.497613050000002</v>
      </c>
      <c r="P18" s="3017">
        <v>29.539459060000002</v>
      </c>
      <c r="Q18" s="3017">
        <v>29.69272028</v>
      </c>
      <c r="R18" s="3017">
        <v>27.319664150000001</v>
      </c>
      <c r="S18" s="3017">
        <v>26.477119330000001</v>
      </c>
      <c r="T18" s="3017">
        <v>29.086132160000002</v>
      </c>
      <c r="U18" s="3017">
        <v>27.934524900000003</v>
      </c>
    </row>
    <row r="19" spans="1:1960" s="631" customFormat="1" ht="16.5" x14ac:dyDescent="0.25">
      <c r="A19" s="3020" t="s">
        <v>2829</v>
      </c>
      <c r="B19" s="3017">
        <v>76.714015250000003</v>
      </c>
      <c r="C19" s="3017">
        <v>78.085995859999997</v>
      </c>
      <c r="D19" s="3017">
        <v>75.345493360000006</v>
      </c>
      <c r="E19" s="3017">
        <v>74.068866180000001</v>
      </c>
      <c r="F19" s="3017">
        <v>73.055654939999997</v>
      </c>
      <c r="G19" s="3017">
        <v>75.988961579999994</v>
      </c>
      <c r="H19" s="3017">
        <v>74.270425360000004</v>
      </c>
      <c r="I19" s="3017">
        <v>86.93772890999999</v>
      </c>
      <c r="J19" s="3017">
        <v>85.200432499999991</v>
      </c>
      <c r="K19" s="3017">
        <v>83.807712190000004</v>
      </c>
      <c r="L19" s="3017">
        <v>83.014390850000012</v>
      </c>
      <c r="M19" s="3017">
        <v>84.522679180000011</v>
      </c>
      <c r="N19" s="3017">
        <v>81.880481689999996</v>
      </c>
      <c r="O19" s="3017">
        <v>83.751503490000005</v>
      </c>
      <c r="P19" s="3017">
        <v>79.001366959999999</v>
      </c>
      <c r="Q19" s="3017">
        <v>76.966317829999994</v>
      </c>
      <c r="R19" s="3017">
        <v>87.824949829999994</v>
      </c>
      <c r="S19" s="3017">
        <v>88.524652010000011</v>
      </c>
      <c r="T19" s="3017">
        <v>88.692123199999997</v>
      </c>
      <c r="U19" s="3017">
        <v>85.628730810000008</v>
      </c>
    </row>
    <row r="20" spans="1:1960" s="631" customFormat="1" ht="16.5" x14ac:dyDescent="0.25">
      <c r="A20" s="3020" t="s">
        <v>2832</v>
      </c>
      <c r="B20" s="3017">
        <v>85.809757200000007</v>
      </c>
      <c r="C20" s="3017">
        <v>82.577278329999999</v>
      </c>
      <c r="D20" s="3017">
        <v>81.351287869999993</v>
      </c>
      <c r="E20" s="3017">
        <v>79.567177579999992</v>
      </c>
      <c r="F20" s="3017">
        <v>75.248126010000007</v>
      </c>
      <c r="G20" s="3017">
        <v>72.062196730000011</v>
      </c>
      <c r="H20" s="3017">
        <v>71.381127890000002</v>
      </c>
      <c r="I20" s="3017">
        <v>69.808677219999993</v>
      </c>
      <c r="J20" s="3017">
        <v>69.763291519999996</v>
      </c>
      <c r="K20" s="3017">
        <v>65.671228860000014</v>
      </c>
      <c r="L20" s="3017">
        <v>66.916531090000007</v>
      </c>
      <c r="M20" s="3017">
        <v>68.009481960000002</v>
      </c>
      <c r="N20" s="3017">
        <v>65.658367290000001</v>
      </c>
      <c r="O20" s="3017">
        <v>66.040022850000014</v>
      </c>
      <c r="P20" s="3017">
        <v>96.316206160000007</v>
      </c>
      <c r="Q20" s="3017">
        <v>98.07241698</v>
      </c>
      <c r="R20" s="3017">
        <v>99.239938929999994</v>
      </c>
      <c r="S20" s="3017">
        <v>99.580632090000009</v>
      </c>
      <c r="T20" s="3017">
        <v>96.603017809999983</v>
      </c>
      <c r="U20" s="3017">
        <v>94.989371080000012</v>
      </c>
    </row>
    <row r="21" spans="1:1960" s="631" customFormat="1" ht="17.25" thickBot="1" x14ac:dyDescent="0.3">
      <c r="A21" s="3020" t="s">
        <v>2837</v>
      </c>
      <c r="B21" s="3017">
        <v>69.592324169999998</v>
      </c>
      <c r="C21" s="3017">
        <v>71.622027500000002</v>
      </c>
      <c r="D21" s="3017">
        <v>69.90580804999999</v>
      </c>
      <c r="E21" s="3017">
        <v>68.87732647</v>
      </c>
      <c r="F21" s="3017">
        <v>66.462573309999996</v>
      </c>
      <c r="G21" s="3017">
        <v>65.432837459999988</v>
      </c>
      <c r="H21" s="3017">
        <v>83.768465050000003</v>
      </c>
      <c r="I21" s="3017">
        <v>83.253493939999998</v>
      </c>
      <c r="J21" s="3017">
        <v>64.470108299999993</v>
      </c>
      <c r="K21" s="3017">
        <v>63.872652150000008</v>
      </c>
      <c r="L21" s="3017">
        <v>64.953758759999999</v>
      </c>
      <c r="M21" s="3017">
        <v>64.962932850000001</v>
      </c>
      <c r="N21" s="3017">
        <v>65.740486669999996</v>
      </c>
      <c r="O21" s="3017">
        <v>70.034268539999985</v>
      </c>
      <c r="P21" s="3017">
        <v>73.302935540000007</v>
      </c>
      <c r="Q21" s="3017">
        <v>77.937773750000005</v>
      </c>
      <c r="R21" s="3017">
        <v>88.953941819999997</v>
      </c>
      <c r="S21" s="3017">
        <v>92.555496660000003</v>
      </c>
      <c r="T21" s="3017">
        <v>91.022513929999988</v>
      </c>
      <c r="U21" s="3017">
        <v>91.719076709999996</v>
      </c>
    </row>
    <row r="22" spans="1:1960" s="631" customFormat="1" ht="16.5" x14ac:dyDescent="0.25">
      <c r="A22" s="3025" t="s">
        <v>2841</v>
      </c>
      <c r="B22" s="3027">
        <v>48613.038781329997</v>
      </c>
      <c r="C22" s="3027">
        <v>48697.435358809991</v>
      </c>
      <c r="D22" s="3027">
        <v>48792.262586009994</v>
      </c>
      <c r="E22" s="3027">
        <v>49094.818436009999</v>
      </c>
      <c r="F22" s="3027">
        <v>49334.808113159997</v>
      </c>
      <c r="G22" s="3027">
        <v>49569.99699431</v>
      </c>
      <c r="H22" s="3027">
        <v>49635.813593519997</v>
      </c>
      <c r="I22" s="3027">
        <v>49727.980477050005</v>
      </c>
      <c r="J22" s="3027">
        <v>49917.843394380005</v>
      </c>
      <c r="K22" s="3027">
        <v>50069.722928379997</v>
      </c>
      <c r="L22" s="3027">
        <v>50220.414186380003</v>
      </c>
      <c r="M22" s="3027">
        <v>50212.05879974</v>
      </c>
      <c r="N22" s="3027">
        <v>50310.142073209994</v>
      </c>
      <c r="O22" s="3027">
        <v>50486.496332740004</v>
      </c>
      <c r="P22" s="3027">
        <v>50899.596168210002</v>
      </c>
      <c r="Q22" s="3027">
        <v>51266.199642680003</v>
      </c>
      <c r="R22" s="3027">
        <v>51579.400826469995</v>
      </c>
      <c r="S22" s="3027">
        <v>51840.810359369993</v>
      </c>
      <c r="T22" s="3027">
        <v>52267.03835907</v>
      </c>
      <c r="U22" s="3027">
        <v>52506.21429602</v>
      </c>
    </row>
    <row r="23" spans="1:1960" s="631" customFormat="1" ht="16.5" x14ac:dyDescent="0.25">
      <c r="A23" s="3028" t="s">
        <v>2842</v>
      </c>
      <c r="B23" s="3030">
        <v>17022.469056919999</v>
      </c>
      <c r="C23" s="3030">
        <v>17028.425737599999</v>
      </c>
      <c r="D23" s="3030">
        <v>17091.541796599999</v>
      </c>
      <c r="E23" s="3030">
        <v>17182.253607619998</v>
      </c>
      <c r="F23" s="3030">
        <v>17283.008884179999</v>
      </c>
      <c r="G23" s="3030">
        <v>17390.841717520001</v>
      </c>
      <c r="H23" s="3030">
        <v>17429.445955409999</v>
      </c>
      <c r="I23" s="3030">
        <v>17456.662455199996</v>
      </c>
      <c r="J23" s="3030">
        <v>17550.473177529999</v>
      </c>
      <c r="K23" s="3030">
        <v>17565.823791570001</v>
      </c>
      <c r="L23" s="3030">
        <v>17622.535505</v>
      </c>
      <c r="M23" s="3030">
        <v>17615.331489869997</v>
      </c>
      <c r="N23" s="3030">
        <v>17638.957108769999</v>
      </c>
      <c r="O23" s="3030">
        <v>17646.26942932</v>
      </c>
      <c r="P23" s="3030">
        <v>17640.274794659999</v>
      </c>
      <c r="Q23" s="3030">
        <v>17704.261247570001</v>
      </c>
      <c r="R23" s="3030">
        <v>17767.744454840002</v>
      </c>
      <c r="S23" s="3030">
        <v>17821.087487869998</v>
      </c>
      <c r="T23" s="3030">
        <v>17878.400747739997</v>
      </c>
      <c r="U23" s="3030">
        <v>17903.271120000001</v>
      </c>
    </row>
    <row r="24" spans="1:1960" s="3033" customFormat="1" ht="16.5" x14ac:dyDescent="0.25">
      <c r="A24" s="3016" t="s">
        <v>2843</v>
      </c>
      <c r="B24" s="3035">
        <v>70.956097019999987</v>
      </c>
      <c r="C24" s="3035">
        <v>64.164768820000006</v>
      </c>
      <c r="D24" s="3035">
        <v>56.760630009999993</v>
      </c>
      <c r="E24" s="3035">
        <v>49.713607179999997</v>
      </c>
      <c r="F24" s="3035">
        <v>46.976605939999999</v>
      </c>
      <c r="G24" s="3035">
        <v>40.839616149999998</v>
      </c>
      <c r="H24" s="3035">
        <v>41.642344610000002</v>
      </c>
      <c r="I24" s="3035">
        <v>40.374529260000003</v>
      </c>
      <c r="J24" s="3035">
        <v>39.478362860000004</v>
      </c>
      <c r="K24" s="3035">
        <v>38.697257920000006</v>
      </c>
      <c r="L24" s="3035">
        <v>29.513133209999992</v>
      </c>
      <c r="M24" s="3035">
        <v>37.207897709999997</v>
      </c>
      <c r="N24" s="3035">
        <v>35.288301329999996</v>
      </c>
      <c r="O24" s="3035">
        <v>34.47209849</v>
      </c>
      <c r="P24" s="3035">
        <v>34.665900919999991</v>
      </c>
      <c r="Q24" s="3035">
        <v>40.356582209999985</v>
      </c>
      <c r="R24" s="3035">
        <v>39.018539919999995</v>
      </c>
      <c r="S24" s="3035">
        <v>39.513394429999998</v>
      </c>
      <c r="T24" s="3035">
        <v>38.261806169999993</v>
      </c>
      <c r="U24" s="3035">
        <v>37.314902609999997</v>
      </c>
      <c r="V24" s="631"/>
      <c r="W24" s="631"/>
      <c r="X24" s="631"/>
      <c r="Y24" s="631"/>
      <c r="Z24" s="631"/>
      <c r="AA24" s="631"/>
      <c r="AB24" s="631"/>
      <c r="AC24" s="631"/>
      <c r="AD24" s="631"/>
      <c r="AE24" s="631"/>
      <c r="AF24" s="631"/>
      <c r="AG24" s="631"/>
      <c r="AH24" s="631"/>
      <c r="AI24" s="631"/>
      <c r="AJ24" s="631"/>
      <c r="AK24" s="631"/>
      <c r="AL24" s="631"/>
      <c r="AM24" s="631"/>
      <c r="AN24" s="631"/>
      <c r="AO24" s="631"/>
      <c r="AP24" s="631"/>
      <c r="AQ24" s="631"/>
      <c r="AR24" s="631"/>
      <c r="AS24" s="631"/>
      <c r="AT24" s="631"/>
      <c r="AU24" s="631"/>
      <c r="AV24" s="631"/>
      <c r="AW24" s="631"/>
      <c r="AX24" s="631"/>
      <c r="AY24" s="631"/>
      <c r="AZ24" s="631"/>
      <c r="BA24" s="631"/>
      <c r="BB24" s="631"/>
      <c r="BC24" s="631"/>
      <c r="BD24" s="631"/>
      <c r="BE24" s="631"/>
      <c r="BF24" s="631"/>
      <c r="BG24" s="631"/>
      <c r="BH24" s="631"/>
      <c r="BI24" s="631"/>
      <c r="BJ24" s="631"/>
      <c r="BK24" s="631"/>
      <c r="BL24" s="631"/>
      <c r="BM24" s="631"/>
      <c r="BN24" s="631"/>
      <c r="BO24" s="631"/>
      <c r="BP24" s="631"/>
      <c r="BQ24" s="631"/>
      <c r="BR24" s="631"/>
      <c r="BS24" s="631"/>
      <c r="BT24" s="631"/>
      <c r="BU24" s="631"/>
      <c r="BV24" s="631"/>
      <c r="BW24" s="631"/>
      <c r="BX24" s="631"/>
      <c r="BY24" s="631"/>
      <c r="BZ24" s="631"/>
      <c r="CA24" s="631"/>
      <c r="CB24" s="631"/>
      <c r="CC24" s="631"/>
      <c r="CD24" s="631"/>
      <c r="CE24" s="631"/>
      <c r="CF24" s="631"/>
      <c r="CG24" s="631"/>
      <c r="CH24" s="631"/>
      <c r="CI24" s="631"/>
      <c r="CJ24" s="631"/>
      <c r="CK24" s="631"/>
      <c r="CL24" s="631"/>
      <c r="CM24" s="631"/>
      <c r="CN24" s="631"/>
      <c r="CO24" s="631"/>
      <c r="CP24" s="631"/>
      <c r="CQ24" s="631"/>
      <c r="CR24" s="631"/>
      <c r="CS24" s="631"/>
      <c r="CT24" s="631"/>
      <c r="CU24" s="631"/>
      <c r="CV24" s="631"/>
      <c r="CW24" s="631"/>
      <c r="CX24" s="631"/>
      <c r="CY24" s="631"/>
      <c r="CZ24" s="631"/>
      <c r="DA24" s="631"/>
      <c r="DB24" s="631"/>
      <c r="DC24" s="631"/>
      <c r="DD24" s="631"/>
      <c r="DE24" s="631"/>
      <c r="DF24" s="631"/>
      <c r="DG24" s="631"/>
      <c r="DH24" s="631"/>
      <c r="DI24" s="631"/>
      <c r="DJ24" s="631"/>
      <c r="DK24" s="631"/>
      <c r="DL24" s="631"/>
      <c r="DM24" s="631"/>
      <c r="DN24" s="631"/>
      <c r="DO24" s="631"/>
      <c r="DP24" s="631"/>
      <c r="DQ24" s="631"/>
      <c r="DR24" s="631"/>
      <c r="DS24" s="631"/>
      <c r="DT24" s="631"/>
      <c r="DU24" s="631"/>
      <c r="DV24" s="631"/>
      <c r="DW24" s="631"/>
      <c r="DX24" s="631"/>
      <c r="DY24" s="631"/>
      <c r="DZ24" s="631"/>
      <c r="EA24" s="631"/>
      <c r="EB24" s="631"/>
      <c r="EC24" s="631"/>
      <c r="ED24" s="631"/>
      <c r="EE24" s="631"/>
      <c r="EF24" s="631"/>
      <c r="EG24" s="631"/>
      <c r="EH24" s="631"/>
      <c r="EI24" s="631"/>
      <c r="EJ24" s="631"/>
      <c r="EK24" s="631"/>
      <c r="EL24" s="631"/>
      <c r="EM24" s="631"/>
      <c r="EN24" s="631"/>
      <c r="EO24" s="631"/>
      <c r="EP24" s="631"/>
      <c r="EQ24" s="631"/>
      <c r="ER24" s="631"/>
      <c r="ES24" s="631"/>
      <c r="ET24" s="631"/>
      <c r="EU24" s="631"/>
      <c r="EV24" s="631"/>
      <c r="EW24" s="631"/>
      <c r="EX24" s="631"/>
      <c r="EY24" s="631"/>
      <c r="EZ24" s="631"/>
      <c r="FA24" s="631"/>
      <c r="FB24" s="631"/>
      <c r="FC24" s="631"/>
      <c r="FD24" s="631"/>
      <c r="FE24" s="631"/>
      <c r="FF24" s="631"/>
      <c r="FG24" s="631"/>
      <c r="FH24" s="631"/>
      <c r="FI24" s="631"/>
      <c r="FJ24" s="631"/>
      <c r="FK24" s="631"/>
      <c r="FL24" s="631"/>
      <c r="FM24" s="631"/>
      <c r="FN24" s="631"/>
      <c r="FO24" s="631"/>
      <c r="FP24" s="631"/>
      <c r="FQ24" s="631"/>
      <c r="FR24" s="631"/>
      <c r="FS24" s="631"/>
      <c r="FT24" s="631"/>
      <c r="FU24" s="631"/>
      <c r="FV24" s="631"/>
      <c r="FW24" s="631"/>
      <c r="FX24" s="631"/>
      <c r="FY24" s="631"/>
      <c r="FZ24" s="631"/>
      <c r="GA24" s="631"/>
      <c r="GB24" s="631"/>
      <c r="GC24" s="631"/>
      <c r="GD24" s="631"/>
      <c r="GE24" s="631"/>
      <c r="GF24" s="631"/>
      <c r="GG24" s="631"/>
      <c r="GH24" s="631"/>
      <c r="GI24" s="631"/>
      <c r="GJ24" s="631"/>
      <c r="GK24" s="631"/>
      <c r="GL24" s="631"/>
      <c r="GM24" s="631"/>
      <c r="GN24" s="631"/>
      <c r="GO24" s="631"/>
      <c r="GP24" s="631"/>
      <c r="GQ24" s="631"/>
      <c r="GR24" s="631"/>
      <c r="GS24" s="631"/>
      <c r="GT24" s="631"/>
      <c r="GU24" s="631"/>
      <c r="GV24" s="631"/>
      <c r="GW24" s="631"/>
      <c r="GX24" s="631"/>
      <c r="GY24" s="631"/>
      <c r="GZ24" s="631"/>
      <c r="HA24" s="631"/>
      <c r="HB24" s="631"/>
      <c r="HC24" s="631"/>
      <c r="HD24" s="631"/>
      <c r="HE24" s="631"/>
      <c r="HF24" s="631"/>
      <c r="HG24" s="631"/>
      <c r="HH24" s="631"/>
      <c r="HI24" s="631"/>
      <c r="HJ24" s="631"/>
      <c r="HK24" s="631"/>
      <c r="HL24" s="631"/>
      <c r="HM24" s="631"/>
      <c r="HN24" s="631"/>
      <c r="HO24" s="631"/>
      <c r="HP24" s="631"/>
      <c r="HQ24" s="631"/>
      <c r="HR24" s="631"/>
      <c r="HS24" s="631"/>
      <c r="HT24" s="631"/>
      <c r="HU24" s="631"/>
      <c r="HV24" s="631"/>
      <c r="HW24" s="631"/>
      <c r="HX24" s="631"/>
      <c r="HY24" s="631"/>
      <c r="HZ24" s="631"/>
      <c r="IA24" s="631"/>
      <c r="IB24" s="631"/>
      <c r="IC24" s="631"/>
      <c r="ID24" s="631"/>
      <c r="IE24" s="631"/>
      <c r="IF24" s="631"/>
      <c r="IG24" s="631"/>
      <c r="IH24" s="631"/>
      <c r="II24" s="631"/>
      <c r="IJ24" s="631"/>
      <c r="IK24" s="631"/>
      <c r="IL24" s="631"/>
      <c r="IM24" s="631"/>
      <c r="IN24" s="631"/>
      <c r="IO24" s="631"/>
      <c r="IP24" s="631"/>
      <c r="IQ24" s="631"/>
      <c r="IR24" s="631"/>
      <c r="IS24" s="631"/>
      <c r="IT24" s="631"/>
      <c r="IU24" s="631"/>
      <c r="IV24" s="631"/>
      <c r="IW24" s="631"/>
      <c r="IX24" s="631"/>
      <c r="IY24" s="631"/>
      <c r="IZ24" s="631"/>
      <c r="JA24" s="631"/>
      <c r="JB24" s="631"/>
      <c r="JC24" s="631"/>
      <c r="JD24" s="631"/>
      <c r="JE24" s="631"/>
      <c r="JF24" s="631"/>
      <c r="JG24" s="631"/>
      <c r="JH24" s="631"/>
      <c r="JI24" s="631"/>
      <c r="JJ24" s="631"/>
      <c r="JK24" s="631"/>
      <c r="JL24" s="631"/>
      <c r="JM24" s="631"/>
      <c r="JN24" s="631"/>
      <c r="JO24" s="631"/>
      <c r="JP24" s="631"/>
      <c r="JQ24" s="631"/>
      <c r="JR24" s="631"/>
      <c r="JS24" s="631"/>
      <c r="JT24" s="631"/>
      <c r="JU24" s="631"/>
      <c r="JV24" s="631"/>
      <c r="JW24" s="631"/>
      <c r="JX24" s="631"/>
      <c r="JY24" s="631"/>
      <c r="JZ24" s="631"/>
      <c r="KA24" s="631"/>
      <c r="KB24" s="631"/>
      <c r="KC24" s="631"/>
      <c r="KD24" s="631"/>
      <c r="KE24" s="631"/>
      <c r="KF24" s="631"/>
      <c r="KG24" s="631"/>
      <c r="KH24" s="631"/>
      <c r="KI24" s="631"/>
      <c r="KJ24" s="631"/>
      <c r="KK24" s="631"/>
      <c r="KL24" s="631"/>
      <c r="KM24" s="631"/>
      <c r="KN24" s="631"/>
      <c r="KO24" s="631"/>
      <c r="KP24" s="631"/>
      <c r="KQ24" s="631"/>
      <c r="KR24" s="631"/>
      <c r="KS24" s="631"/>
      <c r="KT24" s="631"/>
      <c r="KU24" s="631"/>
      <c r="KV24" s="631"/>
      <c r="KW24" s="631"/>
      <c r="KX24" s="631"/>
      <c r="KY24" s="631"/>
      <c r="KZ24" s="631"/>
      <c r="LA24" s="631"/>
      <c r="LB24" s="631"/>
      <c r="LC24" s="631"/>
      <c r="LD24" s="631"/>
      <c r="LE24" s="631"/>
      <c r="LF24" s="631"/>
      <c r="LG24" s="631"/>
      <c r="LH24" s="631"/>
      <c r="LI24" s="631"/>
      <c r="LJ24" s="631"/>
      <c r="LK24" s="631"/>
      <c r="LL24" s="631"/>
      <c r="LM24" s="631"/>
      <c r="LN24" s="631"/>
      <c r="LO24" s="631"/>
      <c r="LP24" s="631"/>
      <c r="LQ24" s="631"/>
      <c r="LR24" s="631"/>
      <c r="LS24" s="631"/>
      <c r="LT24" s="631"/>
      <c r="LU24" s="631"/>
      <c r="LV24" s="631"/>
      <c r="LW24" s="631"/>
      <c r="LX24" s="631"/>
      <c r="LY24" s="631"/>
      <c r="LZ24" s="631"/>
      <c r="MA24" s="631"/>
      <c r="MB24" s="631"/>
      <c r="MC24" s="631"/>
      <c r="MD24" s="631"/>
      <c r="ME24" s="631"/>
      <c r="MF24" s="631"/>
      <c r="MG24" s="631"/>
      <c r="MH24" s="631"/>
      <c r="MI24" s="631"/>
      <c r="MJ24" s="631"/>
      <c r="MK24" s="631"/>
      <c r="ML24" s="631"/>
      <c r="MM24" s="631"/>
      <c r="MN24" s="631"/>
      <c r="MO24" s="631"/>
      <c r="MP24" s="631"/>
      <c r="MQ24" s="631"/>
      <c r="MR24" s="631"/>
      <c r="MS24" s="631"/>
      <c r="MT24" s="631"/>
      <c r="MU24" s="631"/>
      <c r="MV24" s="631"/>
      <c r="MW24" s="631"/>
      <c r="MX24" s="631"/>
      <c r="MY24" s="631"/>
      <c r="MZ24" s="631"/>
      <c r="NA24" s="631"/>
      <c r="NB24" s="631"/>
      <c r="NC24" s="631"/>
      <c r="ND24" s="631"/>
      <c r="NE24" s="631"/>
      <c r="NF24" s="631"/>
      <c r="NG24" s="631"/>
      <c r="NH24" s="631"/>
      <c r="NI24" s="631"/>
      <c r="NJ24" s="631"/>
      <c r="NK24" s="631"/>
      <c r="NL24" s="631"/>
      <c r="NM24" s="631"/>
      <c r="NN24" s="631"/>
      <c r="NO24" s="631"/>
      <c r="NP24" s="631"/>
      <c r="NQ24" s="631"/>
      <c r="NR24" s="631"/>
      <c r="NS24" s="631"/>
      <c r="NT24" s="631"/>
      <c r="NU24" s="631"/>
      <c r="NV24" s="631"/>
      <c r="NW24" s="631"/>
      <c r="NX24" s="631"/>
      <c r="NY24" s="631"/>
      <c r="NZ24" s="631"/>
      <c r="OA24" s="631"/>
      <c r="OB24" s="631"/>
      <c r="OC24" s="631"/>
      <c r="OD24" s="631"/>
      <c r="OE24" s="631"/>
      <c r="OF24" s="631"/>
      <c r="OG24" s="631"/>
      <c r="OH24" s="631"/>
      <c r="OI24" s="631"/>
      <c r="OJ24" s="631"/>
      <c r="OK24" s="631"/>
      <c r="OL24" s="631"/>
      <c r="OM24" s="631"/>
      <c r="ON24" s="631"/>
      <c r="OO24" s="631"/>
      <c r="OP24" s="631"/>
      <c r="OQ24" s="631"/>
      <c r="OR24" s="631"/>
      <c r="OS24" s="631"/>
      <c r="OT24" s="631"/>
      <c r="OU24" s="631"/>
      <c r="OV24" s="631"/>
      <c r="OW24" s="631"/>
      <c r="OX24" s="631"/>
      <c r="OY24" s="631"/>
      <c r="OZ24" s="631"/>
      <c r="PA24" s="631"/>
      <c r="PB24" s="631"/>
      <c r="PC24" s="631"/>
      <c r="PD24" s="631"/>
      <c r="PE24" s="631"/>
      <c r="PF24" s="631"/>
      <c r="PG24" s="631"/>
      <c r="PH24" s="631"/>
      <c r="PI24" s="631"/>
      <c r="PJ24" s="631"/>
      <c r="PK24" s="631"/>
      <c r="PL24" s="631"/>
      <c r="PM24" s="631"/>
      <c r="PN24" s="631"/>
      <c r="PO24" s="631"/>
      <c r="PP24" s="631"/>
      <c r="PQ24" s="631"/>
      <c r="PR24" s="631"/>
      <c r="PS24" s="631"/>
      <c r="PT24" s="631"/>
      <c r="PU24" s="631"/>
      <c r="PV24" s="631"/>
      <c r="PW24" s="631"/>
      <c r="PX24" s="631"/>
      <c r="PY24" s="631"/>
      <c r="PZ24" s="631"/>
      <c r="QA24" s="631"/>
      <c r="QB24" s="631"/>
      <c r="QC24" s="631"/>
      <c r="QD24" s="631"/>
      <c r="QE24" s="631"/>
      <c r="QF24" s="631"/>
      <c r="QG24" s="631"/>
      <c r="QH24" s="631"/>
      <c r="QI24" s="631"/>
      <c r="QJ24" s="631"/>
      <c r="QK24" s="631"/>
      <c r="QL24" s="631"/>
      <c r="QM24" s="631"/>
      <c r="QN24" s="631"/>
      <c r="QO24" s="631"/>
      <c r="QP24" s="631"/>
      <c r="QQ24" s="631"/>
      <c r="QR24" s="631"/>
      <c r="QS24" s="631"/>
      <c r="QT24" s="631"/>
      <c r="QU24" s="631"/>
      <c r="QV24" s="631"/>
      <c r="QW24" s="631"/>
      <c r="QX24" s="631"/>
      <c r="QY24" s="631"/>
      <c r="QZ24" s="631"/>
      <c r="RA24" s="631"/>
      <c r="RB24" s="631"/>
      <c r="RC24" s="631"/>
      <c r="RD24" s="631"/>
      <c r="RE24" s="631"/>
      <c r="RF24" s="631"/>
      <c r="RG24" s="631"/>
      <c r="RH24" s="631"/>
      <c r="RI24" s="631"/>
      <c r="RJ24" s="631"/>
      <c r="RK24" s="631"/>
      <c r="RL24" s="631"/>
      <c r="RM24" s="631"/>
      <c r="RN24" s="631"/>
      <c r="RO24" s="631"/>
      <c r="RP24" s="631"/>
      <c r="RQ24" s="631"/>
      <c r="RR24" s="631"/>
      <c r="RS24" s="631"/>
      <c r="RT24" s="631"/>
      <c r="RU24" s="631"/>
      <c r="RV24" s="631"/>
      <c r="RW24" s="631"/>
      <c r="RX24" s="631"/>
      <c r="RY24" s="631"/>
      <c r="RZ24" s="631"/>
      <c r="SA24" s="631"/>
      <c r="SB24" s="631"/>
      <c r="SC24" s="631"/>
      <c r="SD24" s="631"/>
      <c r="SE24" s="631"/>
      <c r="SF24" s="631"/>
      <c r="SG24" s="631"/>
      <c r="SH24" s="631"/>
      <c r="SI24" s="631"/>
      <c r="SJ24" s="631"/>
      <c r="SK24" s="631"/>
      <c r="SL24" s="631"/>
      <c r="SM24" s="631"/>
      <c r="SN24" s="631"/>
      <c r="SO24" s="631"/>
      <c r="SP24" s="631"/>
      <c r="SQ24" s="631"/>
      <c r="SR24" s="631"/>
      <c r="SS24" s="631"/>
      <c r="ST24" s="631"/>
      <c r="SU24" s="631"/>
      <c r="SV24" s="631"/>
      <c r="SW24" s="631"/>
      <c r="SX24" s="631"/>
      <c r="SY24" s="631"/>
      <c r="SZ24" s="631"/>
      <c r="TA24" s="631"/>
      <c r="TB24" s="631"/>
      <c r="TC24" s="631"/>
      <c r="TD24" s="631"/>
      <c r="TE24" s="631"/>
      <c r="TF24" s="631"/>
      <c r="TG24" s="631"/>
      <c r="TH24" s="631"/>
      <c r="TI24" s="631"/>
      <c r="TJ24" s="631"/>
      <c r="TK24" s="631"/>
      <c r="TL24" s="631"/>
      <c r="TM24" s="631"/>
      <c r="TN24" s="631"/>
      <c r="TO24" s="631"/>
      <c r="TP24" s="631"/>
      <c r="TQ24" s="631"/>
      <c r="TR24" s="631"/>
      <c r="TS24" s="631"/>
      <c r="TT24" s="631"/>
      <c r="TU24" s="631"/>
      <c r="TV24" s="631"/>
      <c r="TW24" s="631"/>
      <c r="TX24" s="631"/>
      <c r="TY24" s="631"/>
      <c r="TZ24" s="631"/>
      <c r="UA24" s="631"/>
      <c r="UB24" s="631"/>
      <c r="UC24" s="631"/>
      <c r="UD24" s="631"/>
      <c r="UE24" s="631"/>
      <c r="UF24" s="631"/>
      <c r="UG24" s="631"/>
      <c r="UH24" s="631"/>
      <c r="UI24" s="631"/>
      <c r="UJ24" s="631"/>
      <c r="UK24" s="631"/>
      <c r="UL24" s="631"/>
      <c r="UM24" s="631"/>
      <c r="UN24" s="631"/>
      <c r="UO24" s="631"/>
      <c r="UP24" s="631"/>
      <c r="UQ24" s="631"/>
      <c r="UR24" s="631"/>
      <c r="US24" s="631"/>
      <c r="UT24" s="631"/>
      <c r="UU24" s="631"/>
      <c r="UV24" s="631"/>
      <c r="UW24" s="631"/>
      <c r="UX24" s="631"/>
      <c r="UY24" s="631"/>
      <c r="UZ24" s="631"/>
      <c r="VA24" s="631"/>
      <c r="VB24" s="631"/>
      <c r="VC24" s="631"/>
      <c r="VD24" s="631"/>
      <c r="VE24" s="631"/>
      <c r="VF24" s="631"/>
      <c r="VG24" s="631"/>
      <c r="VH24" s="631"/>
      <c r="VI24" s="631"/>
      <c r="VJ24" s="631"/>
      <c r="VK24" s="631"/>
      <c r="VL24" s="631"/>
      <c r="VM24" s="631"/>
      <c r="VN24" s="631"/>
      <c r="VO24" s="631"/>
      <c r="VP24" s="631"/>
      <c r="VQ24" s="631"/>
      <c r="VR24" s="631"/>
      <c r="VS24" s="631"/>
      <c r="VT24" s="631"/>
      <c r="VU24" s="631"/>
      <c r="VV24" s="631"/>
      <c r="VW24" s="631"/>
      <c r="VX24" s="631"/>
      <c r="VY24" s="631"/>
      <c r="VZ24" s="631"/>
      <c r="WA24" s="631"/>
      <c r="WB24" s="631"/>
      <c r="WC24" s="631"/>
      <c r="WD24" s="631"/>
      <c r="WE24" s="631"/>
      <c r="WF24" s="631"/>
      <c r="WG24" s="631"/>
      <c r="WH24" s="631"/>
      <c r="WI24" s="631"/>
      <c r="WJ24" s="631"/>
      <c r="WK24" s="631"/>
      <c r="WL24" s="631"/>
      <c r="WM24" s="631"/>
      <c r="WN24" s="631"/>
      <c r="WO24" s="631"/>
      <c r="WP24" s="631"/>
      <c r="WQ24" s="631"/>
      <c r="WR24" s="631"/>
      <c r="WS24" s="631"/>
      <c r="WT24" s="631"/>
      <c r="WU24" s="631"/>
      <c r="WV24" s="631"/>
      <c r="WW24" s="631"/>
      <c r="WX24" s="631"/>
      <c r="WY24" s="631"/>
      <c r="WZ24" s="631"/>
      <c r="XA24" s="631"/>
      <c r="XB24" s="631"/>
      <c r="XC24" s="631"/>
      <c r="XD24" s="631"/>
      <c r="XE24" s="631"/>
      <c r="XF24" s="631"/>
      <c r="XG24" s="631"/>
      <c r="XH24" s="631"/>
      <c r="XI24" s="631"/>
      <c r="XJ24" s="631"/>
      <c r="XK24" s="631"/>
      <c r="XL24" s="631"/>
      <c r="XM24" s="631"/>
      <c r="XN24" s="631"/>
      <c r="XO24" s="631"/>
      <c r="XP24" s="631"/>
      <c r="XQ24" s="631"/>
      <c r="XR24" s="631"/>
      <c r="XS24" s="631"/>
      <c r="XT24" s="631"/>
      <c r="XU24" s="631"/>
      <c r="XV24" s="631"/>
      <c r="XW24" s="631"/>
      <c r="XX24" s="631"/>
      <c r="XY24" s="631"/>
      <c r="XZ24" s="631"/>
      <c r="YA24" s="631"/>
      <c r="YB24" s="631"/>
      <c r="YC24" s="631"/>
      <c r="YD24" s="631"/>
      <c r="YE24" s="631"/>
      <c r="YF24" s="631"/>
      <c r="YG24" s="631"/>
      <c r="YH24" s="631"/>
      <c r="YI24" s="631"/>
      <c r="YJ24" s="631"/>
      <c r="YK24" s="631"/>
      <c r="YL24" s="631"/>
      <c r="YM24" s="631"/>
      <c r="YN24" s="631"/>
      <c r="YO24" s="631"/>
      <c r="YP24" s="631"/>
      <c r="YQ24" s="631"/>
      <c r="YR24" s="631"/>
      <c r="YS24" s="631"/>
      <c r="YT24" s="631"/>
      <c r="YU24" s="631"/>
      <c r="YV24" s="631"/>
      <c r="YW24" s="631"/>
      <c r="YX24" s="631"/>
      <c r="YY24" s="631"/>
      <c r="YZ24" s="631"/>
      <c r="ZA24" s="631"/>
      <c r="ZB24" s="631"/>
      <c r="ZC24" s="631"/>
      <c r="ZD24" s="631"/>
      <c r="ZE24" s="631"/>
      <c r="ZF24" s="631"/>
      <c r="ZG24" s="631"/>
      <c r="ZH24" s="631"/>
      <c r="ZI24" s="631"/>
      <c r="ZJ24" s="631"/>
      <c r="ZK24" s="631"/>
      <c r="ZL24" s="631"/>
      <c r="ZM24" s="631"/>
      <c r="ZN24" s="631"/>
      <c r="ZO24" s="631"/>
      <c r="ZP24" s="631"/>
      <c r="ZQ24" s="631"/>
      <c r="ZR24" s="631"/>
      <c r="ZS24" s="631"/>
      <c r="ZT24" s="631"/>
      <c r="ZU24" s="631"/>
      <c r="ZV24" s="631"/>
      <c r="ZW24" s="631"/>
      <c r="ZX24" s="631"/>
      <c r="ZY24" s="631"/>
      <c r="ZZ24" s="631"/>
      <c r="AAA24" s="631"/>
      <c r="AAB24" s="631"/>
      <c r="AAC24" s="631"/>
      <c r="AAD24" s="631"/>
      <c r="AAE24" s="631"/>
      <c r="AAF24" s="631"/>
      <c r="AAG24" s="631"/>
      <c r="AAH24" s="631"/>
      <c r="AAI24" s="631"/>
      <c r="AAJ24" s="631"/>
      <c r="AAK24" s="631"/>
      <c r="AAL24" s="631"/>
      <c r="AAM24" s="631"/>
      <c r="AAN24" s="631"/>
      <c r="AAO24" s="631"/>
      <c r="AAP24" s="631"/>
      <c r="AAQ24" s="631"/>
      <c r="AAR24" s="631"/>
      <c r="AAS24" s="631"/>
      <c r="AAT24" s="631"/>
      <c r="AAU24" s="631"/>
      <c r="AAV24" s="631"/>
      <c r="AAW24" s="631"/>
      <c r="AAX24" s="631"/>
      <c r="AAY24" s="631"/>
      <c r="AAZ24" s="631"/>
      <c r="ABA24" s="631"/>
      <c r="ABB24" s="631"/>
      <c r="ABC24" s="631"/>
      <c r="ABD24" s="631"/>
      <c r="ABE24" s="631"/>
      <c r="ABF24" s="631"/>
      <c r="ABG24" s="631"/>
      <c r="ABH24" s="631"/>
      <c r="ABI24" s="631"/>
      <c r="ABJ24" s="631"/>
      <c r="ABK24" s="631"/>
      <c r="ABL24" s="631"/>
      <c r="ABM24" s="631"/>
      <c r="ABN24" s="631"/>
      <c r="ABO24" s="631"/>
      <c r="ABP24" s="631"/>
      <c r="ABQ24" s="631"/>
      <c r="ABR24" s="631"/>
      <c r="ABS24" s="631"/>
      <c r="ABT24" s="631"/>
      <c r="ABU24" s="631"/>
      <c r="ABV24" s="631"/>
      <c r="ABW24" s="631"/>
      <c r="ABX24" s="631"/>
      <c r="ABY24" s="631"/>
      <c r="ABZ24" s="631"/>
      <c r="ACA24" s="631"/>
      <c r="ACB24" s="631"/>
      <c r="ACC24" s="631"/>
      <c r="ACD24" s="631"/>
      <c r="ACE24" s="631"/>
      <c r="ACF24" s="631"/>
      <c r="ACG24" s="631"/>
      <c r="ACH24" s="631"/>
      <c r="ACI24" s="631"/>
      <c r="ACJ24" s="631"/>
      <c r="ACK24" s="631"/>
      <c r="ACL24" s="631"/>
      <c r="ACM24" s="631"/>
      <c r="ACN24" s="631"/>
      <c r="ACO24" s="631"/>
      <c r="ACP24" s="631"/>
      <c r="ACQ24" s="631"/>
      <c r="ACR24" s="631"/>
      <c r="ACS24" s="631"/>
      <c r="ACT24" s="631"/>
      <c r="ACU24" s="631"/>
      <c r="ACV24" s="631"/>
      <c r="ACW24" s="631"/>
      <c r="ACX24" s="631"/>
      <c r="ACY24" s="631"/>
      <c r="ACZ24" s="631"/>
      <c r="ADA24" s="631"/>
      <c r="ADB24" s="631"/>
      <c r="ADC24" s="631"/>
      <c r="ADD24" s="631"/>
      <c r="ADE24" s="631"/>
      <c r="ADF24" s="631"/>
      <c r="ADG24" s="631"/>
      <c r="ADH24" s="631"/>
      <c r="ADI24" s="631"/>
      <c r="ADJ24" s="631"/>
      <c r="ADK24" s="631"/>
      <c r="ADL24" s="631"/>
      <c r="ADM24" s="631"/>
      <c r="ADN24" s="631"/>
      <c r="ADO24" s="631"/>
      <c r="ADP24" s="631"/>
      <c r="ADQ24" s="631"/>
      <c r="ADR24" s="631"/>
      <c r="ADS24" s="631"/>
      <c r="ADT24" s="631"/>
      <c r="ADU24" s="631"/>
      <c r="ADV24" s="631"/>
      <c r="ADW24" s="631"/>
      <c r="ADX24" s="631"/>
      <c r="ADY24" s="631"/>
      <c r="ADZ24" s="631"/>
      <c r="AEA24" s="631"/>
      <c r="AEB24" s="631"/>
      <c r="AEC24" s="631"/>
      <c r="AED24" s="631"/>
      <c r="AEE24" s="631"/>
      <c r="AEF24" s="631"/>
      <c r="AEG24" s="631"/>
      <c r="AEH24" s="631"/>
      <c r="AEI24" s="631"/>
      <c r="AEJ24" s="631"/>
      <c r="AEK24" s="631"/>
      <c r="AEL24" s="631"/>
      <c r="AEM24" s="631"/>
      <c r="AEN24" s="631"/>
      <c r="AEO24" s="631"/>
      <c r="AEP24" s="631"/>
      <c r="AEQ24" s="631"/>
      <c r="AER24" s="631"/>
      <c r="AES24" s="631"/>
      <c r="AET24" s="631"/>
      <c r="AEU24" s="631"/>
      <c r="AEV24" s="631"/>
      <c r="AEW24" s="631"/>
      <c r="AEX24" s="631"/>
      <c r="AEY24" s="631"/>
      <c r="AEZ24" s="631"/>
      <c r="AFA24" s="631"/>
      <c r="AFB24" s="631"/>
      <c r="AFC24" s="631"/>
      <c r="AFD24" s="631"/>
      <c r="AFE24" s="631"/>
      <c r="AFF24" s="631"/>
      <c r="AFG24" s="631"/>
      <c r="AFH24" s="631"/>
      <c r="AFI24" s="631"/>
      <c r="AFJ24" s="631"/>
      <c r="AFK24" s="631"/>
      <c r="AFL24" s="631"/>
      <c r="AFM24" s="631"/>
      <c r="AFN24" s="631"/>
      <c r="AFO24" s="631"/>
      <c r="AFP24" s="631"/>
      <c r="AFQ24" s="631"/>
      <c r="AFR24" s="631"/>
      <c r="AFS24" s="631"/>
      <c r="AFT24" s="631"/>
      <c r="AFU24" s="631"/>
      <c r="AFV24" s="631"/>
      <c r="AFW24" s="631"/>
      <c r="AFX24" s="631"/>
      <c r="AFY24" s="631"/>
      <c r="AFZ24" s="631"/>
      <c r="AGA24" s="631"/>
      <c r="AGB24" s="631"/>
      <c r="AGC24" s="631"/>
      <c r="AGD24" s="631"/>
      <c r="AGE24" s="631"/>
      <c r="AGF24" s="631"/>
      <c r="AGG24" s="631"/>
      <c r="AGH24" s="631"/>
      <c r="AGI24" s="631"/>
      <c r="AGJ24" s="631"/>
      <c r="AGK24" s="631"/>
      <c r="AGL24" s="631"/>
      <c r="AGM24" s="631"/>
      <c r="AGN24" s="631"/>
      <c r="AGO24" s="631"/>
      <c r="AGP24" s="631"/>
      <c r="AGQ24" s="631"/>
      <c r="AGR24" s="631"/>
      <c r="AGS24" s="631"/>
      <c r="AGT24" s="631"/>
      <c r="AGU24" s="631"/>
      <c r="AGV24" s="631"/>
      <c r="AGW24" s="631"/>
      <c r="AGX24" s="631"/>
      <c r="AGY24" s="631"/>
      <c r="AGZ24" s="631"/>
      <c r="AHA24" s="631"/>
      <c r="AHB24" s="631"/>
      <c r="AHC24" s="631"/>
      <c r="AHD24" s="631"/>
      <c r="AHE24" s="631"/>
      <c r="AHF24" s="631"/>
      <c r="AHG24" s="631"/>
      <c r="AHH24" s="631"/>
      <c r="AHI24" s="631"/>
      <c r="AHJ24" s="631"/>
      <c r="AHK24" s="631"/>
      <c r="AHL24" s="631"/>
      <c r="AHM24" s="631"/>
      <c r="AHN24" s="631"/>
      <c r="AHO24" s="631"/>
      <c r="AHP24" s="631"/>
      <c r="AHQ24" s="631"/>
      <c r="AHR24" s="631"/>
      <c r="AHS24" s="631"/>
      <c r="AHT24" s="631"/>
      <c r="AHU24" s="631"/>
      <c r="AHV24" s="631"/>
      <c r="AHW24" s="631"/>
      <c r="AHX24" s="631"/>
      <c r="AHY24" s="631"/>
      <c r="AHZ24" s="631"/>
      <c r="AIA24" s="631"/>
      <c r="AIB24" s="631"/>
      <c r="AIC24" s="631"/>
      <c r="AID24" s="631"/>
      <c r="AIE24" s="631"/>
      <c r="AIF24" s="631"/>
      <c r="AIG24" s="631"/>
      <c r="AIH24" s="631"/>
      <c r="AII24" s="631"/>
      <c r="AIJ24" s="631"/>
      <c r="AIK24" s="631"/>
      <c r="AIL24" s="631"/>
      <c r="AIM24" s="631"/>
      <c r="AIN24" s="631"/>
      <c r="AIO24" s="631"/>
      <c r="AIP24" s="631"/>
      <c r="AIQ24" s="631"/>
      <c r="AIR24" s="631"/>
      <c r="AIS24" s="631"/>
      <c r="AIT24" s="631"/>
      <c r="AIU24" s="631"/>
      <c r="AIV24" s="631"/>
      <c r="AIW24" s="631"/>
      <c r="AIX24" s="631"/>
      <c r="AIY24" s="631"/>
      <c r="AIZ24" s="631"/>
      <c r="AJA24" s="631"/>
      <c r="AJB24" s="631"/>
      <c r="AJC24" s="631"/>
      <c r="AJD24" s="631"/>
      <c r="AJE24" s="631"/>
      <c r="AJF24" s="631"/>
      <c r="AJG24" s="631"/>
      <c r="AJH24" s="631"/>
      <c r="AJI24" s="631"/>
      <c r="AJJ24" s="631"/>
      <c r="AJK24" s="631"/>
      <c r="AJL24" s="631"/>
      <c r="AJM24" s="631"/>
      <c r="AJN24" s="631"/>
      <c r="AJO24" s="631"/>
      <c r="AJP24" s="631"/>
      <c r="AJQ24" s="631"/>
      <c r="AJR24" s="631"/>
      <c r="AJS24" s="631"/>
      <c r="AJT24" s="631"/>
      <c r="AJU24" s="631"/>
      <c r="AJV24" s="631"/>
      <c r="AJW24" s="631"/>
      <c r="AJX24" s="631"/>
      <c r="AJY24" s="631"/>
      <c r="AJZ24" s="631"/>
      <c r="AKA24" s="631"/>
      <c r="AKB24" s="631"/>
      <c r="AKC24" s="631"/>
      <c r="AKD24" s="631"/>
      <c r="AKE24" s="631"/>
      <c r="AKF24" s="631"/>
      <c r="AKG24" s="631"/>
      <c r="AKH24" s="631"/>
      <c r="AKI24" s="631"/>
      <c r="AKJ24" s="631"/>
      <c r="AKK24" s="631"/>
      <c r="AKL24" s="631"/>
      <c r="AKM24" s="631"/>
      <c r="AKN24" s="631"/>
      <c r="AKO24" s="631"/>
      <c r="AKP24" s="631"/>
      <c r="AKQ24" s="631"/>
      <c r="AKR24" s="631"/>
      <c r="AKS24" s="631"/>
      <c r="AKT24" s="631"/>
      <c r="AKU24" s="631"/>
      <c r="AKV24" s="631"/>
      <c r="AKW24" s="631"/>
      <c r="AKX24" s="631"/>
      <c r="AKY24" s="631"/>
      <c r="AKZ24" s="631"/>
      <c r="ALA24" s="631"/>
      <c r="ALB24" s="631"/>
      <c r="ALC24" s="631"/>
      <c r="ALD24" s="631"/>
      <c r="ALE24" s="631"/>
      <c r="ALF24" s="631"/>
      <c r="ALG24" s="631"/>
      <c r="ALH24" s="631"/>
      <c r="ALI24" s="631"/>
      <c r="ALJ24" s="631"/>
      <c r="ALK24" s="631"/>
      <c r="ALL24" s="631"/>
      <c r="ALM24" s="631"/>
      <c r="ALN24" s="631"/>
      <c r="ALO24" s="631"/>
      <c r="ALP24" s="631"/>
      <c r="ALQ24" s="631"/>
      <c r="ALR24" s="631"/>
      <c r="ALS24" s="631"/>
      <c r="ALT24" s="631"/>
      <c r="ALU24" s="631"/>
      <c r="ALV24" s="631"/>
      <c r="ALW24" s="631"/>
      <c r="ALX24" s="631"/>
      <c r="ALY24" s="631"/>
      <c r="ALZ24" s="631"/>
      <c r="AMA24" s="631"/>
      <c r="AMB24" s="631"/>
      <c r="AMC24" s="631"/>
      <c r="AMD24" s="631"/>
      <c r="AME24" s="631"/>
      <c r="AMF24" s="631"/>
      <c r="AMG24" s="631"/>
      <c r="AMH24" s="631"/>
      <c r="AMI24" s="631"/>
      <c r="AMJ24" s="631"/>
      <c r="AMK24" s="631"/>
      <c r="AML24" s="631"/>
      <c r="AMM24" s="631"/>
      <c r="AMN24" s="631"/>
      <c r="AMO24" s="631"/>
      <c r="AMP24" s="631"/>
      <c r="AMQ24" s="631"/>
      <c r="AMR24" s="631"/>
      <c r="AMS24" s="631"/>
      <c r="AMT24" s="631"/>
      <c r="AMU24" s="631"/>
      <c r="AMV24" s="631"/>
      <c r="AMW24" s="631"/>
      <c r="AMX24" s="631"/>
      <c r="AMY24" s="631"/>
      <c r="AMZ24" s="631"/>
      <c r="ANA24" s="631"/>
      <c r="ANB24" s="631"/>
      <c r="ANC24" s="631"/>
      <c r="AND24" s="631"/>
      <c r="ANE24" s="631"/>
      <c r="ANF24" s="631"/>
      <c r="ANG24" s="631"/>
      <c r="ANH24" s="631"/>
      <c r="ANI24" s="631"/>
      <c r="ANJ24" s="631"/>
      <c r="ANK24" s="631"/>
      <c r="ANL24" s="631"/>
      <c r="ANM24" s="631"/>
      <c r="ANN24" s="631"/>
      <c r="ANO24" s="631"/>
      <c r="ANP24" s="631"/>
      <c r="ANQ24" s="631"/>
      <c r="ANR24" s="631"/>
      <c r="ANS24" s="631"/>
      <c r="ANT24" s="631"/>
      <c r="ANU24" s="631"/>
      <c r="ANV24" s="631"/>
      <c r="ANW24" s="631"/>
      <c r="ANX24" s="631"/>
      <c r="ANY24" s="631"/>
      <c r="ANZ24" s="631"/>
      <c r="AOA24" s="631"/>
      <c r="AOB24" s="631"/>
      <c r="AOC24" s="631"/>
      <c r="AOD24" s="631"/>
      <c r="AOE24" s="631"/>
      <c r="AOF24" s="631"/>
      <c r="AOG24" s="631"/>
      <c r="AOH24" s="631"/>
      <c r="AOI24" s="631"/>
      <c r="AOJ24" s="631"/>
      <c r="AOK24" s="631"/>
      <c r="AOL24" s="631"/>
      <c r="AOM24" s="631"/>
      <c r="AON24" s="631"/>
      <c r="AOO24" s="631"/>
      <c r="AOP24" s="631"/>
      <c r="AOQ24" s="631"/>
      <c r="AOR24" s="631"/>
      <c r="AOS24" s="631"/>
      <c r="AOT24" s="631"/>
      <c r="AOU24" s="631"/>
      <c r="AOV24" s="631"/>
      <c r="AOW24" s="631"/>
      <c r="AOX24" s="631"/>
      <c r="AOY24" s="631"/>
      <c r="AOZ24" s="631"/>
      <c r="APA24" s="631"/>
      <c r="APB24" s="631"/>
      <c r="APC24" s="631"/>
      <c r="APD24" s="631"/>
      <c r="APE24" s="631"/>
      <c r="APF24" s="631"/>
      <c r="APG24" s="631"/>
      <c r="APH24" s="631"/>
      <c r="API24" s="631"/>
      <c r="APJ24" s="631"/>
      <c r="APK24" s="631"/>
      <c r="APL24" s="631"/>
      <c r="APM24" s="631"/>
      <c r="APN24" s="631"/>
      <c r="APO24" s="631"/>
      <c r="APP24" s="631"/>
      <c r="APQ24" s="631"/>
      <c r="APR24" s="631"/>
      <c r="APS24" s="631"/>
      <c r="APT24" s="631"/>
      <c r="APU24" s="631"/>
      <c r="APV24" s="631"/>
      <c r="APW24" s="631"/>
      <c r="APX24" s="631"/>
      <c r="APY24" s="631"/>
      <c r="APZ24" s="631"/>
      <c r="AQA24" s="631"/>
      <c r="AQB24" s="631"/>
      <c r="AQC24" s="631"/>
      <c r="AQD24" s="631"/>
      <c r="AQE24" s="631"/>
      <c r="AQF24" s="631"/>
      <c r="AQG24" s="631"/>
      <c r="AQH24" s="631"/>
      <c r="AQI24" s="631"/>
      <c r="AQJ24" s="631"/>
      <c r="AQK24" s="631"/>
      <c r="AQL24" s="631"/>
      <c r="AQM24" s="631"/>
      <c r="AQN24" s="631"/>
      <c r="AQO24" s="631"/>
      <c r="AQP24" s="631"/>
      <c r="AQQ24" s="631"/>
      <c r="AQR24" s="631"/>
      <c r="AQS24" s="631"/>
      <c r="AQT24" s="631"/>
      <c r="AQU24" s="631"/>
      <c r="AQV24" s="631"/>
      <c r="AQW24" s="631"/>
      <c r="AQX24" s="631"/>
      <c r="AQY24" s="631"/>
      <c r="AQZ24" s="631"/>
      <c r="ARA24" s="631"/>
      <c r="ARB24" s="631"/>
      <c r="ARC24" s="631"/>
      <c r="ARD24" s="631"/>
      <c r="ARE24" s="631"/>
      <c r="ARF24" s="631"/>
      <c r="ARG24" s="631"/>
      <c r="ARH24" s="631"/>
      <c r="ARI24" s="631"/>
      <c r="ARJ24" s="631"/>
      <c r="ARK24" s="631"/>
      <c r="ARL24" s="631"/>
      <c r="ARM24" s="631"/>
      <c r="ARN24" s="631"/>
      <c r="ARO24" s="631"/>
      <c r="ARP24" s="631"/>
      <c r="ARQ24" s="631"/>
      <c r="ARR24" s="631"/>
      <c r="ARS24" s="631"/>
      <c r="ART24" s="631"/>
      <c r="ARU24" s="631"/>
      <c r="ARV24" s="631"/>
      <c r="ARW24" s="631"/>
      <c r="ARX24" s="631"/>
      <c r="ARY24" s="631"/>
      <c r="ARZ24" s="631"/>
      <c r="ASA24" s="631"/>
      <c r="ASB24" s="631"/>
      <c r="ASC24" s="631"/>
      <c r="ASD24" s="631"/>
      <c r="ASE24" s="631"/>
      <c r="ASF24" s="631"/>
      <c r="ASG24" s="631"/>
      <c r="ASH24" s="631"/>
      <c r="ASI24" s="631"/>
      <c r="ASJ24" s="631"/>
      <c r="ASK24" s="631"/>
      <c r="ASL24" s="631"/>
      <c r="ASM24" s="631"/>
      <c r="ASN24" s="631"/>
      <c r="ASO24" s="631"/>
      <c r="ASP24" s="631"/>
      <c r="ASQ24" s="631"/>
      <c r="ASR24" s="631"/>
      <c r="ASS24" s="631"/>
      <c r="AST24" s="631"/>
      <c r="ASU24" s="631"/>
      <c r="ASV24" s="631"/>
      <c r="ASW24" s="631"/>
      <c r="ASX24" s="631"/>
      <c r="ASY24" s="631"/>
      <c r="ASZ24" s="631"/>
      <c r="ATA24" s="631"/>
      <c r="ATB24" s="631"/>
      <c r="ATC24" s="631"/>
      <c r="ATD24" s="631"/>
      <c r="ATE24" s="631"/>
      <c r="ATF24" s="631"/>
      <c r="ATG24" s="631"/>
      <c r="ATH24" s="631"/>
      <c r="ATI24" s="631"/>
      <c r="ATJ24" s="631"/>
      <c r="ATK24" s="631"/>
      <c r="ATL24" s="631"/>
      <c r="ATM24" s="631"/>
      <c r="ATN24" s="631"/>
      <c r="ATO24" s="631"/>
      <c r="ATP24" s="631"/>
      <c r="ATQ24" s="631"/>
      <c r="ATR24" s="631"/>
      <c r="ATS24" s="631"/>
      <c r="ATT24" s="631"/>
      <c r="ATU24" s="631"/>
      <c r="ATV24" s="631"/>
      <c r="ATW24" s="631"/>
      <c r="ATX24" s="631"/>
      <c r="ATY24" s="631"/>
      <c r="ATZ24" s="631"/>
      <c r="AUA24" s="631"/>
      <c r="AUB24" s="631"/>
      <c r="AUC24" s="631"/>
      <c r="AUD24" s="631"/>
      <c r="AUE24" s="631"/>
      <c r="AUF24" s="631"/>
      <c r="AUG24" s="631"/>
      <c r="AUH24" s="631"/>
      <c r="AUI24" s="631"/>
      <c r="AUJ24" s="631"/>
      <c r="AUK24" s="631"/>
      <c r="AUL24" s="631"/>
      <c r="AUM24" s="631"/>
      <c r="AUN24" s="631"/>
      <c r="AUO24" s="631"/>
      <c r="AUP24" s="631"/>
      <c r="AUQ24" s="631"/>
      <c r="AUR24" s="631"/>
      <c r="AUS24" s="631"/>
      <c r="AUT24" s="631"/>
      <c r="AUU24" s="631"/>
      <c r="AUV24" s="631"/>
      <c r="AUW24" s="631"/>
      <c r="AUX24" s="631"/>
      <c r="AUY24" s="631"/>
      <c r="AUZ24" s="631"/>
      <c r="AVA24" s="631"/>
      <c r="AVB24" s="631"/>
      <c r="AVC24" s="631"/>
      <c r="AVD24" s="631"/>
      <c r="AVE24" s="631"/>
      <c r="AVF24" s="631"/>
      <c r="AVG24" s="631"/>
      <c r="AVH24" s="631"/>
      <c r="AVI24" s="631"/>
      <c r="AVJ24" s="631"/>
      <c r="AVK24" s="631"/>
      <c r="AVL24" s="631"/>
      <c r="AVM24" s="631"/>
      <c r="AVN24" s="631"/>
      <c r="AVO24" s="631"/>
      <c r="AVP24" s="631"/>
      <c r="AVQ24" s="631"/>
      <c r="AVR24" s="631"/>
      <c r="AVS24" s="631"/>
      <c r="AVT24" s="631"/>
      <c r="AVU24" s="631"/>
      <c r="AVV24" s="631"/>
      <c r="AVW24" s="631"/>
      <c r="AVX24" s="631"/>
      <c r="AVY24" s="631"/>
      <c r="AVZ24" s="631"/>
      <c r="AWA24" s="631"/>
      <c r="AWB24" s="631"/>
      <c r="AWC24" s="631"/>
      <c r="AWD24" s="631"/>
      <c r="AWE24" s="631"/>
      <c r="AWF24" s="631"/>
      <c r="AWG24" s="631"/>
      <c r="AWH24" s="631"/>
      <c r="AWI24" s="631"/>
      <c r="AWJ24" s="631"/>
      <c r="AWK24" s="631"/>
      <c r="AWL24" s="631"/>
      <c r="AWM24" s="631"/>
      <c r="AWN24" s="631"/>
      <c r="AWO24" s="631"/>
      <c r="AWP24" s="631"/>
      <c r="AWQ24" s="631"/>
      <c r="AWR24" s="631"/>
      <c r="AWS24" s="631"/>
      <c r="AWT24" s="631"/>
      <c r="AWU24" s="631"/>
      <c r="AWV24" s="631"/>
      <c r="AWW24" s="631"/>
      <c r="AWX24" s="631"/>
      <c r="AWY24" s="631"/>
      <c r="AWZ24" s="631"/>
      <c r="AXA24" s="631"/>
      <c r="AXB24" s="631"/>
      <c r="AXC24" s="631"/>
      <c r="AXD24" s="631"/>
      <c r="AXE24" s="631"/>
      <c r="AXF24" s="631"/>
      <c r="AXG24" s="631"/>
      <c r="AXH24" s="631"/>
      <c r="AXI24" s="631"/>
      <c r="AXJ24" s="631"/>
      <c r="AXK24" s="631"/>
      <c r="AXL24" s="631"/>
      <c r="AXM24" s="631"/>
      <c r="AXN24" s="631"/>
      <c r="AXO24" s="631"/>
      <c r="AXP24" s="631"/>
      <c r="AXQ24" s="631"/>
      <c r="AXR24" s="631"/>
      <c r="AXS24" s="631"/>
      <c r="AXT24" s="631"/>
      <c r="AXU24" s="631"/>
      <c r="AXV24" s="631"/>
      <c r="AXW24" s="631"/>
      <c r="AXX24" s="631"/>
      <c r="AXY24" s="631"/>
      <c r="AXZ24" s="631"/>
      <c r="AYA24" s="631"/>
      <c r="AYB24" s="631"/>
      <c r="AYC24" s="631"/>
      <c r="AYD24" s="631"/>
      <c r="AYE24" s="631"/>
      <c r="AYF24" s="631"/>
      <c r="AYG24" s="631"/>
      <c r="AYH24" s="631"/>
      <c r="AYI24" s="631"/>
      <c r="AYJ24" s="631"/>
      <c r="AYK24" s="631"/>
      <c r="AYL24" s="631"/>
      <c r="AYM24" s="631"/>
      <c r="AYN24" s="631"/>
      <c r="AYO24" s="631"/>
      <c r="AYP24" s="631"/>
      <c r="AYQ24" s="631"/>
      <c r="AYR24" s="631"/>
      <c r="AYS24" s="631"/>
      <c r="AYT24" s="631"/>
      <c r="AYU24" s="631"/>
      <c r="AYV24" s="631"/>
      <c r="AYW24" s="631"/>
      <c r="AYX24" s="631"/>
      <c r="AYY24" s="631"/>
      <c r="AYZ24" s="631"/>
      <c r="AZA24" s="631"/>
      <c r="AZB24" s="631"/>
      <c r="AZC24" s="631"/>
      <c r="AZD24" s="631"/>
      <c r="AZE24" s="631"/>
      <c r="AZF24" s="631"/>
      <c r="AZG24" s="631"/>
      <c r="AZH24" s="631"/>
      <c r="AZI24" s="631"/>
      <c r="AZJ24" s="631"/>
      <c r="AZK24" s="631"/>
      <c r="AZL24" s="631"/>
      <c r="AZM24" s="631"/>
      <c r="AZN24" s="631"/>
      <c r="AZO24" s="631"/>
      <c r="AZP24" s="631"/>
      <c r="AZQ24" s="631"/>
      <c r="AZR24" s="631"/>
      <c r="AZS24" s="631"/>
      <c r="AZT24" s="631"/>
      <c r="AZU24" s="631"/>
      <c r="AZV24" s="631"/>
      <c r="AZW24" s="631"/>
      <c r="AZX24" s="631"/>
      <c r="AZY24" s="631"/>
      <c r="AZZ24" s="631"/>
      <c r="BAA24" s="631"/>
      <c r="BAB24" s="631"/>
      <c r="BAC24" s="631"/>
      <c r="BAD24" s="631"/>
      <c r="BAE24" s="631"/>
      <c r="BAF24" s="631"/>
      <c r="BAG24" s="631"/>
      <c r="BAH24" s="631"/>
      <c r="BAI24" s="631"/>
      <c r="BAJ24" s="631"/>
      <c r="BAK24" s="631"/>
      <c r="BAL24" s="631"/>
      <c r="BAM24" s="631"/>
      <c r="BAN24" s="631"/>
      <c r="BAO24" s="631"/>
      <c r="BAP24" s="631"/>
      <c r="BAQ24" s="631"/>
      <c r="BAR24" s="631"/>
      <c r="BAS24" s="631"/>
      <c r="BAT24" s="631"/>
      <c r="BAU24" s="631"/>
      <c r="BAV24" s="631"/>
      <c r="BAW24" s="631"/>
      <c r="BAX24" s="631"/>
      <c r="BAY24" s="631"/>
      <c r="BAZ24" s="631"/>
      <c r="BBA24" s="631"/>
      <c r="BBB24" s="631"/>
      <c r="BBC24" s="631"/>
      <c r="BBD24" s="631"/>
      <c r="BBE24" s="631"/>
      <c r="BBF24" s="631"/>
      <c r="BBG24" s="631"/>
      <c r="BBH24" s="631"/>
      <c r="BBI24" s="631"/>
      <c r="BBJ24" s="631"/>
      <c r="BBK24" s="631"/>
      <c r="BBL24" s="631"/>
      <c r="BBM24" s="631"/>
      <c r="BBN24" s="631"/>
      <c r="BBO24" s="631"/>
      <c r="BBP24" s="631"/>
      <c r="BBQ24" s="631"/>
      <c r="BBR24" s="631"/>
      <c r="BBS24" s="631"/>
      <c r="BBT24" s="631"/>
      <c r="BBU24" s="631"/>
      <c r="BBV24" s="631"/>
      <c r="BBW24" s="631"/>
      <c r="BBX24" s="631"/>
      <c r="BBY24" s="631"/>
      <c r="BBZ24" s="631"/>
      <c r="BCA24" s="631"/>
      <c r="BCB24" s="631"/>
      <c r="BCC24" s="631"/>
      <c r="BCD24" s="631"/>
      <c r="BCE24" s="631"/>
      <c r="BCF24" s="631"/>
      <c r="BCG24" s="631"/>
      <c r="BCH24" s="631"/>
      <c r="BCI24" s="631"/>
      <c r="BCJ24" s="631"/>
      <c r="BCK24" s="631"/>
      <c r="BCL24" s="631"/>
      <c r="BCM24" s="631"/>
      <c r="BCN24" s="631"/>
      <c r="BCO24" s="631"/>
      <c r="BCP24" s="631"/>
      <c r="BCQ24" s="631"/>
      <c r="BCR24" s="631"/>
      <c r="BCS24" s="631"/>
      <c r="BCT24" s="631"/>
      <c r="BCU24" s="631"/>
      <c r="BCV24" s="631"/>
      <c r="BCW24" s="631"/>
      <c r="BCX24" s="631"/>
      <c r="BCY24" s="631"/>
      <c r="BCZ24" s="631"/>
      <c r="BDA24" s="631"/>
      <c r="BDB24" s="631"/>
      <c r="BDC24" s="631"/>
      <c r="BDD24" s="631"/>
      <c r="BDE24" s="631"/>
      <c r="BDF24" s="631"/>
      <c r="BDG24" s="631"/>
      <c r="BDH24" s="631"/>
      <c r="BDI24" s="631"/>
      <c r="BDJ24" s="631"/>
      <c r="BDK24" s="631"/>
      <c r="BDL24" s="631"/>
      <c r="BDM24" s="631"/>
      <c r="BDN24" s="631"/>
      <c r="BDO24" s="631"/>
      <c r="BDP24" s="631"/>
      <c r="BDQ24" s="631"/>
      <c r="BDR24" s="631"/>
      <c r="BDS24" s="631"/>
      <c r="BDT24" s="631"/>
      <c r="BDU24" s="631"/>
      <c r="BDV24" s="631"/>
      <c r="BDW24" s="631"/>
      <c r="BDX24" s="631"/>
      <c r="BDY24" s="631"/>
      <c r="BDZ24" s="631"/>
      <c r="BEA24" s="631"/>
      <c r="BEB24" s="631"/>
      <c r="BEC24" s="631"/>
      <c r="BED24" s="631"/>
      <c r="BEE24" s="631"/>
      <c r="BEF24" s="631"/>
      <c r="BEG24" s="631"/>
      <c r="BEH24" s="631"/>
      <c r="BEI24" s="631"/>
      <c r="BEJ24" s="631"/>
      <c r="BEK24" s="631"/>
      <c r="BEL24" s="631"/>
      <c r="BEM24" s="631"/>
      <c r="BEN24" s="631"/>
      <c r="BEO24" s="631"/>
      <c r="BEP24" s="631"/>
      <c r="BEQ24" s="631"/>
      <c r="BER24" s="631"/>
      <c r="BES24" s="631"/>
      <c r="BET24" s="631"/>
      <c r="BEU24" s="631"/>
      <c r="BEV24" s="631"/>
      <c r="BEW24" s="631"/>
      <c r="BEX24" s="631"/>
      <c r="BEY24" s="631"/>
      <c r="BEZ24" s="631"/>
      <c r="BFA24" s="631"/>
      <c r="BFB24" s="631"/>
      <c r="BFC24" s="631"/>
      <c r="BFD24" s="631"/>
      <c r="BFE24" s="631"/>
      <c r="BFF24" s="631"/>
      <c r="BFG24" s="631"/>
      <c r="BFH24" s="631"/>
      <c r="BFI24" s="631"/>
      <c r="BFJ24" s="631"/>
      <c r="BFK24" s="631"/>
      <c r="BFL24" s="631"/>
      <c r="BFM24" s="631"/>
      <c r="BFN24" s="631"/>
      <c r="BFO24" s="631"/>
      <c r="BFP24" s="631"/>
      <c r="BFQ24" s="631"/>
      <c r="BFR24" s="631"/>
      <c r="BFS24" s="631"/>
      <c r="BFT24" s="631"/>
      <c r="BFU24" s="631"/>
      <c r="BFV24" s="631"/>
      <c r="BFW24" s="631"/>
      <c r="BFX24" s="631"/>
      <c r="BFY24" s="631"/>
      <c r="BFZ24" s="631"/>
      <c r="BGA24" s="631"/>
      <c r="BGB24" s="631"/>
      <c r="BGC24" s="631"/>
      <c r="BGD24" s="631"/>
      <c r="BGE24" s="631"/>
      <c r="BGF24" s="631"/>
      <c r="BGG24" s="631"/>
      <c r="BGH24" s="631"/>
      <c r="BGI24" s="631"/>
      <c r="BGJ24" s="631"/>
      <c r="BGK24" s="631"/>
      <c r="BGL24" s="631"/>
      <c r="BGM24" s="631"/>
      <c r="BGN24" s="631"/>
      <c r="BGO24" s="631"/>
      <c r="BGP24" s="631"/>
      <c r="BGQ24" s="631"/>
      <c r="BGR24" s="631"/>
      <c r="BGS24" s="631"/>
      <c r="BGT24" s="631"/>
      <c r="BGU24" s="631"/>
      <c r="BGV24" s="631"/>
      <c r="BGW24" s="631"/>
      <c r="BGX24" s="631"/>
      <c r="BGY24" s="631"/>
      <c r="BGZ24" s="631"/>
      <c r="BHA24" s="631"/>
      <c r="BHB24" s="631"/>
      <c r="BHC24" s="631"/>
      <c r="BHD24" s="631"/>
      <c r="BHE24" s="631"/>
      <c r="BHF24" s="631"/>
      <c r="BHG24" s="631"/>
      <c r="BHH24" s="631"/>
      <c r="BHI24" s="631"/>
      <c r="BHJ24" s="631"/>
      <c r="BHK24" s="631"/>
      <c r="BHL24" s="631"/>
      <c r="BHM24" s="631"/>
      <c r="BHN24" s="631"/>
      <c r="BHO24" s="631"/>
      <c r="BHP24" s="631"/>
      <c r="BHQ24" s="631"/>
      <c r="BHR24" s="631"/>
      <c r="BHS24" s="631"/>
      <c r="BHT24" s="631"/>
      <c r="BHU24" s="631"/>
      <c r="BHV24" s="631"/>
      <c r="BHW24" s="631"/>
      <c r="BHX24" s="631"/>
      <c r="BHY24" s="631"/>
      <c r="BHZ24" s="631"/>
      <c r="BIA24" s="631"/>
      <c r="BIB24" s="631"/>
      <c r="BIC24" s="631"/>
      <c r="BID24" s="631"/>
      <c r="BIE24" s="631"/>
      <c r="BIF24" s="631"/>
      <c r="BIG24" s="631"/>
      <c r="BIH24" s="631"/>
      <c r="BII24" s="631"/>
      <c r="BIJ24" s="631"/>
      <c r="BIK24" s="631"/>
      <c r="BIL24" s="631"/>
      <c r="BIM24" s="631"/>
      <c r="BIN24" s="631"/>
      <c r="BIO24" s="631"/>
      <c r="BIP24" s="631"/>
      <c r="BIQ24" s="631"/>
      <c r="BIR24" s="631"/>
      <c r="BIS24" s="631"/>
      <c r="BIT24" s="631"/>
      <c r="BIU24" s="631"/>
      <c r="BIV24" s="631"/>
      <c r="BIW24" s="631"/>
      <c r="BIX24" s="631"/>
      <c r="BIY24" s="631"/>
      <c r="BIZ24" s="631"/>
      <c r="BJA24" s="631"/>
      <c r="BJB24" s="631"/>
      <c r="BJC24" s="631"/>
      <c r="BJD24" s="631"/>
      <c r="BJE24" s="631"/>
      <c r="BJF24" s="631"/>
      <c r="BJG24" s="631"/>
      <c r="BJH24" s="631"/>
      <c r="BJI24" s="631"/>
      <c r="BJJ24" s="631"/>
      <c r="BJK24" s="631"/>
      <c r="BJL24" s="631"/>
      <c r="BJM24" s="631"/>
      <c r="BJN24" s="631"/>
      <c r="BJO24" s="631"/>
      <c r="BJP24" s="631"/>
      <c r="BJQ24" s="631"/>
      <c r="BJR24" s="631"/>
      <c r="BJS24" s="631"/>
      <c r="BJT24" s="631"/>
      <c r="BJU24" s="631"/>
      <c r="BJV24" s="631"/>
      <c r="BJW24" s="631"/>
      <c r="BJX24" s="631"/>
      <c r="BJY24" s="631"/>
      <c r="BJZ24" s="631"/>
      <c r="BKA24" s="631"/>
      <c r="BKB24" s="631"/>
      <c r="BKC24" s="631"/>
      <c r="BKD24" s="631"/>
      <c r="BKE24" s="631"/>
      <c r="BKF24" s="631"/>
      <c r="BKG24" s="631"/>
      <c r="BKH24" s="631"/>
      <c r="BKI24" s="631"/>
      <c r="BKJ24" s="631"/>
      <c r="BKK24" s="631"/>
      <c r="BKL24" s="631"/>
      <c r="BKM24" s="631"/>
      <c r="BKN24" s="631"/>
      <c r="BKO24" s="631"/>
      <c r="BKP24" s="631"/>
      <c r="BKQ24" s="631"/>
      <c r="BKR24" s="631"/>
      <c r="BKS24" s="631"/>
      <c r="BKT24" s="631"/>
      <c r="BKU24" s="631"/>
      <c r="BKV24" s="631"/>
      <c r="BKW24" s="631"/>
      <c r="BKX24" s="631"/>
      <c r="BKY24" s="631"/>
      <c r="BKZ24" s="631"/>
      <c r="BLA24" s="631"/>
      <c r="BLB24" s="631"/>
      <c r="BLC24" s="631"/>
      <c r="BLD24" s="631"/>
      <c r="BLE24" s="631"/>
      <c r="BLF24" s="631"/>
      <c r="BLG24" s="631"/>
      <c r="BLH24" s="631"/>
      <c r="BLI24" s="631"/>
      <c r="BLJ24" s="631"/>
      <c r="BLK24" s="631"/>
      <c r="BLL24" s="631"/>
      <c r="BLM24" s="631"/>
      <c r="BLN24" s="631"/>
      <c r="BLO24" s="631"/>
      <c r="BLP24" s="631"/>
      <c r="BLQ24" s="631"/>
      <c r="BLR24" s="631"/>
      <c r="BLS24" s="631"/>
      <c r="BLT24" s="631"/>
      <c r="BLU24" s="631"/>
      <c r="BLV24" s="631"/>
      <c r="BLW24" s="631"/>
      <c r="BLX24" s="631"/>
      <c r="BLY24" s="631"/>
      <c r="BLZ24" s="631"/>
      <c r="BMA24" s="631"/>
      <c r="BMB24" s="631"/>
      <c r="BMC24" s="631"/>
      <c r="BMD24" s="631"/>
      <c r="BME24" s="631"/>
      <c r="BMF24" s="631"/>
      <c r="BMG24" s="631"/>
      <c r="BMH24" s="631"/>
      <c r="BMI24" s="631"/>
      <c r="BMJ24" s="631"/>
      <c r="BMK24" s="631"/>
      <c r="BML24" s="631"/>
      <c r="BMM24" s="631"/>
      <c r="BMN24" s="631"/>
      <c r="BMO24" s="631"/>
      <c r="BMP24" s="631"/>
      <c r="BMQ24" s="631"/>
      <c r="BMR24" s="631"/>
      <c r="BMS24" s="631"/>
      <c r="BMT24" s="631"/>
      <c r="BMU24" s="631"/>
      <c r="BMV24" s="631"/>
      <c r="BMW24" s="631"/>
      <c r="BMX24" s="631"/>
      <c r="BMY24" s="631"/>
      <c r="BMZ24" s="631"/>
      <c r="BNA24" s="631"/>
      <c r="BNB24" s="631"/>
      <c r="BNC24" s="631"/>
      <c r="BND24" s="631"/>
      <c r="BNE24" s="631"/>
      <c r="BNF24" s="631"/>
      <c r="BNG24" s="631"/>
      <c r="BNH24" s="631"/>
      <c r="BNI24" s="631"/>
      <c r="BNJ24" s="631"/>
      <c r="BNK24" s="631"/>
      <c r="BNL24" s="631"/>
      <c r="BNM24" s="631"/>
      <c r="BNN24" s="631"/>
      <c r="BNO24" s="631"/>
      <c r="BNP24" s="631"/>
      <c r="BNQ24" s="631"/>
      <c r="BNR24" s="631"/>
      <c r="BNS24" s="631"/>
      <c r="BNT24" s="631"/>
      <c r="BNU24" s="631"/>
      <c r="BNV24" s="631"/>
      <c r="BNW24" s="631"/>
      <c r="BNX24" s="631"/>
      <c r="BNY24" s="631"/>
      <c r="BNZ24" s="631"/>
      <c r="BOA24" s="631"/>
      <c r="BOB24" s="631"/>
      <c r="BOC24" s="631"/>
      <c r="BOD24" s="631"/>
      <c r="BOE24" s="631"/>
      <c r="BOF24" s="631"/>
      <c r="BOG24" s="631"/>
      <c r="BOH24" s="631"/>
      <c r="BOI24" s="631"/>
      <c r="BOJ24" s="631"/>
      <c r="BOK24" s="631"/>
      <c r="BOL24" s="631"/>
      <c r="BOM24" s="631"/>
      <c r="BON24" s="631"/>
      <c r="BOO24" s="631"/>
      <c r="BOP24" s="631"/>
      <c r="BOQ24" s="631"/>
      <c r="BOR24" s="631"/>
      <c r="BOS24" s="631"/>
      <c r="BOT24" s="631"/>
      <c r="BOU24" s="631"/>
      <c r="BOV24" s="631"/>
      <c r="BOW24" s="631"/>
      <c r="BOX24" s="631"/>
      <c r="BOY24" s="631"/>
      <c r="BOZ24" s="631"/>
      <c r="BPA24" s="631"/>
      <c r="BPB24" s="631"/>
      <c r="BPC24" s="631"/>
      <c r="BPD24" s="631"/>
      <c r="BPE24" s="631"/>
      <c r="BPF24" s="631"/>
      <c r="BPG24" s="631"/>
      <c r="BPH24" s="631"/>
      <c r="BPI24" s="631"/>
      <c r="BPJ24" s="631"/>
      <c r="BPK24" s="631"/>
      <c r="BPL24" s="631"/>
      <c r="BPM24" s="631"/>
      <c r="BPN24" s="631"/>
      <c r="BPO24" s="631"/>
      <c r="BPP24" s="631"/>
      <c r="BPQ24" s="631"/>
      <c r="BPR24" s="631"/>
      <c r="BPS24" s="631"/>
      <c r="BPT24" s="631"/>
      <c r="BPU24" s="631"/>
      <c r="BPV24" s="631"/>
      <c r="BPW24" s="631"/>
      <c r="BPX24" s="631"/>
      <c r="BPY24" s="631"/>
      <c r="BPZ24" s="631"/>
      <c r="BQA24" s="631"/>
      <c r="BQB24" s="631"/>
      <c r="BQC24" s="631"/>
      <c r="BQD24" s="631"/>
      <c r="BQE24" s="631"/>
      <c r="BQF24" s="631"/>
      <c r="BQG24" s="631"/>
      <c r="BQH24" s="631"/>
      <c r="BQI24" s="631"/>
      <c r="BQJ24" s="631"/>
      <c r="BQK24" s="631"/>
      <c r="BQL24" s="631"/>
      <c r="BQM24" s="631"/>
      <c r="BQN24" s="631"/>
      <c r="BQO24" s="631"/>
      <c r="BQP24" s="631"/>
      <c r="BQQ24" s="631"/>
      <c r="BQR24" s="631"/>
      <c r="BQS24" s="631"/>
      <c r="BQT24" s="631"/>
      <c r="BQU24" s="631"/>
      <c r="BQV24" s="631"/>
      <c r="BQW24" s="631"/>
      <c r="BQX24" s="631"/>
      <c r="BQY24" s="631"/>
      <c r="BQZ24" s="631"/>
      <c r="BRA24" s="631"/>
      <c r="BRB24" s="631"/>
      <c r="BRC24" s="631"/>
      <c r="BRD24" s="631"/>
      <c r="BRE24" s="631"/>
      <c r="BRF24" s="631"/>
      <c r="BRG24" s="631"/>
      <c r="BRH24" s="631"/>
      <c r="BRI24" s="631"/>
      <c r="BRJ24" s="631"/>
      <c r="BRK24" s="631"/>
      <c r="BRL24" s="631"/>
      <c r="BRM24" s="631"/>
      <c r="BRN24" s="631"/>
      <c r="BRO24" s="631"/>
      <c r="BRP24" s="631"/>
      <c r="BRQ24" s="631"/>
      <c r="BRR24" s="631"/>
      <c r="BRS24" s="631"/>
      <c r="BRT24" s="631"/>
      <c r="BRU24" s="631"/>
      <c r="BRV24" s="631"/>
      <c r="BRW24" s="631"/>
      <c r="BRX24" s="631"/>
      <c r="BRY24" s="631"/>
      <c r="BRZ24" s="631"/>
      <c r="BSA24" s="631"/>
      <c r="BSB24" s="631"/>
      <c r="BSC24" s="631"/>
      <c r="BSD24" s="631"/>
      <c r="BSE24" s="631"/>
      <c r="BSF24" s="631"/>
      <c r="BSG24" s="631"/>
      <c r="BSH24" s="631"/>
      <c r="BSI24" s="631"/>
      <c r="BSJ24" s="631"/>
      <c r="BSK24" s="631"/>
      <c r="BSL24" s="631"/>
      <c r="BSM24" s="631"/>
      <c r="BSN24" s="631"/>
      <c r="BSO24" s="631"/>
      <c r="BSP24" s="631"/>
      <c r="BSQ24" s="631"/>
      <c r="BSR24" s="631"/>
      <c r="BSS24" s="631"/>
      <c r="BST24" s="631"/>
      <c r="BSU24" s="631"/>
      <c r="BSV24" s="631"/>
      <c r="BSW24" s="631"/>
      <c r="BSX24" s="631"/>
      <c r="BSY24" s="631"/>
      <c r="BSZ24" s="631"/>
      <c r="BTA24" s="631"/>
      <c r="BTB24" s="631"/>
      <c r="BTC24" s="631"/>
      <c r="BTD24" s="631"/>
      <c r="BTE24" s="631"/>
      <c r="BTF24" s="631"/>
      <c r="BTG24" s="631"/>
      <c r="BTH24" s="631"/>
      <c r="BTI24" s="631"/>
      <c r="BTJ24" s="631"/>
      <c r="BTK24" s="631"/>
      <c r="BTL24" s="631"/>
      <c r="BTM24" s="631"/>
      <c r="BTN24" s="631"/>
      <c r="BTO24" s="631"/>
      <c r="BTP24" s="631"/>
      <c r="BTQ24" s="631"/>
      <c r="BTR24" s="631"/>
      <c r="BTS24" s="631"/>
      <c r="BTT24" s="631"/>
      <c r="BTU24" s="631"/>
      <c r="BTV24" s="631"/>
      <c r="BTW24" s="631"/>
      <c r="BTX24" s="631"/>
      <c r="BTY24" s="631"/>
      <c r="BTZ24" s="631"/>
      <c r="BUA24" s="631"/>
      <c r="BUB24" s="631"/>
      <c r="BUC24" s="631"/>
      <c r="BUD24" s="631"/>
      <c r="BUE24" s="631"/>
      <c r="BUF24" s="631"/>
      <c r="BUG24" s="631"/>
      <c r="BUH24" s="631"/>
      <c r="BUI24" s="631"/>
      <c r="BUJ24" s="631"/>
      <c r="BUK24" s="631"/>
      <c r="BUL24" s="631"/>
      <c r="BUM24" s="631"/>
      <c r="BUN24" s="631"/>
      <c r="BUO24" s="631"/>
      <c r="BUP24" s="631"/>
      <c r="BUQ24" s="631"/>
      <c r="BUR24" s="631"/>
      <c r="BUS24" s="631"/>
      <c r="BUT24" s="631"/>
      <c r="BUU24" s="631"/>
      <c r="BUV24" s="631"/>
      <c r="BUW24" s="631"/>
      <c r="BUX24" s="631"/>
      <c r="BUY24" s="631"/>
      <c r="BUZ24" s="631"/>
      <c r="BVA24" s="631"/>
      <c r="BVB24" s="631"/>
      <c r="BVC24" s="631"/>
      <c r="BVD24" s="631"/>
      <c r="BVE24" s="631"/>
      <c r="BVF24" s="631"/>
      <c r="BVG24" s="631"/>
      <c r="BVH24" s="631"/>
      <c r="BVI24" s="631"/>
      <c r="BVJ24" s="631"/>
      <c r="BVK24" s="631"/>
      <c r="BVL24" s="631"/>
      <c r="BVM24" s="631"/>
      <c r="BVN24" s="631"/>
      <c r="BVO24" s="631"/>
      <c r="BVP24" s="631"/>
      <c r="BVQ24" s="631"/>
      <c r="BVR24" s="631"/>
      <c r="BVS24" s="631"/>
      <c r="BVT24" s="631"/>
      <c r="BVU24" s="631"/>
      <c r="BVV24" s="631"/>
      <c r="BVW24" s="631"/>
      <c r="BVX24" s="631"/>
      <c r="BVY24" s="631"/>
      <c r="BVZ24" s="631"/>
      <c r="BWA24" s="631"/>
      <c r="BWB24" s="631"/>
      <c r="BWC24" s="631"/>
      <c r="BWD24" s="631"/>
      <c r="BWE24" s="631"/>
      <c r="BWF24" s="631"/>
      <c r="BWG24" s="631"/>
      <c r="BWH24" s="631"/>
      <c r="BWI24" s="631"/>
      <c r="BWJ24" s="631"/>
    </row>
    <row r="25" spans="1:1960" s="3036" customFormat="1" ht="17.25" thickBot="1" x14ac:dyDescent="0.3">
      <c r="A25" s="3016" t="s">
        <v>2844</v>
      </c>
      <c r="B25" s="3035">
        <v>0</v>
      </c>
      <c r="C25" s="3035">
        <v>0</v>
      </c>
      <c r="D25" s="3035">
        <v>0</v>
      </c>
      <c r="E25" s="3035">
        <v>0</v>
      </c>
      <c r="F25" s="3035">
        <v>0</v>
      </c>
      <c r="G25" s="3035">
        <v>0</v>
      </c>
      <c r="H25" s="3035">
        <v>0</v>
      </c>
      <c r="I25" s="3035">
        <v>0</v>
      </c>
      <c r="J25" s="3035">
        <v>0</v>
      </c>
      <c r="K25" s="3035">
        <v>0</v>
      </c>
      <c r="L25" s="3035">
        <v>0</v>
      </c>
      <c r="M25" s="3035">
        <v>0</v>
      </c>
      <c r="N25" s="3035">
        <v>0</v>
      </c>
      <c r="O25" s="3035">
        <v>0</v>
      </c>
      <c r="P25" s="3035">
        <v>0</v>
      </c>
      <c r="Q25" s="3035">
        <v>0</v>
      </c>
      <c r="R25" s="3035">
        <v>0</v>
      </c>
      <c r="S25" s="3035">
        <v>0</v>
      </c>
      <c r="T25" s="3035">
        <v>0</v>
      </c>
      <c r="U25" s="3035">
        <v>0</v>
      </c>
      <c r="V25" s="631"/>
      <c r="W25" s="631"/>
      <c r="X25" s="631"/>
      <c r="Y25" s="631"/>
      <c r="Z25" s="631"/>
      <c r="AA25" s="631"/>
      <c r="AB25" s="631"/>
      <c r="AC25" s="631"/>
      <c r="AD25" s="631"/>
      <c r="AE25" s="631"/>
      <c r="AF25" s="631"/>
      <c r="AG25" s="631"/>
      <c r="AH25" s="631"/>
      <c r="AI25" s="631"/>
      <c r="AJ25" s="631"/>
      <c r="AK25" s="631"/>
      <c r="AL25" s="631"/>
      <c r="AM25" s="631"/>
      <c r="AN25" s="631"/>
      <c r="AO25" s="631"/>
      <c r="AP25" s="631"/>
      <c r="AQ25" s="631"/>
      <c r="AR25" s="631"/>
      <c r="AS25" s="631"/>
      <c r="AT25" s="631"/>
      <c r="AU25" s="631"/>
      <c r="AV25" s="631"/>
      <c r="AW25" s="631"/>
      <c r="AX25" s="631"/>
      <c r="AY25" s="631"/>
      <c r="AZ25" s="631"/>
      <c r="BA25" s="631"/>
      <c r="BB25" s="631"/>
      <c r="BC25" s="631"/>
      <c r="BD25" s="631"/>
      <c r="BE25" s="631"/>
      <c r="BF25" s="631"/>
      <c r="BG25" s="631"/>
      <c r="BH25" s="631"/>
      <c r="BI25" s="631"/>
      <c r="BJ25" s="631"/>
      <c r="BK25" s="631"/>
      <c r="BL25" s="631"/>
      <c r="BM25" s="631"/>
      <c r="BN25" s="631"/>
      <c r="BO25" s="631"/>
      <c r="BP25" s="631"/>
      <c r="BQ25" s="631"/>
      <c r="BR25" s="631"/>
      <c r="BS25" s="631"/>
      <c r="BT25" s="631"/>
      <c r="BU25" s="631"/>
      <c r="BV25" s="631"/>
      <c r="BW25" s="631"/>
      <c r="BX25" s="631"/>
      <c r="BY25" s="631"/>
      <c r="BZ25" s="631"/>
      <c r="CA25" s="631"/>
      <c r="CB25" s="631"/>
      <c r="CC25" s="631"/>
      <c r="CD25" s="631"/>
      <c r="CE25" s="631"/>
      <c r="CF25" s="631"/>
      <c r="CG25" s="631"/>
      <c r="CH25" s="631"/>
      <c r="CI25" s="631"/>
      <c r="CJ25" s="631"/>
      <c r="CK25" s="631"/>
      <c r="CL25" s="631"/>
      <c r="CM25" s="631"/>
      <c r="CN25" s="631"/>
      <c r="CO25" s="631"/>
      <c r="CP25" s="631"/>
      <c r="CQ25" s="631"/>
      <c r="CR25" s="631"/>
      <c r="CS25" s="631"/>
      <c r="CT25" s="631"/>
      <c r="CU25" s="631"/>
      <c r="CV25" s="631"/>
      <c r="CW25" s="631"/>
      <c r="CX25" s="631"/>
      <c r="CY25" s="631"/>
      <c r="CZ25" s="631"/>
      <c r="DA25" s="631"/>
      <c r="DB25" s="631"/>
      <c r="DC25" s="631"/>
      <c r="DD25" s="631"/>
      <c r="DE25" s="631"/>
      <c r="DF25" s="631"/>
      <c r="DG25" s="631"/>
      <c r="DH25" s="631"/>
      <c r="DI25" s="631"/>
      <c r="DJ25" s="631"/>
      <c r="DK25" s="631"/>
      <c r="DL25" s="631"/>
      <c r="DM25" s="631"/>
      <c r="DN25" s="631"/>
      <c r="DO25" s="631"/>
      <c r="DP25" s="631"/>
      <c r="DQ25" s="631"/>
      <c r="DR25" s="631"/>
      <c r="DS25" s="631"/>
      <c r="DT25" s="631"/>
      <c r="DU25" s="631"/>
      <c r="DV25" s="631"/>
      <c r="DW25" s="631"/>
      <c r="DX25" s="631"/>
      <c r="DY25" s="631"/>
      <c r="DZ25" s="631"/>
      <c r="EA25" s="631"/>
      <c r="EB25" s="631"/>
      <c r="EC25" s="631"/>
      <c r="ED25" s="631"/>
      <c r="EE25" s="631"/>
      <c r="EF25" s="631"/>
      <c r="EG25" s="631"/>
      <c r="EH25" s="631"/>
      <c r="EI25" s="631"/>
      <c r="EJ25" s="631"/>
      <c r="EK25" s="631"/>
      <c r="EL25" s="631"/>
      <c r="EM25" s="631"/>
      <c r="EN25" s="631"/>
      <c r="EO25" s="631"/>
      <c r="EP25" s="631"/>
      <c r="EQ25" s="631"/>
      <c r="ER25" s="631"/>
      <c r="ES25" s="631"/>
      <c r="ET25" s="631"/>
      <c r="EU25" s="631"/>
      <c r="EV25" s="631"/>
      <c r="EW25" s="631"/>
      <c r="EX25" s="631"/>
      <c r="EY25" s="631"/>
      <c r="EZ25" s="631"/>
      <c r="FA25" s="631"/>
      <c r="FB25" s="631"/>
      <c r="FC25" s="631"/>
      <c r="FD25" s="631"/>
      <c r="FE25" s="631"/>
      <c r="FF25" s="631"/>
      <c r="FG25" s="631"/>
      <c r="FH25" s="631"/>
      <c r="FI25" s="631"/>
      <c r="FJ25" s="631"/>
      <c r="FK25" s="631"/>
      <c r="FL25" s="631"/>
      <c r="FM25" s="631"/>
      <c r="FN25" s="631"/>
      <c r="FO25" s="631"/>
      <c r="FP25" s="631"/>
      <c r="FQ25" s="631"/>
      <c r="FR25" s="631"/>
      <c r="FS25" s="631"/>
      <c r="FT25" s="631"/>
      <c r="FU25" s="631"/>
      <c r="FV25" s="631"/>
      <c r="FW25" s="631"/>
      <c r="FX25" s="631"/>
      <c r="FY25" s="631"/>
      <c r="FZ25" s="631"/>
      <c r="GA25" s="631"/>
      <c r="GB25" s="631"/>
      <c r="GC25" s="631"/>
      <c r="GD25" s="631"/>
      <c r="GE25" s="631"/>
      <c r="GF25" s="631"/>
      <c r="GG25" s="631"/>
      <c r="GH25" s="631"/>
      <c r="GI25" s="631"/>
      <c r="GJ25" s="631"/>
      <c r="GK25" s="631"/>
      <c r="GL25" s="631"/>
      <c r="GM25" s="631"/>
      <c r="GN25" s="631"/>
      <c r="GO25" s="631"/>
      <c r="GP25" s="631"/>
      <c r="GQ25" s="631"/>
      <c r="GR25" s="631"/>
      <c r="GS25" s="631"/>
      <c r="GT25" s="631"/>
      <c r="GU25" s="631"/>
      <c r="GV25" s="631"/>
      <c r="GW25" s="631"/>
      <c r="GX25" s="631"/>
      <c r="GY25" s="631"/>
      <c r="GZ25" s="631"/>
      <c r="HA25" s="631"/>
      <c r="HB25" s="631"/>
      <c r="HC25" s="631"/>
      <c r="HD25" s="631"/>
      <c r="HE25" s="631"/>
      <c r="HF25" s="631"/>
      <c r="HG25" s="631"/>
      <c r="HH25" s="631"/>
      <c r="HI25" s="631"/>
      <c r="HJ25" s="631"/>
      <c r="HK25" s="631"/>
      <c r="HL25" s="631"/>
      <c r="HM25" s="631"/>
      <c r="HN25" s="631"/>
      <c r="HO25" s="631"/>
      <c r="HP25" s="631"/>
      <c r="HQ25" s="631"/>
      <c r="HR25" s="631"/>
      <c r="HS25" s="631"/>
      <c r="HT25" s="631"/>
      <c r="HU25" s="631"/>
      <c r="HV25" s="631"/>
      <c r="HW25" s="631"/>
      <c r="HX25" s="631"/>
      <c r="HY25" s="631"/>
      <c r="HZ25" s="631"/>
      <c r="IA25" s="631"/>
      <c r="IB25" s="631"/>
      <c r="IC25" s="631"/>
      <c r="ID25" s="631"/>
      <c r="IE25" s="631"/>
      <c r="IF25" s="631"/>
      <c r="IG25" s="631"/>
      <c r="IH25" s="631"/>
      <c r="II25" s="631"/>
      <c r="IJ25" s="631"/>
      <c r="IK25" s="631"/>
      <c r="IL25" s="631"/>
      <c r="IM25" s="631"/>
      <c r="IN25" s="631"/>
      <c r="IO25" s="631"/>
      <c r="IP25" s="631"/>
      <c r="IQ25" s="631"/>
      <c r="IR25" s="631"/>
      <c r="IS25" s="631"/>
      <c r="IT25" s="631"/>
      <c r="IU25" s="631"/>
      <c r="IV25" s="631"/>
      <c r="IW25" s="631"/>
      <c r="IX25" s="631"/>
      <c r="IY25" s="631"/>
      <c r="IZ25" s="631"/>
      <c r="JA25" s="631"/>
      <c r="JB25" s="631"/>
      <c r="JC25" s="631"/>
      <c r="JD25" s="631"/>
      <c r="JE25" s="631"/>
      <c r="JF25" s="631"/>
      <c r="JG25" s="631"/>
      <c r="JH25" s="631"/>
      <c r="JI25" s="631"/>
      <c r="JJ25" s="631"/>
      <c r="JK25" s="631"/>
      <c r="JL25" s="631"/>
      <c r="JM25" s="631"/>
      <c r="JN25" s="631"/>
      <c r="JO25" s="631"/>
      <c r="JP25" s="631"/>
      <c r="JQ25" s="631"/>
      <c r="JR25" s="631"/>
      <c r="JS25" s="631"/>
      <c r="JT25" s="631"/>
      <c r="JU25" s="631"/>
      <c r="JV25" s="631"/>
      <c r="JW25" s="631"/>
      <c r="JX25" s="631"/>
      <c r="JY25" s="631"/>
      <c r="JZ25" s="631"/>
      <c r="KA25" s="631"/>
      <c r="KB25" s="631"/>
      <c r="KC25" s="631"/>
      <c r="KD25" s="631"/>
      <c r="KE25" s="631"/>
      <c r="KF25" s="631"/>
      <c r="KG25" s="631"/>
      <c r="KH25" s="631"/>
      <c r="KI25" s="631"/>
      <c r="KJ25" s="631"/>
      <c r="KK25" s="631"/>
      <c r="KL25" s="631"/>
      <c r="KM25" s="631"/>
      <c r="KN25" s="631"/>
      <c r="KO25" s="631"/>
      <c r="KP25" s="631"/>
      <c r="KQ25" s="631"/>
      <c r="KR25" s="631"/>
      <c r="KS25" s="631"/>
      <c r="KT25" s="631"/>
      <c r="KU25" s="631"/>
      <c r="KV25" s="631"/>
      <c r="KW25" s="631"/>
      <c r="KX25" s="631"/>
      <c r="KY25" s="631"/>
      <c r="KZ25" s="631"/>
      <c r="LA25" s="631"/>
      <c r="LB25" s="631"/>
      <c r="LC25" s="631"/>
      <c r="LD25" s="631"/>
      <c r="LE25" s="631"/>
      <c r="LF25" s="631"/>
      <c r="LG25" s="631"/>
      <c r="LH25" s="631"/>
      <c r="LI25" s="631"/>
      <c r="LJ25" s="631"/>
      <c r="LK25" s="631"/>
      <c r="LL25" s="631"/>
      <c r="LM25" s="631"/>
      <c r="LN25" s="631"/>
      <c r="LO25" s="631"/>
      <c r="LP25" s="631"/>
      <c r="LQ25" s="631"/>
      <c r="LR25" s="631"/>
      <c r="LS25" s="631"/>
      <c r="LT25" s="631"/>
      <c r="LU25" s="631"/>
      <c r="LV25" s="631"/>
      <c r="LW25" s="631"/>
      <c r="LX25" s="631"/>
      <c r="LY25" s="631"/>
      <c r="LZ25" s="631"/>
      <c r="MA25" s="631"/>
      <c r="MB25" s="631"/>
      <c r="MC25" s="631"/>
      <c r="MD25" s="631"/>
      <c r="ME25" s="631"/>
      <c r="MF25" s="631"/>
      <c r="MG25" s="631"/>
      <c r="MH25" s="631"/>
      <c r="MI25" s="631"/>
      <c r="MJ25" s="631"/>
      <c r="MK25" s="631"/>
      <c r="ML25" s="631"/>
      <c r="MM25" s="631"/>
      <c r="MN25" s="631"/>
      <c r="MO25" s="631"/>
      <c r="MP25" s="631"/>
      <c r="MQ25" s="631"/>
      <c r="MR25" s="631"/>
      <c r="MS25" s="631"/>
      <c r="MT25" s="631"/>
      <c r="MU25" s="631"/>
      <c r="MV25" s="631"/>
      <c r="MW25" s="631"/>
      <c r="MX25" s="631"/>
      <c r="MY25" s="631"/>
      <c r="MZ25" s="631"/>
      <c r="NA25" s="631"/>
      <c r="NB25" s="631"/>
      <c r="NC25" s="631"/>
      <c r="ND25" s="631"/>
      <c r="NE25" s="631"/>
      <c r="NF25" s="631"/>
      <c r="NG25" s="631"/>
      <c r="NH25" s="631"/>
      <c r="NI25" s="631"/>
      <c r="NJ25" s="631"/>
      <c r="NK25" s="631"/>
      <c r="NL25" s="631"/>
      <c r="NM25" s="631"/>
      <c r="NN25" s="631"/>
      <c r="NO25" s="631"/>
      <c r="NP25" s="631"/>
      <c r="NQ25" s="631"/>
      <c r="NR25" s="631"/>
      <c r="NS25" s="631"/>
      <c r="NT25" s="631"/>
      <c r="NU25" s="631"/>
      <c r="NV25" s="631"/>
      <c r="NW25" s="631"/>
      <c r="NX25" s="631"/>
      <c r="NY25" s="631"/>
      <c r="NZ25" s="631"/>
      <c r="OA25" s="631"/>
      <c r="OB25" s="631"/>
      <c r="OC25" s="631"/>
      <c r="OD25" s="631"/>
      <c r="OE25" s="631"/>
      <c r="OF25" s="631"/>
      <c r="OG25" s="631"/>
      <c r="OH25" s="631"/>
      <c r="OI25" s="631"/>
      <c r="OJ25" s="631"/>
      <c r="OK25" s="631"/>
      <c r="OL25" s="631"/>
      <c r="OM25" s="631"/>
      <c r="ON25" s="631"/>
      <c r="OO25" s="631"/>
      <c r="OP25" s="631"/>
      <c r="OQ25" s="631"/>
      <c r="OR25" s="631"/>
      <c r="OS25" s="631"/>
      <c r="OT25" s="631"/>
      <c r="OU25" s="631"/>
      <c r="OV25" s="631"/>
      <c r="OW25" s="631"/>
      <c r="OX25" s="631"/>
      <c r="OY25" s="631"/>
      <c r="OZ25" s="631"/>
      <c r="PA25" s="631"/>
      <c r="PB25" s="631"/>
      <c r="PC25" s="631"/>
      <c r="PD25" s="631"/>
      <c r="PE25" s="631"/>
      <c r="PF25" s="631"/>
      <c r="PG25" s="631"/>
      <c r="PH25" s="631"/>
      <c r="PI25" s="631"/>
      <c r="PJ25" s="631"/>
      <c r="PK25" s="631"/>
      <c r="PL25" s="631"/>
      <c r="PM25" s="631"/>
      <c r="PN25" s="631"/>
      <c r="PO25" s="631"/>
      <c r="PP25" s="631"/>
      <c r="PQ25" s="631"/>
      <c r="PR25" s="631"/>
      <c r="PS25" s="631"/>
      <c r="PT25" s="631"/>
      <c r="PU25" s="631"/>
      <c r="PV25" s="631"/>
      <c r="PW25" s="631"/>
      <c r="PX25" s="631"/>
      <c r="PY25" s="631"/>
      <c r="PZ25" s="631"/>
      <c r="QA25" s="631"/>
      <c r="QB25" s="631"/>
      <c r="QC25" s="631"/>
      <c r="QD25" s="631"/>
      <c r="QE25" s="631"/>
      <c r="QF25" s="631"/>
      <c r="QG25" s="631"/>
      <c r="QH25" s="631"/>
      <c r="QI25" s="631"/>
      <c r="QJ25" s="631"/>
      <c r="QK25" s="631"/>
      <c r="QL25" s="631"/>
      <c r="QM25" s="631"/>
      <c r="QN25" s="631"/>
      <c r="QO25" s="631"/>
      <c r="QP25" s="631"/>
      <c r="QQ25" s="631"/>
      <c r="QR25" s="631"/>
      <c r="QS25" s="631"/>
      <c r="QT25" s="631"/>
      <c r="QU25" s="631"/>
      <c r="QV25" s="631"/>
      <c r="QW25" s="631"/>
      <c r="QX25" s="631"/>
      <c r="QY25" s="631"/>
      <c r="QZ25" s="631"/>
      <c r="RA25" s="631"/>
      <c r="RB25" s="631"/>
      <c r="RC25" s="631"/>
      <c r="RD25" s="631"/>
      <c r="RE25" s="631"/>
      <c r="RF25" s="631"/>
      <c r="RG25" s="631"/>
      <c r="RH25" s="631"/>
      <c r="RI25" s="631"/>
      <c r="RJ25" s="631"/>
      <c r="RK25" s="631"/>
      <c r="RL25" s="631"/>
      <c r="RM25" s="631"/>
      <c r="RN25" s="631"/>
      <c r="RO25" s="631"/>
      <c r="RP25" s="631"/>
      <c r="RQ25" s="631"/>
      <c r="RR25" s="631"/>
      <c r="RS25" s="631"/>
      <c r="RT25" s="631"/>
      <c r="RU25" s="631"/>
      <c r="RV25" s="631"/>
      <c r="RW25" s="631"/>
      <c r="RX25" s="631"/>
      <c r="RY25" s="631"/>
      <c r="RZ25" s="631"/>
      <c r="SA25" s="631"/>
      <c r="SB25" s="631"/>
      <c r="SC25" s="631"/>
      <c r="SD25" s="631"/>
      <c r="SE25" s="631"/>
      <c r="SF25" s="631"/>
      <c r="SG25" s="631"/>
      <c r="SH25" s="631"/>
      <c r="SI25" s="631"/>
      <c r="SJ25" s="631"/>
      <c r="SK25" s="631"/>
      <c r="SL25" s="631"/>
      <c r="SM25" s="631"/>
      <c r="SN25" s="631"/>
      <c r="SO25" s="631"/>
      <c r="SP25" s="631"/>
      <c r="SQ25" s="631"/>
      <c r="SR25" s="631"/>
      <c r="SS25" s="631"/>
      <c r="ST25" s="631"/>
      <c r="SU25" s="631"/>
      <c r="SV25" s="631"/>
      <c r="SW25" s="631"/>
      <c r="SX25" s="631"/>
      <c r="SY25" s="631"/>
      <c r="SZ25" s="631"/>
      <c r="TA25" s="631"/>
      <c r="TB25" s="631"/>
      <c r="TC25" s="631"/>
      <c r="TD25" s="631"/>
      <c r="TE25" s="631"/>
      <c r="TF25" s="631"/>
      <c r="TG25" s="631"/>
      <c r="TH25" s="631"/>
      <c r="TI25" s="631"/>
      <c r="TJ25" s="631"/>
      <c r="TK25" s="631"/>
      <c r="TL25" s="631"/>
      <c r="TM25" s="631"/>
      <c r="TN25" s="631"/>
      <c r="TO25" s="631"/>
      <c r="TP25" s="631"/>
      <c r="TQ25" s="631"/>
      <c r="TR25" s="631"/>
      <c r="TS25" s="631"/>
      <c r="TT25" s="631"/>
      <c r="TU25" s="631"/>
      <c r="TV25" s="631"/>
      <c r="TW25" s="631"/>
      <c r="TX25" s="631"/>
      <c r="TY25" s="631"/>
      <c r="TZ25" s="631"/>
      <c r="UA25" s="631"/>
      <c r="UB25" s="631"/>
      <c r="UC25" s="631"/>
      <c r="UD25" s="631"/>
      <c r="UE25" s="631"/>
      <c r="UF25" s="631"/>
      <c r="UG25" s="631"/>
      <c r="UH25" s="631"/>
      <c r="UI25" s="631"/>
      <c r="UJ25" s="631"/>
      <c r="UK25" s="631"/>
      <c r="UL25" s="631"/>
      <c r="UM25" s="631"/>
      <c r="UN25" s="631"/>
      <c r="UO25" s="631"/>
      <c r="UP25" s="631"/>
      <c r="UQ25" s="631"/>
      <c r="UR25" s="631"/>
      <c r="US25" s="631"/>
      <c r="UT25" s="631"/>
      <c r="UU25" s="631"/>
      <c r="UV25" s="631"/>
      <c r="UW25" s="631"/>
      <c r="UX25" s="631"/>
      <c r="UY25" s="631"/>
      <c r="UZ25" s="631"/>
      <c r="VA25" s="631"/>
      <c r="VB25" s="631"/>
      <c r="VC25" s="631"/>
      <c r="VD25" s="631"/>
      <c r="VE25" s="631"/>
      <c r="VF25" s="631"/>
      <c r="VG25" s="631"/>
      <c r="VH25" s="631"/>
      <c r="VI25" s="631"/>
      <c r="VJ25" s="631"/>
      <c r="VK25" s="631"/>
      <c r="VL25" s="631"/>
      <c r="VM25" s="631"/>
      <c r="VN25" s="631"/>
      <c r="VO25" s="631"/>
      <c r="VP25" s="631"/>
      <c r="VQ25" s="631"/>
      <c r="VR25" s="631"/>
      <c r="VS25" s="631"/>
      <c r="VT25" s="631"/>
      <c r="VU25" s="631"/>
      <c r="VV25" s="631"/>
      <c r="VW25" s="631"/>
      <c r="VX25" s="631"/>
      <c r="VY25" s="631"/>
      <c r="VZ25" s="631"/>
      <c r="WA25" s="631"/>
      <c r="WB25" s="631"/>
      <c r="WC25" s="631"/>
      <c r="WD25" s="631"/>
      <c r="WE25" s="631"/>
      <c r="WF25" s="631"/>
      <c r="WG25" s="631"/>
      <c r="WH25" s="631"/>
      <c r="WI25" s="631"/>
      <c r="WJ25" s="631"/>
      <c r="WK25" s="631"/>
      <c r="WL25" s="631"/>
      <c r="WM25" s="631"/>
      <c r="WN25" s="631"/>
      <c r="WO25" s="631"/>
      <c r="WP25" s="631"/>
      <c r="WQ25" s="631"/>
      <c r="WR25" s="631"/>
      <c r="WS25" s="631"/>
      <c r="WT25" s="631"/>
      <c r="WU25" s="631"/>
      <c r="WV25" s="631"/>
      <c r="WW25" s="631"/>
      <c r="WX25" s="631"/>
      <c r="WY25" s="631"/>
      <c r="WZ25" s="631"/>
      <c r="XA25" s="631"/>
      <c r="XB25" s="631"/>
      <c r="XC25" s="631"/>
      <c r="XD25" s="631"/>
      <c r="XE25" s="631"/>
      <c r="XF25" s="631"/>
      <c r="XG25" s="631"/>
      <c r="XH25" s="631"/>
      <c r="XI25" s="631"/>
      <c r="XJ25" s="631"/>
      <c r="XK25" s="631"/>
      <c r="XL25" s="631"/>
      <c r="XM25" s="631"/>
      <c r="XN25" s="631"/>
      <c r="XO25" s="631"/>
      <c r="XP25" s="631"/>
      <c r="XQ25" s="631"/>
      <c r="XR25" s="631"/>
      <c r="XS25" s="631"/>
      <c r="XT25" s="631"/>
      <c r="XU25" s="631"/>
      <c r="XV25" s="631"/>
      <c r="XW25" s="631"/>
      <c r="XX25" s="631"/>
      <c r="XY25" s="631"/>
      <c r="XZ25" s="631"/>
      <c r="YA25" s="631"/>
      <c r="YB25" s="631"/>
      <c r="YC25" s="631"/>
      <c r="YD25" s="631"/>
      <c r="YE25" s="631"/>
      <c r="YF25" s="631"/>
      <c r="YG25" s="631"/>
      <c r="YH25" s="631"/>
      <c r="YI25" s="631"/>
      <c r="YJ25" s="631"/>
      <c r="YK25" s="631"/>
      <c r="YL25" s="631"/>
      <c r="YM25" s="631"/>
      <c r="YN25" s="631"/>
      <c r="YO25" s="631"/>
      <c r="YP25" s="631"/>
      <c r="YQ25" s="631"/>
      <c r="YR25" s="631"/>
      <c r="YS25" s="631"/>
      <c r="YT25" s="631"/>
      <c r="YU25" s="631"/>
      <c r="YV25" s="631"/>
      <c r="YW25" s="631"/>
      <c r="YX25" s="631"/>
      <c r="YY25" s="631"/>
      <c r="YZ25" s="631"/>
      <c r="ZA25" s="631"/>
      <c r="ZB25" s="631"/>
      <c r="ZC25" s="631"/>
      <c r="ZD25" s="631"/>
      <c r="ZE25" s="631"/>
      <c r="ZF25" s="631"/>
      <c r="ZG25" s="631"/>
      <c r="ZH25" s="631"/>
      <c r="ZI25" s="631"/>
      <c r="ZJ25" s="631"/>
      <c r="ZK25" s="631"/>
      <c r="ZL25" s="631"/>
      <c r="ZM25" s="631"/>
      <c r="ZN25" s="631"/>
      <c r="ZO25" s="631"/>
      <c r="ZP25" s="631"/>
      <c r="ZQ25" s="631"/>
      <c r="ZR25" s="631"/>
      <c r="ZS25" s="631"/>
      <c r="ZT25" s="631"/>
      <c r="ZU25" s="631"/>
      <c r="ZV25" s="631"/>
      <c r="ZW25" s="631"/>
      <c r="ZX25" s="631"/>
      <c r="ZY25" s="631"/>
      <c r="ZZ25" s="631"/>
      <c r="AAA25" s="631"/>
      <c r="AAB25" s="631"/>
      <c r="AAC25" s="631"/>
      <c r="AAD25" s="631"/>
      <c r="AAE25" s="631"/>
      <c r="AAF25" s="631"/>
      <c r="AAG25" s="631"/>
      <c r="AAH25" s="631"/>
      <c r="AAI25" s="631"/>
      <c r="AAJ25" s="631"/>
      <c r="AAK25" s="631"/>
      <c r="AAL25" s="631"/>
      <c r="AAM25" s="631"/>
      <c r="AAN25" s="631"/>
      <c r="AAO25" s="631"/>
      <c r="AAP25" s="631"/>
      <c r="AAQ25" s="631"/>
      <c r="AAR25" s="631"/>
      <c r="AAS25" s="631"/>
      <c r="AAT25" s="631"/>
      <c r="AAU25" s="631"/>
      <c r="AAV25" s="631"/>
      <c r="AAW25" s="631"/>
      <c r="AAX25" s="631"/>
      <c r="AAY25" s="631"/>
      <c r="AAZ25" s="631"/>
      <c r="ABA25" s="631"/>
      <c r="ABB25" s="631"/>
      <c r="ABC25" s="631"/>
      <c r="ABD25" s="631"/>
      <c r="ABE25" s="631"/>
      <c r="ABF25" s="631"/>
      <c r="ABG25" s="631"/>
      <c r="ABH25" s="631"/>
      <c r="ABI25" s="631"/>
      <c r="ABJ25" s="631"/>
      <c r="ABK25" s="631"/>
      <c r="ABL25" s="631"/>
      <c r="ABM25" s="631"/>
      <c r="ABN25" s="631"/>
      <c r="ABO25" s="631"/>
      <c r="ABP25" s="631"/>
      <c r="ABQ25" s="631"/>
      <c r="ABR25" s="631"/>
      <c r="ABS25" s="631"/>
      <c r="ABT25" s="631"/>
      <c r="ABU25" s="631"/>
      <c r="ABV25" s="631"/>
      <c r="ABW25" s="631"/>
      <c r="ABX25" s="631"/>
      <c r="ABY25" s="631"/>
      <c r="ABZ25" s="631"/>
      <c r="ACA25" s="631"/>
      <c r="ACB25" s="631"/>
      <c r="ACC25" s="631"/>
      <c r="ACD25" s="631"/>
      <c r="ACE25" s="631"/>
      <c r="ACF25" s="631"/>
      <c r="ACG25" s="631"/>
      <c r="ACH25" s="631"/>
      <c r="ACI25" s="631"/>
      <c r="ACJ25" s="631"/>
      <c r="ACK25" s="631"/>
      <c r="ACL25" s="631"/>
      <c r="ACM25" s="631"/>
      <c r="ACN25" s="631"/>
      <c r="ACO25" s="631"/>
      <c r="ACP25" s="631"/>
      <c r="ACQ25" s="631"/>
      <c r="ACR25" s="631"/>
      <c r="ACS25" s="631"/>
      <c r="ACT25" s="631"/>
      <c r="ACU25" s="631"/>
      <c r="ACV25" s="631"/>
      <c r="ACW25" s="631"/>
      <c r="ACX25" s="631"/>
      <c r="ACY25" s="631"/>
      <c r="ACZ25" s="631"/>
      <c r="ADA25" s="631"/>
      <c r="ADB25" s="631"/>
      <c r="ADC25" s="631"/>
      <c r="ADD25" s="631"/>
      <c r="ADE25" s="631"/>
      <c r="ADF25" s="631"/>
      <c r="ADG25" s="631"/>
      <c r="ADH25" s="631"/>
      <c r="ADI25" s="631"/>
      <c r="ADJ25" s="631"/>
      <c r="ADK25" s="631"/>
      <c r="ADL25" s="631"/>
      <c r="ADM25" s="631"/>
      <c r="ADN25" s="631"/>
      <c r="ADO25" s="631"/>
      <c r="ADP25" s="631"/>
      <c r="ADQ25" s="631"/>
      <c r="ADR25" s="631"/>
      <c r="ADS25" s="631"/>
      <c r="ADT25" s="631"/>
      <c r="ADU25" s="631"/>
      <c r="ADV25" s="631"/>
      <c r="ADW25" s="631"/>
      <c r="ADX25" s="631"/>
      <c r="ADY25" s="631"/>
      <c r="ADZ25" s="631"/>
      <c r="AEA25" s="631"/>
      <c r="AEB25" s="631"/>
      <c r="AEC25" s="631"/>
      <c r="AED25" s="631"/>
      <c r="AEE25" s="631"/>
      <c r="AEF25" s="631"/>
      <c r="AEG25" s="631"/>
      <c r="AEH25" s="631"/>
      <c r="AEI25" s="631"/>
      <c r="AEJ25" s="631"/>
      <c r="AEK25" s="631"/>
      <c r="AEL25" s="631"/>
      <c r="AEM25" s="631"/>
      <c r="AEN25" s="631"/>
      <c r="AEO25" s="631"/>
      <c r="AEP25" s="631"/>
      <c r="AEQ25" s="631"/>
      <c r="AER25" s="631"/>
      <c r="AES25" s="631"/>
      <c r="AET25" s="631"/>
      <c r="AEU25" s="631"/>
      <c r="AEV25" s="631"/>
      <c r="AEW25" s="631"/>
      <c r="AEX25" s="631"/>
      <c r="AEY25" s="631"/>
      <c r="AEZ25" s="631"/>
      <c r="AFA25" s="631"/>
      <c r="AFB25" s="631"/>
      <c r="AFC25" s="631"/>
      <c r="AFD25" s="631"/>
      <c r="AFE25" s="631"/>
      <c r="AFF25" s="631"/>
      <c r="AFG25" s="631"/>
      <c r="AFH25" s="631"/>
      <c r="AFI25" s="631"/>
      <c r="AFJ25" s="631"/>
      <c r="AFK25" s="631"/>
      <c r="AFL25" s="631"/>
      <c r="AFM25" s="631"/>
      <c r="AFN25" s="631"/>
      <c r="AFO25" s="631"/>
      <c r="AFP25" s="631"/>
      <c r="AFQ25" s="631"/>
      <c r="AFR25" s="631"/>
      <c r="AFS25" s="631"/>
      <c r="AFT25" s="631"/>
      <c r="AFU25" s="631"/>
      <c r="AFV25" s="631"/>
      <c r="AFW25" s="631"/>
      <c r="AFX25" s="631"/>
      <c r="AFY25" s="631"/>
      <c r="AFZ25" s="631"/>
      <c r="AGA25" s="631"/>
      <c r="AGB25" s="631"/>
      <c r="AGC25" s="631"/>
      <c r="AGD25" s="631"/>
      <c r="AGE25" s="631"/>
      <c r="AGF25" s="631"/>
      <c r="AGG25" s="631"/>
      <c r="AGH25" s="631"/>
      <c r="AGI25" s="631"/>
      <c r="AGJ25" s="631"/>
      <c r="AGK25" s="631"/>
      <c r="AGL25" s="631"/>
      <c r="AGM25" s="631"/>
      <c r="AGN25" s="631"/>
      <c r="AGO25" s="631"/>
      <c r="AGP25" s="631"/>
      <c r="AGQ25" s="631"/>
      <c r="AGR25" s="631"/>
      <c r="AGS25" s="631"/>
      <c r="AGT25" s="631"/>
      <c r="AGU25" s="631"/>
      <c r="AGV25" s="631"/>
      <c r="AGW25" s="631"/>
      <c r="AGX25" s="631"/>
      <c r="AGY25" s="631"/>
      <c r="AGZ25" s="631"/>
      <c r="AHA25" s="631"/>
      <c r="AHB25" s="631"/>
      <c r="AHC25" s="631"/>
      <c r="AHD25" s="631"/>
      <c r="AHE25" s="631"/>
      <c r="AHF25" s="631"/>
      <c r="AHG25" s="631"/>
      <c r="AHH25" s="631"/>
      <c r="AHI25" s="631"/>
      <c r="AHJ25" s="631"/>
      <c r="AHK25" s="631"/>
      <c r="AHL25" s="631"/>
      <c r="AHM25" s="631"/>
      <c r="AHN25" s="631"/>
      <c r="AHO25" s="631"/>
      <c r="AHP25" s="631"/>
      <c r="AHQ25" s="631"/>
      <c r="AHR25" s="631"/>
      <c r="AHS25" s="631"/>
      <c r="AHT25" s="631"/>
      <c r="AHU25" s="631"/>
      <c r="AHV25" s="631"/>
      <c r="AHW25" s="631"/>
      <c r="AHX25" s="631"/>
      <c r="AHY25" s="631"/>
      <c r="AHZ25" s="631"/>
      <c r="AIA25" s="631"/>
      <c r="AIB25" s="631"/>
      <c r="AIC25" s="631"/>
      <c r="AID25" s="631"/>
      <c r="AIE25" s="631"/>
      <c r="AIF25" s="631"/>
      <c r="AIG25" s="631"/>
      <c r="AIH25" s="631"/>
      <c r="AII25" s="631"/>
      <c r="AIJ25" s="631"/>
      <c r="AIK25" s="631"/>
      <c r="AIL25" s="631"/>
      <c r="AIM25" s="631"/>
      <c r="AIN25" s="631"/>
      <c r="AIO25" s="631"/>
      <c r="AIP25" s="631"/>
      <c r="AIQ25" s="631"/>
      <c r="AIR25" s="631"/>
      <c r="AIS25" s="631"/>
      <c r="AIT25" s="631"/>
      <c r="AIU25" s="631"/>
      <c r="AIV25" s="631"/>
      <c r="AIW25" s="631"/>
      <c r="AIX25" s="631"/>
      <c r="AIY25" s="631"/>
      <c r="AIZ25" s="631"/>
      <c r="AJA25" s="631"/>
      <c r="AJB25" s="631"/>
      <c r="AJC25" s="631"/>
      <c r="AJD25" s="631"/>
      <c r="AJE25" s="631"/>
      <c r="AJF25" s="631"/>
      <c r="AJG25" s="631"/>
      <c r="AJH25" s="631"/>
      <c r="AJI25" s="631"/>
      <c r="AJJ25" s="631"/>
      <c r="AJK25" s="631"/>
      <c r="AJL25" s="631"/>
      <c r="AJM25" s="631"/>
      <c r="AJN25" s="631"/>
      <c r="AJO25" s="631"/>
      <c r="AJP25" s="631"/>
      <c r="AJQ25" s="631"/>
      <c r="AJR25" s="631"/>
      <c r="AJS25" s="631"/>
      <c r="AJT25" s="631"/>
      <c r="AJU25" s="631"/>
      <c r="AJV25" s="631"/>
      <c r="AJW25" s="631"/>
      <c r="AJX25" s="631"/>
      <c r="AJY25" s="631"/>
      <c r="AJZ25" s="631"/>
      <c r="AKA25" s="631"/>
      <c r="AKB25" s="631"/>
      <c r="AKC25" s="631"/>
      <c r="AKD25" s="631"/>
      <c r="AKE25" s="631"/>
      <c r="AKF25" s="631"/>
      <c r="AKG25" s="631"/>
      <c r="AKH25" s="631"/>
      <c r="AKI25" s="631"/>
      <c r="AKJ25" s="631"/>
      <c r="AKK25" s="631"/>
      <c r="AKL25" s="631"/>
      <c r="AKM25" s="631"/>
      <c r="AKN25" s="631"/>
      <c r="AKO25" s="631"/>
      <c r="AKP25" s="631"/>
      <c r="AKQ25" s="631"/>
      <c r="AKR25" s="631"/>
      <c r="AKS25" s="631"/>
      <c r="AKT25" s="631"/>
      <c r="AKU25" s="631"/>
      <c r="AKV25" s="631"/>
      <c r="AKW25" s="631"/>
      <c r="AKX25" s="631"/>
      <c r="AKY25" s="631"/>
      <c r="AKZ25" s="631"/>
      <c r="ALA25" s="631"/>
      <c r="ALB25" s="631"/>
      <c r="ALC25" s="631"/>
      <c r="ALD25" s="631"/>
      <c r="ALE25" s="631"/>
      <c r="ALF25" s="631"/>
      <c r="ALG25" s="631"/>
      <c r="ALH25" s="631"/>
      <c r="ALI25" s="631"/>
      <c r="ALJ25" s="631"/>
      <c r="ALK25" s="631"/>
      <c r="ALL25" s="631"/>
      <c r="ALM25" s="631"/>
      <c r="ALN25" s="631"/>
      <c r="ALO25" s="631"/>
      <c r="ALP25" s="631"/>
      <c r="ALQ25" s="631"/>
      <c r="ALR25" s="631"/>
      <c r="ALS25" s="631"/>
      <c r="ALT25" s="631"/>
      <c r="ALU25" s="631"/>
      <c r="ALV25" s="631"/>
      <c r="ALW25" s="631"/>
      <c r="ALX25" s="631"/>
      <c r="ALY25" s="631"/>
      <c r="ALZ25" s="631"/>
      <c r="AMA25" s="631"/>
      <c r="AMB25" s="631"/>
      <c r="AMC25" s="631"/>
      <c r="AMD25" s="631"/>
      <c r="AME25" s="631"/>
      <c r="AMF25" s="631"/>
      <c r="AMG25" s="631"/>
      <c r="AMH25" s="631"/>
      <c r="AMI25" s="631"/>
      <c r="AMJ25" s="631"/>
      <c r="AMK25" s="631"/>
      <c r="AML25" s="631"/>
      <c r="AMM25" s="631"/>
      <c r="AMN25" s="631"/>
      <c r="AMO25" s="631"/>
      <c r="AMP25" s="631"/>
      <c r="AMQ25" s="631"/>
      <c r="AMR25" s="631"/>
      <c r="AMS25" s="631"/>
      <c r="AMT25" s="631"/>
      <c r="AMU25" s="631"/>
      <c r="AMV25" s="631"/>
      <c r="AMW25" s="631"/>
      <c r="AMX25" s="631"/>
      <c r="AMY25" s="631"/>
      <c r="AMZ25" s="631"/>
      <c r="ANA25" s="631"/>
      <c r="ANB25" s="631"/>
      <c r="ANC25" s="631"/>
      <c r="AND25" s="631"/>
      <c r="ANE25" s="631"/>
      <c r="ANF25" s="631"/>
      <c r="ANG25" s="631"/>
      <c r="ANH25" s="631"/>
      <c r="ANI25" s="631"/>
      <c r="ANJ25" s="631"/>
      <c r="ANK25" s="631"/>
      <c r="ANL25" s="631"/>
      <c r="ANM25" s="631"/>
      <c r="ANN25" s="631"/>
      <c r="ANO25" s="631"/>
      <c r="ANP25" s="631"/>
      <c r="ANQ25" s="631"/>
      <c r="ANR25" s="631"/>
      <c r="ANS25" s="631"/>
      <c r="ANT25" s="631"/>
      <c r="ANU25" s="631"/>
      <c r="ANV25" s="631"/>
      <c r="ANW25" s="631"/>
      <c r="ANX25" s="631"/>
      <c r="ANY25" s="631"/>
      <c r="ANZ25" s="631"/>
      <c r="AOA25" s="631"/>
      <c r="AOB25" s="631"/>
      <c r="AOC25" s="631"/>
      <c r="AOD25" s="631"/>
      <c r="AOE25" s="631"/>
      <c r="AOF25" s="631"/>
      <c r="AOG25" s="631"/>
      <c r="AOH25" s="631"/>
      <c r="AOI25" s="631"/>
      <c r="AOJ25" s="631"/>
      <c r="AOK25" s="631"/>
      <c r="AOL25" s="631"/>
      <c r="AOM25" s="631"/>
      <c r="AON25" s="631"/>
      <c r="AOO25" s="631"/>
      <c r="AOP25" s="631"/>
      <c r="AOQ25" s="631"/>
      <c r="AOR25" s="631"/>
      <c r="AOS25" s="631"/>
      <c r="AOT25" s="631"/>
      <c r="AOU25" s="631"/>
      <c r="AOV25" s="631"/>
      <c r="AOW25" s="631"/>
      <c r="AOX25" s="631"/>
      <c r="AOY25" s="631"/>
      <c r="AOZ25" s="631"/>
      <c r="APA25" s="631"/>
      <c r="APB25" s="631"/>
      <c r="APC25" s="631"/>
      <c r="APD25" s="631"/>
      <c r="APE25" s="631"/>
      <c r="APF25" s="631"/>
      <c r="APG25" s="631"/>
      <c r="APH25" s="631"/>
      <c r="API25" s="631"/>
      <c r="APJ25" s="631"/>
      <c r="APK25" s="631"/>
      <c r="APL25" s="631"/>
      <c r="APM25" s="631"/>
      <c r="APN25" s="631"/>
      <c r="APO25" s="631"/>
      <c r="APP25" s="631"/>
      <c r="APQ25" s="631"/>
      <c r="APR25" s="631"/>
      <c r="APS25" s="631"/>
      <c r="APT25" s="631"/>
      <c r="APU25" s="631"/>
      <c r="APV25" s="631"/>
      <c r="APW25" s="631"/>
      <c r="APX25" s="631"/>
      <c r="APY25" s="631"/>
      <c r="APZ25" s="631"/>
      <c r="AQA25" s="631"/>
      <c r="AQB25" s="631"/>
      <c r="AQC25" s="631"/>
      <c r="AQD25" s="631"/>
      <c r="AQE25" s="631"/>
      <c r="AQF25" s="631"/>
      <c r="AQG25" s="631"/>
      <c r="AQH25" s="631"/>
      <c r="AQI25" s="631"/>
      <c r="AQJ25" s="631"/>
      <c r="AQK25" s="631"/>
      <c r="AQL25" s="631"/>
      <c r="AQM25" s="631"/>
      <c r="AQN25" s="631"/>
      <c r="AQO25" s="631"/>
      <c r="AQP25" s="631"/>
      <c r="AQQ25" s="631"/>
      <c r="AQR25" s="631"/>
      <c r="AQS25" s="631"/>
      <c r="AQT25" s="631"/>
      <c r="AQU25" s="631"/>
      <c r="AQV25" s="631"/>
      <c r="AQW25" s="631"/>
      <c r="AQX25" s="631"/>
      <c r="AQY25" s="631"/>
      <c r="AQZ25" s="631"/>
      <c r="ARA25" s="631"/>
      <c r="ARB25" s="631"/>
      <c r="ARC25" s="631"/>
      <c r="ARD25" s="631"/>
      <c r="ARE25" s="631"/>
      <c r="ARF25" s="631"/>
      <c r="ARG25" s="631"/>
      <c r="ARH25" s="631"/>
      <c r="ARI25" s="631"/>
      <c r="ARJ25" s="631"/>
      <c r="ARK25" s="631"/>
      <c r="ARL25" s="631"/>
      <c r="ARM25" s="631"/>
      <c r="ARN25" s="631"/>
      <c r="ARO25" s="631"/>
      <c r="ARP25" s="631"/>
      <c r="ARQ25" s="631"/>
      <c r="ARR25" s="631"/>
      <c r="ARS25" s="631"/>
      <c r="ART25" s="631"/>
      <c r="ARU25" s="631"/>
      <c r="ARV25" s="631"/>
      <c r="ARW25" s="631"/>
      <c r="ARX25" s="631"/>
      <c r="ARY25" s="631"/>
      <c r="ARZ25" s="631"/>
      <c r="ASA25" s="631"/>
      <c r="ASB25" s="631"/>
      <c r="ASC25" s="631"/>
      <c r="ASD25" s="631"/>
      <c r="ASE25" s="631"/>
      <c r="ASF25" s="631"/>
      <c r="ASG25" s="631"/>
      <c r="ASH25" s="631"/>
      <c r="ASI25" s="631"/>
      <c r="ASJ25" s="631"/>
      <c r="ASK25" s="631"/>
      <c r="ASL25" s="631"/>
      <c r="ASM25" s="631"/>
      <c r="ASN25" s="631"/>
      <c r="ASO25" s="631"/>
      <c r="ASP25" s="631"/>
      <c r="ASQ25" s="631"/>
      <c r="ASR25" s="631"/>
      <c r="ASS25" s="631"/>
      <c r="AST25" s="631"/>
      <c r="ASU25" s="631"/>
      <c r="ASV25" s="631"/>
      <c r="ASW25" s="631"/>
      <c r="ASX25" s="631"/>
      <c r="ASY25" s="631"/>
      <c r="ASZ25" s="631"/>
      <c r="ATA25" s="631"/>
      <c r="ATB25" s="631"/>
      <c r="ATC25" s="631"/>
      <c r="ATD25" s="631"/>
      <c r="ATE25" s="631"/>
      <c r="ATF25" s="631"/>
      <c r="ATG25" s="631"/>
      <c r="ATH25" s="631"/>
      <c r="ATI25" s="631"/>
      <c r="ATJ25" s="631"/>
      <c r="ATK25" s="631"/>
      <c r="ATL25" s="631"/>
      <c r="ATM25" s="631"/>
      <c r="ATN25" s="631"/>
      <c r="ATO25" s="631"/>
      <c r="ATP25" s="631"/>
      <c r="ATQ25" s="631"/>
      <c r="ATR25" s="631"/>
      <c r="ATS25" s="631"/>
      <c r="ATT25" s="631"/>
      <c r="ATU25" s="631"/>
      <c r="ATV25" s="631"/>
      <c r="ATW25" s="631"/>
      <c r="ATX25" s="631"/>
      <c r="ATY25" s="631"/>
      <c r="ATZ25" s="631"/>
      <c r="AUA25" s="631"/>
      <c r="AUB25" s="631"/>
      <c r="AUC25" s="631"/>
      <c r="AUD25" s="631"/>
      <c r="AUE25" s="631"/>
      <c r="AUF25" s="631"/>
      <c r="AUG25" s="631"/>
      <c r="AUH25" s="631"/>
      <c r="AUI25" s="631"/>
      <c r="AUJ25" s="631"/>
      <c r="AUK25" s="631"/>
      <c r="AUL25" s="631"/>
      <c r="AUM25" s="631"/>
      <c r="AUN25" s="631"/>
      <c r="AUO25" s="631"/>
      <c r="AUP25" s="631"/>
      <c r="AUQ25" s="631"/>
      <c r="AUR25" s="631"/>
      <c r="AUS25" s="631"/>
      <c r="AUT25" s="631"/>
      <c r="AUU25" s="631"/>
      <c r="AUV25" s="631"/>
      <c r="AUW25" s="631"/>
      <c r="AUX25" s="631"/>
      <c r="AUY25" s="631"/>
      <c r="AUZ25" s="631"/>
      <c r="AVA25" s="631"/>
      <c r="AVB25" s="631"/>
      <c r="AVC25" s="631"/>
      <c r="AVD25" s="631"/>
      <c r="AVE25" s="631"/>
      <c r="AVF25" s="631"/>
      <c r="AVG25" s="631"/>
      <c r="AVH25" s="631"/>
      <c r="AVI25" s="631"/>
      <c r="AVJ25" s="631"/>
      <c r="AVK25" s="631"/>
      <c r="AVL25" s="631"/>
      <c r="AVM25" s="631"/>
      <c r="AVN25" s="631"/>
      <c r="AVO25" s="631"/>
      <c r="AVP25" s="631"/>
      <c r="AVQ25" s="631"/>
      <c r="AVR25" s="631"/>
      <c r="AVS25" s="631"/>
      <c r="AVT25" s="631"/>
      <c r="AVU25" s="631"/>
      <c r="AVV25" s="631"/>
      <c r="AVW25" s="631"/>
      <c r="AVX25" s="631"/>
      <c r="AVY25" s="631"/>
      <c r="AVZ25" s="631"/>
      <c r="AWA25" s="631"/>
      <c r="AWB25" s="631"/>
      <c r="AWC25" s="631"/>
      <c r="AWD25" s="631"/>
      <c r="AWE25" s="631"/>
      <c r="AWF25" s="631"/>
      <c r="AWG25" s="631"/>
      <c r="AWH25" s="631"/>
      <c r="AWI25" s="631"/>
      <c r="AWJ25" s="631"/>
      <c r="AWK25" s="631"/>
      <c r="AWL25" s="631"/>
      <c r="AWM25" s="631"/>
      <c r="AWN25" s="631"/>
      <c r="AWO25" s="631"/>
      <c r="AWP25" s="631"/>
      <c r="AWQ25" s="631"/>
      <c r="AWR25" s="631"/>
      <c r="AWS25" s="631"/>
      <c r="AWT25" s="631"/>
      <c r="AWU25" s="631"/>
      <c r="AWV25" s="631"/>
      <c r="AWW25" s="631"/>
      <c r="AWX25" s="631"/>
      <c r="AWY25" s="631"/>
      <c r="AWZ25" s="631"/>
      <c r="AXA25" s="631"/>
      <c r="AXB25" s="631"/>
      <c r="AXC25" s="631"/>
      <c r="AXD25" s="631"/>
      <c r="AXE25" s="631"/>
      <c r="AXF25" s="631"/>
      <c r="AXG25" s="631"/>
      <c r="AXH25" s="631"/>
      <c r="AXI25" s="631"/>
      <c r="AXJ25" s="631"/>
      <c r="AXK25" s="631"/>
      <c r="AXL25" s="631"/>
      <c r="AXM25" s="631"/>
      <c r="AXN25" s="631"/>
      <c r="AXO25" s="631"/>
      <c r="AXP25" s="631"/>
      <c r="AXQ25" s="631"/>
      <c r="AXR25" s="631"/>
      <c r="AXS25" s="631"/>
      <c r="AXT25" s="631"/>
      <c r="AXU25" s="631"/>
      <c r="AXV25" s="631"/>
      <c r="AXW25" s="631"/>
      <c r="AXX25" s="631"/>
      <c r="AXY25" s="631"/>
      <c r="AXZ25" s="631"/>
      <c r="AYA25" s="631"/>
      <c r="AYB25" s="631"/>
      <c r="AYC25" s="631"/>
      <c r="AYD25" s="631"/>
      <c r="AYE25" s="631"/>
      <c r="AYF25" s="631"/>
      <c r="AYG25" s="631"/>
      <c r="AYH25" s="631"/>
      <c r="AYI25" s="631"/>
      <c r="AYJ25" s="631"/>
      <c r="AYK25" s="631"/>
      <c r="AYL25" s="631"/>
      <c r="AYM25" s="631"/>
      <c r="AYN25" s="631"/>
      <c r="AYO25" s="631"/>
      <c r="AYP25" s="631"/>
      <c r="AYQ25" s="631"/>
      <c r="AYR25" s="631"/>
      <c r="AYS25" s="631"/>
      <c r="AYT25" s="631"/>
      <c r="AYU25" s="631"/>
      <c r="AYV25" s="631"/>
      <c r="AYW25" s="631"/>
      <c r="AYX25" s="631"/>
      <c r="AYY25" s="631"/>
      <c r="AYZ25" s="631"/>
      <c r="AZA25" s="631"/>
      <c r="AZB25" s="631"/>
      <c r="AZC25" s="631"/>
      <c r="AZD25" s="631"/>
      <c r="AZE25" s="631"/>
      <c r="AZF25" s="631"/>
      <c r="AZG25" s="631"/>
      <c r="AZH25" s="631"/>
      <c r="AZI25" s="631"/>
      <c r="AZJ25" s="631"/>
      <c r="AZK25" s="631"/>
      <c r="AZL25" s="631"/>
      <c r="AZM25" s="631"/>
      <c r="AZN25" s="631"/>
      <c r="AZO25" s="631"/>
      <c r="AZP25" s="631"/>
      <c r="AZQ25" s="631"/>
      <c r="AZR25" s="631"/>
      <c r="AZS25" s="631"/>
      <c r="AZT25" s="631"/>
      <c r="AZU25" s="631"/>
      <c r="AZV25" s="631"/>
      <c r="AZW25" s="631"/>
      <c r="AZX25" s="631"/>
      <c r="AZY25" s="631"/>
      <c r="AZZ25" s="631"/>
      <c r="BAA25" s="631"/>
      <c r="BAB25" s="631"/>
      <c r="BAC25" s="631"/>
      <c r="BAD25" s="631"/>
      <c r="BAE25" s="631"/>
      <c r="BAF25" s="631"/>
      <c r="BAG25" s="631"/>
      <c r="BAH25" s="631"/>
      <c r="BAI25" s="631"/>
      <c r="BAJ25" s="631"/>
      <c r="BAK25" s="631"/>
      <c r="BAL25" s="631"/>
      <c r="BAM25" s="631"/>
      <c r="BAN25" s="631"/>
      <c r="BAO25" s="631"/>
      <c r="BAP25" s="631"/>
      <c r="BAQ25" s="631"/>
      <c r="BAR25" s="631"/>
      <c r="BAS25" s="631"/>
      <c r="BAT25" s="631"/>
      <c r="BAU25" s="631"/>
      <c r="BAV25" s="631"/>
      <c r="BAW25" s="631"/>
      <c r="BAX25" s="631"/>
      <c r="BAY25" s="631"/>
      <c r="BAZ25" s="631"/>
      <c r="BBA25" s="631"/>
      <c r="BBB25" s="631"/>
      <c r="BBC25" s="631"/>
      <c r="BBD25" s="631"/>
      <c r="BBE25" s="631"/>
      <c r="BBF25" s="631"/>
      <c r="BBG25" s="631"/>
      <c r="BBH25" s="631"/>
      <c r="BBI25" s="631"/>
      <c r="BBJ25" s="631"/>
      <c r="BBK25" s="631"/>
      <c r="BBL25" s="631"/>
      <c r="BBM25" s="631"/>
      <c r="BBN25" s="631"/>
      <c r="BBO25" s="631"/>
      <c r="BBP25" s="631"/>
      <c r="BBQ25" s="631"/>
      <c r="BBR25" s="631"/>
      <c r="BBS25" s="631"/>
      <c r="BBT25" s="631"/>
      <c r="BBU25" s="631"/>
      <c r="BBV25" s="631"/>
      <c r="BBW25" s="631"/>
      <c r="BBX25" s="631"/>
      <c r="BBY25" s="631"/>
      <c r="BBZ25" s="631"/>
      <c r="BCA25" s="631"/>
      <c r="BCB25" s="631"/>
      <c r="BCC25" s="631"/>
      <c r="BCD25" s="631"/>
      <c r="BCE25" s="631"/>
      <c r="BCF25" s="631"/>
      <c r="BCG25" s="631"/>
      <c r="BCH25" s="631"/>
      <c r="BCI25" s="631"/>
      <c r="BCJ25" s="631"/>
      <c r="BCK25" s="631"/>
      <c r="BCL25" s="631"/>
      <c r="BCM25" s="631"/>
      <c r="BCN25" s="631"/>
      <c r="BCO25" s="631"/>
      <c r="BCP25" s="631"/>
      <c r="BCQ25" s="631"/>
      <c r="BCR25" s="631"/>
      <c r="BCS25" s="631"/>
      <c r="BCT25" s="631"/>
      <c r="BCU25" s="631"/>
      <c r="BCV25" s="631"/>
      <c r="BCW25" s="631"/>
      <c r="BCX25" s="631"/>
      <c r="BCY25" s="631"/>
      <c r="BCZ25" s="631"/>
      <c r="BDA25" s="631"/>
      <c r="BDB25" s="631"/>
      <c r="BDC25" s="631"/>
      <c r="BDD25" s="631"/>
      <c r="BDE25" s="631"/>
      <c r="BDF25" s="631"/>
      <c r="BDG25" s="631"/>
      <c r="BDH25" s="631"/>
      <c r="BDI25" s="631"/>
      <c r="BDJ25" s="631"/>
      <c r="BDK25" s="631"/>
      <c r="BDL25" s="631"/>
      <c r="BDM25" s="631"/>
      <c r="BDN25" s="631"/>
      <c r="BDO25" s="631"/>
      <c r="BDP25" s="631"/>
      <c r="BDQ25" s="631"/>
      <c r="BDR25" s="631"/>
      <c r="BDS25" s="631"/>
      <c r="BDT25" s="631"/>
      <c r="BDU25" s="631"/>
      <c r="BDV25" s="631"/>
      <c r="BDW25" s="631"/>
      <c r="BDX25" s="631"/>
      <c r="BDY25" s="631"/>
      <c r="BDZ25" s="631"/>
      <c r="BEA25" s="631"/>
      <c r="BEB25" s="631"/>
      <c r="BEC25" s="631"/>
      <c r="BED25" s="631"/>
      <c r="BEE25" s="631"/>
      <c r="BEF25" s="631"/>
      <c r="BEG25" s="631"/>
      <c r="BEH25" s="631"/>
      <c r="BEI25" s="631"/>
      <c r="BEJ25" s="631"/>
      <c r="BEK25" s="631"/>
      <c r="BEL25" s="631"/>
      <c r="BEM25" s="631"/>
      <c r="BEN25" s="631"/>
      <c r="BEO25" s="631"/>
      <c r="BEP25" s="631"/>
      <c r="BEQ25" s="631"/>
      <c r="BER25" s="631"/>
      <c r="BES25" s="631"/>
      <c r="BET25" s="631"/>
      <c r="BEU25" s="631"/>
      <c r="BEV25" s="631"/>
      <c r="BEW25" s="631"/>
      <c r="BEX25" s="631"/>
      <c r="BEY25" s="631"/>
      <c r="BEZ25" s="631"/>
      <c r="BFA25" s="631"/>
      <c r="BFB25" s="631"/>
      <c r="BFC25" s="631"/>
      <c r="BFD25" s="631"/>
      <c r="BFE25" s="631"/>
      <c r="BFF25" s="631"/>
      <c r="BFG25" s="631"/>
      <c r="BFH25" s="631"/>
      <c r="BFI25" s="631"/>
      <c r="BFJ25" s="631"/>
      <c r="BFK25" s="631"/>
      <c r="BFL25" s="631"/>
      <c r="BFM25" s="631"/>
      <c r="BFN25" s="631"/>
      <c r="BFO25" s="631"/>
      <c r="BFP25" s="631"/>
      <c r="BFQ25" s="631"/>
      <c r="BFR25" s="631"/>
      <c r="BFS25" s="631"/>
      <c r="BFT25" s="631"/>
      <c r="BFU25" s="631"/>
      <c r="BFV25" s="631"/>
      <c r="BFW25" s="631"/>
      <c r="BFX25" s="631"/>
      <c r="BFY25" s="631"/>
      <c r="BFZ25" s="631"/>
      <c r="BGA25" s="631"/>
      <c r="BGB25" s="631"/>
      <c r="BGC25" s="631"/>
      <c r="BGD25" s="631"/>
      <c r="BGE25" s="631"/>
      <c r="BGF25" s="631"/>
      <c r="BGG25" s="631"/>
      <c r="BGH25" s="631"/>
      <c r="BGI25" s="631"/>
      <c r="BGJ25" s="631"/>
      <c r="BGK25" s="631"/>
      <c r="BGL25" s="631"/>
      <c r="BGM25" s="631"/>
      <c r="BGN25" s="631"/>
      <c r="BGO25" s="631"/>
      <c r="BGP25" s="631"/>
      <c r="BGQ25" s="631"/>
      <c r="BGR25" s="631"/>
      <c r="BGS25" s="631"/>
      <c r="BGT25" s="631"/>
      <c r="BGU25" s="631"/>
      <c r="BGV25" s="631"/>
      <c r="BGW25" s="631"/>
      <c r="BGX25" s="631"/>
      <c r="BGY25" s="631"/>
      <c r="BGZ25" s="631"/>
      <c r="BHA25" s="631"/>
      <c r="BHB25" s="631"/>
      <c r="BHC25" s="631"/>
      <c r="BHD25" s="631"/>
      <c r="BHE25" s="631"/>
      <c r="BHF25" s="631"/>
      <c r="BHG25" s="631"/>
      <c r="BHH25" s="631"/>
      <c r="BHI25" s="631"/>
      <c r="BHJ25" s="631"/>
      <c r="BHK25" s="631"/>
      <c r="BHL25" s="631"/>
      <c r="BHM25" s="631"/>
      <c r="BHN25" s="631"/>
      <c r="BHO25" s="631"/>
      <c r="BHP25" s="631"/>
      <c r="BHQ25" s="631"/>
      <c r="BHR25" s="631"/>
      <c r="BHS25" s="631"/>
      <c r="BHT25" s="631"/>
      <c r="BHU25" s="631"/>
      <c r="BHV25" s="631"/>
      <c r="BHW25" s="631"/>
      <c r="BHX25" s="631"/>
      <c r="BHY25" s="631"/>
      <c r="BHZ25" s="631"/>
      <c r="BIA25" s="631"/>
      <c r="BIB25" s="631"/>
      <c r="BIC25" s="631"/>
      <c r="BID25" s="631"/>
      <c r="BIE25" s="631"/>
      <c r="BIF25" s="631"/>
      <c r="BIG25" s="631"/>
      <c r="BIH25" s="631"/>
      <c r="BII25" s="631"/>
      <c r="BIJ25" s="631"/>
      <c r="BIK25" s="631"/>
      <c r="BIL25" s="631"/>
      <c r="BIM25" s="631"/>
      <c r="BIN25" s="631"/>
      <c r="BIO25" s="631"/>
      <c r="BIP25" s="631"/>
      <c r="BIQ25" s="631"/>
      <c r="BIR25" s="631"/>
      <c r="BIS25" s="631"/>
      <c r="BIT25" s="631"/>
      <c r="BIU25" s="631"/>
      <c r="BIV25" s="631"/>
      <c r="BIW25" s="631"/>
      <c r="BIX25" s="631"/>
      <c r="BIY25" s="631"/>
      <c r="BIZ25" s="631"/>
      <c r="BJA25" s="631"/>
      <c r="BJB25" s="631"/>
      <c r="BJC25" s="631"/>
      <c r="BJD25" s="631"/>
      <c r="BJE25" s="631"/>
      <c r="BJF25" s="631"/>
      <c r="BJG25" s="631"/>
      <c r="BJH25" s="631"/>
      <c r="BJI25" s="631"/>
      <c r="BJJ25" s="631"/>
      <c r="BJK25" s="631"/>
      <c r="BJL25" s="631"/>
      <c r="BJM25" s="631"/>
      <c r="BJN25" s="631"/>
      <c r="BJO25" s="631"/>
      <c r="BJP25" s="631"/>
      <c r="BJQ25" s="631"/>
      <c r="BJR25" s="631"/>
      <c r="BJS25" s="631"/>
      <c r="BJT25" s="631"/>
      <c r="BJU25" s="631"/>
      <c r="BJV25" s="631"/>
      <c r="BJW25" s="631"/>
      <c r="BJX25" s="631"/>
      <c r="BJY25" s="631"/>
      <c r="BJZ25" s="631"/>
      <c r="BKA25" s="631"/>
      <c r="BKB25" s="631"/>
      <c r="BKC25" s="631"/>
      <c r="BKD25" s="631"/>
      <c r="BKE25" s="631"/>
      <c r="BKF25" s="631"/>
      <c r="BKG25" s="631"/>
      <c r="BKH25" s="631"/>
      <c r="BKI25" s="631"/>
      <c r="BKJ25" s="631"/>
      <c r="BKK25" s="631"/>
      <c r="BKL25" s="631"/>
      <c r="BKM25" s="631"/>
      <c r="BKN25" s="631"/>
      <c r="BKO25" s="631"/>
      <c r="BKP25" s="631"/>
      <c r="BKQ25" s="631"/>
      <c r="BKR25" s="631"/>
      <c r="BKS25" s="631"/>
      <c r="BKT25" s="631"/>
      <c r="BKU25" s="631"/>
      <c r="BKV25" s="631"/>
      <c r="BKW25" s="631"/>
      <c r="BKX25" s="631"/>
      <c r="BKY25" s="631"/>
      <c r="BKZ25" s="631"/>
      <c r="BLA25" s="631"/>
      <c r="BLB25" s="631"/>
      <c r="BLC25" s="631"/>
      <c r="BLD25" s="631"/>
      <c r="BLE25" s="631"/>
      <c r="BLF25" s="631"/>
      <c r="BLG25" s="631"/>
      <c r="BLH25" s="631"/>
      <c r="BLI25" s="631"/>
      <c r="BLJ25" s="631"/>
      <c r="BLK25" s="631"/>
      <c r="BLL25" s="631"/>
      <c r="BLM25" s="631"/>
      <c r="BLN25" s="631"/>
      <c r="BLO25" s="631"/>
      <c r="BLP25" s="631"/>
      <c r="BLQ25" s="631"/>
      <c r="BLR25" s="631"/>
      <c r="BLS25" s="631"/>
      <c r="BLT25" s="631"/>
      <c r="BLU25" s="631"/>
      <c r="BLV25" s="631"/>
      <c r="BLW25" s="631"/>
      <c r="BLX25" s="631"/>
      <c r="BLY25" s="631"/>
      <c r="BLZ25" s="631"/>
      <c r="BMA25" s="631"/>
      <c r="BMB25" s="631"/>
      <c r="BMC25" s="631"/>
      <c r="BMD25" s="631"/>
      <c r="BME25" s="631"/>
      <c r="BMF25" s="631"/>
      <c r="BMG25" s="631"/>
      <c r="BMH25" s="631"/>
      <c r="BMI25" s="631"/>
      <c r="BMJ25" s="631"/>
      <c r="BMK25" s="631"/>
      <c r="BML25" s="631"/>
      <c r="BMM25" s="631"/>
      <c r="BMN25" s="631"/>
      <c r="BMO25" s="631"/>
      <c r="BMP25" s="631"/>
      <c r="BMQ25" s="631"/>
      <c r="BMR25" s="631"/>
      <c r="BMS25" s="631"/>
      <c r="BMT25" s="631"/>
      <c r="BMU25" s="631"/>
      <c r="BMV25" s="631"/>
      <c r="BMW25" s="631"/>
      <c r="BMX25" s="631"/>
      <c r="BMY25" s="631"/>
      <c r="BMZ25" s="631"/>
      <c r="BNA25" s="631"/>
      <c r="BNB25" s="631"/>
      <c r="BNC25" s="631"/>
      <c r="BND25" s="631"/>
      <c r="BNE25" s="631"/>
      <c r="BNF25" s="631"/>
      <c r="BNG25" s="631"/>
      <c r="BNH25" s="631"/>
      <c r="BNI25" s="631"/>
      <c r="BNJ25" s="631"/>
      <c r="BNK25" s="631"/>
      <c r="BNL25" s="631"/>
      <c r="BNM25" s="631"/>
      <c r="BNN25" s="631"/>
      <c r="BNO25" s="631"/>
      <c r="BNP25" s="631"/>
      <c r="BNQ25" s="631"/>
      <c r="BNR25" s="631"/>
      <c r="BNS25" s="631"/>
      <c r="BNT25" s="631"/>
      <c r="BNU25" s="631"/>
      <c r="BNV25" s="631"/>
      <c r="BNW25" s="631"/>
      <c r="BNX25" s="631"/>
      <c r="BNY25" s="631"/>
      <c r="BNZ25" s="631"/>
      <c r="BOA25" s="631"/>
      <c r="BOB25" s="631"/>
      <c r="BOC25" s="631"/>
      <c r="BOD25" s="631"/>
      <c r="BOE25" s="631"/>
      <c r="BOF25" s="631"/>
      <c r="BOG25" s="631"/>
      <c r="BOH25" s="631"/>
      <c r="BOI25" s="631"/>
      <c r="BOJ25" s="631"/>
      <c r="BOK25" s="631"/>
      <c r="BOL25" s="631"/>
      <c r="BOM25" s="631"/>
      <c r="BON25" s="631"/>
      <c r="BOO25" s="631"/>
      <c r="BOP25" s="631"/>
      <c r="BOQ25" s="631"/>
      <c r="BOR25" s="631"/>
      <c r="BOS25" s="631"/>
      <c r="BOT25" s="631"/>
      <c r="BOU25" s="631"/>
      <c r="BOV25" s="631"/>
      <c r="BOW25" s="631"/>
      <c r="BOX25" s="631"/>
      <c r="BOY25" s="631"/>
      <c r="BOZ25" s="631"/>
      <c r="BPA25" s="631"/>
      <c r="BPB25" s="631"/>
      <c r="BPC25" s="631"/>
      <c r="BPD25" s="631"/>
      <c r="BPE25" s="631"/>
      <c r="BPF25" s="631"/>
      <c r="BPG25" s="631"/>
      <c r="BPH25" s="631"/>
      <c r="BPI25" s="631"/>
      <c r="BPJ25" s="631"/>
      <c r="BPK25" s="631"/>
      <c r="BPL25" s="631"/>
      <c r="BPM25" s="631"/>
      <c r="BPN25" s="631"/>
      <c r="BPO25" s="631"/>
      <c r="BPP25" s="631"/>
      <c r="BPQ25" s="631"/>
      <c r="BPR25" s="631"/>
      <c r="BPS25" s="631"/>
      <c r="BPT25" s="631"/>
      <c r="BPU25" s="631"/>
      <c r="BPV25" s="631"/>
      <c r="BPW25" s="631"/>
      <c r="BPX25" s="631"/>
      <c r="BPY25" s="631"/>
      <c r="BPZ25" s="631"/>
      <c r="BQA25" s="631"/>
      <c r="BQB25" s="631"/>
      <c r="BQC25" s="631"/>
      <c r="BQD25" s="631"/>
      <c r="BQE25" s="631"/>
      <c r="BQF25" s="631"/>
      <c r="BQG25" s="631"/>
      <c r="BQH25" s="631"/>
      <c r="BQI25" s="631"/>
      <c r="BQJ25" s="631"/>
      <c r="BQK25" s="631"/>
      <c r="BQL25" s="631"/>
      <c r="BQM25" s="631"/>
      <c r="BQN25" s="631"/>
      <c r="BQO25" s="631"/>
      <c r="BQP25" s="631"/>
      <c r="BQQ25" s="631"/>
      <c r="BQR25" s="631"/>
      <c r="BQS25" s="631"/>
      <c r="BQT25" s="631"/>
      <c r="BQU25" s="631"/>
      <c r="BQV25" s="631"/>
      <c r="BQW25" s="631"/>
      <c r="BQX25" s="631"/>
      <c r="BQY25" s="631"/>
      <c r="BQZ25" s="631"/>
      <c r="BRA25" s="631"/>
      <c r="BRB25" s="631"/>
      <c r="BRC25" s="631"/>
      <c r="BRD25" s="631"/>
      <c r="BRE25" s="631"/>
      <c r="BRF25" s="631"/>
      <c r="BRG25" s="631"/>
      <c r="BRH25" s="631"/>
      <c r="BRI25" s="631"/>
      <c r="BRJ25" s="631"/>
      <c r="BRK25" s="631"/>
      <c r="BRL25" s="631"/>
      <c r="BRM25" s="631"/>
      <c r="BRN25" s="631"/>
      <c r="BRO25" s="631"/>
      <c r="BRP25" s="631"/>
      <c r="BRQ25" s="631"/>
      <c r="BRR25" s="631"/>
      <c r="BRS25" s="631"/>
      <c r="BRT25" s="631"/>
      <c r="BRU25" s="631"/>
      <c r="BRV25" s="631"/>
      <c r="BRW25" s="631"/>
      <c r="BRX25" s="631"/>
      <c r="BRY25" s="631"/>
      <c r="BRZ25" s="631"/>
      <c r="BSA25" s="631"/>
      <c r="BSB25" s="631"/>
      <c r="BSC25" s="631"/>
      <c r="BSD25" s="631"/>
      <c r="BSE25" s="631"/>
      <c r="BSF25" s="631"/>
      <c r="BSG25" s="631"/>
      <c r="BSH25" s="631"/>
      <c r="BSI25" s="631"/>
      <c r="BSJ25" s="631"/>
      <c r="BSK25" s="631"/>
      <c r="BSL25" s="631"/>
      <c r="BSM25" s="631"/>
      <c r="BSN25" s="631"/>
      <c r="BSO25" s="631"/>
      <c r="BSP25" s="631"/>
      <c r="BSQ25" s="631"/>
      <c r="BSR25" s="631"/>
      <c r="BSS25" s="631"/>
      <c r="BST25" s="631"/>
      <c r="BSU25" s="631"/>
      <c r="BSV25" s="631"/>
      <c r="BSW25" s="631"/>
      <c r="BSX25" s="631"/>
      <c r="BSY25" s="631"/>
      <c r="BSZ25" s="631"/>
      <c r="BTA25" s="631"/>
      <c r="BTB25" s="631"/>
      <c r="BTC25" s="631"/>
      <c r="BTD25" s="631"/>
      <c r="BTE25" s="631"/>
      <c r="BTF25" s="631"/>
      <c r="BTG25" s="631"/>
      <c r="BTH25" s="631"/>
      <c r="BTI25" s="631"/>
      <c r="BTJ25" s="631"/>
      <c r="BTK25" s="631"/>
      <c r="BTL25" s="631"/>
      <c r="BTM25" s="631"/>
      <c r="BTN25" s="631"/>
      <c r="BTO25" s="631"/>
      <c r="BTP25" s="631"/>
      <c r="BTQ25" s="631"/>
      <c r="BTR25" s="631"/>
      <c r="BTS25" s="631"/>
      <c r="BTT25" s="631"/>
      <c r="BTU25" s="631"/>
      <c r="BTV25" s="631"/>
      <c r="BTW25" s="631"/>
      <c r="BTX25" s="631"/>
      <c r="BTY25" s="631"/>
      <c r="BTZ25" s="631"/>
      <c r="BUA25" s="631"/>
      <c r="BUB25" s="631"/>
      <c r="BUC25" s="631"/>
      <c r="BUD25" s="631"/>
      <c r="BUE25" s="631"/>
      <c r="BUF25" s="631"/>
      <c r="BUG25" s="631"/>
      <c r="BUH25" s="631"/>
      <c r="BUI25" s="631"/>
      <c r="BUJ25" s="631"/>
      <c r="BUK25" s="631"/>
      <c r="BUL25" s="631"/>
      <c r="BUM25" s="631"/>
      <c r="BUN25" s="631"/>
      <c r="BUO25" s="631"/>
      <c r="BUP25" s="631"/>
      <c r="BUQ25" s="631"/>
      <c r="BUR25" s="631"/>
      <c r="BUS25" s="631"/>
      <c r="BUT25" s="631"/>
      <c r="BUU25" s="631"/>
      <c r="BUV25" s="631"/>
      <c r="BUW25" s="631"/>
      <c r="BUX25" s="631"/>
      <c r="BUY25" s="631"/>
      <c r="BUZ25" s="631"/>
      <c r="BVA25" s="631"/>
      <c r="BVB25" s="631"/>
      <c r="BVC25" s="631"/>
      <c r="BVD25" s="631"/>
      <c r="BVE25" s="631"/>
      <c r="BVF25" s="631"/>
      <c r="BVG25" s="631"/>
      <c r="BVH25" s="631"/>
      <c r="BVI25" s="631"/>
      <c r="BVJ25" s="631"/>
      <c r="BVK25" s="631"/>
      <c r="BVL25" s="631"/>
      <c r="BVM25" s="631"/>
      <c r="BVN25" s="631"/>
      <c r="BVO25" s="631"/>
      <c r="BVP25" s="631"/>
      <c r="BVQ25" s="631"/>
      <c r="BVR25" s="631"/>
      <c r="BVS25" s="631"/>
      <c r="BVT25" s="631"/>
      <c r="BVU25" s="631"/>
      <c r="BVV25" s="631"/>
      <c r="BVW25" s="631"/>
      <c r="BVX25" s="631"/>
      <c r="BVY25" s="631"/>
      <c r="BVZ25" s="631"/>
      <c r="BWA25" s="631"/>
      <c r="BWB25" s="631"/>
      <c r="BWC25" s="631"/>
      <c r="BWD25" s="631"/>
      <c r="BWE25" s="631"/>
      <c r="BWF25" s="631"/>
      <c r="BWG25" s="631"/>
      <c r="BWH25" s="631"/>
      <c r="BWI25" s="631"/>
      <c r="BWJ25" s="631"/>
    </row>
    <row r="26" spans="1:1960" s="631" customFormat="1" ht="16.5" x14ac:dyDescent="0.25">
      <c r="A26" s="3037" t="s">
        <v>2845</v>
      </c>
      <c r="B26" s="3039">
        <v>27.158277049999995</v>
      </c>
      <c r="C26" s="3039">
        <v>24.620878059999999</v>
      </c>
      <c r="D26" s="3039">
        <v>23.993976750000002</v>
      </c>
      <c r="E26" s="3039">
        <v>23.533653300000001</v>
      </c>
      <c r="F26" s="3039">
        <v>22.729876109999999</v>
      </c>
      <c r="G26" s="3039">
        <v>12.57345295</v>
      </c>
      <c r="H26" s="3039">
        <v>12.134240279999998</v>
      </c>
      <c r="I26" s="3039">
        <v>11.65505709</v>
      </c>
      <c r="J26" s="3039">
        <v>11.19260813</v>
      </c>
      <c r="K26" s="3039">
        <v>10.727977790000001</v>
      </c>
      <c r="L26" s="3039">
        <v>10.26115551</v>
      </c>
      <c r="M26" s="3039">
        <v>10.69989567</v>
      </c>
      <c r="N26" s="3039">
        <v>10.23522621</v>
      </c>
      <c r="O26" s="3039">
        <v>9.7493706600000003</v>
      </c>
      <c r="P26" s="3039">
        <v>8.3144933200000004</v>
      </c>
      <c r="Q26" s="3039">
        <v>9.089572969999999</v>
      </c>
      <c r="R26" s="3039">
        <v>10.158816310000001</v>
      </c>
      <c r="S26" s="3039">
        <v>12.314042349999999</v>
      </c>
      <c r="T26" s="3039">
        <v>12.078636829999999</v>
      </c>
      <c r="U26" s="3039">
        <v>17.164168490000002</v>
      </c>
    </row>
    <row r="27" spans="1:1960" s="631" customFormat="1" ht="17.25" thickBot="1" x14ac:dyDescent="0.3">
      <c r="A27" s="3020" t="s">
        <v>2846</v>
      </c>
      <c r="B27" s="3035">
        <v>2.6206927100000001</v>
      </c>
      <c r="C27" s="3035">
        <v>2.5381388899999999</v>
      </c>
      <c r="D27" s="3035">
        <v>2.4947188100000002</v>
      </c>
      <c r="E27" s="3035">
        <v>2.4904309700000002</v>
      </c>
      <c r="F27" s="3035">
        <v>2.4071076699999998</v>
      </c>
      <c r="G27" s="3035">
        <v>2.3629135699999999</v>
      </c>
      <c r="H27" s="3035">
        <v>2.3578471299999997</v>
      </c>
      <c r="I27" s="3035">
        <v>2.2737406200000003</v>
      </c>
      <c r="J27" s="3035">
        <v>2.2287586899999998</v>
      </c>
      <c r="K27" s="3035">
        <v>2.1835110300000005</v>
      </c>
      <c r="L27" s="3035">
        <v>2.1568423700000001</v>
      </c>
      <c r="M27" s="3035">
        <v>2.11105856</v>
      </c>
      <c r="N27" s="3035">
        <v>2.0650042900000001</v>
      </c>
      <c r="O27" s="3035">
        <v>2.0186779700000002</v>
      </c>
      <c r="P27" s="3035">
        <v>1.9720779799999999</v>
      </c>
      <c r="Q27" s="3035">
        <v>1.94574516</v>
      </c>
      <c r="R27" s="3035">
        <v>1.8593475900000001</v>
      </c>
      <c r="S27" s="3035">
        <v>1.8119183300000001</v>
      </c>
      <c r="T27" s="3035">
        <v>1.7978683099999999</v>
      </c>
      <c r="U27" s="3035">
        <v>1.7103874700000001</v>
      </c>
    </row>
    <row r="28" spans="1:1960" s="631" customFormat="1" ht="18" thickTop="1" thickBot="1" x14ac:dyDescent="0.3">
      <c r="A28" s="3040" t="s">
        <v>2847</v>
      </c>
      <c r="B28" s="3073">
        <v>53393.778703070006</v>
      </c>
      <c r="C28" s="3073">
        <v>53446.604569740004</v>
      </c>
      <c r="D28" s="3073">
        <v>53479.281055730004</v>
      </c>
      <c r="E28" s="3073">
        <v>53779.81518867</v>
      </c>
      <c r="F28" s="3073">
        <v>54030.730106250005</v>
      </c>
      <c r="G28" s="3073">
        <v>54303.165495040004</v>
      </c>
      <c r="H28" s="3073">
        <v>54434.855203860003</v>
      </c>
      <c r="I28" s="3073">
        <v>54533.313410659997</v>
      </c>
      <c r="J28" s="3073">
        <v>54766.368897900007</v>
      </c>
      <c r="K28" s="3073">
        <v>54958.173987139999</v>
      </c>
      <c r="L28" s="3073">
        <v>55141.0369527</v>
      </c>
      <c r="M28" s="3073">
        <v>55217.430460810014</v>
      </c>
      <c r="N28" s="3073">
        <v>55277.715695700004</v>
      </c>
      <c r="O28" s="3073">
        <v>55500.125570230004</v>
      </c>
      <c r="P28" s="3073">
        <v>55960.006579320005</v>
      </c>
      <c r="Q28" s="3073">
        <v>56433.780727420009</v>
      </c>
      <c r="R28" s="3073">
        <v>56740.573535569994</v>
      </c>
      <c r="S28" s="3073">
        <v>57094.586153949989</v>
      </c>
      <c r="T28" s="3073">
        <v>57495.663923730004</v>
      </c>
      <c r="U28" s="3073">
        <v>57776.084370600001</v>
      </c>
    </row>
    <row r="29" spans="1:1960" s="631" customFormat="1" ht="18" thickTop="1" thickBot="1" x14ac:dyDescent="0.3">
      <c r="A29" s="3040" t="s">
        <v>2848</v>
      </c>
      <c r="B29" s="3073">
        <v>53363.999733309989</v>
      </c>
      <c r="C29" s="3073">
        <v>53419.445552789992</v>
      </c>
      <c r="D29" s="3073">
        <v>53452.792360169995</v>
      </c>
      <c r="E29" s="3073">
        <v>53753.791104399999</v>
      </c>
      <c r="F29" s="3073">
        <v>54005.593122469996</v>
      </c>
      <c r="G29" s="3073">
        <v>54288.229128519997</v>
      </c>
      <c r="H29" s="3073">
        <v>54420.363116449997</v>
      </c>
      <c r="I29" s="3073">
        <v>54519.384612950002</v>
      </c>
      <c r="J29" s="3073">
        <v>54752.947531080004</v>
      </c>
      <c r="K29" s="3073">
        <v>54945.26249832</v>
      </c>
      <c r="L29" s="3073">
        <v>55128.618954820005</v>
      </c>
      <c r="M29" s="3073">
        <v>55204.619506580006</v>
      </c>
      <c r="N29" s="3073">
        <v>55265.415465199992</v>
      </c>
      <c r="O29" s="3073">
        <v>55488.357521600003</v>
      </c>
      <c r="P29" s="3073">
        <v>55949.720008020005</v>
      </c>
      <c r="Q29" s="3073">
        <v>56422.745409290001</v>
      </c>
      <c r="R29" s="3073">
        <v>56728.555371669994</v>
      </c>
      <c r="S29" s="3073">
        <v>57080.460193269995</v>
      </c>
      <c r="T29" s="3073">
        <v>57481.78741859</v>
      </c>
      <c r="U29" s="3073">
        <v>57757.209814640002</v>
      </c>
    </row>
    <row r="30" spans="1:1960" s="1428" customFormat="1" ht="15" thickTop="1" x14ac:dyDescent="0.25">
      <c r="A30" s="2868" t="s">
        <v>173</v>
      </c>
      <c r="B30" s="3078"/>
      <c r="C30" s="3078"/>
      <c r="D30" s="3078"/>
      <c r="E30" s="3078"/>
      <c r="F30" s="3078"/>
      <c r="G30" s="3078"/>
      <c r="H30" s="3078"/>
      <c r="I30" s="3078"/>
      <c r="J30" s="3078"/>
      <c r="K30" s="3078"/>
      <c r="L30" s="3078"/>
      <c r="M30" s="3078"/>
      <c r="N30" s="3078"/>
      <c r="O30" s="3078"/>
      <c r="P30" s="3078"/>
      <c r="Q30" s="3078"/>
      <c r="R30" s="3078"/>
      <c r="S30" s="3078"/>
      <c r="T30" s="3078"/>
      <c r="U30" s="3078"/>
    </row>
    <row r="31" spans="1:1960" ht="14.25" x14ac:dyDescent="0.25">
      <c r="A31" s="2868" t="s">
        <v>4797</v>
      </c>
      <c r="B31" s="3079"/>
      <c r="C31" s="3079"/>
      <c r="D31" s="3079"/>
      <c r="E31" s="3079"/>
      <c r="F31" s="3079"/>
      <c r="G31" s="3079"/>
      <c r="H31" s="3079"/>
      <c r="I31" s="3079"/>
      <c r="J31" s="3079"/>
      <c r="K31" s="3079"/>
      <c r="L31" s="3079"/>
      <c r="M31" s="3079"/>
      <c r="N31" s="3079"/>
      <c r="O31" s="3079"/>
      <c r="P31" s="3079"/>
      <c r="Q31" s="3079"/>
      <c r="R31" s="3079"/>
      <c r="S31" s="3079"/>
      <c r="T31" s="3079"/>
      <c r="U31" s="3079"/>
    </row>
    <row r="32" spans="1:1960" ht="15.75" x14ac:dyDescent="0.25">
      <c r="A32" s="2329" t="s">
        <v>4805</v>
      </c>
    </row>
    <row r="33" spans="1:10" ht="14.25" x14ac:dyDescent="0.25">
      <c r="A33" s="307" t="s">
        <v>2884</v>
      </c>
      <c r="B33" s="307"/>
      <c r="C33" s="307"/>
      <c r="D33" s="307"/>
      <c r="E33" s="307"/>
      <c r="F33" s="307"/>
      <c r="G33" s="307"/>
      <c r="H33" s="307"/>
      <c r="I33" s="307"/>
      <c r="J33" s="307"/>
    </row>
    <row r="34" spans="1:10" s="631" customFormat="1" ht="14.25" x14ac:dyDescent="0.25">
      <c r="A34" s="3043" t="s">
        <v>290</v>
      </c>
    </row>
    <row r="36" spans="1:10" ht="17.25" x14ac:dyDescent="0.3">
      <c r="A36" s="2878"/>
    </row>
  </sheetData>
  <pageMargins left="0.45" right="0.45" top="0.75" bottom="0.75" header="0.3" footer="0.3"/>
  <pageSetup scale="43" orientation="landscape" r:id="rId1"/>
  <colBreaks count="1" manualBreakCount="1">
    <brk id="22"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122"/>
  <sheetViews>
    <sheetView showGridLines="0" zoomScale="85" zoomScaleNormal="85" zoomScaleSheetLayoutView="80" workbookViewId="0">
      <pane xSplit="1" ySplit="4" topLeftCell="B90" activePane="bottomRight" state="frozen"/>
      <selection activeCell="A38" sqref="A38"/>
      <selection pane="topRight" activeCell="A38" sqref="A38"/>
      <selection pane="bottomLeft" activeCell="A38" sqref="A38"/>
      <selection pane="bottomRight" activeCell="A38" sqref="A38"/>
    </sheetView>
  </sheetViews>
  <sheetFormatPr defaultColWidth="17.140625" defaultRowHeight="17.25" x14ac:dyDescent="0.3"/>
  <cols>
    <col min="1" max="1" width="23.5703125" style="2478" customWidth="1"/>
    <col min="2" max="7" width="13.5703125" style="2429" customWidth="1"/>
    <col min="8" max="9" width="14.42578125" style="2429" customWidth="1"/>
    <col min="10" max="10" width="2" style="2429" customWidth="1"/>
    <col min="11" max="16384" width="17.140625" style="2429"/>
  </cols>
  <sheetData>
    <row r="1" spans="1:15" ht="21" customHeight="1" x14ac:dyDescent="0.3">
      <c r="A1" s="2427" t="s">
        <v>2363</v>
      </c>
      <c r="B1" s="2428"/>
    </row>
    <row r="2" spans="1:15" ht="18" thickBot="1" x14ac:dyDescent="0.35">
      <c r="A2" s="2427"/>
      <c r="B2" s="2428"/>
    </row>
    <row r="3" spans="1:15" s="2430" customFormat="1" ht="19.5" customHeight="1" thickTop="1" thickBot="1" x14ac:dyDescent="0.35">
      <c r="A3" s="3228" t="s">
        <v>5</v>
      </c>
      <c r="B3" s="3230" t="s">
        <v>2364</v>
      </c>
      <c r="C3" s="3230"/>
      <c r="D3" s="3230"/>
      <c r="E3" s="3230"/>
      <c r="F3" s="3230"/>
      <c r="G3" s="3231"/>
      <c r="H3" s="3232" t="s">
        <v>2365</v>
      </c>
      <c r="I3" s="3233"/>
    </row>
    <row r="4" spans="1:15" s="2430" customFormat="1" thickBot="1" x14ac:dyDescent="0.35">
      <c r="A4" s="3229"/>
      <c r="B4" s="2431" t="s">
        <v>2366</v>
      </c>
      <c r="C4" s="2432" t="s">
        <v>2367</v>
      </c>
      <c r="D4" s="2432" t="s">
        <v>2368</v>
      </c>
      <c r="E4" s="2432" t="s">
        <v>2369</v>
      </c>
      <c r="F4" s="2432" t="s">
        <v>2370</v>
      </c>
      <c r="G4" s="2431" t="s">
        <v>2371</v>
      </c>
      <c r="H4" s="2433" t="s">
        <v>2372</v>
      </c>
      <c r="I4" s="2434" t="s">
        <v>2373</v>
      </c>
    </row>
    <row r="5" spans="1:15" ht="16.5" x14ac:dyDescent="0.3">
      <c r="A5" s="2435" t="s">
        <v>2374</v>
      </c>
      <c r="B5" s="2436"/>
      <c r="C5" s="2437"/>
      <c r="D5" s="2438"/>
      <c r="E5" s="2438"/>
      <c r="F5" s="2438"/>
      <c r="G5" s="2436"/>
      <c r="H5" s="2439"/>
      <c r="I5" s="2440"/>
    </row>
    <row r="6" spans="1:15" s="2428" customFormat="1" ht="16.5" x14ac:dyDescent="0.3">
      <c r="A6" s="2441">
        <v>2018</v>
      </c>
      <c r="B6" s="2442">
        <v>95.916687787396441</v>
      </c>
      <c r="C6" s="2443">
        <v>94.893421254239357</v>
      </c>
      <c r="D6" s="2439">
        <v>107.27168753321349</v>
      </c>
      <c r="E6" s="2439">
        <v>100.82233026984352</v>
      </c>
      <c r="F6" s="2439">
        <v>87.761077022643121</v>
      </c>
      <c r="G6" s="2444">
        <v>77.40205315573543</v>
      </c>
      <c r="H6" s="2439">
        <v>71.551005804200898</v>
      </c>
      <c r="I6" s="2440">
        <v>64.785435232514757</v>
      </c>
    </row>
    <row r="7" spans="1:15" s="2428" customFormat="1" ht="16.5" x14ac:dyDescent="0.3">
      <c r="A7" s="2441">
        <v>2019</v>
      </c>
      <c r="B7" s="2442">
        <v>95.103955588525295</v>
      </c>
      <c r="C7" s="2443">
        <v>99.993573465518054</v>
      </c>
      <c r="D7" s="2439">
        <v>102.81578202753262</v>
      </c>
      <c r="E7" s="2439">
        <v>96.603863712007339</v>
      </c>
      <c r="F7" s="2439">
        <v>83.239276164542943</v>
      </c>
      <c r="G7" s="2444">
        <v>78.615014982944373</v>
      </c>
      <c r="H7" s="2439">
        <v>64.177169733044749</v>
      </c>
      <c r="I7" s="2440">
        <v>57.042468102073364</v>
      </c>
    </row>
    <row r="8" spans="1:15" s="2428" customFormat="1" ht="16.5" x14ac:dyDescent="0.3">
      <c r="A8" s="2441">
        <v>2020</v>
      </c>
      <c r="B8" s="2442">
        <v>98.129793377180832</v>
      </c>
      <c r="C8" s="2443">
        <v>95.540671065791187</v>
      </c>
      <c r="D8" s="2439">
        <v>101.83218449934861</v>
      </c>
      <c r="E8" s="2439">
        <v>103.1167289201083</v>
      </c>
      <c r="F8" s="2439">
        <v>99.443535679772523</v>
      </c>
      <c r="G8" s="2444">
        <v>79.528717638053081</v>
      </c>
      <c r="H8" s="2439">
        <v>43.2</v>
      </c>
      <c r="I8" s="2440">
        <v>39.4</v>
      </c>
    </row>
    <row r="9" spans="1:15" s="2428" customFormat="1" ht="16.5" x14ac:dyDescent="0.3">
      <c r="A9" s="2441">
        <v>2021</v>
      </c>
      <c r="B9" s="2442">
        <v>125.72811227472192</v>
      </c>
      <c r="C9" s="2443">
        <v>107.72041028567065</v>
      </c>
      <c r="D9" s="2439">
        <v>119.11341869077556</v>
      </c>
      <c r="E9" s="2439">
        <v>131.15338474368431</v>
      </c>
      <c r="F9" s="2439">
        <v>164.85113256482796</v>
      </c>
      <c r="G9" s="2444">
        <v>109.33464293018675</v>
      </c>
      <c r="H9" s="2439">
        <v>70.79016385908777</v>
      </c>
      <c r="I9" s="2440">
        <v>67.923033159314627</v>
      </c>
    </row>
    <row r="10" spans="1:15" s="2428" customFormat="1" ht="16.5" x14ac:dyDescent="0.3">
      <c r="A10" s="2445">
        <v>2022</v>
      </c>
      <c r="B10" s="2446">
        <v>143.65364338503883</v>
      </c>
      <c r="C10" s="2447">
        <v>118.77671833972916</v>
      </c>
      <c r="D10" s="2448">
        <v>142.36340506905648</v>
      </c>
      <c r="E10" s="2448">
        <v>154.66510013039058</v>
      </c>
      <c r="F10" s="2448">
        <v>187.77977941529275</v>
      </c>
      <c r="G10" s="2449">
        <v>114.45579634923097</v>
      </c>
      <c r="H10" s="2448">
        <v>98.9</v>
      </c>
      <c r="I10" s="2450">
        <v>94.2</v>
      </c>
    </row>
    <row r="11" spans="1:15" ht="16.5" x14ac:dyDescent="0.3">
      <c r="A11" s="2451" t="s">
        <v>2375</v>
      </c>
      <c r="B11" s="2452"/>
      <c r="C11" s="2453"/>
      <c r="D11" s="2454"/>
      <c r="E11" s="2454"/>
      <c r="F11" s="2454"/>
      <c r="G11" s="2455"/>
      <c r="H11" s="2439"/>
      <c r="I11" s="2440"/>
    </row>
    <row r="12" spans="1:15" ht="16.5" hidden="1" customHeight="1" x14ac:dyDescent="0.3">
      <c r="A12" s="2456" t="s">
        <v>2376</v>
      </c>
      <c r="B12" s="2442">
        <v>100.71195915697933</v>
      </c>
      <c r="C12" s="2443">
        <v>103.80790037373754</v>
      </c>
      <c r="D12" s="2439">
        <v>92.391053123618349</v>
      </c>
      <c r="E12" s="2439">
        <v>105.88965214025703</v>
      </c>
      <c r="F12" s="2439">
        <v>95.00028401525708</v>
      </c>
      <c r="G12" s="2444">
        <v>94.957567846497184</v>
      </c>
      <c r="H12" s="2457"/>
      <c r="I12" s="2440">
        <v>47.245714285714286</v>
      </c>
    </row>
    <row r="13" spans="1:15" ht="16.5" hidden="1" customHeight="1" x14ac:dyDescent="0.3">
      <c r="A13" s="2458" t="s">
        <v>64</v>
      </c>
      <c r="B13" s="2442">
        <v>98.450411487002583</v>
      </c>
      <c r="C13" s="2443">
        <v>100.47244594768249</v>
      </c>
      <c r="D13" s="2439">
        <v>95.170966244909636</v>
      </c>
      <c r="E13" s="2439">
        <v>101.59241702162657</v>
      </c>
      <c r="F13" s="2439">
        <v>95.179690867350203</v>
      </c>
      <c r="G13" s="2444">
        <v>90.314178737709014</v>
      </c>
      <c r="H13" s="2439"/>
      <c r="I13" s="2440">
        <v>50.856999999999992</v>
      </c>
      <c r="O13" s="2429">
        <v>2.5</v>
      </c>
    </row>
    <row r="14" spans="1:15" ht="16.5" hidden="1" customHeight="1" x14ac:dyDescent="0.3">
      <c r="A14" s="2458" t="s">
        <v>63</v>
      </c>
      <c r="B14" s="2442">
        <v>95.605668219361689</v>
      </c>
      <c r="C14" s="2443">
        <v>96.811188488391991</v>
      </c>
      <c r="D14" s="2439">
        <v>95.138715935865036</v>
      </c>
      <c r="E14" s="2439">
        <v>99.510760543130289</v>
      </c>
      <c r="F14" s="2439">
        <v>92.615218866516273</v>
      </c>
      <c r="G14" s="2444">
        <v>81.961550349257607</v>
      </c>
      <c r="H14" s="2439">
        <v>56.698636363636346</v>
      </c>
      <c r="I14" s="2440">
        <v>47.855454545454556</v>
      </c>
    </row>
    <row r="15" spans="1:15" ht="16.5" hidden="1" customHeight="1" x14ac:dyDescent="0.3">
      <c r="A15" s="2458" t="s">
        <v>62</v>
      </c>
      <c r="B15" s="2442">
        <v>94.696895171532333</v>
      </c>
      <c r="C15" s="2443">
        <v>97.731763784372149</v>
      </c>
      <c r="D15" s="2439">
        <v>90.589311011107895</v>
      </c>
      <c r="E15" s="2439">
        <v>98.200551907040435</v>
      </c>
      <c r="F15" s="2439">
        <v>91.867419404175493</v>
      </c>
      <c r="G15" s="2444">
        <v>80.920100783832538</v>
      </c>
      <c r="H15" s="2439">
        <v>61.416363636363648</v>
      </c>
      <c r="I15" s="2440">
        <v>54.90636363636365</v>
      </c>
    </row>
    <row r="16" spans="1:15" ht="16.5" hidden="1" customHeight="1" x14ac:dyDescent="0.3">
      <c r="A16" s="2458" t="s">
        <v>61</v>
      </c>
      <c r="B16" s="2442">
        <v>95.03048510379233</v>
      </c>
      <c r="C16" s="2443">
        <v>99.528738267089167</v>
      </c>
      <c r="D16" s="2439">
        <v>89.879951094168973</v>
      </c>
      <c r="E16" s="2439">
        <v>95.713456657632364</v>
      </c>
      <c r="F16" s="2439">
        <v>94.489707672285689</v>
      </c>
      <c r="G16" s="2444">
        <v>82.555654006274267</v>
      </c>
      <c r="H16" s="2439">
        <v>65.53857142857143</v>
      </c>
      <c r="I16" s="2440">
        <v>59.473333333333343</v>
      </c>
    </row>
    <row r="17" spans="1:12" ht="16.5" hidden="1" customHeight="1" x14ac:dyDescent="0.3">
      <c r="A17" s="2458" t="s">
        <v>2377</v>
      </c>
      <c r="B17" s="2442">
        <v>94.543206733493776</v>
      </c>
      <c r="C17" s="2443">
        <v>98.598568919135616</v>
      </c>
      <c r="D17" s="2439">
        <v>87.686881582278147</v>
      </c>
      <c r="E17" s="2439">
        <v>96.691486090394235</v>
      </c>
      <c r="F17" s="2439">
        <v>95.890160862452873</v>
      </c>
      <c r="G17" s="2444">
        <v>77.109703816954834</v>
      </c>
      <c r="H17" s="2439">
        <v>63.683181818181815</v>
      </c>
      <c r="I17" s="2440">
        <v>59.713181818181823</v>
      </c>
    </row>
    <row r="18" spans="1:12" ht="16.5" hidden="1" customHeight="1" x14ac:dyDescent="0.3">
      <c r="A18" s="2458" t="s">
        <v>2378</v>
      </c>
      <c r="B18" s="2442">
        <v>93.803221381518327</v>
      </c>
      <c r="C18" s="2443">
        <v>99.068860244383501</v>
      </c>
      <c r="D18" s="2439">
        <v>82.202326248459144</v>
      </c>
      <c r="E18" s="2439">
        <v>98.932390690446567</v>
      </c>
      <c r="F18" s="2439">
        <v>90.428707038694952</v>
      </c>
      <c r="G18" s="2444">
        <v>79.033789524338331</v>
      </c>
      <c r="H18" s="2439">
        <v>56.195652173913047</v>
      </c>
      <c r="I18" s="2440">
        <v>50.699565217391303</v>
      </c>
    </row>
    <row r="19" spans="1:12" ht="16.5" hidden="1" customHeight="1" x14ac:dyDescent="0.3">
      <c r="A19" s="2458" t="s">
        <v>58</v>
      </c>
      <c r="B19" s="2442">
        <v>89.564194169971188</v>
      </c>
      <c r="C19" s="2443">
        <v>99.166067371696641</v>
      </c>
      <c r="D19" s="2439">
        <v>79.949611644035997</v>
      </c>
      <c r="E19" s="2439">
        <v>91.866745177778995</v>
      </c>
      <c r="F19" s="2439">
        <v>82.294502330027612</v>
      </c>
      <c r="G19" s="2444">
        <v>71.153932533072478</v>
      </c>
      <c r="H19" s="2439">
        <v>48.195714285714288</v>
      </c>
      <c r="I19" s="2440">
        <v>42.909047619047634</v>
      </c>
    </row>
    <row r="20" spans="1:12" ht="16.5" hidden="1" customHeight="1" x14ac:dyDescent="0.3">
      <c r="A20" s="2458" t="s">
        <v>57</v>
      </c>
      <c r="B20" s="2442">
        <v>89.019701458323553</v>
      </c>
      <c r="C20" s="2443">
        <v>97.056796593982099</v>
      </c>
      <c r="D20" s="2439">
        <v>83.200134518210021</v>
      </c>
      <c r="E20" s="2439">
        <v>90.472275114142747</v>
      </c>
      <c r="F20" s="2439">
        <v>81.960558407288133</v>
      </c>
      <c r="G20" s="2444">
        <v>73.423078445288908</v>
      </c>
      <c r="H20" s="2439">
        <v>48.454999999999998</v>
      </c>
      <c r="I20" s="2440">
        <v>45.485454545454544</v>
      </c>
    </row>
    <row r="21" spans="1:12" ht="16.5" hidden="1" customHeight="1" x14ac:dyDescent="0.3">
      <c r="A21" s="2458" t="s">
        <v>56</v>
      </c>
      <c r="B21" s="2442">
        <v>90.369508685626712</v>
      </c>
      <c r="C21" s="2443">
        <v>92.422034374886067</v>
      </c>
      <c r="D21" s="2439">
        <v>88.020108299878004</v>
      </c>
      <c r="E21" s="2439">
        <v>91.704511550567929</v>
      </c>
      <c r="F21" s="2439">
        <v>87.75636591562882</v>
      </c>
      <c r="G21" s="2444">
        <v>86.071892506609643</v>
      </c>
      <c r="H21" s="2439">
        <v>49.389090909090903</v>
      </c>
      <c r="I21" s="2440">
        <v>46.387272727272723</v>
      </c>
    </row>
    <row r="22" spans="1:12" ht="16.5" hidden="1" customHeight="1" x14ac:dyDescent="0.3">
      <c r="A22" s="2458" t="s">
        <v>55</v>
      </c>
      <c r="B22" s="2442">
        <v>87.70669525008654</v>
      </c>
      <c r="C22" s="2443">
        <v>89.13583696007737</v>
      </c>
      <c r="D22" s="2439">
        <v>80.522904708255211</v>
      </c>
      <c r="E22" s="2439">
        <v>90.463188375843885</v>
      </c>
      <c r="F22" s="2439">
        <v>85.1293452289583</v>
      </c>
      <c r="G22" s="2444">
        <v>90.043835516588516</v>
      </c>
      <c r="H22" s="2439">
        <v>45.766190476190474</v>
      </c>
      <c r="I22" s="2440">
        <v>42.796190476190475</v>
      </c>
    </row>
    <row r="23" spans="1:12" ht="16.5" hidden="1" customHeight="1" x14ac:dyDescent="0.3">
      <c r="A23" s="2458" t="s">
        <v>54</v>
      </c>
      <c r="B23" s="2442">
        <v>87.061005732853573</v>
      </c>
      <c r="C23" s="2443">
        <v>86.984767030738809</v>
      </c>
      <c r="D23" s="2439">
        <v>80.989821014788873</v>
      </c>
      <c r="E23" s="2439">
        <v>89.443606420414014</v>
      </c>
      <c r="F23" s="2439">
        <v>86.681167644976867</v>
      </c>
      <c r="G23" s="2444">
        <v>90.628937603044349</v>
      </c>
      <c r="H23" s="2439">
        <v>38.620000000000005</v>
      </c>
      <c r="I23" s="2440">
        <v>37.170454545454547</v>
      </c>
    </row>
    <row r="24" spans="1:12" ht="16.5" hidden="1" customHeight="1" x14ac:dyDescent="0.3">
      <c r="A24" s="2456" t="s">
        <v>2379</v>
      </c>
      <c r="B24" s="2442">
        <v>84.861238424402572</v>
      </c>
      <c r="C24" s="2443">
        <v>84.180470472888416</v>
      </c>
      <c r="D24" s="2439">
        <v>79.374974504724236</v>
      </c>
      <c r="E24" s="2439">
        <v>87.552501129264982</v>
      </c>
      <c r="F24" s="2439">
        <v>85.290610110984275</v>
      </c>
      <c r="G24" s="2444">
        <v>86.949545636293365</v>
      </c>
      <c r="H24" s="2439">
        <v>31.925500000000007</v>
      </c>
      <c r="I24" s="2440">
        <v>31.77578947368421</v>
      </c>
      <c r="K24" s="2459"/>
    </row>
    <row r="25" spans="1:12" ht="16.5" hidden="1" customHeight="1" x14ac:dyDescent="0.3">
      <c r="A25" s="2458" t="s">
        <v>64</v>
      </c>
      <c r="B25" s="2442">
        <v>86.046383419250574</v>
      </c>
      <c r="C25" s="2443">
        <v>85.909110316022392</v>
      </c>
      <c r="D25" s="2439">
        <v>78.837762986629627</v>
      </c>
      <c r="E25" s="2439">
        <v>87.276150630224436</v>
      </c>
      <c r="F25" s="2439">
        <v>92.150990382891379</v>
      </c>
      <c r="G25" s="2444">
        <v>81.591538422519136</v>
      </c>
      <c r="H25" s="2439">
        <v>33.527142857142856</v>
      </c>
      <c r="I25" s="2440">
        <v>30.616500000000002</v>
      </c>
      <c r="K25" s="2459"/>
    </row>
    <row r="26" spans="1:12" ht="16.5" hidden="1" customHeight="1" x14ac:dyDescent="0.3">
      <c r="A26" s="2458" t="s">
        <v>63</v>
      </c>
      <c r="B26" s="2442">
        <v>87.422204943485895</v>
      </c>
      <c r="C26" s="2443">
        <v>86.103638666594165</v>
      </c>
      <c r="D26" s="2439">
        <v>76.669053290053725</v>
      </c>
      <c r="E26" s="2439">
        <v>86.45483322175123</v>
      </c>
      <c r="F26" s="2439">
        <v>97.342589275432474</v>
      </c>
      <c r="G26" s="2444">
        <v>95.537606549512546</v>
      </c>
      <c r="H26" s="2439">
        <v>39.790000000000006</v>
      </c>
      <c r="I26" s="2440">
        <v>37.960909090909098</v>
      </c>
      <c r="K26" s="2459"/>
    </row>
    <row r="27" spans="1:12" ht="16.5" hidden="1" customHeight="1" x14ac:dyDescent="0.3">
      <c r="A27" s="2458" t="s">
        <v>62</v>
      </c>
      <c r="B27" s="2442">
        <v>89.177346068696593</v>
      </c>
      <c r="C27" s="2443">
        <v>87.914618070061479</v>
      </c>
      <c r="D27" s="2439">
        <v>77.144105215297273</v>
      </c>
      <c r="E27" s="2439">
        <v>88.406768900646682</v>
      </c>
      <c r="F27" s="2439">
        <v>101.16915030167128</v>
      </c>
      <c r="G27" s="2444">
        <v>93.886943547915067</v>
      </c>
      <c r="H27" s="2439">
        <v>43.339523809523804</v>
      </c>
      <c r="I27" s="2440">
        <v>41.124761904761897</v>
      </c>
      <c r="K27" s="2459"/>
    </row>
    <row r="28" spans="1:12" ht="16.5" hidden="1" customHeight="1" x14ac:dyDescent="0.3">
      <c r="A28" s="2458" t="s">
        <v>61</v>
      </c>
      <c r="B28" s="2442">
        <v>90.583839418895238</v>
      </c>
      <c r="C28" s="2443">
        <v>90.155290564983176</v>
      </c>
      <c r="D28" s="2439">
        <v>72.703205370766142</v>
      </c>
      <c r="E28" s="2439">
        <v>91.094480819428142</v>
      </c>
      <c r="F28" s="2439">
        <v>99.555786617158802</v>
      </c>
      <c r="G28" s="2444">
        <v>104.84431258612649</v>
      </c>
      <c r="H28" s="2439">
        <v>47.646818181818183</v>
      </c>
      <c r="I28" s="2440">
        <v>46.796666666666681</v>
      </c>
      <c r="K28" s="2459"/>
    </row>
    <row r="29" spans="1:12" ht="16.5" hidden="1" customHeight="1" x14ac:dyDescent="0.3">
      <c r="A29" s="2458" t="s">
        <v>60</v>
      </c>
      <c r="B29" s="2442">
        <v>93.836059260597139</v>
      </c>
      <c r="C29" s="2443">
        <v>94.280354071548032</v>
      </c>
      <c r="D29" s="2439">
        <v>73.906845589024499</v>
      </c>
      <c r="E29" s="2439">
        <v>94.142947399951424</v>
      </c>
      <c r="F29" s="2439">
        <v>97.926952570184397</v>
      </c>
      <c r="G29" s="2444">
        <v>120.37631531588167</v>
      </c>
      <c r="H29" s="2439">
        <v>49.927272727272722</v>
      </c>
      <c r="I29" s="2440">
        <v>48.853181818181831</v>
      </c>
      <c r="K29" s="2459"/>
    </row>
    <row r="30" spans="1:12" ht="16.5" hidden="1" customHeight="1" x14ac:dyDescent="0.3">
      <c r="A30" s="2458" t="s">
        <v>59</v>
      </c>
      <c r="B30" s="2442">
        <v>92.973172589459068</v>
      </c>
      <c r="C30" s="2443">
        <v>95.312510792645057</v>
      </c>
      <c r="D30" s="2439">
        <v>76.015437781568863</v>
      </c>
      <c r="E30" s="2439">
        <v>90.396154527169173</v>
      </c>
      <c r="F30" s="2439">
        <v>94.902510712477877</v>
      </c>
      <c r="G30" s="2444">
        <v>121.56138815445183</v>
      </c>
      <c r="H30" s="2439">
        <v>46.534761904761908</v>
      </c>
      <c r="I30" s="2440">
        <v>44.799500000000009</v>
      </c>
      <c r="K30" s="2459"/>
    </row>
    <row r="31" spans="1:12" ht="16.5" hidden="1" customHeight="1" x14ac:dyDescent="0.3">
      <c r="A31" s="2458" t="s">
        <v>58</v>
      </c>
      <c r="B31" s="2442">
        <v>95.294724328825737</v>
      </c>
      <c r="C31" s="2443">
        <v>96.418496858283291</v>
      </c>
      <c r="D31" s="2439">
        <v>81.81047883090352</v>
      </c>
      <c r="E31" s="2439">
        <v>89.285637533968412</v>
      </c>
      <c r="F31" s="2439">
        <v>102.38612076617063</v>
      </c>
      <c r="G31" s="2444">
        <v>124.56803852012494</v>
      </c>
      <c r="H31" s="2439">
        <v>47.159130434782604</v>
      </c>
      <c r="I31" s="2440">
        <v>44.799130434782612</v>
      </c>
      <c r="K31" s="2459"/>
      <c r="L31" s="2460"/>
    </row>
    <row r="32" spans="1:12" ht="16.5" hidden="1" customHeight="1" x14ac:dyDescent="0.3">
      <c r="A32" s="2458" t="s">
        <v>57</v>
      </c>
      <c r="B32" s="2442">
        <v>96.086100431050951</v>
      </c>
      <c r="C32" s="2443">
        <v>94.859589278644492</v>
      </c>
      <c r="D32" s="2439">
        <v>90.854792625520929</v>
      </c>
      <c r="E32" s="2439">
        <v>86.265227171628979</v>
      </c>
      <c r="F32" s="2439">
        <v>104.31961997069597</v>
      </c>
      <c r="G32" s="2444">
        <v>132.92506727587858</v>
      </c>
      <c r="H32" s="2439">
        <v>47.240454545454547</v>
      </c>
      <c r="I32" s="2440">
        <v>45.225714285714282</v>
      </c>
      <c r="K32" s="2459"/>
    </row>
    <row r="33" spans="1:11" ht="16.5" hidden="1" customHeight="1" x14ac:dyDescent="0.3">
      <c r="A33" s="2458" t="s">
        <v>56</v>
      </c>
      <c r="B33" s="2442">
        <v>95.92635654867054</v>
      </c>
      <c r="C33" s="2443">
        <v>93.023995300834756</v>
      </c>
      <c r="D33" s="2439">
        <v>93.758542410317389</v>
      </c>
      <c r="E33" s="2439">
        <v>86.721956222637445</v>
      </c>
      <c r="F33" s="2439">
        <v>101.84684494925058</v>
      </c>
      <c r="G33" s="2444">
        <v>137.51024228031591</v>
      </c>
      <c r="H33" s="2439">
        <v>51.38761904761904</v>
      </c>
      <c r="I33" s="2440">
        <v>49.94</v>
      </c>
      <c r="K33" s="2459"/>
    </row>
    <row r="34" spans="1:11" ht="16.5" hidden="1" customHeight="1" x14ac:dyDescent="0.3">
      <c r="A34" s="2458" t="s">
        <v>55</v>
      </c>
      <c r="B34" s="2442">
        <v>95.799278617425657</v>
      </c>
      <c r="C34" s="2443">
        <v>93.444771371056646</v>
      </c>
      <c r="D34" s="2439">
        <v>94.50275198026003</v>
      </c>
      <c r="E34" s="2439">
        <v>85.955750361676053</v>
      </c>
      <c r="F34" s="2439">
        <v>106.16112417903776</v>
      </c>
      <c r="G34" s="2444">
        <v>125.22591145554421</v>
      </c>
      <c r="H34" s="2439">
        <v>47.078636363636363</v>
      </c>
      <c r="I34" s="2440">
        <v>45.764285714285712</v>
      </c>
      <c r="K34" s="2459"/>
    </row>
    <row r="35" spans="1:11" ht="16.5" hidden="1" customHeight="1" x14ac:dyDescent="0.3">
      <c r="A35" s="2458" t="s">
        <v>54</v>
      </c>
      <c r="B35" s="2442">
        <v>95.086356945122645</v>
      </c>
      <c r="C35" s="2443">
        <v>90.650989125366564</v>
      </c>
      <c r="D35" s="2439">
        <v>96.201970549218998</v>
      </c>
      <c r="E35" s="2439">
        <v>86.147060754480734</v>
      </c>
      <c r="F35" s="2439">
        <v>110.25943394730359</v>
      </c>
      <c r="G35" s="2444">
        <v>114.50419702032156</v>
      </c>
      <c r="H35" s="2439">
        <v>54.916190476190479</v>
      </c>
      <c r="I35" s="2440">
        <v>52.165714285714287</v>
      </c>
      <c r="K35" s="2459"/>
    </row>
    <row r="36" spans="1:11" ht="16.5" hidden="1" customHeight="1" x14ac:dyDescent="0.3">
      <c r="A36" s="2456" t="s">
        <v>2380</v>
      </c>
      <c r="B36" s="2442">
        <v>97.702430562659785</v>
      </c>
      <c r="C36" s="2443">
        <v>91.946003695556314</v>
      </c>
      <c r="D36" s="2439">
        <v>98.550196510138747</v>
      </c>
      <c r="E36" s="2439">
        <v>88.677459448879688</v>
      </c>
      <c r="F36" s="2439">
        <v>112.19223957079653</v>
      </c>
      <c r="G36" s="2444">
        <v>125.82856124651597</v>
      </c>
      <c r="H36" s="2439">
        <v>55.44761904761905</v>
      </c>
      <c r="I36" s="2440">
        <v>52.597142857142856</v>
      </c>
      <c r="K36" s="2459"/>
    </row>
    <row r="37" spans="1:11" ht="16.5" hidden="1" customHeight="1" x14ac:dyDescent="0.3">
      <c r="A37" s="2458" t="s">
        <v>64</v>
      </c>
      <c r="B37" s="2442">
        <v>98.119069876432334</v>
      </c>
      <c r="C37" s="2443">
        <v>93.934315063350809</v>
      </c>
      <c r="D37" s="2439">
        <v>99.226374555086807</v>
      </c>
      <c r="E37" s="2439">
        <v>90.00176911365989</v>
      </c>
      <c r="F37" s="2439">
        <v>107.96932456157167</v>
      </c>
      <c r="G37" s="2444">
        <v>125.55390618285554</v>
      </c>
      <c r="H37" s="2439">
        <v>55.996500000000005</v>
      </c>
      <c r="I37" s="2440">
        <v>53.459000000000003</v>
      </c>
      <c r="K37" s="2459"/>
    </row>
    <row r="38" spans="1:11" ht="16.5" hidden="1" customHeight="1" x14ac:dyDescent="0.3">
      <c r="A38" s="2458" t="s">
        <v>63</v>
      </c>
      <c r="B38" s="2442">
        <v>96.240328157749403</v>
      </c>
      <c r="C38" s="2443">
        <v>95.653763532519534</v>
      </c>
      <c r="D38" s="2439">
        <v>100.62623876255081</v>
      </c>
      <c r="E38" s="2439">
        <v>87.865506300732761</v>
      </c>
      <c r="F38" s="2439">
        <v>101.59094864227815</v>
      </c>
      <c r="G38" s="2444">
        <v>111.88414069776731</v>
      </c>
      <c r="H38" s="2439">
        <v>52.538695652173907</v>
      </c>
      <c r="I38" s="2440">
        <v>49.673913043478258</v>
      </c>
      <c r="K38" s="2459"/>
    </row>
    <row r="39" spans="1:11" ht="16.5" hidden="1" customHeight="1" x14ac:dyDescent="0.3">
      <c r="A39" s="2458" t="s">
        <v>62</v>
      </c>
      <c r="B39" s="2442">
        <v>95.136271435286886</v>
      </c>
      <c r="C39" s="2443">
        <v>97.585565258764902</v>
      </c>
      <c r="D39" s="2439">
        <v>100.04438119803854</v>
      </c>
      <c r="E39" s="2439">
        <v>86.899854534050533</v>
      </c>
      <c r="F39" s="2439">
        <v>97.577791057315196</v>
      </c>
      <c r="G39" s="2444">
        <v>101.74025126410416</v>
      </c>
      <c r="H39" s="2439">
        <v>53.922499999999999</v>
      </c>
      <c r="I39" s="2440">
        <v>51.242500000000007</v>
      </c>
      <c r="K39" s="2459"/>
    </row>
    <row r="40" spans="1:11" ht="16.5" hidden="1" customHeight="1" x14ac:dyDescent="0.3">
      <c r="A40" s="2458" t="s">
        <v>61</v>
      </c>
      <c r="B40" s="2442">
        <v>97.399869830618243</v>
      </c>
      <c r="C40" s="2443">
        <v>99.459106188799808</v>
      </c>
      <c r="D40" s="2439">
        <v>104.83069988541726</v>
      </c>
      <c r="E40" s="2439">
        <v>88.293203624132843</v>
      </c>
      <c r="F40" s="2439">
        <v>101.96249000198183</v>
      </c>
      <c r="G40" s="2444">
        <v>99.394216936680394</v>
      </c>
      <c r="H40" s="2439">
        <v>51.410000000000004</v>
      </c>
      <c r="I40" s="2440">
        <v>48.611739130434778</v>
      </c>
      <c r="K40" s="2459"/>
    </row>
    <row r="41" spans="1:11" ht="16.5" hidden="1" customHeight="1" x14ac:dyDescent="0.3">
      <c r="A41" s="2458" t="s">
        <v>60</v>
      </c>
      <c r="B41" s="2442">
        <v>97.966066966256307</v>
      </c>
      <c r="C41" s="2443">
        <v>100.6855710196529</v>
      </c>
      <c r="D41" s="2439">
        <v>109.65622669130484</v>
      </c>
      <c r="E41" s="2439">
        <v>92.359899722035323</v>
      </c>
      <c r="F41" s="2439">
        <v>97.4725676008091</v>
      </c>
      <c r="G41" s="2444">
        <v>86.026884653805354</v>
      </c>
      <c r="H41" s="2439">
        <v>47.592272727272729</v>
      </c>
      <c r="I41" s="2440">
        <v>45.208636363636352</v>
      </c>
      <c r="K41" s="2459"/>
    </row>
    <row r="42" spans="1:11" ht="16.5" hidden="1" customHeight="1" x14ac:dyDescent="0.3">
      <c r="A42" s="2458" t="s">
        <v>59</v>
      </c>
      <c r="B42" s="2442">
        <v>100.23240520288037</v>
      </c>
      <c r="C42" s="2443">
        <v>101.19215049416724</v>
      </c>
      <c r="D42" s="2439">
        <v>113.89555698485401</v>
      </c>
      <c r="E42" s="2439">
        <v>96.936320265839328</v>
      </c>
      <c r="F42" s="2439">
        <v>96.659211957044363</v>
      </c>
      <c r="G42" s="2444">
        <v>90.488823870802392</v>
      </c>
      <c r="H42" s="2439">
        <v>49.148571428571437</v>
      </c>
      <c r="I42" s="2440">
        <v>46.69380952380952</v>
      </c>
      <c r="K42" s="2459"/>
    </row>
    <row r="43" spans="1:11" ht="16.5" hidden="1" customHeight="1" x14ac:dyDescent="0.3">
      <c r="A43" s="2458" t="s">
        <v>58</v>
      </c>
      <c r="B43" s="2442">
        <v>99.338330224025697</v>
      </c>
      <c r="C43" s="2443">
        <v>100.34731104316261</v>
      </c>
      <c r="D43" s="2439">
        <v>116.89348826725157</v>
      </c>
      <c r="E43" s="2439">
        <v>92.299675862489011</v>
      </c>
      <c r="F43" s="2439">
        <v>99.161455063974728</v>
      </c>
      <c r="G43" s="2444">
        <v>88.92181909912496</v>
      </c>
      <c r="H43" s="2439">
        <v>51.87</v>
      </c>
      <c r="I43" s="2440">
        <v>48.057826086956517</v>
      </c>
      <c r="K43" s="2459"/>
    </row>
    <row r="44" spans="1:11" ht="16.5" hidden="1" customHeight="1" x14ac:dyDescent="0.3">
      <c r="A44" s="2458" t="s">
        <v>57</v>
      </c>
      <c r="B44" s="2442">
        <v>99.887133315590205</v>
      </c>
      <c r="C44" s="2443">
        <v>99.154653516088771</v>
      </c>
      <c r="D44" s="2439">
        <v>118.3996848364948</v>
      </c>
      <c r="E44" s="2439">
        <v>92.116886665132711</v>
      </c>
      <c r="F44" s="2439">
        <v>103.8349663885392</v>
      </c>
      <c r="G44" s="2444">
        <v>89.041874983921474</v>
      </c>
      <c r="H44" s="2439">
        <v>55.514761904761912</v>
      </c>
      <c r="I44" s="2440">
        <v>49.754285714285707</v>
      </c>
      <c r="K44" s="2459"/>
    </row>
    <row r="45" spans="1:11" ht="16.5" hidden="1" customHeight="1" x14ac:dyDescent="0.3">
      <c r="A45" s="2458" t="s">
        <v>56</v>
      </c>
      <c r="B45" s="2442">
        <v>98.912132230578692</v>
      </c>
      <c r="C45" s="2443">
        <v>98.434613107030998</v>
      </c>
      <c r="D45" s="2439">
        <v>115.36784623317698</v>
      </c>
      <c r="E45" s="2439">
        <v>91.790347403950776</v>
      </c>
      <c r="F45" s="2439">
        <v>102.67675103271957</v>
      </c>
      <c r="G45" s="2444">
        <v>88.730168812863212</v>
      </c>
      <c r="H45" s="2439">
        <v>57.649090909090916</v>
      </c>
      <c r="I45" s="2440">
        <v>51.594545454545461</v>
      </c>
      <c r="K45" s="2459"/>
    </row>
    <row r="46" spans="1:11" ht="16.5" hidden="1" customHeight="1" x14ac:dyDescent="0.3">
      <c r="A46" s="2458" t="s">
        <v>55</v>
      </c>
      <c r="B46" s="2442">
        <v>98.934208584369813</v>
      </c>
      <c r="C46" s="2443">
        <v>98.429554097008278</v>
      </c>
      <c r="D46" s="2439">
        <v>111.37473962746373</v>
      </c>
      <c r="E46" s="2439">
        <v>92.149776424047133</v>
      </c>
      <c r="F46" s="2439">
        <v>103.85290409282149</v>
      </c>
      <c r="G46" s="2444">
        <v>92.747119675646346</v>
      </c>
      <c r="H46" s="2439">
        <v>62.865909090909078</v>
      </c>
      <c r="I46" s="2440">
        <v>56.662857142857149</v>
      </c>
      <c r="K46" s="2459"/>
    </row>
    <row r="47" spans="1:11" ht="16.5" hidden="1" customHeight="1" x14ac:dyDescent="0.3">
      <c r="A47" s="2458" t="s">
        <v>54</v>
      </c>
      <c r="B47" s="2442">
        <v>96.406066018554256</v>
      </c>
      <c r="C47" s="2443">
        <v>96.08213693247319</v>
      </c>
      <c r="D47" s="2439">
        <v>107.26983272870129</v>
      </c>
      <c r="E47" s="2439">
        <v>92.420460157659861</v>
      </c>
      <c r="F47" s="2439">
        <v>97.963060143387565</v>
      </c>
      <c r="G47" s="2444">
        <v>88.988682667407843</v>
      </c>
      <c r="H47" s="2448">
        <v>64.092000000000013</v>
      </c>
      <c r="I47" s="2450">
        <v>57.947000000000003</v>
      </c>
      <c r="K47" s="2459"/>
    </row>
    <row r="48" spans="1:11" ht="16.5" x14ac:dyDescent="0.3">
      <c r="A48" s="2456" t="s">
        <v>2381</v>
      </c>
      <c r="B48" s="2442">
        <v>96.80294729738273</v>
      </c>
      <c r="C48" s="2443">
        <v>95.633507302811779</v>
      </c>
      <c r="D48" s="2439">
        <v>105.9981439767852</v>
      </c>
      <c r="E48" s="2439">
        <v>95.201985782717088</v>
      </c>
      <c r="F48" s="2439">
        <v>98.251502845189293</v>
      </c>
      <c r="G48" s="2444">
        <v>87.197088826716978</v>
      </c>
      <c r="H48" s="2439">
        <v>69.099999999999994</v>
      </c>
      <c r="I48" s="2440">
        <v>63.7</v>
      </c>
      <c r="K48" s="2459"/>
    </row>
    <row r="49" spans="1:11" ht="16.5" x14ac:dyDescent="0.3">
      <c r="A49" s="2458" t="s">
        <v>2382</v>
      </c>
      <c r="B49" s="2442">
        <v>97.875309196410214</v>
      </c>
      <c r="C49" s="2443">
        <v>96.963194826802052</v>
      </c>
      <c r="D49" s="2439">
        <v>108.75719204638173</v>
      </c>
      <c r="E49" s="2439">
        <v>98.370589198520236</v>
      </c>
      <c r="F49" s="2439">
        <v>95.600570005736486</v>
      </c>
      <c r="G49" s="2444">
        <v>83.92642442324501</v>
      </c>
      <c r="H49" s="2439">
        <v>65.7</v>
      </c>
      <c r="I49" s="2440">
        <v>62.2</v>
      </c>
      <c r="K49" s="2459"/>
    </row>
    <row r="50" spans="1:11" ht="16.5" x14ac:dyDescent="0.3">
      <c r="A50" s="2458" t="s">
        <v>2383</v>
      </c>
      <c r="B50" s="2442">
        <v>99.042066242010378</v>
      </c>
      <c r="C50" s="2443">
        <v>97.189815257828272</v>
      </c>
      <c r="D50" s="2439">
        <v>111.29318739172871</v>
      </c>
      <c r="E50" s="2439">
        <v>101.79591759151948</v>
      </c>
      <c r="F50" s="2439">
        <v>95.355118810778166</v>
      </c>
      <c r="G50" s="2444">
        <v>80.911259955603157</v>
      </c>
      <c r="H50" s="2439">
        <v>66.7</v>
      </c>
      <c r="I50" s="2440">
        <v>62.8</v>
      </c>
      <c r="K50" s="2459"/>
    </row>
    <row r="51" spans="1:11" ht="16.5" x14ac:dyDescent="0.3">
      <c r="A51" s="2458" t="s">
        <v>2384</v>
      </c>
      <c r="B51" s="2442">
        <v>98.557991831499152</v>
      </c>
      <c r="C51" s="2443">
        <v>95.939066644655568</v>
      </c>
      <c r="D51" s="2439">
        <v>109.98831258037268</v>
      </c>
      <c r="E51" s="2439">
        <v>103.96855066010924</v>
      </c>
      <c r="F51" s="2439">
        <v>94.02173460749944</v>
      </c>
      <c r="G51" s="2444">
        <v>76.820903428127266</v>
      </c>
      <c r="H51" s="2439">
        <v>71.8</v>
      </c>
      <c r="I51" s="2440">
        <v>66.3</v>
      </c>
      <c r="K51" s="2459"/>
    </row>
    <row r="52" spans="1:11" ht="16.5" x14ac:dyDescent="0.3">
      <c r="A52" s="2458" t="s">
        <v>2385</v>
      </c>
      <c r="B52" s="2442">
        <v>98.672771594809703</v>
      </c>
      <c r="C52" s="2443">
        <v>95.340978053509915</v>
      </c>
      <c r="D52" s="2439">
        <v>111.41927912242879</v>
      </c>
      <c r="E52" s="2439">
        <v>105.53072660161993</v>
      </c>
      <c r="F52" s="2439">
        <v>92.15273546590474</v>
      </c>
      <c r="G52" s="2444">
        <v>76.445837988091498</v>
      </c>
      <c r="H52" s="2439">
        <v>77</v>
      </c>
      <c r="I52" s="2440">
        <v>70</v>
      </c>
      <c r="K52" s="2459"/>
    </row>
    <row r="53" spans="1:11" ht="16.5" x14ac:dyDescent="0.3">
      <c r="A53" s="2458" t="s">
        <v>2386</v>
      </c>
      <c r="B53" s="2442">
        <v>96.950991723958538</v>
      </c>
      <c r="C53" s="2443">
        <v>95.086631380951744</v>
      </c>
      <c r="D53" s="2439">
        <v>112.28056405223711</v>
      </c>
      <c r="E53" s="2439">
        <v>100.84742403119311</v>
      </c>
      <c r="F53" s="2439">
        <v>89.33342531886494</v>
      </c>
      <c r="G53" s="2444">
        <v>77.366087835607857</v>
      </c>
      <c r="H53" s="2439">
        <v>76</v>
      </c>
      <c r="I53" s="2440">
        <v>67.400000000000006</v>
      </c>
      <c r="K53" s="2459"/>
    </row>
    <row r="54" spans="1:11" ht="16.5" x14ac:dyDescent="0.3">
      <c r="A54" s="2458" t="s">
        <v>2387</v>
      </c>
      <c r="B54" s="2442">
        <v>95.135179101762546</v>
      </c>
      <c r="C54" s="2443">
        <v>94.638475060326158</v>
      </c>
      <c r="D54" s="2439">
        <v>110.12866170010003</v>
      </c>
      <c r="E54" s="2439">
        <v>98.720363012700375</v>
      </c>
      <c r="F54" s="2439">
        <v>86.899507388114245</v>
      </c>
      <c r="G54" s="2444">
        <v>72.504837876915616</v>
      </c>
      <c r="H54" s="2439">
        <v>75</v>
      </c>
      <c r="I54" s="2440">
        <v>70.599999999999994</v>
      </c>
      <c r="K54" s="2459"/>
    </row>
    <row r="55" spans="1:11" ht="16.5" x14ac:dyDescent="0.3">
      <c r="A55" s="2458" t="s">
        <v>2388</v>
      </c>
      <c r="B55" s="2442">
        <v>95.969576183922669</v>
      </c>
      <c r="C55" s="2443">
        <v>95.775839361968323</v>
      </c>
      <c r="D55" s="2439">
        <v>108.45795268764054</v>
      </c>
      <c r="E55" s="2439">
        <v>103.48886174661912</v>
      </c>
      <c r="F55" s="2439">
        <v>84.430173088007948</v>
      </c>
      <c r="G55" s="2444">
        <v>68.604442676421868</v>
      </c>
      <c r="H55" s="2439">
        <v>73.8</v>
      </c>
      <c r="I55" s="2440">
        <v>67.8</v>
      </c>
      <c r="K55" s="2459"/>
    </row>
    <row r="56" spans="1:11" ht="16.5" x14ac:dyDescent="0.3">
      <c r="A56" s="2458" t="s">
        <v>2389</v>
      </c>
      <c r="B56" s="2442">
        <v>94.239430408790298</v>
      </c>
      <c r="C56" s="2443">
        <v>94.053200348994991</v>
      </c>
      <c r="D56" s="2439">
        <v>108.29185856578289</v>
      </c>
      <c r="E56" s="2439">
        <v>100.34309937845282</v>
      </c>
      <c r="F56" s="2439">
        <v>82.334243653211857</v>
      </c>
      <c r="G56" s="2444">
        <v>70.376529037432604</v>
      </c>
      <c r="H56" s="2439">
        <v>79.099999999999994</v>
      </c>
      <c r="I56" s="2440">
        <v>70.099999999999994</v>
      </c>
      <c r="K56" s="2459"/>
    </row>
    <row r="57" spans="1:11" ht="16.5" customHeight="1" x14ac:dyDescent="0.3">
      <c r="A57" s="2458" t="s">
        <v>2390</v>
      </c>
      <c r="B57" s="2442">
        <v>93.3088521554686</v>
      </c>
      <c r="C57" s="2443">
        <v>92.317496723969398</v>
      </c>
      <c r="D57" s="2439">
        <v>102.80372644944049</v>
      </c>
      <c r="E57" s="2439">
        <v>100.8706729953394</v>
      </c>
      <c r="F57" s="2439">
        <v>81.327988691397806</v>
      </c>
      <c r="G57" s="2444">
        <v>76.5001287105367</v>
      </c>
      <c r="H57" s="2439">
        <v>80.599999999999994</v>
      </c>
      <c r="I57" s="2440">
        <v>70.8</v>
      </c>
      <c r="K57" s="2459"/>
    </row>
    <row r="58" spans="1:11" ht="16.5" customHeight="1" x14ac:dyDescent="0.3">
      <c r="A58" s="2458" t="s">
        <v>2391</v>
      </c>
      <c r="B58" s="2442">
        <v>92.195534253777666</v>
      </c>
      <c r="C58" s="2439">
        <v>92.888979230095927</v>
      </c>
      <c r="D58" s="2439">
        <v>99.993134762227712</v>
      </c>
      <c r="E58" s="2439">
        <v>99.633730807968874</v>
      </c>
      <c r="F58" s="2439">
        <v>76.590597137041485</v>
      </c>
      <c r="G58" s="2444">
        <v>79.860808819617247</v>
      </c>
      <c r="H58" s="2439">
        <v>65.949090909090899</v>
      </c>
      <c r="I58" s="2440">
        <v>56.693333333333328</v>
      </c>
      <c r="K58" s="2459"/>
    </row>
    <row r="59" spans="1:11" ht="16.5" customHeight="1" x14ac:dyDescent="0.3">
      <c r="A59" s="2461" t="s">
        <v>2392</v>
      </c>
      <c r="B59" s="2446">
        <v>92.249603458964941</v>
      </c>
      <c r="C59" s="2448">
        <v>92.893870858958195</v>
      </c>
      <c r="D59" s="2448">
        <v>97.848237063436017</v>
      </c>
      <c r="E59" s="2448">
        <v>101.09604143136238</v>
      </c>
      <c r="F59" s="2448">
        <v>76.835327259971109</v>
      </c>
      <c r="G59" s="2449">
        <v>78.310288290509348</v>
      </c>
      <c r="H59" s="2448">
        <v>57.9</v>
      </c>
      <c r="I59" s="2450">
        <v>49</v>
      </c>
      <c r="K59" s="2459"/>
    </row>
    <row r="60" spans="1:11" ht="16.5" customHeight="1" x14ac:dyDescent="0.3">
      <c r="A60" s="2462" t="s">
        <v>2393</v>
      </c>
      <c r="B60" s="2463">
        <v>93.315060319903296</v>
      </c>
      <c r="C60" s="2454">
        <v>92.269885642397369</v>
      </c>
      <c r="D60" s="2454">
        <v>100.94697874526999</v>
      </c>
      <c r="E60" s="2454">
        <v>101.769971649526</v>
      </c>
      <c r="F60" s="2454">
        <v>80.257987593884636</v>
      </c>
      <c r="G60" s="2455">
        <v>79.343218512367869</v>
      </c>
      <c r="H60" s="2454">
        <v>60.240909090909106</v>
      </c>
      <c r="I60" s="2464">
        <v>51.6</v>
      </c>
      <c r="K60" s="2459"/>
    </row>
    <row r="61" spans="1:11" ht="16.5" customHeight="1" x14ac:dyDescent="0.3">
      <c r="A61" s="2458" t="s">
        <v>2382</v>
      </c>
      <c r="B61" s="2442">
        <v>94.009827246068099</v>
      </c>
      <c r="C61" s="2439">
        <v>93.094618341419732</v>
      </c>
      <c r="D61" s="2439">
        <v>103.76428954168858</v>
      </c>
      <c r="E61" s="2439">
        <v>100.73740852889011</v>
      </c>
      <c r="F61" s="2439">
        <v>81.784163543977044</v>
      </c>
      <c r="G61" s="2444">
        <v>80.309199553179994</v>
      </c>
      <c r="H61" s="2439">
        <v>64.431500000000014</v>
      </c>
      <c r="I61" s="2440">
        <v>54.980526315789483</v>
      </c>
      <c r="K61" s="2459"/>
    </row>
    <row r="62" spans="1:11" ht="16.5" customHeight="1" x14ac:dyDescent="0.3">
      <c r="A62" s="2458" t="s">
        <v>63</v>
      </c>
      <c r="B62" s="2442">
        <v>93.158414966533911</v>
      </c>
      <c r="C62" s="2439">
        <v>94.578073710419162</v>
      </c>
      <c r="D62" s="2439">
        <v>105.64753411964494</v>
      </c>
      <c r="E62" s="2439">
        <v>97.512553197334768</v>
      </c>
      <c r="F62" s="2439">
        <v>78.414045592467389</v>
      </c>
      <c r="G62" s="2444">
        <v>78.662742642588682</v>
      </c>
      <c r="H62" s="2439">
        <v>67</v>
      </c>
      <c r="I62" s="2440">
        <v>58.2</v>
      </c>
      <c r="K62" s="2459"/>
    </row>
    <row r="63" spans="1:11" ht="16.5" customHeight="1" x14ac:dyDescent="0.3">
      <c r="A63" s="2458" t="s">
        <v>62</v>
      </c>
      <c r="B63" s="2442">
        <v>93.611370171862163</v>
      </c>
      <c r="C63" s="2439">
        <v>97.755725650011271</v>
      </c>
      <c r="D63" s="2439">
        <v>106.12800621022762</v>
      </c>
      <c r="E63" s="2439">
        <v>94.63380322270018</v>
      </c>
      <c r="F63" s="2439">
        <v>79.112100445346954</v>
      </c>
      <c r="G63" s="2444">
        <v>79.25601579755957</v>
      </c>
      <c r="H63" s="2439">
        <v>71.599999999999994</v>
      </c>
      <c r="I63" s="2440">
        <v>63.9</v>
      </c>
      <c r="K63" s="2459"/>
    </row>
    <row r="64" spans="1:11" ht="16.5" customHeight="1" x14ac:dyDescent="0.3">
      <c r="A64" s="2458" t="s">
        <v>61</v>
      </c>
      <c r="B64" s="2442">
        <v>94.267664257664137</v>
      </c>
      <c r="C64" s="2439">
        <v>100.53532046660378</v>
      </c>
      <c r="D64" s="2439">
        <v>106.59284098950985</v>
      </c>
      <c r="E64" s="2439">
        <v>94.443598775325711</v>
      </c>
      <c r="F64" s="2439">
        <v>78.501477585442558</v>
      </c>
      <c r="G64" s="2444">
        <v>76.735576040519135</v>
      </c>
      <c r="H64" s="2439">
        <v>70.3</v>
      </c>
      <c r="I64" s="2440">
        <v>60.9</v>
      </c>
      <c r="K64" s="2459"/>
    </row>
    <row r="65" spans="1:11" ht="16.5" customHeight="1" x14ac:dyDescent="0.3">
      <c r="A65" s="2458" t="s">
        <v>60</v>
      </c>
      <c r="B65" s="2442">
        <v>95.404993031098414</v>
      </c>
      <c r="C65" s="2439">
        <v>101.23047904710467</v>
      </c>
      <c r="D65" s="2439">
        <v>102.89108444726023</v>
      </c>
      <c r="E65" s="2439">
        <v>99.190632428753688</v>
      </c>
      <c r="F65" s="2439">
        <v>77.461878594131946</v>
      </c>
      <c r="G65" s="2444">
        <v>79.944073347305149</v>
      </c>
      <c r="H65" s="2439">
        <v>63.038000000000011</v>
      </c>
      <c r="I65" s="2440">
        <v>54.706499999999991</v>
      </c>
      <c r="K65" s="2459"/>
    </row>
    <row r="66" spans="1:11" ht="16.5" customHeight="1" x14ac:dyDescent="0.3">
      <c r="A66" s="2458" t="s">
        <v>59</v>
      </c>
      <c r="B66" s="2442">
        <v>95.14701488199006</v>
      </c>
      <c r="C66" s="2439">
        <v>102.44213770947127</v>
      </c>
      <c r="D66" s="2439">
        <v>101.06421117773988</v>
      </c>
      <c r="E66" s="2439">
        <v>97.551396135423261</v>
      </c>
      <c r="F66" s="2439">
        <v>78.090334264361346</v>
      </c>
      <c r="G66" s="2444">
        <v>79.42907588374996</v>
      </c>
      <c r="H66" s="2439">
        <v>64.2</v>
      </c>
      <c r="I66" s="2440">
        <v>57.5</v>
      </c>
      <c r="K66" s="2459"/>
    </row>
    <row r="67" spans="1:11" ht="16.5" customHeight="1" x14ac:dyDescent="0.3">
      <c r="A67" s="2458" t="s">
        <v>58</v>
      </c>
      <c r="B67" s="2442">
        <v>94.084177362431817</v>
      </c>
      <c r="C67" s="2439">
        <v>102.27433753574138</v>
      </c>
      <c r="D67" s="2439">
        <v>100.29965212921627</v>
      </c>
      <c r="E67" s="2439">
        <v>92.625670313967277</v>
      </c>
      <c r="F67" s="2439">
        <v>82.589405487895689</v>
      </c>
      <c r="G67" s="2444">
        <v>76.229237696470847</v>
      </c>
      <c r="H67" s="2439">
        <v>59.50181818181818</v>
      </c>
      <c r="I67" s="2440">
        <v>54.844090909090909</v>
      </c>
      <c r="K67" s="2459"/>
    </row>
    <row r="68" spans="1:11" ht="16.5" customHeight="1" x14ac:dyDescent="0.3">
      <c r="A68" s="2458" t="s">
        <v>57</v>
      </c>
      <c r="B68" s="2442">
        <v>93.368634768546059</v>
      </c>
      <c r="C68" s="2439">
        <v>101.01671562781864</v>
      </c>
      <c r="D68" s="2439">
        <v>99.63812689323936</v>
      </c>
      <c r="E68" s="2439">
        <v>91.837315639660318</v>
      </c>
      <c r="F68" s="2439">
        <v>83.888305452944195</v>
      </c>
      <c r="G68" s="2444">
        <v>73.511486727583048</v>
      </c>
      <c r="H68" s="2439">
        <v>62.3</v>
      </c>
      <c r="I68" s="2440">
        <v>57</v>
      </c>
      <c r="K68" s="2459"/>
    </row>
    <row r="69" spans="1:11" ht="16.5" customHeight="1" x14ac:dyDescent="0.3">
      <c r="A69" s="2458" t="s">
        <v>56</v>
      </c>
      <c r="B69" s="2442">
        <v>95.247349769978584</v>
      </c>
      <c r="C69" s="2439">
        <v>101.55127368509457</v>
      </c>
      <c r="D69" s="2439">
        <v>100.8202231863725</v>
      </c>
      <c r="E69" s="2439">
        <v>95.977848012390751</v>
      </c>
      <c r="F69" s="2439">
        <v>84.109216733905328</v>
      </c>
      <c r="G69" s="2444">
        <v>77.771612782652738</v>
      </c>
      <c r="H69" s="2439">
        <v>59.6</v>
      </c>
      <c r="I69" s="2440">
        <v>54</v>
      </c>
      <c r="K69" s="2459"/>
    </row>
    <row r="70" spans="1:11" ht="16.5" customHeight="1" x14ac:dyDescent="0.3">
      <c r="A70" s="2458" t="s">
        <v>55</v>
      </c>
      <c r="B70" s="2442">
        <v>98.626175613962104</v>
      </c>
      <c r="C70" s="2439">
        <v>106.52632019552085</v>
      </c>
      <c r="D70" s="2439">
        <v>102.45348449740578</v>
      </c>
      <c r="E70" s="2439">
        <v>95.56910968357758</v>
      </c>
      <c r="F70" s="2439">
        <v>93.163737189297194</v>
      </c>
      <c r="G70" s="2444">
        <v>79.190245393610397</v>
      </c>
      <c r="H70" s="2439">
        <v>62.713809523809516</v>
      </c>
      <c r="I70" s="2440">
        <v>57.078500000000005</v>
      </c>
      <c r="K70" s="2459"/>
    </row>
    <row r="71" spans="1:11" ht="16.5" customHeight="1" x14ac:dyDescent="0.3">
      <c r="A71" s="2458" t="s">
        <v>54</v>
      </c>
      <c r="B71" s="2442">
        <v>101.00678467226496</v>
      </c>
      <c r="C71" s="2439">
        <v>106.64799397461408</v>
      </c>
      <c r="D71" s="2439">
        <v>103.54295239281635</v>
      </c>
      <c r="E71" s="2439">
        <v>97.397056956538506</v>
      </c>
      <c r="F71" s="2439">
        <v>101.49866149086115</v>
      </c>
      <c r="G71" s="2444">
        <v>82.997695417744993</v>
      </c>
      <c r="H71" s="2439">
        <v>65.2</v>
      </c>
      <c r="I71" s="2440">
        <v>59.8</v>
      </c>
      <c r="K71" s="2459"/>
    </row>
    <row r="72" spans="1:11" ht="16.5" customHeight="1" x14ac:dyDescent="0.3">
      <c r="A72" s="2462" t="s">
        <v>2394</v>
      </c>
      <c r="B72" s="2463">
        <v>102.5151015442658</v>
      </c>
      <c r="C72" s="2454">
        <v>103.61032570731609</v>
      </c>
      <c r="D72" s="2454">
        <v>103.84479393326944</v>
      </c>
      <c r="E72" s="2454">
        <v>100.68749721584591</v>
      </c>
      <c r="F72" s="2454">
        <v>108.7325264415225</v>
      </c>
      <c r="G72" s="2455">
        <v>87.540273704349701</v>
      </c>
      <c r="H72" s="2454">
        <v>63.672727272727279</v>
      </c>
      <c r="I72" s="2464">
        <v>57.528571428571425</v>
      </c>
      <c r="K72" s="2459"/>
    </row>
    <row r="73" spans="1:11" ht="16.5" customHeight="1" x14ac:dyDescent="0.3">
      <c r="A73" s="2458" t="s">
        <v>2395</v>
      </c>
      <c r="B73" s="2442">
        <v>99.418984683378341</v>
      </c>
      <c r="C73" s="2439">
        <v>100.46310728116576</v>
      </c>
      <c r="D73" s="2439">
        <v>102.85156430923657</v>
      </c>
      <c r="E73" s="2439">
        <v>99.576400085160031</v>
      </c>
      <c r="F73" s="2439">
        <v>97.55334488164273</v>
      </c>
      <c r="G73" s="2444">
        <v>91.448643122242501</v>
      </c>
      <c r="H73" s="2439">
        <v>55.477499999999999</v>
      </c>
      <c r="I73" s="2440">
        <v>50.542105263157893</v>
      </c>
      <c r="K73" s="2459"/>
    </row>
    <row r="74" spans="1:11" ht="16.5" customHeight="1" x14ac:dyDescent="0.3">
      <c r="A74" s="2458" t="s">
        <v>2396</v>
      </c>
      <c r="B74" s="2442">
        <v>95.177238817172721</v>
      </c>
      <c r="C74" s="2439">
        <v>99.425056572166582</v>
      </c>
      <c r="D74" s="2439">
        <v>101.52456298283946</v>
      </c>
      <c r="E74" s="2439">
        <v>98.023898152673468</v>
      </c>
      <c r="F74" s="2439">
        <v>85.424837034070194</v>
      </c>
      <c r="G74" s="2444">
        <v>73.944245269412903</v>
      </c>
      <c r="H74" s="2439">
        <v>34.252380952380953</v>
      </c>
      <c r="I74" s="2440">
        <v>30.92</v>
      </c>
      <c r="K74" s="2459"/>
    </row>
    <row r="75" spans="1:11" ht="16.5" customHeight="1" x14ac:dyDescent="0.3">
      <c r="A75" s="2458" t="s">
        <v>2397</v>
      </c>
      <c r="B75" s="2442">
        <v>92.526875587249066</v>
      </c>
      <c r="C75" s="2439">
        <v>96.90645774765845</v>
      </c>
      <c r="D75" s="2439">
        <v>95.753672393902946</v>
      </c>
      <c r="E75" s="2439">
        <v>99.647310462103192</v>
      </c>
      <c r="F75" s="2439">
        <v>81.177562917041087</v>
      </c>
      <c r="G75" s="2444">
        <v>63.179505470140441</v>
      </c>
      <c r="H75" s="2439">
        <v>26.631428571428565</v>
      </c>
      <c r="I75" s="2440">
        <v>16.699047619047612</v>
      </c>
      <c r="K75" s="2459"/>
    </row>
    <row r="76" spans="1:11" ht="16.5" customHeight="1" x14ac:dyDescent="0.3">
      <c r="A76" s="2458" t="s">
        <v>2398</v>
      </c>
      <c r="B76" s="2442">
        <v>91.135360588162669</v>
      </c>
      <c r="C76" s="2439">
        <v>95.415913237790804</v>
      </c>
      <c r="D76" s="2439">
        <v>94.425474409690707</v>
      </c>
      <c r="E76" s="2439">
        <v>98.018996990122133</v>
      </c>
      <c r="F76" s="2439">
        <v>77.768866824686242</v>
      </c>
      <c r="G76" s="2444">
        <v>67.84539991535118</v>
      </c>
      <c r="H76" s="2439">
        <v>32.411904761904758</v>
      </c>
      <c r="I76" s="2440">
        <v>28.527500000000003</v>
      </c>
      <c r="K76" s="2459"/>
    </row>
    <row r="77" spans="1:11" ht="16.5" customHeight="1" x14ac:dyDescent="0.3">
      <c r="A77" s="2458" t="s">
        <v>2399</v>
      </c>
      <c r="B77" s="2442">
        <v>93.255843352710514</v>
      </c>
      <c r="C77" s="2439">
        <v>94.816410370590745</v>
      </c>
      <c r="D77" s="2439">
        <v>98.3325915325089</v>
      </c>
      <c r="E77" s="2439">
        <v>97.309622228857322</v>
      </c>
      <c r="F77" s="2439">
        <v>86.613654144216156</v>
      </c>
      <c r="G77" s="2444">
        <v>74.940606610867945</v>
      </c>
      <c r="H77" s="2439">
        <v>40.786363636363632</v>
      </c>
      <c r="I77" s="2440">
        <v>38.322727272727278</v>
      </c>
      <c r="K77" s="2459"/>
    </row>
    <row r="78" spans="1:11" ht="16.5" customHeight="1" x14ac:dyDescent="0.3">
      <c r="A78" s="2458" t="s">
        <v>2400</v>
      </c>
      <c r="B78" s="2442">
        <v>94.041451710554767</v>
      </c>
      <c r="C78" s="2439">
        <v>92.227051045731287</v>
      </c>
      <c r="D78" s="2439">
        <v>101.78736378815815</v>
      </c>
      <c r="E78" s="2439">
        <v>97.273593427018767</v>
      </c>
      <c r="F78" s="2439">
        <v>93.200414775414998</v>
      </c>
      <c r="G78" s="2444">
        <v>76.011903581163168</v>
      </c>
      <c r="H78" s="2439">
        <v>43.222173913043477</v>
      </c>
      <c r="I78" s="2440">
        <v>40.765909090909084</v>
      </c>
      <c r="K78" s="2459"/>
    </row>
    <row r="79" spans="1:11" ht="16.5" customHeight="1" x14ac:dyDescent="0.3">
      <c r="A79" s="2458" t="s">
        <v>2401</v>
      </c>
      <c r="B79" s="2442">
        <v>95.915944445938479</v>
      </c>
      <c r="C79" s="2439">
        <v>92.203017520089801</v>
      </c>
      <c r="D79" s="2439">
        <v>102.10044538813383</v>
      </c>
      <c r="E79" s="2439">
        <v>99.217675954557421</v>
      </c>
      <c r="F79" s="2439">
        <v>98.7018285675736</v>
      </c>
      <c r="G79" s="2444">
        <v>81.093970405677709</v>
      </c>
      <c r="H79" s="2439">
        <v>45.047142857142859</v>
      </c>
      <c r="I79" s="2440">
        <v>42.40761904761905</v>
      </c>
      <c r="K79" s="2459"/>
    </row>
    <row r="80" spans="1:11" ht="16.5" customHeight="1" x14ac:dyDescent="0.3">
      <c r="A80" s="2458" t="s">
        <v>2389</v>
      </c>
      <c r="B80" s="2442">
        <v>98.011497887472643</v>
      </c>
      <c r="C80" s="2439">
        <v>91.474033292295033</v>
      </c>
      <c r="D80" s="2439">
        <v>102.31823969989316</v>
      </c>
      <c r="E80" s="2439">
        <v>104.32734445802772</v>
      </c>
      <c r="F80" s="2439">
        <v>104.59634357298087</v>
      </c>
      <c r="G80" s="2444">
        <v>78.960651763531359</v>
      </c>
      <c r="H80" s="2439">
        <v>41.697142857142865</v>
      </c>
      <c r="I80" s="2440">
        <v>39.457142857142856</v>
      </c>
      <c r="K80" s="2459"/>
    </row>
    <row r="81" spans="1:12" ht="16.5" customHeight="1" x14ac:dyDescent="0.3">
      <c r="A81" s="2458" t="s">
        <v>56</v>
      </c>
      <c r="B81" s="2442">
        <v>101.3763809972607</v>
      </c>
      <c r="C81" s="2439">
        <v>91.783443249046144</v>
      </c>
      <c r="D81" s="2439">
        <v>104.47993460818552</v>
      </c>
      <c r="E81" s="2439">
        <v>112.08834404740074</v>
      </c>
      <c r="F81" s="2439">
        <v>106.45024815209034</v>
      </c>
      <c r="G81" s="2444">
        <v>84.710404959279799</v>
      </c>
      <c r="H81" s="2439">
        <v>41.5</v>
      </c>
      <c r="I81" s="2440">
        <v>39.6</v>
      </c>
      <c r="K81" s="2459"/>
    </row>
    <row r="82" spans="1:12" ht="16.5" customHeight="1" x14ac:dyDescent="0.3">
      <c r="A82" s="2458" t="s">
        <v>55</v>
      </c>
      <c r="B82" s="2442">
        <v>105.58600130353233</v>
      </c>
      <c r="C82" s="2439">
        <v>93.31812057540094</v>
      </c>
      <c r="D82" s="2439">
        <v>105.3818860824795</v>
      </c>
      <c r="E82" s="2439">
        <v>114.843513602787</v>
      </c>
      <c r="F82" s="2439">
        <v>121.90345019300375</v>
      </c>
      <c r="G82" s="2444">
        <v>87.528177843908551</v>
      </c>
      <c r="H82" s="2439">
        <v>43.98</v>
      </c>
      <c r="I82" s="2440">
        <v>41.346500000000006</v>
      </c>
      <c r="K82" s="2459"/>
    </row>
    <row r="83" spans="1:12" ht="16.5" customHeight="1" x14ac:dyDescent="0.3">
      <c r="A83" s="2458" t="s">
        <v>54</v>
      </c>
      <c r="B83" s="2442">
        <v>108.59683960847201</v>
      </c>
      <c r="C83" s="2439">
        <v>94.845116190242663</v>
      </c>
      <c r="D83" s="2439">
        <v>109.18568486388526</v>
      </c>
      <c r="E83" s="2439">
        <v>116.38655041674583</v>
      </c>
      <c r="F83" s="2439">
        <v>131.19935065302769</v>
      </c>
      <c r="G83" s="2444">
        <v>87.140829010711613</v>
      </c>
      <c r="H83" s="2465">
        <v>50.218181818181826</v>
      </c>
      <c r="I83" s="2466">
        <v>47.06818181818182</v>
      </c>
      <c r="K83" s="2459"/>
    </row>
    <row r="84" spans="1:12" ht="16.5" customHeight="1" x14ac:dyDescent="0.3">
      <c r="A84" s="2462" t="s">
        <v>2402</v>
      </c>
      <c r="B84" s="2463">
        <v>113.5255331944346</v>
      </c>
      <c r="C84" s="2454">
        <v>95.96084762748599</v>
      </c>
      <c r="D84" s="2454">
        <v>111.24672261561082</v>
      </c>
      <c r="E84" s="2454">
        <v>125.00940824649972</v>
      </c>
      <c r="F84" s="2454">
        <v>138.87453836454819</v>
      </c>
      <c r="G84" s="2455">
        <v>94.159241057381038</v>
      </c>
      <c r="H84" s="2454">
        <v>55.3215</v>
      </c>
      <c r="I84" s="2464">
        <v>52.102105263157895</v>
      </c>
      <c r="K84" s="2459"/>
    </row>
    <row r="85" spans="1:12" ht="16.5" customHeight="1" x14ac:dyDescent="0.3">
      <c r="A85" s="2458" t="s">
        <v>64</v>
      </c>
      <c r="B85" s="2442">
        <v>116.57051072273163</v>
      </c>
      <c r="C85" s="2439">
        <v>97.768189382291382</v>
      </c>
      <c r="D85" s="2439">
        <v>113.0742158195313</v>
      </c>
      <c r="E85" s="2439">
        <v>126.14719060912293</v>
      </c>
      <c r="F85" s="2439">
        <v>147.46248160649731</v>
      </c>
      <c r="G85" s="2444">
        <v>100.17454058467479</v>
      </c>
      <c r="H85" s="2439">
        <v>62.372499999999988</v>
      </c>
      <c r="I85" s="2440">
        <v>59.11473684210528</v>
      </c>
      <c r="K85" s="2459"/>
    </row>
    <row r="86" spans="1:12" ht="16.5" customHeight="1" x14ac:dyDescent="0.3">
      <c r="A86" s="2458" t="s">
        <v>63</v>
      </c>
      <c r="B86" s="2442">
        <v>119.22932965492514</v>
      </c>
      <c r="C86" s="2439">
        <v>100.76273942479263</v>
      </c>
      <c r="D86" s="2439">
        <v>117.45980326747933</v>
      </c>
      <c r="E86" s="2439">
        <v>123.90839540888472</v>
      </c>
      <c r="F86" s="2439">
        <v>159.30201084630667</v>
      </c>
      <c r="G86" s="2444">
        <v>96.197436348097199</v>
      </c>
      <c r="H86" s="2439">
        <v>65.702173913043481</v>
      </c>
      <c r="I86" s="2440">
        <v>62.357391304347829</v>
      </c>
      <c r="K86" s="2459"/>
    </row>
    <row r="87" spans="1:12" ht="16.5" customHeight="1" x14ac:dyDescent="0.3">
      <c r="A87" s="2458" t="s">
        <v>62</v>
      </c>
      <c r="B87" s="2442">
        <v>122.06626942216495</v>
      </c>
      <c r="C87" s="2439">
        <v>104.34529890067319</v>
      </c>
      <c r="D87" s="2439">
        <v>119.10505698342429</v>
      </c>
      <c r="E87" s="2439">
        <v>126.20076893525055</v>
      </c>
      <c r="F87" s="2439">
        <v>162.19133083797868</v>
      </c>
      <c r="G87" s="2444">
        <v>99.986820331936883</v>
      </c>
      <c r="H87" s="2439">
        <v>65.328571428571422</v>
      </c>
      <c r="I87" s="2440">
        <v>61.703809523809511</v>
      </c>
      <c r="K87" s="2459"/>
    </row>
    <row r="88" spans="1:12" ht="16.5" customHeight="1" x14ac:dyDescent="0.3">
      <c r="A88" s="2458" t="s">
        <v>61</v>
      </c>
      <c r="B88" s="2442">
        <v>128.12555865773592</v>
      </c>
      <c r="C88" s="2439">
        <v>107.38440770114929</v>
      </c>
      <c r="D88" s="2439">
        <v>121.13134838555018</v>
      </c>
      <c r="E88" s="2439">
        <v>133.69538705765586</v>
      </c>
      <c r="F88" s="2439">
        <v>174.87592061093773</v>
      </c>
      <c r="G88" s="2444">
        <v>106.79941521838667</v>
      </c>
      <c r="H88" s="2439">
        <v>68.315714285714307</v>
      </c>
      <c r="I88" s="2440">
        <v>65.2</v>
      </c>
      <c r="K88" s="2459"/>
    </row>
    <row r="89" spans="1:12" ht="16.5" customHeight="1" x14ac:dyDescent="0.3">
      <c r="A89" s="2458" t="s">
        <v>60</v>
      </c>
      <c r="B89" s="2442">
        <v>125.27763455670987</v>
      </c>
      <c r="C89" s="2439">
        <v>110.68657160811618</v>
      </c>
      <c r="D89" s="2439">
        <v>119.91353934157493</v>
      </c>
      <c r="E89" s="2439">
        <v>130.3146289360493</v>
      </c>
      <c r="F89" s="2439">
        <v>157.68052781228315</v>
      </c>
      <c r="G89" s="2444">
        <v>107.7319216686756</v>
      </c>
      <c r="H89" s="2439">
        <v>73.408181818181816</v>
      </c>
      <c r="I89" s="2440">
        <v>71.352727272727265</v>
      </c>
      <c r="K89" s="2459"/>
    </row>
    <row r="90" spans="1:12" ht="16.5" customHeight="1" x14ac:dyDescent="0.3">
      <c r="A90" s="2458" t="s">
        <v>59</v>
      </c>
      <c r="B90" s="2442">
        <v>124.56485837282088</v>
      </c>
      <c r="C90" s="2439">
        <v>114.11329835824172</v>
      </c>
      <c r="D90" s="2439">
        <v>116.7295796628861</v>
      </c>
      <c r="E90" s="2439">
        <v>126.25709990923303</v>
      </c>
      <c r="F90" s="2439">
        <v>155.49552753795894</v>
      </c>
      <c r="G90" s="2444">
        <v>109.55192671644922</v>
      </c>
      <c r="H90" s="2439">
        <v>74.3</v>
      </c>
      <c r="I90" s="2440">
        <v>72.400000000000006</v>
      </c>
      <c r="K90" s="2459"/>
    </row>
    <row r="91" spans="1:12" ht="16.5" customHeight="1" x14ac:dyDescent="0.3">
      <c r="A91" s="2458" t="s">
        <v>58</v>
      </c>
      <c r="B91" s="2442">
        <v>127.95813590564271</v>
      </c>
      <c r="C91" s="2439">
        <v>113.43289955758823</v>
      </c>
      <c r="D91" s="2439">
        <v>116.16133052336659</v>
      </c>
      <c r="E91" s="2439">
        <v>130.38825849807975</v>
      </c>
      <c r="F91" s="2439">
        <v>165.86229711701404</v>
      </c>
      <c r="G91" s="2444">
        <v>120.54228177309744</v>
      </c>
      <c r="H91" s="2439">
        <v>70.506818181818176</v>
      </c>
      <c r="I91" s="2440">
        <v>67.711818181818188</v>
      </c>
      <c r="K91" s="2459"/>
    </row>
    <row r="92" spans="1:12" ht="16.5" customHeight="1" x14ac:dyDescent="0.3">
      <c r="A92" s="2458" t="s">
        <v>57</v>
      </c>
      <c r="B92" s="2442">
        <v>129.1891922766022</v>
      </c>
      <c r="C92" s="2439">
        <v>112.68191288141296</v>
      </c>
      <c r="D92" s="2439">
        <v>118.13109140698228</v>
      </c>
      <c r="E92" s="2439">
        <v>132.83696980281618</v>
      </c>
      <c r="F92" s="2439">
        <v>168.57086393365063</v>
      </c>
      <c r="G92" s="2444">
        <v>121.18926965715919</v>
      </c>
      <c r="H92" s="2439">
        <v>74.877272727272725</v>
      </c>
      <c r="I92" s="2440">
        <v>71.530952380952385</v>
      </c>
      <c r="K92" s="2459"/>
    </row>
    <row r="93" spans="1:12" ht="16.5" customHeight="1" x14ac:dyDescent="0.3">
      <c r="A93" s="2458" t="s">
        <v>56</v>
      </c>
      <c r="B93" s="2442">
        <v>133.22436853297222</v>
      </c>
      <c r="C93" s="2439">
        <v>111.96925480836586</v>
      </c>
      <c r="D93" s="2439">
        <v>121.45971051754725</v>
      </c>
      <c r="E93" s="2439">
        <v>137.14277957827665</v>
      </c>
      <c r="F93" s="2439">
        <v>184.83747137824517</v>
      </c>
      <c r="G93" s="2444">
        <v>119.06532765101376</v>
      </c>
      <c r="H93" s="2439">
        <v>83.746190476190463</v>
      </c>
      <c r="I93" s="2440">
        <v>81.222857142857137</v>
      </c>
      <c r="K93" s="2459"/>
    </row>
    <row r="94" spans="1:12" ht="16.5" customHeight="1" x14ac:dyDescent="0.3">
      <c r="A94" s="2458" t="s">
        <v>55</v>
      </c>
      <c r="B94" s="2442">
        <v>135.31485290573889</v>
      </c>
      <c r="C94" s="2439">
        <v>112.50964469359232</v>
      </c>
      <c r="D94" s="2439">
        <v>125.98568897987232</v>
      </c>
      <c r="E94" s="2439">
        <v>141.44474926905627</v>
      </c>
      <c r="F94" s="2439">
        <v>184.55517876687819</v>
      </c>
      <c r="G94" s="2444">
        <v>120.18503194146339</v>
      </c>
      <c r="H94" s="2439">
        <v>80.8</v>
      </c>
      <c r="I94" s="2440">
        <v>78.7</v>
      </c>
      <c r="K94" s="2459"/>
    </row>
    <row r="95" spans="1:12" ht="16.5" customHeight="1" x14ac:dyDescent="0.3">
      <c r="A95" s="2458" t="s">
        <v>54</v>
      </c>
      <c r="B95" s="2442">
        <v>133.69110309418375</v>
      </c>
      <c r="C95" s="2439">
        <v>111.02985848433802</v>
      </c>
      <c r="D95" s="2439">
        <v>128.96293678548136</v>
      </c>
      <c r="E95" s="2439">
        <v>140.49498067328705</v>
      </c>
      <c r="F95" s="2439">
        <v>178.50544196563672</v>
      </c>
      <c r="G95" s="2444">
        <v>116.43250221390551</v>
      </c>
      <c r="H95" s="2439">
        <v>74.8</v>
      </c>
      <c r="I95" s="2440">
        <v>71.7</v>
      </c>
      <c r="K95" s="2459"/>
    </row>
    <row r="96" spans="1:12" ht="16.5" customHeight="1" x14ac:dyDescent="0.3">
      <c r="A96" s="2462" t="s">
        <v>2403</v>
      </c>
      <c r="B96" s="2452">
        <v>135.59415474947579</v>
      </c>
      <c r="C96" s="2454">
        <v>112.14742555131124</v>
      </c>
      <c r="D96" s="2454">
        <v>132.63261060211784</v>
      </c>
      <c r="E96" s="2454">
        <v>140.64762893177229</v>
      </c>
      <c r="F96" s="2454">
        <v>185.93144191456406</v>
      </c>
      <c r="G96" s="2455">
        <v>112.66751495566068</v>
      </c>
      <c r="H96" s="2454">
        <v>85.6</v>
      </c>
      <c r="I96" s="2464">
        <v>83</v>
      </c>
      <c r="K96" s="2459"/>
      <c r="L96" s="2459"/>
    </row>
    <row r="97" spans="1:12" ht="16.5" customHeight="1" x14ac:dyDescent="0.3">
      <c r="A97" s="2458" t="s">
        <v>64</v>
      </c>
      <c r="B97" s="2442">
        <v>141.23646308174617</v>
      </c>
      <c r="C97" s="2439">
        <v>113.87343719202681</v>
      </c>
      <c r="D97" s="2439">
        <v>141.52957659081716</v>
      </c>
      <c r="E97" s="2439">
        <v>145.27828440142767</v>
      </c>
      <c r="F97" s="2439">
        <v>201.71767545192617</v>
      </c>
      <c r="G97" s="2444">
        <v>110.53112881402261</v>
      </c>
      <c r="H97" s="2439">
        <v>94.2</v>
      </c>
      <c r="I97" s="2440">
        <v>91.7</v>
      </c>
      <c r="K97" s="2459"/>
      <c r="L97" s="2459"/>
    </row>
    <row r="98" spans="1:12" ht="16.5" customHeight="1" x14ac:dyDescent="0.3">
      <c r="A98" s="2458" t="s">
        <v>63</v>
      </c>
      <c r="B98" s="2442">
        <v>159.71319044345819</v>
      </c>
      <c r="C98" s="2439">
        <v>119.322155283002</v>
      </c>
      <c r="D98" s="2439">
        <v>145.83118903175716</v>
      </c>
      <c r="E98" s="2439">
        <v>170.1313122041563</v>
      </c>
      <c r="F98" s="2439">
        <v>251.83127168981505</v>
      </c>
      <c r="G98" s="2444">
        <v>117.91396993406418</v>
      </c>
      <c r="H98" s="2465">
        <v>112.46304347826087</v>
      </c>
      <c r="I98" s="2466">
        <v>108.26217391304348</v>
      </c>
      <c r="K98" s="2459"/>
      <c r="L98" s="2459"/>
    </row>
    <row r="99" spans="1:12" ht="16.5" customHeight="1" x14ac:dyDescent="0.3">
      <c r="A99" s="2458" t="s">
        <v>62</v>
      </c>
      <c r="B99" s="2442">
        <v>158.43457570107813</v>
      </c>
      <c r="C99" s="2439">
        <v>121.90191502509094</v>
      </c>
      <c r="D99" s="2439">
        <v>146.68927944362707</v>
      </c>
      <c r="E99" s="2439">
        <v>169.67508597724841</v>
      </c>
      <c r="F99" s="2439">
        <v>237.53173615946218</v>
      </c>
      <c r="G99" s="2444">
        <v>121.543706497993</v>
      </c>
      <c r="H99" s="2465">
        <v>106.19333333333333</v>
      </c>
      <c r="I99" s="2466">
        <v>101.71899999999998</v>
      </c>
      <c r="K99" s="2459"/>
      <c r="L99" s="2459"/>
    </row>
    <row r="100" spans="1:12" ht="16.5" customHeight="1" x14ac:dyDescent="0.3">
      <c r="A100" s="2458" t="s">
        <v>61</v>
      </c>
      <c r="B100" s="2442">
        <v>158.05282975550662</v>
      </c>
      <c r="C100" s="2439">
        <v>122.8732841909855</v>
      </c>
      <c r="D100" s="2439">
        <v>144.17798818600474</v>
      </c>
      <c r="E100" s="2439">
        <v>173.52074886092331</v>
      </c>
      <c r="F100" s="2439">
        <v>229.24090548152569</v>
      </c>
      <c r="G100" s="2444">
        <v>120.38756727908276</v>
      </c>
      <c r="H100" s="2465">
        <v>111.95954545454546</v>
      </c>
      <c r="I100" s="2466">
        <v>109.25952380952383</v>
      </c>
      <c r="K100" s="2459"/>
      <c r="L100" s="2459"/>
    </row>
    <row r="101" spans="1:12" ht="16.5" customHeight="1" x14ac:dyDescent="0.3">
      <c r="A101" s="2458" t="s">
        <v>60</v>
      </c>
      <c r="B101" s="2442">
        <v>154.70821372674277</v>
      </c>
      <c r="C101" s="2439">
        <v>125.92293140002921</v>
      </c>
      <c r="D101" s="2439">
        <v>150.18180663787297</v>
      </c>
      <c r="E101" s="2439">
        <v>166.33655649308153</v>
      </c>
      <c r="F101" s="2439">
        <v>211.79518246436641</v>
      </c>
      <c r="G101" s="2444">
        <v>117.2848384263868</v>
      </c>
      <c r="H101" s="2465">
        <v>117.50318181818184</v>
      </c>
      <c r="I101" s="2466">
        <v>114.33904761904766</v>
      </c>
      <c r="K101" s="2459"/>
      <c r="L101" s="2459"/>
    </row>
    <row r="102" spans="1:12" ht="16.5" customHeight="1" x14ac:dyDescent="0.3">
      <c r="A102" s="2458" t="s">
        <v>59</v>
      </c>
      <c r="B102" s="2442">
        <v>140.57241210248861</v>
      </c>
      <c r="C102" s="2439">
        <v>124.05344618623685</v>
      </c>
      <c r="D102" s="2439">
        <v>146.465425519288</v>
      </c>
      <c r="E102" s="2439">
        <v>147.25665377330955</v>
      </c>
      <c r="F102" s="2439">
        <v>168.82042441226025</v>
      </c>
      <c r="G102" s="2444">
        <v>112.84138457750583</v>
      </c>
      <c r="H102" s="2465">
        <v>105.12380952380954</v>
      </c>
      <c r="I102" s="2466">
        <v>99.384500000000003</v>
      </c>
      <c r="K102" s="2459"/>
      <c r="L102" s="2459"/>
    </row>
    <row r="103" spans="1:12" ht="16.5" customHeight="1" x14ac:dyDescent="0.3">
      <c r="A103" s="2458" t="s">
        <v>58</v>
      </c>
      <c r="B103" s="2442">
        <v>137.57955105100112</v>
      </c>
      <c r="C103" s="2439">
        <v>121.09402125915713</v>
      </c>
      <c r="D103" s="2439">
        <v>143.35160863134098</v>
      </c>
      <c r="E103" s="2439">
        <v>145.57553656155289</v>
      </c>
      <c r="F103" s="2439">
        <v>163.32354213869706</v>
      </c>
      <c r="G103" s="2444">
        <v>110.47422078709369</v>
      </c>
      <c r="H103" s="2465">
        <v>97.740869565217395</v>
      </c>
      <c r="I103" s="2466">
        <v>91.482608695652189</v>
      </c>
      <c r="K103" s="2459"/>
      <c r="L103" s="2459"/>
    </row>
    <row r="104" spans="1:12" ht="16.5" customHeight="1" x14ac:dyDescent="0.3">
      <c r="A104" s="2458" t="s">
        <v>57</v>
      </c>
      <c r="B104" s="2442">
        <v>136.04175202121962</v>
      </c>
      <c r="C104" s="2439">
        <v>120.27593667753011</v>
      </c>
      <c r="D104" s="2439">
        <v>142.69352804000474</v>
      </c>
      <c r="E104" s="2439">
        <v>147.91508373264332</v>
      </c>
      <c r="F104" s="2439">
        <v>152.57278473300983</v>
      </c>
      <c r="G104" s="2444">
        <v>109.67569831166102</v>
      </c>
      <c r="H104" s="2465">
        <v>90.570909090909083</v>
      </c>
      <c r="I104" s="2466">
        <v>83.80190476190478</v>
      </c>
      <c r="K104" s="2459"/>
      <c r="L104" s="2459"/>
    </row>
    <row r="105" spans="1:12" ht="16.5" customHeight="1" x14ac:dyDescent="0.3">
      <c r="A105" s="2458" t="s">
        <v>56</v>
      </c>
      <c r="B105" s="2442">
        <v>135.37847253330085</v>
      </c>
      <c r="C105" s="2439">
        <v>116.8258543618208</v>
      </c>
      <c r="D105" s="2439">
        <v>139.25281548776354</v>
      </c>
      <c r="E105" s="2439">
        <v>152.28168164691721</v>
      </c>
      <c r="F105" s="2439">
        <v>151.28497315818765</v>
      </c>
      <c r="G105" s="2444">
        <v>108.58010537092795</v>
      </c>
      <c r="H105" s="2465">
        <v>93.593809523809497</v>
      </c>
      <c r="I105" s="2466">
        <v>87.030952380952371</v>
      </c>
      <c r="K105" s="2459"/>
      <c r="L105" s="2459"/>
    </row>
    <row r="106" spans="1:12" ht="16.5" customHeight="1" x14ac:dyDescent="0.3">
      <c r="A106" s="2458" t="s">
        <v>55</v>
      </c>
      <c r="B106" s="2442">
        <v>134.7375273257023</v>
      </c>
      <c r="C106" s="2439">
        <v>114.62622167264486</v>
      </c>
      <c r="D106" s="2439">
        <v>137.38524064521459</v>
      </c>
      <c r="E106" s="2439">
        <v>150.10862275216391</v>
      </c>
      <c r="F106" s="2439">
        <v>154.70711661125137</v>
      </c>
      <c r="G106" s="2444">
        <v>114.39308388371099</v>
      </c>
      <c r="H106" s="2465">
        <v>90.9</v>
      </c>
      <c r="I106" s="2466">
        <v>84.4</v>
      </c>
      <c r="K106" s="2459"/>
      <c r="L106" s="2459"/>
    </row>
    <row r="107" spans="1:12" ht="16.5" customHeight="1" x14ac:dyDescent="0.3">
      <c r="A107" s="2458" t="s">
        <v>54</v>
      </c>
      <c r="B107" s="2442">
        <v>131.79457812874588</v>
      </c>
      <c r="C107" s="2439">
        <v>112.40399127691444</v>
      </c>
      <c r="D107" s="2439">
        <v>138.16979201286853</v>
      </c>
      <c r="E107" s="2439">
        <v>147.25400622949095</v>
      </c>
      <c r="F107" s="2439">
        <v>144.60029876844681</v>
      </c>
      <c r="G107" s="2444">
        <v>117.17633735266216</v>
      </c>
      <c r="H107" s="2465">
        <v>81.34142857142858</v>
      </c>
      <c r="I107" s="2466">
        <v>76.518095238095228</v>
      </c>
      <c r="K107" s="2459"/>
      <c r="L107" s="2459"/>
    </row>
    <row r="108" spans="1:12" ht="16.5" customHeight="1" x14ac:dyDescent="0.3">
      <c r="A108" s="2467" t="s">
        <v>2404</v>
      </c>
      <c r="B108" s="2463">
        <v>130.20155075969072</v>
      </c>
      <c r="C108" s="2454">
        <v>111.12676501549132</v>
      </c>
      <c r="D108" s="2454">
        <v>134.53324407350536</v>
      </c>
      <c r="E108" s="2454">
        <v>147.49215298753472</v>
      </c>
      <c r="F108" s="2454">
        <v>140.41189698409724</v>
      </c>
      <c r="G108" s="2455">
        <v>116.78734091056793</v>
      </c>
      <c r="H108" s="2468">
        <v>83.90666666666668</v>
      </c>
      <c r="I108" s="2469">
        <v>78.164000000000016</v>
      </c>
      <c r="K108" s="2459"/>
      <c r="L108" s="2459"/>
    </row>
    <row r="109" spans="1:12" ht="16.5" customHeight="1" x14ac:dyDescent="0.3">
      <c r="A109" s="2458" t="s">
        <v>64</v>
      </c>
      <c r="B109" s="2442">
        <v>129.81415291769849</v>
      </c>
      <c r="C109" s="2439">
        <v>113.31233167590932</v>
      </c>
      <c r="D109" s="2439">
        <v>129.35056685757331</v>
      </c>
      <c r="E109" s="2439">
        <v>146.71582798064685</v>
      </c>
      <c r="F109" s="2439">
        <v>135.86914677360059</v>
      </c>
      <c r="G109" s="2444">
        <v>125.1702142376989</v>
      </c>
      <c r="H109" s="2439">
        <v>83.537500000000009</v>
      </c>
      <c r="I109" s="2440">
        <v>76.8605263157895</v>
      </c>
      <c r="K109" s="2459"/>
      <c r="L109" s="2459"/>
    </row>
    <row r="110" spans="1:12" ht="18.600000000000001" customHeight="1" x14ac:dyDescent="0.3">
      <c r="A110" s="2458" t="s">
        <v>63</v>
      </c>
      <c r="B110" s="2442">
        <v>127.00380138970077</v>
      </c>
      <c r="C110" s="2439">
        <v>114.68937657901202</v>
      </c>
      <c r="D110" s="2439">
        <v>126.78704400612591</v>
      </c>
      <c r="E110" s="2439">
        <v>138.55434406068113</v>
      </c>
      <c r="F110" s="2439">
        <v>131.7866585516208</v>
      </c>
      <c r="G110" s="2444">
        <v>126.99503806101731</v>
      </c>
      <c r="H110" s="2439">
        <v>79.20695652173913</v>
      </c>
      <c r="I110" s="2440">
        <v>73.372608695652175</v>
      </c>
      <c r="K110" s="2459"/>
      <c r="L110" s="2459"/>
    </row>
    <row r="111" spans="1:12" ht="18.600000000000001" customHeight="1" x14ac:dyDescent="0.3">
      <c r="A111" s="2458" t="s">
        <v>62</v>
      </c>
      <c r="B111" s="2442">
        <v>127.72177293775783</v>
      </c>
      <c r="C111" s="2439">
        <v>116.83531772842221</v>
      </c>
      <c r="D111" s="2439">
        <v>122.56340509266863</v>
      </c>
      <c r="E111" s="2439">
        <v>136.140683440396</v>
      </c>
      <c r="F111" s="2439">
        <v>130.03002452539272</v>
      </c>
      <c r="G111" s="2444">
        <v>149.39882971513404</v>
      </c>
      <c r="H111" s="2439">
        <v>83.368947368421061</v>
      </c>
      <c r="I111" s="2440">
        <v>79.438421052631568</v>
      </c>
      <c r="K111" s="2459"/>
      <c r="L111" s="2459"/>
    </row>
    <row r="112" spans="1:12" ht="18.600000000000001" customHeight="1" x14ac:dyDescent="0.3">
      <c r="A112" s="2458" t="s">
        <v>61</v>
      </c>
      <c r="B112" s="2442">
        <v>124.14497718909877</v>
      </c>
      <c r="C112" s="2439">
        <v>118.09260388494808</v>
      </c>
      <c r="D112" s="2439">
        <v>117.77278699871846</v>
      </c>
      <c r="E112" s="2439">
        <v>129.27120755716504</v>
      </c>
      <c r="F112" s="2439">
        <v>118.68241972646851</v>
      </c>
      <c r="G112" s="2444">
        <v>157.21242984539512</v>
      </c>
      <c r="H112" s="2465">
        <v>75.694782608695647</v>
      </c>
      <c r="I112" s="2466">
        <v>71.620909090909095</v>
      </c>
      <c r="K112" s="2459"/>
      <c r="L112" s="2459"/>
    </row>
    <row r="113" spans="1:12" ht="18.600000000000001" customHeight="1" x14ac:dyDescent="0.3">
      <c r="A113" s="2458" t="s">
        <v>60</v>
      </c>
      <c r="B113" s="2442">
        <v>122.67419217201997</v>
      </c>
      <c r="C113" s="2439">
        <v>118.95598443370193</v>
      </c>
      <c r="D113" s="2439">
        <v>116.72297372310872</v>
      </c>
      <c r="E113" s="2439">
        <v>126.60244652014822</v>
      </c>
      <c r="F113" s="2439">
        <v>115.78969709280045</v>
      </c>
      <c r="G113" s="2444">
        <v>152.15748537731301</v>
      </c>
      <c r="H113" s="2465">
        <v>74.978636363636369</v>
      </c>
      <c r="I113" s="2466">
        <v>70.27428571428571</v>
      </c>
      <c r="K113" s="2459"/>
      <c r="L113" s="2459"/>
    </row>
    <row r="114" spans="1:12" ht="18.600000000000001" customHeight="1" x14ac:dyDescent="0.3">
      <c r="A114" s="2458" t="s">
        <v>59</v>
      </c>
      <c r="B114" s="2442">
        <v>124.11658600994684</v>
      </c>
      <c r="C114" s="2439">
        <v>118.49391516447014</v>
      </c>
      <c r="D114" s="2439">
        <v>115.91760797711757</v>
      </c>
      <c r="E114" s="2439">
        <v>125.86001580206025</v>
      </c>
      <c r="F114" s="2439">
        <v>129.80602565566767</v>
      </c>
      <c r="G114" s="2444">
        <v>146.3274949677855</v>
      </c>
      <c r="H114" s="2465">
        <v>80.160000000000011</v>
      </c>
      <c r="I114" s="2466">
        <v>76.034499999999994</v>
      </c>
      <c r="K114" s="2459"/>
      <c r="L114" s="2459"/>
    </row>
    <row r="115" spans="1:12" ht="18.600000000000001" customHeight="1" x14ac:dyDescent="0.3">
      <c r="A115" s="2458" t="s">
        <v>58</v>
      </c>
      <c r="B115" s="2442">
        <v>121.6309477344427</v>
      </c>
      <c r="C115" s="2439">
        <v>115.37352524981954</v>
      </c>
      <c r="D115" s="2439">
        <v>111.19153056874435</v>
      </c>
      <c r="E115" s="2439">
        <v>124.99307173273587</v>
      </c>
      <c r="F115" s="2439">
        <v>125.82185036318569</v>
      </c>
      <c r="G115" s="2444">
        <v>148.19495977131766</v>
      </c>
      <c r="H115" s="2465">
        <v>85.104347826086936</v>
      </c>
      <c r="I115" s="2466">
        <v>81.320869565217393</v>
      </c>
      <c r="K115" s="2459"/>
      <c r="L115" s="2459"/>
    </row>
    <row r="116" spans="1:12" thickBot="1" x14ac:dyDescent="0.35">
      <c r="A116" s="2470" t="s">
        <v>57</v>
      </c>
      <c r="B116" s="2471">
        <v>121.45605084656016</v>
      </c>
      <c r="C116" s="2472">
        <v>114.20611722954946</v>
      </c>
      <c r="D116" s="2472">
        <v>108.60625776209228</v>
      </c>
      <c r="E116" s="2472">
        <v>126.29259069889878</v>
      </c>
      <c r="F116" s="2472">
        <v>120.86619351626094</v>
      </c>
      <c r="G116" s="2473">
        <v>162.71249661963398</v>
      </c>
      <c r="H116" s="2474">
        <v>92.587000000000003</v>
      </c>
      <c r="I116" s="2475">
        <v>89.43</v>
      </c>
      <c r="K116" s="2459"/>
      <c r="L116" s="2459"/>
    </row>
    <row r="117" spans="1:12" ht="16.5" thickTop="1" x14ac:dyDescent="0.3">
      <c r="A117" s="2476" t="s">
        <v>2405</v>
      </c>
      <c r="H117" s="2477"/>
      <c r="I117" s="2477"/>
    </row>
    <row r="118" spans="1:12" x14ac:dyDescent="0.3">
      <c r="B118" s="2459"/>
      <c r="H118" s="2459"/>
      <c r="I118" s="2459"/>
    </row>
    <row r="119" spans="1:12" x14ac:dyDescent="0.3">
      <c r="B119" s="2459"/>
      <c r="F119" s="2459"/>
      <c r="G119" s="2459"/>
    </row>
    <row r="120" spans="1:12" x14ac:dyDescent="0.3">
      <c r="F120" s="2459"/>
      <c r="G120" s="2459"/>
    </row>
    <row r="121" spans="1:12" x14ac:dyDescent="0.3">
      <c r="J121" s="2479"/>
    </row>
    <row r="122" spans="1:12" ht="15.75" x14ac:dyDescent="0.3">
      <c r="A122" s="2429"/>
      <c r="B122" s="2459"/>
      <c r="C122" s="2459"/>
      <c r="D122" s="2459"/>
      <c r="E122" s="2459"/>
      <c r="F122" s="2459"/>
      <c r="G122" s="2459"/>
      <c r="J122" s="2479"/>
    </row>
  </sheetData>
  <mergeCells count="3">
    <mergeCell ref="A3:A4"/>
    <mergeCell ref="B3:G3"/>
    <mergeCell ref="H3:I3"/>
  </mergeCells>
  <pageMargins left="0.65" right="0.38" top="0.75" bottom="0.75" header="0.3" footer="0.3"/>
  <pageSetup paperSize="9" scale="5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F13"/>
  <sheetViews>
    <sheetView showGridLines="0" zoomScale="85" zoomScaleNormal="85" zoomScaleSheetLayoutView="100" workbookViewId="0">
      <selection activeCell="A38" sqref="A38"/>
    </sheetView>
  </sheetViews>
  <sheetFormatPr defaultRowHeight="14.25" x14ac:dyDescent="0.25"/>
  <cols>
    <col min="1" max="1" width="46.7109375" style="2911" customWidth="1"/>
    <col min="2" max="2" width="13.7109375" style="2911" hidden="1" customWidth="1"/>
    <col min="3" max="4" width="13.7109375" style="3096" hidden="1" customWidth="1"/>
    <col min="5" max="5" width="12.7109375" style="3096" hidden="1" customWidth="1"/>
    <col min="6" max="7" width="13.7109375" style="3096" hidden="1" customWidth="1"/>
    <col min="8" max="8" width="12.85546875" style="3096" hidden="1" customWidth="1"/>
    <col min="9" max="13" width="13.7109375" style="3096" hidden="1" customWidth="1"/>
    <col min="14" max="45" width="12.7109375" style="3096" hidden="1" customWidth="1"/>
    <col min="46" max="58" width="12.7109375" style="3096" customWidth="1"/>
    <col min="59" max="121" width="9.140625" style="2911"/>
    <col min="122" max="122" width="55.7109375" style="2911" customWidth="1"/>
    <col min="123" max="214" width="9.140625" style="2911" customWidth="1"/>
    <col min="215" max="216" width="9.28515625" style="2911" customWidth="1"/>
    <col min="217" max="227" width="10.28515625" style="2911" customWidth="1"/>
    <col min="228" max="377" width="9.140625" style="2911"/>
    <col min="378" max="378" width="55.7109375" style="2911" customWidth="1"/>
    <col min="379" max="470" width="9.140625" style="2911" customWidth="1"/>
    <col min="471" max="472" width="9.28515625" style="2911" customWidth="1"/>
    <col min="473" max="483" width="10.28515625" style="2911" customWidth="1"/>
    <col min="484" max="633" width="9.140625" style="2911"/>
    <col min="634" max="634" width="55.7109375" style="2911" customWidth="1"/>
    <col min="635" max="726" width="9.140625" style="2911" customWidth="1"/>
    <col min="727" max="728" width="9.28515625" style="2911" customWidth="1"/>
    <col min="729" max="739" width="10.28515625" style="2911" customWidth="1"/>
    <col min="740" max="889" width="9.140625" style="2911"/>
    <col min="890" max="890" width="55.7109375" style="2911" customWidth="1"/>
    <col min="891" max="982" width="9.140625" style="2911" customWidth="1"/>
    <col min="983" max="984" width="9.28515625" style="2911" customWidth="1"/>
    <col min="985" max="995" width="10.28515625" style="2911" customWidth="1"/>
    <col min="996" max="1145" width="9.140625" style="2911"/>
    <col min="1146" max="1146" width="55.7109375" style="2911" customWidth="1"/>
    <col min="1147" max="1238" width="9.140625" style="2911" customWidth="1"/>
    <col min="1239" max="1240" width="9.28515625" style="2911" customWidth="1"/>
    <col min="1241" max="1251" width="10.28515625" style="2911" customWidth="1"/>
    <col min="1252" max="1401" width="9.140625" style="2911"/>
    <col min="1402" max="1402" width="55.7109375" style="2911" customWidth="1"/>
    <col min="1403" max="1494" width="9.140625" style="2911" customWidth="1"/>
    <col min="1495" max="1496" width="9.28515625" style="2911" customWidth="1"/>
    <col min="1497" max="1507" width="10.28515625" style="2911" customWidth="1"/>
    <col min="1508" max="1657" width="9.140625" style="2911"/>
    <col min="1658" max="1658" width="55.7109375" style="2911" customWidth="1"/>
    <col min="1659" max="1750" width="9.140625" style="2911" customWidth="1"/>
    <col min="1751" max="1752" width="9.28515625" style="2911" customWidth="1"/>
    <col min="1753" max="1763" width="10.28515625" style="2911" customWidth="1"/>
    <col min="1764" max="1913" width="9.140625" style="2911"/>
    <col min="1914" max="1914" width="55.7109375" style="2911" customWidth="1"/>
    <col min="1915" max="2006" width="9.140625" style="2911" customWidth="1"/>
    <col min="2007" max="2008" width="9.28515625" style="2911" customWidth="1"/>
    <col min="2009" max="2019" width="10.28515625" style="2911" customWidth="1"/>
    <col min="2020" max="2169" width="9.140625" style="2911"/>
    <col min="2170" max="2170" width="55.7109375" style="2911" customWidth="1"/>
    <col min="2171" max="2262" width="9.140625" style="2911" customWidth="1"/>
    <col min="2263" max="2264" width="9.28515625" style="2911" customWidth="1"/>
    <col min="2265" max="2275" width="10.28515625" style="2911" customWidth="1"/>
    <col min="2276" max="2425" width="9.140625" style="2911"/>
    <col min="2426" max="2426" width="55.7109375" style="2911" customWidth="1"/>
    <col min="2427" max="2518" width="9.140625" style="2911" customWidth="1"/>
    <col min="2519" max="2520" width="9.28515625" style="2911" customWidth="1"/>
    <col min="2521" max="2531" width="10.28515625" style="2911" customWidth="1"/>
    <col min="2532" max="2681" width="9.140625" style="2911"/>
    <col min="2682" max="2682" width="55.7109375" style="2911" customWidth="1"/>
    <col min="2683" max="2774" width="9.140625" style="2911" customWidth="1"/>
    <col min="2775" max="2776" width="9.28515625" style="2911" customWidth="1"/>
    <col min="2777" max="2787" width="10.28515625" style="2911" customWidth="1"/>
    <col min="2788" max="2937" width="9.140625" style="2911"/>
    <col min="2938" max="2938" width="55.7109375" style="2911" customWidth="1"/>
    <col min="2939" max="3030" width="9.140625" style="2911" customWidth="1"/>
    <col min="3031" max="3032" width="9.28515625" style="2911" customWidth="1"/>
    <col min="3033" max="3043" width="10.28515625" style="2911" customWidth="1"/>
    <col min="3044" max="3193" width="9.140625" style="2911"/>
    <col min="3194" max="3194" width="55.7109375" style="2911" customWidth="1"/>
    <col min="3195" max="3286" width="9.140625" style="2911" customWidth="1"/>
    <col min="3287" max="3288" width="9.28515625" style="2911" customWidth="1"/>
    <col min="3289" max="3299" width="10.28515625" style="2911" customWidth="1"/>
    <col min="3300" max="3449" width="9.140625" style="2911"/>
    <col min="3450" max="3450" width="55.7109375" style="2911" customWidth="1"/>
    <col min="3451" max="3542" width="9.140625" style="2911" customWidth="1"/>
    <col min="3543" max="3544" width="9.28515625" style="2911" customWidth="1"/>
    <col min="3545" max="3555" width="10.28515625" style="2911" customWidth="1"/>
    <col min="3556" max="3705" width="9.140625" style="2911"/>
    <col min="3706" max="3706" width="55.7109375" style="2911" customWidth="1"/>
    <col min="3707" max="3798" width="9.140625" style="2911" customWidth="1"/>
    <col min="3799" max="3800" width="9.28515625" style="2911" customWidth="1"/>
    <col min="3801" max="3811" width="10.28515625" style="2911" customWidth="1"/>
    <col min="3812" max="3961" width="9.140625" style="2911"/>
    <col min="3962" max="3962" width="55.7109375" style="2911" customWidth="1"/>
    <col min="3963" max="4054" width="9.140625" style="2911" customWidth="1"/>
    <col min="4055" max="4056" width="9.28515625" style="2911" customWidth="1"/>
    <col min="4057" max="4067" width="10.28515625" style="2911" customWidth="1"/>
    <col min="4068" max="4217" width="9.140625" style="2911"/>
    <col min="4218" max="4218" width="55.7109375" style="2911" customWidth="1"/>
    <col min="4219" max="4310" width="9.140625" style="2911" customWidth="1"/>
    <col min="4311" max="4312" width="9.28515625" style="2911" customWidth="1"/>
    <col min="4313" max="4323" width="10.28515625" style="2911" customWidth="1"/>
    <col min="4324" max="4473" width="9.140625" style="2911"/>
    <col min="4474" max="4474" width="55.7109375" style="2911" customWidth="1"/>
    <col min="4475" max="4566" width="9.140625" style="2911" customWidth="1"/>
    <col min="4567" max="4568" width="9.28515625" style="2911" customWidth="1"/>
    <col min="4569" max="4579" width="10.28515625" style="2911" customWidth="1"/>
    <col min="4580" max="4729" width="9.140625" style="2911"/>
    <col min="4730" max="4730" width="55.7109375" style="2911" customWidth="1"/>
    <col min="4731" max="4822" width="9.140625" style="2911" customWidth="1"/>
    <col min="4823" max="4824" width="9.28515625" style="2911" customWidth="1"/>
    <col min="4825" max="4835" width="10.28515625" style="2911" customWidth="1"/>
    <col min="4836" max="4985" width="9.140625" style="2911"/>
    <col min="4986" max="4986" width="55.7109375" style="2911" customWidth="1"/>
    <col min="4987" max="5078" width="9.140625" style="2911" customWidth="1"/>
    <col min="5079" max="5080" width="9.28515625" style="2911" customWidth="1"/>
    <col min="5081" max="5091" width="10.28515625" style="2911" customWidth="1"/>
    <col min="5092" max="5241" width="9.140625" style="2911"/>
    <col min="5242" max="5242" width="55.7109375" style="2911" customWidth="1"/>
    <col min="5243" max="5334" width="9.140625" style="2911" customWidth="1"/>
    <col min="5335" max="5336" width="9.28515625" style="2911" customWidth="1"/>
    <col min="5337" max="5347" width="10.28515625" style="2911" customWidth="1"/>
    <col min="5348" max="5497" width="9.140625" style="2911"/>
    <col min="5498" max="5498" width="55.7109375" style="2911" customWidth="1"/>
    <col min="5499" max="5590" width="9.140625" style="2911" customWidth="1"/>
    <col min="5591" max="5592" width="9.28515625" style="2911" customWidth="1"/>
    <col min="5593" max="5603" width="10.28515625" style="2911" customWidth="1"/>
    <col min="5604" max="5753" width="9.140625" style="2911"/>
    <col min="5754" max="5754" width="55.7109375" style="2911" customWidth="1"/>
    <col min="5755" max="5846" width="9.140625" style="2911" customWidth="1"/>
    <col min="5847" max="5848" width="9.28515625" style="2911" customWidth="1"/>
    <col min="5849" max="5859" width="10.28515625" style="2911" customWidth="1"/>
    <col min="5860" max="6009" width="9.140625" style="2911"/>
    <col min="6010" max="6010" width="55.7109375" style="2911" customWidth="1"/>
    <col min="6011" max="6102" width="9.140625" style="2911" customWidth="1"/>
    <col min="6103" max="6104" width="9.28515625" style="2911" customWidth="1"/>
    <col min="6105" max="6115" width="10.28515625" style="2911" customWidth="1"/>
    <col min="6116" max="6265" width="9.140625" style="2911"/>
    <col min="6266" max="6266" width="55.7109375" style="2911" customWidth="1"/>
    <col min="6267" max="6358" width="9.140625" style="2911" customWidth="1"/>
    <col min="6359" max="6360" width="9.28515625" style="2911" customWidth="1"/>
    <col min="6361" max="6371" width="10.28515625" style="2911" customWidth="1"/>
    <col min="6372" max="6521" width="9.140625" style="2911"/>
    <col min="6522" max="6522" width="55.7109375" style="2911" customWidth="1"/>
    <col min="6523" max="6614" width="9.140625" style="2911" customWidth="1"/>
    <col min="6615" max="6616" width="9.28515625" style="2911" customWidth="1"/>
    <col min="6617" max="6627" width="10.28515625" style="2911" customWidth="1"/>
    <col min="6628" max="6777" width="9.140625" style="2911"/>
    <col min="6778" max="6778" width="55.7109375" style="2911" customWidth="1"/>
    <col min="6779" max="6870" width="9.140625" style="2911" customWidth="1"/>
    <col min="6871" max="6872" width="9.28515625" style="2911" customWidth="1"/>
    <col min="6873" max="6883" width="10.28515625" style="2911" customWidth="1"/>
    <col min="6884" max="7033" width="9.140625" style="2911"/>
    <col min="7034" max="7034" width="55.7109375" style="2911" customWidth="1"/>
    <col min="7035" max="7126" width="9.140625" style="2911" customWidth="1"/>
    <col min="7127" max="7128" width="9.28515625" style="2911" customWidth="1"/>
    <col min="7129" max="7139" width="10.28515625" style="2911" customWidth="1"/>
    <col min="7140" max="7289" width="9.140625" style="2911"/>
    <col min="7290" max="7290" width="55.7109375" style="2911" customWidth="1"/>
    <col min="7291" max="7382" width="9.140625" style="2911" customWidth="1"/>
    <col min="7383" max="7384" width="9.28515625" style="2911" customWidth="1"/>
    <col min="7385" max="7395" width="10.28515625" style="2911" customWidth="1"/>
    <col min="7396" max="7545" width="9.140625" style="2911"/>
    <col min="7546" max="7546" width="55.7109375" style="2911" customWidth="1"/>
    <col min="7547" max="7638" width="9.140625" style="2911" customWidth="1"/>
    <col min="7639" max="7640" width="9.28515625" style="2911" customWidth="1"/>
    <col min="7641" max="7651" width="10.28515625" style="2911" customWidth="1"/>
    <col min="7652" max="7801" width="9.140625" style="2911"/>
    <col min="7802" max="7802" width="55.7109375" style="2911" customWidth="1"/>
    <col min="7803" max="7894" width="9.140625" style="2911" customWidth="1"/>
    <col min="7895" max="7896" width="9.28515625" style="2911" customWidth="1"/>
    <col min="7897" max="7907" width="10.28515625" style="2911" customWidth="1"/>
    <col min="7908" max="8057" width="9.140625" style="2911"/>
    <col min="8058" max="8058" width="55.7109375" style="2911" customWidth="1"/>
    <col min="8059" max="8150" width="9.140625" style="2911" customWidth="1"/>
    <col min="8151" max="8152" width="9.28515625" style="2911" customWidth="1"/>
    <col min="8153" max="8163" width="10.28515625" style="2911" customWidth="1"/>
    <col min="8164" max="8313" width="9.140625" style="2911"/>
    <col min="8314" max="8314" width="55.7109375" style="2911" customWidth="1"/>
    <col min="8315" max="8406" width="9.140625" style="2911" customWidth="1"/>
    <col min="8407" max="8408" width="9.28515625" style="2911" customWidth="1"/>
    <col min="8409" max="8419" width="10.28515625" style="2911" customWidth="1"/>
    <col min="8420" max="8569" width="9.140625" style="2911"/>
    <col min="8570" max="8570" width="55.7109375" style="2911" customWidth="1"/>
    <col min="8571" max="8662" width="9.140625" style="2911" customWidth="1"/>
    <col min="8663" max="8664" width="9.28515625" style="2911" customWidth="1"/>
    <col min="8665" max="8675" width="10.28515625" style="2911" customWidth="1"/>
    <col min="8676" max="8825" width="9.140625" style="2911"/>
    <col min="8826" max="8826" width="55.7109375" style="2911" customWidth="1"/>
    <col min="8827" max="8918" width="9.140625" style="2911" customWidth="1"/>
    <col min="8919" max="8920" width="9.28515625" style="2911" customWidth="1"/>
    <col min="8921" max="8931" width="10.28515625" style="2911" customWidth="1"/>
    <col min="8932" max="9081" width="9.140625" style="2911"/>
    <col min="9082" max="9082" width="55.7109375" style="2911" customWidth="1"/>
    <col min="9083" max="9174" width="9.140625" style="2911" customWidth="1"/>
    <col min="9175" max="9176" width="9.28515625" style="2911" customWidth="1"/>
    <col min="9177" max="9187" width="10.28515625" style="2911" customWidth="1"/>
    <col min="9188" max="9337" width="9.140625" style="2911"/>
    <col min="9338" max="9338" width="55.7109375" style="2911" customWidth="1"/>
    <col min="9339" max="9430" width="9.140625" style="2911" customWidth="1"/>
    <col min="9431" max="9432" width="9.28515625" style="2911" customWidth="1"/>
    <col min="9433" max="9443" width="10.28515625" style="2911" customWidth="1"/>
    <col min="9444" max="9593" width="9.140625" style="2911"/>
    <col min="9594" max="9594" width="55.7109375" style="2911" customWidth="1"/>
    <col min="9595" max="9686" width="9.140625" style="2911" customWidth="1"/>
    <col min="9687" max="9688" width="9.28515625" style="2911" customWidth="1"/>
    <col min="9689" max="9699" width="10.28515625" style="2911" customWidth="1"/>
    <col min="9700" max="9849" width="9.140625" style="2911"/>
    <col min="9850" max="9850" width="55.7109375" style="2911" customWidth="1"/>
    <col min="9851" max="9942" width="9.140625" style="2911" customWidth="1"/>
    <col min="9943" max="9944" width="9.28515625" style="2911" customWidth="1"/>
    <col min="9945" max="9955" width="10.28515625" style="2911" customWidth="1"/>
    <col min="9956" max="10105" width="9.140625" style="2911"/>
    <col min="10106" max="10106" width="55.7109375" style="2911" customWidth="1"/>
    <col min="10107" max="10198" width="9.140625" style="2911" customWidth="1"/>
    <col min="10199" max="10200" width="9.28515625" style="2911" customWidth="1"/>
    <col min="10201" max="10211" width="10.28515625" style="2911" customWidth="1"/>
    <col min="10212" max="10361" width="9.140625" style="2911"/>
    <col min="10362" max="10362" width="55.7109375" style="2911" customWidth="1"/>
    <col min="10363" max="10454" width="9.140625" style="2911" customWidth="1"/>
    <col min="10455" max="10456" width="9.28515625" style="2911" customWidth="1"/>
    <col min="10457" max="10467" width="10.28515625" style="2911" customWidth="1"/>
    <col min="10468" max="10617" width="9.140625" style="2911"/>
    <col min="10618" max="10618" width="55.7109375" style="2911" customWidth="1"/>
    <col min="10619" max="10710" width="9.140625" style="2911" customWidth="1"/>
    <col min="10711" max="10712" width="9.28515625" style="2911" customWidth="1"/>
    <col min="10713" max="10723" width="10.28515625" style="2911" customWidth="1"/>
    <col min="10724" max="10873" width="9.140625" style="2911"/>
    <col min="10874" max="10874" width="55.7109375" style="2911" customWidth="1"/>
    <col min="10875" max="10966" width="9.140625" style="2911" customWidth="1"/>
    <col min="10967" max="10968" width="9.28515625" style="2911" customWidth="1"/>
    <col min="10969" max="10979" width="10.28515625" style="2911" customWidth="1"/>
    <col min="10980" max="11129" width="9.140625" style="2911"/>
    <col min="11130" max="11130" width="55.7109375" style="2911" customWidth="1"/>
    <col min="11131" max="11222" width="9.140625" style="2911" customWidth="1"/>
    <col min="11223" max="11224" width="9.28515625" style="2911" customWidth="1"/>
    <col min="11225" max="11235" width="10.28515625" style="2911" customWidth="1"/>
    <col min="11236" max="11385" width="9.140625" style="2911"/>
    <col min="11386" max="11386" width="55.7109375" style="2911" customWidth="1"/>
    <col min="11387" max="11478" width="9.140625" style="2911" customWidth="1"/>
    <col min="11479" max="11480" width="9.28515625" style="2911" customWidth="1"/>
    <col min="11481" max="11491" width="10.28515625" style="2911" customWidth="1"/>
    <col min="11492" max="11641" width="9.140625" style="2911"/>
    <col min="11642" max="11642" width="55.7109375" style="2911" customWidth="1"/>
    <col min="11643" max="11734" width="9.140625" style="2911" customWidth="1"/>
    <col min="11735" max="11736" width="9.28515625" style="2911" customWidth="1"/>
    <col min="11737" max="11747" width="10.28515625" style="2911" customWidth="1"/>
    <col min="11748" max="11897" width="9.140625" style="2911"/>
    <col min="11898" max="11898" width="55.7109375" style="2911" customWidth="1"/>
    <col min="11899" max="11990" width="9.140625" style="2911" customWidth="1"/>
    <col min="11991" max="11992" width="9.28515625" style="2911" customWidth="1"/>
    <col min="11993" max="12003" width="10.28515625" style="2911" customWidth="1"/>
    <col min="12004" max="12153" width="9.140625" style="2911"/>
    <col min="12154" max="12154" width="55.7109375" style="2911" customWidth="1"/>
    <col min="12155" max="12246" width="9.140625" style="2911" customWidth="1"/>
    <col min="12247" max="12248" width="9.28515625" style="2911" customWidth="1"/>
    <col min="12249" max="12259" width="10.28515625" style="2911" customWidth="1"/>
    <col min="12260" max="12409" width="9.140625" style="2911"/>
    <col min="12410" max="12410" width="55.7109375" style="2911" customWidth="1"/>
    <col min="12411" max="12502" width="9.140625" style="2911" customWidth="1"/>
    <col min="12503" max="12504" width="9.28515625" style="2911" customWidth="1"/>
    <col min="12505" max="12515" width="10.28515625" style="2911" customWidth="1"/>
    <col min="12516" max="12665" width="9.140625" style="2911"/>
    <col min="12666" max="12666" width="55.7109375" style="2911" customWidth="1"/>
    <col min="12667" max="12758" width="9.140625" style="2911" customWidth="1"/>
    <col min="12759" max="12760" width="9.28515625" style="2911" customWidth="1"/>
    <col min="12761" max="12771" width="10.28515625" style="2911" customWidth="1"/>
    <col min="12772" max="12921" width="9.140625" style="2911"/>
    <col min="12922" max="12922" width="55.7109375" style="2911" customWidth="1"/>
    <col min="12923" max="13014" width="9.140625" style="2911" customWidth="1"/>
    <col min="13015" max="13016" width="9.28515625" style="2911" customWidth="1"/>
    <col min="13017" max="13027" width="10.28515625" style="2911" customWidth="1"/>
    <col min="13028" max="13177" width="9.140625" style="2911"/>
    <col min="13178" max="13178" width="55.7109375" style="2911" customWidth="1"/>
    <col min="13179" max="13270" width="9.140625" style="2911" customWidth="1"/>
    <col min="13271" max="13272" width="9.28515625" style="2911" customWidth="1"/>
    <col min="13273" max="13283" width="10.28515625" style="2911" customWidth="1"/>
    <col min="13284" max="13433" width="9.140625" style="2911"/>
    <col min="13434" max="13434" width="55.7109375" style="2911" customWidth="1"/>
    <col min="13435" max="13526" width="9.140625" style="2911" customWidth="1"/>
    <col min="13527" max="13528" width="9.28515625" style="2911" customWidth="1"/>
    <col min="13529" max="13539" width="10.28515625" style="2911" customWidth="1"/>
    <col min="13540" max="13689" width="9.140625" style="2911"/>
    <col min="13690" max="13690" width="55.7109375" style="2911" customWidth="1"/>
    <col min="13691" max="13782" width="9.140625" style="2911" customWidth="1"/>
    <col min="13783" max="13784" width="9.28515625" style="2911" customWidth="1"/>
    <col min="13785" max="13795" width="10.28515625" style="2911" customWidth="1"/>
    <col min="13796" max="13945" width="9.140625" style="2911"/>
    <col min="13946" max="13946" width="55.7109375" style="2911" customWidth="1"/>
    <col min="13947" max="14038" width="9.140625" style="2911" customWidth="1"/>
    <col min="14039" max="14040" width="9.28515625" style="2911" customWidth="1"/>
    <col min="14041" max="14051" width="10.28515625" style="2911" customWidth="1"/>
    <col min="14052" max="14201" width="9.140625" style="2911"/>
    <col min="14202" max="14202" width="55.7109375" style="2911" customWidth="1"/>
    <col min="14203" max="14294" width="9.140625" style="2911" customWidth="1"/>
    <col min="14295" max="14296" width="9.28515625" style="2911" customWidth="1"/>
    <col min="14297" max="14307" width="10.28515625" style="2911" customWidth="1"/>
    <col min="14308" max="14457" width="9.140625" style="2911"/>
    <col min="14458" max="14458" width="55.7109375" style="2911" customWidth="1"/>
    <col min="14459" max="14550" width="9.140625" style="2911" customWidth="1"/>
    <col min="14551" max="14552" width="9.28515625" style="2911" customWidth="1"/>
    <col min="14553" max="14563" width="10.28515625" style="2911" customWidth="1"/>
    <col min="14564" max="14713" width="9.140625" style="2911"/>
    <col min="14714" max="14714" width="55.7109375" style="2911" customWidth="1"/>
    <col min="14715" max="14806" width="9.140625" style="2911" customWidth="1"/>
    <col min="14807" max="14808" width="9.28515625" style="2911" customWidth="1"/>
    <col min="14809" max="14819" width="10.28515625" style="2911" customWidth="1"/>
    <col min="14820" max="14969" width="9.140625" style="2911"/>
    <col min="14970" max="14970" width="55.7109375" style="2911" customWidth="1"/>
    <col min="14971" max="15062" width="9.140625" style="2911" customWidth="1"/>
    <col min="15063" max="15064" width="9.28515625" style="2911" customWidth="1"/>
    <col min="15065" max="15075" width="10.28515625" style="2911" customWidth="1"/>
    <col min="15076" max="15225" width="9.140625" style="2911"/>
    <col min="15226" max="15226" width="55.7109375" style="2911" customWidth="1"/>
    <col min="15227" max="15318" width="9.140625" style="2911" customWidth="1"/>
    <col min="15319" max="15320" width="9.28515625" style="2911" customWidth="1"/>
    <col min="15321" max="15331" width="10.28515625" style="2911" customWidth="1"/>
    <col min="15332" max="15481" width="9.140625" style="2911"/>
    <col min="15482" max="15482" width="55.7109375" style="2911" customWidth="1"/>
    <col min="15483" max="15574" width="9.140625" style="2911" customWidth="1"/>
    <col min="15575" max="15576" width="9.28515625" style="2911" customWidth="1"/>
    <col min="15577" max="15587" width="10.28515625" style="2911" customWidth="1"/>
    <col min="15588" max="15737" width="9.140625" style="2911"/>
    <col min="15738" max="15738" width="55.7109375" style="2911" customWidth="1"/>
    <col min="15739" max="15830" width="9.140625" style="2911" customWidth="1"/>
    <col min="15831" max="15832" width="9.28515625" style="2911" customWidth="1"/>
    <col min="15833" max="15843" width="10.28515625" style="2911" customWidth="1"/>
    <col min="15844" max="15993" width="9.140625" style="2911"/>
    <col min="15994" max="15994" width="55.7109375" style="2911" customWidth="1"/>
    <col min="15995" max="16086" width="9.140625" style="2911" customWidth="1"/>
    <col min="16087" max="16088" width="9.28515625" style="2911" customWidth="1"/>
    <col min="16089" max="16099" width="10.28515625" style="2911" customWidth="1"/>
    <col min="16100" max="16384" width="9.140625" style="2911"/>
  </cols>
  <sheetData>
    <row r="1" spans="1:58" s="2903" customFormat="1" ht="17.25" x14ac:dyDescent="0.3">
      <c r="A1" s="2902" t="s">
        <v>4807</v>
      </c>
      <c r="B1" s="3080"/>
      <c r="C1" s="3081"/>
      <c r="D1" s="3081"/>
      <c r="E1" s="3081"/>
      <c r="F1" s="3081"/>
      <c r="G1" s="3081"/>
      <c r="H1" s="3081"/>
      <c r="I1" s="3081"/>
      <c r="J1" s="3081"/>
      <c r="K1" s="3081"/>
      <c r="L1" s="3081"/>
      <c r="M1" s="3081"/>
      <c r="N1" s="3081"/>
      <c r="O1" s="3081"/>
      <c r="P1" s="3081"/>
      <c r="Q1" s="3081"/>
      <c r="R1" s="3081"/>
      <c r="S1" s="3081"/>
      <c r="T1" s="3081"/>
      <c r="U1" s="3081"/>
      <c r="V1" s="3081"/>
      <c r="W1" s="3081"/>
      <c r="X1" s="3081"/>
      <c r="Y1" s="3081"/>
      <c r="Z1" s="3081"/>
      <c r="AA1" s="3081"/>
      <c r="AB1" s="3081"/>
      <c r="AC1" s="3081"/>
      <c r="AD1" s="3081"/>
      <c r="AE1" s="3081"/>
      <c r="AF1" s="3081"/>
      <c r="AG1" s="3081"/>
      <c r="AH1" s="3081"/>
      <c r="AI1" s="3081"/>
      <c r="AJ1" s="3081"/>
      <c r="AK1" s="3081"/>
      <c r="AL1" s="3081"/>
      <c r="AM1" s="3081"/>
      <c r="AN1" s="3081"/>
      <c r="AO1" s="3081"/>
      <c r="AP1" s="3081"/>
      <c r="AQ1" s="3081"/>
      <c r="AR1" s="3081"/>
      <c r="AS1" s="3081"/>
      <c r="AT1" s="3081"/>
      <c r="AU1" s="3081"/>
      <c r="AV1" s="3081"/>
      <c r="AW1" s="3081"/>
      <c r="AX1" s="3081"/>
      <c r="AY1" s="3081"/>
      <c r="AZ1" s="3081"/>
      <c r="BA1" s="3081"/>
      <c r="BB1" s="3081"/>
      <c r="BC1" s="3081"/>
      <c r="BD1" s="3081"/>
      <c r="BE1" s="3081"/>
      <c r="BF1" s="3081"/>
    </row>
    <row r="2" spans="1:58" s="2903" customFormat="1" ht="17.25" customHeight="1" thickBot="1" x14ac:dyDescent="0.35">
      <c r="A2" s="3082"/>
      <c r="B2" s="3083"/>
      <c r="C2" s="3083"/>
      <c r="D2" s="3083"/>
      <c r="E2" s="2910"/>
      <c r="F2" s="3083"/>
      <c r="G2" s="3083"/>
      <c r="H2" s="2910"/>
      <c r="I2" s="2910"/>
      <c r="J2" s="2910"/>
      <c r="K2" s="2910"/>
      <c r="L2" s="2910"/>
      <c r="M2" s="2910"/>
      <c r="N2" s="2910"/>
      <c r="O2" s="2910"/>
      <c r="P2" s="2910"/>
      <c r="Q2" s="2910"/>
      <c r="R2" s="2910"/>
      <c r="S2" s="2910"/>
      <c r="T2" s="2910"/>
      <c r="U2" s="2910"/>
      <c r="V2" s="2910"/>
      <c r="W2" s="2910"/>
      <c r="X2" s="2910"/>
      <c r="Y2" s="2910"/>
      <c r="Z2" s="2910"/>
      <c r="AA2" s="2910"/>
      <c r="AB2" s="2910"/>
      <c r="AC2" s="3081"/>
      <c r="AD2" s="2910"/>
      <c r="AE2" s="2910"/>
      <c r="AF2" s="2910"/>
      <c r="AG2" s="2910"/>
      <c r="AH2" s="2910"/>
      <c r="AI2" s="2910"/>
      <c r="AJ2" s="2910"/>
      <c r="AK2" s="2910"/>
      <c r="AL2" s="2910"/>
      <c r="AM2" s="2910"/>
      <c r="AN2" s="2910"/>
      <c r="AO2" s="2910"/>
      <c r="AP2" s="2910"/>
      <c r="AQ2" s="2910"/>
      <c r="AR2" s="2910"/>
      <c r="AS2" s="2910"/>
      <c r="AT2" s="2910"/>
      <c r="AU2" s="2910"/>
      <c r="AV2" s="2910"/>
      <c r="AW2" s="2910"/>
      <c r="AX2" s="2910"/>
      <c r="AY2" s="2910"/>
      <c r="AZ2" s="2910"/>
      <c r="BA2" s="2910"/>
      <c r="BB2" s="2910"/>
      <c r="BC2" s="2910"/>
      <c r="BD2" s="2910"/>
      <c r="BE2" s="2910"/>
      <c r="BF2" s="2910" t="s">
        <v>1129</v>
      </c>
    </row>
    <row r="3" spans="1:58" ht="25.5" customHeight="1" thickTop="1" thickBot="1" x14ac:dyDescent="0.35">
      <c r="A3" s="3084"/>
      <c r="B3" s="3085">
        <v>43435</v>
      </c>
      <c r="C3" s="3085">
        <v>43466</v>
      </c>
      <c r="D3" s="3086">
        <v>43497</v>
      </c>
      <c r="E3" s="3086">
        <v>43525</v>
      </c>
      <c r="F3" s="3086">
        <v>43556</v>
      </c>
      <c r="G3" s="3086">
        <v>43586</v>
      </c>
      <c r="H3" s="3086">
        <v>43617</v>
      </c>
      <c r="I3" s="3086">
        <v>43647</v>
      </c>
      <c r="J3" s="3086">
        <v>43678</v>
      </c>
      <c r="K3" s="3086">
        <v>43709</v>
      </c>
      <c r="L3" s="3086">
        <v>43739</v>
      </c>
      <c r="M3" s="3086">
        <v>43770</v>
      </c>
      <c r="N3" s="3086">
        <v>43800</v>
      </c>
      <c r="O3" s="3086">
        <v>43831</v>
      </c>
      <c r="P3" s="3086">
        <v>43862</v>
      </c>
      <c r="Q3" s="3086">
        <v>43891</v>
      </c>
      <c r="R3" s="3086">
        <v>43922</v>
      </c>
      <c r="S3" s="3086">
        <v>43952</v>
      </c>
      <c r="T3" s="3086">
        <v>43983</v>
      </c>
      <c r="U3" s="3086">
        <v>44013</v>
      </c>
      <c r="V3" s="3086">
        <v>44044</v>
      </c>
      <c r="W3" s="3086">
        <v>44075</v>
      </c>
      <c r="X3" s="3086">
        <v>44105</v>
      </c>
      <c r="Y3" s="3086">
        <v>44136</v>
      </c>
      <c r="Z3" s="3086">
        <v>44166</v>
      </c>
      <c r="AA3" s="3086">
        <v>44197</v>
      </c>
      <c r="AB3" s="3063" t="s">
        <v>321</v>
      </c>
      <c r="AC3" s="3063" t="s">
        <v>322</v>
      </c>
      <c r="AD3" s="3063" t="s">
        <v>323</v>
      </c>
      <c r="AE3" s="3063" t="s">
        <v>324</v>
      </c>
      <c r="AF3" s="3063" t="s">
        <v>325</v>
      </c>
      <c r="AG3" s="3063" t="s">
        <v>326</v>
      </c>
      <c r="AH3" s="3063">
        <v>44439</v>
      </c>
      <c r="AI3" s="3063">
        <v>44469</v>
      </c>
      <c r="AJ3" s="3063">
        <v>44499</v>
      </c>
      <c r="AK3" s="3063">
        <v>44530</v>
      </c>
      <c r="AL3" s="3063">
        <v>44560</v>
      </c>
      <c r="AM3" s="3063">
        <v>44592</v>
      </c>
      <c r="AN3" s="3063">
        <v>44607</v>
      </c>
      <c r="AO3" s="3063">
        <v>44635</v>
      </c>
      <c r="AP3" s="3063">
        <v>44666</v>
      </c>
      <c r="AQ3" s="3063">
        <v>44696</v>
      </c>
      <c r="AR3" s="3063">
        <v>44727</v>
      </c>
      <c r="AS3" s="3063">
        <v>44757</v>
      </c>
      <c r="AT3" s="3063">
        <v>44788</v>
      </c>
      <c r="AU3" s="3063">
        <v>44819</v>
      </c>
      <c r="AV3" s="3063">
        <v>44849</v>
      </c>
      <c r="AW3" s="3063">
        <v>44880</v>
      </c>
      <c r="AX3" s="3063">
        <v>44910</v>
      </c>
      <c r="AY3" s="3063">
        <v>44941</v>
      </c>
      <c r="AZ3" s="3063">
        <v>44972</v>
      </c>
      <c r="BA3" s="3063">
        <v>45000</v>
      </c>
      <c r="BB3" s="3063">
        <v>45031</v>
      </c>
      <c r="BC3" s="3063">
        <v>45061</v>
      </c>
      <c r="BD3" s="3063">
        <v>45092</v>
      </c>
      <c r="BE3" s="3063">
        <v>45122</v>
      </c>
      <c r="BF3" s="3063">
        <v>45153</v>
      </c>
    </row>
    <row r="4" spans="1:58" ht="17.45" customHeight="1" x14ac:dyDescent="0.3">
      <c r="A4" s="3087" t="s">
        <v>4808</v>
      </c>
      <c r="B4" s="3088"/>
      <c r="C4" s="3088"/>
      <c r="D4" s="3088"/>
      <c r="E4" s="3088"/>
      <c r="F4" s="3088"/>
      <c r="G4" s="3088"/>
      <c r="H4" s="3088"/>
      <c r="I4" s="3088"/>
      <c r="J4" s="3088"/>
      <c r="K4" s="3088"/>
      <c r="L4" s="3088"/>
      <c r="M4" s="3088"/>
      <c r="N4" s="3088"/>
      <c r="O4" s="3088"/>
      <c r="P4" s="3088"/>
      <c r="Q4" s="3088"/>
      <c r="R4" s="3088"/>
      <c r="S4" s="3088"/>
      <c r="T4" s="3088"/>
      <c r="U4" s="3088"/>
      <c r="V4" s="3088"/>
      <c r="W4" s="3088"/>
      <c r="X4" s="3088"/>
      <c r="Y4" s="3088"/>
      <c r="Z4" s="3088"/>
      <c r="AA4" s="3088"/>
      <c r="AB4" s="3088"/>
      <c r="AC4" s="3088"/>
      <c r="AD4" s="3088"/>
      <c r="AE4" s="3088"/>
      <c r="AF4" s="3088"/>
      <c r="AG4" s="3088"/>
      <c r="AH4" s="3088"/>
      <c r="AI4" s="3088"/>
      <c r="AJ4" s="3088"/>
      <c r="AK4" s="3088"/>
      <c r="AL4" s="3088"/>
      <c r="AM4" s="3088"/>
      <c r="AN4" s="3088"/>
      <c r="AO4" s="3088"/>
      <c r="AP4" s="3088"/>
      <c r="AQ4" s="3088"/>
      <c r="AR4" s="3088"/>
      <c r="AS4" s="3088"/>
      <c r="AT4" s="3088"/>
      <c r="AU4" s="3088"/>
      <c r="AV4" s="3088"/>
      <c r="AW4" s="3088"/>
      <c r="AX4" s="3088"/>
      <c r="AY4" s="3088"/>
      <c r="AZ4" s="3088"/>
      <c r="BA4" s="3088"/>
      <c r="BB4" s="3088"/>
      <c r="BC4" s="3088"/>
      <c r="BD4" s="3088"/>
      <c r="BE4" s="3088"/>
      <c r="BF4" s="3088"/>
    </row>
    <row r="5" spans="1:58" ht="22.5" customHeight="1" x14ac:dyDescent="0.3">
      <c r="A5" s="3089" t="s">
        <v>4809</v>
      </c>
      <c r="B5" s="3090" t="s">
        <v>4810</v>
      </c>
      <c r="C5" s="3090" t="s">
        <v>4811</v>
      </c>
      <c r="D5" s="3090" t="s">
        <v>3103</v>
      </c>
      <c r="E5" s="3090" t="s">
        <v>4812</v>
      </c>
      <c r="F5" s="3090" t="s">
        <v>4813</v>
      </c>
      <c r="G5" s="3090" t="s">
        <v>4814</v>
      </c>
      <c r="H5" s="3090" t="s">
        <v>4815</v>
      </c>
      <c r="I5" s="3090" t="s">
        <v>4816</v>
      </c>
      <c r="J5" s="3090" t="s">
        <v>4817</v>
      </c>
      <c r="K5" s="3090" t="s">
        <v>4818</v>
      </c>
      <c r="L5" s="3090" t="s">
        <v>4819</v>
      </c>
      <c r="M5" s="3090" t="s">
        <v>4820</v>
      </c>
      <c r="N5" s="3090" t="s">
        <v>4821</v>
      </c>
      <c r="O5" s="3090" t="s">
        <v>4822</v>
      </c>
      <c r="P5" s="3090" t="s">
        <v>4823</v>
      </c>
      <c r="Q5" s="3090" t="s">
        <v>4824</v>
      </c>
      <c r="R5" s="3090" t="s">
        <v>4825</v>
      </c>
      <c r="S5" s="3090" t="s">
        <v>4826</v>
      </c>
      <c r="T5" s="3090" t="s">
        <v>4827</v>
      </c>
      <c r="U5" s="3090" t="s">
        <v>4828</v>
      </c>
      <c r="V5" s="3090" t="s">
        <v>4829</v>
      </c>
      <c r="W5" s="3090" t="s">
        <v>4830</v>
      </c>
      <c r="X5" s="3090" t="s">
        <v>4831</v>
      </c>
      <c r="Y5" s="3090" t="s">
        <v>4832</v>
      </c>
      <c r="Z5" s="3090" t="s">
        <v>4833</v>
      </c>
      <c r="AA5" s="3090" t="s">
        <v>4834</v>
      </c>
      <c r="AB5" s="3090" t="s">
        <v>4835</v>
      </c>
      <c r="AC5" s="3090" t="s">
        <v>4836</v>
      </c>
      <c r="AD5" s="3090" t="s">
        <v>4833</v>
      </c>
      <c r="AE5" s="3090" t="s">
        <v>4837</v>
      </c>
      <c r="AF5" s="3090" t="s">
        <v>4831</v>
      </c>
      <c r="AG5" s="3090" t="s">
        <v>4829</v>
      </c>
      <c r="AH5" s="3090" t="s">
        <v>4838</v>
      </c>
      <c r="AI5" s="3090" t="s">
        <v>4829</v>
      </c>
      <c r="AJ5" s="3090" t="s">
        <v>4839</v>
      </c>
      <c r="AK5" s="3090" t="s">
        <v>4840</v>
      </c>
      <c r="AL5" s="3090" t="s">
        <v>3034</v>
      </c>
      <c r="AM5" s="3090" t="s">
        <v>4841</v>
      </c>
      <c r="AN5" s="3090" t="s">
        <v>4842</v>
      </c>
      <c r="AO5" s="3090" t="s">
        <v>4843</v>
      </c>
      <c r="AP5" s="3090" t="s">
        <v>4844</v>
      </c>
      <c r="AQ5" s="3090" t="s">
        <v>4831</v>
      </c>
      <c r="AR5" s="3090" t="s">
        <v>4845</v>
      </c>
      <c r="AS5" s="3090" t="s">
        <v>4846</v>
      </c>
      <c r="AT5" s="3090" t="s">
        <v>4847</v>
      </c>
      <c r="AU5" s="3090" t="s">
        <v>4848</v>
      </c>
      <c r="AV5" s="3090" t="s">
        <v>4849</v>
      </c>
      <c r="AW5" s="3090" t="s">
        <v>4850</v>
      </c>
      <c r="AX5" s="3090" t="s">
        <v>4851</v>
      </c>
      <c r="AY5" s="3090" t="s">
        <v>4852</v>
      </c>
      <c r="AZ5" s="3090" t="s">
        <v>4853</v>
      </c>
      <c r="BA5" s="3090" t="s">
        <v>4854</v>
      </c>
      <c r="BB5" s="3090" t="s">
        <v>4855</v>
      </c>
      <c r="BC5" s="3090" t="s">
        <v>4856</v>
      </c>
      <c r="BD5" s="3090" t="s">
        <v>4857</v>
      </c>
      <c r="BE5" s="3090" t="s">
        <v>4858</v>
      </c>
      <c r="BF5" s="3090" t="s">
        <v>4859</v>
      </c>
    </row>
    <row r="6" spans="1:58" ht="22.5" customHeight="1" x14ac:dyDescent="0.3">
      <c r="A6" s="2929" t="s">
        <v>2907</v>
      </c>
      <c r="B6" s="3091" t="s">
        <v>4860</v>
      </c>
      <c r="C6" s="3091">
        <v>1.35</v>
      </c>
      <c r="D6" s="3091" t="s">
        <v>4861</v>
      </c>
      <c r="E6" s="3091" t="s">
        <v>4862</v>
      </c>
      <c r="F6" s="3091">
        <v>2.7</v>
      </c>
      <c r="G6" s="3091" t="s">
        <v>4863</v>
      </c>
      <c r="H6" s="3091">
        <v>3.5</v>
      </c>
      <c r="I6" s="3091" t="s">
        <v>1014</v>
      </c>
      <c r="J6" s="3091">
        <v>2</v>
      </c>
      <c r="K6" s="3091">
        <v>2</v>
      </c>
      <c r="L6" s="3091" t="s">
        <v>1014</v>
      </c>
      <c r="M6" s="3091" t="s">
        <v>1014</v>
      </c>
      <c r="N6" s="3091">
        <v>2</v>
      </c>
      <c r="O6" s="3091">
        <v>2.75</v>
      </c>
      <c r="P6" s="3091">
        <v>2.75</v>
      </c>
      <c r="Q6" s="3091" t="s">
        <v>1014</v>
      </c>
      <c r="R6" s="3091">
        <v>1.95</v>
      </c>
      <c r="S6" s="3091">
        <v>1</v>
      </c>
      <c r="T6" s="3091">
        <v>1</v>
      </c>
      <c r="U6" s="3091">
        <v>1</v>
      </c>
      <c r="V6" s="3091">
        <v>1</v>
      </c>
      <c r="W6" s="3091" t="s">
        <v>1340</v>
      </c>
      <c r="X6" s="3091" t="s">
        <v>1459</v>
      </c>
      <c r="Y6" s="3091" t="s">
        <v>1459</v>
      </c>
      <c r="Z6" s="3091" t="s">
        <v>1459</v>
      </c>
      <c r="AA6" s="3091">
        <v>1</v>
      </c>
      <c r="AB6" s="3091" t="s">
        <v>4864</v>
      </c>
      <c r="AC6" s="3091" t="s">
        <v>4865</v>
      </c>
      <c r="AD6" s="3091" t="s">
        <v>4866</v>
      </c>
      <c r="AE6" s="3091" t="s">
        <v>4867</v>
      </c>
      <c r="AF6" s="3091" t="s">
        <v>4868</v>
      </c>
      <c r="AG6" s="3091">
        <v>0.5</v>
      </c>
      <c r="AH6" s="3091" t="s">
        <v>4869</v>
      </c>
      <c r="AI6" s="3091" t="s">
        <v>4864</v>
      </c>
      <c r="AJ6" s="3091" t="s">
        <v>4870</v>
      </c>
      <c r="AK6" s="3091">
        <v>0.3</v>
      </c>
      <c r="AL6" s="3091" t="s">
        <v>4871</v>
      </c>
      <c r="AM6" s="3091" t="s">
        <v>4869</v>
      </c>
      <c r="AN6" s="3091" t="s">
        <v>1454</v>
      </c>
      <c r="AO6" s="3091" t="s">
        <v>4872</v>
      </c>
      <c r="AP6" s="3091" t="s">
        <v>4871</v>
      </c>
      <c r="AQ6" s="3091" t="s">
        <v>4873</v>
      </c>
      <c r="AR6" s="3091" t="s">
        <v>4872</v>
      </c>
      <c r="AS6" s="3091" t="s">
        <v>4869</v>
      </c>
      <c r="AT6" s="3091" t="s">
        <v>3058</v>
      </c>
      <c r="AU6" s="3091" t="s">
        <v>4874</v>
      </c>
      <c r="AV6" s="3091" t="s">
        <v>4875</v>
      </c>
      <c r="AW6" s="3091" t="s">
        <v>3272</v>
      </c>
      <c r="AX6" s="3091" t="s">
        <v>4876</v>
      </c>
      <c r="AY6" s="3091" t="s">
        <v>4877</v>
      </c>
      <c r="AZ6" s="3091" t="s">
        <v>4878</v>
      </c>
      <c r="BA6" s="3091" t="s">
        <v>4879</v>
      </c>
      <c r="BB6" s="3091" t="s">
        <v>4879</v>
      </c>
      <c r="BC6" s="3091" t="s">
        <v>4880</v>
      </c>
      <c r="BD6" s="3091" t="s">
        <v>4881</v>
      </c>
      <c r="BE6" s="3091" t="s">
        <v>4882</v>
      </c>
      <c r="BF6" s="3091" t="s">
        <v>4883</v>
      </c>
    </row>
    <row r="7" spans="1:58" ht="22.5" customHeight="1" x14ac:dyDescent="0.3">
      <c r="A7" s="2929" t="s">
        <v>2969</v>
      </c>
      <c r="B7" s="3091" t="s">
        <v>3055</v>
      </c>
      <c r="C7" s="3091" t="s">
        <v>4884</v>
      </c>
      <c r="D7" s="3091" t="s">
        <v>4885</v>
      </c>
      <c r="E7" s="3091" t="s">
        <v>3057</v>
      </c>
      <c r="F7" s="3091" t="s">
        <v>4886</v>
      </c>
      <c r="G7" s="3091" t="s">
        <v>4887</v>
      </c>
      <c r="H7" s="3091" t="s">
        <v>1014</v>
      </c>
      <c r="I7" s="3091" t="s">
        <v>4885</v>
      </c>
      <c r="J7" s="3091" t="s">
        <v>4888</v>
      </c>
      <c r="K7" s="3091" t="s">
        <v>4889</v>
      </c>
      <c r="L7" s="3091" t="s">
        <v>4890</v>
      </c>
      <c r="M7" s="3091" t="s">
        <v>1407</v>
      </c>
      <c r="N7" s="3091" t="s">
        <v>4891</v>
      </c>
      <c r="O7" s="3091" t="s">
        <v>4892</v>
      </c>
      <c r="P7" s="3091" t="s">
        <v>4889</v>
      </c>
      <c r="Q7" s="3091" t="s">
        <v>4893</v>
      </c>
      <c r="R7" s="3091" t="s">
        <v>1014</v>
      </c>
      <c r="S7" s="3091" t="s">
        <v>4894</v>
      </c>
      <c r="T7" s="3091" t="s">
        <v>4895</v>
      </c>
      <c r="U7" s="3091" t="s">
        <v>4896</v>
      </c>
      <c r="V7" s="3091" t="s">
        <v>3140</v>
      </c>
      <c r="W7" s="3091" t="s">
        <v>2981</v>
      </c>
      <c r="X7" s="3091" t="s">
        <v>4897</v>
      </c>
      <c r="Y7" s="3091" t="s">
        <v>4898</v>
      </c>
      <c r="Z7" s="3091" t="s">
        <v>4899</v>
      </c>
      <c r="AA7" s="3091" t="s">
        <v>3077</v>
      </c>
      <c r="AB7" s="3091" t="s">
        <v>4900</v>
      </c>
      <c r="AC7" s="3091" t="s">
        <v>4901</v>
      </c>
      <c r="AD7" s="3091" t="s">
        <v>3076</v>
      </c>
      <c r="AE7" s="3091" t="s">
        <v>4902</v>
      </c>
      <c r="AF7" s="3091" t="s">
        <v>4903</v>
      </c>
      <c r="AG7" s="3091" t="s">
        <v>4904</v>
      </c>
      <c r="AH7" s="3091" t="s">
        <v>4905</v>
      </c>
      <c r="AI7" s="3091" t="s">
        <v>4904</v>
      </c>
      <c r="AJ7" s="3091" t="s">
        <v>2981</v>
      </c>
      <c r="AK7" s="3091" t="s">
        <v>4906</v>
      </c>
      <c r="AL7" s="3091" t="s">
        <v>3044</v>
      </c>
      <c r="AM7" s="3091" t="s">
        <v>4906</v>
      </c>
      <c r="AN7" s="3091" t="s">
        <v>4907</v>
      </c>
      <c r="AO7" s="3091" t="s">
        <v>4908</v>
      </c>
      <c r="AP7" s="3091" t="s">
        <v>4909</v>
      </c>
      <c r="AQ7" s="3091" t="s">
        <v>4897</v>
      </c>
      <c r="AR7" s="3091" t="s">
        <v>4910</v>
      </c>
      <c r="AS7" s="3091" t="s">
        <v>4911</v>
      </c>
      <c r="AT7" s="3091" t="s">
        <v>4912</v>
      </c>
      <c r="AU7" s="3091" t="s">
        <v>4908</v>
      </c>
      <c r="AV7" s="3091" t="s">
        <v>4913</v>
      </c>
      <c r="AW7" s="3091" t="s">
        <v>1453</v>
      </c>
      <c r="AX7" s="3091" t="s">
        <v>3196</v>
      </c>
      <c r="AY7" s="3091" t="s">
        <v>3241</v>
      </c>
      <c r="AZ7" s="3091" t="s">
        <v>4914</v>
      </c>
      <c r="BA7" s="3091" t="s">
        <v>4915</v>
      </c>
      <c r="BB7" s="3091" t="s">
        <v>4916</v>
      </c>
      <c r="BC7" s="3091" t="s">
        <v>4917</v>
      </c>
      <c r="BD7" s="3091" t="s">
        <v>4916</v>
      </c>
      <c r="BE7" s="3091" t="s">
        <v>4918</v>
      </c>
      <c r="BF7" s="3091" t="s">
        <v>4919</v>
      </c>
    </row>
    <row r="8" spans="1:58" ht="22.5" customHeight="1" x14ac:dyDescent="0.3">
      <c r="A8" s="2929" t="s">
        <v>3037</v>
      </c>
      <c r="B8" s="3091" t="s">
        <v>4920</v>
      </c>
      <c r="C8" s="3091" t="s">
        <v>4921</v>
      </c>
      <c r="D8" s="3091" t="s">
        <v>1359</v>
      </c>
      <c r="E8" s="3091" t="s">
        <v>4922</v>
      </c>
      <c r="F8" s="3091" t="s">
        <v>4923</v>
      </c>
      <c r="G8" s="3091" t="s">
        <v>1359</v>
      </c>
      <c r="H8" s="3091" t="s">
        <v>1014</v>
      </c>
      <c r="I8" s="3091" t="s">
        <v>1359</v>
      </c>
      <c r="J8" s="3091" t="s">
        <v>4924</v>
      </c>
      <c r="K8" s="3091" t="s">
        <v>4924</v>
      </c>
      <c r="L8" s="3091" t="s">
        <v>4697</v>
      </c>
      <c r="M8" s="3091" t="s">
        <v>3189</v>
      </c>
      <c r="N8" s="3091" t="s">
        <v>4925</v>
      </c>
      <c r="O8" s="3091" t="s">
        <v>4926</v>
      </c>
      <c r="P8" s="3091" t="s">
        <v>4926</v>
      </c>
      <c r="Q8" s="3091" t="s">
        <v>4927</v>
      </c>
      <c r="R8" s="3091" t="s">
        <v>4928</v>
      </c>
      <c r="S8" s="3091" t="s">
        <v>4929</v>
      </c>
      <c r="T8" s="3091" t="s">
        <v>4930</v>
      </c>
      <c r="U8" s="3091" t="s">
        <v>4931</v>
      </c>
      <c r="V8" s="3091" t="s">
        <v>4932</v>
      </c>
      <c r="W8" s="3091" t="s">
        <v>4933</v>
      </c>
      <c r="X8" s="3091" t="s">
        <v>4934</v>
      </c>
      <c r="Y8" s="3091" t="s">
        <v>4935</v>
      </c>
      <c r="Z8" s="3091" t="s">
        <v>4936</v>
      </c>
      <c r="AA8" s="3091" t="s">
        <v>4937</v>
      </c>
      <c r="AB8" s="3091" t="s">
        <v>4934</v>
      </c>
      <c r="AC8" s="3091" t="s">
        <v>4938</v>
      </c>
      <c r="AD8" s="3091" t="s">
        <v>4930</v>
      </c>
      <c r="AE8" s="3091" t="s">
        <v>3049</v>
      </c>
      <c r="AF8" s="3091" t="s">
        <v>4939</v>
      </c>
      <c r="AG8" s="3091" t="s">
        <v>4940</v>
      </c>
      <c r="AH8" s="3091" t="s">
        <v>4941</v>
      </c>
      <c r="AI8" s="3091" t="s">
        <v>3049</v>
      </c>
      <c r="AJ8" s="3091" t="s">
        <v>4942</v>
      </c>
      <c r="AK8" s="3091" t="s">
        <v>4943</v>
      </c>
      <c r="AL8" s="3091" t="s">
        <v>4944</v>
      </c>
      <c r="AM8" s="3091" t="s">
        <v>4945</v>
      </c>
      <c r="AN8" s="3091" t="s">
        <v>4946</v>
      </c>
      <c r="AO8" s="3091" t="s">
        <v>4933</v>
      </c>
      <c r="AP8" s="3091" t="s">
        <v>3275</v>
      </c>
      <c r="AQ8" s="3091" t="s">
        <v>4947</v>
      </c>
      <c r="AR8" s="3091" t="s">
        <v>4948</v>
      </c>
      <c r="AS8" s="3091" t="s">
        <v>4949</v>
      </c>
      <c r="AT8" s="3091" t="s">
        <v>4950</v>
      </c>
      <c r="AU8" s="3091" t="s">
        <v>3285</v>
      </c>
      <c r="AV8" s="3091" t="s">
        <v>4885</v>
      </c>
      <c r="AW8" s="3091" t="s">
        <v>4951</v>
      </c>
      <c r="AX8" s="3091" t="s">
        <v>4952</v>
      </c>
      <c r="AY8" s="3091" t="s">
        <v>4953</v>
      </c>
      <c r="AZ8" s="3091" t="s">
        <v>4954</v>
      </c>
      <c r="BA8" s="3091" t="s">
        <v>4951</v>
      </c>
      <c r="BB8" s="3091" t="s">
        <v>4919</v>
      </c>
      <c r="BC8" s="3091" t="s">
        <v>4955</v>
      </c>
      <c r="BD8" s="3091" t="s">
        <v>4956</v>
      </c>
      <c r="BE8" s="3091" t="s">
        <v>4957</v>
      </c>
      <c r="BF8" s="3091" t="s">
        <v>4958</v>
      </c>
    </row>
    <row r="9" spans="1:58" ht="22.5" customHeight="1" x14ac:dyDescent="0.3">
      <c r="A9" s="2929" t="s">
        <v>3105</v>
      </c>
      <c r="B9" s="3091" t="s">
        <v>4959</v>
      </c>
      <c r="C9" s="3091" t="s">
        <v>4960</v>
      </c>
      <c r="D9" s="3091" t="s">
        <v>4961</v>
      </c>
      <c r="E9" s="3091" t="s">
        <v>4962</v>
      </c>
      <c r="F9" s="3091" t="s">
        <v>4962</v>
      </c>
      <c r="G9" s="3091" t="s">
        <v>4963</v>
      </c>
      <c r="H9" s="3091" t="s">
        <v>4964</v>
      </c>
      <c r="I9" s="3091" t="s">
        <v>4965</v>
      </c>
      <c r="J9" s="3091" t="s">
        <v>4966</v>
      </c>
      <c r="K9" s="3091" t="s">
        <v>4967</v>
      </c>
      <c r="L9" s="3091" t="s">
        <v>4968</v>
      </c>
      <c r="M9" s="3091" t="s">
        <v>4969</v>
      </c>
      <c r="N9" s="3091" t="s">
        <v>1439</v>
      </c>
      <c r="O9" s="3091" t="s">
        <v>4970</v>
      </c>
      <c r="P9" s="3091" t="s">
        <v>4971</v>
      </c>
      <c r="Q9" s="3091" t="s">
        <v>4972</v>
      </c>
      <c r="R9" s="3091" t="s">
        <v>4973</v>
      </c>
      <c r="S9" s="3091" t="s">
        <v>4974</v>
      </c>
      <c r="T9" s="3091" t="s">
        <v>4975</v>
      </c>
      <c r="U9" s="3091" t="s">
        <v>4976</v>
      </c>
      <c r="V9" s="3091" t="s">
        <v>1455</v>
      </c>
      <c r="W9" s="3091" t="s">
        <v>4977</v>
      </c>
      <c r="X9" s="3091" t="s">
        <v>4943</v>
      </c>
      <c r="Y9" s="3091" t="s">
        <v>4978</v>
      </c>
      <c r="Z9" s="3091" t="s">
        <v>4974</v>
      </c>
      <c r="AA9" s="3091" t="s">
        <v>4979</v>
      </c>
      <c r="AB9" s="3091" t="s">
        <v>1438</v>
      </c>
      <c r="AC9" s="3091" t="s">
        <v>4980</v>
      </c>
      <c r="AD9" s="3091" t="s">
        <v>4981</v>
      </c>
      <c r="AE9" s="3091" t="s">
        <v>4982</v>
      </c>
      <c r="AF9" s="3091" t="s">
        <v>3113</v>
      </c>
      <c r="AG9" s="3091" t="s">
        <v>4983</v>
      </c>
      <c r="AH9" s="3091" t="s">
        <v>4984</v>
      </c>
      <c r="AI9" s="3091" t="s">
        <v>4985</v>
      </c>
      <c r="AJ9" s="3091" t="s">
        <v>4986</v>
      </c>
      <c r="AK9" s="3091" t="s">
        <v>3112</v>
      </c>
      <c r="AL9" s="3091" t="s">
        <v>4987</v>
      </c>
      <c r="AM9" s="3091" t="s">
        <v>3113</v>
      </c>
      <c r="AN9" s="3091" t="s">
        <v>4988</v>
      </c>
      <c r="AO9" s="3091" t="s">
        <v>4989</v>
      </c>
      <c r="AP9" s="3091" t="s">
        <v>4989</v>
      </c>
      <c r="AQ9" s="3091" t="s">
        <v>4990</v>
      </c>
      <c r="AR9" s="3091" t="s">
        <v>3055</v>
      </c>
      <c r="AS9" s="3091" t="s">
        <v>3109</v>
      </c>
      <c r="AT9" s="3091" t="s">
        <v>4991</v>
      </c>
      <c r="AU9" s="3091" t="s">
        <v>4992</v>
      </c>
      <c r="AV9" s="3091" t="s">
        <v>4993</v>
      </c>
      <c r="AW9" s="3091" t="s">
        <v>4994</v>
      </c>
      <c r="AX9" s="3091" t="s">
        <v>4995</v>
      </c>
      <c r="AY9" s="3091" t="s">
        <v>4996</v>
      </c>
      <c r="AZ9" s="3091" t="s">
        <v>4997</v>
      </c>
      <c r="BA9" s="3091" t="s">
        <v>4997</v>
      </c>
      <c r="BB9" s="3091" t="s">
        <v>4997</v>
      </c>
      <c r="BC9" s="3091" t="s">
        <v>4998</v>
      </c>
      <c r="BD9" s="3091" t="s">
        <v>4999</v>
      </c>
      <c r="BE9" s="3091" t="s">
        <v>5000</v>
      </c>
      <c r="BF9" s="3091" t="s">
        <v>4999</v>
      </c>
    </row>
    <row r="10" spans="1:58" ht="22.5" customHeight="1" x14ac:dyDescent="0.3">
      <c r="A10" s="2929" t="s">
        <v>3165</v>
      </c>
      <c r="B10" s="3091" t="s">
        <v>4953</v>
      </c>
      <c r="C10" s="3091" t="s">
        <v>5001</v>
      </c>
      <c r="D10" s="3091" t="s">
        <v>5002</v>
      </c>
      <c r="E10" s="3091" t="s">
        <v>5003</v>
      </c>
      <c r="F10" s="3091" t="s">
        <v>5004</v>
      </c>
      <c r="G10" s="3091" t="s">
        <v>5005</v>
      </c>
      <c r="H10" s="3091" t="s">
        <v>5006</v>
      </c>
      <c r="I10" s="3091" t="s">
        <v>5007</v>
      </c>
      <c r="J10" s="3091" t="s">
        <v>5008</v>
      </c>
      <c r="K10" s="3091" t="s">
        <v>5009</v>
      </c>
      <c r="L10" s="3091" t="s">
        <v>5010</v>
      </c>
      <c r="M10" s="3091" t="s">
        <v>5011</v>
      </c>
      <c r="N10" s="3091" t="s">
        <v>4964</v>
      </c>
      <c r="O10" s="3091" t="s">
        <v>5012</v>
      </c>
      <c r="P10" s="3091" t="s">
        <v>5004</v>
      </c>
      <c r="Q10" s="3091" t="s">
        <v>5004</v>
      </c>
      <c r="R10" s="3091" t="s">
        <v>5013</v>
      </c>
      <c r="S10" s="3091" t="s">
        <v>5014</v>
      </c>
      <c r="T10" s="3091" t="s">
        <v>5015</v>
      </c>
      <c r="U10" s="3091" t="s">
        <v>5016</v>
      </c>
      <c r="V10" s="3091" t="s">
        <v>5017</v>
      </c>
      <c r="W10" s="3091" t="s">
        <v>1502</v>
      </c>
      <c r="X10" s="3091" t="s">
        <v>5018</v>
      </c>
      <c r="Y10" s="3091" t="s">
        <v>5019</v>
      </c>
      <c r="Z10" s="3091" t="s">
        <v>5020</v>
      </c>
      <c r="AA10" s="3091" t="s">
        <v>5021</v>
      </c>
      <c r="AB10" s="3091" t="s">
        <v>5020</v>
      </c>
      <c r="AC10" s="3091" t="s">
        <v>5022</v>
      </c>
      <c r="AD10" s="3091" t="s">
        <v>5023</v>
      </c>
      <c r="AE10" s="3091" t="s">
        <v>1358</v>
      </c>
      <c r="AF10" s="3091" t="s">
        <v>5024</v>
      </c>
      <c r="AG10" s="3091" t="s">
        <v>5025</v>
      </c>
      <c r="AH10" s="3091" t="s">
        <v>5026</v>
      </c>
      <c r="AI10" s="3091" t="s">
        <v>5027</v>
      </c>
      <c r="AJ10" s="3091" t="s">
        <v>5028</v>
      </c>
      <c r="AK10" s="3091" t="s">
        <v>5029</v>
      </c>
      <c r="AL10" s="3091" t="s">
        <v>5030</v>
      </c>
      <c r="AM10" s="3091" t="s">
        <v>5031</v>
      </c>
      <c r="AN10" s="3091" t="s">
        <v>5020</v>
      </c>
      <c r="AO10" s="3091" t="s">
        <v>5028</v>
      </c>
      <c r="AP10" s="3091" t="s">
        <v>5032</v>
      </c>
      <c r="AQ10" s="3091" t="s">
        <v>5033</v>
      </c>
      <c r="AR10" s="3091" t="s">
        <v>5034</v>
      </c>
      <c r="AS10" s="3091" t="s">
        <v>5035</v>
      </c>
      <c r="AT10" s="3091" t="s">
        <v>5036</v>
      </c>
      <c r="AU10" s="3091" t="s">
        <v>3108</v>
      </c>
      <c r="AV10" s="3091" t="s">
        <v>4653</v>
      </c>
      <c r="AW10" s="3091" t="s">
        <v>5037</v>
      </c>
      <c r="AX10" s="3091" t="s">
        <v>5038</v>
      </c>
      <c r="AY10" s="3091" t="s">
        <v>5039</v>
      </c>
      <c r="AZ10" s="3091" t="s">
        <v>5040</v>
      </c>
      <c r="BA10" s="3091" t="s">
        <v>3232</v>
      </c>
      <c r="BB10" s="3091" t="s">
        <v>3301</v>
      </c>
      <c r="BC10" s="3091" t="s">
        <v>3232</v>
      </c>
      <c r="BD10" s="3091" t="s">
        <v>5041</v>
      </c>
      <c r="BE10" s="3091" t="s">
        <v>5042</v>
      </c>
      <c r="BF10" s="3091" t="s">
        <v>5043</v>
      </c>
    </row>
    <row r="11" spans="1:58" ht="22.5" customHeight="1" thickBot="1" x14ac:dyDescent="0.35">
      <c r="A11" s="2932" t="s">
        <v>3237</v>
      </c>
      <c r="B11" s="3092" t="s">
        <v>5044</v>
      </c>
      <c r="C11" s="3092" t="s">
        <v>5045</v>
      </c>
      <c r="D11" s="3092" t="s">
        <v>5045</v>
      </c>
      <c r="E11" s="3092" t="s">
        <v>5046</v>
      </c>
      <c r="F11" s="3092" t="s">
        <v>5047</v>
      </c>
      <c r="G11" s="3092" t="s">
        <v>5047</v>
      </c>
      <c r="H11" s="3092" t="s">
        <v>5047</v>
      </c>
      <c r="I11" s="3092" t="s">
        <v>5045</v>
      </c>
      <c r="J11" s="3092" t="s">
        <v>5048</v>
      </c>
      <c r="K11" s="3092" t="s">
        <v>5049</v>
      </c>
      <c r="L11" s="3092" t="s">
        <v>5048</v>
      </c>
      <c r="M11" s="3092" t="s">
        <v>5050</v>
      </c>
      <c r="N11" s="3092" t="s">
        <v>5051</v>
      </c>
      <c r="O11" s="3092" t="s">
        <v>5051</v>
      </c>
      <c r="P11" s="3092" t="s">
        <v>5045</v>
      </c>
      <c r="Q11" s="3092" t="s">
        <v>5048</v>
      </c>
      <c r="R11" s="3092" t="s">
        <v>5052</v>
      </c>
      <c r="S11" s="3092" t="s">
        <v>4915</v>
      </c>
      <c r="T11" s="3092" t="s">
        <v>5053</v>
      </c>
      <c r="U11" s="3092" t="s">
        <v>5016</v>
      </c>
      <c r="V11" s="3092" t="s">
        <v>5016</v>
      </c>
      <c r="W11" s="3092" t="s">
        <v>5054</v>
      </c>
      <c r="X11" s="3092" t="s">
        <v>1332</v>
      </c>
      <c r="Y11" s="3092" t="s">
        <v>5055</v>
      </c>
      <c r="Z11" s="3092" t="s">
        <v>4885</v>
      </c>
      <c r="AA11" s="3092" t="s">
        <v>1339</v>
      </c>
      <c r="AB11" s="3092" t="s">
        <v>5056</v>
      </c>
      <c r="AC11" s="3092" t="s">
        <v>4885</v>
      </c>
      <c r="AD11" s="3092" t="s">
        <v>4714</v>
      </c>
      <c r="AE11" s="3092" t="s">
        <v>4885</v>
      </c>
      <c r="AF11" s="3092" t="s">
        <v>4885</v>
      </c>
      <c r="AG11" s="3092" t="s">
        <v>5057</v>
      </c>
      <c r="AH11" s="3092" t="s">
        <v>5058</v>
      </c>
      <c r="AI11" s="3092" t="s">
        <v>5016</v>
      </c>
      <c r="AJ11" s="3092" t="s">
        <v>4991</v>
      </c>
      <c r="AK11" s="3092" t="s">
        <v>5054</v>
      </c>
      <c r="AL11" s="3092" t="s">
        <v>5059</v>
      </c>
      <c r="AM11" s="3092" t="s">
        <v>5059</v>
      </c>
      <c r="AN11" s="3092" t="s">
        <v>1339</v>
      </c>
      <c r="AO11" s="3092" t="s">
        <v>5060</v>
      </c>
      <c r="AP11" s="3092" t="s">
        <v>5061</v>
      </c>
      <c r="AQ11" s="3092" t="s">
        <v>4992</v>
      </c>
      <c r="AR11" s="3092" t="s">
        <v>5062</v>
      </c>
      <c r="AS11" s="3092" t="s">
        <v>5063</v>
      </c>
      <c r="AT11" s="3092" t="s">
        <v>5064</v>
      </c>
      <c r="AU11" s="3092" t="s">
        <v>5065</v>
      </c>
      <c r="AV11" s="3092" t="s">
        <v>4816</v>
      </c>
      <c r="AW11" s="3092" t="s">
        <v>5066</v>
      </c>
      <c r="AX11" s="3092" t="s">
        <v>5067</v>
      </c>
      <c r="AY11" s="3092" t="s">
        <v>5068</v>
      </c>
      <c r="AZ11" s="3092" t="s">
        <v>5069</v>
      </c>
      <c r="BA11" s="3092" t="s">
        <v>5070</v>
      </c>
      <c r="BB11" s="3092" t="s">
        <v>5071</v>
      </c>
      <c r="BC11" s="3092" t="s">
        <v>5071</v>
      </c>
      <c r="BD11" s="3092" t="s">
        <v>5072</v>
      </c>
      <c r="BE11" s="3092" t="s">
        <v>5073</v>
      </c>
      <c r="BF11" s="3092" t="s">
        <v>5074</v>
      </c>
    </row>
    <row r="12" spans="1:58" s="2903" customFormat="1" ht="15" customHeight="1" thickTop="1" x14ac:dyDescent="0.25">
      <c r="A12" s="218" t="s">
        <v>4797</v>
      </c>
      <c r="C12" s="3081"/>
      <c r="D12" s="3081"/>
      <c r="E12" s="3081"/>
      <c r="F12" s="3081"/>
      <c r="G12" s="3081"/>
      <c r="H12" s="3081"/>
      <c r="I12" s="3081"/>
      <c r="J12" s="3081"/>
      <c r="K12" s="3081"/>
      <c r="L12" s="3081"/>
      <c r="M12" s="3081"/>
      <c r="N12" s="3081"/>
      <c r="O12" s="3081"/>
      <c r="P12" s="3081"/>
      <c r="Q12" s="3081"/>
      <c r="R12" s="3081"/>
      <c r="S12" s="3081"/>
      <c r="T12" s="3081"/>
      <c r="U12" s="3081"/>
      <c r="V12" s="3081"/>
      <c r="W12" s="3081"/>
      <c r="X12" s="3081"/>
      <c r="Y12" s="3081"/>
      <c r="Z12" s="3081"/>
      <c r="AA12" s="3081"/>
      <c r="AB12" s="3081"/>
      <c r="AC12" s="3081"/>
      <c r="AD12" s="3081"/>
      <c r="AE12" s="3081"/>
      <c r="AF12" s="3081"/>
      <c r="AG12" s="3081"/>
      <c r="AH12" s="3081"/>
      <c r="AI12" s="3081"/>
      <c r="AJ12" s="3081"/>
      <c r="AK12" s="3081"/>
      <c r="AL12" s="3081"/>
      <c r="AM12" s="3081"/>
      <c r="AN12" s="3081"/>
      <c r="AO12" s="3081"/>
      <c r="AP12" s="3081"/>
      <c r="AQ12" s="3081"/>
      <c r="AR12" s="3081"/>
      <c r="AS12" s="3081"/>
      <c r="AT12" s="3081"/>
      <c r="AU12" s="3081"/>
      <c r="AV12" s="3081"/>
      <c r="AW12" s="3081"/>
      <c r="AX12" s="3081"/>
      <c r="AY12" s="3081"/>
      <c r="AZ12" s="3081"/>
      <c r="BA12" s="3081"/>
      <c r="BB12" s="3081"/>
      <c r="BC12" s="3081"/>
      <c r="BD12" s="3081"/>
      <c r="BE12" s="3081"/>
      <c r="BF12" s="3081"/>
    </row>
    <row r="13" spans="1:58" s="3094" customFormat="1" ht="20.25" customHeight="1" x14ac:dyDescent="0.25">
      <c r="A13" s="3093" t="s">
        <v>290</v>
      </c>
      <c r="C13" s="3095"/>
      <c r="D13" s="3095"/>
      <c r="E13" s="3095"/>
      <c r="F13" s="3095"/>
      <c r="G13" s="3095"/>
      <c r="H13" s="3095"/>
      <c r="I13" s="3095"/>
      <c r="J13" s="3095"/>
      <c r="K13" s="3095"/>
      <c r="L13" s="3095"/>
      <c r="M13" s="3095"/>
      <c r="N13" s="3095"/>
      <c r="O13" s="3095"/>
      <c r="P13" s="3095"/>
      <c r="Q13" s="3095"/>
      <c r="R13" s="3095"/>
      <c r="S13" s="3095"/>
      <c r="T13" s="3095"/>
      <c r="U13" s="3095"/>
      <c r="V13" s="3095"/>
      <c r="W13" s="3095"/>
      <c r="X13" s="3095"/>
      <c r="Y13" s="3095"/>
      <c r="Z13" s="3095"/>
      <c r="AA13" s="3095"/>
      <c r="AB13" s="3095"/>
      <c r="AC13" s="3095"/>
      <c r="AD13" s="3095"/>
      <c r="AE13" s="3095"/>
      <c r="AF13" s="3095"/>
      <c r="AG13" s="3095"/>
      <c r="AH13" s="3095"/>
      <c r="AI13" s="3095"/>
      <c r="AJ13" s="3095"/>
      <c r="AK13" s="3095"/>
      <c r="AL13" s="3095"/>
      <c r="AM13" s="3095"/>
      <c r="AN13" s="3095"/>
      <c r="AO13" s="3095"/>
      <c r="AP13" s="3095"/>
      <c r="AQ13" s="3095"/>
      <c r="AR13" s="3095"/>
      <c r="AS13" s="3095"/>
      <c r="AT13" s="3095"/>
      <c r="AU13" s="3095"/>
      <c r="AV13" s="3095"/>
      <c r="AW13" s="3095"/>
      <c r="AX13" s="3095"/>
      <c r="AY13" s="3095"/>
      <c r="AZ13" s="3095"/>
      <c r="BA13" s="3095"/>
      <c r="BB13" s="3095"/>
      <c r="BC13" s="3095"/>
      <c r="BD13" s="3095"/>
      <c r="BE13" s="3095"/>
      <c r="BF13" s="3095"/>
    </row>
  </sheetData>
  <pageMargins left="0.75" right="0.75" top="0.75" bottom="0.75" header="0.3" footer="0"/>
  <pageSetup paperSize="9" scale="61"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L32"/>
  <sheetViews>
    <sheetView showGridLines="0" zoomScale="85" zoomScaleNormal="85" zoomScaleSheetLayoutView="85" workbookViewId="0">
      <pane xSplit="3" ySplit="3" topLeftCell="Z4" activePane="bottomRight" state="frozen"/>
      <selection activeCell="A38" sqref="A38"/>
      <selection pane="topRight" activeCell="A38" sqref="A38"/>
      <selection pane="bottomLeft" activeCell="A38" sqref="A38"/>
      <selection pane="bottomRight" activeCell="A38" sqref="A38"/>
    </sheetView>
  </sheetViews>
  <sheetFormatPr defaultColWidth="9.140625" defaultRowHeight="20.25" x14ac:dyDescent="0.35"/>
  <cols>
    <col min="1" max="1" width="79.28515625" style="3119" customWidth="1"/>
    <col min="2" max="4" width="13.85546875" style="3120" hidden="1" customWidth="1"/>
    <col min="5" max="25" width="14.140625" style="2950" hidden="1" customWidth="1"/>
    <col min="26" max="38" width="14.140625" style="2950" customWidth="1"/>
    <col min="39" max="16384" width="9.140625" style="2950"/>
  </cols>
  <sheetData>
    <row r="1" spans="1:38" ht="23.25" customHeight="1" x14ac:dyDescent="0.3">
      <c r="A1" s="2871" t="s">
        <v>5075</v>
      </c>
      <c r="B1" s="2871"/>
      <c r="C1" s="2871"/>
      <c r="D1" s="2871"/>
      <c r="E1" s="2980"/>
      <c r="F1" s="2980"/>
      <c r="G1" s="2980"/>
      <c r="H1" s="2980"/>
      <c r="I1" s="2980"/>
      <c r="J1" s="2980"/>
      <c r="K1" s="2980"/>
      <c r="L1" s="2980"/>
      <c r="M1" s="2980"/>
      <c r="N1" s="2980"/>
      <c r="O1" s="2980"/>
      <c r="P1" s="2980"/>
      <c r="Q1" s="2980"/>
      <c r="R1" s="2980"/>
      <c r="S1" s="2980"/>
      <c r="T1" s="2980"/>
      <c r="U1" s="2980"/>
      <c r="V1" s="2980"/>
      <c r="W1" s="2980"/>
      <c r="X1" s="2980"/>
      <c r="Y1" s="2980"/>
      <c r="Z1" s="2980"/>
      <c r="AA1" s="2980"/>
      <c r="AB1" s="2980"/>
      <c r="AC1" s="2980"/>
      <c r="AD1" s="2980"/>
      <c r="AE1" s="2980"/>
      <c r="AF1" s="2980"/>
      <c r="AG1" s="2980"/>
      <c r="AH1" s="2980"/>
      <c r="AI1" s="2980"/>
      <c r="AJ1" s="2980"/>
      <c r="AK1" s="2980"/>
      <c r="AL1" s="2980"/>
    </row>
    <row r="2" spans="1:38" s="3098" customFormat="1" ht="23.1" customHeight="1" thickBot="1" x14ac:dyDescent="0.3">
      <c r="A2" s="3097"/>
      <c r="E2" s="3099"/>
      <c r="F2" s="3099"/>
      <c r="G2" s="3099"/>
      <c r="H2" s="3099"/>
      <c r="I2" s="3099"/>
      <c r="J2" s="3099"/>
      <c r="K2" s="3099"/>
      <c r="L2" s="3099"/>
      <c r="M2" s="3099"/>
      <c r="N2" s="3099"/>
      <c r="O2" s="3099"/>
      <c r="P2" s="3099"/>
      <c r="Q2" s="3099"/>
      <c r="R2" s="3099"/>
      <c r="S2" s="3099"/>
      <c r="T2" s="3099"/>
      <c r="U2" s="3099"/>
      <c r="V2" s="3099"/>
      <c r="Z2" s="3099"/>
      <c r="AA2" s="3099"/>
      <c r="AB2" s="3099"/>
      <c r="AC2" s="3099"/>
      <c r="AD2" s="3099"/>
      <c r="AE2" s="3099"/>
      <c r="AF2" s="3099"/>
      <c r="AG2" s="3099"/>
      <c r="AH2" s="3099"/>
      <c r="AI2" s="3099"/>
      <c r="AJ2" s="3099"/>
      <c r="AK2" s="3099"/>
      <c r="AL2" s="3099" t="s">
        <v>1129</v>
      </c>
    </row>
    <row r="3" spans="1:38" ht="30" customHeight="1" thickTop="1" thickBot="1" x14ac:dyDescent="0.4">
      <c r="A3" s="3100"/>
      <c r="B3" s="2949">
        <v>43435</v>
      </c>
      <c r="C3" s="2949">
        <v>43466</v>
      </c>
      <c r="D3" s="2949">
        <v>43497</v>
      </c>
      <c r="E3" s="2949">
        <v>43525</v>
      </c>
      <c r="F3" s="2949">
        <v>43556</v>
      </c>
      <c r="G3" s="2949">
        <v>43586</v>
      </c>
      <c r="H3" s="3101" t="s">
        <v>468</v>
      </c>
      <c r="I3" s="2949">
        <v>43647</v>
      </c>
      <c r="J3" s="2949">
        <v>43678</v>
      </c>
      <c r="K3" s="2949">
        <v>43709</v>
      </c>
      <c r="L3" s="2949">
        <v>43739</v>
      </c>
      <c r="M3" s="2949">
        <v>43770</v>
      </c>
      <c r="N3" s="3101" t="s">
        <v>899</v>
      </c>
      <c r="O3" s="3101" t="s">
        <v>2854</v>
      </c>
      <c r="P3" s="3101" t="s">
        <v>4802</v>
      </c>
      <c r="Q3" s="3101" t="s">
        <v>900</v>
      </c>
      <c r="R3" s="3101" t="s">
        <v>311</v>
      </c>
      <c r="S3" s="3101" t="s">
        <v>312</v>
      </c>
      <c r="T3" s="3101" t="s">
        <v>313</v>
      </c>
      <c r="U3" s="3101" t="s">
        <v>314</v>
      </c>
      <c r="V3" s="3101" t="s">
        <v>315</v>
      </c>
      <c r="W3" s="3101" t="s">
        <v>316</v>
      </c>
      <c r="X3" s="3101" t="s">
        <v>317</v>
      </c>
      <c r="Y3" s="3101" t="s">
        <v>318</v>
      </c>
      <c r="Z3" s="3101" t="s">
        <v>319</v>
      </c>
      <c r="AA3" s="3101" t="s">
        <v>320</v>
      </c>
      <c r="AB3" s="2949">
        <v>44228</v>
      </c>
      <c r="AC3" s="2949">
        <v>44256</v>
      </c>
      <c r="AD3" s="2949">
        <v>44287</v>
      </c>
      <c r="AE3" s="2949">
        <v>44317</v>
      </c>
      <c r="AF3" s="2949">
        <v>44348</v>
      </c>
      <c r="AG3" s="2949">
        <v>44378</v>
      </c>
      <c r="AH3" s="2949">
        <v>44439</v>
      </c>
      <c r="AI3" s="2949">
        <v>44469</v>
      </c>
      <c r="AJ3" s="2949">
        <v>44499</v>
      </c>
      <c r="AK3" s="2949">
        <v>44530</v>
      </c>
      <c r="AL3" s="2949">
        <v>44560</v>
      </c>
    </row>
    <row r="4" spans="1:38" s="2979" customFormat="1" ht="27.95" customHeight="1" thickTop="1" x14ac:dyDescent="0.25">
      <c r="A4" s="3102" t="s">
        <v>2737</v>
      </c>
      <c r="B4" s="3103" t="s">
        <v>1367</v>
      </c>
      <c r="C4" s="3103" t="s">
        <v>3755</v>
      </c>
      <c r="D4" s="3103" t="s">
        <v>3706</v>
      </c>
      <c r="E4" s="3103" t="s">
        <v>3706</v>
      </c>
      <c r="F4" s="3103" t="s">
        <v>3706</v>
      </c>
      <c r="G4" s="3103" t="s">
        <v>3706</v>
      </c>
      <c r="H4" s="3103" t="s">
        <v>4127</v>
      </c>
      <c r="I4" s="3103" t="s">
        <v>5076</v>
      </c>
      <c r="J4" s="3103" t="s">
        <v>5077</v>
      </c>
      <c r="K4" s="3103" t="s">
        <v>5077</v>
      </c>
      <c r="L4" s="3103" t="s">
        <v>1367</v>
      </c>
      <c r="M4" s="3103" t="s">
        <v>5077</v>
      </c>
      <c r="N4" s="3103" t="s">
        <v>5077</v>
      </c>
      <c r="O4" s="3103" t="s">
        <v>3565</v>
      </c>
      <c r="P4" s="3103" t="s">
        <v>1305</v>
      </c>
      <c r="Q4" s="3103" t="s">
        <v>5078</v>
      </c>
      <c r="R4" s="3103" t="s">
        <v>3982</v>
      </c>
      <c r="S4" s="3103" t="s">
        <v>5079</v>
      </c>
      <c r="T4" s="3103" t="s">
        <v>3631</v>
      </c>
      <c r="U4" s="3103" t="s">
        <v>3488</v>
      </c>
      <c r="V4" s="3103" t="s">
        <v>5080</v>
      </c>
      <c r="W4" s="3103" t="s">
        <v>5081</v>
      </c>
      <c r="X4" s="3103" t="s">
        <v>4133</v>
      </c>
      <c r="Y4" s="3103" t="s">
        <v>5079</v>
      </c>
      <c r="Z4" s="3103" t="s">
        <v>5079</v>
      </c>
      <c r="AA4" s="3103" t="s">
        <v>5080</v>
      </c>
      <c r="AB4" s="3103" t="s">
        <v>5082</v>
      </c>
      <c r="AC4" s="3103" t="s">
        <v>5081</v>
      </c>
      <c r="AD4" s="3103" t="s">
        <v>5083</v>
      </c>
      <c r="AE4" s="3103" t="s">
        <v>4466</v>
      </c>
      <c r="AF4" s="3103" t="s">
        <v>5084</v>
      </c>
      <c r="AG4" s="3103" t="s">
        <v>4084</v>
      </c>
      <c r="AH4" s="3103" t="s">
        <v>4084</v>
      </c>
      <c r="AI4" s="3103" t="s">
        <v>5085</v>
      </c>
      <c r="AJ4" s="3103" t="s">
        <v>5086</v>
      </c>
      <c r="AK4" s="3103" t="s">
        <v>5087</v>
      </c>
      <c r="AL4" s="3103" t="s">
        <v>5087</v>
      </c>
    </row>
    <row r="5" spans="1:38" s="3105" customFormat="1" ht="27.95" customHeight="1" x14ac:dyDescent="0.25">
      <c r="A5" s="3104" t="s">
        <v>4796</v>
      </c>
      <c r="B5" s="3103" t="s">
        <v>5088</v>
      </c>
      <c r="C5" s="3103" t="s">
        <v>5089</v>
      </c>
      <c r="D5" s="3103">
        <v>6.25</v>
      </c>
      <c r="E5" s="3103" t="s">
        <v>5090</v>
      </c>
      <c r="F5" s="3103" t="s">
        <v>5091</v>
      </c>
      <c r="G5" s="3103" t="s">
        <v>5092</v>
      </c>
      <c r="H5" s="3103" t="s">
        <v>5093</v>
      </c>
      <c r="I5" s="3103" t="s">
        <v>5094</v>
      </c>
      <c r="J5" s="3103" t="s">
        <v>5093</v>
      </c>
      <c r="K5" s="3103" t="s">
        <v>5095</v>
      </c>
      <c r="L5" s="3103" t="s">
        <v>5096</v>
      </c>
      <c r="M5" s="3103">
        <v>6.1</v>
      </c>
      <c r="N5" s="3103" t="s">
        <v>5097</v>
      </c>
      <c r="O5" s="3103" t="s">
        <v>5098</v>
      </c>
      <c r="P5" s="3103" t="s">
        <v>4031</v>
      </c>
      <c r="Q5" s="3103">
        <v>6.35</v>
      </c>
      <c r="R5" s="3103" t="s">
        <v>1014</v>
      </c>
      <c r="S5" s="3103">
        <v>6.4</v>
      </c>
      <c r="T5" s="3103" t="s">
        <v>5099</v>
      </c>
      <c r="U5" s="3103" t="s">
        <v>5100</v>
      </c>
      <c r="V5" s="3103">
        <v>7.51</v>
      </c>
      <c r="W5" s="3103" t="s">
        <v>4648</v>
      </c>
      <c r="X5" s="3103" t="s">
        <v>5101</v>
      </c>
      <c r="Y5" s="3103" t="s">
        <v>5102</v>
      </c>
      <c r="Z5" s="3103" t="s">
        <v>5103</v>
      </c>
      <c r="AA5" s="3103" t="s">
        <v>5104</v>
      </c>
      <c r="AB5" s="3103" t="s">
        <v>5105</v>
      </c>
      <c r="AC5" s="3103">
        <v>5.72</v>
      </c>
      <c r="AD5" s="3103" t="s">
        <v>1014</v>
      </c>
      <c r="AE5" s="3103" t="s">
        <v>5106</v>
      </c>
      <c r="AF5" s="3103" t="s">
        <v>5105</v>
      </c>
      <c r="AG5" s="3103" t="s">
        <v>5107</v>
      </c>
      <c r="AH5" s="3103" t="s">
        <v>5087</v>
      </c>
      <c r="AI5" s="3103" t="s">
        <v>4202</v>
      </c>
      <c r="AJ5" s="3103" t="s">
        <v>1014</v>
      </c>
      <c r="AK5" s="3103" t="s">
        <v>5108</v>
      </c>
      <c r="AL5" s="3103" t="s">
        <v>5109</v>
      </c>
    </row>
    <row r="6" spans="1:38" s="3105" customFormat="1" ht="27.95" customHeight="1" x14ac:dyDescent="0.25">
      <c r="A6" s="3104" t="s">
        <v>2744</v>
      </c>
      <c r="B6" s="3103">
        <v>6.75</v>
      </c>
      <c r="C6" s="3103" t="s">
        <v>1017</v>
      </c>
      <c r="D6" s="3103" t="s">
        <v>1017</v>
      </c>
      <c r="E6" s="3103">
        <v>6.75</v>
      </c>
      <c r="F6" s="3103" t="s">
        <v>1017</v>
      </c>
      <c r="G6" s="3103" t="s">
        <v>1017</v>
      </c>
      <c r="H6" s="3103" t="s">
        <v>5110</v>
      </c>
      <c r="I6" s="3103" t="s">
        <v>1014</v>
      </c>
      <c r="J6" s="3103" t="s">
        <v>1014</v>
      </c>
      <c r="K6" s="3103" t="s">
        <v>1014</v>
      </c>
      <c r="L6" s="3103" t="s">
        <v>1014</v>
      </c>
      <c r="M6" s="3103" t="s">
        <v>1014</v>
      </c>
      <c r="N6" s="3103">
        <v>6.75</v>
      </c>
      <c r="O6" s="3103" t="s">
        <v>1014</v>
      </c>
      <c r="P6" s="3103" t="s">
        <v>1014</v>
      </c>
      <c r="Q6" s="3103">
        <v>6.75</v>
      </c>
      <c r="R6" s="3103" t="s">
        <v>1014</v>
      </c>
      <c r="S6" s="3103" t="s">
        <v>1014</v>
      </c>
      <c r="T6" s="3103" t="s">
        <v>1014</v>
      </c>
      <c r="U6" s="3103" t="s">
        <v>1014</v>
      </c>
      <c r="V6" s="3103" t="s">
        <v>1014</v>
      </c>
      <c r="W6" s="3103" t="s">
        <v>1014</v>
      </c>
      <c r="X6" s="3103" t="s">
        <v>1014</v>
      </c>
      <c r="Y6" s="3103" t="s">
        <v>1014</v>
      </c>
      <c r="Z6" s="3103" t="s">
        <v>1014</v>
      </c>
      <c r="AA6" s="3103" t="s">
        <v>1014</v>
      </c>
      <c r="AB6" s="3103" t="s">
        <v>1014</v>
      </c>
      <c r="AC6" s="3103" t="s">
        <v>1014</v>
      </c>
      <c r="AD6" s="3103" t="s">
        <v>1014</v>
      </c>
      <c r="AE6" s="3103" t="s">
        <v>1014</v>
      </c>
      <c r="AF6" s="3103" t="s">
        <v>1014</v>
      </c>
      <c r="AG6" s="3103" t="s">
        <v>1014</v>
      </c>
      <c r="AH6" s="3103" t="s">
        <v>1014</v>
      </c>
      <c r="AI6" s="3103" t="s">
        <v>1014</v>
      </c>
      <c r="AJ6" s="3103" t="s">
        <v>1014</v>
      </c>
      <c r="AK6" s="3103" t="s">
        <v>1014</v>
      </c>
      <c r="AL6" s="3103" t="s">
        <v>1014</v>
      </c>
    </row>
    <row r="7" spans="1:38" s="3105" customFormat="1" ht="27.95" customHeight="1" x14ac:dyDescent="0.25">
      <c r="A7" s="3104" t="s">
        <v>2745</v>
      </c>
      <c r="B7" s="3103" t="s">
        <v>5111</v>
      </c>
      <c r="C7" s="3103" t="s">
        <v>5089</v>
      </c>
      <c r="D7" s="3103" t="s">
        <v>4031</v>
      </c>
      <c r="E7" s="3103" t="s">
        <v>5112</v>
      </c>
      <c r="F7" s="3103" t="s">
        <v>5113</v>
      </c>
      <c r="G7" s="3103" t="s">
        <v>5114</v>
      </c>
      <c r="H7" s="3103" t="s">
        <v>4127</v>
      </c>
      <c r="I7" s="3103" t="s">
        <v>5114</v>
      </c>
      <c r="J7" s="3103" t="s">
        <v>5114</v>
      </c>
      <c r="K7" s="3103" t="s">
        <v>5115</v>
      </c>
      <c r="L7" s="3103" t="s">
        <v>5116</v>
      </c>
      <c r="M7" s="3103" t="s">
        <v>5117</v>
      </c>
      <c r="N7" s="3103" t="s">
        <v>5116</v>
      </c>
      <c r="O7" s="3103" t="s">
        <v>5118</v>
      </c>
      <c r="P7" s="3103" t="s">
        <v>5119</v>
      </c>
      <c r="Q7" s="3103" t="s">
        <v>5120</v>
      </c>
      <c r="R7" s="3103" t="s">
        <v>5121</v>
      </c>
      <c r="S7" s="3103" t="s">
        <v>1333</v>
      </c>
      <c r="T7" s="3103" t="s">
        <v>5122</v>
      </c>
      <c r="U7" s="3103" t="s">
        <v>5123</v>
      </c>
      <c r="V7" s="3103" t="s">
        <v>3970</v>
      </c>
      <c r="W7" s="3103" t="s">
        <v>5081</v>
      </c>
      <c r="X7" s="3103" t="s">
        <v>5124</v>
      </c>
      <c r="Y7" s="3103" t="s">
        <v>5125</v>
      </c>
      <c r="Z7" s="3103" t="s">
        <v>5126</v>
      </c>
      <c r="AA7" s="3103" t="s">
        <v>5127</v>
      </c>
      <c r="AB7" s="3103" t="s">
        <v>5087</v>
      </c>
      <c r="AC7" s="3103" t="s">
        <v>5126</v>
      </c>
      <c r="AD7" s="3103" t="s">
        <v>5122</v>
      </c>
      <c r="AE7" s="3103" t="s">
        <v>5128</v>
      </c>
      <c r="AF7" s="3103" t="s">
        <v>5129</v>
      </c>
      <c r="AG7" s="3103" t="s">
        <v>5130</v>
      </c>
      <c r="AH7" s="3103" t="s">
        <v>5131</v>
      </c>
      <c r="AI7" s="3103" t="s">
        <v>1310</v>
      </c>
      <c r="AJ7" s="3103" t="s">
        <v>5087</v>
      </c>
      <c r="AK7" s="3103" t="s">
        <v>3716</v>
      </c>
      <c r="AL7" s="3103" t="s">
        <v>4402</v>
      </c>
    </row>
    <row r="8" spans="1:38" s="3105" customFormat="1" ht="27.95" customHeight="1" x14ac:dyDescent="0.25">
      <c r="A8" s="3104" t="s">
        <v>2768</v>
      </c>
      <c r="B8" s="3103" t="s">
        <v>1017</v>
      </c>
      <c r="C8" s="3103" t="s">
        <v>1017</v>
      </c>
      <c r="D8" s="3103" t="s">
        <v>1017</v>
      </c>
      <c r="E8" s="3103">
        <v>8</v>
      </c>
      <c r="F8" s="3103">
        <v>8</v>
      </c>
      <c r="G8" s="3103">
        <v>9.1999999999999993</v>
      </c>
      <c r="H8" s="3103">
        <v>9.1999999999999993</v>
      </c>
      <c r="I8" s="3103">
        <v>9.1999999999999993</v>
      </c>
      <c r="J8" s="3103" t="s">
        <v>1014</v>
      </c>
      <c r="K8" s="3103" t="s">
        <v>1014</v>
      </c>
      <c r="L8" s="3103" t="s">
        <v>1014</v>
      </c>
      <c r="M8" s="3103" t="s">
        <v>5132</v>
      </c>
      <c r="N8" s="3103" t="s">
        <v>1014</v>
      </c>
      <c r="O8" s="3103" t="s">
        <v>1014</v>
      </c>
      <c r="P8" s="3103">
        <v>6</v>
      </c>
      <c r="Q8" s="3103">
        <v>8.9499999999999993</v>
      </c>
      <c r="R8" s="3103" t="s">
        <v>1014</v>
      </c>
      <c r="S8" s="3103" t="s">
        <v>1014</v>
      </c>
      <c r="T8" s="3103">
        <v>7.05</v>
      </c>
      <c r="U8" s="3103" t="s">
        <v>1014</v>
      </c>
      <c r="V8" s="3103" t="s">
        <v>1014</v>
      </c>
      <c r="W8" s="3103" t="s">
        <v>1014</v>
      </c>
      <c r="X8" s="3103">
        <v>8.75</v>
      </c>
      <c r="Y8" s="3103" t="s">
        <v>1014</v>
      </c>
      <c r="Z8" s="3103" t="s">
        <v>1014</v>
      </c>
      <c r="AA8" s="3103">
        <v>7.28</v>
      </c>
      <c r="AB8" s="3103" t="s">
        <v>1014</v>
      </c>
      <c r="AC8" s="3103" t="s">
        <v>1014</v>
      </c>
      <c r="AD8" s="3103" t="s">
        <v>1014</v>
      </c>
      <c r="AE8" s="3103" t="s">
        <v>1014</v>
      </c>
      <c r="AF8" s="3103" t="s">
        <v>1014</v>
      </c>
      <c r="AG8" s="3103" t="s">
        <v>1014</v>
      </c>
      <c r="AH8" s="3103" t="s">
        <v>5133</v>
      </c>
      <c r="AI8" s="3103" t="s">
        <v>1014</v>
      </c>
      <c r="AJ8" s="3103" t="s">
        <v>1014</v>
      </c>
      <c r="AK8" s="3103" t="s">
        <v>1014</v>
      </c>
      <c r="AL8" s="3103" t="s">
        <v>1014</v>
      </c>
    </row>
    <row r="9" spans="1:38" s="3105" customFormat="1" ht="27.95" customHeight="1" x14ac:dyDescent="0.25">
      <c r="A9" s="3104" t="s">
        <v>2769</v>
      </c>
      <c r="B9" s="3103" t="s">
        <v>1017</v>
      </c>
      <c r="C9" s="3103" t="s">
        <v>1017</v>
      </c>
      <c r="D9" s="3103" t="s">
        <v>1017</v>
      </c>
      <c r="E9" s="3103" t="s">
        <v>1017</v>
      </c>
      <c r="F9" s="3103">
        <v>6.5</v>
      </c>
      <c r="G9" s="3103">
        <v>7.2</v>
      </c>
      <c r="H9" s="3103">
        <v>7.2</v>
      </c>
      <c r="I9" s="3103" t="s">
        <v>1014</v>
      </c>
      <c r="J9" s="3103" t="s">
        <v>5134</v>
      </c>
      <c r="K9" s="3103" t="s">
        <v>1014</v>
      </c>
      <c r="L9" s="3103" t="s">
        <v>1014</v>
      </c>
      <c r="M9" s="3103" t="s">
        <v>1014</v>
      </c>
      <c r="N9" s="3103">
        <v>7</v>
      </c>
      <c r="O9" s="3103" t="s">
        <v>1014</v>
      </c>
      <c r="P9" s="3103" t="s">
        <v>1014</v>
      </c>
      <c r="Q9" s="3103" t="s">
        <v>1014</v>
      </c>
      <c r="R9" s="3103" t="s">
        <v>1014</v>
      </c>
      <c r="S9" s="3103" t="s">
        <v>1014</v>
      </c>
      <c r="T9" s="3103">
        <v>8.75</v>
      </c>
      <c r="U9" s="3103" t="s">
        <v>1014</v>
      </c>
      <c r="V9" s="3103" t="s">
        <v>1014</v>
      </c>
      <c r="W9" s="3103" t="s">
        <v>1014</v>
      </c>
      <c r="X9" s="3103">
        <v>7.22</v>
      </c>
      <c r="Y9" s="3103">
        <v>6</v>
      </c>
      <c r="Z9" s="3103" t="s">
        <v>1014</v>
      </c>
      <c r="AA9" s="3103" t="s">
        <v>1014</v>
      </c>
      <c r="AB9" s="3103" t="s">
        <v>1014</v>
      </c>
      <c r="AC9" s="3103" t="s">
        <v>1014</v>
      </c>
      <c r="AD9" s="3103" t="s">
        <v>1014</v>
      </c>
      <c r="AE9" s="3103">
        <v>5.75</v>
      </c>
      <c r="AF9" s="3103" t="s">
        <v>1014</v>
      </c>
      <c r="AG9" s="3103" t="s">
        <v>1014</v>
      </c>
      <c r="AH9" s="3103" t="s">
        <v>5135</v>
      </c>
      <c r="AI9" s="3103" t="s">
        <v>1014</v>
      </c>
      <c r="AJ9" s="3103" t="s">
        <v>1014</v>
      </c>
      <c r="AK9" s="3103" t="s">
        <v>1014</v>
      </c>
      <c r="AL9" s="3103" t="s">
        <v>1014</v>
      </c>
    </row>
    <row r="10" spans="1:38" s="3105" customFormat="1" ht="27.95" customHeight="1" x14ac:dyDescent="0.25">
      <c r="A10" s="3104" t="s">
        <v>2770</v>
      </c>
      <c r="B10" s="3103" t="s">
        <v>1389</v>
      </c>
      <c r="C10" s="3103" t="s">
        <v>3378</v>
      </c>
      <c r="D10" s="3103" t="s">
        <v>5078</v>
      </c>
      <c r="E10" s="3103" t="s">
        <v>5136</v>
      </c>
      <c r="F10" s="3103" t="s">
        <v>5120</v>
      </c>
      <c r="G10" s="3103" t="s">
        <v>5118</v>
      </c>
      <c r="H10" s="3103" t="s">
        <v>5118</v>
      </c>
      <c r="I10" s="3103" t="s">
        <v>5078</v>
      </c>
      <c r="J10" s="3103" t="s">
        <v>5137</v>
      </c>
      <c r="K10" s="3103" t="s">
        <v>5138</v>
      </c>
      <c r="L10" s="3103" t="s">
        <v>5116</v>
      </c>
      <c r="M10" s="3103" t="s">
        <v>5078</v>
      </c>
      <c r="N10" s="3103" t="s">
        <v>4539</v>
      </c>
      <c r="O10" s="3103" t="s">
        <v>5116</v>
      </c>
      <c r="P10" s="3103" t="s">
        <v>5078</v>
      </c>
      <c r="Q10" s="3103" t="s">
        <v>5091</v>
      </c>
      <c r="R10" s="3103" t="s">
        <v>4187</v>
      </c>
      <c r="S10" s="3103" t="s">
        <v>5139</v>
      </c>
      <c r="T10" s="3103" t="s">
        <v>1360</v>
      </c>
      <c r="U10" s="3103" t="s">
        <v>4443</v>
      </c>
      <c r="V10" s="3103" t="s">
        <v>5140</v>
      </c>
      <c r="W10" s="3103" t="s">
        <v>5141</v>
      </c>
      <c r="X10" s="3103" t="s">
        <v>4036</v>
      </c>
      <c r="Y10" s="3103" t="s">
        <v>5142</v>
      </c>
      <c r="Z10" s="3103" t="s">
        <v>5143</v>
      </c>
      <c r="AA10" s="3103" t="s">
        <v>5080</v>
      </c>
      <c r="AB10" s="3103" t="s">
        <v>5124</v>
      </c>
      <c r="AC10" s="3103" t="s">
        <v>5144</v>
      </c>
      <c r="AD10" s="3103" t="s">
        <v>1309</v>
      </c>
      <c r="AE10" s="3103" t="s">
        <v>5145</v>
      </c>
      <c r="AF10" s="3103" t="s">
        <v>5146</v>
      </c>
      <c r="AG10" s="3103" t="s">
        <v>5147</v>
      </c>
      <c r="AH10" s="3103" t="s">
        <v>5148</v>
      </c>
      <c r="AI10" s="3103" t="s">
        <v>5130</v>
      </c>
      <c r="AJ10" s="3103" t="s">
        <v>4077</v>
      </c>
      <c r="AK10" s="3103" t="s">
        <v>4077</v>
      </c>
      <c r="AL10" s="3103" t="s">
        <v>4539</v>
      </c>
    </row>
    <row r="11" spans="1:38" s="3105" customFormat="1" ht="27.95" customHeight="1" x14ac:dyDescent="0.25">
      <c r="A11" s="3104" t="s">
        <v>2780</v>
      </c>
      <c r="B11" s="3103" t="s">
        <v>3755</v>
      </c>
      <c r="C11" s="3103" t="s">
        <v>3755</v>
      </c>
      <c r="D11" s="3103" t="s">
        <v>1389</v>
      </c>
      <c r="E11" s="3103" t="s">
        <v>5077</v>
      </c>
      <c r="F11" s="3103" t="s">
        <v>4313</v>
      </c>
      <c r="G11" s="3103" t="s">
        <v>5077</v>
      </c>
      <c r="H11" s="3103" t="s">
        <v>3755</v>
      </c>
      <c r="I11" s="3103" t="s">
        <v>5076</v>
      </c>
      <c r="J11" s="3103" t="s">
        <v>5114</v>
      </c>
      <c r="K11" s="3103" t="s">
        <v>5149</v>
      </c>
      <c r="L11" s="3103" t="s">
        <v>3755</v>
      </c>
      <c r="M11" s="3103" t="s">
        <v>3716</v>
      </c>
      <c r="N11" s="3103" t="s">
        <v>5076</v>
      </c>
      <c r="O11" s="3103" t="s">
        <v>5076</v>
      </c>
      <c r="P11" s="3103" t="s">
        <v>5116</v>
      </c>
      <c r="Q11" s="3103" t="s">
        <v>5120</v>
      </c>
      <c r="R11" s="3103" t="s">
        <v>1014</v>
      </c>
      <c r="S11" s="3103" t="s">
        <v>5078</v>
      </c>
      <c r="T11" s="3103" t="s">
        <v>5150</v>
      </c>
      <c r="U11" s="3103" t="s">
        <v>5151</v>
      </c>
      <c r="V11" s="3103" t="s">
        <v>5152</v>
      </c>
      <c r="W11" s="3103" t="s">
        <v>5153</v>
      </c>
      <c r="X11" s="3103" t="s">
        <v>4133</v>
      </c>
      <c r="Y11" s="3103" t="s">
        <v>5153</v>
      </c>
      <c r="Z11" s="3103" t="s">
        <v>5118</v>
      </c>
      <c r="AA11" s="3103" t="s">
        <v>5154</v>
      </c>
      <c r="AB11" s="3103" t="s">
        <v>5155</v>
      </c>
      <c r="AC11" s="3103" t="s">
        <v>5156</v>
      </c>
      <c r="AD11" s="3103" t="s">
        <v>5130</v>
      </c>
      <c r="AE11" s="3103" t="s">
        <v>5085</v>
      </c>
      <c r="AF11" s="3103" t="s">
        <v>5157</v>
      </c>
      <c r="AG11" s="3103" t="s">
        <v>5085</v>
      </c>
      <c r="AH11" s="3103" t="s">
        <v>4084</v>
      </c>
      <c r="AI11" s="3103" t="s">
        <v>5126</v>
      </c>
      <c r="AJ11" s="3103" t="s">
        <v>5085</v>
      </c>
      <c r="AK11" s="3103" t="s">
        <v>5158</v>
      </c>
      <c r="AL11" s="3103" t="s">
        <v>5130</v>
      </c>
    </row>
    <row r="12" spans="1:38" s="3105" customFormat="1" ht="27.95" customHeight="1" x14ac:dyDescent="0.25">
      <c r="A12" s="3104" t="s">
        <v>2784</v>
      </c>
      <c r="B12" s="3103" t="s">
        <v>5091</v>
      </c>
      <c r="C12" s="3103" t="s">
        <v>5159</v>
      </c>
      <c r="D12" s="3103" t="s">
        <v>5160</v>
      </c>
      <c r="E12" s="3103" t="s">
        <v>5089</v>
      </c>
      <c r="F12" s="3103" t="s">
        <v>5161</v>
      </c>
      <c r="G12" s="3103" t="s">
        <v>5162</v>
      </c>
      <c r="H12" s="3103" t="s">
        <v>5163</v>
      </c>
      <c r="I12" s="3103" t="s">
        <v>5164</v>
      </c>
      <c r="J12" s="3103" t="s">
        <v>5088</v>
      </c>
      <c r="K12" s="3103" t="s">
        <v>5165</v>
      </c>
      <c r="L12" s="3103" t="s">
        <v>4349</v>
      </c>
      <c r="M12" s="3103" t="s">
        <v>5166</v>
      </c>
      <c r="N12" s="3103" t="s">
        <v>5120</v>
      </c>
      <c r="O12" s="3103" t="s">
        <v>5167</v>
      </c>
      <c r="P12" s="3103" t="s">
        <v>5168</v>
      </c>
      <c r="Q12" s="3103" t="s">
        <v>5091</v>
      </c>
      <c r="R12" s="3103">
        <v>7.99</v>
      </c>
      <c r="S12" s="3103">
        <v>9</v>
      </c>
      <c r="T12" s="3103" t="s">
        <v>5169</v>
      </c>
      <c r="U12" s="3103" t="s">
        <v>5170</v>
      </c>
      <c r="V12" s="3103" t="s">
        <v>5171</v>
      </c>
      <c r="W12" s="3103" t="s">
        <v>5120</v>
      </c>
      <c r="X12" s="3103" t="s">
        <v>5172</v>
      </c>
      <c r="Y12" s="3103" t="s">
        <v>5173</v>
      </c>
      <c r="Z12" s="3103" t="s">
        <v>3489</v>
      </c>
      <c r="AA12" s="3103" t="s">
        <v>5174</v>
      </c>
      <c r="AB12" s="3103" t="s">
        <v>4077</v>
      </c>
      <c r="AC12" s="3103" t="s">
        <v>5175</v>
      </c>
      <c r="AD12" s="3103" t="s">
        <v>5176</v>
      </c>
      <c r="AE12" s="3103" t="s">
        <v>3716</v>
      </c>
      <c r="AF12" s="3103" t="s">
        <v>5081</v>
      </c>
      <c r="AG12" s="3103" t="s">
        <v>5177</v>
      </c>
      <c r="AH12" s="3103" t="s">
        <v>5087</v>
      </c>
      <c r="AI12" s="3103" t="s">
        <v>5085</v>
      </c>
      <c r="AJ12" s="3103" t="s">
        <v>4384</v>
      </c>
      <c r="AK12" s="3103" t="s">
        <v>4383</v>
      </c>
      <c r="AL12" s="3103" t="s">
        <v>5091</v>
      </c>
    </row>
    <row r="13" spans="1:38" s="3105" customFormat="1" ht="27.95" customHeight="1" x14ac:dyDescent="0.25">
      <c r="A13" s="3104" t="s">
        <v>2790</v>
      </c>
      <c r="B13" s="3103" t="s">
        <v>4744</v>
      </c>
      <c r="C13" s="3103" t="s">
        <v>4313</v>
      </c>
      <c r="D13" s="3103" t="s">
        <v>5178</v>
      </c>
      <c r="E13" s="3103" t="s">
        <v>5179</v>
      </c>
      <c r="F13" s="3103">
        <v>7.5</v>
      </c>
      <c r="G13" s="3103" t="s">
        <v>3716</v>
      </c>
      <c r="H13" s="3103" t="s">
        <v>3755</v>
      </c>
      <c r="I13" s="3103" t="s">
        <v>5076</v>
      </c>
      <c r="J13" s="3103" t="s">
        <v>3716</v>
      </c>
      <c r="K13" s="3103" t="s">
        <v>3909</v>
      </c>
      <c r="L13" s="3103" t="s">
        <v>5180</v>
      </c>
      <c r="M13" s="3103" t="s">
        <v>5181</v>
      </c>
      <c r="N13" s="3103" t="s">
        <v>1387</v>
      </c>
      <c r="O13" s="3103" t="s">
        <v>5182</v>
      </c>
      <c r="P13" s="3103" t="s">
        <v>5078</v>
      </c>
      <c r="Q13" s="3103" t="s">
        <v>5183</v>
      </c>
      <c r="R13" s="3103" t="s">
        <v>1014</v>
      </c>
      <c r="S13" s="3103">
        <v>8.25</v>
      </c>
      <c r="T13" s="3103" t="s">
        <v>5184</v>
      </c>
      <c r="U13" s="3103" t="s">
        <v>5185</v>
      </c>
      <c r="V13" s="3103">
        <v>6.17</v>
      </c>
      <c r="W13" s="3103" t="s">
        <v>4029</v>
      </c>
      <c r="X13" s="3103" t="s">
        <v>5186</v>
      </c>
      <c r="Y13" s="3103">
        <v>6.6</v>
      </c>
      <c r="Z13" s="3103">
        <v>6.95</v>
      </c>
      <c r="AA13" s="3103">
        <v>4.0999999999999996</v>
      </c>
      <c r="AB13" s="3103" t="s">
        <v>5187</v>
      </c>
      <c r="AC13" s="3103" t="s">
        <v>5109</v>
      </c>
      <c r="AD13" s="3103" t="s">
        <v>5188</v>
      </c>
      <c r="AE13" s="3103">
        <v>7.52</v>
      </c>
      <c r="AF13" s="3103" t="s">
        <v>5189</v>
      </c>
      <c r="AG13" s="3103" t="s">
        <v>5190</v>
      </c>
      <c r="AH13" s="3103" t="s">
        <v>5188</v>
      </c>
      <c r="AI13" s="3103" t="s">
        <v>1014</v>
      </c>
      <c r="AJ13" s="3103" t="s">
        <v>5191</v>
      </c>
      <c r="AK13" s="3103" t="s">
        <v>4112</v>
      </c>
      <c r="AL13" s="3103" t="s">
        <v>5192</v>
      </c>
    </row>
    <row r="14" spans="1:38" s="3105" customFormat="1" ht="27.95" customHeight="1" x14ac:dyDescent="0.25">
      <c r="A14" s="3104" t="s">
        <v>2801</v>
      </c>
      <c r="B14" s="3103" t="s">
        <v>5193</v>
      </c>
      <c r="C14" s="3103" t="s">
        <v>1373</v>
      </c>
      <c r="D14" s="3103" t="s">
        <v>4192</v>
      </c>
      <c r="E14" s="3103" t="s">
        <v>5194</v>
      </c>
      <c r="F14" s="3103" t="s">
        <v>5195</v>
      </c>
      <c r="G14" s="3103" t="s">
        <v>5114</v>
      </c>
      <c r="H14" s="3103" t="s">
        <v>5114</v>
      </c>
      <c r="I14" s="3103" t="s">
        <v>5196</v>
      </c>
      <c r="J14" s="3103" t="s">
        <v>5114</v>
      </c>
      <c r="K14" s="3103" t="s">
        <v>4187</v>
      </c>
      <c r="L14" s="3103">
        <v>7</v>
      </c>
      <c r="M14" s="3103" t="s">
        <v>3910</v>
      </c>
      <c r="N14" s="3103" t="s">
        <v>5197</v>
      </c>
      <c r="O14" s="3103" t="s">
        <v>5095</v>
      </c>
      <c r="P14" s="3103" t="s">
        <v>5198</v>
      </c>
      <c r="Q14" s="3103" t="s">
        <v>5199</v>
      </c>
      <c r="R14" s="3103" t="s">
        <v>1014</v>
      </c>
      <c r="S14" s="3103" t="s">
        <v>5200</v>
      </c>
      <c r="T14" s="3103">
        <v>8</v>
      </c>
      <c r="U14" s="3103" t="s">
        <v>5201</v>
      </c>
      <c r="V14" s="3103" t="s">
        <v>1315</v>
      </c>
      <c r="W14" s="3103" t="s">
        <v>5202</v>
      </c>
      <c r="X14" s="3103">
        <v>6.01</v>
      </c>
      <c r="Y14" s="3103" t="s">
        <v>1014</v>
      </c>
      <c r="Z14" s="3103" t="s">
        <v>5203</v>
      </c>
      <c r="AA14" s="3103" t="s">
        <v>1014</v>
      </c>
      <c r="AB14" s="3103" t="s">
        <v>5204</v>
      </c>
      <c r="AC14" s="3103" t="s">
        <v>1322</v>
      </c>
      <c r="AD14" s="3103">
        <v>7</v>
      </c>
      <c r="AE14" s="3103" t="s">
        <v>1014</v>
      </c>
      <c r="AF14" s="3103" t="s">
        <v>5205</v>
      </c>
      <c r="AG14" s="3103" t="s">
        <v>1381</v>
      </c>
      <c r="AH14" s="3103" t="s">
        <v>5108</v>
      </c>
      <c r="AI14" s="3103" t="s">
        <v>4202</v>
      </c>
      <c r="AJ14" s="3103" t="s">
        <v>5206</v>
      </c>
      <c r="AK14" s="3103" t="s">
        <v>5207</v>
      </c>
      <c r="AL14" s="3103" t="s">
        <v>3379</v>
      </c>
    </row>
    <row r="15" spans="1:38" s="3105" customFormat="1" ht="27.95" customHeight="1" x14ac:dyDescent="0.25">
      <c r="A15" s="3104" t="s">
        <v>2808</v>
      </c>
      <c r="B15" s="3103">
        <v>6.2</v>
      </c>
      <c r="C15" s="3103" t="s">
        <v>5161</v>
      </c>
      <c r="D15" s="3103">
        <v>6.35</v>
      </c>
      <c r="E15" s="3103" t="s">
        <v>1017</v>
      </c>
      <c r="F15" s="3103">
        <v>7.5</v>
      </c>
      <c r="G15" s="3103">
        <v>8</v>
      </c>
      <c r="H15" s="3103" t="s">
        <v>5208</v>
      </c>
      <c r="I15" s="3103" t="s">
        <v>1014</v>
      </c>
      <c r="J15" s="3103" t="s">
        <v>5198</v>
      </c>
      <c r="K15" s="3103" t="s">
        <v>1014</v>
      </c>
      <c r="L15" s="3103">
        <v>8</v>
      </c>
      <c r="M15" s="3103">
        <v>8.9499999999999993</v>
      </c>
      <c r="N15" s="3103" t="s">
        <v>5209</v>
      </c>
      <c r="O15" s="3103" t="s">
        <v>5210</v>
      </c>
      <c r="P15" s="3103">
        <v>8.5</v>
      </c>
      <c r="Q15" s="3103" t="s">
        <v>5211</v>
      </c>
      <c r="R15" s="3103" t="s">
        <v>1014</v>
      </c>
      <c r="S15" s="3103" t="s">
        <v>1014</v>
      </c>
      <c r="T15" s="3103" t="s">
        <v>5212</v>
      </c>
      <c r="U15" s="3103" t="s">
        <v>5213</v>
      </c>
      <c r="V15" s="3103" t="s">
        <v>5214</v>
      </c>
      <c r="W15" s="3103" t="s">
        <v>5215</v>
      </c>
      <c r="X15" s="3103" t="s">
        <v>5215</v>
      </c>
      <c r="Y15" s="3103" t="s">
        <v>5216</v>
      </c>
      <c r="Z15" s="3103" t="s">
        <v>1014</v>
      </c>
      <c r="AA15" s="3103" t="s">
        <v>1014</v>
      </c>
      <c r="AB15" s="3103" t="s">
        <v>5216</v>
      </c>
      <c r="AC15" s="3103" t="s">
        <v>5217</v>
      </c>
      <c r="AD15" s="3103" t="s">
        <v>1014</v>
      </c>
      <c r="AE15" s="3103">
        <v>7</v>
      </c>
      <c r="AF15" s="3103" t="s">
        <v>5218</v>
      </c>
      <c r="AG15" s="3103" t="s">
        <v>5133</v>
      </c>
      <c r="AH15" s="3103" t="s">
        <v>5219</v>
      </c>
      <c r="AI15" s="3103" t="s">
        <v>5147</v>
      </c>
      <c r="AJ15" s="3103" t="s">
        <v>5109</v>
      </c>
      <c r="AK15" s="3103" t="s">
        <v>5219</v>
      </c>
      <c r="AL15" s="3103" t="s">
        <v>5215</v>
      </c>
    </row>
    <row r="16" spans="1:38" s="3105" customFormat="1" ht="27.95" customHeight="1" x14ac:dyDescent="0.25">
      <c r="A16" s="3104" t="s">
        <v>2809</v>
      </c>
      <c r="B16" s="3103" t="s">
        <v>4676</v>
      </c>
      <c r="C16" s="3103" t="s">
        <v>5220</v>
      </c>
      <c r="D16" s="3103" t="s">
        <v>5221</v>
      </c>
      <c r="E16" s="3103" t="s">
        <v>5222</v>
      </c>
      <c r="F16" s="3103" t="s">
        <v>4031</v>
      </c>
      <c r="G16" s="3103" t="s">
        <v>3716</v>
      </c>
      <c r="H16" s="3103" t="s">
        <v>4744</v>
      </c>
      <c r="I16" s="3103" t="s">
        <v>4744</v>
      </c>
      <c r="J16" s="3103" t="s">
        <v>5077</v>
      </c>
      <c r="K16" s="3103" t="s">
        <v>5223</v>
      </c>
      <c r="L16" s="3103" t="s">
        <v>5224</v>
      </c>
      <c r="M16" s="3103" t="s">
        <v>5163</v>
      </c>
      <c r="N16" s="3103" t="s">
        <v>5163</v>
      </c>
      <c r="O16" s="3103" t="s">
        <v>5117</v>
      </c>
      <c r="P16" s="3103" t="s">
        <v>5225</v>
      </c>
      <c r="Q16" s="3103" t="s">
        <v>5226</v>
      </c>
      <c r="R16" s="3103">
        <v>6.6</v>
      </c>
      <c r="S16" s="3103" t="s">
        <v>1014</v>
      </c>
      <c r="T16" s="3103" t="s">
        <v>5227</v>
      </c>
      <c r="U16" s="3103" t="s">
        <v>5228</v>
      </c>
      <c r="V16" s="3103" t="s">
        <v>5229</v>
      </c>
      <c r="W16" s="3103" t="s">
        <v>3569</v>
      </c>
      <c r="X16" s="3103" t="s">
        <v>5230</v>
      </c>
      <c r="Y16" s="3103" t="s">
        <v>5231</v>
      </c>
      <c r="Z16" s="3103" t="s">
        <v>1313</v>
      </c>
      <c r="AA16" s="3103" t="s">
        <v>5232</v>
      </c>
      <c r="AB16" s="3103" t="s">
        <v>5233</v>
      </c>
      <c r="AC16" s="3103" t="s">
        <v>5124</v>
      </c>
      <c r="AD16" s="3103" t="s">
        <v>5077</v>
      </c>
      <c r="AE16" s="3103" t="s">
        <v>4084</v>
      </c>
      <c r="AF16" s="3103" t="s">
        <v>5234</v>
      </c>
      <c r="AG16" s="3103" t="s">
        <v>5126</v>
      </c>
      <c r="AH16" s="3103" t="s">
        <v>5087</v>
      </c>
      <c r="AI16" s="3103" t="s">
        <v>5147</v>
      </c>
      <c r="AJ16" s="3103" t="s">
        <v>5091</v>
      </c>
      <c r="AK16" s="3103" t="s">
        <v>5076</v>
      </c>
      <c r="AL16" s="3103" t="s">
        <v>5149</v>
      </c>
    </row>
    <row r="17" spans="1:38" s="3105" customFormat="1" ht="27.95" customHeight="1" x14ac:dyDescent="0.25">
      <c r="A17" s="3104" t="s">
        <v>2816</v>
      </c>
      <c r="B17" s="3103" t="s">
        <v>5235</v>
      </c>
      <c r="C17" s="3103" t="s">
        <v>1309</v>
      </c>
      <c r="D17" s="3103" t="s">
        <v>3755</v>
      </c>
      <c r="E17" s="3103" t="s">
        <v>5236</v>
      </c>
      <c r="F17" s="3103" t="s">
        <v>3809</v>
      </c>
      <c r="G17" s="3103" t="s">
        <v>3809</v>
      </c>
      <c r="H17" s="3103" t="s">
        <v>5162</v>
      </c>
      <c r="I17" s="3103" t="s">
        <v>5237</v>
      </c>
      <c r="J17" s="3103" t="s">
        <v>5238</v>
      </c>
      <c r="K17" s="3103" t="s">
        <v>4539</v>
      </c>
      <c r="L17" s="3103" t="s">
        <v>5239</v>
      </c>
      <c r="M17" s="3103" t="s">
        <v>4031</v>
      </c>
      <c r="N17" s="3103" t="s">
        <v>5078</v>
      </c>
      <c r="O17" s="3103" t="s">
        <v>5078</v>
      </c>
      <c r="P17" s="3103" t="s">
        <v>5240</v>
      </c>
      <c r="Q17" s="3103" t="s">
        <v>5115</v>
      </c>
      <c r="R17" s="3103" t="s">
        <v>1014</v>
      </c>
      <c r="S17" s="3103" t="s">
        <v>5241</v>
      </c>
      <c r="T17" s="3103" t="s">
        <v>3990</v>
      </c>
      <c r="U17" s="3103" t="s">
        <v>5139</v>
      </c>
      <c r="V17" s="3103" t="s">
        <v>5242</v>
      </c>
      <c r="W17" s="3103" t="s">
        <v>1389</v>
      </c>
      <c r="X17" s="3103" t="s">
        <v>5243</v>
      </c>
      <c r="Y17" s="3103" t="s">
        <v>5115</v>
      </c>
      <c r="Z17" s="3103" t="s">
        <v>5244</v>
      </c>
      <c r="AA17" s="3103" t="s">
        <v>5245</v>
      </c>
      <c r="AB17" s="3103" t="s">
        <v>1313</v>
      </c>
      <c r="AC17" s="3103" t="s">
        <v>4068</v>
      </c>
      <c r="AD17" s="3103" t="s">
        <v>4068</v>
      </c>
      <c r="AE17" s="3103" t="s">
        <v>4314</v>
      </c>
      <c r="AF17" s="3103" t="s">
        <v>4084</v>
      </c>
      <c r="AG17" s="3103" t="s">
        <v>4084</v>
      </c>
      <c r="AH17" s="3103" t="s">
        <v>5246</v>
      </c>
      <c r="AI17" s="3103" t="s">
        <v>5247</v>
      </c>
      <c r="AJ17" s="3103" t="s">
        <v>5098</v>
      </c>
      <c r="AK17" s="3103" t="s">
        <v>3566</v>
      </c>
      <c r="AL17" s="3103" t="s">
        <v>5130</v>
      </c>
    </row>
    <row r="18" spans="1:38" s="3105" customFormat="1" ht="27.95" customHeight="1" x14ac:dyDescent="0.25">
      <c r="A18" s="3104" t="s">
        <v>2823</v>
      </c>
      <c r="B18" s="3103">
        <v>8</v>
      </c>
      <c r="C18" s="3103" t="s">
        <v>4319</v>
      </c>
      <c r="D18" s="3103" t="s">
        <v>5181</v>
      </c>
      <c r="E18" s="3103">
        <v>7.82</v>
      </c>
      <c r="F18" s="3103" t="s">
        <v>5194</v>
      </c>
      <c r="G18" s="3103" t="s">
        <v>1308</v>
      </c>
      <c r="H18" s="3103" t="s">
        <v>1317</v>
      </c>
      <c r="I18" s="3103" t="s">
        <v>1014</v>
      </c>
      <c r="J18" s="3103" t="s">
        <v>5248</v>
      </c>
      <c r="K18" s="3103" t="s">
        <v>1014</v>
      </c>
      <c r="L18" s="3103" t="s">
        <v>1014</v>
      </c>
      <c r="M18" s="3103">
        <v>7.05</v>
      </c>
      <c r="N18" s="3103" t="s">
        <v>5200</v>
      </c>
      <c r="O18" s="3103" t="s">
        <v>1014</v>
      </c>
      <c r="P18" s="3103">
        <v>7.5</v>
      </c>
      <c r="Q18" s="3103" t="s">
        <v>5249</v>
      </c>
      <c r="R18" s="3103" t="s">
        <v>1014</v>
      </c>
      <c r="S18" s="3103">
        <v>8</v>
      </c>
      <c r="T18" s="3103" t="s">
        <v>5250</v>
      </c>
      <c r="U18" s="3103" t="s">
        <v>5251</v>
      </c>
      <c r="V18" s="3103" t="s">
        <v>5252</v>
      </c>
      <c r="W18" s="3103" t="s">
        <v>5199</v>
      </c>
      <c r="X18" s="3103">
        <v>8</v>
      </c>
      <c r="Y18" s="3103" t="s">
        <v>5164</v>
      </c>
      <c r="Z18" s="3103">
        <v>7</v>
      </c>
      <c r="AA18" s="3103" t="s">
        <v>1014</v>
      </c>
      <c r="AB18" s="3103" t="s">
        <v>1014</v>
      </c>
      <c r="AC18" s="3103" t="s">
        <v>1014</v>
      </c>
      <c r="AD18" s="3103" t="s">
        <v>1014</v>
      </c>
      <c r="AE18" s="3103" t="s">
        <v>1014</v>
      </c>
      <c r="AF18" s="3103" t="s">
        <v>5253</v>
      </c>
      <c r="AG18" s="3103" t="s">
        <v>5253</v>
      </c>
      <c r="AH18" s="3106" t="s">
        <v>5254</v>
      </c>
      <c r="AI18" s="3103" t="s">
        <v>1014</v>
      </c>
      <c r="AJ18" s="3103" t="s">
        <v>1014</v>
      </c>
      <c r="AK18" s="3103" t="s">
        <v>1014</v>
      </c>
      <c r="AL18" s="3103" t="s">
        <v>5255</v>
      </c>
    </row>
    <row r="19" spans="1:38" s="3105" customFormat="1" ht="27.95" customHeight="1" x14ac:dyDescent="0.25">
      <c r="A19" s="3104" t="s">
        <v>2829</v>
      </c>
      <c r="B19" s="3103" t="s">
        <v>1017</v>
      </c>
      <c r="C19" s="3103" t="s">
        <v>1017</v>
      </c>
      <c r="D19" s="3103" t="s">
        <v>1017</v>
      </c>
      <c r="E19" s="3103">
        <v>8</v>
      </c>
      <c r="F19" s="3103" t="s">
        <v>1017</v>
      </c>
      <c r="G19" s="3103" t="s">
        <v>1017</v>
      </c>
      <c r="H19" s="3103" t="s">
        <v>5256</v>
      </c>
      <c r="I19" s="3103" t="s">
        <v>5257</v>
      </c>
      <c r="J19" s="3103" t="s">
        <v>5258</v>
      </c>
      <c r="K19" s="3103" t="s">
        <v>4606</v>
      </c>
      <c r="L19" s="3103" t="s">
        <v>5259</v>
      </c>
      <c r="M19" s="3103">
        <v>9.5</v>
      </c>
      <c r="N19" s="3103" t="s">
        <v>1014</v>
      </c>
      <c r="O19" s="3103" t="s">
        <v>1014</v>
      </c>
      <c r="P19" s="3103" t="s">
        <v>1313</v>
      </c>
      <c r="Q19" s="3103" t="s">
        <v>1014</v>
      </c>
      <c r="R19" s="3103" t="s">
        <v>1014</v>
      </c>
      <c r="S19" s="3103">
        <v>8.01</v>
      </c>
      <c r="T19" s="3103" t="s">
        <v>1014</v>
      </c>
      <c r="U19" s="3103">
        <v>7</v>
      </c>
      <c r="V19" s="3103">
        <v>7</v>
      </c>
      <c r="W19" s="3103" t="s">
        <v>1014</v>
      </c>
      <c r="X19" s="3103">
        <v>5.75</v>
      </c>
      <c r="Y19" s="3103" t="s">
        <v>1014</v>
      </c>
      <c r="Z19" s="3103">
        <v>5.75</v>
      </c>
      <c r="AA19" s="3103" t="s">
        <v>1014</v>
      </c>
      <c r="AB19" s="3103">
        <v>6.59</v>
      </c>
      <c r="AC19" s="3103" t="s">
        <v>1014</v>
      </c>
      <c r="AD19" s="3103" t="s">
        <v>4616</v>
      </c>
      <c r="AE19" s="3103" t="s">
        <v>5260</v>
      </c>
      <c r="AF19" s="3103" t="s">
        <v>5261</v>
      </c>
      <c r="AG19" s="3103" t="s">
        <v>5262</v>
      </c>
      <c r="AH19" s="3103" t="s">
        <v>1014</v>
      </c>
      <c r="AI19" s="3103" t="s">
        <v>4029</v>
      </c>
      <c r="AJ19" s="3103" t="s">
        <v>1014</v>
      </c>
      <c r="AK19" s="3103" t="s">
        <v>1014</v>
      </c>
      <c r="AL19" s="3103" t="s">
        <v>1014</v>
      </c>
    </row>
    <row r="20" spans="1:38" s="3105" customFormat="1" ht="27.95" customHeight="1" x14ac:dyDescent="0.25">
      <c r="A20" s="3020" t="s">
        <v>2832</v>
      </c>
      <c r="B20" s="3103" t="s">
        <v>5263</v>
      </c>
      <c r="C20" s="3103" t="s">
        <v>5264</v>
      </c>
      <c r="D20" s="3103" t="s">
        <v>5265</v>
      </c>
      <c r="E20" s="3103" t="s">
        <v>3706</v>
      </c>
      <c r="F20" s="3103" t="s">
        <v>3980</v>
      </c>
      <c r="G20" s="3103" t="s">
        <v>5266</v>
      </c>
      <c r="H20" s="3103" t="s">
        <v>4744</v>
      </c>
      <c r="I20" s="3103" t="s">
        <v>5267</v>
      </c>
      <c r="J20" s="3103" t="s">
        <v>5076</v>
      </c>
      <c r="K20" s="3103" t="s">
        <v>5132</v>
      </c>
      <c r="L20" s="3103">
        <v>9.9499999999999993</v>
      </c>
      <c r="M20" s="3103" t="s">
        <v>5224</v>
      </c>
      <c r="N20" s="3103" t="s">
        <v>5268</v>
      </c>
      <c r="O20" s="3103" t="s">
        <v>5269</v>
      </c>
      <c r="P20" s="3103" t="s">
        <v>4648</v>
      </c>
      <c r="Q20" s="3103" t="s">
        <v>5096</v>
      </c>
      <c r="R20" s="3103" t="s">
        <v>1014</v>
      </c>
      <c r="S20" s="3103">
        <v>6.95</v>
      </c>
      <c r="T20" s="3103" t="s">
        <v>1014</v>
      </c>
      <c r="U20" s="3103">
        <v>7.25</v>
      </c>
      <c r="V20" s="3103" t="s">
        <v>1014</v>
      </c>
      <c r="W20" s="3103" t="s">
        <v>5270</v>
      </c>
      <c r="X20" s="3103">
        <v>7</v>
      </c>
      <c r="Y20" s="3103">
        <v>7.5</v>
      </c>
      <c r="Z20" s="3103" t="s">
        <v>5271</v>
      </c>
      <c r="AA20" s="3103" t="s">
        <v>5272</v>
      </c>
      <c r="AB20" s="3103" t="s">
        <v>1014</v>
      </c>
      <c r="AC20" s="3103" t="s">
        <v>5132</v>
      </c>
      <c r="AD20" s="3103" t="s">
        <v>5132</v>
      </c>
      <c r="AE20" s="3103" t="s">
        <v>1014</v>
      </c>
      <c r="AF20" s="3103" t="s">
        <v>5207</v>
      </c>
      <c r="AG20" s="3103" t="s">
        <v>1014</v>
      </c>
      <c r="AH20" s="3103" t="s">
        <v>5273</v>
      </c>
      <c r="AI20" s="3103" t="s">
        <v>5274</v>
      </c>
      <c r="AJ20" s="3103">
        <v>7.8</v>
      </c>
      <c r="AK20" s="3103" t="s">
        <v>1014</v>
      </c>
      <c r="AL20" s="3103" t="s">
        <v>5275</v>
      </c>
    </row>
    <row r="21" spans="1:38" s="3105" customFormat="1" ht="27.95" customHeight="1" thickBot="1" x14ac:dyDescent="0.3">
      <c r="A21" s="3104" t="s">
        <v>2837</v>
      </c>
      <c r="B21" s="3103" t="s">
        <v>4656</v>
      </c>
      <c r="C21" s="3103" t="s">
        <v>3379</v>
      </c>
      <c r="D21" s="3103" t="s">
        <v>5236</v>
      </c>
      <c r="E21" s="3103">
        <v>9.25</v>
      </c>
      <c r="F21" s="3103" t="s">
        <v>5276</v>
      </c>
      <c r="G21" s="3103" t="s">
        <v>1390</v>
      </c>
      <c r="H21" s="3103" t="s">
        <v>3566</v>
      </c>
      <c r="I21" s="3103" t="s">
        <v>5238</v>
      </c>
      <c r="J21" s="3103" t="s">
        <v>5228</v>
      </c>
      <c r="K21" s="3103" t="s">
        <v>5277</v>
      </c>
      <c r="L21" s="3103" t="s">
        <v>5278</v>
      </c>
      <c r="M21" s="3103" t="s">
        <v>5279</v>
      </c>
      <c r="N21" s="3103" t="s">
        <v>5280</v>
      </c>
      <c r="O21" s="3103" t="s">
        <v>5281</v>
      </c>
      <c r="P21" s="3103">
        <v>6.3</v>
      </c>
      <c r="Q21" s="3103" t="s">
        <v>1314</v>
      </c>
      <c r="R21" s="3103" t="s">
        <v>1014</v>
      </c>
      <c r="S21" s="3103" t="s">
        <v>1014</v>
      </c>
      <c r="T21" s="3103" t="s">
        <v>5149</v>
      </c>
      <c r="U21" s="3103" t="s">
        <v>5282</v>
      </c>
      <c r="V21" s="3103" t="s">
        <v>4610</v>
      </c>
      <c r="W21" s="3103" t="s">
        <v>1014</v>
      </c>
      <c r="X21" s="3103">
        <v>7.43</v>
      </c>
      <c r="Y21" s="3103" t="s">
        <v>1014</v>
      </c>
      <c r="Z21" s="3103" t="s">
        <v>5283</v>
      </c>
      <c r="AA21" s="3103">
        <v>5.25</v>
      </c>
      <c r="AB21" s="3103">
        <v>5.25</v>
      </c>
      <c r="AC21" s="3103" t="s">
        <v>5284</v>
      </c>
      <c r="AD21" s="3103" t="s">
        <v>5285</v>
      </c>
      <c r="AE21" s="3103">
        <v>9</v>
      </c>
      <c r="AF21" s="3103" t="s">
        <v>5177</v>
      </c>
      <c r="AG21" s="3103" t="s">
        <v>5286</v>
      </c>
      <c r="AH21" s="3103" t="s">
        <v>5287</v>
      </c>
      <c r="AI21" s="3103" t="s">
        <v>1014</v>
      </c>
      <c r="AJ21" s="3103" t="s">
        <v>5288</v>
      </c>
      <c r="AK21" s="3103" t="s">
        <v>4112</v>
      </c>
      <c r="AL21" s="3103" t="s">
        <v>5219</v>
      </c>
    </row>
    <row r="22" spans="1:38" s="2979" customFormat="1" ht="27.95" customHeight="1" x14ac:dyDescent="0.25">
      <c r="A22" s="3107" t="s">
        <v>3858</v>
      </c>
      <c r="B22" s="3108" t="s">
        <v>5289</v>
      </c>
      <c r="C22" s="3108" t="s">
        <v>5290</v>
      </c>
      <c r="D22" s="3108" t="s">
        <v>5289</v>
      </c>
      <c r="E22" s="3109" t="s">
        <v>5290</v>
      </c>
      <c r="F22" s="3110" t="s">
        <v>5290</v>
      </c>
      <c r="G22" s="3110" t="s">
        <v>5291</v>
      </c>
      <c r="H22" s="3109" t="s">
        <v>5289</v>
      </c>
      <c r="I22" s="3109" t="s">
        <v>5292</v>
      </c>
      <c r="J22" s="3109" t="s">
        <v>5293</v>
      </c>
      <c r="K22" s="3109" t="s">
        <v>5293</v>
      </c>
      <c r="L22" s="3109" t="s">
        <v>5289</v>
      </c>
      <c r="M22" s="3109" t="s">
        <v>4384</v>
      </c>
      <c r="N22" s="3109" t="s">
        <v>5294</v>
      </c>
      <c r="O22" s="3109" t="s">
        <v>5295</v>
      </c>
      <c r="P22" s="3109" t="s">
        <v>5296</v>
      </c>
      <c r="Q22" s="3109" t="s">
        <v>5297</v>
      </c>
      <c r="R22" s="3109" t="s">
        <v>5298</v>
      </c>
      <c r="S22" s="3109" t="s">
        <v>5299</v>
      </c>
      <c r="T22" s="3109" t="s">
        <v>5300</v>
      </c>
      <c r="U22" s="3109" t="s">
        <v>5301</v>
      </c>
      <c r="V22" s="3109" t="s">
        <v>5302</v>
      </c>
      <c r="W22" s="3109" t="s">
        <v>5303</v>
      </c>
      <c r="X22" s="3109" t="s">
        <v>5302</v>
      </c>
      <c r="Y22" s="3109" t="s">
        <v>5304</v>
      </c>
      <c r="Z22" s="3109" t="s">
        <v>5303</v>
      </c>
      <c r="AA22" s="3109" t="s">
        <v>5304</v>
      </c>
      <c r="AB22" s="3109" t="s">
        <v>5304</v>
      </c>
      <c r="AC22" s="3109" t="s">
        <v>5305</v>
      </c>
      <c r="AD22" s="3109" t="s">
        <v>5302</v>
      </c>
      <c r="AE22" s="3109" t="s">
        <v>5306</v>
      </c>
      <c r="AF22" s="3109" t="s">
        <v>5307</v>
      </c>
      <c r="AG22" s="3109" t="s">
        <v>5308</v>
      </c>
      <c r="AH22" s="3109" t="s">
        <v>5308</v>
      </c>
      <c r="AI22" s="3109" t="s">
        <v>5309</v>
      </c>
      <c r="AJ22" s="3109" t="s">
        <v>5309</v>
      </c>
      <c r="AK22" s="3109" t="s">
        <v>5310</v>
      </c>
      <c r="AL22" s="3109" t="s">
        <v>5309</v>
      </c>
    </row>
    <row r="23" spans="1:38" s="2979" customFormat="1" ht="27.95" customHeight="1" x14ac:dyDescent="0.25">
      <c r="A23" s="3111" t="s">
        <v>3866</v>
      </c>
      <c r="B23" s="3112" t="s">
        <v>5311</v>
      </c>
      <c r="C23" s="3112" t="s">
        <v>5312</v>
      </c>
      <c r="D23" s="3112" t="s">
        <v>5313</v>
      </c>
      <c r="E23" s="3112" t="s">
        <v>5312</v>
      </c>
      <c r="F23" s="3112" t="s">
        <v>5314</v>
      </c>
      <c r="G23" s="3112" t="s">
        <v>5315</v>
      </c>
      <c r="H23" s="3112" t="s">
        <v>5311</v>
      </c>
      <c r="I23" s="3112" t="s">
        <v>5316</v>
      </c>
      <c r="J23" s="3112" t="s">
        <v>5317</v>
      </c>
      <c r="K23" s="3112" t="s">
        <v>5317</v>
      </c>
      <c r="L23" s="3112" t="s">
        <v>5318</v>
      </c>
      <c r="M23" s="3112" t="s">
        <v>5319</v>
      </c>
      <c r="N23" s="3112" t="s">
        <v>5294</v>
      </c>
      <c r="O23" s="3112" t="s">
        <v>5320</v>
      </c>
      <c r="P23" s="3112" t="s">
        <v>5321</v>
      </c>
      <c r="Q23" s="3112" t="s">
        <v>5322</v>
      </c>
      <c r="R23" s="3112" t="s">
        <v>5323</v>
      </c>
      <c r="S23" s="3112" t="s">
        <v>5298</v>
      </c>
      <c r="T23" s="3112" t="s">
        <v>5324</v>
      </c>
      <c r="U23" s="3112" t="s">
        <v>5325</v>
      </c>
      <c r="V23" s="3112" t="s">
        <v>5326</v>
      </c>
      <c r="W23" s="3112" t="s">
        <v>5327</v>
      </c>
      <c r="X23" s="3112" t="s">
        <v>5328</v>
      </c>
      <c r="Y23" s="3112" t="s">
        <v>5328</v>
      </c>
      <c r="Z23" s="3112" t="s">
        <v>5327</v>
      </c>
      <c r="AA23" s="3112" t="s">
        <v>5328</v>
      </c>
      <c r="AB23" s="3112" t="s">
        <v>5328</v>
      </c>
      <c r="AC23" s="3112" t="s">
        <v>5329</v>
      </c>
      <c r="AD23" s="3112" t="s">
        <v>5328</v>
      </c>
      <c r="AE23" s="3112" t="s">
        <v>5330</v>
      </c>
      <c r="AF23" s="3112" t="s">
        <v>5331</v>
      </c>
      <c r="AG23" s="3112" t="s">
        <v>5330</v>
      </c>
      <c r="AH23" s="3112" t="s">
        <v>5332</v>
      </c>
      <c r="AI23" s="3112" t="s">
        <v>5333</v>
      </c>
      <c r="AJ23" s="3112" t="s">
        <v>5334</v>
      </c>
      <c r="AK23" s="3112" t="s">
        <v>5333</v>
      </c>
      <c r="AL23" s="3112" t="s">
        <v>5334</v>
      </c>
    </row>
    <row r="24" spans="1:38" s="2979" customFormat="1" ht="27.95" customHeight="1" x14ac:dyDescent="0.25">
      <c r="A24" s="3020" t="s">
        <v>5335</v>
      </c>
      <c r="B24" s="3103" t="s">
        <v>1017</v>
      </c>
      <c r="C24" s="3103" t="s">
        <v>1017</v>
      </c>
      <c r="D24" s="3103" t="s">
        <v>1017</v>
      </c>
      <c r="E24" s="3113" t="s">
        <v>5232</v>
      </c>
      <c r="F24" s="3113">
        <v>6.85</v>
      </c>
      <c r="G24" s="3113" t="s">
        <v>5196</v>
      </c>
      <c r="H24" s="3113" t="s">
        <v>5336</v>
      </c>
      <c r="I24" s="3113">
        <v>8.1999999999999993</v>
      </c>
      <c r="J24" s="3113" t="s">
        <v>5337</v>
      </c>
      <c r="K24" s="3113">
        <v>7</v>
      </c>
      <c r="L24" s="3113" t="s">
        <v>1014</v>
      </c>
      <c r="M24" s="3113">
        <v>8</v>
      </c>
      <c r="N24" s="3113">
        <v>7.5</v>
      </c>
      <c r="O24" s="3113" t="s">
        <v>1014</v>
      </c>
      <c r="P24" s="3113">
        <v>7.95</v>
      </c>
      <c r="Q24" s="3113" t="s">
        <v>1014</v>
      </c>
      <c r="R24" s="3113" t="s">
        <v>1014</v>
      </c>
      <c r="S24" s="3113" t="s">
        <v>1014</v>
      </c>
      <c r="T24" s="3113">
        <v>9.9499999999999993</v>
      </c>
      <c r="U24" s="3113" t="s">
        <v>1014</v>
      </c>
      <c r="V24" s="3113" t="s">
        <v>1014</v>
      </c>
      <c r="W24" s="3113" t="s">
        <v>1014</v>
      </c>
      <c r="X24" s="3113" t="s">
        <v>1014</v>
      </c>
      <c r="Y24" s="3113">
        <v>4.9000000000000004</v>
      </c>
      <c r="Z24" s="3113" t="s">
        <v>1014</v>
      </c>
      <c r="AA24" s="3113" t="s">
        <v>1014</v>
      </c>
      <c r="AB24" s="3113" t="s">
        <v>5103</v>
      </c>
      <c r="AC24" s="3113" t="s">
        <v>1014</v>
      </c>
      <c r="AD24" s="3113" t="s">
        <v>1014</v>
      </c>
      <c r="AE24" s="3113">
        <v>5.75</v>
      </c>
      <c r="AF24" s="3113" t="s">
        <v>1014</v>
      </c>
      <c r="AG24" s="3113" t="s">
        <v>5199</v>
      </c>
      <c r="AH24" s="3113" t="s">
        <v>5258</v>
      </c>
      <c r="AI24" s="3113">
        <v>5.5</v>
      </c>
      <c r="AJ24" s="3113" t="s">
        <v>5338</v>
      </c>
      <c r="AK24" s="3113" t="s">
        <v>5339</v>
      </c>
      <c r="AL24" s="3113" t="s">
        <v>1014</v>
      </c>
    </row>
    <row r="25" spans="1:38" s="2979" customFormat="1" ht="27.95" customHeight="1" thickBot="1" x14ac:dyDescent="0.3">
      <c r="A25" s="3114" t="s">
        <v>3907</v>
      </c>
      <c r="B25" s="3115" t="s">
        <v>1017</v>
      </c>
      <c r="C25" s="3115">
        <v>7.25</v>
      </c>
      <c r="D25" s="3115">
        <v>6.9</v>
      </c>
      <c r="E25" s="3115" t="s">
        <v>1017</v>
      </c>
      <c r="F25" s="3115">
        <v>8</v>
      </c>
      <c r="G25" s="3115">
        <v>5.5</v>
      </c>
      <c r="H25" s="3115">
        <v>5.5</v>
      </c>
      <c r="I25" s="3115" t="s">
        <v>5228</v>
      </c>
      <c r="J25" s="3115" t="s">
        <v>5251</v>
      </c>
      <c r="K25" s="3115">
        <v>5.5</v>
      </c>
      <c r="L25" s="3115">
        <v>8</v>
      </c>
      <c r="M25" s="3115" t="s">
        <v>1014</v>
      </c>
      <c r="N25" s="3115" t="s">
        <v>1014</v>
      </c>
      <c r="O25" s="3115" t="s">
        <v>1014</v>
      </c>
      <c r="P25" s="3115" t="s">
        <v>1014</v>
      </c>
      <c r="Q25" s="3115">
        <v>5.75</v>
      </c>
      <c r="R25" s="3115" t="s">
        <v>1014</v>
      </c>
      <c r="S25" s="3115" t="s">
        <v>1014</v>
      </c>
      <c r="T25" s="3115" t="s">
        <v>1014</v>
      </c>
      <c r="U25" s="3115" t="s">
        <v>1014</v>
      </c>
      <c r="V25" s="3115" t="s">
        <v>1014</v>
      </c>
      <c r="W25" s="3115" t="s">
        <v>1014</v>
      </c>
      <c r="X25" s="3115">
        <v>5.75</v>
      </c>
      <c r="Y25" s="3115" t="s">
        <v>1014</v>
      </c>
      <c r="Z25" s="3115" t="s">
        <v>1014</v>
      </c>
      <c r="AA25" s="3115" t="s">
        <v>1014</v>
      </c>
      <c r="AB25" s="3115" t="s">
        <v>1014</v>
      </c>
      <c r="AC25" s="3115" t="s">
        <v>3792</v>
      </c>
      <c r="AD25" s="3115" t="s">
        <v>1014</v>
      </c>
      <c r="AE25" s="3115" t="s">
        <v>1014</v>
      </c>
      <c r="AF25" s="3115" t="s">
        <v>1014</v>
      </c>
      <c r="AG25" s="3115" t="s">
        <v>1014</v>
      </c>
      <c r="AH25" s="3115" t="s">
        <v>1014</v>
      </c>
      <c r="AI25" s="3115" t="s">
        <v>1014</v>
      </c>
      <c r="AJ25" s="3115" t="s">
        <v>1014</v>
      </c>
      <c r="AK25" s="3115" t="s">
        <v>1014</v>
      </c>
      <c r="AL25" s="3115" t="s">
        <v>1014</v>
      </c>
    </row>
    <row r="26" spans="1:38" s="2979" customFormat="1" ht="27.95" customHeight="1" thickTop="1" x14ac:dyDescent="0.25">
      <c r="A26" s="3104" t="s">
        <v>5340</v>
      </c>
      <c r="B26" s="3103" t="s">
        <v>1017</v>
      </c>
      <c r="C26" s="3103" t="s">
        <v>1017</v>
      </c>
      <c r="D26" s="3103" t="s">
        <v>1017</v>
      </c>
      <c r="E26" s="3103" t="s">
        <v>1017</v>
      </c>
      <c r="F26" s="3103" t="s">
        <v>1017</v>
      </c>
      <c r="G26" s="3103" t="s">
        <v>1017</v>
      </c>
      <c r="H26" s="3103" t="s">
        <v>1017</v>
      </c>
      <c r="I26" s="3103" t="s">
        <v>1014</v>
      </c>
      <c r="J26" s="3103" t="s">
        <v>1014</v>
      </c>
      <c r="K26" s="3103" t="s">
        <v>1014</v>
      </c>
      <c r="L26" s="3103" t="s">
        <v>1014</v>
      </c>
      <c r="M26" s="3103" t="s">
        <v>1014</v>
      </c>
      <c r="N26" s="3103" t="s">
        <v>1014</v>
      </c>
      <c r="O26" s="3103" t="s">
        <v>1014</v>
      </c>
      <c r="P26" s="3103" t="s">
        <v>1014</v>
      </c>
      <c r="Q26" s="3103" t="s">
        <v>1014</v>
      </c>
      <c r="R26" s="3103" t="s">
        <v>1014</v>
      </c>
      <c r="S26" s="3103" t="s">
        <v>1014</v>
      </c>
      <c r="T26" s="3103" t="s">
        <v>1014</v>
      </c>
      <c r="U26" s="3103" t="s">
        <v>1014</v>
      </c>
      <c r="V26" s="3103" t="s">
        <v>1014</v>
      </c>
      <c r="W26" s="3103" t="s">
        <v>1014</v>
      </c>
      <c r="X26" s="3103" t="s">
        <v>1014</v>
      </c>
      <c r="Y26" s="3103">
        <v>6</v>
      </c>
      <c r="Z26" s="3103" t="s">
        <v>1014</v>
      </c>
      <c r="AA26" s="3103" t="s">
        <v>1014</v>
      </c>
      <c r="AB26" s="3103" t="s">
        <v>1014</v>
      </c>
      <c r="AC26" s="3103">
        <v>4.75</v>
      </c>
      <c r="AD26" s="3103" t="s">
        <v>1014</v>
      </c>
      <c r="AE26" s="3103" t="s">
        <v>1014</v>
      </c>
      <c r="AF26" s="3103" t="s">
        <v>1014</v>
      </c>
      <c r="AG26" s="3103" t="s">
        <v>5105</v>
      </c>
      <c r="AH26" s="3103" t="s">
        <v>1014</v>
      </c>
      <c r="AI26" s="3103" t="s">
        <v>1014</v>
      </c>
      <c r="AJ26" s="3103" t="s">
        <v>1014</v>
      </c>
      <c r="AK26" s="3103" t="s">
        <v>1014</v>
      </c>
      <c r="AL26" s="3103" t="s">
        <v>1014</v>
      </c>
    </row>
    <row r="27" spans="1:38" s="2979" customFormat="1" ht="27.95" customHeight="1" x14ac:dyDescent="0.25">
      <c r="A27" s="3104" t="s">
        <v>5341</v>
      </c>
      <c r="B27" s="3103" t="s">
        <v>1017</v>
      </c>
      <c r="C27" s="3103" t="s">
        <v>1017</v>
      </c>
      <c r="D27" s="3103" t="s">
        <v>1017</v>
      </c>
      <c r="E27" s="3103" t="s">
        <v>1017</v>
      </c>
      <c r="F27" s="3103" t="s">
        <v>1017</v>
      </c>
      <c r="G27" s="3103" t="s">
        <v>1017</v>
      </c>
      <c r="H27" s="3103" t="s">
        <v>1017</v>
      </c>
      <c r="I27" s="3103" t="s">
        <v>1014</v>
      </c>
      <c r="J27" s="3103" t="s">
        <v>1014</v>
      </c>
      <c r="K27" s="3103" t="s">
        <v>1014</v>
      </c>
      <c r="L27" s="3103" t="s">
        <v>1014</v>
      </c>
      <c r="M27" s="3103" t="s">
        <v>1014</v>
      </c>
      <c r="N27" s="3103">
        <v>7.25</v>
      </c>
      <c r="O27" s="3103" t="s">
        <v>1014</v>
      </c>
      <c r="P27" s="3103" t="s">
        <v>1014</v>
      </c>
      <c r="Q27" s="3103" t="s">
        <v>1014</v>
      </c>
      <c r="R27" s="3103" t="s">
        <v>1014</v>
      </c>
      <c r="S27" s="3103" t="s">
        <v>1014</v>
      </c>
      <c r="T27" s="3103" t="s">
        <v>1014</v>
      </c>
      <c r="U27" s="3103" t="s">
        <v>1014</v>
      </c>
      <c r="V27" s="3103" t="s">
        <v>1014</v>
      </c>
      <c r="W27" s="3103" t="s">
        <v>1014</v>
      </c>
      <c r="X27" s="3103">
        <v>5.75</v>
      </c>
      <c r="Y27" s="3103" t="s">
        <v>1014</v>
      </c>
      <c r="Z27" s="3103" t="s">
        <v>1014</v>
      </c>
      <c r="AA27" s="3103" t="s">
        <v>1014</v>
      </c>
      <c r="AB27" s="3103" t="s">
        <v>1014</v>
      </c>
      <c r="AC27" s="3103" t="s">
        <v>1014</v>
      </c>
      <c r="AD27" s="3103" t="s">
        <v>1014</v>
      </c>
      <c r="AE27" s="3103" t="s">
        <v>1014</v>
      </c>
      <c r="AF27" s="3103" t="s">
        <v>1014</v>
      </c>
      <c r="AG27" s="3103" t="s">
        <v>1014</v>
      </c>
      <c r="AH27" s="3103" t="s">
        <v>1014</v>
      </c>
      <c r="AI27" s="3103" t="s">
        <v>1014</v>
      </c>
      <c r="AJ27" s="3103" t="s">
        <v>1014</v>
      </c>
      <c r="AK27" s="3103" t="s">
        <v>1014</v>
      </c>
      <c r="AL27" s="3103" t="s">
        <v>1014</v>
      </c>
    </row>
    <row r="28" spans="1:38" s="2979" customFormat="1" ht="27.95" customHeight="1" thickBot="1" x14ac:dyDescent="0.3">
      <c r="A28" s="3114" t="s">
        <v>5342</v>
      </c>
      <c r="B28" s="3116" t="s">
        <v>1017</v>
      </c>
      <c r="C28" s="3116" t="s">
        <v>1017</v>
      </c>
      <c r="D28" s="3116" t="s">
        <v>1017</v>
      </c>
      <c r="E28" s="3115" t="s">
        <v>1017</v>
      </c>
      <c r="F28" s="3116" t="s">
        <v>1017</v>
      </c>
      <c r="G28" s="3116" t="s">
        <v>1017</v>
      </c>
      <c r="H28" s="3115">
        <v>7.2</v>
      </c>
      <c r="I28" s="3115">
        <v>7.2</v>
      </c>
      <c r="J28" s="3115" t="s">
        <v>1014</v>
      </c>
      <c r="K28" s="3115" t="s">
        <v>1014</v>
      </c>
      <c r="L28" s="3115" t="s">
        <v>1014</v>
      </c>
      <c r="M28" s="3115" t="s">
        <v>1014</v>
      </c>
      <c r="N28" s="3115" t="s">
        <v>1014</v>
      </c>
      <c r="O28" s="3115" t="s">
        <v>1014</v>
      </c>
      <c r="P28" s="3115" t="s">
        <v>1014</v>
      </c>
      <c r="Q28" s="3115" t="s">
        <v>1014</v>
      </c>
      <c r="R28" s="3115" t="s">
        <v>1014</v>
      </c>
      <c r="S28" s="3115" t="s">
        <v>1014</v>
      </c>
      <c r="T28" s="3115" t="s">
        <v>1014</v>
      </c>
      <c r="U28" s="3115" t="s">
        <v>1014</v>
      </c>
      <c r="V28" s="3115" t="s">
        <v>1014</v>
      </c>
      <c r="W28" s="3115" t="s">
        <v>1014</v>
      </c>
      <c r="X28" s="3115" t="s">
        <v>1014</v>
      </c>
      <c r="Y28" s="3115" t="s">
        <v>1014</v>
      </c>
      <c r="Z28" s="3115" t="s">
        <v>1014</v>
      </c>
      <c r="AA28" s="3115" t="s">
        <v>1014</v>
      </c>
      <c r="AB28" s="3115" t="s">
        <v>1014</v>
      </c>
      <c r="AC28" s="3115" t="s">
        <v>1014</v>
      </c>
      <c r="AD28" s="3115" t="s">
        <v>1014</v>
      </c>
      <c r="AE28" s="3115" t="s">
        <v>1014</v>
      </c>
      <c r="AF28" s="3115" t="s">
        <v>1014</v>
      </c>
      <c r="AG28" s="3115" t="s">
        <v>1014</v>
      </c>
      <c r="AH28" s="3115" t="s">
        <v>1014</v>
      </c>
      <c r="AI28" s="3115" t="s">
        <v>1014</v>
      </c>
      <c r="AJ28" s="3115" t="s">
        <v>1014</v>
      </c>
      <c r="AK28" s="3115" t="s">
        <v>1014</v>
      </c>
      <c r="AL28" s="3115" t="s">
        <v>1014</v>
      </c>
    </row>
    <row r="29" spans="1:38" ht="15" thickTop="1" x14ac:dyDescent="0.25">
      <c r="A29" s="3117" t="s">
        <v>4797</v>
      </c>
      <c r="B29" s="2950"/>
      <c r="C29" s="2950"/>
      <c r="D29" s="2950"/>
    </row>
    <row r="30" spans="1:38" ht="15.75" x14ac:dyDescent="0.25">
      <c r="A30" s="2329" t="s">
        <v>4805</v>
      </c>
      <c r="B30" s="2950"/>
      <c r="C30" s="2950"/>
      <c r="D30" s="2950"/>
    </row>
    <row r="31" spans="1:38" s="2979" customFormat="1" ht="19.5" customHeight="1" x14ac:dyDescent="0.25">
      <c r="A31" s="3043" t="s">
        <v>290</v>
      </c>
    </row>
    <row r="32" spans="1:38" ht="14.25" customHeight="1" x14ac:dyDescent="0.35">
      <c r="A32" s="3118"/>
      <c r="B32" s="2980"/>
      <c r="C32" s="2980"/>
      <c r="D32" s="2980"/>
    </row>
  </sheetData>
  <dataConsolidate function="countNums">
    <dataRefs count="2">
      <dataRef ref="C4:AJ4" sheet="Bulletin - New Loans" r:id="rId1"/>
      <dataRef ref="C4:AL104" sheet="Bulletin - New Loans" r:id="rId2"/>
    </dataRefs>
  </dataConsolidate>
  <pageMargins left="0.7" right="0.7" top="0.75" bottom="0.75" header="0.3" footer="0.3"/>
  <pageSetup paperSize="9" scale="49" fitToHeight="0" orientation="landscape" r:id="rId3"/>
  <headerFooter alignWithMargins="0"/>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U32"/>
  <sheetViews>
    <sheetView showGridLines="0" zoomScale="85" zoomScaleNormal="85" zoomScaleSheetLayoutView="85" workbookViewId="0">
      <pane xSplit="3" ySplit="3" topLeftCell="I4" activePane="bottomRight" state="frozen"/>
      <selection activeCell="A38" sqref="A38"/>
      <selection pane="topRight" activeCell="A38" sqref="A38"/>
      <selection pane="bottomLeft" activeCell="A38" sqref="A38"/>
      <selection pane="bottomRight" activeCell="A38" sqref="A38"/>
    </sheetView>
  </sheetViews>
  <sheetFormatPr defaultColWidth="9.140625" defaultRowHeight="20.25" x14ac:dyDescent="0.35"/>
  <cols>
    <col min="1" max="1" width="79.28515625" style="3119" customWidth="1"/>
    <col min="2" max="8" width="14.140625" style="2950" hidden="1" customWidth="1"/>
    <col min="9" max="21" width="14.140625" style="2950" customWidth="1"/>
    <col min="22" max="16384" width="9.140625" style="2950"/>
  </cols>
  <sheetData>
    <row r="1" spans="1:21" ht="23.25" customHeight="1" x14ac:dyDescent="0.3">
      <c r="A1" s="2871" t="s">
        <v>5343</v>
      </c>
      <c r="B1" s="2980"/>
      <c r="C1" s="2980"/>
      <c r="D1" s="2980"/>
      <c r="E1" s="2980"/>
      <c r="F1" s="2980"/>
      <c r="G1" s="2980"/>
      <c r="H1" s="2980"/>
      <c r="I1" s="2980"/>
      <c r="J1" s="2980"/>
      <c r="K1" s="2980"/>
      <c r="L1" s="2980"/>
      <c r="M1" s="2980"/>
      <c r="N1" s="2980"/>
      <c r="O1" s="2980"/>
      <c r="P1" s="2980"/>
      <c r="Q1" s="2980"/>
      <c r="R1" s="2980"/>
      <c r="S1" s="2980"/>
      <c r="T1" s="2980"/>
      <c r="U1" s="2980"/>
    </row>
    <row r="2" spans="1:21" s="3098" customFormat="1" ht="23.1" customHeight="1" thickBot="1" x14ac:dyDescent="0.3">
      <c r="A2" s="3097"/>
      <c r="B2" s="3099"/>
      <c r="C2" s="3099"/>
      <c r="D2" s="3099"/>
      <c r="E2" s="3099"/>
      <c r="F2" s="3099"/>
      <c r="G2" s="3099"/>
      <c r="H2" s="3099"/>
      <c r="I2" s="3099"/>
      <c r="J2" s="3099"/>
      <c r="K2" s="3099"/>
      <c r="L2" s="3099"/>
      <c r="M2" s="3099"/>
      <c r="N2" s="3099"/>
      <c r="O2" s="3099"/>
      <c r="P2" s="3099"/>
      <c r="Q2" s="3099"/>
      <c r="R2" s="3099"/>
      <c r="S2" s="3099"/>
      <c r="T2" s="3099"/>
      <c r="U2" s="3099" t="s">
        <v>1129</v>
      </c>
    </row>
    <row r="3" spans="1:21" ht="30" customHeight="1" thickTop="1" thickBot="1" x14ac:dyDescent="0.4">
      <c r="A3" s="3100"/>
      <c r="B3" s="2949">
        <v>44592</v>
      </c>
      <c r="C3" s="2949">
        <v>44607</v>
      </c>
      <c r="D3" s="2949">
        <v>44635</v>
      </c>
      <c r="E3" s="2949">
        <v>44666</v>
      </c>
      <c r="F3" s="2949">
        <v>44696</v>
      </c>
      <c r="G3" s="2949">
        <v>44727</v>
      </c>
      <c r="H3" s="2949">
        <v>44757</v>
      </c>
      <c r="I3" s="2949">
        <v>44788</v>
      </c>
      <c r="J3" s="2949">
        <v>44819</v>
      </c>
      <c r="K3" s="2949">
        <v>44849</v>
      </c>
      <c r="L3" s="2949">
        <v>44880</v>
      </c>
      <c r="M3" s="2949">
        <v>44910</v>
      </c>
      <c r="N3" s="2949">
        <v>44941</v>
      </c>
      <c r="O3" s="2949">
        <v>44972</v>
      </c>
      <c r="P3" s="2949">
        <v>45000</v>
      </c>
      <c r="Q3" s="2949">
        <v>45031</v>
      </c>
      <c r="R3" s="2949">
        <v>45061</v>
      </c>
      <c r="S3" s="2949">
        <v>45092</v>
      </c>
      <c r="T3" s="2949">
        <v>45122</v>
      </c>
      <c r="U3" s="2949">
        <v>45153</v>
      </c>
    </row>
    <row r="4" spans="1:21" s="2979" customFormat="1" ht="27.95" customHeight="1" thickTop="1" x14ac:dyDescent="0.25">
      <c r="A4" s="3102" t="s">
        <v>2737</v>
      </c>
      <c r="B4" s="3103" t="s">
        <v>5087</v>
      </c>
      <c r="C4" s="3103" t="s">
        <v>5128</v>
      </c>
      <c r="D4" s="3103" t="s">
        <v>5344</v>
      </c>
      <c r="E4" s="3103" t="s">
        <v>5345</v>
      </c>
      <c r="F4" s="3103" t="s">
        <v>5346</v>
      </c>
      <c r="G4" s="3103" t="s">
        <v>5128</v>
      </c>
      <c r="H4" s="3103" t="s">
        <v>5347</v>
      </c>
      <c r="I4" s="3103" t="s">
        <v>5344</v>
      </c>
      <c r="J4" s="3103" t="s">
        <v>5344</v>
      </c>
      <c r="K4" s="3103" t="s">
        <v>5348</v>
      </c>
      <c r="L4" s="3103" t="s">
        <v>5349</v>
      </c>
      <c r="M4" s="3103" t="s">
        <v>5350</v>
      </c>
      <c r="N4" s="3103" t="s">
        <v>5351</v>
      </c>
      <c r="O4" s="3103" t="s">
        <v>5352</v>
      </c>
      <c r="P4" s="3103" t="s">
        <v>5351</v>
      </c>
      <c r="Q4" s="3103" t="s">
        <v>5353</v>
      </c>
      <c r="R4" s="3103" t="s">
        <v>5354</v>
      </c>
      <c r="S4" s="3103" t="s">
        <v>5344</v>
      </c>
      <c r="T4" s="3103" t="s">
        <v>5355</v>
      </c>
      <c r="U4" s="3103" t="s">
        <v>5356</v>
      </c>
    </row>
    <row r="5" spans="1:21" s="3105" customFormat="1" ht="27.95" customHeight="1" x14ac:dyDescent="0.25">
      <c r="A5" s="3104" t="s">
        <v>4796</v>
      </c>
      <c r="B5" s="3103" t="s">
        <v>5357</v>
      </c>
      <c r="C5" s="3103" t="s">
        <v>5358</v>
      </c>
      <c r="D5" s="3103" t="s">
        <v>5359</v>
      </c>
      <c r="E5" s="3103" t="s">
        <v>1014</v>
      </c>
      <c r="F5" s="3103" t="s">
        <v>5360</v>
      </c>
      <c r="G5" s="3103" t="s">
        <v>1304</v>
      </c>
      <c r="H5" s="3103" t="s">
        <v>5361</v>
      </c>
      <c r="I5" s="3103" t="s">
        <v>5362</v>
      </c>
      <c r="J5" s="3103" t="s">
        <v>5363</v>
      </c>
      <c r="K5" s="3103" t="s">
        <v>5364</v>
      </c>
      <c r="L5" s="3103" t="s">
        <v>5365</v>
      </c>
      <c r="M5" s="3103" t="s">
        <v>5178</v>
      </c>
      <c r="N5" s="3103" t="s">
        <v>5366</v>
      </c>
      <c r="O5" s="3103" t="s">
        <v>5367</v>
      </c>
      <c r="P5" s="3103" t="s">
        <v>5368</v>
      </c>
      <c r="Q5" s="3103" t="s">
        <v>4316</v>
      </c>
      <c r="R5" s="3103" t="s">
        <v>5369</v>
      </c>
      <c r="S5" s="3103" t="s">
        <v>5370</v>
      </c>
      <c r="T5" s="3103" t="s">
        <v>5371</v>
      </c>
      <c r="U5" s="3103" t="s">
        <v>4606</v>
      </c>
    </row>
    <row r="6" spans="1:21" s="3105" customFormat="1" ht="27.95" customHeight="1" x14ac:dyDescent="0.25">
      <c r="A6" s="3104" t="s">
        <v>2744</v>
      </c>
      <c r="B6" s="3103" t="s">
        <v>1014</v>
      </c>
      <c r="C6" s="3103" t="s">
        <v>1014</v>
      </c>
      <c r="D6" s="3103" t="s">
        <v>1014</v>
      </c>
      <c r="E6" s="3103" t="s">
        <v>1014</v>
      </c>
      <c r="F6" s="3103" t="s">
        <v>1014</v>
      </c>
      <c r="G6" s="3103" t="s">
        <v>1014</v>
      </c>
      <c r="H6" s="3103" t="s">
        <v>1014</v>
      </c>
      <c r="I6" s="3103" t="s">
        <v>1014</v>
      </c>
      <c r="J6" s="3103" t="s">
        <v>1014</v>
      </c>
      <c r="K6" s="3103" t="s">
        <v>1014</v>
      </c>
      <c r="L6" s="3103" t="s">
        <v>1014</v>
      </c>
      <c r="M6" s="3103" t="s">
        <v>1014</v>
      </c>
      <c r="N6" s="3103" t="s">
        <v>1014</v>
      </c>
      <c r="O6" s="3103" t="s">
        <v>1014</v>
      </c>
      <c r="P6" s="3103" t="s">
        <v>1014</v>
      </c>
      <c r="Q6" s="3103" t="s">
        <v>1014</v>
      </c>
      <c r="R6" s="3103" t="s">
        <v>1014</v>
      </c>
      <c r="S6" s="3103" t="s">
        <v>1014</v>
      </c>
      <c r="T6" s="3103" t="s">
        <v>1014</v>
      </c>
      <c r="U6" s="3103" t="s">
        <v>1014</v>
      </c>
    </row>
    <row r="7" spans="1:21" s="3105" customFormat="1" ht="27.95" customHeight="1" x14ac:dyDescent="0.25">
      <c r="A7" s="3104" t="s">
        <v>2745</v>
      </c>
      <c r="B7" s="3103" t="s">
        <v>5158</v>
      </c>
      <c r="C7" s="3103" t="s">
        <v>5372</v>
      </c>
      <c r="D7" s="3103" t="s">
        <v>5373</v>
      </c>
      <c r="E7" s="3103" t="s">
        <v>5374</v>
      </c>
      <c r="F7" s="3103" t="s">
        <v>5375</v>
      </c>
      <c r="G7" s="3103" t="s">
        <v>5376</v>
      </c>
      <c r="H7" s="3103" t="s">
        <v>5377</v>
      </c>
      <c r="I7" s="3103" t="s">
        <v>4384</v>
      </c>
      <c r="J7" s="3103" t="s">
        <v>5378</v>
      </c>
      <c r="K7" s="3103" t="s">
        <v>5379</v>
      </c>
      <c r="L7" s="3103" t="s">
        <v>5380</v>
      </c>
      <c r="M7" s="3103" t="s">
        <v>5381</v>
      </c>
      <c r="N7" s="3103" t="s">
        <v>5382</v>
      </c>
      <c r="O7" s="3103" t="s">
        <v>5383</v>
      </c>
      <c r="P7" s="3103" t="s">
        <v>5352</v>
      </c>
      <c r="Q7" s="3103" t="s">
        <v>4488</v>
      </c>
      <c r="R7" s="3103" t="s">
        <v>3972</v>
      </c>
      <c r="S7" s="3103" t="s">
        <v>5344</v>
      </c>
      <c r="T7" s="3103" t="s">
        <v>5384</v>
      </c>
      <c r="U7" s="3103" t="s">
        <v>4316</v>
      </c>
    </row>
    <row r="8" spans="1:21" s="3105" customFormat="1" ht="27.95" customHeight="1" x14ac:dyDescent="0.25">
      <c r="A8" s="3104" t="s">
        <v>2768</v>
      </c>
      <c r="B8" s="3103" t="s">
        <v>1014</v>
      </c>
      <c r="C8" s="3103" t="s">
        <v>5190</v>
      </c>
      <c r="D8" s="3103" t="s">
        <v>1014</v>
      </c>
      <c r="E8" s="3103" t="s">
        <v>1014</v>
      </c>
      <c r="F8" s="3103" t="s">
        <v>1014</v>
      </c>
      <c r="G8" s="3103" t="s">
        <v>1014</v>
      </c>
      <c r="H8" s="3103" t="s">
        <v>1014</v>
      </c>
      <c r="I8" s="3103" t="s">
        <v>1014</v>
      </c>
      <c r="J8" s="3103" t="s">
        <v>1014</v>
      </c>
      <c r="K8" s="3103" t="s">
        <v>1014</v>
      </c>
      <c r="L8" s="3103" t="s">
        <v>1014</v>
      </c>
      <c r="M8" s="3103" t="s">
        <v>1014</v>
      </c>
      <c r="N8" s="3103" t="s">
        <v>5385</v>
      </c>
      <c r="O8" s="3103" t="s">
        <v>1014</v>
      </c>
      <c r="P8" s="3103" t="s">
        <v>1014</v>
      </c>
      <c r="Q8" s="3103" t="s">
        <v>1014</v>
      </c>
      <c r="R8" s="3103" t="s">
        <v>1014</v>
      </c>
      <c r="S8" s="3103" t="s">
        <v>5386</v>
      </c>
      <c r="T8" s="3103" t="s">
        <v>1014</v>
      </c>
      <c r="U8" s="3103" t="s">
        <v>1014</v>
      </c>
    </row>
    <row r="9" spans="1:21" s="3105" customFormat="1" ht="27.95" customHeight="1" x14ac:dyDescent="0.25">
      <c r="A9" s="3104" t="s">
        <v>2769</v>
      </c>
      <c r="B9" s="3103" t="s">
        <v>1014</v>
      </c>
      <c r="C9" s="3103" t="s">
        <v>1014</v>
      </c>
      <c r="D9" s="3103" t="s">
        <v>1014</v>
      </c>
      <c r="E9" s="3103" t="s">
        <v>5387</v>
      </c>
      <c r="F9" s="3103" t="s">
        <v>1014</v>
      </c>
      <c r="G9" s="3103" t="s">
        <v>5388</v>
      </c>
      <c r="H9" s="3103" t="s">
        <v>1014</v>
      </c>
      <c r="I9" s="3103" t="s">
        <v>1014</v>
      </c>
      <c r="J9" s="3103" t="s">
        <v>1014</v>
      </c>
      <c r="K9" s="3103" t="s">
        <v>1014</v>
      </c>
      <c r="L9" s="3103" t="s">
        <v>5389</v>
      </c>
      <c r="M9" s="3103" t="s">
        <v>1014</v>
      </c>
      <c r="N9" s="3103" t="s">
        <v>1014</v>
      </c>
      <c r="O9" s="3103" t="s">
        <v>1014</v>
      </c>
      <c r="P9" s="3103" t="s">
        <v>5365</v>
      </c>
      <c r="Q9" s="3103" t="s">
        <v>1014</v>
      </c>
      <c r="R9" s="3103" t="s">
        <v>1014</v>
      </c>
      <c r="S9" s="3103" t="s">
        <v>5390</v>
      </c>
      <c r="T9" s="3103" t="s">
        <v>1014</v>
      </c>
      <c r="U9" s="3103" t="s">
        <v>1014</v>
      </c>
    </row>
    <row r="10" spans="1:21" s="3105" customFormat="1" ht="27.95" customHeight="1" x14ac:dyDescent="0.25">
      <c r="A10" s="3104" t="s">
        <v>2770</v>
      </c>
      <c r="B10" s="3103" t="s">
        <v>5166</v>
      </c>
      <c r="C10" s="3103" t="s">
        <v>5126</v>
      </c>
      <c r="D10" s="3103" t="s">
        <v>5391</v>
      </c>
      <c r="E10" s="3103" t="s">
        <v>5392</v>
      </c>
      <c r="F10" s="3103" t="s">
        <v>5393</v>
      </c>
      <c r="G10" s="3103" t="s">
        <v>5076</v>
      </c>
      <c r="H10" s="3103" t="s">
        <v>5158</v>
      </c>
      <c r="I10" s="3103" t="s">
        <v>5394</v>
      </c>
      <c r="J10" s="3103" t="s">
        <v>5395</v>
      </c>
      <c r="K10" s="3103" t="s">
        <v>3808</v>
      </c>
      <c r="L10" s="3103" t="s">
        <v>4301</v>
      </c>
      <c r="M10" s="3103" t="s">
        <v>5396</v>
      </c>
      <c r="N10" s="3103" t="s">
        <v>5397</v>
      </c>
      <c r="O10" s="3103" t="s">
        <v>5398</v>
      </c>
      <c r="P10" s="3103" t="s">
        <v>4316</v>
      </c>
      <c r="Q10" s="3103" t="s">
        <v>5384</v>
      </c>
      <c r="R10" s="3103" t="s">
        <v>5399</v>
      </c>
      <c r="S10" s="3103" t="s">
        <v>4489</v>
      </c>
      <c r="T10" s="3103" t="s">
        <v>4488</v>
      </c>
      <c r="U10" s="3103" t="s">
        <v>5384</v>
      </c>
    </row>
    <row r="11" spans="1:21" s="3105" customFormat="1" ht="27.95" customHeight="1" x14ac:dyDescent="0.25">
      <c r="A11" s="3104" t="s">
        <v>2780</v>
      </c>
      <c r="B11" s="3103" t="s">
        <v>4202</v>
      </c>
      <c r="C11" s="3103" t="s">
        <v>5128</v>
      </c>
      <c r="D11" s="3103" t="s">
        <v>5085</v>
      </c>
      <c r="E11" s="3106" t="s">
        <v>5128</v>
      </c>
      <c r="F11" s="3103" t="s">
        <v>5085</v>
      </c>
      <c r="G11" s="3103" t="s">
        <v>5400</v>
      </c>
      <c r="H11" s="3103" t="s">
        <v>5401</v>
      </c>
      <c r="I11" s="3103" t="s">
        <v>5344</v>
      </c>
      <c r="J11" s="3103" t="s">
        <v>5344</v>
      </c>
      <c r="K11" s="3103" t="s">
        <v>5402</v>
      </c>
      <c r="L11" s="3103" t="s">
        <v>4311</v>
      </c>
      <c r="M11" s="3103" t="s">
        <v>5403</v>
      </c>
      <c r="N11" s="3103" t="s">
        <v>5351</v>
      </c>
      <c r="O11" s="3103" t="s">
        <v>1325</v>
      </c>
      <c r="P11" s="3103" t="s">
        <v>3565</v>
      </c>
      <c r="Q11" s="3103" t="s">
        <v>3775</v>
      </c>
      <c r="R11" s="3103" t="s">
        <v>5354</v>
      </c>
      <c r="S11" s="3103" t="s">
        <v>5344</v>
      </c>
      <c r="T11" s="3103" t="s">
        <v>5167</v>
      </c>
      <c r="U11" s="3103" t="s">
        <v>5384</v>
      </c>
    </row>
    <row r="12" spans="1:21" s="3105" customFormat="1" ht="27.95" customHeight="1" x14ac:dyDescent="0.25">
      <c r="A12" s="3104" t="s">
        <v>2784</v>
      </c>
      <c r="B12" s="3103" t="s">
        <v>5085</v>
      </c>
      <c r="C12" s="3103" t="s">
        <v>5185</v>
      </c>
      <c r="D12" s="3103" t="s">
        <v>5352</v>
      </c>
      <c r="E12" s="3103" t="s">
        <v>5404</v>
      </c>
      <c r="F12" s="3103" t="s">
        <v>5078</v>
      </c>
      <c r="G12" s="3103" t="s">
        <v>5401</v>
      </c>
      <c r="H12" s="3103" t="s">
        <v>5360</v>
      </c>
      <c r="I12" s="3103" t="s">
        <v>5084</v>
      </c>
      <c r="J12" s="3103" t="s">
        <v>4086</v>
      </c>
      <c r="K12" s="3103" t="s">
        <v>5405</v>
      </c>
      <c r="L12" s="3103" t="s">
        <v>5406</v>
      </c>
      <c r="M12" s="3103" t="s">
        <v>5407</v>
      </c>
      <c r="N12" s="3103" t="s">
        <v>5408</v>
      </c>
      <c r="O12" s="3103" t="s">
        <v>5409</v>
      </c>
      <c r="P12" s="3103" t="s">
        <v>1325</v>
      </c>
      <c r="Q12" s="3103" t="s">
        <v>5410</v>
      </c>
      <c r="R12" s="3103" t="s">
        <v>5399</v>
      </c>
      <c r="S12" s="3103" t="s">
        <v>5370</v>
      </c>
      <c r="T12" s="3103" t="s">
        <v>5411</v>
      </c>
      <c r="U12" s="3103" t="s">
        <v>5167</v>
      </c>
    </row>
    <row r="13" spans="1:21" s="3105" customFormat="1" ht="27.95" customHeight="1" x14ac:dyDescent="0.25">
      <c r="A13" s="3104" t="s">
        <v>2790</v>
      </c>
      <c r="B13" s="3103" t="s">
        <v>5412</v>
      </c>
      <c r="C13" s="3103" t="s">
        <v>5190</v>
      </c>
      <c r="D13" s="3103" t="s">
        <v>3378</v>
      </c>
      <c r="E13" s="3103" t="s">
        <v>5091</v>
      </c>
      <c r="F13" s="3103" t="s">
        <v>5131</v>
      </c>
      <c r="G13" s="3103" t="s">
        <v>5130</v>
      </c>
      <c r="H13" s="3103" t="s">
        <v>5413</v>
      </c>
      <c r="I13" s="3103" t="s">
        <v>5400</v>
      </c>
      <c r="J13" s="3103" t="s">
        <v>5414</v>
      </c>
      <c r="K13" s="3103" t="s">
        <v>5415</v>
      </c>
      <c r="L13" s="3103" t="s">
        <v>5416</v>
      </c>
      <c r="M13" s="3103" t="s">
        <v>5417</v>
      </c>
      <c r="N13" s="3103" t="s">
        <v>5418</v>
      </c>
      <c r="O13" s="3103" t="s">
        <v>4321</v>
      </c>
      <c r="P13" s="3103" t="s">
        <v>5235</v>
      </c>
      <c r="Q13" s="3103" t="s">
        <v>4316</v>
      </c>
      <c r="R13" s="3103" t="s">
        <v>5419</v>
      </c>
      <c r="S13" s="3103" t="s">
        <v>4353</v>
      </c>
      <c r="T13" s="3103" t="s">
        <v>5399</v>
      </c>
      <c r="U13" s="3103" t="s">
        <v>5420</v>
      </c>
    </row>
    <row r="14" spans="1:21" s="3105" customFormat="1" ht="27.95" customHeight="1" x14ac:dyDescent="0.25">
      <c r="A14" s="3104" t="s">
        <v>2801</v>
      </c>
      <c r="B14" s="3103" t="s">
        <v>5421</v>
      </c>
      <c r="C14" s="3103" t="s">
        <v>1014</v>
      </c>
      <c r="D14" s="3103" t="s">
        <v>5422</v>
      </c>
      <c r="E14" s="3103" t="s">
        <v>5423</v>
      </c>
      <c r="F14" s="3103" t="s">
        <v>5158</v>
      </c>
      <c r="G14" s="3103" t="s">
        <v>5261</v>
      </c>
      <c r="H14" s="3103" t="s">
        <v>5087</v>
      </c>
      <c r="I14" s="3103" t="s">
        <v>5424</v>
      </c>
      <c r="J14" s="3103" t="s">
        <v>5425</v>
      </c>
      <c r="K14" s="3103" t="s">
        <v>5426</v>
      </c>
      <c r="L14" s="3103" t="s">
        <v>5427</v>
      </c>
      <c r="M14" s="3103" t="s">
        <v>5428</v>
      </c>
      <c r="N14" s="3103" t="s">
        <v>1014</v>
      </c>
      <c r="O14" s="3103" t="s">
        <v>5429</v>
      </c>
      <c r="P14" s="3103" t="s">
        <v>5430</v>
      </c>
      <c r="Q14" s="3103" t="s">
        <v>5431</v>
      </c>
      <c r="R14" s="3103" t="s">
        <v>5432</v>
      </c>
      <c r="S14" s="3103" t="s">
        <v>1308</v>
      </c>
      <c r="T14" s="3103" t="s">
        <v>5433</v>
      </c>
      <c r="U14" s="3103" t="s">
        <v>5434</v>
      </c>
    </row>
    <row r="15" spans="1:21" s="3105" customFormat="1" ht="27.95" customHeight="1" x14ac:dyDescent="0.25">
      <c r="A15" s="3104" t="s">
        <v>2808</v>
      </c>
      <c r="B15" s="3103" t="s">
        <v>1014</v>
      </c>
      <c r="C15" s="3103" t="s">
        <v>1014</v>
      </c>
      <c r="D15" s="3103" t="s">
        <v>5253</v>
      </c>
      <c r="E15" s="3103" t="s">
        <v>1014</v>
      </c>
      <c r="F15" s="3103" t="s">
        <v>5282</v>
      </c>
      <c r="G15" s="3103" t="s">
        <v>5130</v>
      </c>
      <c r="H15" s="3103" t="s">
        <v>5233</v>
      </c>
      <c r="I15" s="3103" t="s">
        <v>5147</v>
      </c>
      <c r="J15" s="3103" t="s">
        <v>5253</v>
      </c>
      <c r="K15" s="3103" t="s">
        <v>5435</v>
      </c>
      <c r="L15" s="3103" t="s">
        <v>1387</v>
      </c>
      <c r="M15" s="3103" t="s">
        <v>4190</v>
      </c>
      <c r="N15" s="3103" t="s">
        <v>5436</v>
      </c>
      <c r="O15" s="3103" t="s">
        <v>5365</v>
      </c>
      <c r="P15" s="3103" t="s">
        <v>1014</v>
      </c>
      <c r="Q15" s="3103" t="s">
        <v>1014</v>
      </c>
      <c r="R15" s="3103" t="s">
        <v>1014</v>
      </c>
      <c r="S15" s="3103" t="s">
        <v>1317</v>
      </c>
      <c r="T15" s="3103" t="s">
        <v>5437</v>
      </c>
      <c r="U15" s="3103" t="s">
        <v>5273</v>
      </c>
    </row>
    <row r="16" spans="1:21" s="3105" customFormat="1" ht="27.95" customHeight="1" x14ac:dyDescent="0.25">
      <c r="A16" s="3104" t="s">
        <v>2809</v>
      </c>
      <c r="B16" s="3103" t="s">
        <v>3716</v>
      </c>
      <c r="C16" s="3103" t="s">
        <v>5438</v>
      </c>
      <c r="D16" s="3103" t="s">
        <v>1305</v>
      </c>
      <c r="E16" s="3103" t="s">
        <v>5076</v>
      </c>
      <c r="F16" s="3103" t="s">
        <v>5158</v>
      </c>
      <c r="G16" s="3103" t="s">
        <v>3808</v>
      </c>
      <c r="H16" s="3103" t="s">
        <v>5395</v>
      </c>
      <c r="I16" s="3103" t="s">
        <v>4112</v>
      </c>
      <c r="J16" s="3103" t="s">
        <v>5439</v>
      </c>
      <c r="K16" s="3103" t="s">
        <v>5440</v>
      </c>
      <c r="L16" s="3103" t="s">
        <v>5441</v>
      </c>
      <c r="M16" s="3103" t="s">
        <v>5442</v>
      </c>
      <c r="N16" s="3103" t="s">
        <v>4020</v>
      </c>
      <c r="O16" s="3103" t="s">
        <v>1367</v>
      </c>
      <c r="P16" s="3103" t="s">
        <v>3716</v>
      </c>
      <c r="Q16" s="3103" t="s">
        <v>4488</v>
      </c>
      <c r="R16" s="3103" t="s">
        <v>3565</v>
      </c>
      <c r="S16" s="3103" t="s">
        <v>3565</v>
      </c>
      <c r="T16" s="3103" t="s">
        <v>1372</v>
      </c>
      <c r="U16" s="3103" t="s">
        <v>5356</v>
      </c>
    </row>
    <row r="17" spans="1:21" s="3105" customFormat="1" ht="27.95" customHeight="1" x14ac:dyDescent="0.25">
      <c r="A17" s="3104" t="s">
        <v>2816</v>
      </c>
      <c r="B17" s="3103" t="s">
        <v>5443</v>
      </c>
      <c r="C17" s="3103" t="s">
        <v>5444</v>
      </c>
      <c r="D17" s="3103" t="s">
        <v>5085</v>
      </c>
      <c r="E17" s="3103" t="s">
        <v>5445</v>
      </c>
      <c r="F17" s="3103" t="s">
        <v>5144</v>
      </c>
      <c r="G17" s="3103" t="s">
        <v>5085</v>
      </c>
      <c r="H17" s="3103" t="s">
        <v>4301</v>
      </c>
      <c r="I17" s="3103" t="s">
        <v>5445</v>
      </c>
      <c r="J17" s="3103" t="s">
        <v>5446</v>
      </c>
      <c r="K17" s="3103" t="s">
        <v>5447</v>
      </c>
      <c r="L17" s="3103" t="s">
        <v>5448</v>
      </c>
      <c r="M17" s="3103" t="s">
        <v>5449</v>
      </c>
      <c r="N17" s="3103" t="s">
        <v>1303</v>
      </c>
      <c r="O17" s="3103" t="s">
        <v>5450</v>
      </c>
      <c r="P17" s="3103" t="s">
        <v>5451</v>
      </c>
      <c r="Q17" s="3103" t="s">
        <v>5235</v>
      </c>
      <c r="R17" s="3103" t="s">
        <v>3565</v>
      </c>
      <c r="S17" s="3103" t="s">
        <v>5344</v>
      </c>
      <c r="T17" s="3103" t="s">
        <v>5452</v>
      </c>
      <c r="U17" s="3103" t="s">
        <v>5453</v>
      </c>
    </row>
    <row r="18" spans="1:21" s="3105" customFormat="1" ht="27.95" customHeight="1" x14ac:dyDescent="0.25">
      <c r="A18" s="3104" t="s">
        <v>2823</v>
      </c>
      <c r="B18" s="3103" t="s">
        <v>5388</v>
      </c>
      <c r="C18" s="3103" t="s">
        <v>1014</v>
      </c>
      <c r="D18" s="3103" t="s">
        <v>5188</v>
      </c>
      <c r="E18" s="3103" t="s">
        <v>5454</v>
      </c>
      <c r="F18" s="3103" t="s">
        <v>1014</v>
      </c>
      <c r="G18" s="3103" t="s">
        <v>5455</v>
      </c>
      <c r="H18" s="3103" t="s">
        <v>5456</v>
      </c>
      <c r="I18" s="3103" t="s">
        <v>1014</v>
      </c>
      <c r="J18" s="3103" t="s">
        <v>1014</v>
      </c>
      <c r="K18" s="3103" t="s">
        <v>1014</v>
      </c>
      <c r="L18" s="3103" t="s">
        <v>5457</v>
      </c>
      <c r="M18" s="3103" t="s">
        <v>1014</v>
      </c>
      <c r="N18" s="3103" t="s">
        <v>1014</v>
      </c>
      <c r="O18" s="3103" t="s">
        <v>1014</v>
      </c>
      <c r="P18" s="3103" t="s">
        <v>5458</v>
      </c>
      <c r="Q18" s="3103" t="s">
        <v>5385</v>
      </c>
      <c r="R18" s="3103" t="s">
        <v>1014</v>
      </c>
      <c r="S18" s="3103" t="s">
        <v>1014</v>
      </c>
      <c r="T18" s="3103" t="s">
        <v>5190</v>
      </c>
      <c r="U18" s="3103" t="s">
        <v>1014</v>
      </c>
    </row>
    <row r="19" spans="1:21" s="3105" customFormat="1" ht="27.95" customHeight="1" x14ac:dyDescent="0.25">
      <c r="A19" s="3104" t="s">
        <v>2829</v>
      </c>
      <c r="B19" s="3103" t="s">
        <v>4187</v>
      </c>
      <c r="C19" s="3103" t="s">
        <v>4202</v>
      </c>
      <c r="D19" s="3103" t="s">
        <v>5459</v>
      </c>
      <c r="E19" s="3103" t="s">
        <v>5460</v>
      </c>
      <c r="F19" s="3103" t="s">
        <v>5461</v>
      </c>
      <c r="G19" s="3103" t="s">
        <v>5338</v>
      </c>
      <c r="H19" s="3103" t="s">
        <v>1014</v>
      </c>
      <c r="I19" s="3103" t="s">
        <v>5462</v>
      </c>
      <c r="J19" s="3103" t="s">
        <v>5253</v>
      </c>
      <c r="K19" s="3103" t="s">
        <v>5241</v>
      </c>
      <c r="L19" s="3121" t="s">
        <v>5463</v>
      </c>
      <c r="M19" s="3121" t="s">
        <v>5464</v>
      </c>
      <c r="N19" s="3121" t="s">
        <v>1014</v>
      </c>
      <c r="O19" s="3121" t="s">
        <v>5207</v>
      </c>
      <c r="P19" s="3121" t="s">
        <v>1014</v>
      </c>
      <c r="Q19" s="3121" t="s">
        <v>1014</v>
      </c>
      <c r="R19" s="3121" t="s">
        <v>3972</v>
      </c>
      <c r="S19" s="3121" t="s">
        <v>5465</v>
      </c>
      <c r="T19" s="3121" t="s">
        <v>5419</v>
      </c>
      <c r="U19" s="3121" t="s">
        <v>5466</v>
      </c>
    </row>
    <row r="20" spans="1:21" s="3105" customFormat="1" ht="27.95" customHeight="1" x14ac:dyDescent="0.25">
      <c r="A20" s="3020" t="s">
        <v>2832</v>
      </c>
      <c r="B20" s="3103" t="s">
        <v>5467</v>
      </c>
      <c r="C20" s="3103" t="s">
        <v>5456</v>
      </c>
      <c r="D20" s="3103" t="s">
        <v>5468</v>
      </c>
      <c r="E20" s="3103" t="s">
        <v>5253</v>
      </c>
      <c r="F20" s="3103" t="s">
        <v>1014</v>
      </c>
      <c r="G20" s="3103" t="s">
        <v>1014</v>
      </c>
      <c r="H20" s="3103" t="s">
        <v>5188</v>
      </c>
      <c r="I20" s="3103" t="s">
        <v>5469</v>
      </c>
      <c r="J20" s="3103" t="s">
        <v>4022</v>
      </c>
      <c r="K20" s="3103" t="s">
        <v>5253</v>
      </c>
      <c r="L20" s="3103" t="s">
        <v>5470</v>
      </c>
      <c r="M20" s="3103" t="s">
        <v>4020</v>
      </c>
      <c r="N20" s="3103" t="s">
        <v>1014</v>
      </c>
      <c r="O20" s="3103" t="s">
        <v>5471</v>
      </c>
      <c r="P20" s="3103" t="s">
        <v>5472</v>
      </c>
      <c r="Q20" s="3103" t="s">
        <v>5473</v>
      </c>
      <c r="R20" s="3103" t="s">
        <v>5474</v>
      </c>
      <c r="S20" s="3103" t="s">
        <v>5475</v>
      </c>
      <c r="T20" s="3103" t="s">
        <v>5476</v>
      </c>
      <c r="U20" s="3103" t="s">
        <v>5477</v>
      </c>
    </row>
    <row r="21" spans="1:21" s="3105" customFormat="1" ht="27.95" customHeight="1" thickBot="1" x14ac:dyDescent="0.3">
      <c r="A21" s="3104" t="s">
        <v>2837</v>
      </c>
      <c r="B21" s="3103" t="s">
        <v>1014</v>
      </c>
      <c r="C21" s="3103" t="s">
        <v>5478</v>
      </c>
      <c r="D21" s="3103" t="s">
        <v>1381</v>
      </c>
      <c r="E21" s="3103" t="s">
        <v>1014</v>
      </c>
      <c r="F21" s="3103" t="s">
        <v>5479</v>
      </c>
      <c r="G21" s="3103" t="s">
        <v>5480</v>
      </c>
      <c r="H21" s="3103" t="s">
        <v>5481</v>
      </c>
      <c r="I21" s="3103" t="s">
        <v>5424</v>
      </c>
      <c r="J21" s="3103" t="s">
        <v>5482</v>
      </c>
      <c r="K21" s="3103" t="s">
        <v>5483</v>
      </c>
      <c r="L21" s="3103" t="s">
        <v>5484</v>
      </c>
      <c r="M21" s="3103" t="s">
        <v>5485</v>
      </c>
      <c r="N21" s="3103" t="s">
        <v>1014</v>
      </c>
      <c r="O21" s="3103" t="s">
        <v>5369</v>
      </c>
      <c r="P21" s="3103" t="s">
        <v>5486</v>
      </c>
      <c r="Q21" s="3122" t="s">
        <v>3980</v>
      </c>
      <c r="R21" s="3122" t="s">
        <v>5454</v>
      </c>
      <c r="S21" s="3122" t="s">
        <v>5188</v>
      </c>
      <c r="T21" s="3122" t="s">
        <v>5367</v>
      </c>
      <c r="U21" s="3122" t="s">
        <v>5487</v>
      </c>
    </row>
    <row r="22" spans="1:21" s="2979" customFormat="1" ht="27.95" customHeight="1" x14ac:dyDescent="0.25">
      <c r="A22" s="3107" t="s">
        <v>3858</v>
      </c>
      <c r="B22" s="3109" t="s">
        <v>5307</v>
      </c>
      <c r="C22" s="3109" t="s">
        <v>5488</v>
      </c>
      <c r="D22" s="3109" t="s">
        <v>5309</v>
      </c>
      <c r="E22" s="3109" t="s">
        <v>5307</v>
      </c>
      <c r="F22" s="3109" t="s">
        <v>5489</v>
      </c>
      <c r="G22" s="3109" t="s">
        <v>5307</v>
      </c>
      <c r="H22" s="3109" t="s">
        <v>5490</v>
      </c>
      <c r="I22" s="3109" t="s">
        <v>5490</v>
      </c>
      <c r="J22" s="3109" t="s">
        <v>5491</v>
      </c>
      <c r="K22" s="3109" t="s">
        <v>5492</v>
      </c>
      <c r="L22" s="3109" t="s">
        <v>5493</v>
      </c>
      <c r="M22" s="3109" t="s">
        <v>5494</v>
      </c>
      <c r="N22" s="3109" t="s">
        <v>5495</v>
      </c>
      <c r="O22" s="3109" t="s">
        <v>3872</v>
      </c>
      <c r="P22" s="3109" t="s">
        <v>5496</v>
      </c>
      <c r="Q22" s="3109" t="s">
        <v>3870</v>
      </c>
      <c r="R22" s="3109" t="s">
        <v>5497</v>
      </c>
      <c r="S22" s="3109" t="s">
        <v>3872</v>
      </c>
      <c r="T22" s="3109" t="s">
        <v>3872</v>
      </c>
      <c r="U22" s="3109" t="s">
        <v>3872</v>
      </c>
    </row>
    <row r="23" spans="1:21" s="2979" customFormat="1" ht="27.95" customHeight="1" x14ac:dyDescent="0.25">
      <c r="A23" s="3111" t="s">
        <v>3866</v>
      </c>
      <c r="B23" s="3112" t="s">
        <v>5498</v>
      </c>
      <c r="C23" s="3112" t="s">
        <v>5499</v>
      </c>
      <c r="D23" s="3112" t="s">
        <v>5500</v>
      </c>
      <c r="E23" s="3112" t="s">
        <v>5501</v>
      </c>
      <c r="F23" s="3112" t="s">
        <v>5501</v>
      </c>
      <c r="G23" s="3112" t="s">
        <v>5502</v>
      </c>
      <c r="H23" s="3112" t="s">
        <v>5503</v>
      </c>
      <c r="I23" s="3112" t="s">
        <v>5503</v>
      </c>
      <c r="J23" s="3112" t="s">
        <v>5504</v>
      </c>
      <c r="K23" s="3112" t="s">
        <v>5505</v>
      </c>
      <c r="L23" s="3112" t="s">
        <v>5506</v>
      </c>
      <c r="M23" s="3112" t="s">
        <v>5507</v>
      </c>
      <c r="N23" s="3112" t="s">
        <v>5508</v>
      </c>
      <c r="O23" s="3112" t="s">
        <v>5509</v>
      </c>
      <c r="P23" s="3112" t="s">
        <v>5307</v>
      </c>
      <c r="Q23" s="3112" t="s">
        <v>5307</v>
      </c>
      <c r="R23" s="3112" t="s">
        <v>5307</v>
      </c>
      <c r="S23" s="3112" t="s">
        <v>5307</v>
      </c>
      <c r="T23" s="3112" t="s">
        <v>5510</v>
      </c>
      <c r="U23" s="3112" t="s">
        <v>5307</v>
      </c>
    </row>
    <row r="24" spans="1:21" s="2979" customFormat="1" ht="27.95" customHeight="1" x14ac:dyDescent="0.25">
      <c r="A24" s="3020" t="s">
        <v>5511</v>
      </c>
      <c r="B24" s="3113" t="s">
        <v>1014</v>
      </c>
      <c r="C24" s="3113" t="s">
        <v>1014</v>
      </c>
      <c r="D24" s="3113" t="s">
        <v>1014</v>
      </c>
      <c r="E24" s="3113" t="s">
        <v>1014</v>
      </c>
      <c r="F24" s="3113">
        <v>4.95</v>
      </c>
      <c r="G24" s="3113">
        <v>7.5</v>
      </c>
      <c r="H24" s="3113" t="s">
        <v>5512</v>
      </c>
      <c r="I24" s="3113" t="s">
        <v>1014</v>
      </c>
      <c r="J24" s="3113" t="s">
        <v>5255</v>
      </c>
      <c r="K24" s="3113" t="s">
        <v>1014</v>
      </c>
      <c r="L24" s="3113" t="s">
        <v>1014</v>
      </c>
      <c r="M24" s="3113" t="s">
        <v>5098</v>
      </c>
      <c r="N24" s="3113" t="s">
        <v>5098</v>
      </c>
      <c r="O24" s="3113" t="s">
        <v>1014</v>
      </c>
      <c r="P24" s="3113" t="s">
        <v>5367</v>
      </c>
      <c r="Q24" s="3113" t="s">
        <v>5194</v>
      </c>
      <c r="R24" s="3113" t="s">
        <v>1014</v>
      </c>
      <c r="S24" s="3113" t="s">
        <v>5429</v>
      </c>
      <c r="T24" s="3113" t="s">
        <v>1014</v>
      </c>
      <c r="U24" s="3113" t="s">
        <v>1014</v>
      </c>
    </row>
    <row r="25" spans="1:21" s="2979" customFormat="1" ht="27.95" customHeight="1" thickBot="1" x14ac:dyDescent="0.3">
      <c r="A25" s="3114" t="s">
        <v>5513</v>
      </c>
      <c r="B25" s="3115" t="s">
        <v>1014</v>
      </c>
      <c r="C25" s="3115">
        <v>7</v>
      </c>
      <c r="D25" s="3115" t="s">
        <v>1014</v>
      </c>
      <c r="E25" s="3115" t="s">
        <v>1014</v>
      </c>
      <c r="F25" s="3115" t="s">
        <v>1014</v>
      </c>
      <c r="G25" s="3115">
        <v>5.68</v>
      </c>
      <c r="H25" s="3115" t="s">
        <v>1014</v>
      </c>
      <c r="I25" s="3115" t="s">
        <v>1014</v>
      </c>
      <c r="J25" s="3115" t="s">
        <v>1014</v>
      </c>
      <c r="K25" s="3115" t="s">
        <v>1014</v>
      </c>
      <c r="L25" s="3115" t="s">
        <v>1014</v>
      </c>
      <c r="M25" s="3115" t="s">
        <v>5253</v>
      </c>
      <c r="N25" s="3115" t="s">
        <v>1014</v>
      </c>
      <c r="O25" s="3115" t="s">
        <v>1014</v>
      </c>
      <c r="P25" s="3115" t="s">
        <v>1014</v>
      </c>
      <c r="Q25" s="3115" t="s">
        <v>5514</v>
      </c>
      <c r="R25" s="3115" t="s">
        <v>5514</v>
      </c>
      <c r="S25" s="3115" t="s">
        <v>5514</v>
      </c>
      <c r="T25" s="3115" t="s">
        <v>1014</v>
      </c>
      <c r="U25" s="3115" t="s">
        <v>5515</v>
      </c>
    </row>
    <row r="26" spans="1:21" s="2979" customFormat="1" ht="27.95" customHeight="1" thickTop="1" x14ac:dyDescent="0.25">
      <c r="A26" s="3104" t="s">
        <v>5516</v>
      </c>
      <c r="B26" s="3103" t="s">
        <v>5386</v>
      </c>
      <c r="C26" s="3103" t="s">
        <v>1014</v>
      </c>
      <c r="D26" s="3103" t="s">
        <v>1014</v>
      </c>
      <c r="E26" s="3103" t="s">
        <v>1014</v>
      </c>
      <c r="F26" s="3103" t="s">
        <v>1014</v>
      </c>
      <c r="G26" s="3103" t="s">
        <v>1014</v>
      </c>
      <c r="H26" s="3103" t="s">
        <v>1014</v>
      </c>
      <c r="I26" s="3103" t="s">
        <v>1014</v>
      </c>
      <c r="J26" s="3103" t="s">
        <v>1014</v>
      </c>
      <c r="K26" s="3103" t="s">
        <v>1014</v>
      </c>
      <c r="L26" s="3103" t="s">
        <v>1014</v>
      </c>
      <c r="M26" s="3103" t="s">
        <v>1014</v>
      </c>
      <c r="N26" s="3103" t="s">
        <v>1014</v>
      </c>
      <c r="O26" s="3103" t="s">
        <v>1014</v>
      </c>
      <c r="P26" s="3103" t="s">
        <v>1014</v>
      </c>
      <c r="Q26" s="3103" t="s">
        <v>1014</v>
      </c>
      <c r="R26" s="3103" t="s">
        <v>1014</v>
      </c>
      <c r="S26" s="3103" t="s">
        <v>1014</v>
      </c>
      <c r="T26" s="3103" t="s">
        <v>1014</v>
      </c>
      <c r="U26" s="3103" t="s">
        <v>1014</v>
      </c>
    </row>
    <row r="27" spans="1:21" s="2979" customFormat="1" ht="27.95" customHeight="1" thickBot="1" x14ac:dyDescent="0.3">
      <c r="A27" s="3114" t="s">
        <v>5517</v>
      </c>
      <c r="B27" s="3115" t="s">
        <v>1014</v>
      </c>
      <c r="C27" s="3115" t="s">
        <v>1014</v>
      </c>
      <c r="D27" s="3115" t="s">
        <v>1014</v>
      </c>
      <c r="E27" s="3115" t="s">
        <v>1014</v>
      </c>
      <c r="F27" s="3115" t="s">
        <v>1014</v>
      </c>
      <c r="G27" s="3115" t="s">
        <v>1014</v>
      </c>
      <c r="H27" s="3115" t="s">
        <v>1014</v>
      </c>
      <c r="I27" s="3115" t="s">
        <v>1014</v>
      </c>
      <c r="J27" s="3115" t="s">
        <v>1014</v>
      </c>
      <c r="K27" s="3115" t="s">
        <v>1014</v>
      </c>
      <c r="L27" s="3115" t="s">
        <v>1014</v>
      </c>
      <c r="M27" s="3115" t="s">
        <v>1014</v>
      </c>
      <c r="N27" s="3115" t="s">
        <v>1014</v>
      </c>
      <c r="O27" s="3115" t="s">
        <v>1014</v>
      </c>
      <c r="P27" s="3115" t="s">
        <v>1014</v>
      </c>
      <c r="Q27" s="3115" t="s">
        <v>1014</v>
      </c>
      <c r="R27" s="3115" t="s">
        <v>1014</v>
      </c>
      <c r="S27" s="3115" t="s">
        <v>1014</v>
      </c>
      <c r="T27" s="3115" t="s">
        <v>1014</v>
      </c>
      <c r="U27" s="3115" t="s">
        <v>1014</v>
      </c>
    </row>
    <row r="28" spans="1:21" ht="15" thickTop="1" x14ac:dyDescent="0.25">
      <c r="A28" s="3117" t="s">
        <v>4797</v>
      </c>
    </row>
    <row r="29" spans="1:21" ht="15.75" x14ac:dyDescent="0.25">
      <c r="A29" s="2329" t="s">
        <v>4805</v>
      </c>
    </row>
    <row r="30" spans="1:21" ht="15.75" x14ac:dyDescent="0.25">
      <c r="A30" s="2329" t="s">
        <v>5518</v>
      </c>
    </row>
    <row r="31" spans="1:21" s="2979" customFormat="1" ht="19.5" customHeight="1" x14ac:dyDescent="0.25">
      <c r="A31" s="3043" t="s">
        <v>290</v>
      </c>
    </row>
    <row r="32" spans="1:21" ht="14.25" customHeight="1" x14ac:dyDescent="0.35">
      <c r="A32" s="3118"/>
    </row>
  </sheetData>
  <dataConsolidate function="countNums">
    <dataRefs count="2">
      <dataRef ref="C4:AJ4" sheet="Bulletin - New Loans" r:id="rId1"/>
      <dataRef ref="C4:AL104" sheet="Bulletin - New Loans" r:id="rId2"/>
    </dataRefs>
  </dataConsolidate>
  <pageMargins left="0.7" right="0.7" top="0.75" bottom="0.75" header="0.3" footer="0.3"/>
  <pageSetup paperSize="9" scale="49" fitToHeight="0" orientation="landscape" r:id="rId3"/>
  <headerFooter alignWithMargins="0"/>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XK40"/>
  <sheetViews>
    <sheetView showGridLines="0" zoomScale="70" zoomScaleNormal="70" zoomScaleSheetLayoutView="85" workbookViewId="0">
      <pane xSplit="1" ySplit="3" topLeftCell="B19" activePane="bottomRight" state="frozen"/>
      <selection activeCell="A38" sqref="A38"/>
      <selection pane="topRight" activeCell="A38" sqref="A38"/>
      <selection pane="bottomLeft" activeCell="A38" sqref="A38"/>
      <selection pane="bottomRight" activeCell="A38" sqref="A38"/>
    </sheetView>
  </sheetViews>
  <sheetFormatPr defaultColWidth="74.28515625" defaultRowHeight="14.25" x14ac:dyDescent="0.25"/>
  <cols>
    <col min="1" max="1" width="86.42578125" style="627" customWidth="1"/>
    <col min="2" max="2" width="14.7109375" style="627" customWidth="1"/>
    <col min="3" max="3" width="15.5703125" style="627" customWidth="1"/>
    <col min="4" max="4" width="16.140625" style="627" customWidth="1"/>
    <col min="5" max="5" width="3" style="627" customWidth="1"/>
    <col min="6" max="6" width="2.7109375" style="627" customWidth="1"/>
    <col min="7" max="7" width="5.5703125" style="627" bestFit="1" customWidth="1"/>
    <col min="8" max="8" width="12.85546875" style="627" bestFit="1" customWidth="1"/>
    <col min="9" max="11" width="25.7109375" style="691" customWidth="1"/>
    <col min="12" max="16384" width="74.28515625" style="627"/>
  </cols>
  <sheetData>
    <row r="1" spans="1:11" ht="19.149999999999999" customHeight="1" x14ac:dyDescent="0.25">
      <c r="A1" s="3269" t="s">
        <v>5519</v>
      </c>
      <c r="B1" s="3269"/>
      <c r="C1" s="3269"/>
      <c r="D1" s="3269"/>
      <c r="E1" s="3269"/>
      <c r="F1" s="3269"/>
      <c r="G1" s="3269"/>
    </row>
    <row r="2" spans="1:11" ht="20.45" customHeight="1" thickBot="1" x14ac:dyDescent="0.4">
      <c r="A2" s="625"/>
      <c r="B2" s="3123"/>
      <c r="C2" s="3123"/>
      <c r="D2" s="3124" t="s">
        <v>2734</v>
      </c>
    </row>
    <row r="3" spans="1:11" ht="30" customHeight="1" thickTop="1" thickBot="1" x14ac:dyDescent="0.35">
      <c r="A3" s="2848"/>
      <c r="B3" s="3125" t="s">
        <v>2735</v>
      </c>
      <c r="C3" s="3125" t="s">
        <v>2736</v>
      </c>
      <c r="D3" s="3125" t="s">
        <v>387</v>
      </c>
    </row>
    <row r="4" spans="1:11" ht="30" customHeight="1" thickTop="1" x14ac:dyDescent="0.3">
      <c r="A4" s="2829" t="s">
        <v>5520</v>
      </c>
      <c r="B4" s="3126">
        <v>125109.59433298103</v>
      </c>
      <c r="C4" s="3126">
        <v>53192.557228885686</v>
      </c>
      <c r="D4" s="3126">
        <v>178302.15156186669</v>
      </c>
      <c r="G4" s="3127"/>
    </row>
    <row r="5" spans="1:11" ht="30" customHeight="1" x14ac:dyDescent="0.3">
      <c r="A5" s="2832" t="s">
        <v>4796</v>
      </c>
      <c r="B5" s="3128">
        <v>11210.675577224021</v>
      </c>
      <c r="C5" s="3128">
        <v>1215.0266709422501</v>
      </c>
      <c r="D5" s="3128">
        <v>12425.70224816627</v>
      </c>
      <c r="G5" s="3127"/>
    </row>
    <row r="6" spans="1:11" s="2703" customFormat="1" ht="30" customHeight="1" x14ac:dyDescent="0.3">
      <c r="A6" s="2832" t="s">
        <v>2744</v>
      </c>
      <c r="B6" s="3128">
        <v>7.3127224599999998</v>
      </c>
      <c r="C6" s="3128">
        <v>110.92349525022809</v>
      </c>
      <c r="D6" s="3128">
        <v>118.2362177102281</v>
      </c>
      <c r="G6" s="3127"/>
      <c r="I6" s="2838"/>
      <c r="J6" s="2838"/>
      <c r="K6" s="2838"/>
    </row>
    <row r="7" spans="1:11" s="2703" customFormat="1" ht="30" customHeight="1" x14ac:dyDescent="0.3">
      <c r="A7" s="2832" t="s">
        <v>2745</v>
      </c>
      <c r="B7" s="3128">
        <v>13754.804609857145</v>
      </c>
      <c r="C7" s="3128">
        <v>5683.2478710900659</v>
      </c>
      <c r="D7" s="3128">
        <v>19438.052480947212</v>
      </c>
      <c r="G7" s="3127"/>
      <c r="I7" s="2838"/>
      <c r="J7" s="2838"/>
      <c r="K7" s="2838"/>
    </row>
    <row r="8" spans="1:11" s="2703" customFormat="1" ht="30" customHeight="1" x14ac:dyDescent="0.3">
      <c r="A8" s="2832" t="s">
        <v>2768</v>
      </c>
      <c r="B8" s="3128">
        <v>905.53587553</v>
      </c>
      <c r="C8" s="3128">
        <v>2606.1015290100004</v>
      </c>
      <c r="D8" s="3128">
        <v>3511.6374045400003</v>
      </c>
      <c r="G8" s="3127"/>
      <c r="I8" s="2838"/>
      <c r="J8" s="2838"/>
      <c r="K8" s="2838"/>
    </row>
    <row r="9" spans="1:11" s="2703" customFormat="1" ht="30" customHeight="1" x14ac:dyDescent="0.3">
      <c r="A9" s="2832" t="s">
        <v>2769</v>
      </c>
      <c r="B9" s="3128">
        <v>148.9324651</v>
      </c>
      <c r="C9" s="3128">
        <v>375.92463351999999</v>
      </c>
      <c r="D9" s="3128">
        <v>524.85709861999999</v>
      </c>
      <c r="G9" s="3127"/>
      <c r="I9" s="2838"/>
      <c r="K9" s="2838"/>
    </row>
    <row r="10" spans="1:11" ht="30" customHeight="1" x14ac:dyDescent="0.3">
      <c r="A10" s="2832" t="s">
        <v>2770</v>
      </c>
      <c r="B10" s="3128">
        <v>16175.84943331364</v>
      </c>
      <c r="C10" s="3128">
        <v>1634.2460972882982</v>
      </c>
      <c r="D10" s="3128">
        <v>17810.095530601942</v>
      </c>
      <c r="G10" s="3127"/>
      <c r="J10" s="2838"/>
    </row>
    <row r="11" spans="1:11" ht="30" customHeight="1" x14ac:dyDescent="0.3">
      <c r="A11" s="2832" t="s">
        <v>2780</v>
      </c>
      <c r="B11" s="3128">
        <v>24924.126860586053</v>
      </c>
      <c r="C11" s="3128">
        <v>4626.9321937298009</v>
      </c>
      <c r="D11" s="3128">
        <v>29551.059054315854</v>
      </c>
      <c r="G11" s="3127"/>
    </row>
    <row r="12" spans="1:11" ht="30" customHeight="1" x14ac:dyDescent="0.3">
      <c r="A12" s="2832" t="s">
        <v>2784</v>
      </c>
      <c r="B12" s="3128">
        <v>4744.7251126672909</v>
      </c>
      <c r="C12" s="3128">
        <v>394.44593581999993</v>
      </c>
      <c r="D12" s="3128">
        <v>5139.171048487291</v>
      </c>
      <c r="G12" s="3127"/>
      <c r="H12" s="2719"/>
    </row>
    <row r="13" spans="1:11" ht="30" customHeight="1" x14ac:dyDescent="0.3">
      <c r="A13" s="2832" t="s">
        <v>2790</v>
      </c>
      <c r="B13" s="3128">
        <v>19428.360943647371</v>
      </c>
      <c r="C13" s="3128">
        <v>29854.174814569997</v>
      </c>
      <c r="D13" s="3128">
        <v>49282.535758217375</v>
      </c>
      <c r="G13" s="3127"/>
    </row>
    <row r="14" spans="1:11" ht="30" customHeight="1" x14ac:dyDescent="0.3">
      <c r="A14" s="2832" t="s">
        <v>2801</v>
      </c>
      <c r="B14" s="3128">
        <v>2876.1713086946543</v>
      </c>
      <c r="C14" s="3128">
        <v>755.33563546518894</v>
      </c>
      <c r="D14" s="3128">
        <v>3631.5069441598444</v>
      </c>
      <c r="G14" s="3127"/>
    </row>
    <row r="15" spans="1:11" ht="30" customHeight="1" x14ac:dyDescent="0.3">
      <c r="A15" s="2832" t="s">
        <v>2808</v>
      </c>
      <c r="B15" s="3128">
        <v>18981.53008397236</v>
      </c>
      <c r="C15" s="3128">
        <v>4450.4442968571821</v>
      </c>
      <c r="D15" s="3128">
        <v>23431.974380829546</v>
      </c>
      <c r="G15" s="3127"/>
    </row>
    <row r="16" spans="1:11" ht="30" customHeight="1" x14ac:dyDescent="0.3">
      <c r="A16" s="2832" t="s">
        <v>2809</v>
      </c>
      <c r="B16" s="3128">
        <v>4222.8451599087248</v>
      </c>
      <c r="C16" s="3128">
        <v>659.88238287929971</v>
      </c>
      <c r="D16" s="3128">
        <v>4882.7275427880249</v>
      </c>
      <c r="G16" s="3127"/>
    </row>
    <row r="17" spans="1:1987" ht="30" customHeight="1" x14ac:dyDescent="0.3">
      <c r="A17" s="2832" t="s">
        <v>2816</v>
      </c>
      <c r="B17" s="3128">
        <v>3079.0596344016903</v>
      </c>
      <c r="C17" s="3128">
        <v>342.46382554336554</v>
      </c>
      <c r="D17" s="3128">
        <v>3421.5234599450559</v>
      </c>
      <c r="G17" s="3127"/>
    </row>
    <row r="18" spans="1:1987" ht="30" customHeight="1" x14ac:dyDescent="0.3">
      <c r="A18" s="2832" t="s">
        <v>2823</v>
      </c>
      <c r="B18" s="3128">
        <v>804.8496624500001</v>
      </c>
      <c r="C18" s="3128">
        <v>147.16955173999997</v>
      </c>
      <c r="D18" s="3128">
        <v>952.0192141900003</v>
      </c>
      <c r="G18" s="3127"/>
    </row>
    <row r="19" spans="1:1987" ht="30" customHeight="1" x14ac:dyDescent="0.3">
      <c r="A19" s="2832" t="s">
        <v>2829</v>
      </c>
      <c r="B19" s="3128">
        <v>1743.8814291399999</v>
      </c>
      <c r="C19" s="3128">
        <v>0.33616802999900003</v>
      </c>
      <c r="D19" s="3128">
        <v>1744.2175971699992</v>
      </c>
      <c r="G19" s="3127"/>
    </row>
    <row r="20" spans="1:1987" ht="30" customHeight="1" x14ac:dyDescent="0.3">
      <c r="A20" s="2832" t="s">
        <v>2832</v>
      </c>
      <c r="B20" s="3128">
        <v>1604.62973986</v>
      </c>
      <c r="C20" s="3128">
        <v>212.16609022</v>
      </c>
      <c r="D20" s="3128">
        <v>1816.7958300799999</v>
      </c>
      <c r="G20" s="3127"/>
    </row>
    <row r="21" spans="1:1987" ht="30" customHeight="1" thickBot="1" x14ac:dyDescent="0.35">
      <c r="A21" s="2832" t="s">
        <v>2837</v>
      </c>
      <c r="B21" s="3128">
        <v>496.30371416807395</v>
      </c>
      <c r="C21" s="3128">
        <v>123.73603693</v>
      </c>
      <c r="D21" s="3128">
        <v>620.03975109807391</v>
      </c>
      <c r="G21" s="3127"/>
    </row>
    <row r="22" spans="1:1987" ht="30" customHeight="1" x14ac:dyDescent="0.3">
      <c r="A22" s="2851" t="s">
        <v>2841</v>
      </c>
      <c r="B22" s="3129">
        <v>205542.7077679612</v>
      </c>
      <c r="C22" s="3129">
        <v>2659.739944731969</v>
      </c>
      <c r="D22" s="3130">
        <v>208202.44771269313</v>
      </c>
      <c r="F22" s="2595"/>
      <c r="G22" s="3127"/>
      <c r="H22" s="2595"/>
      <c r="I22" s="2854"/>
    </row>
    <row r="23" spans="1:1987" ht="30" customHeight="1" x14ac:dyDescent="0.3">
      <c r="A23" s="2836" t="s">
        <v>2842</v>
      </c>
      <c r="B23" s="3131">
        <v>126195.71475410319</v>
      </c>
      <c r="C23" s="3131">
        <v>1284.6701437594099</v>
      </c>
      <c r="D23" s="3132">
        <v>127480.3848978626</v>
      </c>
      <c r="F23" s="2595"/>
      <c r="G23" s="3127"/>
      <c r="H23" s="2595"/>
      <c r="I23" s="2854"/>
    </row>
    <row r="24" spans="1:1987" s="3135" customFormat="1" ht="30" customHeight="1" x14ac:dyDescent="0.3">
      <c r="A24" s="2829" t="s">
        <v>4518</v>
      </c>
      <c r="B24" s="3133">
        <v>36423.277482666177</v>
      </c>
      <c r="C24" s="3133">
        <v>12175.976167482486</v>
      </c>
      <c r="D24" s="3134">
        <v>48599.253650148668</v>
      </c>
      <c r="E24" s="627"/>
      <c r="F24" s="2595"/>
      <c r="G24" s="3127"/>
      <c r="H24" s="2595"/>
      <c r="I24" s="2854"/>
      <c r="J24" s="691"/>
      <c r="K24" s="691"/>
      <c r="L24" s="627"/>
      <c r="M24" s="627"/>
      <c r="N24" s="627"/>
      <c r="O24" s="627"/>
      <c r="P24" s="627"/>
      <c r="Q24" s="627"/>
      <c r="R24" s="627"/>
      <c r="S24" s="627"/>
      <c r="T24" s="627"/>
      <c r="U24" s="627"/>
      <c r="V24" s="627"/>
      <c r="W24" s="627"/>
      <c r="X24" s="627"/>
      <c r="Y24" s="627"/>
      <c r="Z24" s="627"/>
      <c r="AA24" s="627"/>
      <c r="AB24" s="627"/>
      <c r="AC24" s="627"/>
      <c r="AD24" s="627"/>
      <c r="AE24" s="627"/>
      <c r="AF24" s="627"/>
      <c r="AG24" s="627"/>
      <c r="AH24" s="627"/>
      <c r="AI24" s="627"/>
      <c r="AJ24" s="627"/>
      <c r="AK24" s="627"/>
      <c r="AL24" s="627"/>
      <c r="AM24" s="627"/>
      <c r="AN24" s="627"/>
      <c r="AO24" s="627"/>
      <c r="AP24" s="627"/>
      <c r="AQ24" s="627"/>
      <c r="AR24" s="627"/>
      <c r="AS24" s="627"/>
      <c r="AT24" s="627"/>
      <c r="AU24" s="627"/>
      <c r="AV24" s="627"/>
      <c r="AW24" s="627"/>
      <c r="AX24" s="627"/>
      <c r="AY24" s="627"/>
      <c r="AZ24" s="627"/>
      <c r="BA24" s="627"/>
      <c r="BB24" s="627"/>
      <c r="BC24" s="627"/>
      <c r="BD24" s="627"/>
      <c r="BE24" s="627"/>
      <c r="BF24" s="627"/>
      <c r="BG24" s="627"/>
      <c r="BH24" s="627"/>
      <c r="BI24" s="627"/>
      <c r="BJ24" s="627"/>
      <c r="BK24" s="627"/>
      <c r="BL24" s="627"/>
      <c r="BM24" s="627"/>
      <c r="BN24" s="627"/>
      <c r="BO24" s="627"/>
      <c r="BP24" s="627"/>
      <c r="BQ24" s="627"/>
      <c r="BR24" s="627"/>
      <c r="BS24" s="627"/>
      <c r="BT24" s="627"/>
      <c r="BU24" s="627"/>
      <c r="BV24" s="627"/>
      <c r="BW24" s="627"/>
      <c r="BX24" s="627"/>
      <c r="BY24" s="627"/>
      <c r="BZ24" s="627"/>
      <c r="CA24" s="627"/>
      <c r="CB24" s="627"/>
      <c r="CC24" s="627"/>
      <c r="CD24" s="627"/>
      <c r="CE24" s="627"/>
      <c r="CF24" s="627"/>
      <c r="CG24" s="627"/>
      <c r="CH24" s="627"/>
      <c r="CI24" s="627"/>
      <c r="CJ24" s="627"/>
      <c r="CK24" s="627"/>
      <c r="CL24" s="627"/>
      <c r="CM24" s="627"/>
      <c r="CN24" s="627"/>
      <c r="CO24" s="627"/>
      <c r="CP24" s="627"/>
      <c r="CQ24" s="627"/>
      <c r="CR24" s="627"/>
      <c r="CS24" s="627"/>
      <c r="CT24" s="627"/>
      <c r="CU24" s="627"/>
      <c r="CV24" s="627"/>
      <c r="CW24" s="627"/>
      <c r="CX24" s="627"/>
      <c r="CY24" s="627"/>
      <c r="CZ24" s="627"/>
      <c r="DA24" s="627"/>
      <c r="DB24" s="627"/>
      <c r="DC24" s="627"/>
      <c r="DD24" s="627"/>
      <c r="DE24" s="627"/>
      <c r="DF24" s="627"/>
      <c r="DG24" s="627"/>
      <c r="DH24" s="627"/>
      <c r="DI24" s="627"/>
      <c r="DJ24" s="627"/>
      <c r="DK24" s="627"/>
      <c r="DL24" s="627"/>
      <c r="DM24" s="627"/>
      <c r="DN24" s="627"/>
      <c r="DO24" s="627"/>
      <c r="DP24" s="627"/>
      <c r="DQ24" s="627"/>
      <c r="DR24" s="627"/>
      <c r="DS24" s="627"/>
      <c r="DT24" s="627"/>
      <c r="DU24" s="627"/>
      <c r="DV24" s="627"/>
      <c r="DW24" s="627"/>
      <c r="DX24" s="627"/>
      <c r="DY24" s="627"/>
      <c r="DZ24" s="627"/>
      <c r="EA24" s="627"/>
      <c r="EB24" s="627"/>
      <c r="EC24" s="627"/>
      <c r="ED24" s="627"/>
      <c r="EE24" s="627"/>
      <c r="EF24" s="627"/>
      <c r="EG24" s="627"/>
      <c r="EH24" s="627"/>
      <c r="EI24" s="627"/>
      <c r="EJ24" s="627"/>
      <c r="EK24" s="627"/>
      <c r="EL24" s="627"/>
      <c r="EM24" s="627"/>
      <c r="EN24" s="627"/>
      <c r="EO24" s="627"/>
      <c r="EP24" s="627"/>
      <c r="EQ24" s="627"/>
      <c r="ER24" s="627"/>
      <c r="ES24" s="627"/>
      <c r="ET24" s="627"/>
      <c r="EU24" s="627"/>
      <c r="EV24" s="627"/>
      <c r="EW24" s="627"/>
      <c r="EX24" s="627"/>
      <c r="EY24" s="627"/>
      <c r="EZ24" s="627"/>
      <c r="FA24" s="627"/>
      <c r="FB24" s="627"/>
      <c r="FC24" s="627"/>
      <c r="FD24" s="627"/>
      <c r="FE24" s="627"/>
      <c r="FF24" s="627"/>
      <c r="FG24" s="627"/>
      <c r="FH24" s="627"/>
      <c r="FI24" s="627"/>
      <c r="FJ24" s="627"/>
      <c r="FK24" s="627"/>
      <c r="FL24" s="627"/>
      <c r="FM24" s="627"/>
      <c r="FN24" s="627"/>
      <c r="FO24" s="627"/>
      <c r="FP24" s="627"/>
      <c r="FQ24" s="627"/>
      <c r="FR24" s="627"/>
      <c r="FS24" s="627"/>
      <c r="FT24" s="627"/>
      <c r="FU24" s="627"/>
      <c r="FV24" s="627"/>
      <c r="FW24" s="627"/>
      <c r="FX24" s="627"/>
      <c r="FY24" s="627"/>
      <c r="FZ24" s="627"/>
      <c r="GA24" s="627"/>
      <c r="GB24" s="627"/>
      <c r="GC24" s="627"/>
      <c r="GD24" s="627"/>
      <c r="GE24" s="627"/>
      <c r="GF24" s="627"/>
      <c r="GG24" s="627"/>
      <c r="GH24" s="627"/>
      <c r="GI24" s="627"/>
      <c r="GJ24" s="627"/>
      <c r="GK24" s="627"/>
      <c r="GL24" s="627"/>
      <c r="GM24" s="627"/>
      <c r="GN24" s="627"/>
      <c r="GO24" s="627"/>
      <c r="GP24" s="627"/>
      <c r="GQ24" s="627"/>
      <c r="GR24" s="627"/>
      <c r="GS24" s="627"/>
      <c r="GT24" s="627"/>
      <c r="GU24" s="627"/>
      <c r="GV24" s="627"/>
      <c r="GW24" s="627"/>
      <c r="GX24" s="627"/>
      <c r="GY24" s="627"/>
      <c r="GZ24" s="627"/>
      <c r="HA24" s="627"/>
      <c r="HB24" s="627"/>
      <c r="HC24" s="627"/>
      <c r="HD24" s="627"/>
      <c r="HE24" s="627"/>
      <c r="HF24" s="627"/>
      <c r="HG24" s="627"/>
      <c r="HH24" s="627"/>
      <c r="HI24" s="627"/>
      <c r="HJ24" s="627"/>
      <c r="HK24" s="627"/>
      <c r="HL24" s="627"/>
      <c r="HM24" s="627"/>
      <c r="HN24" s="627"/>
      <c r="HO24" s="627"/>
      <c r="HP24" s="627"/>
      <c r="HQ24" s="627"/>
      <c r="HR24" s="627"/>
      <c r="HS24" s="627"/>
      <c r="HT24" s="627"/>
      <c r="HU24" s="627"/>
      <c r="HV24" s="627"/>
      <c r="HW24" s="627"/>
      <c r="HX24" s="627"/>
      <c r="HY24" s="627"/>
      <c r="HZ24" s="627"/>
      <c r="IA24" s="627"/>
      <c r="IB24" s="627"/>
      <c r="IC24" s="627"/>
      <c r="ID24" s="627"/>
      <c r="IE24" s="627"/>
      <c r="IF24" s="627"/>
      <c r="IG24" s="627"/>
      <c r="IH24" s="627"/>
      <c r="II24" s="627"/>
      <c r="IJ24" s="627"/>
      <c r="IK24" s="627"/>
      <c r="IL24" s="627"/>
      <c r="IM24" s="627"/>
      <c r="IN24" s="627"/>
      <c r="IO24" s="627"/>
      <c r="IP24" s="627"/>
      <c r="IQ24" s="627"/>
      <c r="IR24" s="627"/>
      <c r="IS24" s="627"/>
      <c r="IT24" s="627"/>
      <c r="IU24" s="627"/>
      <c r="IV24" s="627"/>
      <c r="IW24" s="627"/>
      <c r="IX24" s="627"/>
      <c r="IY24" s="627"/>
      <c r="IZ24" s="627"/>
      <c r="JA24" s="627"/>
      <c r="JB24" s="627"/>
      <c r="JC24" s="627"/>
      <c r="JD24" s="627"/>
      <c r="JE24" s="627"/>
      <c r="JF24" s="627"/>
      <c r="JG24" s="627"/>
      <c r="JH24" s="627"/>
      <c r="JI24" s="627"/>
      <c r="JJ24" s="627"/>
      <c r="JK24" s="627"/>
      <c r="JL24" s="627"/>
      <c r="JM24" s="627"/>
      <c r="JN24" s="627"/>
      <c r="JO24" s="627"/>
      <c r="JP24" s="627"/>
      <c r="JQ24" s="627"/>
      <c r="JR24" s="627"/>
      <c r="JS24" s="627"/>
      <c r="JT24" s="627"/>
      <c r="JU24" s="627"/>
      <c r="JV24" s="627"/>
      <c r="JW24" s="627"/>
      <c r="JX24" s="627"/>
      <c r="JY24" s="627"/>
      <c r="JZ24" s="627"/>
      <c r="KA24" s="627"/>
      <c r="KB24" s="627"/>
      <c r="KC24" s="627"/>
      <c r="KD24" s="627"/>
      <c r="KE24" s="627"/>
      <c r="KF24" s="627"/>
      <c r="KG24" s="627"/>
      <c r="KH24" s="627"/>
      <c r="KI24" s="627"/>
      <c r="KJ24" s="627"/>
      <c r="KK24" s="627"/>
      <c r="KL24" s="627"/>
      <c r="KM24" s="627"/>
      <c r="KN24" s="627"/>
      <c r="KO24" s="627"/>
      <c r="KP24" s="627"/>
      <c r="KQ24" s="627"/>
      <c r="KR24" s="627"/>
      <c r="KS24" s="627"/>
      <c r="KT24" s="627"/>
      <c r="KU24" s="627"/>
      <c r="KV24" s="627"/>
      <c r="KW24" s="627"/>
      <c r="KX24" s="627"/>
      <c r="KY24" s="627"/>
      <c r="KZ24" s="627"/>
      <c r="LA24" s="627"/>
      <c r="LB24" s="627"/>
      <c r="LC24" s="627"/>
      <c r="LD24" s="627"/>
      <c r="LE24" s="627"/>
      <c r="LF24" s="627"/>
      <c r="LG24" s="627"/>
      <c r="LH24" s="627"/>
      <c r="LI24" s="627"/>
      <c r="LJ24" s="627"/>
      <c r="LK24" s="627"/>
      <c r="LL24" s="627"/>
      <c r="LM24" s="627"/>
      <c r="LN24" s="627"/>
      <c r="LO24" s="627"/>
      <c r="LP24" s="627"/>
      <c r="LQ24" s="627"/>
      <c r="LR24" s="627"/>
      <c r="LS24" s="627"/>
      <c r="LT24" s="627"/>
      <c r="LU24" s="627"/>
      <c r="LV24" s="627"/>
      <c r="LW24" s="627"/>
      <c r="LX24" s="627"/>
      <c r="LY24" s="627"/>
      <c r="LZ24" s="627"/>
      <c r="MA24" s="627"/>
      <c r="MB24" s="627"/>
      <c r="MC24" s="627"/>
      <c r="MD24" s="627"/>
      <c r="ME24" s="627"/>
      <c r="MF24" s="627"/>
      <c r="MG24" s="627"/>
      <c r="MH24" s="627"/>
      <c r="MI24" s="627"/>
      <c r="MJ24" s="627"/>
      <c r="MK24" s="627"/>
      <c r="ML24" s="627"/>
      <c r="MM24" s="627"/>
      <c r="MN24" s="627"/>
      <c r="MO24" s="627"/>
      <c r="MP24" s="627"/>
      <c r="MQ24" s="627"/>
      <c r="MR24" s="627"/>
      <c r="MS24" s="627"/>
      <c r="MT24" s="627"/>
      <c r="MU24" s="627"/>
      <c r="MV24" s="627"/>
      <c r="MW24" s="627"/>
      <c r="MX24" s="627"/>
      <c r="MY24" s="627"/>
      <c r="MZ24" s="627"/>
      <c r="NA24" s="627"/>
      <c r="NB24" s="627"/>
      <c r="NC24" s="627"/>
      <c r="ND24" s="627"/>
      <c r="NE24" s="627"/>
      <c r="NF24" s="627"/>
      <c r="NG24" s="627"/>
      <c r="NH24" s="627"/>
      <c r="NI24" s="627"/>
      <c r="NJ24" s="627"/>
      <c r="NK24" s="627"/>
      <c r="NL24" s="627"/>
      <c r="NM24" s="627"/>
      <c r="NN24" s="627"/>
      <c r="NO24" s="627"/>
      <c r="NP24" s="627"/>
      <c r="NQ24" s="627"/>
      <c r="NR24" s="627"/>
      <c r="NS24" s="627"/>
      <c r="NT24" s="627"/>
      <c r="NU24" s="627"/>
      <c r="NV24" s="627"/>
      <c r="NW24" s="627"/>
      <c r="NX24" s="627"/>
      <c r="NY24" s="627"/>
      <c r="NZ24" s="627"/>
      <c r="OA24" s="627"/>
      <c r="OB24" s="627"/>
      <c r="OC24" s="627"/>
      <c r="OD24" s="627"/>
      <c r="OE24" s="627"/>
      <c r="OF24" s="627"/>
      <c r="OG24" s="627"/>
      <c r="OH24" s="627"/>
      <c r="OI24" s="627"/>
      <c r="OJ24" s="627"/>
      <c r="OK24" s="627"/>
      <c r="OL24" s="627"/>
      <c r="OM24" s="627"/>
      <c r="ON24" s="627"/>
      <c r="OO24" s="627"/>
      <c r="OP24" s="627"/>
      <c r="OQ24" s="627"/>
      <c r="OR24" s="627"/>
      <c r="OS24" s="627"/>
      <c r="OT24" s="627"/>
      <c r="OU24" s="627"/>
      <c r="OV24" s="627"/>
      <c r="OW24" s="627"/>
      <c r="OX24" s="627"/>
      <c r="OY24" s="627"/>
      <c r="OZ24" s="627"/>
      <c r="PA24" s="627"/>
      <c r="PB24" s="627"/>
      <c r="PC24" s="627"/>
      <c r="PD24" s="627"/>
      <c r="PE24" s="627"/>
      <c r="PF24" s="627"/>
      <c r="PG24" s="627"/>
      <c r="PH24" s="627"/>
      <c r="PI24" s="627"/>
      <c r="PJ24" s="627"/>
      <c r="PK24" s="627"/>
      <c r="PL24" s="627"/>
      <c r="PM24" s="627"/>
      <c r="PN24" s="627"/>
      <c r="PO24" s="627"/>
      <c r="PP24" s="627"/>
      <c r="PQ24" s="627"/>
      <c r="PR24" s="627"/>
      <c r="PS24" s="627"/>
      <c r="PT24" s="627"/>
      <c r="PU24" s="627"/>
      <c r="PV24" s="627"/>
      <c r="PW24" s="627"/>
      <c r="PX24" s="627"/>
      <c r="PY24" s="627"/>
      <c r="PZ24" s="627"/>
      <c r="QA24" s="627"/>
      <c r="QB24" s="627"/>
      <c r="QC24" s="627"/>
      <c r="QD24" s="627"/>
      <c r="QE24" s="627"/>
      <c r="QF24" s="627"/>
      <c r="QG24" s="627"/>
      <c r="QH24" s="627"/>
      <c r="QI24" s="627"/>
      <c r="QJ24" s="627"/>
      <c r="QK24" s="627"/>
      <c r="QL24" s="627"/>
      <c r="QM24" s="627"/>
      <c r="QN24" s="627"/>
      <c r="QO24" s="627"/>
      <c r="QP24" s="627"/>
      <c r="QQ24" s="627"/>
      <c r="QR24" s="627"/>
      <c r="QS24" s="627"/>
      <c r="QT24" s="627"/>
      <c r="QU24" s="627"/>
      <c r="QV24" s="627"/>
      <c r="QW24" s="627"/>
      <c r="QX24" s="627"/>
      <c r="QY24" s="627"/>
      <c r="QZ24" s="627"/>
      <c r="RA24" s="627"/>
      <c r="RB24" s="627"/>
      <c r="RC24" s="627"/>
      <c r="RD24" s="627"/>
      <c r="RE24" s="627"/>
      <c r="RF24" s="627"/>
      <c r="RG24" s="627"/>
      <c r="RH24" s="627"/>
      <c r="RI24" s="627"/>
      <c r="RJ24" s="627"/>
      <c r="RK24" s="627"/>
      <c r="RL24" s="627"/>
      <c r="RM24" s="627"/>
      <c r="RN24" s="627"/>
      <c r="RO24" s="627"/>
      <c r="RP24" s="627"/>
      <c r="RQ24" s="627"/>
      <c r="RR24" s="627"/>
      <c r="RS24" s="627"/>
      <c r="RT24" s="627"/>
      <c r="RU24" s="627"/>
      <c r="RV24" s="627"/>
      <c r="RW24" s="627"/>
      <c r="RX24" s="627"/>
      <c r="RY24" s="627"/>
      <c r="RZ24" s="627"/>
      <c r="SA24" s="627"/>
      <c r="SB24" s="627"/>
      <c r="SC24" s="627"/>
      <c r="SD24" s="627"/>
      <c r="SE24" s="627"/>
      <c r="SF24" s="627"/>
      <c r="SG24" s="627"/>
      <c r="SH24" s="627"/>
      <c r="SI24" s="627"/>
      <c r="SJ24" s="627"/>
      <c r="SK24" s="627"/>
      <c r="SL24" s="627"/>
      <c r="SM24" s="627"/>
      <c r="SN24" s="627"/>
      <c r="SO24" s="627"/>
      <c r="SP24" s="627"/>
      <c r="SQ24" s="627"/>
      <c r="SR24" s="627"/>
      <c r="SS24" s="627"/>
      <c r="ST24" s="627"/>
      <c r="SU24" s="627"/>
      <c r="SV24" s="627"/>
      <c r="SW24" s="627"/>
      <c r="SX24" s="627"/>
      <c r="SY24" s="627"/>
      <c r="SZ24" s="627"/>
      <c r="TA24" s="627"/>
      <c r="TB24" s="627"/>
      <c r="TC24" s="627"/>
      <c r="TD24" s="627"/>
      <c r="TE24" s="627"/>
      <c r="TF24" s="627"/>
      <c r="TG24" s="627"/>
      <c r="TH24" s="627"/>
      <c r="TI24" s="627"/>
      <c r="TJ24" s="627"/>
      <c r="TK24" s="627"/>
      <c r="TL24" s="627"/>
      <c r="TM24" s="627"/>
      <c r="TN24" s="627"/>
      <c r="TO24" s="627"/>
      <c r="TP24" s="627"/>
      <c r="TQ24" s="627"/>
      <c r="TR24" s="627"/>
      <c r="TS24" s="627"/>
      <c r="TT24" s="627"/>
      <c r="TU24" s="627"/>
      <c r="TV24" s="627"/>
      <c r="TW24" s="627"/>
      <c r="TX24" s="627"/>
      <c r="TY24" s="627"/>
      <c r="TZ24" s="627"/>
      <c r="UA24" s="627"/>
      <c r="UB24" s="627"/>
      <c r="UC24" s="627"/>
      <c r="UD24" s="627"/>
      <c r="UE24" s="627"/>
      <c r="UF24" s="627"/>
      <c r="UG24" s="627"/>
      <c r="UH24" s="627"/>
      <c r="UI24" s="627"/>
      <c r="UJ24" s="627"/>
      <c r="UK24" s="627"/>
      <c r="UL24" s="627"/>
      <c r="UM24" s="627"/>
      <c r="UN24" s="627"/>
      <c r="UO24" s="627"/>
      <c r="UP24" s="627"/>
      <c r="UQ24" s="627"/>
      <c r="UR24" s="627"/>
      <c r="US24" s="627"/>
      <c r="UT24" s="627"/>
      <c r="UU24" s="627"/>
      <c r="UV24" s="627"/>
      <c r="UW24" s="627"/>
      <c r="UX24" s="627"/>
      <c r="UY24" s="627"/>
      <c r="UZ24" s="627"/>
      <c r="VA24" s="627"/>
      <c r="VB24" s="627"/>
      <c r="VC24" s="627"/>
      <c r="VD24" s="627"/>
      <c r="VE24" s="627"/>
      <c r="VF24" s="627"/>
      <c r="VG24" s="627"/>
      <c r="VH24" s="627"/>
      <c r="VI24" s="627"/>
      <c r="VJ24" s="627"/>
      <c r="VK24" s="627"/>
      <c r="VL24" s="627"/>
      <c r="VM24" s="627"/>
      <c r="VN24" s="627"/>
      <c r="VO24" s="627"/>
      <c r="VP24" s="627"/>
      <c r="VQ24" s="627"/>
      <c r="VR24" s="627"/>
      <c r="VS24" s="627"/>
      <c r="VT24" s="627"/>
      <c r="VU24" s="627"/>
      <c r="VV24" s="627"/>
      <c r="VW24" s="627"/>
      <c r="VX24" s="627"/>
      <c r="VY24" s="627"/>
      <c r="VZ24" s="627"/>
      <c r="WA24" s="627"/>
      <c r="WB24" s="627"/>
      <c r="WC24" s="627"/>
      <c r="WD24" s="627"/>
      <c r="WE24" s="627"/>
      <c r="WF24" s="627"/>
      <c r="WG24" s="627"/>
      <c r="WH24" s="627"/>
      <c r="WI24" s="627"/>
      <c r="WJ24" s="627"/>
      <c r="WK24" s="627"/>
      <c r="WL24" s="627"/>
      <c r="WM24" s="627"/>
      <c r="WN24" s="627"/>
      <c r="WO24" s="627"/>
      <c r="WP24" s="627"/>
      <c r="WQ24" s="627"/>
      <c r="WR24" s="627"/>
      <c r="WS24" s="627"/>
      <c r="WT24" s="627"/>
      <c r="WU24" s="627"/>
      <c r="WV24" s="627"/>
      <c r="WW24" s="627"/>
      <c r="WX24" s="627"/>
      <c r="WY24" s="627"/>
      <c r="WZ24" s="627"/>
      <c r="XA24" s="627"/>
      <c r="XB24" s="627"/>
      <c r="XC24" s="627"/>
      <c r="XD24" s="627"/>
      <c r="XE24" s="627"/>
      <c r="XF24" s="627"/>
      <c r="XG24" s="627"/>
      <c r="XH24" s="627"/>
      <c r="XI24" s="627"/>
      <c r="XJ24" s="627"/>
      <c r="XK24" s="627"/>
      <c r="XL24" s="627"/>
      <c r="XM24" s="627"/>
      <c r="XN24" s="627"/>
      <c r="XO24" s="627"/>
      <c r="XP24" s="627"/>
      <c r="XQ24" s="627"/>
      <c r="XR24" s="627"/>
      <c r="XS24" s="627"/>
      <c r="XT24" s="627"/>
      <c r="XU24" s="627"/>
      <c r="XV24" s="627"/>
      <c r="XW24" s="627"/>
      <c r="XX24" s="627"/>
      <c r="XY24" s="627"/>
      <c r="XZ24" s="627"/>
      <c r="YA24" s="627"/>
      <c r="YB24" s="627"/>
      <c r="YC24" s="627"/>
      <c r="YD24" s="627"/>
      <c r="YE24" s="627"/>
      <c r="YF24" s="627"/>
      <c r="YG24" s="627"/>
      <c r="YH24" s="627"/>
      <c r="YI24" s="627"/>
      <c r="YJ24" s="627"/>
      <c r="YK24" s="627"/>
      <c r="YL24" s="627"/>
      <c r="YM24" s="627"/>
      <c r="YN24" s="627"/>
      <c r="YO24" s="627"/>
      <c r="YP24" s="627"/>
      <c r="YQ24" s="627"/>
      <c r="YR24" s="627"/>
      <c r="YS24" s="627"/>
      <c r="YT24" s="627"/>
      <c r="YU24" s="627"/>
      <c r="YV24" s="627"/>
      <c r="YW24" s="627"/>
      <c r="YX24" s="627"/>
      <c r="YY24" s="627"/>
      <c r="YZ24" s="627"/>
      <c r="ZA24" s="627"/>
      <c r="ZB24" s="627"/>
      <c r="ZC24" s="627"/>
      <c r="ZD24" s="627"/>
      <c r="ZE24" s="627"/>
      <c r="ZF24" s="627"/>
      <c r="ZG24" s="627"/>
      <c r="ZH24" s="627"/>
      <c r="ZI24" s="627"/>
      <c r="ZJ24" s="627"/>
      <c r="ZK24" s="627"/>
      <c r="ZL24" s="627"/>
      <c r="ZM24" s="627"/>
      <c r="ZN24" s="627"/>
      <c r="ZO24" s="627"/>
      <c r="ZP24" s="627"/>
      <c r="ZQ24" s="627"/>
      <c r="ZR24" s="627"/>
      <c r="ZS24" s="627"/>
      <c r="ZT24" s="627"/>
      <c r="ZU24" s="627"/>
      <c r="ZV24" s="627"/>
      <c r="ZW24" s="627"/>
      <c r="ZX24" s="627"/>
      <c r="ZY24" s="627"/>
      <c r="ZZ24" s="627"/>
      <c r="AAA24" s="627"/>
      <c r="AAB24" s="627"/>
      <c r="AAC24" s="627"/>
      <c r="AAD24" s="627"/>
      <c r="AAE24" s="627"/>
      <c r="AAF24" s="627"/>
      <c r="AAG24" s="627"/>
      <c r="AAH24" s="627"/>
      <c r="AAI24" s="627"/>
      <c r="AAJ24" s="627"/>
      <c r="AAK24" s="627"/>
      <c r="AAL24" s="627"/>
      <c r="AAM24" s="627"/>
      <c r="AAN24" s="627"/>
      <c r="AAO24" s="627"/>
      <c r="AAP24" s="627"/>
      <c r="AAQ24" s="627"/>
      <c r="AAR24" s="627"/>
      <c r="AAS24" s="627"/>
      <c r="AAT24" s="627"/>
      <c r="AAU24" s="627"/>
      <c r="AAV24" s="627"/>
      <c r="AAW24" s="627"/>
      <c r="AAX24" s="627"/>
      <c r="AAY24" s="627"/>
      <c r="AAZ24" s="627"/>
      <c r="ABA24" s="627"/>
      <c r="ABB24" s="627"/>
      <c r="ABC24" s="627"/>
      <c r="ABD24" s="627"/>
      <c r="ABE24" s="627"/>
      <c r="ABF24" s="627"/>
      <c r="ABG24" s="627"/>
      <c r="ABH24" s="627"/>
      <c r="ABI24" s="627"/>
      <c r="ABJ24" s="627"/>
      <c r="ABK24" s="627"/>
      <c r="ABL24" s="627"/>
      <c r="ABM24" s="627"/>
      <c r="ABN24" s="627"/>
      <c r="ABO24" s="627"/>
      <c r="ABP24" s="627"/>
      <c r="ABQ24" s="627"/>
      <c r="ABR24" s="627"/>
      <c r="ABS24" s="627"/>
      <c r="ABT24" s="627"/>
      <c r="ABU24" s="627"/>
      <c r="ABV24" s="627"/>
      <c r="ABW24" s="627"/>
      <c r="ABX24" s="627"/>
      <c r="ABY24" s="627"/>
      <c r="ABZ24" s="627"/>
      <c r="ACA24" s="627"/>
      <c r="ACB24" s="627"/>
      <c r="ACC24" s="627"/>
      <c r="ACD24" s="627"/>
      <c r="ACE24" s="627"/>
      <c r="ACF24" s="627"/>
      <c r="ACG24" s="627"/>
      <c r="ACH24" s="627"/>
      <c r="ACI24" s="627"/>
      <c r="ACJ24" s="627"/>
      <c r="ACK24" s="627"/>
      <c r="ACL24" s="627"/>
      <c r="ACM24" s="627"/>
      <c r="ACN24" s="627"/>
      <c r="ACO24" s="627"/>
      <c r="ACP24" s="627"/>
      <c r="ACQ24" s="627"/>
      <c r="ACR24" s="627"/>
      <c r="ACS24" s="627"/>
      <c r="ACT24" s="627"/>
      <c r="ACU24" s="627"/>
      <c r="ACV24" s="627"/>
      <c r="ACW24" s="627"/>
      <c r="ACX24" s="627"/>
      <c r="ACY24" s="627"/>
      <c r="ACZ24" s="627"/>
      <c r="ADA24" s="627"/>
      <c r="ADB24" s="627"/>
      <c r="ADC24" s="627"/>
      <c r="ADD24" s="627"/>
      <c r="ADE24" s="627"/>
      <c r="ADF24" s="627"/>
      <c r="ADG24" s="627"/>
      <c r="ADH24" s="627"/>
      <c r="ADI24" s="627"/>
      <c r="ADJ24" s="627"/>
      <c r="ADK24" s="627"/>
      <c r="ADL24" s="627"/>
      <c r="ADM24" s="627"/>
      <c r="ADN24" s="627"/>
      <c r="ADO24" s="627"/>
      <c r="ADP24" s="627"/>
      <c r="ADQ24" s="627"/>
      <c r="ADR24" s="627"/>
      <c r="ADS24" s="627"/>
      <c r="ADT24" s="627"/>
      <c r="ADU24" s="627"/>
      <c r="ADV24" s="627"/>
      <c r="ADW24" s="627"/>
      <c r="ADX24" s="627"/>
      <c r="ADY24" s="627"/>
      <c r="ADZ24" s="627"/>
      <c r="AEA24" s="627"/>
      <c r="AEB24" s="627"/>
      <c r="AEC24" s="627"/>
      <c r="AED24" s="627"/>
      <c r="AEE24" s="627"/>
      <c r="AEF24" s="627"/>
      <c r="AEG24" s="627"/>
      <c r="AEH24" s="627"/>
      <c r="AEI24" s="627"/>
      <c r="AEJ24" s="627"/>
      <c r="AEK24" s="627"/>
      <c r="AEL24" s="627"/>
      <c r="AEM24" s="627"/>
      <c r="AEN24" s="627"/>
      <c r="AEO24" s="627"/>
      <c r="AEP24" s="627"/>
      <c r="AEQ24" s="627"/>
      <c r="AER24" s="627"/>
      <c r="AES24" s="627"/>
      <c r="AET24" s="627"/>
      <c r="AEU24" s="627"/>
      <c r="AEV24" s="627"/>
      <c r="AEW24" s="627"/>
      <c r="AEX24" s="627"/>
      <c r="AEY24" s="627"/>
      <c r="AEZ24" s="627"/>
      <c r="AFA24" s="627"/>
      <c r="AFB24" s="627"/>
      <c r="AFC24" s="627"/>
      <c r="AFD24" s="627"/>
      <c r="AFE24" s="627"/>
      <c r="AFF24" s="627"/>
      <c r="AFG24" s="627"/>
      <c r="AFH24" s="627"/>
      <c r="AFI24" s="627"/>
      <c r="AFJ24" s="627"/>
      <c r="AFK24" s="627"/>
      <c r="AFL24" s="627"/>
      <c r="AFM24" s="627"/>
      <c r="AFN24" s="627"/>
      <c r="AFO24" s="627"/>
      <c r="AFP24" s="627"/>
      <c r="AFQ24" s="627"/>
      <c r="AFR24" s="627"/>
      <c r="AFS24" s="627"/>
      <c r="AFT24" s="627"/>
      <c r="AFU24" s="627"/>
      <c r="AFV24" s="627"/>
      <c r="AFW24" s="627"/>
      <c r="AFX24" s="627"/>
      <c r="AFY24" s="627"/>
      <c r="AFZ24" s="627"/>
      <c r="AGA24" s="627"/>
      <c r="AGB24" s="627"/>
      <c r="AGC24" s="627"/>
      <c r="AGD24" s="627"/>
      <c r="AGE24" s="627"/>
      <c r="AGF24" s="627"/>
      <c r="AGG24" s="627"/>
      <c r="AGH24" s="627"/>
      <c r="AGI24" s="627"/>
      <c r="AGJ24" s="627"/>
      <c r="AGK24" s="627"/>
      <c r="AGL24" s="627"/>
      <c r="AGM24" s="627"/>
      <c r="AGN24" s="627"/>
      <c r="AGO24" s="627"/>
      <c r="AGP24" s="627"/>
      <c r="AGQ24" s="627"/>
      <c r="AGR24" s="627"/>
      <c r="AGS24" s="627"/>
      <c r="AGT24" s="627"/>
      <c r="AGU24" s="627"/>
      <c r="AGV24" s="627"/>
      <c r="AGW24" s="627"/>
      <c r="AGX24" s="627"/>
      <c r="AGY24" s="627"/>
      <c r="AGZ24" s="627"/>
      <c r="AHA24" s="627"/>
      <c r="AHB24" s="627"/>
      <c r="AHC24" s="627"/>
      <c r="AHD24" s="627"/>
      <c r="AHE24" s="627"/>
      <c r="AHF24" s="627"/>
      <c r="AHG24" s="627"/>
      <c r="AHH24" s="627"/>
      <c r="AHI24" s="627"/>
      <c r="AHJ24" s="627"/>
      <c r="AHK24" s="627"/>
      <c r="AHL24" s="627"/>
      <c r="AHM24" s="627"/>
      <c r="AHN24" s="627"/>
      <c r="AHO24" s="627"/>
      <c r="AHP24" s="627"/>
      <c r="AHQ24" s="627"/>
      <c r="AHR24" s="627"/>
      <c r="AHS24" s="627"/>
      <c r="AHT24" s="627"/>
      <c r="AHU24" s="627"/>
      <c r="AHV24" s="627"/>
      <c r="AHW24" s="627"/>
      <c r="AHX24" s="627"/>
      <c r="AHY24" s="627"/>
      <c r="AHZ24" s="627"/>
      <c r="AIA24" s="627"/>
      <c r="AIB24" s="627"/>
      <c r="AIC24" s="627"/>
      <c r="AID24" s="627"/>
      <c r="AIE24" s="627"/>
      <c r="AIF24" s="627"/>
      <c r="AIG24" s="627"/>
      <c r="AIH24" s="627"/>
      <c r="AII24" s="627"/>
      <c r="AIJ24" s="627"/>
      <c r="AIK24" s="627"/>
      <c r="AIL24" s="627"/>
      <c r="AIM24" s="627"/>
      <c r="AIN24" s="627"/>
      <c r="AIO24" s="627"/>
      <c r="AIP24" s="627"/>
      <c r="AIQ24" s="627"/>
      <c r="AIR24" s="627"/>
      <c r="AIS24" s="627"/>
      <c r="AIT24" s="627"/>
      <c r="AIU24" s="627"/>
      <c r="AIV24" s="627"/>
      <c r="AIW24" s="627"/>
      <c r="AIX24" s="627"/>
      <c r="AIY24" s="627"/>
      <c r="AIZ24" s="627"/>
      <c r="AJA24" s="627"/>
      <c r="AJB24" s="627"/>
      <c r="AJC24" s="627"/>
      <c r="AJD24" s="627"/>
      <c r="AJE24" s="627"/>
      <c r="AJF24" s="627"/>
      <c r="AJG24" s="627"/>
      <c r="AJH24" s="627"/>
      <c r="AJI24" s="627"/>
      <c r="AJJ24" s="627"/>
      <c r="AJK24" s="627"/>
      <c r="AJL24" s="627"/>
      <c r="AJM24" s="627"/>
      <c r="AJN24" s="627"/>
      <c r="AJO24" s="627"/>
      <c r="AJP24" s="627"/>
      <c r="AJQ24" s="627"/>
      <c r="AJR24" s="627"/>
      <c r="AJS24" s="627"/>
      <c r="AJT24" s="627"/>
      <c r="AJU24" s="627"/>
      <c r="AJV24" s="627"/>
      <c r="AJW24" s="627"/>
      <c r="AJX24" s="627"/>
      <c r="AJY24" s="627"/>
      <c r="AJZ24" s="627"/>
      <c r="AKA24" s="627"/>
      <c r="AKB24" s="627"/>
      <c r="AKC24" s="627"/>
      <c r="AKD24" s="627"/>
      <c r="AKE24" s="627"/>
      <c r="AKF24" s="627"/>
      <c r="AKG24" s="627"/>
      <c r="AKH24" s="627"/>
      <c r="AKI24" s="627"/>
      <c r="AKJ24" s="627"/>
      <c r="AKK24" s="627"/>
      <c r="AKL24" s="627"/>
      <c r="AKM24" s="627"/>
      <c r="AKN24" s="627"/>
      <c r="AKO24" s="627"/>
      <c r="AKP24" s="627"/>
      <c r="AKQ24" s="627"/>
      <c r="AKR24" s="627"/>
      <c r="AKS24" s="627"/>
      <c r="AKT24" s="627"/>
      <c r="AKU24" s="627"/>
      <c r="AKV24" s="627"/>
      <c r="AKW24" s="627"/>
      <c r="AKX24" s="627"/>
      <c r="AKY24" s="627"/>
      <c r="AKZ24" s="627"/>
      <c r="ALA24" s="627"/>
      <c r="ALB24" s="627"/>
      <c r="ALC24" s="627"/>
      <c r="ALD24" s="627"/>
      <c r="ALE24" s="627"/>
      <c r="ALF24" s="627"/>
      <c r="ALG24" s="627"/>
      <c r="ALH24" s="627"/>
      <c r="ALI24" s="627"/>
      <c r="ALJ24" s="627"/>
      <c r="ALK24" s="627"/>
      <c r="ALL24" s="627"/>
      <c r="ALM24" s="627"/>
      <c r="ALN24" s="627"/>
      <c r="ALO24" s="627"/>
      <c r="ALP24" s="627"/>
      <c r="ALQ24" s="627"/>
      <c r="ALR24" s="627"/>
      <c r="ALS24" s="627"/>
      <c r="ALT24" s="627"/>
      <c r="ALU24" s="627"/>
      <c r="ALV24" s="627"/>
      <c r="ALW24" s="627"/>
      <c r="ALX24" s="627"/>
      <c r="ALY24" s="627"/>
      <c r="ALZ24" s="627"/>
      <c r="AMA24" s="627"/>
      <c r="AMB24" s="627"/>
      <c r="AMC24" s="627"/>
      <c r="AMD24" s="627"/>
      <c r="AME24" s="627"/>
      <c r="AMF24" s="627"/>
      <c r="AMG24" s="627"/>
      <c r="AMH24" s="627"/>
      <c r="AMI24" s="627"/>
      <c r="AMJ24" s="627"/>
      <c r="AMK24" s="627"/>
      <c r="AML24" s="627"/>
      <c r="AMM24" s="627"/>
      <c r="AMN24" s="627"/>
      <c r="AMO24" s="627"/>
      <c r="AMP24" s="627"/>
      <c r="AMQ24" s="627"/>
      <c r="AMR24" s="627"/>
      <c r="AMS24" s="627"/>
      <c r="AMT24" s="627"/>
      <c r="AMU24" s="627"/>
      <c r="AMV24" s="627"/>
      <c r="AMW24" s="627"/>
      <c r="AMX24" s="627"/>
      <c r="AMY24" s="627"/>
      <c r="AMZ24" s="627"/>
      <c r="ANA24" s="627"/>
      <c r="ANB24" s="627"/>
      <c r="ANC24" s="627"/>
      <c r="AND24" s="627"/>
      <c r="ANE24" s="627"/>
      <c r="ANF24" s="627"/>
      <c r="ANG24" s="627"/>
      <c r="ANH24" s="627"/>
      <c r="ANI24" s="627"/>
      <c r="ANJ24" s="627"/>
      <c r="ANK24" s="627"/>
      <c r="ANL24" s="627"/>
      <c r="ANM24" s="627"/>
      <c r="ANN24" s="627"/>
      <c r="ANO24" s="627"/>
      <c r="ANP24" s="627"/>
      <c r="ANQ24" s="627"/>
      <c r="ANR24" s="627"/>
      <c r="ANS24" s="627"/>
      <c r="ANT24" s="627"/>
      <c r="ANU24" s="627"/>
      <c r="ANV24" s="627"/>
      <c r="ANW24" s="627"/>
      <c r="ANX24" s="627"/>
      <c r="ANY24" s="627"/>
      <c r="ANZ24" s="627"/>
      <c r="AOA24" s="627"/>
      <c r="AOB24" s="627"/>
      <c r="AOC24" s="627"/>
      <c r="AOD24" s="627"/>
      <c r="AOE24" s="627"/>
      <c r="AOF24" s="627"/>
      <c r="AOG24" s="627"/>
      <c r="AOH24" s="627"/>
      <c r="AOI24" s="627"/>
      <c r="AOJ24" s="627"/>
      <c r="AOK24" s="627"/>
      <c r="AOL24" s="627"/>
      <c r="AOM24" s="627"/>
      <c r="AON24" s="627"/>
      <c r="AOO24" s="627"/>
      <c r="AOP24" s="627"/>
      <c r="AOQ24" s="627"/>
      <c r="AOR24" s="627"/>
      <c r="AOS24" s="627"/>
      <c r="AOT24" s="627"/>
      <c r="AOU24" s="627"/>
      <c r="AOV24" s="627"/>
      <c r="AOW24" s="627"/>
      <c r="AOX24" s="627"/>
      <c r="AOY24" s="627"/>
      <c r="AOZ24" s="627"/>
      <c r="APA24" s="627"/>
      <c r="APB24" s="627"/>
      <c r="APC24" s="627"/>
      <c r="APD24" s="627"/>
      <c r="APE24" s="627"/>
      <c r="APF24" s="627"/>
      <c r="APG24" s="627"/>
      <c r="APH24" s="627"/>
      <c r="API24" s="627"/>
      <c r="APJ24" s="627"/>
      <c r="APK24" s="627"/>
      <c r="APL24" s="627"/>
      <c r="APM24" s="627"/>
      <c r="APN24" s="627"/>
      <c r="APO24" s="627"/>
      <c r="APP24" s="627"/>
      <c r="APQ24" s="627"/>
      <c r="APR24" s="627"/>
      <c r="APS24" s="627"/>
      <c r="APT24" s="627"/>
      <c r="APU24" s="627"/>
      <c r="APV24" s="627"/>
      <c r="APW24" s="627"/>
      <c r="APX24" s="627"/>
      <c r="APY24" s="627"/>
      <c r="APZ24" s="627"/>
      <c r="AQA24" s="627"/>
      <c r="AQB24" s="627"/>
      <c r="AQC24" s="627"/>
      <c r="AQD24" s="627"/>
      <c r="AQE24" s="627"/>
      <c r="AQF24" s="627"/>
      <c r="AQG24" s="627"/>
      <c r="AQH24" s="627"/>
      <c r="AQI24" s="627"/>
      <c r="AQJ24" s="627"/>
      <c r="AQK24" s="627"/>
      <c r="AQL24" s="627"/>
      <c r="AQM24" s="627"/>
      <c r="AQN24" s="627"/>
      <c r="AQO24" s="627"/>
      <c r="AQP24" s="627"/>
      <c r="AQQ24" s="627"/>
      <c r="AQR24" s="627"/>
      <c r="AQS24" s="627"/>
      <c r="AQT24" s="627"/>
      <c r="AQU24" s="627"/>
      <c r="AQV24" s="627"/>
      <c r="AQW24" s="627"/>
      <c r="AQX24" s="627"/>
      <c r="AQY24" s="627"/>
      <c r="AQZ24" s="627"/>
      <c r="ARA24" s="627"/>
      <c r="ARB24" s="627"/>
      <c r="ARC24" s="627"/>
      <c r="ARD24" s="627"/>
      <c r="ARE24" s="627"/>
      <c r="ARF24" s="627"/>
      <c r="ARG24" s="627"/>
      <c r="ARH24" s="627"/>
      <c r="ARI24" s="627"/>
      <c r="ARJ24" s="627"/>
      <c r="ARK24" s="627"/>
      <c r="ARL24" s="627"/>
      <c r="ARM24" s="627"/>
      <c r="ARN24" s="627"/>
      <c r="ARO24" s="627"/>
      <c r="ARP24" s="627"/>
      <c r="ARQ24" s="627"/>
      <c r="ARR24" s="627"/>
      <c r="ARS24" s="627"/>
      <c r="ART24" s="627"/>
      <c r="ARU24" s="627"/>
      <c r="ARV24" s="627"/>
      <c r="ARW24" s="627"/>
      <c r="ARX24" s="627"/>
      <c r="ARY24" s="627"/>
      <c r="ARZ24" s="627"/>
      <c r="ASA24" s="627"/>
      <c r="ASB24" s="627"/>
      <c r="ASC24" s="627"/>
      <c r="ASD24" s="627"/>
      <c r="ASE24" s="627"/>
      <c r="ASF24" s="627"/>
      <c r="ASG24" s="627"/>
      <c r="ASH24" s="627"/>
      <c r="ASI24" s="627"/>
      <c r="ASJ24" s="627"/>
      <c r="ASK24" s="627"/>
      <c r="ASL24" s="627"/>
      <c r="ASM24" s="627"/>
      <c r="ASN24" s="627"/>
      <c r="ASO24" s="627"/>
      <c r="ASP24" s="627"/>
      <c r="ASQ24" s="627"/>
      <c r="ASR24" s="627"/>
      <c r="ASS24" s="627"/>
      <c r="AST24" s="627"/>
      <c r="ASU24" s="627"/>
      <c r="ASV24" s="627"/>
      <c r="ASW24" s="627"/>
      <c r="ASX24" s="627"/>
      <c r="ASY24" s="627"/>
      <c r="ASZ24" s="627"/>
      <c r="ATA24" s="627"/>
      <c r="ATB24" s="627"/>
      <c r="ATC24" s="627"/>
      <c r="ATD24" s="627"/>
      <c r="ATE24" s="627"/>
      <c r="ATF24" s="627"/>
      <c r="ATG24" s="627"/>
      <c r="ATH24" s="627"/>
      <c r="ATI24" s="627"/>
      <c r="ATJ24" s="627"/>
      <c r="ATK24" s="627"/>
      <c r="ATL24" s="627"/>
      <c r="ATM24" s="627"/>
      <c r="ATN24" s="627"/>
      <c r="ATO24" s="627"/>
      <c r="ATP24" s="627"/>
      <c r="ATQ24" s="627"/>
      <c r="ATR24" s="627"/>
      <c r="ATS24" s="627"/>
      <c r="ATT24" s="627"/>
      <c r="ATU24" s="627"/>
      <c r="ATV24" s="627"/>
      <c r="ATW24" s="627"/>
      <c r="ATX24" s="627"/>
      <c r="ATY24" s="627"/>
      <c r="ATZ24" s="627"/>
      <c r="AUA24" s="627"/>
      <c r="AUB24" s="627"/>
      <c r="AUC24" s="627"/>
      <c r="AUD24" s="627"/>
      <c r="AUE24" s="627"/>
      <c r="AUF24" s="627"/>
      <c r="AUG24" s="627"/>
      <c r="AUH24" s="627"/>
      <c r="AUI24" s="627"/>
      <c r="AUJ24" s="627"/>
      <c r="AUK24" s="627"/>
      <c r="AUL24" s="627"/>
      <c r="AUM24" s="627"/>
      <c r="AUN24" s="627"/>
      <c r="AUO24" s="627"/>
      <c r="AUP24" s="627"/>
      <c r="AUQ24" s="627"/>
      <c r="AUR24" s="627"/>
      <c r="AUS24" s="627"/>
      <c r="AUT24" s="627"/>
      <c r="AUU24" s="627"/>
      <c r="AUV24" s="627"/>
      <c r="AUW24" s="627"/>
      <c r="AUX24" s="627"/>
      <c r="AUY24" s="627"/>
      <c r="AUZ24" s="627"/>
      <c r="AVA24" s="627"/>
      <c r="AVB24" s="627"/>
      <c r="AVC24" s="627"/>
      <c r="AVD24" s="627"/>
      <c r="AVE24" s="627"/>
      <c r="AVF24" s="627"/>
      <c r="AVG24" s="627"/>
      <c r="AVH24" s="627"/>
      <c r="AVI24" s="627"/>
      <c r="AVJ24" s="627"/>
      <c r="AVK24" s="627"/>
      <c r="AVL24" s="627"/>
      <c r="AVM24" s="627"/>
      <c r="AVN24" s="627"/>
      <c r="AVO24" s="627"/>
      <c r="AVP24" s="627"/>
      <c r="AVQ24" s="627"/>
      <c r="AVR24" s="627"/>
      <c r="AVS24" s="627"/>
      <c r="AVT24" s="627"/>
      <c r="AVU24" s="627"/>
      <c r="AVV24" s="627"/>
      <c r="AVW24" s="627"/>
      <c r="AVX24" s="627"/>
      <c r="AVY24" s="627"/>
      <c r="AVZ24" s="627"/>
      <c r="AWA24" s="627"/>
      <c r="AWB24" s="627"/>
      <c r="AWC24" s="627"/>
      <c r="AWD24" s="627"/>
      <c r="AWE24" s="627"/>
      <c r="AWF24" s="627"/>
      <c r="AWG24" s="627"/>
      <c r="AWH24" s="627"/>
      <c r="AWI24" s="627"/>
      <c r="AWJ24" s="627"/>
      <c r="AWK24" s="627"/>
      <c r="AWL24" s="627"/>
      <c r="AWM24" s="627"/>
      <c r="AWN24" s="627"/>
      <c r="AWO24" s="627"/>
      <c r="AWP24" s="627"/>
      <c r="AWQ24" s="627"/>
      <c r="AWR24" s="627"/>
      <c r="AWS24" s="627"/>
      <c r="AWT24" s="627"/>
      <c r="AWU24" s="627"/>
      <c r="AWV24" s="627"/>
      <c r="AWW24" s="627"/>
      <c r="AWX24" s="627"/>
      <c r="AWY24" s="627"/>
      <c r="AWZ24" s="627"/>
      <c r="AXA24" s="627"/>
      <c r="AXB24" s="627"/>
      <c r="AXC24" s="627"/>
      <c r="AXD24" s="627"/>
      <c r="AXE24" s="627"/>
      <c r="AXF24" s="627"/>
      <c r="AXG24" s="627"/>
      <c r="AXH24" s="627"/>
      <c r="AXI24" s="627"/>
      <c r="AXJ24" s="627"/>
      <c r="AXK24" s="627"/>
      <c r="AXL24" s="627"/>
      <c r="AXM24" s="627"/>
      <c r="AXN24" s="627"/>
      <c r="AXO24" s="627"/>
      <c r="AXP24" s="627"/>
      <c r="AXQ24" s="627"/>
      <c r="AXR24" s="627"/>
      <c r="AXS24" s="627"/>
      <c r="AXT24" s="627"/>
      <c r="AXU24" s="627"/>
      <c r="AXV24" s="627"/>
      <c r="AXW24" s="627"/>
      <c r="AXX24" s="627"/>
      <c r="AXY24" s="627"/>
      <c r="AXZ24" s="627"/>
      <c r="AYA24" s="627"/>
      <c r="AYB24" s="627"/>
      <c r="AYC24" s="627"/>
      <c r="AYD24" s="627"/>
      <c r="AYE24" s="627"/>
      <c r="AYF24" s="627"/>
      <c r="AYG24" s="627"/>
      <c r="AYH24" s="627"/>
      <c r="AYI24" s="627"/>
      <c r="AYJ24" s="627"/>
      <c r="AYK24" s="627"/>
      <c r="AYL24" s="627"/>
      <c r="AYM24" s="627"/>
      <c r="AYN24" s="627"/>
      <c r="AYO24" s="627"/>
      <c r="AYP24" s="627"/>
      <c r="AYQ24" s="627"/>
      <c r="AYR24" s="627"/>
      <c r="AYS24" s="627"/>
      <c r="AYT24" s="627"/>
      <c r="AYU24" s="627"/>
      <c r="AYV24" s="627"/>
      <c r="AYW24" s="627"/>
      <c r="AYX24" s="627"/>
      <c r="AYY24" s="627"/>
      <c r="AYZ24" s="627"/>
      <c r="AZA24" s="627"/>
      <c r="AZB24" s="627"/>
      <c r="AZC24" s="627"/>
      <c r="AZD24" s="627"/>
      <c r="AZE24" s="627"/>
      <c r="AZF24" s="627"/>
      <c r="AZG24" s="627"/>
      <c r="AZH24" s="627"/>
      <c r="AZI24" s="627"/>
      <c r="AZJ24" s="627"/>
      <c r="AZK24" s="627"/>
      <c r="AZL24" s="627"/>
      <c r="AZM24" s="627"/>
      <c r="AZN24" s="627"/>
      <c r="AZO24" s="627"/>
      <c r="AZP24" s="627"/>
      <c r="AZQ24" s="627"/>
      <c r="AZR24" s="627"/>
      <c r="AZS24" s="627"/>
      <c r="AZT24" s="627"/>
      <c r="AZU24" s="627"/>
      <c r="AZV24" s="627"/>
      <c r="AZW24" s="627"/>
      <c r="AZX24" s="627"/>
      <c r="AZY24" s="627"/>
      <c r="AZZ24" s="627"/>
      <c r="BAA24" s="627"/>
      <c r="BAB24" s="627"/>
      <c r="BAC24" s="627"/>
      <c r="BAD24" s="627"/>
      <c r="BAE24" s="627"/>
      <c r="BAF24" s="627"/>
      <c r="BAG24" s="627"/>
      <c r="BAH24" s="627"/>
      <c r="BAI24" s="627"/>
      <c r="BAJ24" s="627"/>
      <c r="BAK24" s="627"/>
      <c r="BAL24" s="627"/>
      <c r="BAM24" s="627"/>
      <c r="BAN24" s="627"/>
      <c r="BAO24" s="627"/>
      <c r="BAP24" s="627"/>
      <c r="BAQ24" s="627"/>
      <c r="BAR24" s="627"/>
      <c r="BAS24" s="627"/>
      <c r="BAT24" s="627"/>
      <c r="BAU24" s="627"/>
      <c r="BAV24" s="627"/>
      <c r="BAW24" s="627"/>
      <c r="BAX24" s="627"/>
      <c r="BAY24" s="627"/>
      <c r="BAZ24" s="627"/>
      <c r="BBA24" s="627"/>
      <c r="BBB24" s="627"/>
      <c r="BBC24" s="627"/>
      <c r="BBD24" s="627"/>
      <c r="BBE24" s="627"/>
      <c r="BBF24" s="627"/>
      <c r="BBG24" s="627"/>
      <c r="BBH24" s="627"/>
      <c r="BBI24" s="627"/>
      <c r="BBJ24" s="627"/>
      <c r="BBK24" s="627"/>
      <c r="BBL24" s="627"/>
      <c r="BBM24" s="627"/>
      <c r="BBN24" s="627"/>
      <c r="BBO24" s="627"/>
      <c r="BBP24" s="627"/>
      <c r="BBQ24" s="627"/>
      <c r="BBR24" s="627"/>
      <c r="BBS24" s="627"/>
      <c r="BBT24" s="627"/>
      <c r="BBU24" s="627"/>
      <c r="BBV24" s="627"/>
      <c r="BBW24" s="627"/>
      <c r="BBX24" s="627"/>
      <c r="BBY24" s="627"/>
      <c r="BBZ24" s="627"/>
      <c r="BCA24" s="627"/>
      <c r="BCB24" s="627"/>
      <c r="BCC24" s="627"/>
      <c r="BCD24" s="627"/>
      <c r="BCE24" s="627"/>
      <c r="BCF24" s="627"/>
      <c r="BCG24" s="627"/>
      <c r="BCH24" s="627"/>
      <c r="BCI24" s="627"/>
      <c r="BCJ24" s="627"/>
      <c r="BCK24" s="627"/>
      <c r="BCL24" s="627"/>
      <c r="BCM24" s="627"/>
      <c r="BCN24" s="627"/>
      <c r="BCO24" s="627"/>
      <c r="BCP24" s="627"/>
      <c r="BCQ24" s="627"/>
      <c r="BCR24" s="627"/>
      <c r="BCS24" s="627"/>
      <c r="BCT24" s="627"/>
      <c r="BCU24" s="627"/>
      <c r="BCV24" s="627"/>
      <c r="BCW24" s="627"/>
      <c r="BCX24" s="627"/>
      <c r="BCY24" s="627"/>
      <c r="BCZ24" s="627"/>
      <c r="BDA24" s="627"/>
      <c r="BDB24" s="627"/>
      <c r="BDC24" s="627"/>
      <c r="BDD24" s="627"/>
      <c r="BDE24" s="627"/>
      <c r="BDF24" s="627"/>
      <c r="BDG24" s="627"/>
      <c r="BDH24" s="627"/>
      <c r="BDI24" s="627"/>
      <c r="BDJ24" s="627"/>
      <c r="BDK24" s="627"/>
      <c r="BDL24" s="627"/>
      <c r="BDM24" s="627"/>
      <c r="BDN24" s="627"/>
      <c r="BDO24" s="627"/>
      <c r="BDP24" s="627"/>
      <c r="BDQ24" s="627"/>
      <c r="BDR24" s="627"/>
      <c r="BDS24" s="627"/>
      <c r="BDT24" s="627"/>
      <c r="BDU24" s="627"/>
      <c r="BDV24" s="627"/>
      <c r="BDW24" s="627"/>
      <c r="BDX24" s="627"/>
      <c r="BDY24" s="627"/>
      <c r="BDZ24" s="627"/>
      <c r="BEA24" s="627"/>
      <c r="BEB24" s="627"/>
      <c r="BEC24" s="627"/>
      <c r="BED24" s="627"/>
      <c r="BEE24" s="627"/>
      <c r="BEF24" s="627"/>
      <c r="BEG24" s="627"/>
      <c r="BEH24" s="627"/>
      <c r="BEI24" s="627"/>
      <c r="BEJ24" s="627"/>
      <c r="BEK24" s="627"/>
      <c r="BEL24" s="627"/>
      <c r="BEM24" s="627"/>
      <c r="BEN24" s="627"/>
      <c r="BEO24" s="627"/>
      <c r="BEP24" s="627"/>
      <c r="BEQ24" s="627"/>
      <c r="BER24" s="627"/>
      <c r="BES24" s="627"/>
      <c r="BET24" s="627"/>
      <c r="BEU24" s="627"/>
      <c r="BEV24" s="627"/>
      <c r="BEW24" s="627"/>
      <c r="BEX24" s="627"/>
      <c r="BEY24" s="627"/>
      <c r="BEZ24" s="627"/>
      <c r="BFA24" s="627"/>
      <c r="BFB24" s="627"/>
      <c r="BFC24" s="627"/>
      <c r="BFD24" s="627"/>
      <c r="BFE24" s="627"/>
      <c r="BFF24" s="627"/>
      <c r="BFG24" s="627"/>
      <c r="BFH24" s="627"/>
      <c r="BFI24" s="627"/>
      <c r="BFJ24" s="627"/>
      <c r="BFK24" s="627"/>
      <c r="BFL24" s="627"/>
      <c r="BFM24" s="627"/>
      <c r="BFN24" s="627"/>
      <c r="BFO24" s="627"/>
      <c r="BFP24" s="627"/>
      <c r="BFQ24" s="627"/>
      <c r="BFR24" s="627"/>
      <c r="BFS24" s="627"/>
      <c r="BFT24" s="627"/>
      <c r="BFU24" s="627"/>
      <c r="BFV24" s="627"/>
      <c r="BFW24" s="627"/>
      <c r="BFX24" s="627"/>
      <c r="BFY24" s="627"/>
      <c r="BFZ24" s="627"/>
      <c r="BGA24" s="627"/>
      <c r="BGB24" s="627"/>
      <c r="BGC24" s="627"/>
      <c r="BGD24" s="627"/>
      <c r="BGE24" s="627"/>
      <c r="BGF24" s="627"/>
      <c r="BGG24" s="627"/>
      <c r="BGH24" s="627"/>
      <c r="BGI24" s="627"/>
      <c r="BGJ24" s="627"/>
      <c r="BGK24" s="627"/>
      <c r="BGL24" s="627"/>
      <c r="BGM24" s="627"/>
      <c r="BGN24" s="627"/>
      <c r="BGO24" s="627"/>
      <c r="BGP24" s="627"/>
      <c r="BGQ24" s="627"/>
      <c r="BGR24" s="627"/>
      <c r="BGS24" s="627"/>
      <c r="BGT24" s="627"/>
      <c r="BGU24" s="627"/>
      <c r="BGV24" s="627"/>
      <c r="BGW24" s="627"/>
      <c r="BGX24" s="627"/>
      <c r="BGY24" s="627"/>
      <c r="BGZ24" s="627"/>
      <c r="BHA24" s="627"/>
      <c r="BHB24" s="627"/>
      <c r="BHC24" s="627"/>
      <c r="BHD24" s="627"/>
      <c r="BHE24" s="627"/>
      <c r="BHF24" s="627"/>
      <c r="BHG24" s="627"/>
      <c r="BHH24" s="627"/>
      <c r="BHI24" s="627"/>
      <c r="BHJ24" s="627"/>
      <c r="BHK24" s="627"/>
      <c r="BHL24" s="627"/>
      <c r="BHM24" s="627"/>
      <c r="BHN24" s="627"/>
      <c r="BHO24" s="627"/>
      <c r="BHP24" s="627"/>
      <c r="BHQ24" s="627"/>
      <c r="BHR24" s="627"/>
      <c r="BHS24" s="627"/>
      <c r="BHT24" s="627"/>
      <c r="BHU24" s="627"/>
      <c r="BHV24" s="627"/>
      <c r="BHW24" s="627"/>
      <c r="BHX24" s="627"/>
      <c r="BHY24" s="627"/>
      <c r="BHZ24" s="627"/>
      <c r="BIA24" s="627"/>
      <c r="BIB24" s="627"/>
      <c r="BIC24" s="627"/>
      <c r="BID24" s="627"/>
      <c r="BIE24" s="627"/>
      <c r="BIF24" s="627"/>
      <c r="BIG24" s="627"/>
      <c r="BIH24" s="627"/>
      <c r="BII24" s="627"/>
      <c r="BIJ24" s="627"/>
      <c r="BIK24" s="627"/>
      <c r="BIL24" s="627"/>
      <c r="BIM24" s="627"/>
      <c r="BIN24" s="627"/>
      <c r="BIO24" s="627"/>
      <c r="BIP24" s="627"/>
      <c r="BIQ24" s="627"/>
      <c r="BIR24" s="627"/>
      <c r="BIS24" s="627"/>
      <c r="BIT24" s="627"/>
      <c r="BIU24" s="627"/>
      <c r="BIV24" s="627"/>
      <c r="BIW24" s="627"/>
      <c r="BIX24" s="627"/>
      <c r="BIY24" s="627"/>
      <c r="BIZ24" s="627"/>
      <c r="BJA24" s="627"/>
      <c r="BJB24" s="627"/>
      <c r="BJC24" s="627"/>
      <c r="BJD24" s="627"/>
      <c r="BJE24" s="627"/>
      <c r="BJF24" s="627"/>
      <c r="BJG24" s="627"/>
      <c r="BJH24" s="627"/>
      <c r="BJI24" s="627"/>
      <c r="BJJ24" s="627"/>
      <c r="BJK24" s="627"/>
      <c r="BJL24" s="627"/>
      <c r="BJM24" s="627"/>
      <c r="BJN24" s="627"/>
      <c r="BJO24" s="627"/>
      <c r="BJP24" s="627"/>
      <c r="BJQ24" s="627"/>
      <c r="BJR24" s="627"/>
      <c r="BJS24" s="627"/>
      <c r="BJT24" s="627"/>
      <c r="BJU24" s="627"/>
      <c r="BJV24" s="627"/>
      <c r="BJW24" s="627"/>
      <c r="BJX24" s="627"/>
      <c r="BJY24" s="627"/>
      <c r="BJZ24" s="627"/>
      <c r="BKA24" s="627"/>
      <c r="BKB24" s="627"/>
      <c r="BKC24" s="627"/>
      <c r="BKD24" s="627"/>
      <c r="BKE24" s="627"/>
      <c r="BKF24" s="627"/>
      <c r="BKG24" s="627"/>
      <c r="BKH24" s="627"/>
      <c r="BKI24" s="627"/>
      <c r="BKJ24" s="627"/>
      <c r="BKK24" s="627"/>
      <c r="BKL24" s="627"/>
      <c r="BKM24" s="627"/>
      <c r="BKN24" s="627"/>
      <c r="BKO24" s="627"/>
      <c r="BKP24" s="627"/>
      <c r="BKQ24" s="627"/>
      <c r="BKR24" s="627"/>
      <c r="BKS24" s="627"/>
      <c r="BKT24" s="627"/>
      <c r="BKU24" s="627"/>
      <c r="BKV24" s="627"/>
      <c r="BKW24" s="627"/>
      <c r="BKX24" s="627"/>
      <c r="BKY24" s="627"/>
      <c r="BKZ24" s="627"/>
      <c r="BLA24" s="627"/>
      <c r="BLB24" s="627"/>
      <c r="BLC24" s="627"/>
      <c r="BLD24" s="627"/>
      <c r="BLE24" s="627"/>
      <c r="BLF24" s="627"/>
      <c r="BLG24" s="627"/>
      <c r="BLH24" s="627"/>
      <c r="BLI24" s="627"/>
      <c r="BLJ24" s="627"/>
      <c r="BLK24" s="627"/>
      <c r="BLL24" s="627"/>
      <c r="BLM24" s="627"/>
      <c r="BLN24" s="627"/>
      <c r="BLO24" s="627"/>
      <c r="BLP24" s="627"/>
      <c r="BLQ24" s="627"/>
      <c r="BLR24" s="627"/>
      <c r="BLS24" s="627"/>
      <c r="BLT24" s="627"/>
      <c r="BLU24" s="627"/>
      <c r="BLV24" s="627"/>
      <c r="BLW24" s="627"/>
      <c r="BLX24" s="627"/>
      <c r="BLY24" s="627"/>
      <c r="BLZ24" s="627"/>
      <c r="BMA24" s="627"/>
      <c r="BMB24" s="627"/>
      <c r="BMC24" s="627"/>
      <c r="BMD24" s="627"/>
      <c r="BME24" s="627"/>
      <c r="BMF24" s="627"/>
      <c r="BMG24" s="627"/>
      <c r="BMH24" s="627"/>
      <c r="BMI24" s="627"/>
      <c r="BMJ24" s="627"/>
      <c r="BMK24" s="627"/>
      <c r="BML24" s="627"/>
      <c r="BMM24" s="627"/>
      <c r="BMN24" s="627"/>
      <c r="BMO24" s="627"/>
      <c r="BMP24" s="627"/>
      <c r="BMQ24" s="627"/>
      <c r="BMR24" s="627"/>
      <c r="BMS24" s="627"/>
      <c r="BMT24" s="627"/>
      <c r="BMU24" s="627"/>
      <c r="BMV24" s="627"/>
      <c r="BMW24" s="627"/>
      <c r="BMX24" s="627"/>
      <c r="BMY24" s="627"/>
      <c r="BMZ24" s="627"/>
      <c r="BNA24" s="627"/>
      <c r="BNB24" s="627"/>
      <c r="BNC24" s="627"/>
      <c r="BND24" s="627"/>
      <c r="BNE24" s="627"/>
      <c r="BNF24" s="627"/>
      <c r="BNG24" s="627"/>
      <c r="BNH24" s="627"/>
      <c r="BNI24" s="627"/>
      <c r="BNJ24" s="627"/>
      <c r="BNK24" s="627"/>
      <c r="BNL24" s="627"/>
      <c r="BNM24" s="627"/>
      <c r="BNN24" s="627"/>
      <c r="BNO24" s="627"/>
      <c r="BNP24" s="627"/>
      <c r="BNQ24" s="627"/>
      <c r="BNR24" s="627"/>
      <c r="BNS24" s="627"/>
      <c r="BNT24" s="627"/>
      <c r="BNU24" s="627"/>
      <c r="BNV24" s="627"/>
      <c r="BNW24" s="627"/>
      <c r="BNX24" s="627"/>
      <c r="BNY24" s="627"/>
      <c r="BNZ24" s="627"/>
      <c r="BOA24" s="627"/>
      <c r="BOB24" s="627"/>
      <c r="BOC24" s="627"/>
      <c r="BOD24" s="627"/>
      <c r="BOE24" s="627"/>
      <c r="BOF24" s="627"/>
      <c r="BOG24" s="627"/>
      <c r="BOH24" s="627"/>
      <c r="BOI24" s="627"/>
      <c r="BOJ24" s="627"/>
      <c r="BOK24" s="627"/>
      <c r="BOL24" s="627"/>
      <c r="BOM24" s="627"/>
      <c r="BON24" s="627"/>
      <c r="BOO24" s="627"/>
      <c r="BOP24" s="627"/>
      <c r="BOQ24" s="627"/>
      <c r="BOR24" s="627"/>
      <c r="BOS24" s="627"/>
      <c r="BOT24" s="627"/>
      <c r="BOU24" s="627"/>
      <c r="BOV24" s="627"/>
      <c r="BOW24" s="627"/>
      <c r="BOX24" s="627"/>
      <c r="BOY24" s="627"/>
      <c r="BOZ24" s="627"/>
      <c r="BPA24" s="627"/>
      <c r="BPB24" s="627"/>
      <c r="BPC24" s="627"/>
      <c r="BPD24" s="627"/>
      <c r="BPE24" s="627"/>
      <c r="BPF24" s="627"/>
      <c r="BPG24" s="627"/>
      <c r="BPH24" s="627"/>
      <c r="BPI24" s="627"/>
      <c r="BPJ24" s="627"/>
      <c r="BPK24" s="627"/>
      <c r="BPL24" s="627"/>
      <c r="BPM24" s="627"/>
      <c r="BPN24" s="627"/>
      <c r="BPO24" s="627"/>
      <c r="BPP24" s="627"/>
      <c r="BPQ24" s="627"/>
      <c r="BPR24" s="627"/>
      <c r="BPS24" s="627"/>
      <c r="BPT24" s="627"/>
      <c r="BPU24" s="627"/>
      <c r="BPV24" s="627"/>
      <c r="BPW24" s="627"/>
      <c r="BPX24" s="627"/>
      <c r="BPY24" s="627"/>
      <c r="BPZ24" s="627"/>
      <c r="BQA24" s="627"/>
      <c r="BQB24" s="627"/>
      <c r="BQC24" s="627"/>
      <c r="BQD24" s="627"/>
      <c r="BQE24" s="627"/>
      <c r="BQF24" s="627"/>
      <c r="BQG24" s="627"/>
      <c r="BQH24" s="627"/>
      <c r="BQI24" s="627"/>
      <c r="BQJ24" s="627"/>
      <c r="BQK24" s="627"/>
      <c r="BQL24" s="627"/>
      <c r="BQM24" s="627"/>
      <c r="BQN24" s="627"/>
      <c r="BQO24" s="627"/>
      <c r="BQP24" s="627"/>
      <c r="BQQ24" s="627"/>
      <c r="BQR24" s="627"/>
      <c r="BQS24" s="627"/>
      <c r="BQT24" s="627"/>
      <c r="BQU24" s="627"/>
      <c r="BQV24" s="627"/>
      <c r="BQW24" s="627"/>
      <c r="BQX24" s="627"/>
      <c r="BQY24" s="627"/>
      <c r="BQZ24" s="627"/>
      <c r="BRA24" s="627"/>
      <c r="BRB24" s="627"/>
      <c r="BRC24" s="627"/>
      <c r="BRD24" s="627"/>
      <c r="BRE24" s="627"/>
      <c r="BRF24" s="627"/>
      <c r="BRG24" s="627"/>
      <c r="BRH24" s="627"/>
      <c r="BRI24" s="627"/>
      <c r="BRJ24" s="627"/>
      <c r="BRK24" s="627"/>
      <c r="BRL24" s="627"/>
      <c r="BRM24" s="627"/>
      <c r="BRN24" s="627"/>
      <c r="BRO24" s="627"/>
      <c r="BRP24" s="627"/>
      <c r="BRQ24" s="627"/>
      <c r="BRR24" s="627"/>
      <c r="BRS24" s="627"/>
      <c r="BRT24" s="627"/>
      <c r="BRU24" s="627"/>
      <c r="BRV24" s="627"/>
      <c r="BRW24" s="627"/>
      <c r="BRX24" s="627"/>
      <c r="BRY24" s="627"/>
      <c r="BRZ24" s="627"/>
      <c r="BSA24" s="627"/>
      <c r="BSB24" s="627"/>
      <c r="BSC24" s="627"/>
      <c r="BSD24" s="627"/>
      <c r="BSE24" s="627"/>
      <c r="BSF24" s="627"/>
      <c r="BSG24" s="627"/>
      <c r="BSH24" s="627"/>
      <c r="BSI24" s="627"/>
      <c r="BSJ24" s="627"/>
      <c r="BSK24" s="627"/>
      <c r="BSL24" s="627"/>
      <c r="BSM24" s="627"/>
      <c r="BSN24" s="627"/>
      <c r="BSO24" s="627"/>
      <c r="BSP24" s="627"/>
      <c r="BSQ24" s="627"/>
      <c r="BSR24" s="627"/>
      <c r="BSS24" s="627"/>
      <c r="BST24" s="627"/>
      <c r="BSU24" s="627"/>
      <c r="BSV24" s="627"/>
      <c r="BSW24" s="627"/>
      <c r="BSX24" s="627"/>
      <c r="BSY24" s="627"/>
      <c r="BSZ24" s="627"/>
      <c r="BTA24" s="627"/>
      <c r="BTB24" s="627"/>
      <c r="BTC24" s="627"/>
      <c r="BTD24" s="627"/>
      <c r="BTE24" s="627"/>
      <c r="BTF24" s="627"/>
      <c r="BTG24" s="627"/>
      <c r="BTH24" s="627"/>
      <c r="BTI24" s="627"/>
      <c r="BTJ24" s="627"/>
      <c r="BTK24" s="627"/>
      <c r="BTL24" s="627"/>
      <c r="BTM24" s="627"/>
      <c r="BTN24" s="627"/>
      <c r="BTO24" s="627"/>
      <c r="BTP24" s="627"/>
      <c r="BTQ24" s="627"/>
      <c r="BTR24" s="627"/>
      <c r="BTS24" s="627"/>
      <c r="BTT24" s="627"/>
      <c r="BTU24" s="627"/>
      <c r="BTV24" s="627"/>
      <c r="BTW24" s="627"/>
      <c r="BTX24" s="627"/>
      <c r="BTY24" s="627"/>
      <c r="BTZ24" s="627"/>
      <c r="BUA24" s="627"/>
      <c r="BUB24" s="627"/>
      <c r="BUC24" s="627"/>
      <c r="BUD24" s="627"/>
      <c r="BUE24" s="627"/>
      <c r="BUF24" s="627"/>
      <c r="BUG24" s="627"/>
      <c r="BUH24" s="627"/>
      <c r="BUI24" s="627"/>
      <c r="BUJ24" s="627"/>
      <c r="BUK24" s="627"/>
      <c r="BUL24" s="627"/>
      <c r="BUM24" s="627"/>
      <c r="BUN24" s="627"/>
      <c r="BUO24" s="627"/>
      <c r="BUP24" s="627"/>
      <c r="BUQ24" s="627"/>
      <c r="BUR24" s="627"/>
      <c r="BUS24" s="627"/>
      <c r="BUT24" s="627"/>
      <c r="BUU24" s="627"/>
      <c r="BUV24" s="627"/>
      <c r="BUW24" s="627"/>
      <c r="BUX24" s="627"/>
      <c r="BUY24" s="627"/>
      <c r="BUZ24" s="627"/>
      <c r="BVA24" s="627"/>
      <c r="BVB24" s="627"/>
      <c r="BVC24" s="627"/>
      <c r="BVD24" s="627"/>
      <c r="BVE24" s="627"/>
      <c r="BVF24" s="627"/>
      <c r="BVG24" s="627"/>
      <c r="BVH24" s="627"/>
      <c r="BVI24" s="627"/>
      <c r="BVJ24" s="627"/>
      <c r="BVK24" s="627"/>
      <c r="BVL24" s="627"/>
      <c r="BVM24" s="627"/>
      <c r="BVN24" s="627"/>
      <c r="BVO24" s="627"/>
      <c r="BVP24" s="627"/>
      <c r="BVQ24" s="627"/>
      <c r="BVR24" s="627"/>
      <c r="BVS24" s="627"/>
      <c r="BVT24" s="627"/>
      <c r="BVU24" s="627"/>
      <c r="BVV24" s="627"/>
      <c r="BVW24" s="627"/>
      <c r="BVX24" s="627"/>
      <c r="BVY24" s="627"/>
      <c r="BVZ24" s="627"/>
      <c r="BWA24" s="627"/>
      <c r="BWB24" s="627"/>
      <c r="BWC24" s="627"/>
      <c r="BWD24" s="627"/>
      <c r="BWE24" s="627"/>
      <c r="BWF24" s="627"/>
      <c r="BWG24" s="627"/>
      <c r="BWH24" s="627"/>
      <c r="BWI24" s="627"/>
      <c r="BWJ24" s="627"/>
      <c r="BWK24" s="627"/>
      <c r="BWL24" s="627"/>
      <c r="BWM24" s="627"/>
      <c r="BWN24" s="627"/>
      <c r="BWO24" s="627"/>
      <c r="BWP24" s="627"/>
      <c r="BWQ24" s="627"/>
      <c r="BWR24" s="627"/>
      <c r="BWS24" s="627"/>
      <c r="BWT24" s="627"/>
      <c r="BWU24" s="627"/>
      <c r="BWV24" s="627"/>
      <c r="BWW24" s="627"/>
      <c r="BWX24" s="627"/>
      <c r="BWY24" s="627"/>
      <c r="BWZ24" s="627"/>
      <c r="BXA24" s="627"/>
      <c r="BXB24" s="627"/>
      <c r="BXC24" s="627"/>
      <c r="BXD24" s="627"/>
      <c r="BXE24" s="627"/>
      <c r="BXF24" s="627"/>
      <c r="BXG24" s="627"/>
      <c r="BXH24" s="627"/>
      <c r="BXI24" s="627"/>
      <c r="BXJ24" s="627"/>
      <c r="BXK24" s="627"/>
    </row>
    <row r="25" spans="1:1987" s="3136" customFormat="1" ht="30" customHeight="1" x14ac:dyDescent="0.3">
      <c r="A25" s="2829" t="s">
        <v>4803</v>
      </c>
      <c r="B25" s="3133">
        <v>5708.9952306199039</v>
      </c>
      <c r="C25" s="3133">
        <v>14098.70115739293</v>
      </c>
      <c r="D25" s="3134">
        <v>19807.696388012831</v>
      </c>
      <c r="E25" s="627"/>
      <c r="F25" s="2595"/>
      <c r="G25" s="3127"/>
      <c r="H25" s="2595"/>
      <c r="I25" s="2854"/>
      <c r="J25" s="691"/>
      <c r="K25" s="691"/>
      <c r="L25" s="627"/>
      <c r="M25" s="627"/>
      <c r="N25" s="627"/>
      <c r="O25" s="627"/>
      <c r="P25" s="627"/>
      <c r="Q25" s="627"/>
      <c r="R25" s="627"/>
      <c r="S25" s="627"/>
      <c r="T25" s="627"/>
      <c r="U25" s="627"/>
      <c r="V25" s="627"/>
      <c r="W25" s="627"/>
      <c r="X25" s="627"/>
      <c r="Y25" s="627"/>
      <c r="Z25" s="627"/>
      <c r="AA25" s="627"/>
      <c r="AB25" s="627"/>
      <c r="AC25" s="627"/>
      <c r="AD25" s="627"/>
      <c r="AE25" s="627"/>
      <c r="AF25" s="627"/>
      <c r="AG25" s="627"/>
      <c r="AH25" s="627"/>
      <c r="AI25" s="627"/>
      <c r="AJ25" s="627"/>
      <c r="AK25" s="627"/>
      <c r="AL25" s="627"/>
      <c r="AM25" s="627"/>
      <c r="AN25" s="627"/>
      <c r="AO25" s="627"/>
      <c r="AP25" s="627"/>
      <c r="AQ25" s="627"/>
      <c r="AR25" s="627"/>
      <c r="AS25" s="627"/>
      <c r="AT25" s="627"/>
      <c r="AU25" s="627"/>
      <c r="AV25" s="627"/>
      <c r="AW25" s="627"/>
      <c r="AX25" s="627"/>
      <c r="AY25" s="627"/>
      <c r="AZ25" s="627"/>
      <c r="BA25" s="627"/>
      <c r="BB25" s="627"/>
      <c r="BC25" s="627"/>
      <c r="BD25" s="627"/>
      <c r="BE25" s="627"/>
      <c r="BF25" s="627"/>
      <c r="BG25" s="627"/>
      <c r="BH25" s="627"/>
      <c r="BI25" s="627"/>
      <c r="BJ25" s="627"/>
      <c r="BK25" s="627"/>
      <c r="BL25" s="627"/>
      <c r="BM25" s="627"/>
      <c r="BN25" s="627"/>
      <c r="BO25" s="627"/>
      <c r="BP25" s="627"/>
      <c r="BQ25" s="627"/>
      <c r="BR25" s="627"/>
      <c r="BS25" s="627"/>
      <c r="BT25" s="627"/>
      <c r="BU25" s="627"/>
      <c r="BV25" s="627"/>
      <c r="BW25" s="627"/>
      <c r="BX25" s="627"/>
      <c r="BY25" s="627"/>
      <c r="BZ25" s="627"/>
      <c r="CA25" s="627"/>
      <c r="CB25" s="627"/>
      <c r="CC25" s="627"/>
      <c r="CD25" s="627"/>
      <c r="CE25" s="627"/>
      <c r="CF25" s="627"/>
      <c r="CG25" s="627"/>
      <c r="CH25" s="627"/>
      <c r="CI25" s="627"/>
      <c r="CJ25" s="627"/>
      <c r="CK25" s="627"/>
      <c r="CL25" s="627"/>
      <c r="CM25" s="627"/>
      <c r="CN25" s="627"/>
      <c r="CO25" s="627"/>
      <c r="CP25" s="627"/>
      <c r="CQ25" s="627"/>
      <c r="CR25" s="627"/>
      <c r="CS25" s="627"/>
      <c r="CT25" s="627"/>
      <c r="CU25" s="627"/>
      <c r="CV25" s="627"/>
      <c r="CW25" s="627"/>
      <c r="CX25" s="627"/>
      <c r="CY25" s="627"/>
      <c r="CZ25" s="627"/>
      <c r="DA25" s="627"/>
      <c r="DB25" s="627"/>
      <c r="DC25" s="627"/>
      <c r="DD25" s="627"/>
      <c r="DE25" s="627"/>
      <c r="DF25" s="627"/>
      <c r="DG25" s="627"/>
      <c r="DH25" s="627"/>
      <c r="DI25" s="627"/>
      <c r="DJ25" s="627"/>
      <c r="DK25" s="627"/>
      <c r="DL25" s="627"/>
      <c r="DM25" s="627"/>
      <c r="DN25" s="627"/>
      <c r="DO25" s="627"/>
      <c r="DP25" s="627"/>
      <c r="DQ25" s="627"/>
      <c r="DR25" s="627"/>
      <c r="DS25" s="627"/>
      <c r="DT25" s="627"/>
      <c r="DU25" s="627"/>
      <c r="DV25" s="627"/>
      <c r="DW25" s="627"/>
      <c r="DX25" s="627"/>
      <c r="DY25" s="627"/>
      <c r="DZ25" s="627"/>
      <c r="EA25" s="627"/>
      <c r="EB25" s="627"/>
      <c r="EC25" s="627"/>
      <c r="ED25" s="627"/>
      <c r="EE25" s="627"/>
      <c r="EF25" s="627"/>
      <c r="EG25" s="627"/>
      <c r="EH25" s="627"/>
      <c r="EI25" s="627"/>
      <c r="EJ25" s="627"/>
      <c r="EK25" s="627"/>
      <c r="EL25" s="627"/>
      <c r="EM25" s="627"/>
      <c r="EN25" s="627"/>
      <c r="EO25" s="627"/>
      <c r="EP25" s="627"/>
      <c r="EQ25" s="627"/>
      <c r="ER25" s="627"/>
      <c r="ES25" s="627"/>
      <c r="ET25" s="627"/>
      <c r="EU25" s="627"/>
      <c r="EV25" s="627"/>
      <c r="EW25" s="627"/>
      <c r="EX25" s="627"/>
      <c r="EY25" s="627"/>
      <c r="EZ25" s="627"/>
      <c r="FA25" s="627"/>
      <c r="FB25" s="627"/>
      <c r="FC25" s="627"/>
      <c r="FD25" s="627"/>
      <c r="FE25" s="627"/>
      <c r="FF25" s="627"/>
      <c r="FG25" s="627"/>
      <c r="FH25" s="627"/>
      <c r="FI25" s="627"/>
      <c r="FJ25" s="627"/>
      <c r="FK25" s="627"/>
      <c r="FL25" s="627"/>
      <c r="FM25" s="627"/>
      <c r="FN25" s="627"/>
      <c r="FO25" s="627"/>
      <c r="FP25" s="627"/>
      <c r="FQ25" s="627"/>
      <c r="FR25" s="627"/>
      <c r="FS25" s="627"/>
      <c r="FT25" s="627"/>
      <c r="FU25" s="627"/>
      <c r="FV25" s="627"/>
      <c r="FW25" s="627"/>
      <c r="FX25" s="627"/>
      <c r="FY25" s="627"/>
      <c r="FZ25" s="627"/>
      <c r="GA25" s="627"/>
      <c r="GB25" s="627"/>
      <c r="GC25" s="627"/>
      <c r="GD25" s="627"/>
      <c r="GE25" s="627"/>
      <c r="GF25" s="627"/>
      <c r="GG25" s="627"/>
      <c r="GH25" s="627"/>
      <c r="GI25" s="627"/>
      <c r="GJ25" s="627"/>
      <c r="GK25" s="627"/>
      <c r="GL25" s="627"/>
      <c r="GM25" s="627"/>
      <c r="GN25" s="627"/>
      <c r="GO25" s="627"/>
      <c r="GP25" s="627"/>
      <c r="GQ25" s="627"/>
      <c r="GR25" s="627"/>
      <c r="GS25" s="627"/>
      <c r="GT25" s="627"/>
      <c r="GU25" s="627"/>
      <c r="GV25" s="627"/>
      <c r="GW25" s="627"/>
      <c r="GX25" s="627"/>
      <c r="GY25" s="627"/>
      <c r="GZ25" s="627"/>
      <c r="HA25" s="627"/>
      <c r="HB25" s="627"/>
      <c r="HC25" s="627"/>
      <c r="HD25" s="627"/>
      <c r="HE25" s="627"/>
      <c r="HF25" s="627"/>
      <c r="HG25" s="627"/>
      <c r="HH25" s="627"/>
      <c r="HI25" s="627"/>
      <c r="HJ25" s="627"/>
      <c r="HK25" s="627"/>
      <c r="HL25" s="627"/>
      <c r="HM25" s="627"/>
      <c r="HN25" s="627"/>
      <c r="HO25" s="627"/>
      <c r="HP25" s="627"/>
      <c r="HQ25" s="627"/>
      <c r="HR25" s="627"/>
      <c r="HS25" s="627"/>
      <c r="HT25" s="627"/>
      <c r="HU25" s="627"/>
      <c r="HV25" s="627"/>
      <c r="HW25" s="627"/>
      <c r="HX25" s="627"/>
      <c r="HY25" s="627"/>
      <c r="HZ25" s="627"/>
      <c r="IA25" s="627"/>
      <c r="IB25" s="627"/>
      <c r="IC25" s="627"/>
      <c r="ID25" s="627"/>
      <c r="IE25" s="627"/>
      <c r="IF25" s="627"/>
      <c r="IG25" s="627"/>
      <c r="IH25" s="627"/>
      <c r="II25" s="627"/>
      <c r="IJ25" s="627"/>
      <c r="IK25" s="627"/>
      <c r="IL25" s="627"/>
      <c r="IM25" s="627"/>
      <c r="IN25" s="627"/>
      <c r="IO25" s="627"/>
      <c r="IP25" s="627"/>
      <c r="IQ25" s="627"/>
      <c r="IR25" s="627"/>
      <c r="IS25" s="627"/>
      <c r="IT25" s="627"/>
      <c r="IU25" s="627"/>
      <c r="IV25" s="627"/>
      <c r="IW25" s="627"/>
      <c r="IX25" s="627"/>
      <c r="IY25" s="627"/>
      <c r="IZ25" s="627"/>
      <c r="JA25" s="627"/>
      <c r="JB25" s="627"/>
      <c r="JC25" s="627"/>
      <c r="JD25" s="627"/>
      <c r="JE25" s="627"/>
      <c r="JF25" s="627"/>
      <c r="JG25" s="627"/>
      <c r="JH25" s="627"/>
      <c r="JI25" s="627"/>
      <c r="JJ25" s="627"/>
      <c r="JK25" s="627"/>
      <c r="JL25" s="627"/>
      <c r="JM25" s="627"/>
      <c r="JN25" s="627"/>
      <c r="JO25" s="627"/>
      <c r="JP25" s="627"/>
      <c r="JQ25" s="627"/>
      <c r="JR25" s="627"/>
      <c r="JS25" s="627"/>
      <c r="JT25" s="627"/>
      <c r="JU25" s="627"/>
      <c r="JV25" s="627"/>
      <c r="JW25" s="627"/>
      <c r="JX25" s="627"/>
      <c r="JY25" s="627"/>
      <c r="JZ25" s="627"/>
      <c r="KA25" s="627"/>
      <c r="KB25" s="627"/>
      <c r="KC25" s="627"/>
      <c r="KD25" s="627"/>
      <c r="KE25" s="627"/>
      <c r="KF25" s="627"/>
      <c r="KG25" s="627"/>
      <c r="KH25" s="627"/>
      <c r="KI25" s="627"/>
      <c r="KJ25" s="627"/>
      <c r="KK25" s="627"/>
      <c r="KL25" s="627"/>
      <c r="KM25" s="627"/>
      <c r="KN25" s="627"/>
      <c r="KO25" s="627"/>
      <c r="KP25" s="627"/>
      <c r="KQ25" s="627"/>
      <c r="KR25" s="627"/>
      <c r="KS25" s="627"/>
      <c r="KT25" s="627"/>
      <c r="KU25" s="627"/>
      <c r="KV25" s="627"/>
      <c r="KW25" s="627"/>
      <c r="KX25" s="627"/>
      <c r="KY25" s="627"/>
      <c r="KZ25" s="627"/>
      <c r="LA25" s="627"/>
      <c r="LB25" s="627"/>
      <c r="LC25" s="627"/>
      <c r="LD25" s="627"/>
      <c r="LE25" s="627"/>
      <c r="LF25" s="627"/>
      <c r="LG25" s="627"/>
      <c r="LH25" s="627"/>
      <c r="LI25" s="627"/>
      <c r="LJ25" s="627"/>
      <c r="LK25" s="627"/>
      <c r="LL25" s="627"/>
      <c r="LM25" s="627"/>
      <c r="LN25" s="627"/>
      <c r="LO25" s="627"/>
      <c r="LP25" s="627"/>
      <c r="LQ25" s="627"/>
      <c r="LR25" s="627"/>
      <c r="LS25" s="627"/>
      <c r="LT25" s="627"/>
      <c r="LU25" s="627"/>
      <c r="LV25" s="627"/>
      <c r="LW25" s="627"/>
      <c r="LX25" s="627"/>
      <c r="LY25" s="627"/>
      <c r="LZ25" s="627"/>
      <c r="MA25" s="627"/>
      <c r="MB25" s="627"/>
      <c r="MC25" s="627"/>
      <c r="MD25" s="627"/>
      <c r="ME25" s="627"/>
      <c r="MF25" s="627"/>
      <c r="MG25" s="627"/>
      <c r="MH25" s="627"/>
      <c r="MI25" s="627"/>
      <c r="MJ25" s="627"/>
      <c r="MK25" s="627"/>
      <c r="ML25" s="627"/>
      <c r="MM25" s="627"/>
      <c r="MN25" s="627"/>
      <c r="MO25" s="627"/>
      <c r="MP25" s="627"/>
      <c r="MQ25" s="627"/>
      <c r="MR25" s="627"/>
      <c r="MS25" s="627"/>
      <c r="MT25" s="627"/>
      <c r="MU25" s="627"/>
      <c r="MV25" s="627"/>
      <c r="MW25" s="627"/>
      <c r="MX25" s="627"/>
      <c r="MY25" s="627"/>
      <c r="MZ25" s="627"/>
      <c r="NA25" s="627"/>
      <c r="NB25" s="627"/>
      <c r="NC25" s="627"/>
      <c r="ND25" s="627"/>
      <c r="NE25" s="627"/>
      <c r="NF25" s="627"/>
      <c r="NG25" s="627"/>
      <c r="NH25" s="627"/>
      <c r="NI25" s="627"/>
      <c r="NJ25" s="627"/>
      <c r="NK25" s="627"/>
      <c r="NL25" s="627"/>
      <c r="NM25" s="627"/>
      <c r="NN25" s="627"/>
      <c r="NO25" s="627"/>
      <c r="NP25" s="627"/>
      <c r="NQ25" s="627"/>
      <c r="NR25" s="627"/>
      <c r="NS25" s="627"/>
      <c r="NT25" s="627"/>
      <c r="NU25" s="627"/>
      <c r="NV25" s="627"/>
      <c r="NW25" s="627"/>
      <c r="NX25" s="627"/>
      <c r="NY25" s="627"/>
      <c r="NZ25" s="627"/>
      <c r="OA25" s="627"/>
      <c r="OB25" s="627"/>
      <c r="OC25" s="627"/>
      <c r="OD25" s="627"/>
      <c r="OE25" s="627"/>
      <c r="OF25" s="627"/>
      <c r="OG25" s="627"/>
      <c r="OH25" s="627"/>
      <c r="OI25" s="627"/>
      <c r="OJ25" s="627"/>
      <c r="OK25" s="627"/>
      <c r="OL25" s="627"/>
      <c r="OM25" s="627"/>
      <c r="ON25" s="627"/>
      <c r="OO25" s="627"/>
      <c r="OP25" s="627"/>
      <c r="OQ25" s="627"/>
      <c r="OR25" s="627"/>
      <c r="OS25" s="627"/>
      <c r="OT25" s="627"/>
      <c r="OU25" s="627"/>
      <c r="OV25" s="627"/>
      <c r="OW25" s="627"/>
      <c r="OX25" s="627"/>
      <c r="OY25" s="627"/>
      <c r="OZ25" s="627"/>
      <c r="PA25" s="627"/>
      <c r="PB25" s="627"/>
      <c r="PC25" s="627"/>
      <c r="PD25" s="627"/>
      <c r="PE25" s="627"/>
      <c r="PF25" s="627"/>
      <c r="PG25" s="627"/>
      <c r="PH25" s="627"/>
      <c r="PI25" s="627"/>
      <c r="PJ25" s="627"/>
      <c r="PK25" s="627"/>
      <c r="PL25" s="627"/>
      <c r="PM25" s="627"/>
      <c r="PN25" s="627"/>
      <c r="PO25" s="627"/>
      <c r="PP25" s="627"/>
      <c r="PQ25" s="627"/>
      <c r="PR25" s="627"/>
      <c r="PS25" s="627"/>
      <c r="PT25" s="627"/>
      <c r="PU25" s="627"/>
      <c r="PV25" s="627"/>
      <c r="PW25" s="627"/>
      <c r="PX25" s="627"/>
      <c r="PY25" s="627"/>
      <c r="PZ25" s="627"/>
      <c r="QA25" s="627"/>
      <c r="QB25" s="627"/>
      <c r="QC25" s="627"/>
      <c r="QD25" s="627"/>
      <c r="QE25" s="627"/>
      <c r="QF25" s="627"/>
      <c r="QG25" s="627"/>
      <c r="QH25" s="627"/>
      <c r="QI25" s="627"/>
      <c r="QJ25" s="627"/>
      <c r="QK25" s="627"/>
      <c r="QL25" s="627"/>
      <c r="QM25" s="627"/>
      <c r="QN25" s="627"/>
      <c r="QO25" s="627"/>
      <c r="QP25" s="627"/>
      <c r="QQ25" s="627"/>
      <c r="QR25" s="627"/>
      <c r="QS25" s="627"/>
      <c r="QT25" s="627"/>
      <c r="QU25" s="627"/>
      <c r="QV25" s="627"/>
      <c r="QW25" s="627"/>
      <c r="QX25" s="627"/>
      <c r="QY25" s="627"/>
      <c r="QZ25" s="627"/>
      <c r="RA25" s="627"/>
      <c r="RB25" s="627"/>
      <c r="RC25" s="627"/>
      <c r="RD25" s="627"/>
      <c r="RE25" s="627"/>
      <c r="RF25" s="627"/>
      <c r="RG25" s="627"/>
      <c r="RH25" s="627"/>
      <c r="RI25" s="627"/>
      <c r="RJ25" s="627"/>
      <c r="RK25" s="627"/>
      <c r="RL25" s="627"/>
      <c r="RM25" s="627"/>
      <c r="RN25" s="627"/>
      <c r="RO25" s="627"/>
      <c r="RP25" s="627"/>
      <c r="RQ25" s="627"/>
      <c r="RR25" s="627"/>
      <c r="RS25" s="627"/>
      <c r="RT25" s="627"/>
      <c r="RU25" s="627"/>
      <c r="RV25" s="627"/>
      <c r="RW25" s="627"/>
      <c r="RX25" s="627"/>
      <c r="RY25" s="627"/>
      <c r="RZ25" s="627"/>
      <c r="SA25" s="627"/>
      <c r="SB25" s="627"/>
      <c r="SC25" s="627"/>
      <c r="SD25" s="627"/>
      <c r="SE25" s="627"/>
      <c r="SF25" s="627"/>
      <c r="SG25" s="627"/>
      <c r="SH25" s="627"/>
      <c r="SI25" s="627"/>
      <c r="SJ25" s="627"/>
      <c r="SK25" s="627"/>
      <c r="SL25" s="627"/>
      <c r="SM25" s="627"/>
      <c r="SN25" s="627"/>
      <c r="SO25" s="627"/>
      <c r="SP25" s="627"/>
      <c r="SQ25" s="627"/>
      <c r="SR25" s="627"/>
      <c r="SS25" s="627"/>
      <c r="ST25" s="627"/>
      <c r="SU25" s="627"/>
      <c r="SV25" s="627"/>
      <c r="SW25" s="627"/>
      <c r="SX25" s="627"/>
      <c r="SY25" s="627"/>
      <c r="SZ25" s="627"/>
      <c r="TA25" s="627"/>
      <c r="TB25" s="627"/>
      <c r="TC25" s="627"/>
      <c r="TD25" s="627"/>
      <c r="TE25" s="627"/>
      <c r="TF25" s="627"/>
      <c r="TG25" s="627"/>
      <c r="TH25" s="627"/>
      <c r="TI25" s="627"/>
      <c r="TJ25" s="627"/>
      <c r="TK25" s="627"/>
      <c r="TL25" s="627"/>
      <c r="TM25" s="627"/>
      <c r="TN25" s="627"/>
      <c r="TO25" s="627"/>
      <c r="TP25" s="627"/>
      <c r="TQ25" s="627"/>
      <c r="TR25" s="627"/>
      <c r="TS25" s="627"/>
      <c r="TT25" s="627"/>
      <c r="TU25" s="627"/>
      <c r="TV25" s="627"/>
      <c r="TW25" s="627"/>
      <c r="TX25" s="627"/>
      <c r="TY25" s="627"/>
      <c r="TZ25" s="627"/>
      <c r="UA25" s="627"/>
      <c r="UB25" s="627"/>
      <c r="UC25" s="627"/>
      <c r="UD25" s="627"/>
      <c r="UE25" s="627"/>
      <c r="UF25" s="627"/>
      <c r="UG25" s="627"/>
      <c r="UH25" s="627"/>
      <c r="UI25" s="627"/>
      <c r="UJ25" s="627"/>
      <c r="UK25" s="627"/>
      <c r="UL25" s="627"/>
      <c r="UM25" s="627"/>
      <c r="UN25" s="627"/>
      <c r="UO25" s="627"/>
      <c r="UP25" s="627"/>
      <c r="UQ25" s="627"/>
      <c r="UR25" s="627"/>
      <c r="US25" s="627"/>
      <c r="UT25" s="627"/>
      <c r="UU25" s="627"/>
      <c r="UV25" s="627"/>
      <c r="UW25" s="627"/>
      <c r="UX25" s="627"/>
      <c r="UY25" s="627"/>
      <c r="UZ25" s="627"/>
      <c r="VA25" s="627"/>
      <c r="VB25" s="627"/>
      <c r="VC25" s="627"/>
      <c r="VD25" s="627"/>
      <c r="VE25" s="627"/>
      <c r="VF25" s="627"/>
      <c r="VG25" s="627"/>
      <c r="VH25" s="627"/>
      <c r="VI25" s="627"/>
      <c r="VJ25" s="627"/>
      <c r="VK25" s="627"/>
      <c r="VL25" s="627"/>
      <c r="VM25" s="627"/>
      <c r="VN25" s="627"/>
      <c r="VO25" s="627"/>
      <c r="VP25" s="627"/>
      <c r="VQ25" s="627"/>
      <c r="VR25" s="627"/>
      <c r="VS25" s="627"/>
      <c r="VT25" s="627"/>
      <c r="VU25" s="627"/>
      <c r="VV25" s="627"/>
      <c r="VW25" s="627"/>
      <c r="VX25" s="627"/>
      <c r="VY25" s="627"/>
      <c r="VZ25" s="627"/>
      <c r="WA25" s="627"/>
      <c r="WB25" s="627"/>
      <c r="WC25" s="627"/>
      <c r="WD25" s="627"/>
      <c r="WE25" s="627"/>
      <c r="WF25" s="627"/>
      <c r="WG25" s="627"/>
      <c r="WH25" s="627"/>
      <c r="WI25" s="627"/>
      <c r="WJ25" s="627"/>
      <c r="WK25" s="627"/>
      <c r="WL25" s="627"/>
      <c r="WM25" s="627"/>
      <c r="WN25" s="627"/>
      <c r="WO25" s="627"/>
      <c r="WP25" s="627"/>
      <c r="WQ25" s="627"/>
      <c r="WR25" s="627"/>
      <c r="WS25" s="627"/>
      <c r="WT25" s="627"/>
      <c r="WU25" s="627"/>
      <c r="WV25" s="627"/>
      <c r="WW25" s="627"/>
      <c r="WX25" s="627"/>
      <c r="WY25" s="627"/>
      <c r="WZ25" s="627"/>
      <c r="XA25" s="627"/>
      <c r="XB25" s="627"/>
      <c r="XC25" s="627"/>
      <c r="XD25" s="627"/>
      <c r="XE25" s="627"/>
      <c r="XF25" s="627"/>
      <c r="XG25" s="627"/>
      <c r="XH25" s="627"/>
      <c r="XI25" s="627"/>
      <c r="XJ25" s="627"/>
      <c r="XK25" s="627"/>
      <c r="XL25" s="627"/>
      <c r="XM25" s="627"/>
      <c r="XN25" s="627"/>
      <c r="XO25" s="627"/>
      <c r="XP25" s="627"/>
      <c r="XQ25" s="627"/>
      <c r="XR25" s="627"/>
      <c r="XS25" s="627"/>
      <c r="XT25" s="627"/>
      <c r="XU25" s="627"/>
      <c r="XV25" s="627"/>
      <c r="XW25" s="627"/>
      <c r="XX25" s="627"/>
      <c r="XY25" s="627"/>
      <c r="XZ25" s="627"/>
      <c r="YA25" s="627"/>
      <c r="YB25" s="627"/>
      <c r="YC25" s="627"/>
      <c r="YD25" s="627"/>
      <c r="YE25" s="627"/>
      <c r="YF25" s="627"/>
      <c r="YG25" s="627"/>
      <c r="YH25" s="627"/>
      <c r="YI25" s="627"/>
      <c r="YJ25" s="627"/>
      <c r="YK25" s="627"/>
      <c r="YL25" s="627"/>
      <c r="YM25" s="627"/>
      <c r="YN25" s="627"/>
      <c r="YO25" s="627"/>
      <c r="YP25" s="627"/>
      <c r="YQ25" s="627"/>
      <c r="YR25" s="627"/>
      <c r="YS25" s="627"/>
      <c r="YT25" s="627"/>
      <c r="YU25" s="627"/>
      <c r="YV25" s="627"/>
      <c r="YW25" s="627"/>
      <c r="YX25" s="627"/>
      <c r="YY25" s="627"/>
      <c r="YZ25" s="627"/>
      <c r="ZA25" s="627"/>
      <c r="ZB25" s="627"/>
      <c r="ZC25" s="627"/>
      <c r="ZD25" s="627"/>
      <c r="ZE25" s="627"/>
      <c r="ZF25" s="627"/>
      <c r="ZG25" s="627"/>
      <c r="ZH25" s="627"/>
      <c r="ZI25" s="627"/>
      <c r="ZJ25" s="627"/>
      <c r="ZK25" s="627"/>
      <c r="ZL25" s="627"/>
      <c r="ZM25" s="627"/>
      <c r="ZN25" s="627"/>
      <c r="ZO25" s="627"/>
      <c r="ZP25" s="627"/>
      <c r="ZQ25" s="627"/>
      <c r="ZR25" s="627"/>
      <c r="ZS25" s="627"/>
      <c r="ZT25" s="627"/>
      <c r="ZU25" s="627"/>
      <c r="ZV25" s="627"/>
      <c r="ZW25" s="627"/>
      <c r="ZX25" s="627"/>
      <c r="ZY25" s="627"/>
      <c r="ZZ25" s="627"/>
      <c r="AAA25" s="627"/>
      <c r="AAB25" s="627"/>
      <c r="AAC25" s="627"/>
      <c r="AAD25" s="627"/>
      <c r="AAE25" s="627"/>
      <c r="AAF25" s="627"/>
      <c r="AAG25" s="627"/>
      <c r="AAH25" s="627"/>
      <c r="AAI25" s="627"/>
      <c r="AAJ25" s="627"/>
      <c r="AAK25" s="627"/>
      <c r="AAL25" s="627"/>
      <c r="AAM25" s="627"/>
      <c r="AAN25" s="627"/>
      <c r="AAO25" s="627"/>
      <c r="AAP25" s="627"/>
      <c r="AAQ25" s="627"/>
      <c r="AAR25" s="627"/>
      <c r="AAS25" s="627"/>
      <c r="AAT25" s="627"/>
      <c r="AAU25" s="627"/>
      <c r="AAV25" s="627"/>
      <c r="AAW25" s="627"/>
      <c r="AAX25" s="627"/>
      <c r="AAY25" s="627"/>
      <c r="AAZ25" s="627"/>
      <c r="ABA25" s="627"/>
      <c r="ABB25" s="627"/>
      <c r="ABC25" s="627"/>
      <c r="ABD25" s="627"/>
      <c r="ABE25" s="627"/>
      <c r="ABF25" s="627"/>
      <c r="ABG25" s="627"/>
      <c r="ABH25" s="627"/>
      <c r="ABI25" s="627"/>
      <c r="ABJ25" s="627"/>
      <c r="ABK25" s="627"/>
      <c r="ABL25" s="627"/>
      <c r="ABM25" s="627"/>
      <c r="ABN25" s="627"/>
      <c r="ABO25" s="627"/>
      <c r="ABP25" s="627"/>
      <c r="ABQ25" s="627"/>
      <c r="ABR25" s="627"/>
      <c r="ABS25" s="627"/>
      <c r="ABT25" s="627"/>
      <c r="ABU25" s="627"/>
      <c r="ABV25" s="627"/>
      <c r="ABW25" s="627"/>
      <c r="ABX25" s="627"/>
      <c r="ABY25" s="627"/>
      <c r="ABZ25" s="627"/>
      <c r="ACA25" s="627"/>
      <c r="ACB25" s="627"/>
      <c r="ACC25" s="627"/>
      <c r="ACD25" s="627"/>
      <c r="ACE25" s="627"/>
      <c r="ACF25" s="627"/>
      <c r="ACG25" s="627"/>
      <c r="ACH25" s="627"/>
      <c r="ACI25" s="627"/>
      <c r="ACJ25" s="627"/>
      <c r="ACK25" s="627"/>
      <c r="ACL25" s="627"/>
      <c r="ACM25" s="627"/>
      <c r="ACN25" s="627"/>
      <c r="ACO25" s="627"/>
      <c r="ACP25" s="627"/>
      <c r="ACQ25" s="627"/>
      <c r="ACR25" s="627"/>
      <c r="ACS25" s="627"/>
      <c r="ACT25" s="627"/>
      <c r="ACU25" s="627"/>
      <c r="ACV25" s="627"/>
      <c r="ACW25" s="627"/>
      <c r="ACX25" s="627"/>
      <c r="ACY25" s="627"/>
      <c r="ACZ25" s="627"/>
      <c r="ADA25" s="627"/>
      <c r="ADB25" s="627"/>
      <c r="ADC25" s="627"/>
      <c r="ADD25" s="627"/>
      <c r="ADE25" s="627"/>
      <c r="ADF25" s="627"/>
      <c r="ADG25" s="627"/>
      <c r="ADH25" s="627"/>
      <c r="ADI25" s="627"/>
      <c r="ADJ25" s="627"/>
      <c r="ADK25" s="627"/>
      <c r="ADL25" s="627"/>
      <c r="ADM25" s="627"/>
      <c r="ADN25" s="627"/>
      <c r="ADO25" s="627"/>
      <c r="ADP25" s="627"/>
      <c r="ADQ25" s="627"/>
      <c r="ADR25" s="627"/>
      <c r="ADS25" s="627"/>
      <c r="ADT25" s="627"/>
      <c r="ADU25" s="627"/>
      <c r="ADV25" s="627"/>
      <c r="ADW25" s="627"/>
      <c r="ADX25" s="627"/>
      <c r="ADY25" s="627"/>
      <c r="ADZ25" s="627"/>
      <c r="AEA25" s="627"/>
      <c r="AEB25" s="627"/>
      <c r="AEC25" s="627"/>
      <c r="AED25" s="627"/>
      <c r="AEE25" s="627"/>
      <c r="AEF25" s="627"/>
      <c r="AEG25" s="627"/>
      <c r="AEH25" s="627"/>
      <c r="AEI25" s="627"/>
      <c r="AEJ25" s="627"/>
      <c r="AEK25" s="627"/>
      <c r="AEL25" s="627"/>
      <c r="AEM25" s="627"/>
      <c r="AEN25" s="627"/>
      <c r="AEO25" s="627"/>
      <c r="AEP25" s="627"/>
      <c r="AEQ25" s="627"/>
      <c r="AER25" s="627"/>
      <c r="AES25" s="627"/>
      <c r="AET25" s="627"/>
      <c r="AEU25" s="627"/>
      <c r="AEV25" s="627"/>
      <c r="AEW25" s="627"/>
      <c r="AEX25" s="627"/>
      <c r="AEY25" s="627"/>
      <c r="AEZ25" s="627"/>
      <c r="AFA25" s="627"/>
      <c r="AFB25" s="627"/>
      <c r="AFC25" s="627"/>
      <c r="AFD25" s="627"/>
      <c r="AFE25" s="627"/>
      <c r="AFF25" s="627"/>
      <c r="AFG25" s="627"/>
      <c r="AFH25" s="627"/>
      <c r="AFI25" s="627"/>
      <c r="AFJ25" s="627"/>
      <c r="AFK25" s="627"/>
      <c r="AFL25" s="627"/>
      <c r="AFM25" s="627"/>
      <c r="AFN25" s="627"/>
      <c r="AFO25" s="627"/>
      <c r="AFP25" s="627"/>
      <c r="AFQ25" s="627"/>
      <c r="AFR25" s="627"/>
      <c r="AFS25" s="627"/>
      <c r="AFT25" s="627"/>
      <c r="AFU25" s="627"/>
      <c r="AFV25" s="627"/>
      <c r="AFW25" s="627"/>
      <c r="AFX25" s="627"/>
      <c r="AFY25" s="627"/>
      <c r="AFZ25" s="627"/>
      <c r="AGA25" s="627"/>
      <c r="AGB25" s="627"/>
      <c r="AGC25" s="627"/>
      <c r="AGD25" s="627"/>
      <c r="AGE25" s="627"/>
      <c r="AGF25" s="627"/>
      <c r="AGG25" s="627"/>
      <c r="AGH25" s="627"/>
      <c r="AGI25" s="627"/>
      <c r="AGJ25" s="627"/>
      <c r="AGK25" s="627"/>
      <c r="AGL25" s="627"/>
      <c r="AGM25" s="627"/>
      <c r="AGN25" s="627"/>
      <c r="AGO25" s="627"/>
      <c r="AGP25" s="627"/>
      <c r="AGQ25" s="627"/>
      <c r="AGR25" s="627"/>
      <c r="AGS25" s="627"/>
      <c r="AGT25" s="627"/>
      <c r="AGU25" s="627"/>
      <c r="AGV25" s="627"/>
      <c r="AGW25" s="627"/>
      <c r="AGX25" s="627"/>
      <c r="AGY25" s="627"/>
      <c r="AGZ25" s="627"/>
      <c r="AHA25" s="627"/>
      <c r="AHB25" s="627"/>
      <c r="AHC25" s="627"/>
      <c r="AHD25" s="627"/>
      <c r="AHE25" s="627"/>
      <c r="AHF25" s="627"/>
      <c r="AHG25" s="627"/>
      <c r="AHH25" s="627"/>
      <c r="AHI25" s="627"/>
      <c r="AHJ25" s="627"/>
      <c r="AHK25" s="627"/>
      <c r="AHL25" s="627"/>
      <c r="AHM25" s="627"/>
      <c r="AHN25" s="627"/>
      <c r="AHO25" s="627"/>
      <c r="AHP25" s="627"/>
      <c r="AHQ25" s="627"/>
      <c r="AHR25" s="627"/>
      <c r="AHS25" s="627"/>
      <c r="AHT25" s="627"/>
      <c r="AHU25" s="627"/>
      <c r="AHV25" s="627"/>
      <c r="AHW25" s="627"/>
      <c r="AHX25" s="627"/>
      <c r="AHY25" s="627"/>
      <c r="AHZ25" s="627"/>
      <c r="AIA25" s="627"/>
      <c r="AIB25" s="627"/>
      <c r="AIC25" s="627"/>
      <c r="AID25" s="627"/>
      <c r="AIE25" s="627"/>
      <c r="AIF25" s="627"/>
      <c r="AIG25" s="627"/>
      <c r="AIH25" s="627"/>
      <c r="AII25" s="627"/>
      <c r="AIJ25" s="627"/>
      <c r="AIK25" s="627"/>
      <c r="AIL25" s="627"/>
      <c r="AIM25" s="627"/>
      <c r="AIN25" s="627"/>
      <c r="AIO25" s="627"/>
      <c r="AIP25" s="627"/>
      <c r="AIQ25" s="627"/>
      <c r="AIR25" s="627"/>
      <c r="AIS25" s="627"/>
      <c r="AIT25" s="627"/>
      <c r="AIU25" s="627"/>
      <c r="AIV25" s="627"/>
      <c r="AIW25" s="627"/>
      <c r="AIX25" s="627"/>
      <c r="AIY25" s="627"/>
      <c r="AIZ25" s="627"/>
      <c r="AJA25" s="627"/>
      <c r="AJB25" s="627"/>
      <c r="AJC25" s="627"/>
      <c r="AJD25" s="627"/>
      <c r="AJE25" s="627"/>
      <c r="AJF25" s="627"/>
      <c r="AJG25" s="627"/>
      <c r="AJH25" s="627"/>
      <c r="AJI25" s="627"/>
      <c r="AJJ25" s="627"/>
      <c r="AJK25" s="627"/>
      <c r="AJL25" s="627"/>
      <c r="AJM25" s="627"/>
      <c r="AJN25" s="627"/>
      <c r="AJO25" s="627"/>
      <c r="AJP25" s="627"/>
      <c r="AJQ25" s="627"/>
      <c r="AJR25" s="627"/>
      <c r="AJS25" s="627"/>
      <c r="AJT25" s="627"/>
      <c r="AJU25" s="627"/>
      <c r="AJV25" s="627"/>
      <c r="AJW25" s="627"/>
      <c r="AJX25" s="627"/>
      <c r="AJY25" s="627"/>
      <c r="AJZ25" s="627"/>
      <c r="AKA25" s="627"/>
      <c r="AKB25" s="627"/>
      <c r="AKC25" s="627"/>
      <c r="AKD25" s="627"/>
      <c r="AKE25" s="627"/>
      <c r="AKF25" s="627"/>
      <c r="AKG25" s="627"/>
      <c r="AKH25" s="627"/>
      <c r="AKI25" s="627"/>
      <c r="AKJ25" s="627"/>
      <c r="AKK25" s="627"/>
      <c r="AKL25" s="627"/>
      <c r="AKM25" s="627"/>
      <c r="AKN25" s="627"/>
      <c r="AKO25" s="627"/>
      <c r="AKP25" s="627"/>
      <c r="AKQ25" s="627"/>
      <c r="AKR25" s="627"/>
      <c r="AKS25" s="627"/>
      <c r="AKT25" s="627"/>
      <c r="AKU25" s="627"/>
      <c r="AKV25" s="627"/>
      <c r="AKW25" s="627"/>
      <c r="AKX25" s="627"/>
      <c r="AKY25" s="627"/>
      <c r="AKZ25" s="627"/>
      <c r="ALA25" s="627"/>
      <c r="ALB25" s="627"/>
      <c r="ALC25" s="627"/>
      <c r="ALD25" s="627"/>
      <c r="ALE25" s="627"/>
      <c r="ALF25" s="627"/>
      <c r="ALG25" s="627"/>
      <c r="ALH25" s="627"/>
      <c r="ALI25" s="627"/>
      <c r="ALJ25" s="627"/>
      <c r="ALK25" s="627"/>
      <c r="ALL25" s="627"/>
      <c r="ALM25" s="627"/>
      <c r="ALN25" s="627"/>
      <c r="ALO25" s="627"/>
      <c r="ALP25" s="627"/>
      <c r="ALQ25" s="627"/>
      <c r="ALR25" s="627"/>
      <c r="ALS25" s="627"/>
      <c r="ALT25" s="627"/>
      <c r="ALU25" s="627"/>
      <c r="ALV25" s="627"/>
      <c r="ALW25" s="627"/>
      <c r="ALX25" s="627"/>
      <c r="ALY25" s="627"/>
      <c r="ALZ25" s="627"/>
      <c r="AMA25" s="627"/>
      <c r="AMB25" s="627"/>
      <c r="AMC25" s="627"/>
      <c r="AMD25" s="627"/>
      <c r="AME25" s="627"/>
      <c r="AMF25" s="627"/>
      <c r="AMG25" s="627"/>
      <c r="AMH25" s="627"/>
      <c r="AMI25" s="627"/>
      <c r="AMJ25" s="627"/>
      <c r="AMK25" s="627"/>
      <c r="AML25" s="627"/>
      <c r="AMM25" s="627"/>
      <c r="AMN25" s="627"/>
      <c r="AMO25" s="627"/>
      <c r="AMP25" s="627"/>
      <c r="AMQ25" s="627"/>
      <c r="AMR25" s="627"/>
      <c r="AMS25" s="627"/>
      <c r="AMT25" s="627"/>
      <c r="AMU25" s="627"/>
      <c r="AMV25" s="627"/>
      <c r="AMW25" s="627"/>
      <c r="AMX25" s="627"/>
      <c r="AMY25" s="627"/>
      <c r="AMZ25" s="627"/>
      <c r="ANA25" s="627"/>
      <c r="ANB25" s="627"/>
      <c r="ANC25" s="627"/>
      <c r="AND25" s="627"/>
      <c r="ANE25" s="627"/>
      <c r="ANF25" s="627"/>
      <c r="ANG25" s="627"/>
      <c r="ANH25" s="627"/>
      <c r="ANI25" s="627"/>
      <c r="ANJ25" s="627"/>
      <c r="ANK25" s="627"/>
      <c r="ANL25" s="627"/>
      <c r="ANM25" s="627"/>
      <c r="ANN25" s="627"/>
      <c r="ANO25" s="627"/>
      <c r="ANP25" s="627"/>
      <c r="ANQ25" s="627"/>
      <c r="ANR25" s="627"/>
      <c r="ANS25" s="627"/>
      <c r="ANT25" s="627"/>
      <c r="ANU25" s="627"/>
      <c r="ANV25" s="627"/>
      <c r="ANW25" s="627"/>
      <c r="ANX25" s="627"/>
      <c r="ANY25" s="627"/>
      <c r="ANZ25" s="627"/>
      <c r="AOA25" s="627"/>
      <c r="AOB25" s="627"/>
      <c r="AOC25" s="627"/>
      <c r="AOD25" s="627"/>
      <c r="AOE25" s="627"/>
      <c r="AOF25" s="627"/>
      <c r="AOG25" s="627"/>
      <c r="AOH25" s="627"/>
      <c r="AOI25" s="627"/>
      <c r="AOJ25" s="627"/>
      <c r="AOK25" s="627"/>
      <c r="AOL25" s="627"/>
      <c r="AOM25" s="627"/>
      <c r="AON25" s="627"/>
      <c r="AOO25" s="627"/>
      <c r="AOP25" s="627"/>
      <c r="AOQ25" s="627"/>
      <c r="AOR25" s="627"/>
      <c r="AOS25" s="627"/>
      <c r="AOT25" s="627"/>
      <c r="AOU25" s="627"/>
      <c r="AOV25" s="627"/>
      <c r="AOW25" s="627"/>
      <c r="AOX25" s="627"/>
      <c r="AOY25" s="627"/>
      <c r="AOZ25" s="627"/>
      <c r="APA25" s="627"/>
      <c r="APB25" s="627"/>
      <c r="APC25" s="627"/>
      <c r="APD25" s="627"/>
      <c r="APE25" s="627"/>
      <c r="APF25" s="627"/>
      <c r="APG25" s="627"/>
      <c r="APH25" s="627"/>
      <c r="API25" s="627"/>
      <c r="APJ25" s="627"/>
      <c r="APK25" s="627"/>
      <c r="APL25" s="627"/>
      <c r="APM25" s="627"/>
      <c r="APN25" s="627"/>
      <c r="APO25" s="627"/>
      <c r="APP25" s="627"/>
      <c r="APQ25" s="627"/>
      <c r="APR25" s="627"/>
      <c r="APS25" s="627"/>
      <c r="APT25" s="627"/>
      <c r="APU25" s="627"/>
      <c r="APV25" s="627"/>
      <c r="APW25" s="627"/>
      <c r="APX25" s="627"/>
      <c r="APY25" s="627"/>
      <c r="APZ25" s="627"/>
      <c r="AQA25" s="627"/>
      <c r="AQB25" s="627"/>
      <c r="AQC25" s="627"/>
      <c r="AQD25" s="627"/>
      <c r="AQE25" s="627"/>
      <c r="AQF25" s="627"/>
      <c r="AQG25" s="627"/>
      <c r="AQH25" s="627"/>
      <c r="AQI25" s="627"/>
      <c r="AQJ25" s="627"/>
      <c r="AQK25" s="627"/>
      <c r="AQL25" s="627"/>
      <c r="AQM25" s="627"/>
      <c r="AQN25" s="627"/>
      <c r="AQO25" s="627"/>
      <c r="AQP25" s="627"/>
      <c r="AQQ25" s="627"/>
      <c r="AQR25" s="627"/>
      <c r="AQS25" s="627"/>
      <c r="AQT25" s="627"/>
      <c r="AQU25" s="627"/>
      <c r="AQV25" s="627"/>
      <c r="AQW25" s="627"/>
      <c r="AQX25" s="627"/>
      <c r="AQY25" s="627"/>
      <c r="AQZ25" s="627"/>
      <c r="ARA25" s="627"/>
      <c r="ARB25" s="627"/>
      <c r="ARC25" s="627"/>
      <c r="ARD25" s="627"/>
      <c r="ARE25" s="627"/>
      <c r="ARF25" s="627"/>
      <c r="ARG25" s="627"/>
      <c r="ARH25" s="627"/>
      <c r="ARI25" s="627"/>
      <c r="ARJ25" s="627"/>
      <c r="ARK25" s="627"/>
      <c r="ARL25" s="627"/>
      <c r="ARM25" s="627"/>
      <c r="ARN25" s="627"/>
      <c r="ARO25" s="627"/>
      <c r="ARP25" s="627"/>
      <c r="ARQ25" s="627"/>
      <c r="ARR25" s="627"/>
      <c r="ARS25" s="627"/>
      <c r="ART25" s="627"/>
      <c r="ARU25" s="627"/>
      <c r="ARV25" s="627"/>
      <c r="ARW25" s="627"/>
      <c r="ARX25" s="627"/>
      <c r="ARY25" s="627"/>
      <c r="ARZ25" s="627"/>
      <c r="ASA25" s="627"/>
      <c r="ASB25" s="627"/>
      <c r="ASC25" s="627"/>
      <c r="ASD25" s="627"/>
      <c r="ASE25" s="627"/>
      <c r="ASF25" s="627"/>
      <c r="ASG25" s="627"/>
      <c r="ASH25" s="627"/>
      <c r="ASI25" s="627"/>
      <c r="ASJ25" s="627"/>
      <c r="ASK25" s="627"/>
      <c r="ASL25" s="627"/>
      <c r="ASM25" s="627"/>
      <c r="ASN25" s="627"/>
      <c r="ASO25" s="627"/>
      <c r="ASP25" s="627"/>
      <c r="ASQ25" s="627"/>
      <c r="ASR25" s="627"/>
      <c r="ASS25" s="627"/>
      <c r="AST25" s="627"/>
      <c r="ASU25" s="627"/>
      <c r="ASV25" s="627"/>
      <c r="ASW25" s="627"/>
      <c r="ASX25" s="627"/>
      <c r="ASY25" s="627"/>
      <c r="ASZ25" s="627"/>
      <c r="ATA25" s="627"/>
      <c r="ATB25" s="627"/>
      <c r="ATC25" s="627"/>
      <c r="ATD25" s="627"/>
      <c r="ATE25" s="627"/>
      <c r="ATF25" s="627"/>
      <c r="ATG25" s="627"/>
      <c r="ATH25" s="627"/>
      <c r="ATI25" s="627"/>
      <c r="ATJ25" s="627"/>
      <c r="ATK25" s="627"/>
      <c r="ATL25" s="627"/>
      <c r="ATM25" s="627"/>
      <c r="ATN25" s="627"/>
      <c r="ATO25" s="627"/>
      <c r="ATP25" s="627"/>
      <c r="ATQ25" s="627"/>
      <c r="ATR25" s="627"/>
      <c r="ATS25" s="627"/>
      <c r="ATT25" s="627"/>
      <c r="ATU25" s="627"/>
      <c r="ATV25" s="627"/>
      <c r="ATW25" s="627"/>
      <c r="ATX25" s="627"/>
      <c r="ATY25" s="627"/>
      <c r="ATZ25" s="627"/>
      <c r="AUA25" s="627"/>
      <c r="AUB25" s="627"/>
      <c r="AUC25" s="627"/>
      <c r="AUD25" s="627"/>
      <c r="AUE25" s="627"/>
      <c r="AUF25" s="627"/>
      <c r="AUG25" s="627"/>
      <c r="AUH25" s="627"/>
      <c r="AUI25" s="627"/>
      <c r="AUJ25" s="627"/>
      <c r="AUK25" s="627"/>
      <c r="AUL25" s="627"/>
      <c r="AUM25" s="627"/>
      <c r="AUN25" s="627"/>
      <c r="AUO25" s="627"/>
      <c r="AUP25" s="627"/>
      <c r="AUQ25" s="627"/>
      <c r="AUR25" s="627"/>
      <c r="AUS25" s="627"/>
      <c r="AUT25" s="627"/>
      <c r="AUU25" s="627"/>
      <c r="AUV25" s="627"/>
      <c r="AUW25" s="627"/>
      <c r="AUX25" s="627"/>
      <c r="AUY25" s="627"/>
      <c r="AUZ25" s="627"/>
      <c r="AVA25" s="627"/>
      <c r="AVB25" s="627"/>
      <c r="AVC25" s="627"/>
      <c r="AVD25" s="627"/>
      <c r="AVE25" s="627"/>
      <c r="AVF25" s="627"/>
      <c r="AVG25" s="627"/>
      <c r="AVH25" s="627"/>
      <c r="AVI25" s="627"/>
      <c r="AVJ25" s="627"/>
      <c r="AVK25" s="627"/>
      <c r="AVL25" s="627"/>
      <c r="AVM25" s="627"/>
      <c r="AVN25" s="627"/>
      <c r="AVO25" s="627"/>
      <c r="AVP25" s="627"/>
      <c r="AVQ25" s="627"/>
      <c r="AVR25" s="627"/>
      <c r="AVS25" s="627"/>
      <c r="AVT25" s="627"/>
      <c r="AVU25" s="627"/>
      <c r="AVV25" s="627"/>
      <c r="AVW25" s="627"/>
      <c r="AVX25" s="627"/>
      <c r="AVY25" s="627"/>
      <c r="AVZ25" s="627"/>
      <c r="AWA25" s="627"/>
      <c r="AWB25" s="627"/>
      <c r="AWC25" s="627"/>
      <c r="AWD25" s="627"/>
      <c r="AWE25" s="627"/>
      <c r="AWF25" s="627"/>
      <c r="AWG25" s="627"/>
      <c r="AWH25" s="627"/>
      <c r="AWI25" s="627"/>
      <c r="AWJ25" s="627"/>
      <c r="AWK25" s="627"/>
      <c r="AWL25" s="627"/>
      <c r="AWM25" s="627"/>
      <c r="AWN25" s="627"/>
      <c r="AWO25" s="627"/>
      <c r="AWP25" s="627"/>
      <c r="AWQ25" s="627"/>
      <c r="AWR25" s="627"/>
      <c r="AWS25" s="627"/>
      <c r="AWT25" s="627"/>
      <c r="AWU25" s="627"/>
      <c r="AWV25" s="627"/>
      <c r="AWW25" s="627"/>
      <c r="AWX25" s="627"/>
      <c r="AWY25" s="627"/>
      <c r="AWZ25" s="627"/>
      <c r="AXA25" s="627"/>
      <c r="AXB25" s="627"/>
      <c r="AXC25" s="627"/>
      <c r="AXD25" s="627"/>
      <c r="AXE25" s="627"/>
      <c r="AXF25" s="627"/>
      <c r="AXG25" s="627"/>
      <c r="AXH25" s="627"/>
      <c r="AXI25" s="627"/>
      <c r="AXJ25" s="627"/>
      <c r="AXK25" s="627"/>
      <c r="AXL25" s="627"/>
      <c r="AXM25" s="627"/>
      <c r="AXN25" s="627"/>
      <c r="AXO25" s="627"/>
      <c r="AXP25" s="627"/>
      <c r="AXQ25" s="627"/>
      <c r="AXR25" s="627"/>
      <c r="AXS25" s="627"/>
      <c r="AXT25" s="627"/>
      <c r="AXU25" s="627"/>
      <c r="AXV25" s="627"/>
      <c r="AXW25" s="627"/>
      <c r="AXX25" s="627"/>
      <c r="AXY25" s="627"/>
      <c r="AXZ25" s="627"/>
      <c r="AYA25" s="627"/>
      <c r="AYB25" s="627"/>
      <c r="AYC25" s="627"/>
      <c r="AYD25" s="627"/>
      <c r="AYE25" s="627"/>
      <c r="AYF25" s="627"/>
      <c r="AYG25" s="627"/>
      <c r="AYH25" s="627"/>
      <c r="AYI25" s="627"/>
      <c r="AYJ25" s="627"/>
      <c r="AYK25" s="627"/>
      <c r="AYL25" s="627"/>
      <c r="AYM25" s="627"/>
      <c r="AYN25" s="627"/>
      <c r="AYO25" s="627"/>
      <c r="AYP25" s="627"/>
      <c r="AYQ25" s="627"/>
      <c r="AYR25" s="627"/>
      <c r="AYS25" s="627"/>
      <c r="AYT25" s="627"/>
      <c r="AYU25" s="627"/>
      <c r="AYV25" s="627"/>
      <c r="AYW25" s="627"/>
      <c r="AYX25" s="627"/>
      <c r="AYY25" s="627"/>
      <c r="AYZ25" s="627"/>
      <c r="AZA25" s="627"/>
      <c r="AZB25" s="627"/>
      <c r="AZC25" s="627"/>
      <c r="AZD25" s="627"/>
      <c r="AZE25" s="627"/>
      <c r="AZF25" s="627"/>
      <c r="AZG25" s="627"/>
      <c r="AZH25" s="627"/>
      <c r="AZI25" s="627"/>
      <c r="AZJ25" s="627"/>
      <c r="AZK25" s="627"/>
      <c r="AZL25" s="627"/>
      <c r="AZM25" s="627"/>
      <c r="AZN25" s="627"/>
      <c r="AZO25" s="627"/>
      <c r="AZP25" s="627"/>
      <c r="AZQ25" s="627"/>
      <c r="AZR25" s="627"/>
      <c r="AZS25" s="627"/>
      <c r="AZT25" s="627"/>
      <c r="AZU25" s="627"/>
      <c r="AZV25" s="627"/>
      <c r="AZW25" s="627"/>
      <c r="AZX25" s="627"/>
      <c r="AZY25" s="627"/>
      <c r="AZZ25" s="627"/>
      <c r="BAA25" s="627"/>
      <c r="BAB25" s="627"/>
      <c r="BAC25" s="627"/>
      <c r="BAD25" s="627"/>
      <c r="BAE25" s="627"/>
      <c r="BAF25" s="627"/>
      <c r="BAG25" s="627"/>
      <c r="BAH25" s="627"/>
      <c r="BAI25" s="627"/>
      <c r="BAJ25" s="627"/>
      <c r="BAK25" s="627"/>
      <c r="BAL25" s="627"/>
      <c r="BAM25" s="627"/>
      <c r="BAN25" s="627"/>
      <c r="BAO25" s="627"/>
      <c r="BAP25" s="627"/>
      <c r="BAQ25" s="627"/>
      <c r="BAR25" s="627"/>
      <c r="BAS25" s="627"/>
      <c r="BAT25" s="627"/>
      <c r="BAU25" s="627"/>
      <c r="BAV25" s="627"/>
      <c r="BAW25" s="627"/>
      <c r="BAX25" s="627"/>
      <c r="BAY25" s="627"/>
      <c r="BAZ25" s="627"/>
      <c r="BBA25" s="627"/>
      <c r="BBB25" s="627"/>
      <c r="BBC25" s="627"/>
      <c r="BBD25" s="627"/>
      <c r="BBE25" s="627"/>
      <c r="BBF25" s="627"/>
      <c r="BBG25" s="627"/>
      <c r="BBH25" s="627"/>
      <c r="BBI25" s="627"/>
      <c r="BBJ25" s="627"/>
      <c r="BBK25" s="627"/>
      <c r="BBL25" s="627"/>
      <c r="BBM25" s="627"/>
      <c r="BBN25" s="627"/>
      <c r="BBO25" s="627"/>
      <c r="BBP25" s="627"/>
      <c r="BBQ25" s="627"/>
      <c r="BBR25" s="627"/>
      <c r="BBS25" s="627"/>
      <c r="BBT25" s="627"/>
      <c r="BBU25" s="627"/>
      <c r="BBV25" s="627"/>
      <c r="BBW25" s="627"/>
      <c r="BBX25" s="627"/>
      <c r="BBY25" s="627"/>
      <c r="BBZ25" s="627"/>
      <c r="BCA25" s="627"/>
      <c r="BCB25" s="627"/>
      <c r="BCC25" s="627"/>
      <c r="BCD25" s="627"/>
      <c r="BCE25" s="627"/>
      <c r="BCF25" s="627"/>
      <c r="BCG25" s="627"/>
      <c r="BCH25" s="627"/>
      <c r="BCI25" s="627"/>
      <c r="BCJ25" s="627"/>
      <c r="BCK25" s="627"/>
      <c r="BCL25" s="627"/>
      <c r="BCM25" s="627"/>
      <c r="BCN25" s="627"/>
      <c r="BCO25" s="627"/>
      <c r="BCP25" s="627"/>
      <c r="BCQ25" s="627"/>
      <c r="BCR25" s="627"/>
      <c r="BCS25" s="627"/>
      <c r="BCT25" s="627"/>
      <c r="BCU25" s="627"/>
      <c r="BCV25" s="627"/>
      <c r="BCW25" s="627"/>
      <c r="BCX25" s="627"/>
      <c r="BCY25" s="627"/>
      <c r="BCZ25" s="627"/>
      <c r="BDA25" s="627"/>
      <c r="BDB25" s="627"/>
      <c r="BDC25" s="627"/>
      <c r="BDD25" s="627"/>
      <c r="BDE25" s="627"/>
      <c r="BDF25" s="627"/>
      <c r="BDG25" s="627"/>
      <c r="BDH25" s="627"/>
      <c r="BDI25" s="627"/>
      <c r="BDJ25" s="627"/>
      <c r="BDK25" s="627"/>
      <c r="BDL25" s="627"/>
      <c r="BDM25" s="627"/>
      <c r="BDN25" s="627"/>
      <c r="BDO25" s="627"/>
      <c r="BDP25" s="627"/>
      <c r="BDQ25" s="627"/>
      <c r="BDR25" s="627"/>
      <c r="BDS25" s="627"/>
      <c r="BDT25" s="627"/>
      <c r="BDU25" s="627"/>
      <c r="BDV25" s="627"/>
      <c r="BDW25" s="627"/>
      <c r="BDX25" s="627"/>
      <c r="BDY25" s="627"/>
      <c r="BDZ25" s="627"/>
      <c r="BEA25" s="627"/>
      <c r="BEB25" s="627"/>
      <c r="BEC25" s="627"/>
      <c r="BED25" s="627"/>
      <c r="BEE25" s="627"/>
      <c r="BEF25" s="627"/>
      <c r="BEG25" s="627"/>
      <c r="BEH25" s="627"/>
      <c r="BEI25" s="627"/>
      <c r="BEJ25" s="627"/>
      <c r="BEK25" s="627"/>
      <c r="BEL25" s="627"/>
      <c r="BEM25" s="627"/>
      <c r="BEN25" s="627"/>
      <c r="BEO25" s="627"/>
      <c r="BEP25" s="627"/>
      <c r="BEQ25" s="627"/>
      <c r="BER25" s="627"/>
      <c r="BES25" s="627"/>
      <c r="BET25" s="627"/>
      <c r="BEU25" s="627"/>
      <c r="BEV25" s="627"/>
      <c r="BEW25" s="627"/>
      <c r="BEX25" s="627"/>
      <c r="BEY25" s="627"/>
      <c r="BEZ25" s="627"/>
      <c r="BFA25" s="627"/>
      <c r="BFB25" s="627"/>
      <c r="BFC25" s="627"/>
      <c r="BFD25" s="627"/>
      <c r="BFE25" s="627"/>
      <c r="BFF25" s="627"/>
      <c r="BFG25" s="627"/>
      <c r="BFH25" s="627"/>
      <c r="BFI25" s="627"/>
      <c r="BFJ25" s="627"/>
      <c r="BFK25" s="627"/>
      <c r="BFL25" s="627"/>
      <c r="BFM25" s="627"/>
      <c r="BFN25" s="627"/>
      <c r="BFO25" s="627"/>
      <c r="BFP25" s="627"/>
      <c r="BFQ25" s="627"/>
      <c r="BFR25" s="627"/>
      <c r="BFS25" s="627"/>
      <c r="BFT25" s="627"/>
      <c r="BFU25" s="627"/>
      <c r="BFV25" s="627"/>
      <c r="BFW25" s="627"/>
      <c r="BFX25" s="627"/>
      <c r="BFY25" s="627"/>
      <c r="BFZ25" s="627"/>
      <c r="BGA25" s="627"/>
      <c r="BGB25" s="627"/>
      <c r="BGC25" s="627"/>
      <c r="BGD25" s="627"/>
      <c r="BGE25" s="627"/>
      <c r="BGF25" s="627"/>
      <c r="BGG25" s="627"/>
      <c r="BGH25" s="627"/>
      <c r="BGI25" s="627"/>
      <c r="BGJ25" s="627"/>
      <c r="BGK25" s="627"/>
      <c r="BGL25" s="627"/>
      <c r="BGM25" s="627"/>
      <c r="BGN25" s="627"/>
      <c r="BGO25" s="627"/>
      <c r="BGP25" s="627"/>
      <c r="BGQ25" s="627"/>
      <c r="BGR25" s="627"/>
      <c r="BGS25" s="627"/>
      <c r="BGT25" s="627"/>
      <c r="BGU25" s="627"/>
      <c r="BGV25" s="627"/>
      <c r="BGW25" s="627"/>
      <c r="BGX25" s="627"/>
      <c r="BGY25" s="627"/>
      <c r="BGZ25" s="627"/>
      <c r="BHA25" s="627"/>
      <c r="BHB25" s="627"/>
      <c r="BHC25" s="627"/>
      <c r="BHD25" s="627"/>
      <c r="BHE25" s="627"/>
      <c r="BHF25" s="627"/>
      <c r="BHG25" s="627"/>
      <c r="BHH25" s="627"/>
      <c r="BHI25" s="627"/>
      <c r="BHJ25" s="627"/>
      <c r="BHK25" s="627"/>
      <c r="BHL25" s="627"/>
      <c r="BHM25" s="627"/>
      <c r="BHN25" s="627"/>
      <c r="BHO25" s="627"/>
      <c r="BHP25" s="627"/>
      <c r="BHQ25" s="627"/>
      <c r="BHR25" s="627"/>
      <c r="BHS25" s="627"/>
      <c r="BHT25" s="627"/>
      <c r="BHU25" s="627"/>
      <c r="BHV25" s="627"/>
      <c r="BHW25" s="627"/>
      <c r="BHX25" s="627"/>
      <c r="BHY25" s="627"/>
      <c r="BHZ25" s="627"/>
      <c r="BIA25" s="627"/>
      <c r="BIB25" s="627"/>
      <c r="BIC25" s="627"/>
      <c r="BID25" s="627"/>
      <c r="BIE25" s="627"/>
      <c r="BIF25" s="627"/>
      <c r="BIG25" s="627"/>
      <c r="BIH25" s="627"/>
      <c r="BII25" s="627"/>
      <c r="BIJ25" s="627"/>
      <c r="BIK25" s="627"/>
      <c r="BIL25" s="627"/>
      <c r="BIM25" s="627"/>
      <c r="BIN25" s="627"/>
      <c r="BIO25" s="627"/>
      <c r="BIP25" s="627"/>
      <c r="BIQ25" s="627"/>
      <c r="BIR25" s="627"/>
      <c r="BIS25" s="627"/>
      <c r="BIT25" s="627"/>
      <c r="BIU25" s="627"/>
      <c r="BIV25" s="627"/>
      <c r="BIW25" s="627"/>
      <c r="BIX25" s="627"/>
      <c r="BIY25" s="627"/>
      <c r="BIZ25" s="627"/>
      <c r="BJA25" s="627"/>
      <c r="BJB25" s="627"/>
      <c r="BJC25" s="627"/>
      <c r="BJD25" s="627"/>
      <c r="BJE25" s="627"/>
      <c r="BJF25" s="627"/>
      <c r="BJG25" s="627"/>
      <c r="BJH25" s="627"/>
      <c r="BJI25" s="627"/>
      <c r="BJJ25" s="627"/>
      <c r="BJK25" s="627"/>
      <c r="BJL25" s="627"/>
      <c r="BJM25" s="627"/>
      <c r="BJN25" s="627"/>
      <c r="BJO25" s="627"/>
      <c r="BJP25" s="627"/>
      <c r="BJQ25" s="627"/>
      <c r="BJR25" s="627"/>
      <c r="BJS25" s="627"/>
      <c r="BJT25" s="627"/>
      <c r="BJU25" s="627"/>
      <c r="BJV25" s="627"/>
      <c r="BJW25" s="627"/>
      <c r="BJX25" s="627"/>
      <c r="BJY25" s="627"/>
      <c r="BJZ25" s="627"/>
      <c r="BKA25" s="627"/>
      <c r="BKB25" s="627"/>
      <c r="BKC25" s="627"/>
      <c r="BKD25" s="627"/>
      <c r="BKE25" s="627"/>
      <c r="BKF25" s="627"/>
      <c r="BKG25" s="627"/>
      <c r="BKH25" s="627"/>
      <c r="BKI25" s="627"/>
      <c r="BKJ25" s="627"/>
      <c r="BKK25" s="627"/>
      <c r="BKL25" s="627"/>
      <c r="BKM25" s="627"/>
      <c r="BKN25" s="627"/>
      <c r="BKO25" s="627"/>
      <c r="BKP25" s="627"/>
      <c r="BKQ25" s="627"/>
      <c r="BKR25" s="627"/>
      <c r="BKS25" s="627"/>
      <c r="BKT25" s="627"/>
      <c r="BKU25" s="627"/>
      <c r="BKV25" s="627"/>
      <c r="BKW25" s="627"/>
      <c r="BKX25" s="627"/>
      <c r="BKY25" s="627"/>
      <c r="BKZ25" s="627"/>
      <c r="BLA25" s="627"/>
      <c r="BLB25" s="627"/>
      <c r="BLC25" s="627"/>
      <c r="BLD25" s="627"/>
      <c r="BLE25" s="627"/>
      <c r="BLF25" s="627"/>
      <c r="BLG25" s="627"/>
      <c r="BLH25" s="627"/>
      <c r="BLI25" s="627"/>
      <c r="BLJ25" s="627"/>
      <c r="BLK25" s="627"/>
      <c r="BLL25" s="627"/>
      <c r="BLM25" s="627"/>
      <c r="BLN25" s="627"/>
      <c r="BLO25" s="627"/>
      <c r="BLP25" s="627"/>
      <c r="BLQ25" s="627"/>
      <c r="BLR25" s="627"/>
      <c r="BLS25" s="627"/>
      <c r="BLT25" s="627"/>
      <c r="BLU25" s="627"/>
      <c r="BLV25" s="627"/>
      <c r="BLW25" s="627"/>
      <c r="BLX25" s="627"/>
      <c r="BLY25" s="627"/>
      <c r="BLZ25" s="627"/>
      <c r="BMA25" s="627"/>
      <c r="BMB25" s="627"/>
      <c r="BMC25" s="627"/>
      <c r="BMD25" s="627"/>
      <c r="BME25" s="627"/>
      <c r="BMF25" s="627"/>
      <c r="BMG25" s="627"/>
      <c r="BMH25" s="627"/>
      <c r="BMI25" s="627"/>
      <c r="BMJ25" s="627"/>
      <c r="BMK25" s="627"/>
      <c r="BML25" s="627"/>
      <c r="BMM25" s="627"/>
      <c r="BMN25" s="627"/>
      <c r="BMO25" s="627"/>
      <c r="BMP25" s="627"/>
      <c r="BMQ25" s="627"/>
      <c r="BMR25" s="627"/>
      <c r="BMS25" s="627"/>
      <c r="BMT25" s="627"/>
      <c r="BMU25" s="627"/>
      <c r="BMV25" s="627"/>
      <c r="BMW25" s="627"/>
      <c r="BMX25" s="627"/>
      <c r="BMY25" s="627"/>
      <c r="BMZ25" s="627"/>
      <c r="BNA25" s="627"/>
      <c r="BNB25" s="627"/>
      <c r="BNC25" s="627"/>
      <c r="BND25" s="627"/>
      <c r="BNE25" s="627"/>
      <c r="BNF25" s="627"/>
      <c r="BNG25" s="627"/>
      <c r="BNH25" s="627"/>
      <c r="BNI25" s="627"/>
      <c r="BNJ25" s="627"/>
      <c r="BNK25" s="627"/>
      <c r="BNL25" s="627"/>
      <c r="BNM25" s="627"/>
      <c r="BNN25" s="627"/>
      <c r="BNO25" s="627"/>
      <c r="BNP25" s="627"/>
      <c r="BNQ25" s="627"/>
      <c r="BNR25" s="627"/>
      <c r="BNS25" s="627"/>
      <c r="BNT25" s="627"/>
      <c r="BNU25" s="627"/>
      <c r="BNV25" s="627"/>
      <c r="BNW25" s="627"/>
      <c r="BNX25" s="627"/>
      <c r="BNY25" s="627"/>
      <c r="BNZ25" s="627"/>
      <c r="BOA25" s="627"/>
      <c r="BOB25" s="627"/>
      <c r="BOC25" s="627"/>
      <c r="BOD25" s="627"/>
      <c r="BOE25" s="627"/>
      <c r="BOF25" s="627"/>
      <c r="BOG25" s="627"/>
      <c r="BOH25" s="627"/>
      <c r="BOI25" s="627"/>
      <c r="BOJ25" s="627"/>
      <c r="BOK25" s="627"/>
      <c r="BOL25" s="627"/>
      <c r="BOM25" s="627"/>
      <c r="BON25" s="627"/>
      <c r="BOO25" s="627"/>
      <c r="BOP25" s="627"/>
      <c r="BOQ25" s="627"/>
      <c r="BOR25" s="627"/>
      <c r="BOS25" s="627"/>
      <c r="BOT25" s="627"/>
      <c r="BOU25" s="627"/>
      <c r="BOV25" s="627"/>
      <c r="BOW25" s="627"/>
      <c r="BOX25" s="627"/>
      <c r="BOY25" s="627"/>
      <c r="BOZ25" s="627"/>
      <c r="BPA25" s="627"/>
      <c r="BPB25" s="627"/>
      <c r="BPC25" s="627"/>
      <c r="BPD25" s="627"/>
      <c r="BPE25" s="627"/>
      <c r="BPF25" s="627"/>
      <c r="BPG25" s="627"/>
      <c r="BPH25" s="627"/>
      <c r="BPI25" s="627"/>
      <c r="BPJ25" s="627"/>
      <c r="BPK25" s="627"/>
      <c r="BPL25" s="627"/>
      <c r="BPM25" s="627"/>
      <c r="BPN25" s="627"/>
      <c r="BPO25" s="627"/>
      <c r="BPP25" s="627"/>
      <c r="BPQ25" s="627"/>
      <c r="BPR25" s="627"/>
      <c r="BPS25" s="627"/>
      <c r="BPT25" s="627"/>
      <c r="BPU25" s="627"/>
      <c r="BPV25" s="627"/>
      <c r="BPW25" s="627"/>
      <c r="BPX25" s="627"/>
      <c r="BPY25" s="627"/>
      <c r="BPZ25" s="627"/>
      <c r="BQA25" s="627"/>
      <c r="BQB25" s="627"/>
      <c r="BQC25" s="627"/>
      <c r="BQD25" s="627"/>
      <c r="BQE25" s="627"/>
      <c r="BQF25" s="627"/>
      <c r="BQG25" s="627"/>
      <c r="BQH25" s="627"/>
      <c r="BQI25" s="627"/>
      <c r="BQJ25" s="627"/>
      <c r="BQK25" s="627"/>
      <c r="BQL25" s="627"/>
      <c r="BQM25" s="627"/>
      <c r="BQN25" s="627"/>
      <c r="BQO25" s="627"/>
      <c r="BQP25" s="627"/>
      <c r="BQQ25" s="627"/>
      <c r="BQR25" s="627"/>
      <c r="BQS25" s="627"/>
      <c r="BQT25" s="627"/>
      <c r="BQU25" s="627"/>
      <c r="BQV25" s="627"/>
      <c r="BQW25" s="627"/>
      <c r="BQX25" s="627"/>
      <c r="BQY25" s="627"/>
      <c r="BQZ25" s="627"/>
      <c r="BRA25" s="627"/>
      <c r="BRB25" s="627"/>
      <c r="BRC25" s="627"/>
      <c r="BRD25" s="627"/>
      <c r="BRE25" s="627"/>
      <c r="BRF25" s="627"/>
      <c r="BRG25" s="627"/>
      <c r="BRH25" s="627"/>
      <c r="BRI25" s="627"/>
      <c r="BRJ25" s="627"/>
      <c r="BRK25" s="627"/>
      <c r="BRL25" s="627"/>
      <c r="BRM25" s="627"/>
      <c r="BRN25" s="627"/>
      <c r="BRO25" s="627"/>
      <c r="BRP25" s="627"/>
      <c r="BRQ25" s="627"/>
      <c r="BRR25" s="627"/>
      <c r="BRS25" s="627"/>
      <c r="BRT25" s="627"/>
      <c r="BRU25" s="627"/>
      <c r="BRV25" s="627"/>
      <c r="BRW25" s="627"/>
      <c r="BRX25" s="627"/>
      <c r="BRY25" s="627"/>
      <c r="BRZ25" s="627"/>
      <c r="BSA25" s="627"/>
      <c r="BSB25" s="627"/>
      <c r="BSC25" s="627"/>
      <c r="BSD25" s="627"/>
      <c r="BSE25" s="627"/>
      <c r="BSF25" s="627"/>
      <c r="BSG25" s="627"/>
      <c r="BSH25" s="627"/>
      <c r="BSI25" s="627"/>
      <c r="BSJ25" s="627"/>
      <c r="BSK25" s="627"/>
      <c r="BSL25" s="627"/>
      <c r="BSM25" s="627"/>
      <c r="BSN25" s="627"/>
      <c r="BSO25" s="627"/>
      <c r="BSP25" s="627"/>
      <c r="BSQ25" s="627"/>
      <c r="BSR25" s="627"/>
      <c r="BSS25" s="627"/>
      <c r="BST25" s="627"/>
      <c r="BSU25" s="627"/>
      <c r="BSV25" s="627"/>
      <c r="BSW25" s="627"/>
      <c r="BSX25" s="627"/>
      <c r="BSY25" s="627"/>
      <c r="BSZ25" s="627"/>
      <c r="BTA25" s="627"/>
      <c r="BTB25" s="627"/>
      <c r="BTC25" s="627"/>
      <c r="BTD25" s="627"/>
      <c r="BTE25" s="627"/>
      <c r="BTF25" s="627"/>
      <c r="BTG25" s="627"/>
      <c r="BTH25" s="627"/>
      <c r="BTI25" s="627"/>
      <c r="BTJ25" s="627"/>
      <c r="BTK25" s="627"/>
      <c r="BTL25" s="627"/>
      <c r="BTM25" s="627"/>
      <c r="BTN25" s="627"/>
      <c r="BTO25" s="627"/>
      <c r="BTP25" s="627"/>
      <c r="BTQ25" s="627"/>
      <c r="BTR25" s="627"/>
      <c r="BTS25" s="627"/>
      <c r="BTT25" s="627"/>
      <c r="BTU25" s="627"/>
      <c r="BTV25" s="627"/>
      <c r="BTW25" s="627"/>
      <c r="BTX25" s="627"/>
      <c r="BTY25" s="627"/>
      <c r="BTZ25" s="627"/>
      <c r="BUA25" s="627"/>
      <c r="BUB25" s="627"/>
      <c r="BUC25" s="627"/>
      <c r="BUD25" s="627"/>
      <c r="BUE25" s="627"/>
      <c r="BUF25" s="627"/>
      <c r="BUG25" s="627"/>
      <c r="BUH25" s="627"/>
      <c r="BUI25" s="627"/>
      <c r="BUJ25" s="627"/>
      <c r="BUK25" s="627"/>
      <c r="BUL25" s="627"/>
      <c r="BUM25" s="627"/>
      <c r="BUN25" s="627"/>
      <c r="BUO25" s="627"/>
      <c r="BUP25" s="627"/>
      <c r="BUQ25" s="627"/>
      <c r="BUR25" s="627"/>
      <c r="BUS25" s="627"/>
      <c r="BUT25" s="627"/>
      <c r="BUU25" s="627"/>
      <c r="BUV25" s="627"/>
      <c r="BUW25" s="627"/>
      <c r="BUX25" s="627"/>
      <c r="BUY25" s="627"/>
      <c r="BUZ25" s="627"/>
      <c r="BVA25" s="627"/>
      <c r="BVB25" s="627"/>
      <c r="BVC25" s="627"/>
      <c r="BVD25" s="627"/>
      <c r="BVE25" s="627"/>
      <c r="BVF25" s="627"/>
      <c r="BVG25" s="627"/>
      <c r="BVH25" s="627"/>
      <c r="BVI25" s="627"/>
      <c r="BVJ25" s="627"/>
      <c r="BVK25" s="627"/>
      <c r="BVL25" s="627"/>
      <c r="BVM25" s="627"/>
      <c r="BVN25" s="627"/>
      <c r="BVO25" s="627"/>
      <c r="BVP25" s="627"/>
      <c r="BVQ25" s="627"/>
      <c r="BVR25" s="627"/>
      <c r="BVS25" s="627"/>
      <c r="BVT25" s="627"/>
      <c r="BVU25" s="627"/>
      <c r="BVV25" s="627"/>
      <c r="BVW25" s="627"/>
      <c r="BVX25" s="627"/>
      <c r="BVY25" s="627"/>
      <c r="BVZ25" s="627"/>
      <c r="BWA25" s="627"/>
      <c r="BWB25" s="627"/>
      <c r="BWC25" s="627"/>
      <c r="BWD25" s="627"/>
      <c r="BWE25" s="627"/>
      <c r="BWF25" s="627"/>
      <c r="BWG25" s="627"/>
      <c r="BWH25" s="627"/>
      <c r="BWI25" s="627"/>
      <c r="BWJ25" s="627"/>
      <c r="BWK25" s="627"/>
      <c r="BWL25" s="627"/>
      <c r="BWM25" s="627"/>
      <c r="BWN25" s="627"/>
      <c r="BWO25" s="627"/>
      <c r="BWP25" s="627"/>
      <c r="BWQ25" s="627"/>
      <c r="BWR25" s="627"/>
      <c r="BWS25" s="627"/>
      <c r="BWT25" s="627"/>
      <c r="BWU25" s="627"/>
      <c r="BWV25" s="627"/>
      <c r="BWW25" s="627"/>
      <c r="BWX25" s="627"/>
      <c r="BWY25" s="627"/>
      <c r="BWZ25" s="627"/>
      <c r="BXA25" s="627"/>
      <c r="BXB25" s="627"/>
      <c r="BXC25" s="627"/>
      <c r="BXD25" s="627"/>
      <c r="BXE25" s="627"/>
      <c r="BXF25" s="627"/>
      <c r="BXG25" s="627"/>
      <c r="BXH25" s="627"/>
      <c r="BXI25" s="627"/>
      <c r="BXJ25" s="627"/>
      <c r="BXK25" s="627"/>
    </row>
    <row r="26" spans="1:1987" ht="30" customHeight="1" x14ac:dyDescent="0.3">
      <c r="A26" s="2829" t="s">
        <v>5521</v>
      </c>
      <c r="B26" s="3133">
        <v>1534.1858741400001</v>
      </c>
      <c r="C26" s="3133">
        <v>65701.12498595177</v>
      </c>
      <c r="D26" s="3134">
        <v>67235.310860091777</v>
      </c>
      <c r="E26" s="626"/>
      <c r="F26" s="3137"/>
      <c r="G26" s="3127"/>
      <c r="H26" s="2595"/>
      <c r="I26" s="2854"/>
    </row>
    <row r="27" spans="1:1987" ht="30" customHeight="1" thickBot="1" x14ac:dyDescent="0.35">
      <c r="A27" s="2862" t="s">
        <v>3921</v>
      </c>
      <c r="B27" s="3138">
        <v>2.0535970000000003</v>
      </c>
      <c r="C27" s="3138">
        <v>6679.4511577861513</v>
      </c>
      <c r="D27" s="3139">
        <v>6681.5047547861504</v>
      </c>
      <c r="F27" s="2595"/>
      <c r="G27" s="3127"/>
      <c r="H27" s="2595"/>
      <c r="I27" s="2854"/>
    </row>
    <row r="28" spans="1:1987" ht="30" customHeight="1" thickTop="1" thickBot="1" x14ac:dyDescent="0.35">
      <c r="A28" s="2865" t="s">
        <v>2847</v>
      </c>
      <c r="B28" s="3140">
        <v>374320.81428536825</v>
      </c>
      <c r="C28" s="3140">
        <v>154507.55064223101</v>
      </c>
      <c r="D28" s="3141">
        <v>528828.36492759921</v>
      </c>
      <c r="G28" s="3127"/>
    </row>
    <row r="29" spans="1:1987" ht="30" customHeight="1" thickTop="1" thickBot="1" x14ac:dyDescent="0.35">
      <c r="A29" s="2865" t="s">
        <v>2848</v>
      </c>
      <c r="B29" s="3140">
        <v>372784.57481422822</v>
      </c>
      <c r="C29" s="3140">
        <v>82126.974498493073</v>
      </c>
      <c r="D29" s="3141">
        <v>454911.54931272136</v>
      </c>
      <c r="G29" s="3127"/>
    </row>
    <row r="30" spans="1:1987" s="1427" customFormat="1" ht="30" customHeight="1" thickTop="1" x14ac:dyDescent="0.25">
      <c r="A30" s="1626" t="s">
        <v>173</v>
      </c>
      <c r="B30" s="1627"/>
      <c r="C30" s="1627"/>
      <c r="D30" s="1627"/>
      <c r="F30" s="1628"/>
      <c r="G30" s="1628"/>
      <c r="H30" s="1628"/>
      <c r="I30" s="1629"/>
      <c r="J30" s="1629"/>
      <c r="K30" s="1629"/>
    </row>
    <row r="31" spans="1:1987" s="631" customFormat="1" ht="18" customHeight="1" x14ac:dyDescent="0.25">
      <c r="A31" s="471" t="s">
        <v>5522</v>
      </c>
      <c r="B31" s="3142"/>
      <c r="C31" s="3142"/>
      <c r="D31" s="3142"/>
      <c r="F31" s="3143"/>
      <c r="G31" s="3143"/>
      <c r="H31" s="3143"/>
      <c r="I31" s="3144"/>
      <c r="J31" s="3144"/>
      <c r="K31" s="3144"/>
    </row>
    <row r="32" spans="1:1987" s="631" customFormat="1" ht="18" customHeight="1" x14ac:dyDescent="0.25">
      <c r="A32" s="471" t="s">
        <v>5523</v>
      </c>
      <c r="B32" s="3145"/>
      <c r="C32" s="3145"/>
      <c r="D32" s="3145"/>
      <c r="F32" s="3143"/>
      <c r="G32" s="3143"/>
      <c r="H32" s="3143"/>
      <c r="I32" s="3144"/>
      <c r="J32" s="3144"/>
      <c r="K32" s="3144"/>
    </row>
    <row r="33" spans="1:11" s="631" customFormat="1" ht="18" customHeight="1" x14ac:dyDescent="0.25">
      <c r="A33" s="3146" t="s">
        <v>4799</v>
      </c>
      <c r="B33" s="3147"/>
      <c r="C33" s="3147"/>
      <c r="D33" s="3147"/>
      <c r="F33" s="3143"/>
      <c r="G33" s="3143"/>
      <c r="H33" s="3143"/>
      <c r="I33" s="3144"/>
      <c r="J33" s="3144"/>
      <c r="K33" s="3144"/>
    </row>
    <row r="34" spans="1:11" s="631" customFormat="1" ht="18" customHeight="1" x14ac:dyDescent="0.25">
      <c r="A34" s="3148" t="s">
        <v>4800</v>
      </c>
      <c r="B34" s="3147"/>
      <c r="C34" s="3147"/>
      <c r="D34" s="3147"/>
      <c r="F34" s="3143"/>
      <c r="G34" s="3143"/>
      <c r="H34" s="3143"/>
      <c r="I34" s="3144"/>
      <c r="J34" s="3144"/>
      <c r="K34" s="3144"/>
    </row>
    <row r="35" spans="1:11" s="3148" customFormat="1" ht="18" customHeight="1" x14ac:dyDescent="0.25">
      <c r="A35" s="471" t="s">
        <v>5524</v>
      </c>
      <c r="B35" s="471"/>
      <c r="C35" s="471"/>
      <c r="D35" s="471"/>
    </row>
    <row r="36" spans="1:11" s="631" customFormat="1" ht="18" customHeight="1" x14ac:dyDescent="0.25">
      <c r="A36" s="3043" t="s">
        <v>290</v>
      </c>
      <c r="F36" s="3143"/>
      <c r="G36" s="3143"/>
      <c r="H36" s="3143"/>
      <c r="I36" s="3144"/>
      <c r="J36" s="3144"/>
      <c r="K36" s="3144"/>
    </row>
    <row r="37" spans="1:11" x14ac:dyDescent="0.25">
      <c r="F37" s="3149"/>
      <c r="G37" s="3149"/>
      <c r="H37" s="3149"/>
    </row>
    <row r="38" spans="1:11" x14ac:dyDescent="0.25">
      <c r="F38" s="3150"/>
      <c r="G38" s="3150"/>
      <c r="H38" s="3150"/>
    </row>
    <row r="39" spans="1:11" x14ac:dyDescent="0.25">
      <c r="D39" s="2869"/>
      <c r="F39" s="3151"/>
      <c r="G39" s="3151"/>
      <c r="H39" s="3151"/>
    </row>
    <row r="40" spans="1:11" x14ac:dyDescent="0.25">
      <c r="D40" s="2869"/>
    </row>
  </sheetData>
  <mergeCells count="1">
    <mergeCell ref="A1:G1"/>
  </mergeCells>
  <printOptions horizontalCentered="1"/>
  <pageMargins left="0.7" right="0.7" top="0.75" bottom="0.75" header="0.3" footer="0.3"/>
  <pageSetup paperSize="9" scale="65"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BXX38"/>
  <sheetViews>
    <sheetView showGridLines="0" zoomScale="70" zoomScaleNormal="70" zoomScaleSheetLayoutView="85" workbookViewId="0">
      <pane xSplit="1" ySplit="3" topLeftCell="Z10" activePane="bottomRight" state="frozen"/>
      <selection activeCell="A38" sqref="A38"/>
      <selection pane="topRight" activeCell="A38" sqref="A38"/>
      <selection pane="bottomLeft" activeCell="A38" sqref="A38"/>
      <selection pane="bottomRight" activeCell="A38" sqref="A38"/>
    </sheetView>
  </sheetViews>
  <sheetFormatPr defaultColWidth="74.28515625" defaultRowHeight="20.25" x14ac:dyDescent="0.35"/>
  <cols>
    <col min="1" max="1" width="78.7109375" style="625" customWidth="1"/>
    <col min="2" max="7" width="12.42578125" style="625" hidden="1" customWidth="1"/>
    <col min="8" max="8" width="12.85546875" style="625" hidden="1" customWidth="1"/>
    <col min="9" max="25" width="12.42578125" style="625" hidden="1" customWidth="1"/>
    <col min="26" max="38" width="12.42578125" style="625" customWidth="1"/>
    <col min="39" max="39" width="74.28515625" style="627" customWidth="1"/>
    <col min="40" max="16384" width="74.28515625" style="627"/>
  </cols>
  <sheetData>
    <row r="1" spans="1:39" ht="18.75" x14ac:dyDescent="0.3">
      <c r="A1" s="3152" t="s">
        <v>5525</v>
      </c>
      <c r="B1" s="627"/>
      <c r="C1" s="627"/>
      <c r="D1" s="627"/>
      <c r="E1" s="627"/>
      <c r="F1" s="627"/>
      <c r="G1" s="627"/>
      <c r="H1" s="627"/>
      <c r="I1" s="627"/>
      <c r="J1" s="627"/>
      <c r="K1" s="627"/>
      <c r="L1" s="627"/>
      <c r="M1" s="627"/>
      <c r="N1" s="627"/>
      <c r="O1" s="627"/>
      <c r="P1" s="627"/>
      <c r="Q1" s="627"/>
      <c r="R1" s="627"/>
      <c r="S1" s="627"/>
      <c r="T1" s="627"/>
      <c r="U1" s="627"/>
      <c r="V1" s="627"/>
      <c r="W1" s="627"/>
      <c r="X1" s="627"/>
      <c r="Y1" s="627"/>
      <c r="Z1" s="627"/>
      <c r="AA1" s="627"/>
      <c r="AB1" s="627"/>
      <c r="AC1" s="627"/>
      <c r="AD1" s="627"/>
      <c r="AE1" s="627"/>
      <c r="AF1" s="627"/>
      <c r="AG1" s="627"/>
      <c r="AH1" s="627"/>
      <c r="AI1" s="627"/>
      <c r="AJ1" s="627"/>
      <c r="AK1" s="627"/>
      <c r="AL1" s="627"/>
    </row>
    <row r="2" spans="1:39" ht="19.5" customHeight="1" thickBot="1" x14ac:dyDescent="0.4">
      <c r="A2" s="3153"/>
      <c r="B2" s="3154"/>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5" t="s">
        <v>2734</v>
      </c>
    </row>
    <row r="3" spans="1:39" s="3158" customFormat="1" ht="30" customHeight="1" thickTop="1" thickBot="1" x14ac:dyDescent="0.35">
      <c r="A3" s="3156"/>
      <c r="B3" s="3157">
        <v>43435</v>
      </c>
      <c r="C3" s="3157">
        <v>43466</v>
      </c>
      <c r="D3" s="3157">
        <v>43497</v>
      </c>
      <c r="E3" s="3157">
        <v>43525</v>
      </c>
      <c r="F3" s="3157">
        <v>43556</v>
      </c>
      <c r="G3" s="3157">
        <v>43586</v>
      </c>
      <c r="H3" s="3157">
        <v>43617</v>
      </c>
      <c r="I3" s="3157">
        <v>43647</v>
      </c>
      <c r="J3" s="3157">
        <v>43678</v>
      </c>
      <c r="K3" s="3157">
        <v>43709</v>
      </c>
      <c r="L3" s="3157">
        <v>43739</v>
      </c>
      <c r="M3" s="3157">
        <v>43770</v>
      </c>
      <c r="N3" s="3157">
        <v>43800</v>
      </c>
      <c r="O3" s="3157">
        <v>43831</v>
      </c>
      <c r="P3" s="3157" t="s">
        <v>4802</v>
      </c>
      <c r="Q3" s="3157" t="s">
        <v>900</v>
      </c>
      <c r="R3" s="3157" t="s">
        <v>311</v>
      </c>
      <c r="S3" s="3157" t="s">
        <v>312</v>
      </c>
      <c r="T3" s="3157">
        <v>43983</v>
      </c>
      <c r="U3" s="3157">
        <v>44013</v>
      </c>
      <c r="V3" s="3157">
        <v>44044</v>
      </c>
      <c r="W3" s="3157">
        <v>44075</v>
      </c>
      <c r="X3" s="3157">
        <v>44105</v>
      </c>
      <c r="Y3" s="3157">
        <v>44136</v>
      </c>
      <c r="Z3" s="3157">
        <v>44166</v>
      </c>
      <c r="AA3" s="3157">
        <v>44197</v>
      </c>
      <c r="AB3" s="3157">
        <v>44228</v>
      </c>
      <c r="AC3" s="3157">
        <v>44256</v>
      </c>
      <c r="AD3" s="3157">
        <v>44287</v>
      </c>
      <c r="AE3" s="3157">
        <v>44317</v>
      </c>
      <c r="AF3" s="3157">
        <v>44348</v>
      </c>
      <c r="AG3" s="3157">
        <v>44378</v>
      </c>
      <c r="AH3" s="3157">
        <v>44409</v>
      </c>
      <c r="AI3" s="3157">
        <v>44440</v>
      </c>
      <c r="AJ3" s="3157">
        <v>44470</v>
      </c>
      <c r="AK3" s="3157">
        <v>44502</v>
      </c>
      <c r="AL3" s="3157">
        <v>44531</v>
      </c>
    </row>
    <row r="4" spans="1:39" ht="21" customHeight="1" thickTop="1" x14ac:dyDescent="0.3">
      <c r="A4" s="2829" t="s">
        <v>2737</v>
      </c>
      <c r="B4" s="2830">
        <v>158512.93310505582</v>
      </c>
      <c r="C4" s="2830">
        <v>156176.79907123878</v>
      </c>
      <c r="D4" s="2830">
        <v>155559.312910254</v>
      </c>
      <c r="E4" s="2830">
        <v>157176.41799536388</v>
      </c>
      <c r="F4" s="2830">
        <v>155777.31136773273</v>
      </c>
      <c r="G4" s="2830">
        <v>156106.32268643624</v>
      </c>
      <c r="H4" s="2830">
        <v>157047.73795297285</v>
      </c>
      <c r="I4" s="2830">
        <v>156235.82846183961</v>
      </c>
      <c r="J4" s="2830">
        <v>155665.62861001887</v>
      </c>
      <c r="K4" s="2830">
        <v>155894.77198606762</v>
      </c>
      <c r="L4" s="2830">
        <v>157710.24959835861</v>
      </c>
      <c r="M4" s="2830">
        <v>160075.11680521537</v>
      </c>
      <c r="N4" s="2830">
        <v>158829.19991170664</v>
      </c>
      <c r="O4" s="2830">
        <v>158109.92677278758</v>
      </c>
      <c r="P4" s="2830">
        <v>155027.02874682622</v>
      </c>
      <c r="Q4" s="2830">
        <v>157070.60830749874</v>
      </c>
      <c r="R4" s="2830">
        <v>158086.55734955327</v>
      </c>
      <c r="S4" s="2830">
        <v>159423.89086724311</v>
      </c>
      <c r="T4" s="2830">
        <v>162560.29688116137</v>
      </c>
      <c r="U4" s="2830">
        <v>163940.37218923523</v>
      </c>
      <c r="V4" s="2830">
        <v>165212.32898886659</v>
      </c>
      <c r="W4" s="2830">
        <v>166323.64675499118</v>
      </c>
      <c r="X4" s="2830">
        <v>167249.09921072589</v>
      </c>
      <c r="Y4" s="2830">
        <v>172271.11478658416</v>
      </c>
      <c r="Z4" s="2830">
        <v>173239.41630281007</v>
      </c>
      <c r="AA4" s="2830">
        <v>174511.11845219147</v>
      </c>
      <c r="AB4" s="2830">
        <v>177629.54095807864</v>
      </c>
      <c r="AC4" s="2830">
        <v>175261.56960601482</v>
      </c>
      <c r="AD4" s="2830">
        <v>175985.01713520562</v>
      </c>
      <c r="AE4" s="2830">
        <v>176630.80346289391</v>
      </c>
      <c r="AF4" s="2830">
        <v>176095.04113275107</v>
      </c>
      <c r="AG4" s="2830">
        <v>173243.77049709883</v>
      </c>
      <c r="AH4" s="2830">
        <v>172210.92636174805</v>
      </c>
      <c r="AI4" s="2830">
        <v>170872.94173904258</v>
      </c>
      <c r="AJ4" s="2830">
        <v>172961.34435037069</v>
      </c>
      <c r="AK4" s="2830">
        <v>173457.1885799703</v>
      </c>
      <c r="AL4" s="2830">
        <v>171636.20671151546</v>
      </c>
    </row>
    <row r="5" spans="1:39" ht="21" customHeight="1" x14ac:dyDescent="0.3">
      <c r="A5" s="2832" t="s">
        <v>2738</v>
      </c>
      <c r="B5" s="2833">
        <v>13047.279731130708</v>
      </c>
      <c r="C5" s="2833">
        <v>13028.920190513672</v>
      </c>
      <c r="D5" s="2833">
        <v>13338.828392184547</v>
      </c>
      <c r="E5" s="2833">
        <v>13956.499425182839</v>
      </c>
      <c r="F5" s="2833">
        <v>13175.933777549408</v>
      </c>
      <c r="G5" s="2833">
        <v>12504.634318057073</v>
      </c>
      <c r="H5" s="2833">
        <v>14147.519214386912</v>
      </c>
      <c r="I5" s="2833">
        <v>13790.894689327008</v>
      </c>
      <c r="J5" s="2833">
        <v>11264.416213562248</v>
      </c>
      <c r="K5" s="2833">
        <v>11474.904579235619</v>
      </c>
      <c r="L5" s="2833">
        <v>11717.444321068455</v>
      </c>
      <c r="M5" s="2833">
        <v>12486.49423869058</v>
      </c>
      <c r="N5" s="2833">
        <v>13172.099934014248</v>
      </c>
      <c r="O5" s="2833">
        <v>12845.577172030646</v>
      </c>
      <c r="P5" s="2833">
        <v>12171.83072583594</v>
      </c>
      <c r="Q5" s="2833">
        <v>11986.028141263392</v>
      </c>
      <c r="R5" s="2833">
        <v>12684.021258498115</v>
      </c>
      <c r="S5" s="2833">
        <v>12101.209585709285</v>
      </c>
      <c r="T5" s="2833">
        <v>12161.374791376244</v>
      </c>
      <c r="U5" s="2833">
        <v>12151.495247312354</v>
      </c>
      <c r="V5" s="2833">
        <v>12551.822126785599</v>
      </c>
      <c r="W5" s="2833">
        <v>13139.993910879541</v>
      </c>
      <c r="X5" s="2833">
        <v>13846.5103259567</v>
      </c>
      <c r="Y5" s="2833">
        <v>14082.199728696101</v>
      </c>
      <c r="Z5" s="2833">
        <v>14612.724429194117</v>
      </c>
      <c r="AA5" s="2833">
        <v>14482.280906990763</v>
      </c>
      <c r="AB5" s="2833">
        <v>14370.380578511233</v>
      </c>
      <c r="AC5" s="2833">
        <v>14183.329417887086</v>
      </c>
      <c r="AD5" s="2833">
        <v>12692.128440030836</v>
      </c>
      <c r="AE5" s="2833">
        <v>12717.669565106342</v>
      </c>
      <c r="AF5" s="2833">
        <v>12510.222352197976</v>
      </c>
      <c r="AG5" s="2833">
        <v>12458.869671010003</v>
      </c>
      <c r="AH5" s="2833">
        <v>12323.676324226843</v>
      </c>
      <c r="AI5" s="2833">
        <v>12106.149519959015</v>
      </c>
      <c r="AJ5" s="2833">
        <v>11425.269671392629</v>
      </c>
      <c r="AK5" s="2833">
        <v>11375.31000347917</v>
      </c>
      <c r="AL5" s="2833">
        <v>10915.581729012145</v>
      </c>
    </row>
    <row r="6" spans="1:39" s="2703" customFormat="1" ht="21" customHeight="1" x14ac:dyDescent="0.3">
      <c r="A6" s="2832" t="s">
        <v>2744</v>
      </c>
      <c r="B6" s="2833">
        <v>70.808454440000006</v>
      </c>
      <c r="C6" s="2833">
        <v>69.926823560000003</v>
      </c>
      <c r="D6" s="2833">
        <v>68.461309540000002</v>
      </c>
      <c r="E6" s="2833">
        <v>68.91741442</v>
      </c>
      <c r="F6" s="2833">
        <v>68.01520902</v>
      </c>
      <c r="G6" s="2833">
        <v>67.115435640000001</v>
      </c>
      <c r="H6" s="2833">
        <v>87.216233729999999</v>
      </c>
      <c r="I6" s="2833">
        <v>44.030005299999999</v>
      </c>
      <c r="J6" s="2833">
        <v>44.829708489999994</v>
      </c>
      <c r="K6" s="2833">
        <v>44.057800919999991</v>
      </c>
      <c r="L6" s="2833">
        <v>44.204257439999999</v>
      </c>
      <c r="M6" s="2833">
        <v>43.420813669999994</v>
      </c>
      <c r="N6" s="2833">
        <v>43.79300117999999</v>
      </c>
      <c r="O6" s="2833">
        <v>42.818415430000002</v>
      </c>
      <c r="P6" s="2833">
        <v>42.53259414</v>
      </c>
      <c r="Q6" s="2833">
        <v>48.742098580000004</v>
      </c>
      <c r="R6" s="2833">
        <v>41.880742009999999</v>
      </c>
      <c r="S6" s="2833">
        <v>41.950179869999999</v>
      </c>
      <c r="T6" s="2833">
        <v>42.063946999999999</v>
      </c>
      <c r="U6" s="2833">
        <v>42.064691390000007</v>
      </c>
      <c r="V6" s="2833">
        <v>42.195459270000001</v>
      </c>
      <c r="W6" s="2833">
        <v>2.1504089999999998</v>
      </c>
      <c r="X6" s="2833">
        <v>2.1650823099999998</v>
      </c>
      <c r="Y6" s="2833">
        <v>2.2737708599999999</v>
      </c>
      <c r="Z6" s="2833">
        <v>2.2504919900000004</v>
      </c>
      <c r="AA6" s="2833">
        <v>2.2670240000000002</v>
      </c>
      <c r="AB6" s="2833">
        <v>2.2869962000000004</v>
      </c>
      <c r="AC6" s="2833">
        <v>2.30494332</v>
      </c>
      <c r="AD6" s="2833">
        <v>0.81232177000000005</v>
      </c>
      <c r="AE6" s="2833">
        <v>1.3217221499999998</v>
      </c>
      <c r="AF6" s="2833">
        <v>1.86552451</v>
      </c>
      <c r="AG6" s="2833">
        <v>2.2260569100000001</v>
      </c>
      <c r="AH6" s="2833">
        <v>2.3274240600000002</v>
      </c>
      <c r="AI6" s="2833">
        <v>2.3436036699999998</v>
      </c>
      <c r="AJ6" s="2833">
        <v>2.18749086</v>
      </c>
      <c r="AK6" s="2833">
        <v>2.308065</v>
      </c>
      <c r="AL6" s="2833">
        <v>2.3050745099999999</v>
      </c>
    </row>
    <row r="7" spans="1:39" s="2703" customFormat="1" ht="21" customHeight="1" x14ac:dyDescent="0.3">
      <c r="A7" s="2832" t="s">
        <v>2745</v>
      </c>
      <c r="B7" s="2833">
        <v>23981.179039734518</v>
      </c>
      <c r="C7" s="2833">
        <v>23999.711968565542</v>
      </c>
      <c r="D7" s="2833">
        <v>23234.766982419998</v>
      </c>
      <c r="E7" s="2833">
        <v>23998.443679835873</v>
      </c>
      <c r="F7" s="2833">
        <v>23656.957258728187</v>
      </c>
      <c r="G7" s="2833">
        <v>24119.601870569884</v>
      </c>
      <c r="H7" s="2833">
        <v>22525.299079888478</v>
      </c>
      <c r="I7" s="2833">
        <v>22642.784235894014</v>
      </c>
      <c r="J7" s="2833">
        <v>21954.250832137957</v>
      </c>
      <c r="K7" s="2833">
        <v>21495.855381336893</v>
      </c>
      <c r="L7" s="2833">
        <v>21482.530849012772</v>
      </c>
      <c r="M7" s="2833">
        <v>21585.882983112366</v>
      </c>
      <c r="N7" s="2833">
        <v>21885.937184484981</v>
      </c>
      <c r="O7" s="2833">
        <v>22098.505558605117</v>
      </c>
      <c r="P7" s="2833">
        <v>21584.619325079337</v>
      </c>
      <c r="Q7" s="2833">
        <v>21736.202814859342</v>
      </c>
      <c r="R7" s="2833">
        <v>22012.323638679365</v>
      </c>
      <c r="S7" s="2833">
        <v>22999.245957246225</v>
      </c>
      <c r="T7" s="2833">
        <v>23162.726524735568</v>
      </c>
      <c r="U7" s="2833">
        <v>22594.147387625617</v>
      </c>
      <c r="V7" s="2833">
        <v>22270.012782734033</v>
      </c>
      <c r="W7" s="2833">
        <v>21240.7382201648</v>
      </c>
      <c r="X7" s="2833">
        <v>21370.426175727262</v>
      </c>
      <c r="Y7" s="2833">
        <v>21445.367282544248</v>
      </c>
      <c r="Z7" s="2833">
        <v>21326.911107629861</v>
      </c>
      <c r="AA7" s="2833">
        <v>22187.646496585847</v>
      </c>
      <c r="AB7" s="2833">
        <v>21418.493662607907</v>
      </c>
      <c r="AC7" s="2833">
        <v>20646.994413098248</v>
      </c>
      <c r="AD7" s="2833">
        <v>20734.429404388622</v>
      </c>
      <c r="AE7" s="2833">
        <v>20596.008722094131</v>
      </c>
      <c r="AF7" s="2833">
        <v>20636.569175158955</v>
      </c>
      <c r="AG7" s="2833">
        <v>20457.727296515153</v>
      </c>
      <c r="AH7" s="2833">
        <v>20342.89395600191</v>
      </c>
      <c r="AI7" s="2833">
        <v>19773.65885797438</v>
      </c>
      <c r="AJ7" s="2833">
        <v>20848.82917263803</v>
      </c>
      <c r="AK7" s="2833">
        <v>20713.851710168747</v>
      </c>
      <c r="AL7" s="2833">
        <v>20273.429864471917</v>
      </c>
    </row>
    <row r="8" spans="1:39" s="2703" customFormat="1" ht="21" customHeight="1" x14ac:dyDescent="0.3">
      <c r="A8" s="2832" t="s">
        <v>2768</v>
      </c>
      <c r="B8" s="2833">
        <v>4412.3720852048655</v>
      </c>
      <c r="C8" s="2833">
        <v>4441.3158730599989</v>
      </c>
      <c r="D8" s="2833">
        <v>4116.7991356000002</v>
      </c>
      <c r="E8" s="2833">
        <v>4189.2393139254018</v>
      </c>
      <c r="F8" s="2833">
        <v>4263.0469148194288</v>
      </c>
      <c r="G8" s="2833">
        <v>4335.0999730688081</v>
      </c>
      <c r="H8" s="2833">
        <v>4742.9754124999672</v>
      </c>
      <c r="I8" s="2833">
        <v>4533.9441483499986</v>
      </c>
      <c r="J8" s="2833">
        <v>4560.0265176800003</v>
      </c>
      <c r="K8" s="2833">
        <v>4546.4298366699995</v>
      </c>
      <c r="L8" s="2833">
        <v>4602.9665903600007</v>
      </c>
      <c r="M8" s="2833">
        <v>4691.5038830453896</v>
      </c>
      <c r="N8" s="2833">
        <v>4290.47817149</v>
      </c>
      <c r="O8" s="2833">
        <v>4256.0865811900003</v>
      </c>
      <c r="P8" s="2833">
        <v>4134.5035669399995</v>
      </c>
      <c r="Q8" s="2833">
        <v>4245.4066414700001</v>
      </c>
      <c r="R8" s="2833">
        <v>4231.4683437900003</v>
      </c>
      <c r="S8" s="2833">
        <v>4294.0903105299994</v>
      </c>
      <c r="T8" s="2833">
        <v>4291.3451237399995</v>
      </c>
      <c r="U8" s="2833">
        <v>3436.8730822299999</v>
      </c>
      <c r="V8" s="2833">
        <v>3544.2517874499999</v>
      </c>
      <c r="W8" s="2833">
        <v>3483.6579102999995</v>
      </c>
      <c r="X8" s="2833">
        <v>3510.1041370100002</v>
      </c>
      <c r="Y8" s="2833">
        <v>3503.4701529399999</v>
      </c>
      <c r="Z8" s="2833">
        <v>3346.7853945400007</v>
      </c>
      <c r="AA8" s="2833">
        <v>3498.5202429299998</v>
      </c>
      <c r="AB8" s="2833">
        <v>3528.2013638900003</v>
      </c>
      <c r="AC8" s="2833">
        <v>3417.8375146000003</v>
      </c>
      <c r="AD8" s="2833">
        <v>3859.26199576</v>
      </c>
      <c r="AE8" s="2833">
        <v>3906.4620248699998</v>
      </c>
      <c r="AF8" s="2833">
        <v>3815.4481699399994</v>
      </c>
      <c r="AG8" s="2833">
        <v>3829.2538815600001</v>
      </c>
      <c r="AH8" s="2833">
        <v>3904.7027336099995</v>
      </c>
      <c r="AI8" s="2833">
        <v>3944.1949184099994</v>
      </c>
      <c r="AJ8" s="2833">
        <v>4100.3116273999995</v>
      </c>
      <c r="AK8" s="2833">
        <v>4205.9434887199996</v>
      </c>
      <c r="AL8" s="2833">
        <v>4077.6473905800003</v>
      </c>
    </row>
    <row r="9" spans="1:39" s="2703" customFormat="1" ht="21" customHeight="1" x14ac:dyDescent="0.3">
      <c r="A9" s="2832" t="s">
        <v>2769</v>
      </c>
      <c r="B9" s="2833">
        <v>163.86700480000002</v>
      </c>
      <c r="C9" s="2833">
        <v>162.10704654</v>
      </c>
      <c r="D9" s="2833">
        <v>169.89965837</v>
      </c>
      <c r="E9" s="2833">
        <v>160.14100066</v>
      </c>
      <c r="F9" s="2833">
        <v>169.89227180999998</v>
      </c>
      <c r="G9" s="2833">
        <v>167.28082714000001</v>
      </c>
      <c r="H9" s="2833">
        <v>165.60684165999999</v>
      </c>
      <c r="I9" s="2833">
        <v>163.08224885999999</v>
      </c>
      <c r="J9" s="2833">
        <v>157.31331079999998</v>
      </c>
      <c r="K9" s="2833">
        <v>156.98074539999999</v>
      </c>
      <c r="L9" s="2833">
        <v>160.83398560000001</v>
      </c>
      <c r="M9" s="2833">
        <v>153.04045567</v>
      </c>
      <c r="N9" s="2833">
        <v>178.50163032</v>
      </c>
      <c r="O9" s="2833">
        <v>169.30126107000001</v>
      </c>
      <c r="P9" s="2833">
        <v>155.56229945000001</v>
      </c>
      <c r="Q9" s="2833">
        <v>156.36168997000001</v>
      </c>
      <c r="R9" s="2833">
        <v>145.32306366</v>
      </c>
      <c r="S9" s="2833">
        <v>144.88703622</v>
      </c>
      <c r="T9" s="2833">
        <v>137.93518655</v>
      </c>
      <c r="U9" s="2833">
        <v>144.42753895000001</v>
      </c>
      <c r="V9" s="2833">
        <v>144.07684077000002</v>
      </c>
      <c r="W9" s="2833">
        <v>131.80990048000001</v>
      </c>
      <c r="X9" s="2833">
        <v>133.71977916</v>
      </c>
      <c r="Y9" s="2833">
        <v>136.63254471000002</v>
      </c>
      <c r="Z9" s="2833">
        <v>140.81951545000001</v>
      </c>
      <c r="AA9" s="2833">
        <v>143.46674062000002</v>
      </c>
      <c r="AB9" s="2833">
        <v>135.0943795</v>
      </c>
      <c r="AC9" s="2833">
        <v>134.63193837</v>
      </c>
      <c r="AD9" s="2833">
        <v>115.89166911999999</v>
      </c>
      <c r="AE9" s="2833">
        <v>117.26920045999998</v>
      </c>
      <c r="AF9" s="2833">
        <v>110.74237250000002</v>
      </c>
      <c r="AG9" s="2833">
        <v>142.78335443</v>
      </c>
      <c r="AH9" s="2833">
        <v>194.82521812000005</v>
      </c>
      <c r="AI9" s="2833">
        <v>256.18211001999998</v>
      </c>
      <c r="AJ9" s="2833">
        <v>254.46689935999999</v>
      </c>
      <c r="AK9" s="2833">
        <v>345.46743459999999</v>
      </c>
      <c r="AL9" s="2833">
        <v>343.60190081000002</v>
      </c>
    </row>
    <row r="10" spans="1:39" ht="21" customHeight="1" x14ac:dyDescent="0.3">
      <c r="A10" s="2832" t="s">
        <v>2770</v>
      </c>
      <c r="B10" s="2833">
        <v>20160.381574957319</v>
      </c>
      <c r="C10" s="2833">
        <v>19710.980177258956</v>
      </c>
      <c r="D10" s="2833">
        <v>19555.553487326873</v>
      </c>
      <c r="E10" s="2833">
        <v>19829.107341328967</v>
      </c>
      <c r="F10" s="2833">
        <v>19405.830580150825</v>
      </c>
      <c r="G10" s="2833">
        <v>19549.930824703155</v>
      </c>
      <c r="H10" s="2833">
        <v>18530.252900189818</v>
      </c>
      <c r="I10" s="2833">
        <v>18600.977000758634</v>
      </c>
      <c r="J10" s="2833">
        <v>18863.69621479441</v>
      </c>
      <c r="K10" s="2833">
        <v>18902.199191428786</v>
      </c>
      <c r="L10" s="2833">
        <v>19497.038842197759</v>
      </c>
      <c r="M10" s="2833">
        <v>19636.133284621937</v>
      </c>
      <c r="N10" s="2833">
        <v>19919.52115390863</v>
      </c>
      <c r="O10" s="2833">
        <v>19822.761949744294</v>
      </c>
      <c r="P10" s="2833">
        <v>19592.694517441021</v>
      </c>
      <c r="Q10" s="2833">
        <v>19155.616632189493</v>
      </c>
      <c r="R10" s="2833">
        <v>19369.580815703634</v>
      </c>
      <c r="S10" s="2833">
        <v>19319.270492094925</v>
      </c>
      <c r="T10" s="2833">
        <v>19798.496291407562</v>
      </c>
      <c r="U10" s="2833">
        <v>19838.825496268899</v>
      </c>
      <c r="V10" s="2833">
        <v>19915.59955949257</v>
      </c>
      <c r="W10" s="2833">
        <v>20148.123561256318</v>
      </c>
      <c r="X10" s="2833">
        <v>19748.943854913268</v>
      </c>
      <c r="Y10" s="2833">
        <v>20209.653852472369</v>
      </c>
      <c r="Z10" s="2833">
        <v>20068.589095498242</v>
      </c>
      <c r="AA10" s="2833">
        <v>20258.576287284857</v>
      </c>
      <c r="AB10" s="2833">
        <v>20740.379299445787</v>
      </c>
      <c r="AC10" s="2833">
        <v>20788.518788180856</v>
      </c>
      <c r="AD10" s="2833">
        <v>16812.451549526497</v>
      </c>
      <c r="AE10" s="2833">
        <v>16818.379975067288</v>
      </c>
      <c r="AF10" s="2833">
        <v>17249.544331875037</v>
      </c>
      <c r="AG10" s="2833">
        <v>16671.867293585161</v>
      </c>
      <c r="AH10" s="2833">
        <v>16585.128403111376</v>
      </c>
      <c r="AI10" s="2833">
        <v>16603.372820336957</v>
      </c>
      <c r="AJ10" s="2833">
        <v>16833.168290527414</v>
      </c>
      <c r="AK10" s="2833">
        <v>16886.595540045597</v>
      </c>
      <c r="AL10" s="2833">
        <v>16799.390481350165</v>
      </c>
      <c r="AM10" s="2703"/>
    </row>
    <row r="11" spans="1:39" ht="21" customHeight="1" x14ac:dyDescent="0.3">
      <c r="A11" s="2832" t="s">
        <v>2780</v>
      </c>
      <c r="B11" s="2833">
        <v>24696.943584104411</v>
      </c>
      <c r="C11" s="2833">
        <v>24482.663036116712</v>
      </c>
      <c r="D11" s="2833">
        <v>25202.084896078071</v>
      </c>
      <c r="E11" s="2833">
        <v>25092.835939981163</v>
      </c>
      <c r="F11" s="2833">
        <v>24530.886053230377</v>
      </c>
      <c r="G11" s="2833">
        <v>24926.865502970086</v>
      </c>
      <c r="H11" s="2833">
        <v>25728.193414111905</v>
      </c>
      <c r="I11" s="2833">
        <v>25071.826491368221</v>
      </c>
      <c r="J11" s="2833">
        <v>25616.925527024934</v>
      </c>
      <c r="K11" s="2833">
        <v>26561.361469714338</v>
      </c>
      <c r="L11" s="2833">
        <v>26602.45237020226</v>
      </c>
      <c r="M11" s="2833">
        <v>27038.598485840859</v>
      </c>
      <c r="N11" s="2833">
        <v>24256.976176717992</v>
      </c>
      <c r="O11" s="2833">
        <v>24694.848161147322</v>
      </c>
      <c r="P11" s="2833">
        <v>24147.678586824113</v>
      </c>
      <c r="Q11" s="2833">
        <v>24111.024907990173</v>
      </c>
      <c r="R11" s="2833">
        <v>23423.441832968216</v>
      </c>
      <c r="S11" s="2833">
        <v>23764.674324854881</v>
      </c>
      <c r="T11" s="2833">
        <v>24192.170942217046</v>
      </c>
      <c r="U11" s="2833">
        <v>24128.365592832888</v>
      </c>
      <c r="V11" s="2833">
        <v>23596.459194431762</v>
      </c>
      <c r="W11" s="2833">
        <v>24431.768504288397</v>
      </c>
      <c r="X11" s="2833">
        <v>23839.355005042496</v>
      </c>
      <c r="Y11" s="2833">
        <v>24371.844420055597</v>
      </c>
      <c r="Z11" s="2833">
        <v>23718.217639280083</v>
      </c>
      <c r="AA11" s="2833">
        <v>24201.205175347804</v>
      </c>
      <c r="AB11" s="2833">
        <v>23774.297309213631</v>
      </c>
      <c r="AC11" s="2833">
        <v>24029.09207699513</v>
      </c>
      <c r="AD11" s="2833">
        <v>24239.932360575494</v>
      </c>
      <c r="AE11" s="2833">
        <v>23785.326990273184</v>
      </c>
      <c r="AF11" s="2833">
        <v>23498.190297985977</v>
      </c>
      <c r="AG11" s="2833">
        <v>22864.980161106327</v>
      </c>
      <c r="AH11" s="2833">
        <v>21914.523912395376</v>
      </c>
      <c r="AI11" s="2833">
        <v>21946.518729684038</v>
      </c>
      <c r="AJ11" s="2833">
        <v>22217.24997735682</v>
      </c>
      <c r="AK11" s="2833">
        <v>23344.133248439561</v>
      </c>
      <c r="AL11" s="2833">
        <v>22401.48768630363</v>
      </c>
    </row>
    <row r="12" spans="1:39" ht="21" customHeight="1" x14ac:dyDescent="0.3">
      <c r="A12" s="2832" t="s">
        <v>2784</v>
      </c>
      <c r="B12" s="2833">
        <v>3666.4427433965648</v>
      </c>
      <c r="C12" s="2833">
        <v>3676.901831600781</v>
      </c>
      <c r="D12" s="2833">
        <v>3648.3280808459285</v>
      </c>
      <c r="E12" s="2833">
        <v>3768.1505510332645</v>
      </c>
      <c r="F12" s="2833">
        <v>3774.2724302064835</v>
      </c>
      <c r="G12" s="2833">
        <v>3725.6487341874395</v>
      </c>
      <c r="H12" s="2833">
        <v>3753.8561423111018</v>
      </c>
      <c r="I12" s="2833">
        <v>3786.4175798419701</v>
      </c>
      <c r="J12" s="2833">
        <v>3695.6811222136262</v>
      </c>
      <c r="K12" s="2833">
        <v>3909.5876638281488</v>
      </c>
      <c r="L12" s="2833">
        <v>3990.2381741011081</v>
      </c>
      <c r="M12" s="2833">
        <v>4130.4766639854124</v>
      </c>
      <c r="N12" s="2833">
        <v>3850.7591331895574</v>
      </c>
      <c r="O12" s="2833">
        <v>3786.1801009899277</v>
      </c>
      <c r="P12" s="2833">
        <v>3703.7094429521485</v>
      </c>
      <c r="Q12" s="2833">
        <v>4071.4741167698603</v>
      </c>
      <c r="R12" s="2833">
        <v>4046.062154211158</v>
      </c>
      <c r="S12" s="2833">
        <v>4053.6602924487124</v>
      </c>
      <c r="T12" s="2833">
        <v>4670.8504502242849</v>
      </c>
      <c r="U12" s="2833">
        <v>4668.7991359649504</v>
      </c>
      <c r="V12" s="2833">
        <v>4822.3742884810335</v>
      </c>
      <c r="W12" s="2833">
        <v>5009.5711994347103</v>
      </c>
      <c r="X12" s="2833">
        <v>5048.2620714017439</v>
      </c>
      <c r="Y12" s="2833">
        <v>4971.3235806414532</v>
      </c>
      <c r="Z12" s="2833">
        <v>4989.3818303649441</v>
      </c>
      <c r="AA12" s="2833">
        <v>5050.8464218871568</v>
      </c>
      <c r="AB12" s="2833">
        <v>5061.3071111099025</v>
      </c>
      <c r="AC12" s="2833">
        <v>6204.7360015554823</v>
      </c>
      <c r="AD12" s="2833">
        <v>6374.6342448600089</v>
      </c>
      <c r="AE12" s="2833">
        <v>6463.583834660616</v>
      </c>
      <c r="AF12" s="2833">
        <v>6246.5768161268616</v>
      </c>
      <c r="AG12" s="2833">
        <v>4987.7255037478535</v>
      </c>
      <c r="AH12" s="2833">
        <v>4934.4483477504409</v>
      </c>
      <c r="AI12" s="2833">
        <v>4933.6096199319099</v>
      </c>
      <c r="AJ12" s="2833">
        <v>5026.2605331301811</v>
      </c>
      <c r="AK12" s="2833">
        <v>5210.687962110047</v>
      </c>
      <c r="AL12" s="2833">
        <v>5064.9707640713204</v>
      </c>
    </row>
    <row r="13" spans="1:39" ht="21" customHeight="1" x14ac:dyDescent="0.3">
      <c r="A13" s="2832" t="s">
        <v>2790</v>
      </c>
      <c r="B13" s="2833">
        <v>38793.068745323028</v>
      </c>
      <c r="C13" s="2833">
        <v>37823.616962911838</v>
      </c>
      <c r="D13" s="2833">
        <v>37740.876971017547</v>
      </c>
      <c r="E13" s="2833">
        <v>37614.786291354067</v>
      </c>
      <c r="F13" s="2833">
        <v>37632.484003006401</v>
      </c>
      <c r="G13" s="2833">
        <v>38185.517088296649</v>
      </c>
      <c r="H13" s="2833">
        <v>37909.204121887706</v>
      </c>
      <c r="I13" s="2833">
        <v>38128.653694148212</v>
      </c>
      <c r="J13" s="2833">
        <v>38783.180253459017</v>
      </c>
      <c r="K13" s="2833">
        <v>38264.199586790033</v>
      </c>
      <c r="L13" s="2833">
        <v>39002.284588300172</v>
      </c>
      <c r="M13" s="2833">
        <v>39119.653938196549</v>
      </c>
      <c r="N13" s="2833">
        <v>39558.412981099034</v>
      </c>
      <c r="O13" s="2833">
        <v>38962.103636535467</v>
      </c>
      <c r="P13" s="2833">
        <v>38206.891099927219</v>
      </c>
      <c r="Q13" s="2833">
        <v>39365.87904787228</v>
      </c>
      <c r="R13" s="2833">
        <v>40053.72744267113</v>
      </c>
      <c r="S13" s="2833">
        <v>41008.129499379698</v>
      </c>
      <c r="T13" s="2833">
        <v>41989.609506348548</v>
      </c>
      <c r="U13" s="2833">
        <v>44290.760990755218</v>
      </c>
      <c r="V13" s="2833">
        <v>45431.405250047457</v>
      </c>
      <c r="W13" s="2833">
        <v>46216.641469166396</v>
      </c>
      <c r="X13" s="2833">
        <v>46769.589970631627</v>
      </c>
      <c r="Y13" s="2833">
        <v>50286.200646568934</v>
      </c>
      <c r="Z13" s="2833">
        <v>51363.007846405933</v>
      </c>
      <c r="AA13" s="2833">
        <v>51468.205443348714</v>
      </c>
      <c r="AB13" s="2833">
        <v>52380.71782859767</v>
      </c>
      <c r="AC13" s="2833">
        <v>52355.457472521586</v>
      </c>
      <c r="AD13" s="2833">
        <v>55624.074385616892</v>
      </c>
      <c r="AE13" s="2833">
        <v>57178.699792004838</v>
      </c>
      <c r="AF13" s="2833">
        <v>56520.142495784312</v>
      </c>
      <c r="AG13" s="2833">
        <v>56491.340334682682</v>
      </c>
      <c r="AH13" s="2833">
        <v>56160.026325474522</v>
      </c>
      <c r="AI13" s="2833">
        <v>55194.615727390606</v>
      </c>
      <c r="AJ13" s="2833">
        <v>55864.117733105129</v>
      </c>
      <c r="AK13" s="2833">
        <v>54999.122943645067</v>
      </c>
      <c r="AL13" s="2833">
        <v>55107.971887438442</v>
      </c>
    </row>
    <row r="14" spans="1:39" ht="21" customHeight="1" x14ac:dyDescent="0.3">
      <c r="A14" s="2832" t="s">
        <v>2801</v>
      </c>
      <c r="B14" s="2833">
        <v>3140.4264033495288</v>
      </c>
      <c r="C14" s="2833">
        <v>3080.5680656875534</v>
      </c>
      <c r="D14" s="2833">
        <v>2999.227229262814</v>
      </c>
      <c r="E14" s="2833">
        <v>3005.0305717166102</v>
      </c>
      <c r="F14" s="2833">
        <v>3684.9943208361005</v>
      </c>
      <c r="G14" s="2833">
        <v>3602.88678693572</v>
      </c>
      <c r="H14" s="2833">
        <v>3114.7079290203565</v>
      </c>
      <c r="I14" s="2833">
        <v>3285.3254744111568</v>
      </c>
      <c r="J14" s="2833">
        <v>2974.1895169305262</v>
      </c>
      <c r="K14" s="2833">
        <v>3116.2749786114782</v>
      </c>
      <c r="L14" s="2833">
        <v>3117.2836090052378</v>
      </c>
      <c r="M14" s="2833">
        <v>3351.1480743317361</v>
      </c>
      <c r="N14" s="2833">
        <v>3563.9067462752496</v>
      </c>
      <c r="O14" s="2833">
        <v>3363.5030307959196</v>
      </c>
      <c r="P14" s="2833">
        <v>3217.0380462755438</v>
      </c>
      <c r="Q14" s="2833">
        <v>3799.6146829818858</v>
      </c>
      <c r="R14" s="2833">
        <v>3345.0256315119213</v>
      </c>
      <c r="S14" s="2833">
        <v>2823.7935341970051</v>
      </c>
      <c r="T14" s="2833">
        <v>2779.2811727938433</v>
      </c>
      <c r="U14" s="2833">
        <v>2802.8596124799456</v>
      </c>
      <c r="V14" s="2833">
        <v>3006.6108335885488</v>
      </c>
      <c r="W14" s="2833">
        <v>2428.1677571144655</v>
      </c>
      <c r="X14" s="2833">
        <v>2491.4769490418034</v>
      </c>
      <c r="Y14" s="2833">
        <v>2522.6092305210218</v>
      </c>
      <c r="Z14" s="2833">
        <v>2505.9451144462919</v>
      </c>
      <c r="AA14" s="2833">
        <v>2431.3427330706659</v>
      </c>
      <c r="AB14" s="2833">
        <v>2438.8398179158921</v>
      </c>
      <c r="AC14" s="2833">
        <v>2461.9642554068696</v>
      </c>
      <c r="AD14" s="2833">
        <v>2421.9424988419605</v>
      </c>
      <c r="AE14" s="2833">
        <v>2311.1927217399748</v>
      </c>
      <c r="AF14" s="2833">
        <v>2247.9602816119418</v>
      </c>
      <c r="AG14" s="2833">
        <v>2192.8131024874338</v>
      </c>
      <c r="AH14" s="2833">
        <v>2098.2016417985619</v>
      </c>
      <c r="AI14" s="2833">
        <v>2159.3694906176183</v>
      </c>
      <c r="AJ14" s="2833">
        <v>2075.0904242933539</v>
      </c>
      <c r="AK14" s="2833">
        <v>2149.5567034427827</v>
      </c>
      <c r="AL14" s="2833">
        <v>2493.6550545553746</v>
      </c>
    </row>
    <row r="15" spans="1:39" ht="21" customHeight="1" x14ac:dyDescent="0.3">
      <c r="A15" s="2832" t="s">
        <v>2808</v>
      </c>
      <c r="B15" s="2833">
        <v>13127.383936099144</v>
      </c>
      <c r="C15" s="2833">
        <v>12991.804279606024</v>
      </c>
      <c r="D15" s="2833">
        <v>13569.035340952969</v>
      </c>
      <c r="E15" s="2833">
        <v>13785.990548182579</v>
      </c>
      <c r="F15" s="2833">
        <v>13468.385201582174</v>
      </c>
      <c r="G15" s="2833">
        <v>13091.580289108475</v>
      </c>
      <c r="H15" s="2833">
        <v>14621.999283390509</v>
      </c>
      <c r="I15" s="2833">
        <v>14513.344936868307</v>
      </c>
      <c r="J15" s="2833">
        <v>15720.222509688003</v>
      </c>
      <c r="K15" s="2833">
        <v>15905.338415821247</v>
      </c>
      <c r="L15" s="2833">
        <v>16005.751516372969</v>
      </c>
      <c r="M15" s="2833">
        <v>16258.659735259378</v>
      </c>
      <c r="N15" s="2833">
        <v>16348.570251926461</v>
      </c>
      <c r="O15" s="2833">
        <v>16385.194551454471</v>
      </c>
      <c r="P15" s="2833">
        <v>16490.225167801473</v>
      </c>
      <c r="Q15" s="2833">
        <v>16685.05557113497</v>
      </c>
      <c r="R15" s="2833">
        <v>16892.655545196056</v>
      </c>
      <c r="S15" s="2833">
        <v>17013.007153586168</v>
      </c>
      <c r="T15" s="2833">
        <v>17015.341669725811</v>
      </c>
      <c r="U15" s="2833">
        <v>17586.50762556056</v>
      </c>
      <c r="V15" s="2833">
        <v>17697.378261714981</v>
      </c>
      <c r="W15" s="2833">
        <v>17899.450809767837</v>
      </c>
      <c r="X15" s="2833">
        <v>18151.558179249358</v>
      </c>
      <c r="Y15" s="2833">
        <v>18290.127968940131</v>
      </c>
      <c r="Z15" s="2833">
        <v>18589.356929104495</v>
      </c>
      <c r="AA15" s="2833">
        <v>18495.313654405767</v>
      </c>
      <c r="AB15" s="2833">
        <v>19136.577002980335</v>
      </c>
      <c r="AC15" s="2833">
        <v>18946.303219627967</v>
      </c>
      <c r="AD15" s="2833">
        <v>22818.886856346544</v>
      </c>
      <c r="AE15" s="2833">
        <v>22835.172744657619</v>
      </c>
      <c r="AF15" s="2833">
        <v>23072.069799933743</v>
      </c>
      <c r="AG15" s="2833">
        <v>22994.421846492456</v>
      </c>
      <c r="AH15" s="2833">
        <v>23484.205124688029</v>
      </c>
      <c r="AI15" s="2833">
        <v>23738.597843740572</v>
      </c>
      <c r="AJ15" s="2833">
        <v>23953.794331403009</v>
      </c>
      <c r="AK15" s="2833">
        <v>23738.22915797208</v>
      </c>
      <c r="AL15" s="2833">
        <v>23380.636585253353</v>
      </c>
    </row>
    <row r="16" spans="1:39" ht="21" customHeight="1" x14ac:dyDescent="0.3">
      <c r="A16" s="2832" t="s">
        <v>2809</v>
      </c>
      <c r="B16" s="2833">
        <v>3865.8759467982077</v>
      </c>
      <c r="C16" s="2833">
        <v>3504.3392265755829</v>
      </c>
      <c r="D16" s="2833">
        <v>2943.6248510359837</v>
      </c>
      <c r="E16" s="2833">
        <v>2772.2140663298223</v>
      </c>
      <c r="F16" s="2833">
        <v>2438.4379458740232</v>
      </c>
      <c r="G16" s="2833">
        <v>2533.0044296582782</v>
      </c>
      <c r="H16" s="2833">
        <v>2407.3024045014672</v>
      </c>
      <c r="I16" s="2833">
        <v>2303.7432689323841</v>
      </c>
      <c r="J16" s="2833">
        <v>2615.5975871605769</v>
      </c>
      <c r="K16" s="2833">
        <v>2104.5066612818482</v>
      </c>
      <c r="L16" s="2833">
        <v>2158.1225679349582</v>
      </c>
      <c r="M16" s="2833">
        <v>2233.8221990971033</v>
      </c>
      <c r="N16" s="2833">
        <v>2363.7071344280025</v>
      </c>
      <c r="O16" s="2833">
        <v>2352.2697033803402</v>
      </c>
      <c r="P16" s="2833">
        <v>2377.3666820810331</v>
      </c>
      <c r="Q16" s="2833">
        <v>2388.3464684831679</v>
      </c>
      <c r="R16" s="2833">
        <v>2465.0043601050211</v>
      </c>
      <c r="S16" s="2833">
        <v>2520.5914768099892</v>
      </c>
      <c r="T16" s="2833">
        <v>2824.8907066800007</v>
      </c>
      <c r="U16" s="2833">
        <v>2823.8395812900017</v>
      </c>
      <c r="V16" s="2833">
        <v>2714.93204393</v>
      </c>
      <c r="W16" s="2833">
        <v>2687.2154452607206</v>
      </c>
      <c r="X16" s="2833">
        <v>2833.6108237934754</v>
      </c>
      <c r="Y16" s="2833">
        <v>2853.879750546485</v>
      </c>
      <c r="Z16" s="2833">
        <v>2888.4273919256243</v>
      </c>
      <c r="AA16" s="2833">
        <v>2745.2225502404381</v>
      </c>
      <c r="AB16" s="2833">
        <v>2689.9362635698321</v>
      </c>
      <c r="AC16" s="2833">
        <v>2813.8707821065632</v>
      </c>
      <c r="AD16" s="2833">
        <v>2238.9642793976955</v>
      </c>
      <c r="AE16" s="2833">
        <v>2190.0060049900012</v>
      </c>
      <c r="AF16" s="2833">
        <v>2243.9999926776891</v>
      </c>
      <c r="AG16" s="2833">
        <v>2244.5821953722643</v>
      </c>
      <c r="AH16" s="2833">
        <v>2339.4433550006524</v>
      </c>
      <c r="AI16" s="2833">
        <v>2371.7083140734062</v>
      </c>
      <c r="AJ16" s="2833">
        <v>2552.1883955669368</v>
      </c>
      <c r="AK16" s="2833">
        <v>2668.4193759699997</v>
      </c>
      <c r="AL16" s="2833">
        <v>2719.6963785838102</v>
      </c>
    </row>
    <row r="17" spans="1:2000" ht="21" customHeight="1" x14ac:dyDescent="0.3">
      <c r="A17" s="2832" t="s">
        <v>2816</v>
      </c>
      <c r="B17" s="2833">
        <v>5345.1406620680373</v>
      </c>
      <c r="C17" s="2833">
        <v>5180.6438260015766</v>
      </c>
      <c r="D17" s="2833">
        <v>4962.1039881697616</v>
      </c>
      <c r="E17" s="2833">
        <v>5346.3164689704254</v>
      </c>
      <c r="F17" s="2833">
        <v>5276.8847124039112</v>
      </c>
      <c r="G17" s="2833">
        <v>5332.0341754106757</v>
      </c>
      <c r="H17" s="2833">
        <v>5371.7180124566876</v>
      </c>
      <c r="I17" s="2833">
        <v>5385.177360450276</v>
      </c>
      <c r="J17" s="2833">
        <v>5433.4735978667541</v>
      </c>
      <c r="K17" s="2833">
        <v>5494.8014554804704</v>
      </c>
      <c r="L17" s="2833">
        <v>5389.2861368256699</v>
      </c>
      <c r="M17" s="2833">
        <v>5319.5233582753817</v>
      </c>
      <c r="N17" s="2833">
        <v>5344.0352610851278</v>
      </c>
      <c r="O17" s="2833">
        <v>5329.0747884957927</v>
      </c>
      <c r="P17" s="2833">
        <v>5263.3414191992179</v>
      </c>
      <c r="Q17" s="2833">
        <v>5243.4404164957086</v>
      </c>
      <c r="R17" s="2833">
        <v>5265.9161645164168</v>
      </c>
      <c r="S17" s="2833">
        <v>5263.5804795031008</v>
      </c>
      <c r="T17" s="2833">
        <v>5467.9589854213082</v>
      </c>
      <c r="U17" s="2833">
        <v>5419.3000601852218</v>
      </c>
      <c r="V17" s="2833">
        <v>5508.1904584803324</v>
      </c>
      <c r="W17" s="2833">
        <v>5490.1066920074445</v>
      </c>
      <c r="X17" s="2833">
        <v>5421.2528602152188</v>
      </c>
      <c r="Y17" s="2833">
        <v>5491.8141137923121</v>
      </c>
      <c r="Z17" s="2833">
        <v>5543.5530512928481</v>
      </c>
      <c r="AA17" s="2833">
        <v>5415.2438377560984</v>
      </c>
      <c r="AB17" s="2833">
        <v>7694.3460582819571</v>
      </c>
      <c r="AC17" s="2833">
        <v>4967.485097781373</v>
      </c>
      <c r="AD17" s="2833">
        <v>3226.2821066600955</v>
      </c>
      <c r="AE17" s="2833">
        <v>2911.1625429782798</v>
      </c>
      <c r="AF17" s="2833">
        <v>3026.9480302622978</v>
      </c>
      <c r="AG17" s="2833">
        <v>2924.9237443488282</v>
      </c>
      <c r="AH17" s="2833">
        <v>2922.7372506386696</v>
      </c>
      <c r="AI17" s="2833">
        <v>2746.3420203062524</v>
      </c>
      <c r="AJ17" s="2833">
        <v>2730.2833857171663</v>
      </c>
      <c r="AK17" s="2833">
        <v>2696.9714873557405</v>
      </c>
      <c r="AL17" s="2833">
        <v>2754.2847873213423</v>
      </c>
    </row>
    <row r="18" spans="1:2000" ht="21" customHeight="1" x14ac:dyDescent="0.3">
      <c r="A18" s="2832" t="s">
        <v>2823</v>
      </c>
      <c r="B18" s="2833">
        <v>1290.4854359800001</v>
      </c>
      <c r="C18" s="2833">
        <v>1268.90802143</v>
      </c>
      <c r="D18" s="2833">
        <v>1263.1597730299998</v>
      </c>
      <c r="E18" s="2833">
        <v>1261.4834246599999</v>
      </c>
      <c r="F18" s="2833">
        <v>1227.9088496200002</v>
      </c>
      <c r="G18" s="2833">
        <v>1233.62915985</v>
      </c>
      <c r="H18" s="2833">
        <v>1244.4846437200001</v>
      </c>
      <c r="I18" s="2833">
        <v>1250.1892033499998</v>
      </c>
      <c r="J18" s="2833">
        <v>1238.6102782799999</v>
      </c>
      <c r="K18" s="2833">
        <v>1226.4598321600001</v>
      </c>
      <c r="L18" s="2833">
        <v>1235.8163833399999</v>
      </c>
      <c r="M18" s="2833">
        <v>1225.43537932</v>
      </c>
      <c r="N18" s="2833">
        <v>1238.1215378000002</v>
      </c>
      <c r="O18" s="2833">
        <v>1214.0844152</v>
      </c>
      <c r="P18" s="2833">
        <v>1207.6553920700001</v>
      </c>
      <c r="Q18" s="2833">
        <v>1225.2884594</v>
      </c>
      <c r="R18" s="2833">
        <v>1218.09267097</v>
      </c>
      <c r="S18" s="2833">
        <v>1215.3630386300001</v>
      </c>
      <c r="T18" s="2833">
        <v>1153.5039513500003</v>
      </c>
      <c r="U18" s="2833">
        <v>1150.9544978600002</v>
      </c>
      <c r="V18" s="2833">
        <v>1152.64671062</v>
      </c>
      <c r="W18" s="2833">
        <v>1160.0547185699997</v>
      </c>
      <c r="X18" s="2833">
        <v>1152.00898549</v>
      </c>
      <c r="Y18" s="2833">
        <v>1148.8036828499999</v>
      </c>
      <c r="Z18" s="2833">
        <v>1156.2279051200001</v>
      </c>
      <c r="AA18" s="2833">
        <v>1135.6650252300001</v>
      </c>
      <c r="AB18" s="2833">
        <v>1166.2516216600002</v>
      </c>
      <c r="AC18" s="2833">
        <v>1171.5612767400003</v>
      </c>
      <c r="AD18" s="2833">
        <v>1156.61427344</v>
      </c>
      <c r="AE18" s="2833">
        <v>1158.9001004000002</v>
      </c>
      <c r="AF18" s="2833">
        <v>1124.4392677799999</v>
      </c>
      <c r="AG18" s="2833">
        <v>1106.6729121799999</v>
      </c>
      <c r="AH18" s="2833">
        <v>1090.3330995000003</v>
      </c>
      <c r="AI18" s="2833">
        <v>1104.1136196599998</v>
      </c>
      <c r="AJ18" s="2833">
        <v>1086.32957799</v>
      </c>
      <c r="AK18" s="2833">
        <v>1086.4169705200002</v>
      </c>
      <c r="AL18" s="2833">
        <v>1088.9282317299999</v>
      </c>
    </row>
    <row r="19" spans="1:2000" ht="21" customHeight="1" x14ac:dyDescent="0.3">
      <c r="A19" s="2832" t="s">
        <v>2829</v>
      </c>
      <c r="B19" s="2833">
        <v>373.97860450999997</v>
      </c>
      <c r="C19" s="2833">
        <v>359.70128411999997</v>
      </c>
      <c r="D19" s="2833">
        <v>316.94078281999998</v>
      </c>
      <c r="E19" s="2833">
        <v>368.61629934000001</v>
      </c>
      <c r="F19" s="2833">
        <v>789.77661182000008</v>
      </c>
      <c r="G19" s="2833">
        <v>787.37800371000026</v>
      </c>
      <c r="H19" s="2833">
        <v>783.55623718999993</v>
      </c>
      <c r="I19" s="2833">
        <v>801.79535832999989</v>
      </c>
      <c r="J19" s="2833">
        <v>816.19401872000003</v>
      </c>
      <c r="K19" s="2833">
        <v>796.0742843800009</v>
      </c>
      <c r="L19" s="2833">
        <v>817.97393993999992</v>
      </c>
      <c r="M19" s="2833">
        <v>872.26185308999993</v>
      </c>
      <c r="N19" s="2833">
        <v>881.59514966000006</v>
      </c>
      <c r="O19" s="2833">
        <v>875.88413889000014</v>
      </c>
      <c r="P19" s="2833">
        <v>890.833420859998</v>
      </c>
      <c r="Q19" s="2833">
        <v>922.92961756999796</v>
      </c>
      <c r="R19" s="2833">
        <v>933.13512762999994</v>
      </c>
      <c r="S19" s="2833">
        <v>944.93592824999996</v>
      </c>
      <c r="T19" s="2833">
        <v>956.89162275000001</v>
      </c>
      <c r="U19" s="2833">
        <v>978.12339259999999</v>
      </c>
      <c r="V19" s="2833">
        <v>989.02396522000004</v>
      </c>
      <c r="W19" s="2833">
        <v>1000.3794795800001</v>
      </c>
      <c r="X19" s="2833">
        <v>1078.4554498800001</v>
      </c>
      <c r="Y19" s="2833">
        <v>1129.4161058700001</v>
      </c>
      <c r="Z19" s="2833">
        <v>1184.39284701</v>
      </c>
      <c r="AA19" s="2833">
        <v>1181.5824153500002</v>
      </c>
      <c r="AB19" s="2833">
        <v>1284.5709680800001</v>
      </c>
      <c r="AC19" s="2833">
        <v>1296.64715318</v>
      </c>
      <c r="AD19" s="2833">
        <v>1325.17413865</v>
      </c>
      <c r="AE19" s="2833">
        <v>1355.8399782199999</v>
      </c>
      <c r="AF19" s="2833">
        <v>1670.0427648299997</v>
      </c>
      <c r="AG19" s="2833">
        <v>1786.6639552600002</v>
      </c>
      <c r="AH19" s="2833">
        <v>1740.1746726700001</v>
      </c>
      <c r="AI19" s="2833">
        <v>1770.85235921</v>
      </c>
      <c r="AJ19" s="2833">
        <v>1899.4548415899981</v>
      </c>
      <c r="AK19" s="2833">
        <v>1944.9244631199999</v>
      </c>
      <c r="AL19" s="2833">
        <v>1999.9989388500012</v>
      </c>
    </row>
    <row r="20" spans="1:2000" ht="21" customHeight="1" x14ac:dyDescent="0.3">
      <c r="A20" s="2832" t="s">
        <v>2832</v>
      </c>
      <c r="B20" s="2833">
        <v>879.57088748000001</v>
      </c>
      <c r="C20" s="2833">
        <v>915.14975474999994</v>
      </c>
      <c r="D20" s="2833">
        <v>945.43853512999999</v>
      </c>
      <c r="E20" s="2833">
        <v>974.23092121000013</v>
      </c>
      <c r="F20" s="2833">
        <v>966.25942373999987</v>
      </c>
      <c r="G20" s="2833">
        <v>956.59406142999796</v>
      </c>
      <c r="H20" s="2833">
        <v>964.06911796999998</v>
      </c>
      <c r="I20" s="2833">
        <v>912.28557806999788</v>
      </c>
      <c r="J20" s="2833">
        <v>888.45207379999806</v>
      </c>
      <c r="K20" s="2833">
        <v>912.33488927999792</v>
      </c>
      <c r="L20" s="2833">
        <v>906.71039102999998</v>
      </c>
      <c r="M20" s="2833">
        <v>930.69173732999684</v>
      </c>
      <c r="N20" s="2833">
        <v>958.90235326000015</v>
      </c>
      <c r="O20" s="2833">
        <v>954.80682260000003</v>
      </c>
      <c r="P20" s="2833">
        <v>946.54649426000208</v>
      </c>
      <c r="Q20" s="2833">
        <v>978.81668958999808</v>
      </c>
      <c r="R20" s="2833">
        <v>996.05655341000011</v>
      </c>
      <c r="S20" s="2833">
        <v>975.57507658999998</v>
      </c>
      <c r="T20" s="2833">
        <v>1008.1683998399999</v>
      </c>
      <c r="U20" s="2833">
        <v>978.66748622</v>
      </c>
      <c r="V20" s="2833">
        <v>966.99163051000005</v>
      </c>
      <c r="W20" s="2833">
        <v>969.29953696999996</v>
      </c>
      <c r="X20" s="2833">
        <v>973.09276731999989</v>
      </c>
      <c r="Y20" s="2833">
        <v>976.45242851000012</v>
      </c>
      <c r="Z20" s="2833">
        <v>955.16793258999996</v>
      </c>
      <c r="AA20" s="2833">
        <v>949.37728156000003</v>
      </c>
      <c r="AB20" s="2833">
        <v>936.18406829999992</v>
      </c>
      <c r="AC20" s="2833">
        <v>949.83730279999907</v>
      </c>
      <c r="AD20" s="2833">
        <v>1275.07187355</v>
      </c>
      <c r="AE20" s="2833">
        <v>1468.9700011999998</v>
      </c>
      <c r="AF20" s="2833">
        <v>1482.0352367500009</v>
      </c>
      <c r="AG20" s="2833">
        <v>1481.424151160001</v>
      </c>
      <c r="AH20" s="2833">
        <v>1485.6884049700002</v>
      </c>
      <c r="AI20" s="2833">
        <v>1537.051257799998</v>
      </c>
      <c r="AJ20" s="2833">
        <v>1479.3636359000011</v>
      </c>
      <c r="AK20" s="2833">
        <v>1468.07306371001</v>
      </c>
      <c r="AL20" s="2833">
        <v>1364.95762021</v>
      </c>
    </row>
    <row r="21" spans="1:2000" ht="21" customHeight="1" thickBot="1" x14ac:dyDescent="0.35">
      <c r="A21" s="2832" t="s">
        <v>2837</v>
      </c>
      <c r="B21" s="2833">
        <v>1497.7282656795041</v>
      </c>
      <c r="C21" s="2833">
        <v>1479.5407029405219</v>
      </c>
      <c r="D21" s="2833">
        <v>1484.1834964694997</v>
      </c>
      <c r="E21" s="2833">
        <v>984.41473723286572</v>
      </c>
      <c r="F21" s="2833">
        <v>1247.345803335425</v>
      </c>
      <c r="G21" s="2833">
        <v>987.5212056999718</v>
      </c>
      <c r="H21" s="2833">
        <v>949.77696405792221</v>
      </c>
      <c r="I21" s="2833">
        <v>1021.3571875794481</v>
      </c>
      <c r="J21" s="2833">
        <v>1038.5693274107809</v>
      </c>
      <c r="K21" s="2833">
        <v>983.4052137287357</v>
      </c>
      <c r="L21" s="2833">
        <v>979.31107562728982</v>
      </c>
      <c r="M21" s="2833">
        <v>998.36972167865326</v>
      </c>
      <c r="N21" s="2833">
        <v>973.88211086737692</v>
      </c>
      <c r="O21" s="2833">
        <v>956.92648522832428</v>
      </c>
      <c r="P21" s="2833">
        <v>893.99996568920778</v>
      </c>
      <c r="Q21" s="2833">
        <v>950.38031087845684</v>
      </c>
      <c r="R21" s="2833">
        <v>962.84200402226156</v>
      </c>
      <c r="S21" s="2833">
        <v>939.92650132313781</v>
      </c>
      <c r="T21" s="2833">
        <v>907.68760900117525</v>
      </c>
      <c r="U21" s="2833">
        <v>904.36076970958129</v>
      </c>
      <c r="V21" s="2833">
        <v>858.35779534028177</v>
      </c>
      <c r="W21" s="2833">
        <v>884.51723075054815</v>
      </c>
      <c r="X21" s="2833">
        <v>878.56679358291217</v>
      </c>
      <c r="Y21" s="2833">
        <v>849.04552606548964</v>
      </c>
      <c r="Z21" s="2833">
        <v>847.6577809676279</v>
      </c>
      <c r="AA21" s="2833">
        <v>864.35621558337061</v>
      </c>
      <c r="AB21" s="2833">
        <v>871.67662821450472</v>
      </c>
      <c r="AC21" s="2833">
        <v>890.9979518436528</v>
      </c>
      <c r="AD21" s="2833">
        <v>1068.4647366710021</v>
      </c>
      <c r="AE21" s="2833">
        <v>814.83754202160685</v>
      </c>
      <c r="AF21" s="2833">
        <v>638.24422282630781</v>
      </c>
      <c r="AG21" s="2833">
        <v>605.49503625066677</v>
      </c>
      <c r="AH21" s="2833">
        <v>687.59016773168094</v>
      </c>
      <c r="AI21" s="2833">
        <v>684.26092625780996</v>
      </c>
      <c r="AJ21" s="2833">
        <v>612.97836213998949</v>
      </c>
      <c r="AK21" s="2833">
        <v>621.1769616714198</v>
      </c>
      <c r="AL21" s="2833">
        <v>847.66233646397325</v>
      </c>
    </row>
    <row r="22" spans="1:2000" ht="21" customHeight="1" x14ac:dyDescent="0.3">
      <c r="A22" s="2851" t="s">
        <v>2841</v>
      </c>
      <c r="B22" s="3159">
        <v>155926.23077301361</v>
      </c>
      <c r="C22" s="3159">
        <v>156636.58273598348</v>
      </c>
      <c r="D22" s="3159">
        <v>157603.00354903727</v>
      </c>
      <c r="E22" s="3159">
        <v>159496.19590854755</v>
      </c>
      <c r="F22" s="3159">
        <v>160427.68006909723</v>
      </c>
      <c r="G22" s="3159">
        <v>162106.60159715137</v>
      </c>
      <c r="H22" s="3159">
        <v>163898.31191347758</v>
      </c>
      <c r="I22" s="3159">
        <v>164229.45426326233</v>
      </c>
      <c r="J22" s="3159">
        <v>165085.10395869246</v>
      </c>
      <c r="K22" s="3159">
        <v>166351.86093698503</v>
      </c>
      <c r="L22" s="3159">
        <v>167291.11639220736</v>
      </c>
      <c r="M22" s="3159">
        <v>169250.35390390956</v>
      </c>
      <c r="N22" s="3159">
        <v>170013.30210634481</v>
      </c>
      <c r="O22" s="3159">
        <v>170685.74272394396</v>
      </c>
      <c r="P22" s="3159">
        <v>159971.56098375464</v>
      </c>
      <c r="Q22" s="3159">
        <v>159590.58010702085</v>
      </c>
      <c r="R22" s="3159">
        <v>158499.76407066605</v>
      </c>
      <c r="S22" s="3159">
        <v>158247.89324540785</v>
      </c>
      <c r="T22" s="3159">
        <v>158477.34727749473</v>
      </c>
      <c r="U22" s="3159">
        <v>159624.45316287575</v>
      </c>
      <c r="V22" s="3159">
        <v>160786.18870321382</v>
      </c>
      <c r="W22" s="3159">
        <v>162209.60294395886</v>
      </c>
      <c r="X22" s="3159">
        <v>162032.08645991253</v>
      </c>
      <c r="Y22" s="3159">
        <v>162958.914359129</v>
      </c>
      <c r="Z22" s="3159">
        <v>163137.6599820886</v>
      </c>
      <c r="AA22" s="3159">
        <v>164671.92403318326</v>
      </c>
      <c r="AB22" s="3159">
        <v>165762.82386047195</v>
      </c>
      <c r="AC22" s="3159">
        <v>164950.93768855697</v>
      </c>
      <c r="AD22" s="3159">
        <v>164984.69680166343</v>
      </c>
      <c r="AE22" s="3159">
        <v>166128.47265568361</v>
      </c>
      <c r="AF22" s="3159">
        <v>167061.87849224848</v>
      </c>
      <c r="AG22" s="3159">
        <v>168391.67113717663</v>
      </c>
      <c r="AH22" s="3159">
        <v>169715.45436360076</v>
      </c>
      <c r="AI22" s="3159">
        <v>171300.05101490489</v>
      </c>
      <c r="AJ22" s="3159">
        <v>173990.68194817807</v>
      </c>
      <c r="AK22" s="3159">
        <v>174088.55906847707</v>
      </c>
      <c r="AL22" s="3159">
        <v>174990.61620156933</v>
      </c>
    </row>
    <row r="23" spans="1:2000" ht="21" customHeight="1" x14ac:dyDescent="0.3">
      <c r="A23" s="2836" t="s">
        <v>2842</v>
      </c>
      <c r="B23" s="3160">
        <v>81353.444502371422</v>
      </c>
      <c r="C23" s="3160">
        <v>81839.095374689859</v>
      </c>
      <c r="D23" s="3160">
        <v>82230.357263354279</v>
      </c>
      <c r="E23" s="3160">
        <v>82773.403085560451</v>
      </c>
      <c r="F23" s="3160">
        <v>83248.70797232342</v>
      </c>
      <c r="G23" s="3160">
        <v>84360.869048396416</v>
      </c>
      <c r="H23" s="3160">
        <v>85005.841883330126</v>
      </c>
      <c r="I23" s="3160">
        <v>85536.040035802143</v>
      </c>
      <c r="J23" s="3160">
        <v>86162.201824887277</v>
      </c>
      <c r="K23" s="3160">
        <v>86650.096239927778</v>
      </c>
      <c r="L23" s="3160">
        <v>87428.348025395186</v>
      </c>
      <c r="M23" s="3160">
        <v>87997.245102219706</v>
      </c>
      <c r="N23" s="3160">
        <v>88614.486347600017</v>
      </c>
      <c r="O23" s="3160">
        <v>89095.195738280832</v>
      </c>
      <c r="P23" s="3160">
        <v>89912.923234457077</v>
      </c>
      <c r="Q23" s="3160">
        <v>89750.102045114501</v>
      </c>
      <c r="R23" s="3160">
        <v>89461.481202430936</v>
      </c>
      <c r="S23" s="3160">
        <v>89496.541329294254</v>
      </c>
      <c r="T23" s="3160">
        <v>89966.251823455852</v>
      </c>
      <c r="U23" s="3160">
        <v>90687.676456187575</v>
      </c>
      <c r="V23" s="3160">
        <v>91099.77611157803</v>
      </c>
      <c r="W23" s="3160">
        <v>91892.224940893808</v>
      </c>
      <c r="X23" s="3160">
        <v>91511.442607481469</v>
      </c>
      <c r="Y23" s="3160">
        <v>92302.019511485705</v>
      </c>
      <c r="Z23" s="3160">
        <v>92757.78673268696</v>
      </c>
      <c r="AA23" s="3160">
        <v>93733.218411824768</v>
      </c>
      <c r="AB23" s="3160">
        <v>94385.811180941819</v>
      </c>
      <c r="AC23" s="3160">
        <v>94444.995747950306</v>
      </c>
      <c r="AD23" s="3160">
        <v>94582.435599842967</v>
      </c>
      <c r="AE23" s="3160">
        <v>95049.353539568998</v>
      </c>
      <c r="AF23" s="3160">
        <v>96321.871584158609</v>
      </c>
      <c r="AG23" s="3160">
        <v>96967.011555917823</v>
      </c>
      <c r="AH23" s="3160">
        <v>97250.781469300899</v>
      </c>
      <c r="AI23" s="3160">
        <v>99401.28474204184</v>
      </c>
      <c r="AJ23" s="3160">
        <v>100646.02754030531</v>
      </c>
      <c r="AK23" s="3160">
        <v>101133.78076550613</v>
      </c>
      <c r="AL23" s="3160">
        <v>101997.00882332734</v>
      </c>
    </row>
    <row r="24" spans="1:2000" s="3135" customFormat="1" ht="21" customHeight="1" x14ac:dyDescent="0.3">
      <c r="A24" s="2829" t="s">
        <v>2875</v>
      </c>
      <c r="B24" s="3161">
        <v>41365.355770956041</v>
      </c>
      <c r="C24" s="3161">
        <v>40904.939745296615</v>
      </c>
      <c r="D24" s="3161">
        <v>41326.826696817261</v>
      </c>
      <c r="E24" s="3161">
        <v>40917.507108406047</v>
      </c>
      <c r="F24" s="3161">
        <v>42610.216258972061</v>
      </c>
      <c r="G24" s="3161">
        <v>42245.036519451569</v>
      </c>
      <c r="H24" s="3161">
        <v>43321.024567736764</v>
      </c>
      <c r="I24" s="3161">
        <v>43008.505400459631</v>
      </c>
      <c r="J24" s="3161">
        <v>44842.156244265323</v>
      </c>
      <c r="K24" s="3161">
        <v>46696.187258812126</v>
      </c>
      <c r="L24" s="3161">
        <v>42831.169382382883</v>
      </c>
      <c r="M24" s="3161">
        <v>42863.944311513675</v>
      </c>
      <c r="N24" s="3161">
        <v>42195.731110257126</v>
      </c>
      <c r="O24" s="3161">
        <v>41632.07287342877</v>
      </c>
      <c r="P24" s="3161">
        <v>43822.573807393004</v>
      </c>
      <c r="Q24" s="3161">
        <v>44801.234057506525</v>
      </c>
      <c r="R24" s="3161">
        <v>45477.397320085343</v>
      </c>
      <c r="S24" s="3161">
        <v>44497.769065875676</v>
      </c>
      <c r="T24" s="3161">
        <v>43704.173869058024</v>
      </c>
      <c r="U24" s="3161">
        <v>43475.531388304909</v>
      </c>
      <c r="V24" s="3161">
        <v>41145.609497462559</v>
      </c>
      <c r="W24" s="3161">
        <v>32818.865977685717</v>
      </c>
      <c r="X24" s="3161">
        <v>32782.557985649102</v>
      </c>
      <c r="Y24" s="3161">
        <v>33017.792060707325</v>
      </c>
      <c r="Z24" s="3161">
        <v>32798.044350799726</v>
      </c>
      <c r="AA24" s="3161">
        <v>33598.696863685676</v>
      </c>
      <c r="AB24" s="3161">
        <v>32804.198374087107</v>
      </c>
      <c r="AC24" s="3161">
        <v>32113.661717443872</v>
      </c>
      <c r="AD24" s="3161">
        <v>33523.019941592778</v>
      </c>
      <c r="AE24" s="3161">
        <v>36812.37982186069</v>
      </c>
      <c r="AF24" s="3161">
        <v>34644.148841440845</v>
      </c>
      <c r="AG24" s="3161">
        <v>35937.438346095805</v>
      </c>
      <c r="AH24" s="3161">
        <v>34505.72242935979</v>
      </c>
      <c r="AI24" s="3161">
        <v>32320.274157521453</v>
      </c>
      <c r="AJ24" s="3161">
        <v>34727.737580897898</v>
      </c>
      <c r="AK24" s="3161">
        <v>34994.880676671411</v>
      </c>
      <c r="AL24" s="3161">
        <v>35727.369804735194</v>
      </c>
      <c r="AM24" s="627"/>
      <c r="AN24" s="627"/>
      <c r="AO24" s="627"/>
      <c r="AP24" s="627"/>
      <c r="AQ24" s="627"/>
      <c r="AR24" s="627"/>
      <c r="AS24" s="627"/>
      <c r="AT24" s="627"/>
      <c r="AU24" s="627"/>
      <c r="AV24" s="627"/>
      <c r="AW24" s="627"/>
      <c r="AX24" s="627"/>
      <c r="AY24" s="627"/>
      <c r="AZ24" s="627"/>
      <c r="BA24" s="627"/>
      <c r="BB24" s="627"/>
      <c r="BC24" s="627"/>
      <c r="BD24" s="627"/>
      <c r="BE24" s="627"/>
      <c r="BF24" s="627"/>
      <c r="BG24" s="627"/>
      <c r="BH24" s="627"/>
      <c r="BI24" s="627"/>
      <c r="BJ24" s="627"/>
      <c r="BK24" s="627"/>
      <c r="BL24" s="627"/>
      <c r="BM24" s="627"/>
      <c r="BN24" s="627"/>
      <c r="BO24" s="627"/>
      <c r="BP24" s="627"/>
      <c r="BQ24" s="627"/>
      <c r="BR24" s="627"/>
      <c r="BS24" s="627"/>
      <c r="BT24" s="627"/>
      <c r="BU24" s="627"/>
      <c r="BV24" s="627"/>
      <c r="BW24" s="627"/>
      <c r="BX24" s="627"/>
      <c r="BY24" s="627"/>
      <c r="BZ24" s="627"/>
      <c r="CA24" s="627"/>
      <c r="CB24" s="627"/>
      <c r="CC24" s="627"/>
      <c r="CD24" s="627"/>
      <c r="CE24" s="627"/>
      <c r="CF24" s="627"/>
      <c r="CG24" s="627"/>
      <c r="CH24" s="627"/>
      <c r="CI24" s="627"/>
      <c r="CJ24" s="627"/>
      <c r="CK24" s="627"/>
      <c r="CL24" s="627"/>
      <c r="CM24" s="627"/>
      <c r="CN24" s="627"/>
      <c r="CO24" s="627"/>
      <c r="CP24" s="627"/>
      <c r="CQ24" s="627"/>
      <c r="CR24" s="627"/>
      <c r="CS24" s="627"/>
      <c r="CT24" s="627"/>
      <c r="CU24" s="627"/>
      <c r="CV24" s="627"/>
      <c r="CW24" s="627"/>
      <c r="CX24" s="627"/>
      <c r="CY24" s="627"/>
      <c r="CZ24" s="627"/>
      <c r="DA24" s="627"/>
      <c r="DB24" s="627"/>
      <c r="DC24" s="627"/>
      <c r="DD24" s="627"/>
      <c r="DE24" s="627"/>
      <c r="DF24" s="627"/>
      <c r="DG24" s="627"/>
      <c r="DH24" s="627"/>
      <c r="DI24" s="627"/>
      <c r="DJ24" s="627"/>
      <c r="DK24" s="627"/>
      <c r="DL24" s="627"/>
      <c r="DM24" s="627"/>
      <c r="DN24" s="627"/>
      <c r="DO24" s="627"/>
      <c r="DP24" s="627"/>
      <c r="DQ24" s="627"/>
      <c r="DR24" s="627"/>
      <c r="DS24" s="627"/>
      <c r="DT24" s="627"/>
      <c r="DU24" s="627"/>
      <c r="DV24" s="627"/>
      <c r="DW24" s="627"/>
      <c r="DX24" s="627"/>
      <c r="DY24" s="627"/>
      <c r="DZ24" s="627"/>
      <c r="EA24" s="627"/>
      <c r="EB24" s="627"/>
      <c r="EC24" s="627"/>
      <c r="ED24" s="627"/>
      <c r="EE24" s="627"/>
      <c r="EF24" s="627"/>
      <c r="EG24" s="627"/>
      <c r="EH24" s="627"/>
      <c r="EI24" s="627"/>
      <c r="EJ24" s="627"/>
      <c r="EK24" s="627"/>
      <c r="EL24" s="627"/>
      <c r="EM24" s="627"/>
      <c r="EN24" s="627"/>
      <c r="EO24" s="627"/>
      <c r="EP24" s="627"/>
      <c r="EQ24" s="627"/>
      <c r="ER24" s="627"/>
      <c r="ES24" s="627"/>
      <c r="ET24" s="627"/>
      <c r="EU24" s="627"/>
      <c r="EV24" s="627"/>
      <c r="EW24" s="627"/>
      <c r="EX24" s="627"/>
      <c r="EY24" s="627"/>
      <c r="EZ24" s="627"/>
      <c r="FA24" s="627"/>
      <c r="FB24" s="627"/>
      <c r="FC24" s="627"/>
      <c r="FD24" s="627"/>
      <c r="FE24" s="627"/>
      <c r="FF24" s="627"/>
      <c r="FG24" s="627"/>
      <c r="FH24" s="627"/>
      <c r="FI24" s="627"/>
      <c r="FJ24" s="627"/>
      <c r="FK24" s="627"/>
      <c r="FL24" s="627"/>
      <c r="FM24" s="627"/>
      <c r="FN24" s="627"/>
      <c r="FO24" s="627"/>
      <c r="FP24" s="627"/>
      <c r="FQ24" s="627"/>
      <c r="FR24" s="627"/>
      <c r="FS24" s="627"/>
      <c r="FT24" s="627"/>
      <c r="FU24" s="627"/>
      <c r="FV24" s="627"/>
      <c r="FW24" s="627"/>
      <c r="FX24" s="627"/>
      <c r="FY24" s="627"/>
      <c r="FZ24" s="627"/>
      <c r="GA24" s="627"/>
      <c r="GB24" s="627"/>
      <c r="GC24" s="627"/>
      <c r="GD24" s="627"/>
      <c r="GE24" s="627"/>
      <c r="GF24" s="627"/>
      <c r="GG24" s="627"/>
      <c r="GH24" s="627"/>
      <c r="GI24" s="627"/>
      <c r="GJ24" s="627"/>
      <c r="GK24" s="627"/>
      <c r="GL24" s="627"/>
      <c r="GM24" s="627"/>
      <c r="GN24" s="627"/>
      <c r="GO24" s="627"/>
      <c r="GP24" s="627"/>
      <c r="GQ24" s="627"/>
      <c r="GR24" s="627"/>
      <c r="GS24" s="627"/>
      <c r="GT24" s="627"/>
      <c r="GU24" s="627"/>
      <c r="GV24" s="627"/>
      <c r="GW24" s="627"/>
      <c r="GX24" s="627"/>
      <c r="GY24" s="627"/>
      <c r="GZ24" s="627"/>
      <c r="HA24" s="627"/>
      <c r="HB24" s="627"/>
      <c r="HC24" s="627"/>
      <c r="HD24" s="627"/>
      <c r="HE24" s="627"/>
      <c r="HF24" s="627"/>
      <c r="HG24" s="627"/>
      <c r="HH24" s="627"/>
      <c r="HI24" s="627"/>
      <c r="HJ24" s="627"/>
      <c r="HK24" s="627"/>
      <c r="HL24" s="627"/>
      <c r="HM24" s="627"/>
      <c r="HN24" s="627"/>
      <c r="HO24" s="627"/>
      <c r="HP24" s="627"/>
      <c r="HQ24" s="627"/>
      <c r="HR24" s="627"/>
      <c r="HS24" s="627"/>
      <c r="HT24" s="627"/>
      <c r="HU24" s="627"/>
      <c r="HV24" s="627"/>
      <c r="HW24" s="627"/>
      <c r="HX24" s="627"/>
      <c r="HY24" s="627"/>
      <c r="HZ24" s="627"/>
      <c r="IA24" s="627"/>
      <c r="IB24" s="627"/>
      <c r="IC24" s="627"/>
      <c r="ID24" s="627"/>
      <c r="IE24" s="627"/>
      <c r="IF24" s="627"/>
      <c r="IG24" s="627"/>
      <c r="IH24" s="627"/>
      <c r="II24" s="627"/>
      <c r="IJ24" s="627"/>
      <c r="IK24" s="627"/>
      <c r="IL24" s="627"/>
      <c r="IM24" s="627"/>
      <c r="IN24" s="627"/>
      <c r="IO24" s="627"/>
      <c r="IP24" s="627"/>
      <c r="IQ24" s="627"/>
      <c r="IR24" s="627"/>
      <c r="IS24" s="627"/>
      <c r="IT24" s="627"/>
      <c r="IU24" s="627"/>
      <c r="IV24" s="627"/>
      <c r="IW24" s="627"/>
      <c r="IX24" s="627"/>
      <c r="IY24" s="627"/>
      <c r="IZ24" s="627"/>
      <c r="JA24" s="627"/>
      <c r="JB24" s="627"/>
      <c r="JC24" s="627"/>
      <c r="JD24" s="627"/>
      <c r="JE24" s="627"/>
      <c r="JF24" s="627"/>
      <c r="JG24" s="627"/>
      <c r="JH24" s="627"/>
      <c r="JI24" s="627"/>
      <c r="JJ24" s="627"/>
      <c r="JK24" s="627"/>
      <c r="JL24" s="627"/>
      <c r="JM24" s="627"/>
      <c r="JN24" s="627"/>
      <c r="JO24" s="627"/>
      <c r="JP24" s="627"/>
      <c r="JQ24" s="627"/>
      <c r="JR24" s="627"/>
      <c r="JS24" s="627"/>
      <c r="JT24" s="627"/>
      <c r="JU24" s="627"/>
      <c r="JV24" s="627"/>
      <c r="JW24" s="627"/>
      <c r="JX24" s="627"/>
      <c r="JY24" s="627"/>
      <c r="JZ24" s="627"/>
      <c r="KA24" s="627"/>
      <c r="KB24" s="627"/>
      <c r="KC24" s="627"/>
      <c r="KD24" s="627"/>
      <c r="KE24" s="627"/>
      <c r="KF24" s="627"/>
      <c r="KG24" s="627"/>
      <c r="KH24" s="627"/>
      <c r="KI24" s="627"/>
      <c r="KJ24" s="627"/>
      <c r="KK24" s="627"/>
      <c r="KL24" s="627"/>
      <c r="KM24" s="627"/>
      <c r="KN24" s="627"/>
      <c r="KO24" s="627"/>
      <c r="KP24" s="627"/>
      <c r="KQ24" s="627"/>
      <c r="KR24" s="627"/>
      <c r="KS24" s="627"/>
      <c r="KT24" s="627"/>
      <c r="KU24" s="627"/>
      <c r="KV24" s="627"/>
      <c r="KW24" s="627"/>
      <c r="KX24" s="627"/>
      <c r="KY24" s="627"/>
      <c r="KZ24" s="627"/>
      <c r="LA24" s="627"/>
      <c r="LB24" s="627"/>
      <c r="LC24" s="627"/>
      <c r="LD24" s="627"/>
      <c r="LE24" s="627"/>
      <c r="LF24" s="627"/>
      <c r="LG24" s="627"/>
      <c r="LH24" s="627"/>
      <c r="LI24" s="627"/>
      <c r="LJ24" s="627"/>
      <c r="LK24" s="627"/>
      <c r="LL24" s="627"/>
      <c r="LM24" s="627"/>
      <c r="LN24" s="627"/>
      <c r="LO24" s="627"/>
      <c r="LP24" s="627"/>
      <c r="LQ24" s="627"/>
      <c r="LR24" s="627"/>
      <c r="LS24" s="627"/>
      <c r="LT24" s="627"/>
      <c r="LU24" s="627"/>
      <c r="LV24" s="627"/>
      <c r="LW24" s="627"/>
      <c r="LX24" s="627"/>
      <c r="LY24" s="627"/>
      <c r="LZ24" s="627"/>
      <c r="MA24" s="627"/>
      <c r="MB24" s="627"/>
      <c r="MC24" s="627"/>
      <c r="MD24" s="627"/>
      <c r="ME24" s="627"/>
      <c r="MF24" s="627"/>
      <c r="MG24" s="627"/>
      <c r="MH24" s="627"/>
      <c r="MI24" s="627"/>
      <c r="MJ24" s="627"/>
      <c r="MK24" s="627"/>
      <c r="ML24" s="627"/>
      <c r="MM24" s="627"/>
      <c r="MN24" s="627"/>
      <c r="MO24" s="627"/>
      <c r="MP24" s="627"/>
      <c r="MQ24" s="627"/>
      <c r="MR24" s="627"/>
      <c r="MS24" s="627"/>
      <c r="MT24" s="627"/>
      <c r="MU24" s="627"/>
      <c r="MV24" s="627"/>
      <c r="MW24" s="627"/>
      <c r="MX24" s="627"/>
      <c r="MY24" s="627"/>
      <c r="MZ24" s="627"/>
      <c r="NA24" s="627"/>
      <c r="NB24" s="627"/>
      <c r="NC24" s="627"/>
      <c r="ND24" s="627"/>
      <c r="NE24" s="627"/>
      <c r="NF24" s="627"/>
      <c r="NG24" s="627"/>
      <c r="NH24" s="627"/>
      <c r="NI24" s="627"/>
      <c r="NJ24" s="627"/>
      <c r="NK24" s="627"/>
      <c r="NL24" s="627"/>
      <c r="NM24" s="627"/>
      <c r="NN24" s="627"/>
      <c r="NO24" s="627"/>
      <c r="NP24" s="627"/>
      <c r="NQ24" s="627"/>
      <c r="NR24" s="627"/>
      <c r="NS24" s="627"/>
      <c r="NT24" s="627"/>
      <c r="NU24" s="627"/>
      <c r="NV24" s="627"/>
      <c r="NW24" s="627"/>
      <c r="NX24" s="627"/>
      <c r="NY24" s="627"/>
      <c r="NZ24" s="627"/>
      <c r="OA24" s="627"/>
      <c r="OB24" s="627"/>
      <c r="OC24" s="627"/>
      <c r="OD24" s="627"/>
      <c r="OE24" s="627"/>
      <c r="OF24" s="627"/>
      <c r="OG24" s="627"/>
      <c r="OH24" s="627"/>
      <c r="OI24" s="627"/>
      <c r="OJ24" s="627"/>
      <c r="OK24" s="627"/>
      <c r="OL24" s="627"/>
      <c r="OM24" s="627"/>
      <c r="ON24" s="627"/>
      <c r="OO24" s="627"/>
      <c r="OP24" s="627"/>
      <c r="OQ24" s="627"/>
      <c r="OR24" s="627"/>
      <c r="OS24" s="627"/>
      <c r="OT24" s="627"/>
      <c r="OU24" s="627"/>
      <c r="OV24" s="627"/>
      <c r="OW24" s="627"/>
      <c r="OX24" s="627"/>
      <c r="OY24" s="627"/>
      <c r="OZ24" s="627"/>
      <c r="PA24" s="627"/>
      <c r="PB24" s="627"/>
      <c r="PC24" s="627"/>
      <c r="PD24" s="627"/>
      <c r="PE24" s="627"/>
      <c r="PF24" s="627"/>
      <c r="PG24" s="627"/>
      <c r="PH24" s="627"/>
      <c r="PI24" s="627"/>
      <c r="PJ24" s="627"/>
      <c r="PK24" s="627"/>
      <c r="PL24" s="627"/>
      <c r="PM24" s="627"/>
      <c r="PN24" s="627"/>
      <c r="PO24" s="627"/>
      <c r="PP24" s="627"/>
      <c r="PQ24" s="627"/>
      <c r="PR24" s="627"/>
      <c r="PS24" s="627"/>
      <c r="PT24" s="627"/>
      <c r="PU24" s="627"/>
      <c r="PV24" s="627"/>
      <c r="PW24" s="627"/>
      <c r="PX24" s="627"/>
      <c r="PY24" s="627"/>
      <c r="PZ24" s="627"/>
      <c r="QA24" s="627"/>
      <c r="QB24" s="627"/>
      <c r="QC24" s="627"/>
      <c r="QD24" s="627"/>
      <c r="QE24" s="627"/>
      <c r="QF24" s="627"/>
      <c r="QG24" s="627"/>
      <c r="QH24" s="627"/>
      <c r="QI24" s="627"/>
      <c r="QJ24" s="627"/>
      <c r="QK24" s="627"/>
      <c r="QL24" s="627"/>
      <c r="QM24" s="627"/>
      <c r="QN24" s="627"/>
      <c r="QO24" s="627"/>
      <c r="QP24" s="627"/>
      <c r="QQ24" s="627"/>
      <c r="QR24" s="627"/>
      <c r="QS24" s="627"/>
      <c r="QT24" s="627"/>
      <c r="QU24" s="627"/>
      <c r="QV24" s="627"/>
      <c r="QW24" s="627"/>
      <c r="QX24" s="627"/>
      <c r="QY24" s="627"/>
      <c r="QZ24" s="627"/>
      <c r="RA24" s="627"/>
      <c r="RB24" s="627"/>
      <c r="RC24" s="627"/>
      <c r="RD24" s="627"/>
      <c r="RE24" s="627"/>
      <c r="RF24" s="627"/>
      <c r="RG24" s="627"/>
      <c r="RH24" s="627"/>
      <c r="RI24" s="627"/>
      <c r="RJ24" s="627"/>
      <c r="RK24" s="627"/>
      <c r="RL24" s="627"/>
      <c r="RM24" s="627"/>
      <c r="RN24" s="627"/>
      <c r="RO24" s="627"/>
      <c r="RP24" s="627"/>
      <c r="RQ24" s="627"/>
      <c r="RR24" s="627"/>
      <c r="RS24" s="627"/>
      <c r="RT24" s="627"/>
      <c r="RU24" s="627"/>
      <c r="RV24" s="627"/>
      <c r="RW24" s="627"/>
      <c r="RX24" s="627"/>
      <c r="RY24" s="627"/>
      <c r="RZ24" s="627"/>
      <c r="SA24" s="627"/>
      <c r="SB24" s="627"/>
      <c r="SC24" s="627"/>
      <c r="SD24" s="627"/>
      <c r="SE24" s="627"/>
      <c r="SF24" s="627"/>
      <c r="SG24" s="627"/>
      <c r="SH24" s="627"/>
      <c r="SI24" s="627"/>
      <c r="SJ24" s="627"/>
      <c r="SK24" s="627"/>
      <c r="SL24" s="627"/>
      <c r="SM24" s="627"/>
      <c r="SN24" s="627"/>
      <c r="SO24" s="627"/>
      <c r="SP24" s="627"/>
      <c r="SQ24" s="627"/>
      <c r="SR24" s="627"/>
      <c r="SS24" s="627"/>
      <c r="ST24" s="627"/>
      <c r="SU24" s="627"/>
      <c r="SV24" s="627"/>
      <c r="SW24" s="627"/>
      <c r="SX24" s="627"/>
      <c r="SY24" s="627"/>
      <c r="SZ24" s="627"/>
      <c r="TA24" s="627"/>
      <c r="TB24" s="627"/>
      <c r="TC24" s="627"/>
      <c r="TD24" s="627"/>
      <c r="TE24" s="627"/>
      <c r="TF24" s="627"/>
      <c r="TG24" s="627"/>
      <c r="TH24" s="627"/>
      <c r="TI24" s="627"/>
      <c r="TJ24" s="627"/>
      <c r="TK24" s="627"/>
      <c r="TL24" s="627"/>
      <c r="TM24" s="627"/>
      <c r="TN24" s="627"/>
      <c r="TO24" s="627"/>
      <c r="TP24" s="627"/>
      <c r="TQ24" s="627"/>
      <c r="TR24" s="627"/>
      <c r="TS24" s="627"/>
      <c r="TT24" s="627"/>
      <c r="TU24" s="627"/>
      <c r="TV24" s="627"/>
      <c r="TW24" s="627"/>
      <c r="TX24" s="627"/>
      <c r="TY24" s="627"/>
      <c r="TZ24" s="627"/>
      <c r="UA24" s="627"/>
      <c r="UB24" s="627"/>
      <c r="UC24" s="627"/>
      <c r="UD24" s="627"/>
      <c r="UE24" s="627"/>
      <c r="UF24" s="627"/>
      <c r="UG24" s="627"/>
      <c r="UH24" s="627"/>
      <c r="UI24" s="627"/>
      <c r="UJ24" s="627"/>
      <c r="UK24" s="627"/>
      <c r="UL24" s="627"/>
      <c r="UM24" s="627"/>
      <c r="UN24" s="627"/>
      <c r="UO24" s="627"/>
      <c r="UP24" s="627"/>
      <c r="UQ24" s="627"/>
      <c r="UR24" s="627"/>
      <c r="US24" s="627"/>
      <c r="UT24" s="627"/>
      <c r="UU24" s="627"/>
      <c r="UV24" s="627"/>
      <c r="UW24" s="627"/>
      <c r="UX24" s="627"/>
      <c r="UY24" s="627"/>
      <c r="UZ24" s="627"/>
      <c r="VA24" s="627"/>
      <c r="VB24" s="627"/>
      <c r="VC24" s="627"/>
      <c r="VD24" s="627"/>
      <c r="VE24" s="627"/>
      <c r="VF24" s="627"/>
      <c r="VG24" s="627"/>
      <c r="VH24" s="627"/>
      <c r="VI24" s="627"/>
      <c r="VJ24" s="627"/>
      <c r="VK24" s="627"/>
      <c r="VL24" s="627"/>
      <c r="VM24" s="627"/>
      <c r="VN24" s="627"/>
      <c r="VO24" s="627"/>
      <c r="VP24" s="627"/>
      <c r="VQ24" s="627"/>
      <c r="VR24" s="627"/>
      <c r="VS24" s="627"/>
      <c r="VT24" s="627"/>
      <c r="VU24" s="627"/>
      <c r="VV24" s="627"/>
      <c r="VW24" s="627"/>
      <c r="VX24" s="627"/>
      <c r="VY24" s="627"/>
      <c r="VZ24" s="627"/>
      <c r="WA24" s="627"/>
      <c r="WB24" s="627"/>
      <c r="WC24" s="627"/>
      <c r="WD24" s="627"/>
      <c r="WE24" s="627"/>
      <c r="WF24" s="627"/>
      <c r="WG24" s="627"/>
      <c r="WH24" s="627"/>
      <c r="WI24" s="627"/>
      <c r="WJ24" s="627"/>
      <c r="WK24" s="627"/>
      <c r="WL24" s="627"/>
      <c r="WM24" s="627"/>
      <c r="WN24" s="627"/>
      <c r="WO24" s="627"/>
      <c r="WP24" s="627"/>
      <c r="WQ24" s="627"/>
      <c r="WR24" s="627"/>
      <c r="WS24" s="627"/>
      <c r="WT24" s="627"/>
      <c r="WU24" s="627"/>
      <c r="WV24" s="627"/>
      <c r="WW24" s="627"/>
      <c r="WX24" s="627"/>
      <c r="WY24" s="627"/>
      <c r="WZ24" s="627"/>
      <c r="XA24" s="627"/>
      <c r="XB24" s="627"/>
      <c r="XC24" s="627"/>
      <c r="XD24" s="627"/>
      <c r="XE24" s="627"/>
      <c r="XF24" s="627"/>
      <c r="XG24" s="627"/>
      <c r="XH24" s="627"/>
      <c r="XI24" s="627"/>
      <c r="XJ24" s="627"/>
      <c r="XK24" s="627"/>
      <c r="XL24" s="627"/>
      <c r="XM24" s="627"/>
      <c r="XN24" s="627"/>
      <c r="XO24" s="627"/>
      <c r="XP24" s="627"/>
      <c r="XQ24" s="627"/>
      <c r="XR24" s="627"/>
      <c r="XS24" s="627"/>
      <c r="XT24" s="627"/>
      <c r="XU24" s="627"/>
      <c r="XV24" s="627"/>
      <c r="XW24" s="627"/>
      <c r="XX24" s="627"/>
      <c r="XY24" s="627"/>
      <c r="XZ24" s="627"/>
      <c r="YA24" s="627"/>
      <c r="YB24" s="627"/>
      <c r="YC24" s="627"/>
      <c r="YD24" s="627"/>
      <c r="YE24" s="627"/>
      <c r="YF24" s="627"/>
      <c r="YG24" s="627"/>
      <c r="YH24" s="627"/>
      <c r="YI24" s="627"/>
      <c r="YJ24" s="627"/>
      <c r="YK24" s="627"/>
      <c r="YL24" s="627"/>
      <c r="YM24" s="627"/>
      <c r="YN24" s="627"/>
      <c r="YO24" s="627"/>
      <c r="YP24" s="627"/>
      <c r="YQ24" s="627"/>
      <c r="YR24" s="627"/>
      <c r="YS24" s="627"/>
      <c r="YT24" s="627"/>
      <c r="YU24" s="627"/>
      <c r="YV24" s="627"/>
      <c r="YW24" s="627"/>
      <c r="YX24" s="627"/>
      <c r="YY24" s="627"/>
      <c r="YZ24" s="627"/>
      <c r="ZA24" s="627"/>
      <c r="ZB24" s="627"/>
      <c r="ZC24" s="627"/>
      <c r="ZD24" s="627"/>
      <c r="ZE24" s="627"/>
      <c r="ZF24" s="627"/>
      <c r="ZG24" s="627"/>
      <c r="ZH24" s="627"/>
      <c r="ZI24" s="627"/>
      <c r="ZJ24" s="627"/>
      <c r="ZK24" s="627"/>
      <c r="ZL24" s="627"/>
      <c r="ZM24" s="627"/>
      <c r="ZN24" s="627"/>
      <c r="ZO24" s="627"/>
      <c r="ZP24" s="627"/>
      <c r="ZQ24" s="627"/>
      <c r="ZR24" s="627"/>
      <c r="ZS24" s="627"/>
      <c r="ZT24" s="627"/>
      <c r="ZU24" s="627"/>
      <c r="ZV24" s="627"/>
      <c r="ZW24" s="627"/>
      <c r="ZX24" s="627"/>
      <c r="ZY24" s="627"/>
      <c r="ZZ24" s="627"/>
      <c r="AAA24" s="627"/>
      <c r="AAB24" s="627"/>
      <c r="AAC24" s="627"/>
      <c r="AAD24" s="627"/>
      <c r="AAE24" s="627"/>
      <c r="AAF24" s="627"/>
      <c r="AAG24" s="627"/>
      <c r="AAH24" s="627"/>
      <c r="AAI24" s="627"/>
      <c r="AAJ24" s="627"/>
      <c r="AAK24" s="627"/>
      <c r="AAL24" s="627"/>
      <c r="AAM24" s="627"/>
      <c r="AAN24" s="627"/>
      <c r="AAO24" s="627"/>
      <c r="AAP24" s="627"/>
      <c r="AAQ24" s="627"/>
      <c r="AAR24" s="627"/>
      <c r="AAS24" s="627"/>
      <c r="AAT24" s="627"/>
      <c r="AAU24" s="627"/>
      <c r="AAV24" s="627"/>
      <c r="AAW24" s="627"/>
      <c r="AAX24" s="627"/>
      <c r="AAY24" s="627"/>
      <c r="AAZ24" s="627"/>
      <c r="ABA24" s="627"/>
      <c r="ABB24" s="627"/>
      <c r="ABC24" s="627"/>
      <c r="ABD24" s="627"/>
      <c r="ABE24" s="627"/>
      <c r="ABF24" s="627"/>
      <c r="ABG24" s="627"/>
      <c r="ABH24" s="627"/>
      <c r="ABI24" s="627"/>
      <c r="ABJ24" s="627"/>
      <c r="ABK24" s="627"/>
      <c r="ABL24" s="627"/>
      <c r="ABM24" s="627"/>
      <c r="ABN24" s="627"/>
      <c r="ABO24" s="627"/>
      <c r="ABP24" s="627"/>
      <c r="ABQ24" s="627"/>
      <c r="ABR24" s="627"/>
      <c r="ABS24" s="627"/>
      <c r="ABT24" s="627"/>
      <c r="ABU24" s="627"/>
      <c r="ABV24" s="627"/>
      <c r="ABW24" s="627"/>
      <c r="ABX24" s="627"/>
      <c r="ABY24" s="627"/>
      <c r="ABZ24" s="627"/>
      <c r="ACA24" s="627"/>
      <c r="ACB24" s="627"/>
      <c r="ACC24" s="627"/>
      <c r="ACD24" s="627"/>
      <c r="ACE24" s="627"/>
      <c r="ACF24" s="627"/>
      <c r="ACG24" s="627"/>
      <c r="ACH24" s="627"/>
      <c r="ACI24" s="627"/>
      <c r="ACJ24" s="627"/>
      <c r="ACK24" s="627"/>
      <c r="ACL24" s="627"/>
      <c r="ACM24" s="627"/>
      <c r="ACN24" s="627"/>
      <c r="ACO24" s="627"/>
      <c r="ACP24" s="627"/>
      <c r="ACQ24" s="627"/>
      <c r="ACR24" s="627"/>
      <c r="ACS24" s="627"/>
      <c r="ACT24" s="627"/>
      <c r="ACU24" s="627"/>
      <c r="ACV24" s="627"/>
      <c r="ACW24" s="627"/>
      <c r="ACX24" s="627"/>
      <c r="ACY24" s="627"/>
      <c r="ACZ24" s="627"/>
      <c r="ADA24" s="627"/>
      <c r="ADB24" s="627"/>
      <c r="ADC24" s="627"/>
      <c r="ADD24" s="627"/>
      <c r="ADE24" s="627"/>
      <c r="ADF24" s="627"/>
      <c r="ADG24" s="627"/>
      <c r="ADH24" s="627"/>
      <c r="ADI24" s="627"/>
      <c r="ADJ24" s="627"/>
      <c r="ADK24" s="627"/>
      <c r="ADL24" s="627"/>
      <c r="ADM24" s="627"/>
      <c r="ADN24" s="627"/>
      <c r="ADO24" s="627"/>
      <c r="ADP24" s="627"/>
      <c r="ADQ24" s="627"/>
      <c r="ADR24" s="627"/>
      <c r="ADS24" s="627"/>
      <c r="ADT24" s="627"/>
      <c r="ADU24" s="627"/>
      <c r="ADV24" s="627"/>
      <c r="ADW24" s="627"/>
      <c r="ADX24" s="627"/>
      <c r="ADY24" s="627"/>
      <c r="ADZ24" s="627"/>
      <c r="AEA24" s="627"/>
      <c r="AEB24" s="627"/>
      <c r="AEC24" s="627"/>
      <c r="AED24" s="627"/>
      <c r="AEE24" s="627"/>
      <c r="AEF24" s="627"/>
      <c r="AEG24" s="627"/>
      <c r="AEH24" s="627"/>
      <c r="AEI24" s="627"/>
      <c r="AEJ24" s="627"/>
      <c r="AEK24" s="627"/>
      <c r="AEL24" s="627"/>
      <c r="AEM24" s="627"/>
      <c r="AEN24" s="627"/>
      <c r="AEO24" s="627"/>
      <c r="AEP24" s="627"/>
      <c r="AEQ24" s="627"/>
      <c r="AER24" s="627"/>
      <c r="AES24" s="627"/>
      <c r="AET24" s="627"/>
      <c r="AEU24" s="627"/>
      <c r="AEV24" s="627"/>
      <c r="AEW24" s="627"/>
      <c r="AEX24" s="627"/>
      <c r="AEY24" s="627"/>
      <c r="AEZ24" s="627"/>
      <c r="AFA24" s="627"/>
      <c r="AFB24" s="627"/>
      <c r="AFC24" s="627"/>
      <c r="AFD24" s="627"/>
      <c r="AFE24" s="627"/>
      <c r="AFF24" s="627"/>
      <c r="AFG24" s="627"/>
      <c r="AFH24" s="627"/>
      <c r="AFI24" s="627"/>
      <c r="AFJ24" s="627"/>
      <c r="AFK24" s="627"/>
      <c r="AFL24" s="627"/>
      <c r="AFM24" s="627"/>
      <c r="AFN24" s="627"/>
      <c r="AFO24" s="627"/>
      <c r="AFP24" s="627"/>
      <c r="AFQ24" s="627"/>
      <c r="AFR24" s="627"/>
      <c r="AFS24" s="627"/>
      <c r="AFT24" s="627"/>
      <c r="AFU24" s="627"/>
      <c r="AFV24" s="627"/>
      <c r="AFW24" s="627"/>
      <c r="AFX24" s="627"/>
      <c r="AFY24" s="627"/>
      <c r="AFZ24" s="627"/>
      <c r="AGA24" s="627"/>
      <c r="AGB24" s="627"/>
      <c r="AGC24" s="627"/>
      <c r="AGD24" s="627"/>
      <c r="AGE24" s="627"/>
      <c r="AGF24" s="627"/>
      <c r="AGG24" s="627"/>
      <c r="AGH24" s="627"/>
      <c r="AGI24" s="627"/>
      <c r="AGJ24" s="627"/>
      <c r="AGK24" s="627"/>
      <c r="AGL24" s="627"/>
      <c r="AGM24" s="627"/>
      <c r="AGN24" s="627"/>
      <c r="AGO24" s="627"/>
      <c r="AGP24" s="627"/>
      <c r="AGQ24" s="627"/>
      <c r="AGR24" s="627"/>
      <c r="AGS24" s="627"/>
      <c r="AGT24" s="627"/>
      <c r="AGU24" s="627"/>
      <c r="AGV24" s="627"/>
      <c r="AGW24" s="627"/>
      <c r="AGX24" s="627"/>
      <c r="AGY24" s="627"/>
      <c r="AGZ24" s="627"/>
      <c r="AHA24" s="627"/>
      <c r="AHB24" s="627"/>
      <c r="AHC24" s="627"/>
      <c r="AHD24" s="627"/>
      <c r="AHE24" s="627"/>
      <c r="AHF24" s="627"/>
      <c r="AHG24" s="627"/>
      <c r="AHH24" s="627"/>
      <c r="AHI24" s="627"/>
      <c r="AHJ24" s="627"/>
      <c r="AHK24" s="627"/>
      <c r="AHL24" s="627"/>
      <c r="AHM24" s="627"/>
      <c r="AHN24" s="627"/>
      <c r="AHO24" s="627"/>
      <c r="AHP24" s="627"/>
      <c r="AHQ24" s="627"/>
      <c r="AHR24" s="627"/>
      <c r="AHS24" s="627"/>
      <c r="AHT24" s="627"/>
      <c r="AHU24" s="627"/>
      <c r="AHV24" s="627"/>
      <c r="AHW24" s="627"/>
      <c r="AHX24" s="627"/>
      <c r="AHY24" s="627"/>
      <c r="AHZ24" s="627"/>
      <c r="AIA24" s="627"/>
      <c r="AIB24" s="627"/>
      <c r="AIC24" s="627"/>
      <c r="AID24" s="627"/>
      <c r="AIE24" s="627"/>
      <c r="AIF24" s="627"/>
      <c r="AIG24" s="627"/>
      <c r="AIH24" s="627"/>
      <c r="AII24" s="627"/>
      <c r="AIJ24" s="627"/>
      <c r="AIK24" s="627"/>
      <c r="AIL24" s="627"/>
      <c r="AIM24" s="627"/>
      <c r="AIN24" s="627"/>
      <c r="AIO24" s="627"/>
      <c r="AIP24" s="627"/>
      <c r="AIQ24" s="627"/>
      <c r="AIR24" s="627"/>
      <c r="AIS24" s="627"/>
      <c r="AIT24" s="627"/>
      <c r="AIU24" s="627"/>
      <c r="AIV24" s="627"/>
      <c r="AIW24" s="627"/>
      <c r="AIX24" s="627"/>
      <c r="AIY24" s="627"/>
      <c r="AIZ24" s="627"/>
      <c r="AJA24" s="627"/>
      <c r="AJB24" s="627"/>
      <c r="AJC24" s="627"/>
      <c r="AJD24" s="627"/>
      <c r="AJE24" s="627"/>
      <c r="AJF24" s="627"/>
      <c r="AJG24" s="627"/>
      <c r="AJH24" s="627"/>
      <c r="AJI24" s="627"/>
      <c r="AJJ24" s="627"/>
      <c r="AJK24" s="627"/>
      <c r="AJL24" s="627"/>
      <c r="AJM24" s="627"/>
      <c r="AJN24" s="627"/>
      <c r="AJO24" s="627"/>
      <c r="AJP24" s="627"/>
      <c r="AJQ24" s="627"/>
      <c r="AJR24" s="627"/>
      <c r="AJS24" s="627"/>
      <c r="AJT24" s="627"/>
      <c r="AJU24" s="627"/>
      <c r="AJV24" s="627"/>
      <c r="AJW24" s="627"/>
      <c r="AJX24" s="627"/>
      <c r="AJY24" s="627"/>
      <c r="AJZ24" s="627"/>
      <c r="AKA24" s="627"/>
      <c r="AKB24" s="627"/>
      <c r="AKC24" s="627"/>
      <c r="AKD24" s="627"/>
      <c r="AKE24" s="627"/>
      <c r="AKF24" s="627"/>
      <c r="AKG24" s="627"/>
      <c r="AKH24" s="627"/>
      <c r="AKI24" s="627"/>
      <c r="AKJ24" s="627"/>
      <c r="AKK24" s="627"/>
      <c r="AKL24" s="627"/>
      <c r="AKM24" s="627"/>
      <c r="AKN24" s="627"/>
      <c r="AKO24" s="627"/>
      <c r="AKP24" s="627"/>
      <c r="AKQ24" s="627"/>
      <c r="AKR24" s="627"/>
      <c r="AKS24" s="627"/>
      <c r="AKT24" s="627"/>
      <c r="AKU24" s="627"/>
      <c r="AKV24" s="627"/>
      <c r="AKW24" s="627"/>
      <c r="AKX24" s="627"/>
      <c r="AKY24" s="627"/>
      <c r="AKZ24" s="627"/>
      <c r="ALA24" s="627"/>
      <c r="ALB24" s="627"/>
      <c r="ALC24" s="627"/>
      <c r="ALD24" s="627"/>
      <c r="ALE24" s="627"/>
      <c r="ALF24" s="627"/>
      <c r="ALG24" s="627"/>
      <c r="ALH24" s="627"/>
      <c r="ALI24" s="627"/>
      <c r="ALJ24" s="627"/>
      <c r="ALK24" s="627"/>
      <c r="ALL24" s="627"/>
      <c r="ALM24" s="627"/>
      <c r="ALN24" s="627"/>
      <c r="ALO24" s="627"/>
      <c r="ALP24" s="627"/>
      <c r="ALQ24" s="627"/>
      <c r="ALR24" s="627"/>
      <c r="ALS24" s="627"/>
      <c r="ALT24" s="627"/>
      <c r="ALU24" s="627"/>
      <c r="ALV24" s="627"/>
      <c r="ALW24" s="627"/>
      <c r="ALX24" s="627"/>
      <c r="ALY24" s="627"/>
      <c r="ALZ24" s="627"/>
      <c r="AMA24" s="627"/>
      <c r="AMB24" s="627"/>
      <c r="AMC24" s="627"/>
      <c r="AMD24" s="627"/>
      <c r="AME24" s="627"/>
      <c r="AMF24" s="627"/>
      <c r="AMG24" s="627"/>
      <c r="AMH24" s="627"/>
      <c r="AMI24" s="627"/>
      <c r="AMJ24" s="627"/>
      <c r="AMK24" s="627"/>
      <c r="AML24" s="627"/>
      <c r="AMM24" s="627"/>
      <c r="AMN24" s="627"/>
      <c r="AMO24" s="627"/>
      <c r="AMP24" s="627"/>
      <c r="AMQ24" s="627"/>
      <c r="AMR24" s="627"/>
      <c r="AMS24" s="627"/>
      <c r="AMT24" s="627"/>
      <c r="AMU24" s="627"/>
      <c r="AMV24" s="627"/>
      <c r="AMW24" s="627"/>
      <c r="AMX24" s="627"/>
      <c r="AMY24" s="627"/>
      <c r="AMZ24" s="627"/>
      <c r="ANA24" s="627"/>
      <c r="ANB24" s="627"/>
      <c r="ANC24" s="627"/>
      <c r="AND24" s="627"/>
      <c r="ANE24" s="627"/>
      <c r="ANF24" s="627"/>
      <c r="ANG24" s="627"/>
      <c r="ANH24" s="627"/>
      <c r="ANI24" s="627"/>
      <c r="ANJ24" s="627"/>
      <c r="ANK24" s="627"/>
      <c r="ANL24" s="627"/>
      <c r="ANM24" s="627"/>
      <c r="ANN24" s="627"/>
      <c r="ANO24" s="627"/>
      <c r="ANP24" s="627"/>
      <c r="ANQ24" s="627"/>
      <c r="ANR24" s="627"/>
      <c r="ANS24" s="627"/>
      <c r="ANT24" s="627"/>
      <c r="ANU24" s="627"/>
      <c r="ANV24" s="627"/>
      <c r="ANW24" s="627"/>
      <c r="ANX24" s="627"/>
      <c r="ANY24" s="627"/>
      <c r="ANZ24" s="627"/>
      <c r="AOA24" s="627"/>
      <c r="AOB24" s="627"/>
      <c r="AOC24" s="627"/>
      <c r="AOD24" s="627"/>
      <c r="AOE24" s="627"/>
      <c r="AOF24" s="627"/>
      <c r="AOG24" s="627"/>
      <c r="AOH24" s="627"/>
      <c r="AOI24" s="627"/>
      <c r="AOJ24" s="627"/>
      <c r="AOK24" s="627"/>
      <c r="AOL24" s="627"/>
      <c r="AOM24" s="627"/>
      <c r="AON24" s="627"/>
      <c r="AOO24" s="627"/>
      <c r="AOP24" s="627"/>
      <c r="AOQ24" s="627"/>
      <c r="AOR24" s="627"/>
      <c r="AOS24" s="627"/>
      <c r="AOT24" s="627"/>
      <c r="AOU24" s="627"/>
      <c r="AOV24" s="627"/>
      <c r="AOW24" s="627"/>
      <c r="AOX24" s="627"/>
      <c r="AOY24" s="627"/>
      <c r="AOZ24" s="627"/>
      <c r="APA24" s="627"/>
      <c r="APB24" s="627"/>
      <c r="APC24" s="627"/>
      <c r="APD24" s="627"/>
      <c r="APE24" s="627"/>
      <c r="APF24" s="627"/>
      <c r="APG24" s="627"/>
      <c r="APH24" s="627"/>
      <c r="API24" s="627"/>
      <c r="APJ24" s="627"/>
      <c r="APK24" s="627"/>
      <c r="APL24" s="627"/>
      <c r="APM24" s="627"/>
      <c r="APN24" s="627"/>
      <c r="APO24" s="627"/>
      <c r="APP24" s="627"/>
      <c r="APQ24" s="627"/>
      <c r="APR24" s="627"/>
      <c r="APS24" s="627"/>
      <c r="APT24" s="627"/>
      <c r="APU24" s="627"/>
      <c r="APV24" s="627"/>
      <c r="APW24" s="627"/>
      <c r="APX24" s="627"/>
      <c r="APY24" s="627"/>
      <c r="APZ24" s="627"/>
      <c r="AQA24" s="627"/>
      <c r="AQB24" s="627"/>
      <c r="AQC24" s="627"/>
      <c r="AQD24" s="627"/>
      <c r="AQE24" s="627"/>
      <c r="AQF24" s="627"/>
      <c r="AQG24" s="627"/>
      <c r="AQH24" s="627"/>
      <c r="AQI24" s="627"/>
      <c r="AQJ24" s="627"/>
      <c r="AQK24" s="627"/>
      <c r="AQL24" s="627"/>
      <c r="AQM24" s="627"/>
      <c r="AQN24" s="627"/>
      <c r="AQO24" s="627"/>
      <c r="AQP24" s="627"/>
      <c r="AQQ24" s="627"/>
      <c r="AQR24" s="627"/>
      <c r="AQS24" s="627"/>
      <c r="AQT24" s="627"/>
      <c r="AQU24" s="627"/>
      <c r="AQV24" s="627"/>
      <c r="AQW24" s="627"/>
      <c r="AQX24" s="627"/>
      <c r="AQY24" s="627"/>
      <c r="AQZ24" s="627"/>
      <c r="ARA24" s="627"/>
      <c r="ARB24" s="627"/>
      <c r="ARC24" s="627"/>
      <c r="ARD24" s="627"/>
      <c r="ARE24" s="627"/>
      <c r="ARF24" s="627"/>
      <c r="ARG24" s="627"/>
      <c r="ARH24" s="627"/>
      <c r="ARI24" s="627"/>
      <c r="ARJ24" s="627"/>
      <c r="ARK24" s="627"/>
      <c r="ARL24" s="627"/>
      <c r="ARM24" s="627"/>
      <c r="ARN24" s="627"/>
      <c r="ARO24" s="627"/>
      <c r="ARP24" s="627"/>
      <c r="ARQ24" s="627"/>
      <c r="ARR24" s="627"/>
      <c r="ARS24" s="627"/>
      <c r="ART24" s="627"/>
      <c r="ARU24" s="627"/>
      <c r="ARV24" s="627"/>
      <c r="ARW24" s="627"/>
      <c r="ARX24" s="627"/>
      <c r="ARY24" s="627"/>
      <c r="ARZ24" s="627"/>
      <c r="ASA24" s="627"/>
      <c r="ASB24" s="627"/>
      <c r="ASC24" s="627"/>
      <c r="ASD24" s="627"/>
      <c r="ASE24" s="627"/>
      <c r="ASF24" s="627"/>
      <c r="ASG24" s="627"/>
      <c r="ASH24" s="627"/>
      <c r="ASI24" s="627"/>
      <c r="ASJ24" s="627"/>
      <c r="ASK24" s="627"/>
      <c r="ASL24" s="627"/>
      <c r="ASM24" s="627"/>
      <c r="ASN24" s="627"/>
      <c r="ASO24" s="627"/>
      <c r="ASP24" s="627"/>
      <c r="ASQ24" s="627"/>
      <c r="ASR24" s="627"/>
      <c r="ASS24" s="627"/>
      <c r="AST24" s="627"/>
      <c r="ASU24" s="627"/>
      <c r="ASV24" s="627"/>
      <c r="ASW24" s="627"/>
      <c r="ASX24" s="627"/>
      <c r="ASY24" s="627"/>
      <c r="ASZ24" s="627"/>
      <c r="ATA24" s="627"/>
      <c r="ATB24" s="627"/>
      <c r="ATC24" s="627"/>
      <c r="ATD24" s="627"/>
      <c r="ATE24" s="627"/>
      <c r="ATF24" s="627"/>
      <c r="ATG24" s="627"/>
      <c r="ATH24" s="627"/>
      <c r="ATI24" s="627"/>
      <c r="ATJ24" s="627"/>
      <c r="ATK24" s="627"/>
      <c r="ATL24" s="627"/>
      <c r="ATM24" s="627"/>
      <c r="ATN24" s="627"/>
      <c r="ATO24" s="627"/>
      <c r="ATP24" s="627"/>
      <c r="ATQ24" s="627"/>
      <c r="ATR24" s="627"/>
      <c r="ATS24" s="627"/>
      <c r="ATT24" s="627"/>
      <c r="ATU24" s="627"/>
      <c r="ATV24" s="627"/>
      <c r="ATW24" s="627"/>
      <c r="ATX24" s="627"/>
      <c r="ATY24" s="627"/>
      <c r="ATZ24" s="627"/>
      <c r="AUA24" s="627"/>
      <c r="AUB24" s="627"/>
      <c r="AUC24" s="627"/>
      <c r="AUD24" s="627"/>
      <c r="AUE24" s="627"/>
      <c r="AUF24" s="627"/>
      <c r="AUG24" s="627"/>
      <c r="AUH24" s="627"/>
      <c r="AUI24" s="627"/>
      <c r="AUJ24" s="627"/>
      <c r="AUK24" s="627"/>
      <c r="AUL24" s="627"/>
      <c r="AUM24" s="627"/>
      <c r="AUN24" s="627"/>
      <c r="AUO24" s="627"/>
      <c r="AUP24" s="627"/>
      <c r="AUQ24" s="627"/>
      <c r="AUR24" s="627"/>
      <c r="AUS24" s="627"/>
      <c r="AUT24" s="627"/>
      <c r="AUU24" s="627"/>
      <c r="AUV24" s="627"/>
      <c r="AUW24" s="627"/>
      <c r="AUX24" s="627"/>
      <c r="AUY24" s="627"/>
      <c r="AUZ24" s="627"/>
      <c r="AVA24" s="627"/>
      <c r="AVB24" s="627"/>
      <c r="AVC24" s="627"/>
      <c r="AVD24" s="627"/>
      <c r="AVE24" s="627"/>
      <c r="AVF24" s="627"/>
      <c r="AVG24" s="627"/>
      <c r="AVH24" s="627"/>
      <c r="AVI24" s="627"/>
      <c r="AVJ24" s="627"/>
      <c r="AVK24" s="627"/>
      <c r="AVL24" s="627"/>
      <c r="AVM24" s="627"/>
      <c r="AVN24" s="627"/>
      <c r="AVO24" s="627"/>
      <c r="AVP24" s="627"/>
      <c r="AVQ24" s="627"/>
      <c r="AVR24" s="627"/>
      <c r="AVS24" s="627"/>
      <c r="AVT24" s="627"/>
      <c r="AVU24" s="627"/>
      <c r="AVV24" s="627"/>
      <c r="AVW24" s="627"/>
      <c r="AVX24" s="627"/>
      <c r="AVY24" s="627"/>
      <c r="AVZ24" s="627"/>
      <c r="AWA24" s="627"/>
      <c r="AWB24" s="627"/>
      <c r="AWC24" s="627"/>
      <c r="AWD24" s="627"/>
      <c r="AWE24" s="627"/>
      <c r="AWF24" s="627"/>
      <c r="AWG24" s="627"/>
      <c r="AWH24" s="627"/>
      <c r="AWI24" s="627"/>
      <c r="AWJ24" s="627"/>
      <c r="AWK24" s="627"/>
      <c r="AWL24" s="627"/>
      <c r="AWM24" s="627"/>
      <c r="AWN24" s="627"/>
      <c r="AWO24" s="627"/>
      <c r="AWP24" s="627"/>
      <c r="AWQ24" s="627"/>
      <c r="AWR24" s="627"/>
      <c r="AWS24" s="627"/>
      <c r="AWT24" s="627"/>
      <c r="AWU24" s="627"/>
      <c r="AWV24" s="627"/>
      <c r="AWW24" s="627"/>
      <c r="AWX24" s="627"/>
      <c r="AWY24" s="627"/>
      <c r="AWZ24" s="627"/>
      <c r="AXA24" s="627"/>
      <c r="AXB24" s="627"/>
      <c r="AXC24" s="627"/>
      <c r="AXD24" s="627"/>
      <c r="AXE24" s="627"/>
      <c r="AXF24" s="627"/>
      <c r="AXG24" s="627"/>
      <c r="AXH24" s="627"/>
      <c r="AXI24" s="627"/>
      <c r="AXJ24" s="627"/>
      <c r="AXK24" s="627"/>
      <c r="AXL24" s="627"/>
      <c r="AXM24" s="627"/>
      <c r="AXN24" s="627"/>
      <c r="AXO24" s="627"/>
      <c r="AXP24" s="627"/>
      <c r="AXQ24" s="627"/>
      <c r="AXR24" s="627"/>
      <c r="AXS24" s="627"/>
      <c r="AXT24" s="627"/>
      <c r="AXU24" s="627"/>
      <c r="AXV24" s="627"/>
      <c r="AXW24" s="627"/>
      <c r="AXX24" s="627"/>
      <c r="AXY24" s="627"/>
      <c r="AXZ24" s="627"/>
      <c r="AYA24" s="627"/>
      <c r="AYB24" s="627"/>
      <c r="AYC24" s="627"/>
      <c r="AYD24" s="627"/>
      <c r="AYE24" s="627"/>
      <c r="AYF24" s="627"/>
      <c r="AYG24" s="627"/>
      <c r="AYH24" s="627"/>
      <c r="AYI24" s="627"/>
      <c r="AYJ24" s="627"/>
      <c r="AYK24" s="627"/>
      <c r="AYL24" s="627"/>
      <c r="AYM24" s="627"/>
      <c r="AYN24" s="627"/>
      <c r="AYO24" s="627"/>
      <c r="AYP24" s="627"/>
      <c r="AYQ24" s="627"/>
      <c r="AYR24" s="627"/>
      <c r="AYS24" s="627"/>
      <c r="AYT24" s="627"/>
      <c r="AYU24" s="627"/>
      <c r="AYV24" s="627"/>
      <c r="AYW24" s="627"/>
      <c r="AYX24" s="627"/>
      <c r="AYY24" s="627"/>
      <c r="AYZ24" s="627"/>
      <c r="AZA24" s="627"/>
      <c r="AZB24" s="627"/>
      <c r="AZC24" s="627"/>
      <c r="AZD24" s="627"/>
      <c r="AZE24" s="627"/>
      <c r="AZF24" s="627"/>
      <c r="AZG24" s="627"/>
      <c r="AZH24" s="627"/>
      <c r="AZI24" s="627"/>
      <c r="AZJ24" s="627"/>
      <c r="AZK24" s="627"/>
      <c r="AZL24" s="627"/>
      <c r="AZM24" s="627"/>
      <c r="AZN24" s="627"/>
      <c r="AZO24" s="627"/>
      <c r="AZP24" s="627"/>
      <c r="AZQ24" s="627"/>
      <c r="AZR24" s="627"/>
      <c r="AZS24" s="627"/>
      <c r="AZT24" s="627"/>
      <c r="AZU24" s="627"/>
      <c r="AZV24" s="627"/>
      <c r="AZW24" s="627"/>
      <c r="AZX24" s="627"/>
      <c r="AZY24" s="627"/>
      <c r="AZZ24" s="627"/>
      <c r="BAA24" s="627"/>
      <c r="BAB24" s="627"/>
      <c r="BAC24" s="627"/>
      <c r="BAD24" s="627"/>
      <c r="BAE24" s="627"/>
      <c r="BAF24" s="627"/>
      <c r="BAG24" s="627"/>
      <c r="BAH24" s="627"/>
      <c r="BAI24" s="627"/>
      <c r="BAJ24" s="627"/>
      <c r="BAK24" s="627"/>
      <c r="BAL24" s="627"/>
      <c r="BAM24" s="627"/>
      <c r="BAN24" s="627"/>
      <c r="BAO24" s="627"/>
      <c r="BAP24" s="627"/>
      <c r="BAQ24" s="627"/>
      <c r="BAR24" s="627"/>
      <c r="BAS24" s="627"/>
      <c r="BAT24" s="627"/>
      <c r="BAU24" s="627"/>
      <c r="BAV24" s="627"/>
      <c r="BAW24" s="627"/>
      <c r="BAX24" s="627"/>
      <c r="BAY24" s="627"/>
      <c r="BAZ24" s="627"/>
      <c r="BBA24" s="627"/>
      <c r="BBB24" s="627"/>
      <c r="BBC24" s="627"/>
      <c r="BBD24" s="627"/>
      <c r="BBE24" s="627"/>
      <c r="BBF24" s="627"/>
      <c r="BBG24" s="627"/>
      <c r="BBH24" s="627"/>
      <c r="BBI24" s="627"/>
      <c r="BBJ24" s="627"/>
      <c r="BBK24" s="627"/>
      <c r="BBL24" s="627"/>
      <c r="BBM24" s="627"/>
      <c r="BBN24" s="627"/>
      <c r="BBO24" s="627"/>
      <c r="BBP24" s="627"/>
      <c r="BBQ24" s="627"/>
      <c r="BBR24" s="627"/>
      <c r="BBS24" s="627"/>
      <c r="BBT24" s="627"/>
      <c r="BBU24" s="627"/>
      <c r="BBV24" s="627"/>
      <c r="BBW24" s="627"/>
      <c r="BBX24" s="627"/>
      <c r="BBY24" s="627"/>
      <c r="BBZ24" s="627"/>
      <c r="BCA24" s="627"/>
      <c r="BCB24" s="627"/>
      <c r="BCC24" s="627"/>
      <c r="BCD24" s="627"/>
      <c r="BCE24" s="627"/>
      <c r="BCF24" s="627"/>
      <c r="BCG24" s="627"/>
      <c r="BCH24" s="627"/>
      <c r="BCI24" s="627"/>
      <c r="BCJ24" s="627"/>
      <c r="BCK24" s="627"/>
      <c r="BCL24" s="627"/>
      <c r="BCM24" s="627"/>
      <c r="BCN24" s="627"/>
      <c r="BCO24" s="627"/>
      <c r="BCP24" s="627"/>
      <c r="BCQ24" s="627"/>
      <c r="BCR24" s="627"/>
      <c r="BCS24" s="627"/>
      <c r="BCT24" s="627"/>
      <c r="BCU24" s="627"/>
      <c r="BCV24" s="627"/>
      <c r="BCW24" s="627"/>
      <c r="BCX24" s="627"/>
      <c r="BCY24" s="627"/>
      <c r="BCZ24" s="627"/>
      <c r="BDA24" s="627"/>
      <c r="BDB24" s="627"/>
      <c r="BDC24" s="627"/>
      <c r="BDD24" s="627"/>
      <c r="BDE24" s="627"/>
      <c r="BDF24" s="627"/>
      <c r="BDG24" s="627"/>
      <c r="BDH24" s="627"/>
      <c r="BDI24" s="627"/>
      <c r="BDJ24" s="627"/>
      <c r="BDK24" s="627"/>
      <c r="BDL24" s="627"/>
      <c r="BDM24" s="627"/>
      <c r="BDN24" s="627"/>
      <c r="BDO24" s="627"/>
      <c r="BDP24" s="627"/>
      <c r="BDQ24" s="627"/>
      <c r="BDR24" s="627"/>
      <c r="BDS24" s="627"/>
      <c r="BDT24" s="627"/>
      <c r="BDU24" s="627"/>
      <c r="BDV24" s="627"/>
      <c r="BDW24" s="627"/>
      <c r="BDX24" s="627"/>
      <c r="BDY24" s="627"/>
      <c r="BDZ24" s="627"/>
      <c r="BEA24" s="627"/>
      <c r="BEB24" s="627"/>
      <c r="BEC24" s="627"/>
      <c r="BED24" s="627"/>
      <c r="BEE24" s="627"/>
      <c r="BEF24" s="627"/>
      <c r="BEG24" s="627"/>
      <c r="BEH24" s="627"/>
      <c r="BEI24" s="627"/>
      <c r="BEJ24" s="627"/>
      <c r="BEK24" s="627"/>
      <c r="BEL24" s="627"/>
      <c r="BEM24" s="627"/>
      <c r="BEN24" s="627"/>
      <c r="BEO24" s="627"/>
      <c r="BEP24" s="627"/>
      <c r="BEQ24" s="627"/>
      <c r="BER24" s="627"/>
      <c r="BES24" s="627"/>
      <c r="BET24" s="627"/>
      <c r="BEU24" s="627"/>
      <c r="BEV24" s="627"/>
      <c r="BEW24" s="627"/>
      <c r="BEX24" s="627"/>
      <c r="BEY24" s="627"/>
      <c r="BEZ24" s="627"/>
      <c r="BFA24" s="627"/>
      <c r="BFB24" s="627"/>
      <c r="BFC24" s="627"/>
      <c r="BFD24" s="627"/>
      <c r="BFE24" s="627"/>
      <c r="BFF24" s="627"/>
      <c r="BFG24" s="627"/>
      <c r="BFH24" s="627"/>
      <c r="BFI24" s="627"/>
      <c r="BFJ24" s="627"/>
      <c r="BFK24" s="627"/>
      <c r="BFL24" s="627"/>
      <c r="BFM24" s="627"/>
      <c r="BFN24" s="627"/>
      <c r="BFO24" s="627"/>
      <c r="BFP24" s="627"/>
      <c r="BFQ24" s="627"/>
      <c r="BFR24" s="627"/>
      <c r="BFS24" s="627"/>
      <c r="BFT24" s="627"/>
      <c r="BFU24" s="627"/>
      <c r="BFV24" s="627"/>
      <c r="BFW24" s="627"/>
      <c r="BFX24" s="627"/>
      <c r="BFY24" s="627"/>
      <c r="BFZ24" s="627"/>
      <c r="BGA24" s="627"/>
      <c r="BGB24" s="627"/>
      <c r="BGC24" s="627"/>
      <c r="BGD24" s="627"/>
      <c r="BGE24" s="627"/>
      <c r="BGF24" s="627"/>
      <c r="BGG24" s="627"/>
      <c r="BGH24" s="627"/>
      <c r="BGI24" s="627"/>
      <c r="BGJ24" s="627"/>
      <c r="BGK24" s="627"/>
      <c r="BGL24" s="627"/>
      <c r="BGM24" s="627"/>
      <c r="BGN24" s="627"/>
      <c r="BGO24" s="627"/>
      <c r="BGP24" s="627"/>
      <c r="BGQ24" s="627"/>
      <c r="BGR24" s="627"/>
      <c r="BGS24" s="627"/>
      <c r="BGT24" s="627"/>
      <c r="BGU24" s="627"/>
      <c r="BGV24" s="627"/>
      <c r="BGW24" s="627"/>
      <c r="BGX24" s="627"/>
      <c r="BGY24" s="627"/>
      <c r="BGZ24" s="627"/>
      <c r="BHA24" s="627"/>
      <c r="BHB24" s="627"/>
      <c r="BHC24" s="627"/>
      <c r="BHD24" s="627"/>
      <c r="BHE24" s="627"/>
      <c r="BHF24" s="627"/>
      <c r="BHG24" s="627"/>
      <c r="BHH24" s="627"/>
      <c r="BHI24" s="627"/>
      <c r="BHJ24" s="627"/>
      <c r="BHK24" s="627"/>
      <c r="BHL24" s="627"/>
      <c r="BHM24" s="627"/>
      <c r="BHN24" s="627"/>
      <c r="BHO24" s="627"/>
      <c r="BHP24" s="627"/>
      <c r="BHQ24" s="627"/>
      <c r="BHR24" s="627"/>
      <c r="BHS24" s="627"/>
      <c r="BHT24" s="627"/>
      <c r="BHU24" s="627"/>
      <c r="BHV24" s="627"/>
      <c r="BHW24" s="627"/>
      <c r="BHX24" s="627"/>
      <c r="BHY24" s="627"/>
      <c r="BHZ24" s="627"/>
      <c r="BIA24" s="627"/>
      <c r="BIB24" s="627"/>
      <c r="BIC24" s="627"/>
      <c r="BID24" s="627"/>
      <c r="BIE24" s="627"/>
      <c r="BIF24" s="627"/>
      <c r="BIG24" s="627"/>
      <c r="BIH24" s="627"/>
      <c r="BII24" s="627"/>
      <c r="BIJ24" s="627"/>
      <c r="BIK24" s="627"/>
      <c r="BIL24" s="627"/>
      <c r="BIM24" s="627"/>
      <c r="BIN24" s="627"/>
      <c r="BIO24" s="627"/>
      <c r="BIP24" s="627"/>
      <c r="BIQ24" s="627"/>
      <c r="BIR24" s="627"/>
      <c r="BIS24" s="627"/>
      <c r="BIT24" s="627"/>
      <c r="BIU24" s="627"/>
      <c r="BIV24" s="627"/>
      <c r="BIW24" s="627"/>
      <c r="BIX24" s="627"/>
      <c r="BIY24" s="627"/>
      <c r="BIZ24" s="627"/>
      <c r="BJA24" s="627"/>
      <c r="BJB24" s="627"/>
      <c r="BJC24" s="627"/>
      <c r="BJD24" s="627"/>
      <c r="BJE24" s="627"/>
      <c r="BJF24" s="627"/>
      <c r="BJG24" s="627"/>
      <c r="BJH24" s="627"/>
      <c r="BJI24" s="627"/>
      <c r="BJJ24" s="627"/>
      <c r="BJK24" s="627"/>
      <c r="BJL24" s="627"/>
      <c r="BJM24" s="627"/>
      <c r="BJN24" s="627"/>
      <c r="BJO24" s="627"/>
      <c r="BJP24" s="627"/>
      <c r="BJQ24" s="627"/>
      <c r="BJR24" s="627"/>
      <c r="BJS24" s="627"/>
      <c r="BJT24" s="627"/>
      <c r="BJU24" s="627"/>
      <c r="BJV24" s="627"/>
      <c r="BJW24" s="627"/>
      <c r="BJX24" s="627"/>
      <c r="BJY24" s="627"/>
      <c r="BJZ24" s="627"/>
      <c r="BKA24" s="627"/>
      <c r="BKB24" s="627"/>
      <c r="BKC24" s="627"/>
      <c r="BKD24" s="627"/>
      <c r="BKE24" s="627"/>
      <c r="BKF24" s="627"/>
      <c r="BKG24" s="627"/>
      <c r="BKH24" s="627"/>
      <c r="BKI24" s="627"/>
      <c r="BKJ24" s="627"/>
      <c r="BKK24" s="627"/>
      <c r="BKL24" s="627"/>
      <c r="BKM24" s="627"/>
      <c r="BKN24" s="627"/>
      <c r="BKO24" s="627"/>
      <c r="BKP24" s="627"/>
      <c r="BKQ24" s="627"/>
      <c r="BKR24" s="627"/>
      <c r="BKS24" s="627"/>
      <c r="BKT24" s="627"/>
      <c r="BKU24" s="627"/>
      <c r="BKV24" s="627"/>
      <c r="BKW24" s="627"/>
      <c r="BKX24" s="627"/>
      <c r="BKY24" s="627"/>
      <c r="BKZ24" s="627"/>
      <c r="BLA24" s="627"/>
      <c r="BLB24" s="627"/>
      <c r="BLC24" s="627"/>
      <c r="BLD24" s="627"/>
      <c r="BLE24" s="627"/>
      <c r="BLF24" s="627"/>
      <c r="BLG24" s="627"/>
      <c r="BLH24" s="627"/>
      <c r="BLI24" s="627"/>
      <c r="BLJ24" s="627"/>
      <c r="BLK24" s="627"/>
      <c r="BLL24" s="627"/>
      <c r="BLM24" s="627"/>
      <c r="BLN24" s="627"/>
      <c r="BLO24" s="627"/>
      <c r="BLP24" s="627"/>
      <c r="BLQ24" s="627"/>
      <c r="BLR24" s="627"/>
      <c r="BLS24" s="627"/>
      <c r="BLT24" s="627"/>
      <c r="BLU24" s="627"/>
      <c r="BLV24" s="627"/>
      <c r="BLW24" s="627"/>
      <c r="BLX24" s="627"/>
      <c r="BLY24" s="627"/>
      <c r="BLZ24" s="627"/>
      <c r="BMA24" s="627"/>
      <c r="BMB24" s="627"/>
      <c r="BMC24" s="627"/>
      <c r="BMD24" s="627"/>
      <c r="BME24" s="627"/>
      <c r="BMF24" s="627"/>
      <c r="BMG24" s="627"/>
      <c r="BMH24" s="627"/>
      <c r="BMI24" s="627"/>
      <c r="BMJ24" s="627"/>
      <c r="BMK24" s="627"/>
      <c r="BML24" s="627"/>
      <c r="BMM24" s="627"/>
      <c r="BMN24" s="627"/>
      <c r="BMO24" s="627"/>
      <c r="BMP24" s="627"/>
      <c r="BMQ24" s="627"/>
      <c r="BMR24" s="627"/>
      <c r="BMS24" s="627"/>
      <c r="BMT24" s="627"/>
      <c r="BMU24" s="627"/>
      <c r="BMV24" s="627"/>
      <c r="BMW24" s="627"/>
      <c r="BMX24" s="627"/>
      <c r="BMY24" s="627"/>
      <c r="BMZ24" s="627"/>
      <c r="BNA24" s="627"/>
      <c r="BNB24" s="627"/>
      <c r="BNC24" s="627"/>
      <c r="BND24" s="627"/>
      <c r="BNE24" s="627"/>
      <c r="BNF24" s="627"/>
      <c r="BNG24" s="627"/>
      <c r="BNH24" s="627"/>
      <c r="BNI24" s="627"/>
      <c r="BNJ24" s="627"/>
      <c r="BNK24" s="627"/>
      <c r="BNL24" s="627"/>
      <c r="BNM24" s="627"/>
      <c r="BNN24" s="627"/>
      <c r="BNO24" s="627"/>
      <c r="BNP24" s="627"/>
      <c r="BNQ24" s="627"/>
      <c r="BNR24" s="627"/>
      <c r="BNS24" s="627"/>
      <c r="BNT24" s="627"/>
      <c r="BNU24" s="627"/>
      <c r="BNV24" s="627"/>
      <c r="BNW24" s="627"/>
      <c r="BNX24" s="627"/>
      <c r="BNY24" s="627"/>
      <c r="BNZ24" s="627"/>
      <c r="BOA24" s="627"/>
      <c r="BOB24" s="627"/>
      <c r="BOC24" s="627"/>
      <c r="BOD24" s="627"/>
      <c r="BOE24" s="627"/>
      <c r="BOF24" s="627"/>
      <c r="BOG24" s="627"/>
      <c r="BOH24" s="627"/>
      <c r="BOI24" s="627"/>
      <c r="BOJ24" s="627"/>
      <c r="BOK24" s="627"/>
      <c r="BOL24" s="627"/>
      <c r="BOM24" s="627"/>
      <c r="BON24" s="627"/>
      <c r="BOO24" s="627"/>
      <c r="BOP24" s="627"/>
      <c r="BOQ24" s="627"/>
      <c r="BOR24" s="627"/>
      <c r="BOS24" s="627"/>
      <c r="BOT24" s="627"/>
      <c r="BOU24" s="627"/>
      <c r="BOV24" s="627"/>
      <c r="BOW24" s="627"/>
      <c r="BOX24" s="627"/>
      <c r="BOY24" s="627"/>
      <c r="BOZ24" s="627"/>
      <c r="BPA24" s="627"/>
      <c r="BPB24" s="627"/>
      <c r="BPC24" s="627"/>
      <c r="BPD24" s="627"/>
      <c r="BPE24" s="627"/>
      <c r="BPF24" s="627"/>
      <c r="BPG24" s="627"/>
      <c r="BPH24" s="627"/>
      <c r="BPI24" s="627"/>
      <c r="BPJ24" s="627"/>
      <c r="BPK24" s="627"/>
      <c r="BPL24" s="627"/>
      <c r="BPM24" s="627"/>
      <c r="BPN24" s="627"/>
      <c r="BPO24" s="627"/>
      <c r="BPP24" s="627"/>
      <c r="BPQ24" s="627"/>
      <c r="BPR24" s="627"/>
      <c r="BPS24" s="627"/>
      <c r="BPT24" s="627"/>
      <c r="BPU24" s="627"/>
      <c r="BPV24" s="627"/>
      <c r="BPW24" s="627"/>
      <c r="BPX24" s="627"/>
      <c r="BPY24" s="627"/>
      <c r="BPZ24" s="627"/>
      <c r="BQA24" s="627"/>
      <c r="BQB24" s="627"/>
      <c r="BQC24" s="627"/>
      <c r="BQD24" s="627"/>
      <c r="BQE24" s="627"/>
      <c r="BQF24" s="627"/>
      <c r="BQG24" s="627"/>
      <c r="BQH24" s="627"/>
      <c r="BQI24" s="627"/>
      <c r="BQJ24" s="627"/>
      <c r="BQK24" s="627"/>
      <c r="BQL24" s="627"/>
      <c r="BQM24" s="627"/>
      <c r="BQN24" s="627"/>
      <c r="BQO24" s="627"/>
      <c r="BQP24" s="627"/>
      <c r="BQQ24" s="627"/>
      <c r="BQR24" s="627"/>
      <c r="BQS24" s="627"/>
      <c r="BQT24" s="627"/>
      <c r="BQU24" s="627"/>
      <c r="BQV24" s="627"/>
      <c r="BQW24" s="627"/>
      <c r="BQX24" s="627"/>
      <c r="BQY24" s="627"/>
      <c r="BQZ24" s="627"/>
      <c r="BRA24" s="627"/>
      <c r="BRB24" s="627"/>
      <c r="BRC24" s="627"/>
      <c r="BRD24" s="627"/>
      <c r="BRE24" s="627"/>
      <c r="BRF24" s="627"/>
      <c r="BRG24" s="627"/>
      <c r="BRH24" s="627"/>
      <c r="BRI24" s="627"/>
      <c r="BRJ24" s="627"/>
      <c r="BRK24" s="627"/>
      <c r="BRL24" s="627"/>
      <c r="BRM24" s="627"/>
      <c r="BRN24" s="627"/>
      <c r="BRO24" s="627"/>
      <c r="BRP24" s="627"/>
      <c r="BRQ24" s="627"/>
      <c r="BRR24" s="627"/>
      <c r="BRS24" s="627"/>
      <c r="BRT24" s="627"/>
      <c r="BRU24" s="627"/>
      <c r="BRV24" s="627"/>
      <c r="BRW24" s="627"/>
      <c r="BRX24" s="627"/>
      <c r="BRY24" s="627"/>
      <c r="BRZ24" s="627"/>
      <c r="BSA24" s="627"/>
      <c r="BSB24" s="627"/>
      <c r="BSC24" s="627"/>
      <c r="BSD24" s="627"/>
      <c r="BSE24" s="627"/>
      <c r="BSF24" s="627"/>
      <c r="BSG24" s="627"/>
      <c r="BSH24" s="627"/>
      <c r="BSI24" s="627"/>
      <c r="BSJ24" s="627"/>
      <c r="BSK24" s="627"/>
      <c r="BSL24" s="627"/>
      <c r="BSM24" s="627"/>
      <c r="BSN24" s="627"/>
      <c r="BSO24" s="627"/>
      <c r="BSP24" s="627"/>
      <c r="BSQ24" s="627"/>
      <c r="BSR24" s="627"/>
      <c r="BSS24" s="627"/>
      <c r="BST24" s="627"/>
      <c r="BSU24" s="627"/>
      <c r="BSV24" s="627"/>
      <c r="BSW24" s="627"/>
      <c r="BSX24" s="627"/>
      <c r="BSY24" s="627"/>
      <c r="BSZ24" s="627"/>
      <c r="BTA24" s="627"/>
      <c r="BTB24" s="627"/>
      <c r="BTC24" s="627"/>
      <c r="BTD24" s="627"/>
      <c r="BTE24" s="627"/>
      <c r="BTF24" s="627"/>
      <c r="BTG24" s="627"/>
      <c r="BTH24" s="627"/>
      <c r="BTI24" s="627"/>
      <c r="BTJ24" s="627"/>
      <c r="BTK24" s="627"/>
      <c r="BTL24" s="627"/>
      <c r="BTM24" s="627"/>
      <c r="BTN24" s="627"/>
      <c r="BTO24" s="627"/>
      <c r="BTP24" s="627"/>
      <c r="BTQ24" s="627"/>
      <c r="BTR24" s="627"/>
      <c r="BTS24" s="627"/>
      <c r="BTT24" s="627"/>
      <c r="BTU24" s="627"/>
      <c r="BTV24" s="627"/>
      <c r="BTW24" s="627"/>
      <c r="BTX24" s="627"/>
      <c r="BTY24" s="627"/>
      <c r="BTZ24" s="627"/>
      <c r="BUA24" s="627"/>
      <c r="BUB24" s="627"/>
      <c r="BUC24" s="627"/>
      <c r="BUD24" s="627"/>
      <c r="BUE24" s="627"/>
      <c r="BUF24" s="627"/>
      <c r="BUG24" s="627"/>
      <c r="BUH24" s="627"/>
      <c r="BUI24" s="627"/>
      <c r="BUJ24" s="627"/>
      <c r="BUK24" s="627"/>
      <c r="BUL24" s="627"/>
      <c r="BUM24" s="627"/>
      <c r="BUN24" s="627"/>
      <c r="BUO24" s="627"/>
      <c r="BUP24" s="627"/>
      <c r="BUQ24" s="627"/>
      <c r="BUR24" s="627"/>
      <c r="BUS24" s="627"/>
      <c r="BUT24" s="627"/>
      <c r="BUU24" s="627"/>
      <c r="BUV24" s="627"/>
      <c r="BUW24" s="627"/>
      <c r="BUX24" s="627"/>
      <c r="BUY24" s="627"/>
      <c r="BUZ24" s="627"/>
      <c r="BVA24" s="627"/>
      <c r="BVB24" s="627"/>
      <c r="BVC24" s="627"/>
      <c r="BVD24" s="627"/>
      <c r="BVE24" s="627"/>
      <c r="BVF24" s="627"/>
      <c r="BVG24" s="627"/>
      <c r="BVH24" s="627"/>
      <c r="BVI24" s="627"/>
      <c r="BVJ24" s="627"/>
      <c r="BVK24" s="627"/>
      <c r="BVL24" s="627"/>
      <c r="BVM24" s="627"/>
      <c r="BVN24" s="627"/>
      <c r="BVO24" s="627"/>
      <c r="BVP24" s="627"/>
      <c r="BVQ24" s="627"/>
      <c r="BVR24" s="627"/>
      <c r="BVS24" s="627"/>
      <c r="BVT24" s="627"/>
      <c r="BVU24" s="627"/>
      <c r="BVV24" s="627"/>
      <c r="BVW24" s="627"/>
      <c r="BVX24" s="627"/>
      <c r="BVY24" s="627"/>
      <c r="BVZ24" s="627"/>
      <c r="BWA24" s="627"/>
      <c r="BWB24" s="627"/>
      <c r="BWC24" s="627"/>
      <c r="BWD24" s="627"/>
      <c r="BWE24" s="627"/>
      <c r="BWF24" s="627"/>
      <c r="BWG24" s="627"/>
      <c r="BWH24" s="627"/>
      <c r="BWI24" s="627"/>
      <c r="BWJ24" s="627"/>
      <c r="BWK24" s="627"/>
      <c r="BWL24" s="627"/>
      <c r="BWM24" s="627"/>
      <c r="BWN24" s="627"/>
      <c r="BWO24" s="627"/>
      <c r="BWP24" s="627"/>
      <c r="BWQ24" s="627"/>
      <c r="BWR24" s="627"/>
      <c r="BWS24" s="627"/>
      <c r="BWT24" s="627"/>
      <c r="BWU24" s="627"/>
      <c r="BWV24" s="627"/>
      <c r="BWW24" s="627"/>
      <c r="BWX24" s="627"/>
      <c r="BWY24" s="627"/>
      <c r="BWZ24" s="627"/>
      <c r="BXA24" s="627"/>
      <c r="BXB24" s="627"/>
      <c r="BXC24" s="627"/>
      <c r="BXD24" s="627"/>
      <c r="BXE24" s="627"/>
      <c r="BXF24" s="627"/>
      <c r="BXG24" s="627"/>
      <c r="BXH24" s="627"/>
      <c r="BXI24" s="627"/>
      <c r="BXJ24" s="627"/>
      <c r="BXK24" s="627"/>
      <c r="BXL24" s="627"/>
      <c r="BXM24" s="627"/>
      <c r="BXN24" s="627"/>
      <c r="BXO24" s="627"/>
      <c r="BXP24" s="627"/>
      <c r="BXQ24" s="627"/>
      <c r="BXR24" s="627"/>
      <c r="BXS24" s="627"/>
      <c r="BXT24" s="627"/>
      <c r="BXU24" s="627"/>
      <c r="BXV24" s="627"/>
      <c r="BXW24" s="627"/>
      <c r="BXX24" s="627"/>
    </row>
    <row r="25" spans="1:2000" s="3136" customFormat="1" ht="21" customHeight="1" thickBot="1" x14ac:dyDescent="0.35">
      <c r="A25" s="2829" t="s">
        <v>2876</v>
      </c>
      <c r="B25" s="3161">
        <v>5018.5416079218612</v>
      </c>
      <c r="C25" s="3161">
        <v>4371.4768533360802</v>
      </c>
      <c r="D25" s="3161">
        <v>4429.8542711576301</v>
      </c>
      <c r="E25" s="3161">
        <v>4465.2386151798364</v>
      </c>
      <c r="F25" s="3161">
        <v>4488.0833599360758</v>
      </c>
      <c r="G25" s="3161">
        <v>4737.4984330740008</v>
      </c>
      <c r="H25" s="3161">
        <v>4269.8615880276893</v>
      </c>
      <c r="I25" s="3161">
        <v>4450.7949846178881</v>
      </c>
      <c r="J25" s="3161">
        <v>4725.8183188609537</v>
      </c>
      <c r="K25" s="3161">
        <v>4503.1429324490018</v>
      </c>
      <c r="L25" s="3161">
        <v>4748.471381315645</v>
      </c>
      <c r="M25" s="3161">
        <v>4221.6671043020597</v>
      </c>
      <c r="N25" s="3161">
        <v>3021.0114484920173</v>
      </c>
      <c r="O25" s="3161">
        <v>2886.8842099199996</v>
      </c>
      <c r="P25" s="3161">
        <v>3236.8111765799999</v>
      </c>
      <c r="Q25" s="3161">
        <v>3341.4843172599999</v>
      </c>
      <c r="R25" s="3161">
        <v>3646.2824010499999</v>
      </c>
      <c r="S25" s="3161">
        <v>2639.4629274499998</v>
      </c>
      <c r="T25" s="3161">
        <v>2505.6514496399996</v>
      </c>
      <c r="U25" s="3161">
        <v>3084.4440691099999</v>
      </c>
      <c r="V25" s="3161">
        <v>2764.9529319000003</v>
      </c>
      <c r="W25" s="3161">
        <v>2481.4023879800002</v>
      </c>
      <c r="X25" s="3161">
        <v>2470.0378223300004</v>
      </c>
      <c r="Y25" s="3161">
        <v>2624.8461178700004</v>
      </c>
      <c r="Z25" s="3161">
        <v>2587.1946217599998</v>
      </c>
      <c r="AA25" s="3161">
        <v>2972.6673074200007</v>
      </c>
      <c r="AB25" s="3161">
        <v>2658.9261905299995</v>
      </c>
      <c r="AC25" s="3161">
        <v>2920.2991184399998</v>
      </c>
      <c r="AD25" s="3161">
        <v>3878.3389604000004</v>
      </c>
      <c r="AE25" s="3161">
        <v>2980.3911409100001</v>
      </c>
      <c r="AF25" s="3161">
        <v>2968.3595149499997</v>
      </c>
      <c r="AG25" s="3161">
        <v>4175.8540520999995</v>
      </c>
      <c r="AH25" s="3161">
        <v>6068.1720909000005</v>
      </c>
      <c r="AI25" s="3161">
        <v>4646.8072660499993</v>
      </c>
      <c r="AJ25" s="3161">
        <v>5827.5380574499995</v>
      </c>
      <c r="AK25" s="3161">
        <v>5852.0917197899998</v>
      </c>
      <c r="AL25" s="3161">
        <v>5138.0599397099995</v>
      </c>
      <c r="AM25" s="627"/>
      <c r="AN25" s="627"/>
      <c r="AO25" s="627"/>
      <c r="AP25" s="627"/>
      <c r="AQ25" s="627"/>
      <c r="AR25" s="627"/>
      <c r="AS25" s="627"/>
      <c r="AT25" s="627"/>
      <c r="AU25" s="627"/>
      <c r="AV25" s="627"/>
      <c r="AW25" s="627"/>
      <c r="AX25" s="627"/>
      <c r="AY25" s="627"/>
      <c r="AZ25" s="627"/>
      <c r="BA25" s="627"/>
      <c r="BB25" s="627"/>
      <c r="BC25" s="627"/>
      <c r="BD25" s="627"/>
      <c r="BE25" s="627"/>
      <c r="BF25" s="627"/>
      <c r="BG25" s="627"/>
      <c r="BH25" s="627"/>
      <c r="BI25" s="627"/>
      <c r="BJ25" s="627"/>
      <c r="BK25" s="627"/>
      <c r="BL25" s="627"/>
      <c r="BM25" s="627"/>
      <c r="BN25" s="627"/>
      <c r="BO25" s="627"/>
      <c r="BP25" s="627"/>
      <c r="BQ25" s="627"/>
      <c r="BR25" s="627"/>
      <c r="BS25" s="627"/>
      <c r="BT25" s="627"/>
      <c r="BU25" s="627"/>
      <c r="BV25" s="627"/>
      <c r="BW25" s="627"/>
      <c r="BX25" s="627"/>
      <c r="BY25" s="627"/>
      <c r="BZ25" s="627"/>
      <c r="CA25" s="627"/>
      <c r="CB25" s="627"/>
      <c r="CC25" s="627"/>
      <c r="CD25" s="627"/>
      <c r="CE25" s="627"/>
      <c r="CF25" s="627"/>
      <c r="CG25" s="627"/>
      <c r="CH25" s="627"/>
      <c r="CI25" s="627"/>
      <c r="CJ25" s="627"/>
      <c r="CK25" s="627"/>
      <c r="CL25" s="627"/>
      <c r="CM25" s="627"/>
      <c r="CN25" s="627"/>
      <c r="CO25" s="627"/>
      <c r="CP25" s="627"/>
      <c r="CQ25" s="627"/>
      <c r="CR25" s="627"/>
      <c r="CS25" s="627"/>
      <c r="CT25" s="627"/>
      <c r="CU25" s="627"/>
      <c r="CV25" s="627"/>
      <c r="CW25" s="627"/>
      <c r="CX25" s="627"/>
      <c r="CY25" s="627"/>
      <c r="CZ25" s="627"/>
      <c r="DA25" s="627"/>
      <c r="DB25" s="627"/>
      <c r="DC25" s="627"/>
      <c r="DD25" s="627"/>
      <c r="DE25" s="627"/>
      <c r="DF25" s="627"/>
      <c r="DG25" s="627"/>
      <c r="DH25" s="627"/>
      <c r="DI25" s="627"/>
      <c r="DJ25" s="627"/>
      <c r="DK25" s="627"/>
      <c r="DL25" s="627"/>
      <c r="DM25" s="627"/>
      <c r="DN25" s="627"/>
      <c r="DO25" s="627"/>
      <c r="DP25" s="627"/>
      <c r="DQ25" s="627"/>
      <c r="DR25" s="627"/>
      <c r="DS25" s="627"/>
      <c r="DT25" s="627"/>
      <c r="DU25" s="627"/>
      <c r="DV25" s="627"/>
      <c r="DW25" s="627"/>
      <c r="DX25" s="627"/>
      <c r="DY25" s="627"/>
      <c r="DZ25" s="627"/>
      <c r="EA25" s="627"/>
      <c r="EB25" s="627"/>
      <c r="EC25" s="627"/>
      <c r="ED25" s="627"/>
      <c r="EE25" s="627"/>
      <c r="EF25" s="627"/>
      <c r="EG25" s="627"/>
      <c r="EH25" s="627"/>
      <c r="EI25" s="627"/>
      <c r="EJ25" s="627"/>
      <c r="EK25" s="627"/>
      <c r="EL25" s="627"/>
      <c r="EM25" s="627"/>
      <c r="EN25" s="627"/>
      <c r="EO25" s="627"/>
      <c r="EP25" s="627"/>
      <c r="EQ25" s="627"/>
      <c r="ER25" s="627"/>
      <c r="ES25" s="627"/>
      <c r="ET25" s="627"/>
      <c r="EU25" s="627"/>
      <c r="EV25" s="627"/>
      <c r="EW25" s="627"/>
      <c r="EX25" s="627"/>
      <c r="EY25" s="627"/>
      <c r="EZ25" s="627"/>
      <c r="FA25" s="627"/>
      <c r="FB25" s="627"/>
      <c r="FC25" s="627"/>
      <c r="FD25" s="627"/>
      <c r="FE25" s="627"/>
      <c r="FF25" s="627"/>
      <c r="FG25" s="627"/>
      <c r="FH25" s="627"/>
      <c r="FI25" s="627"/>
      <c r="FJ25" s="627"/>
      <c r="FK25" s="627"/>
      <c r="FL25" s="627"/>
      <c r="FM25" s="627"/>
      <c r="FN25" s="627"/>
      <c r="FO25" s="627"/>
      <c r="FP25" s="627"/>
      <c r="FQ25" s="627"/>
      <c r="FR25" s="627"/>
      <c r="FS25" s="627"/>
      <c r="FT25" s="627"/>
      <c r="FU25" s="627"/>
      <c r="FV25" s="627"/>
      <c r="FW25" s="627"/>
      <c r="FX25" s="627"/>
      <c r="FY25" s="627"/>
      <c r="FZ25" s="627"/>
      <c r="GA25" s="627"/>
      <c r="GB25" s="627"/>
      <c r="GC25" s="627"/>
      <c r="GD25" s="627"/>
      <c r="GE25" s="627"/>
      <c r="GF25" s="627"/>
      <c r="GG25" s="627"/>
      <c r="GH25" s="627"/>
      <c r="GI25" s="627"/>
      <c r="GJ25" s="627"/>
      <c r="GK25" s="627"/>
      <c r="GL25" s="627"/>
      <c r="GM25" s="627"/>
      <c r="GN25" s="627"/>
      <c r="GO25" s="627"/>
      <c r="GP25" s="627"/>
      <c r="GQ25" s="627"/>
      <c r="GR25" s="627"/>
      <c r="GS25" s="627"/>
      <c r="GT25" s="627"/>
      <c r="GU25" s="627"/>
      <c r="GV25" s="627"/>
      <c r="GW25" s="627"/>
      <c r="GX25" s="627"/>
      <c r="GY25" s="627"/>
      <c r="GZ25" s="627"/>
      <c r="HA25" s="627"/>
      <c r="HB25" s="627"/>
      <c r="HC25" s="627"/>
      <c r="HD25" s="627"/>
      <c r="HE25" s="627"/>
      <c r="HF25" s="627"/>
      <c r="HG25" s="627"/>
      <c r="HH25" s="627"/>
      <c r="HI25" s="627"/>
      <c r="HJ25" s="627"/>
      <c r="HK25" s="627"/>
      <c r="HL25" s="627"/>
      <c r="HM25" s="627"/>
      <c r="HN25" s="627"/>
      <c r="HO25" s="627"/>
      <c r="HP25" s="627"/>
      <c r="HQ25" s="627"/>
      <c r="HR25" s="627"/>
      <c r="HS25" s="627"/>
      <c r="HT25" s="627"/>
      <c r="HU25" s="627"/>
      <c r="HV25" s="627"/>
      <c r="HW25" s="627"/>
      <c r="HX25" s="627"/>
      <c r="HY25" s="627"/>
      <c r="HZ25" s="627"/>
      <c r="IA25" s="627"/>
      <c r="IB25" s="627"/>
      <c r="IC25" s="627"/>
      <c r="ID25" s="627"/>
      <c r="IE25" s="627"/>
      <c r="IF25" s="627"/>
      <c r="IG25" s="627"/>
      <c r="IH25" s="627"/>
      <c r="II25" s="627"/>
      <c r="IJ25" s="627"/>
      <c r="IK25" s="627"/>
      <c r="IL25" s="627"/>
      <c r="IM25" s="627"/>
      <c r="IN25" s="627"/>
      <c r="IO25" s="627"/>
      <c r="IP25" s="627"/>
      <c r="IQ25" s="627"/>
      <c r="IR25" s="627"/>
      <c r="IS25" s="627"/>
      <c r="IT25" s="627"/>
      <c r="IU25" s="627"/>
      <c r="IV25" s="627"/>
      <c r="IW25" s="627"/>
      <c r="IX25" s="627"/>
      <c r="IY25" s="627"/>
      <c r="IZ25" s="627"/>
      <c r="JA25" s="627"/>
      <c r="JB25" s="627"/>
      <c r="JC25" s="627"/>
      <c r="JD25" s="627"/>
      <c r="JE25" s="627"/>
      <c r="JF25" s="627"/>
      <c r="JG25" s="627"/>
      <c r="JH25" s="627"/>
      <c r="JI25" s="627"/>
      <c r="JJ25" s="627"/>
      <c r="JK25" s="627"/>
      <c r="JL25" s="627"/>
      <c r="JM25" s="627"/>
      <c r="JN25" s="627"/>
      <c r="JO25" s="627"/>
      <c r="JP25" s="627"/>
      <c r="JQ25" s="627"/>
      <c r="JR25" s="627"/>
      <c r="JS25" s="627"/>
      <c r="JT25" s="627"/>
      <c r="JU25" s="627"/>
      <c r="JV25" s="627"/>
      <c r="JW25" s="627"/>
      <c r="JX25" s="627"/>
      <c r="JY25" s="627"/>
      <c r="JZ25" s="627"/>
      <c r="KA25" s="627"/>
      <c r="KB25" s="627"/>
      <c r="KC25" s="627"/>
      <c r="KD25" s="627"/>
      <c r="KE25" s="627"/>
      <c r="KF25" s="627"/>
      <c r="KG25" s="627"/>
      <c r="KH25" s="627"/>
      <c r="KI25" s="627"/>
      <c r="KJ25" s="627"/>
      <c r="KK25" s="627"/>
      <c r="KL25" s="627"/>
      <c r="KM25" s="627"/>
      <c r="KN25" s="627"/>
      <c r="KO25" s="627"/>
      <c r="KP25" s="627"/>
      <c r="KQ25" s="627"/>
      <c r="KR25" s="627"/>
      <c r="KS25" s="627"/>
      <c r="KT25" s="627"/>
      <c r="KU25" s="627"/>
      <c r="KV25" s="627"/>
      <c r="KW25" s="627"/>
      <c r="KX25" s="627"/>
      <c r="KY25" s="627"/>
      <c r="KZ25" s="627"/>
      <c r="LA25" s="627"/>
      <c r="LB25" s="627"/>
      <c r="LC25" s="627"/>
      <c r="LD25" s="627"/>
      <c r="LE25" s="627"/>
      <c r="LF25" s="627"/>
      <c r="LG25" s="627"/>
      <c r="LH25" s="627"/>
      <c r="LI25" s="627"/>
      <c r="LJ25" s="627"/>
      <c r="LK25" s="627"/>
      <c r="LL25" s="627"/>
      <c r="LM25" s="627"/>
      <c r="LN25" s="627"/>
      <c r="LO25" s="627"/>
      <c r="LP25" s="627"/>
      <c r="LQ25" s="627"/>
      <c r="LR25" s="627"/>
      <c r="LS25" s="627"/>
      <c r="LT25" s="627"/>
      <c r="LU25" s="627"/>
      <c r="LV25" s="627"/>
      <c r="LW25" s="627"/>
      <c r="LX25" s="627"/>
      <c r="LY25" s="627"/>
      <c r="LZ25" s="627"/>
      <c r="MA25" s="627"/>
      <c r="MB25" s="627"/>
      <c r="MC25" s="627"/>
      <c r="MD25" s="627"/>
      <c r="ME25" s="627"/>
      <c r="MF25" s="627"/>
      <c r="MG25" s="627"/>
      <c r="MH25" s="627"/>
      <c r="MI25" s="627"/>
      <c r="MJ25" s="627"/>
      <c r="MK25" s="627"/>
      <c r="ML25" s="627"/>
      <c r="MM25" s="627"/>
      <c r="MN25" s="627"/>
      <c r="MO25" s="627"/>
      <c r="MP25" s="627"/>
      <c r="MQ25" s="627"/>
      <c r="MR25" s="627"/>
      <c r="MS25" s="627"/>
      <c r="MT25" s="627"/>
      <c r="MU25" s="627"/>
      <c r="MV25" s="627"/>
      <c r="MW25" s="627"/>
      <c r="MX25" s="627"/>
      <c r="MY25" s="627"/>
      <c r="MZ25" s="627"/>
      <c r="NA25" s="627"/>
      <c r="NB25" s="627"/>
      <c r="NC25" s="627"/>
      <c r="ND25" s="627"/>
      <c r="NE25" s="627"/>
      <c r="NF25" s="627"/>
      <c r="NG25" s="627"/>
      <c r="NH25" s="627"/>
      <c r="NI25" s="627"/>
      <c r="NJ25" s="627"/>
      <c r="NK25" s="627"/>
      <c r="NL25" s="627"/>
      <c r="NM25" s="627"/>
      <c r="NN25" s="627"/>
      <c r="NO25" s="627"/>
      <c r="NP25" s="627"/>
      <c r="NQ25" s="627"/>
      <c r="NR25" s="627"/>
      <c r="NS25" s="627"/>
      <c r="NT25" s="627"/>
      <c r="NU25" s="627"/>
      <c r="NV25" s="627"/>
      <c r="NW25" s="627"/>
      <c r="NX25" s="627"/>
      <c r="NY25" s="627"/>
      <c r="NZ25" s="627"/>
      <c r="OA25" s="627"/>
      <c r="OB25" s="627"/>
      <c r="OC25" s="627"/>
      <c r="OD25" s="627"/>
      <c r="OE25" s="627"/>
      <c r="OF25" s="627"/>
      <c r="OG25" s="627"/>
      <c r="OH25" s="627"/>
      <c r="OI25" s="627"/>
      <c r="OJ25" s="627"/>
      <c r="OK25" s="627"/>
      <c r="OL25" s="627"/>
      <c r="OM25" s="627"/>
      <c r="ON25" s="627"/>
      <c r="OO25" s="627"/>
      <c r="OP25" s="627"/>
      <c r="OQ25" s="627"/>
      <c r="OR25" s="627"/>
      <c r="OS25" s="627"/>
      <c r="OT25" s="627"/>
      <c r="OU25" s="627"/>
      <c r="OV25" s="627"/>
      <c r="OW25" s="627"/>
      <c r="OX25" s="627"/>
      <c r="OY25" s="627"/>
      <c r="OZ25" s="627"/>
      <c r="PA25" s="627"/>
      <c r="PB25" s="627"/>
      <c r="PC25" s="627"/>
      <c r="PD25" s="627"/>
      <c r="PE25" s="627"/>
      <c r="PF25" s="627"/>
      <c r="PG25" s="627"/>
      <c r="PH25" s="627"/>
      <c r="PI25" s="627"/>
      <c r="PJ25" s="627"/>
      <c r="PK25" s="627"/>
      <c r="PL25" s="627"/>
      <c r="PM25" s="627"/>
      <c r="PN25" s="627"/>
      <c r="PO25" s="627"/>
      <c r="PP25" s="627"/>
      <c r="PQ25" s="627"/>
      <c r="PR25" s="627"/>
      <c r="PS25" s="627"/>
      <c r="PT25" s="627"/>
      <c r="PU25" s="627"/>
      <c r="PV25" s="627"/>
      <c r="PW25" s="627"/>
      <c r="PX25" s="627"/>
      <c r="PY25" s="627"/>
      <c r="PZ25" s="627"/>
      <c r="QA25" s="627"/>
      <c r="QB25" s="627"/>
      <c r="QC25" s="627"/>
      <c r="QD25" s="627"/>
      <c r="QE25" s="627"/>
      <c r="QF25" s="627"/>
      <c r="QG25" s="627"/>
      <c r="QH25" s="627"/>
      <c r="QI25" s="627"/>
      <c r="QJ25" s="627"/>
      <c r="QK25" s="627"/>
      <c r="QL25" s="627"/>
      <c r="QM25" s="627"/>
      <c r="QN25" s="627"/>
      <c r="QO25" s="627"/>
      <c r="QP25" s="627"/>
      <c r="QQ25" s="627"/>
      <c r="QR25" s="627"/>
      <c r="QS25" s="627"/>
      <c r="QT25" s="627"/>
      <c r="QU25" s="627"/>
      <c r="QV25" s="627"/>
      <c r="QW25" s="627"/>
      <c r="QX25" s="627"/>
      <c r="QY25" s="627"/>
      <c r="QZ25" s="627"/>
      <c r="RA25" s="627"/>
      <c r="RB25" s="627"/>
      <c r="RC25" s="627"/>
      <c r="RD25" s="627"/>
      <c r="RE25" s="627"/>
      <c r="RF25" s="627"/>
      <c r="RG25" s="627"/>
      <c r="RH25" s="627"/>
      <c r="RI25" s="627"/>
      <c r="RJ25" s="627"/>
      <c r="RK25" s="627"/>
      <c r="RL25" s="627"/>
      <c r="RM25" s="627"/>
      <c r="RN25" s="627"/>
      <c r="RO25" s="627"/>
      <c r="RP25" s="627"/>
      <c r="RQ25" s="627"/>
      <c r="RR25" s="627"/>
      <c r="RS25" s="627"/>
      <c r="RT25" s="627"/>
      <c r="RU25" s="627"/>
      <c r="RV25" s="627"/>
      <c r="RW25" s="627"/>
      <c r="RX25" s="627"/>
      <c r="RY25" s="627"/>
      <c r="RZ25" s="627"/>
      <c r="SA25" s="627"/>
      <c r="SB25" s="627"/>
      <c r="SC25" s="627"/>
      <c r="SD25" s="627"/>
      <c r="SE25" s="627"/>
      <c r="SF25" s="627"/>
      <c r="SG25" s="627"/>
      <c r="SH25" s="627"/>
      <c r="SI25" s="627"/>
      <c r="SJ25" s="627"/>
      <c r="SK25" s="627"/>
      <c r="SL25" s="627"/>
      <c r="SM25" s="627"/>
      <c r="SN25" s="627"/>
      <c r="SO25" s="627"/>
      <c r="SP25" s="627"/>
      <c r="SQ25" s="627"/>
      <c r="SR25" s="627"/>
      <c r="SS25" s="627"/>
      <c r="ST25" s="627"/>
      <c r="SU25" s="627"/>
      <c r="SV25" s="627"/>
      <c r="SW25" s="627"/>
      <c r="SX25" s="627"/>
      <c r="SY25" s="627"/>
      <c r="SZ25" s="627"/>
      <c r="TA25" s="627"/>
      <c r="TB25" s="627"/>
      <c r="TC25" s="627"/>
      <c r="TD25" s="627"/>
      <c r="TE25" s="627"/>
      <c r="TF25" s="627"/>
      <c r="TG25" s="627"/>
      <c r="TH25" s="627"/>
      <c r="TI25" s="627"/>
      <c r="TJ25" s="627"/>
      <c r="TK25" s="627"/>
      <c r="TL25" s="627"/>
      <c r="TM25" s="627"/>
      <c r="TN25" s="627"/>
      <c r="TO25" s="627"/>
      <c r="TP25" s="627"/>
      <c r="TQ25" s="627"/>
      <c r="TR25" s="627"/>
      <c r="TS25" s="627"/>
      <c r="TT25" s="627"/>
      <c r="TU25" s="627"/>
      <c r="TV25" s="627"/>
      <c r="TW25" s="627"/>
      <c r="TX25" s="627"/>
      <c r="TY25" s="627"/>
      <c r="TZ25" s="627"/>
      <c r="UA25" s="627"/>
      <c r="UB25" s="627"/>
      <c r="UC25" s="627"/>
      <c r="UD25" s="627"/>
      <c r="UE25" s="627"/>
      <c r="UF25" s="627"/>
      <c r="UG25" s="627"/>
      <c r="UH25" s="627"/>
      <c r="UI25" s="627"/>
      <c r="UJ25" s="627"/>
      <c r="UK25" s="627"/>
      <c r="UL25" s="627"/>
      <c r="UM25" s="627"/>
      <c r="UN25" s="627"/>
      <c r="UO25" s="627"/>
      <c r="UP25" s="627"/>
      <c r="UQ25" s="627"/>
      <c r="UR25" s="627"/>
      <c r="US25" s="627"/>
      <c r="UT25" s="627"/>
      <c r="UU25" s="627"/>
      <c r="UV25" s="627"/>
      <c r="UW25" s="627"/>
      <c r="UX25" s="627"/>
      <c r="UY25" s="627"/>
      <c r="UZ25" s="627"/>
      <c r="VA25" s="627"/>
      <c r="VB25" s="627"/>
      <c r="VC25" s="627"/>
      <c r="VD25" s="627"/>
      <c r="VE25" s="627"/>
      <c r="VF25" s="627"/>
      <c r="VG25" s="627"/>
      <c r="VH25" s="627"/>
      <c r="VI25" s="627"/>
      <c r="VJ25" s="627"/>
      <c r="VK25" s="627"/>
      <c r="VL25" s="627"/>
      <c r="VM25" s="627"/>
      <c r="VN25" s="627"/>
      <c r="VO25" s="627"/>
      <c r="VP25" s="627"/>
      <c r="VQ25" s="627"/>
      <c r="VR25" s="627"/>
      <c r="VS25" s="627"/>
      <c r="VT25" s="627"/>
      <c r="VU25" s="627"/>
      <c r="VV25" s="627"/>
      <c r="VW25" s="627"/>
      <c r="VX25" s="627"/>
      <c r="VY25" s="627"/>
      <c r="VZ25" s="627"/>
      <c r="WA25" s="627"/>
      <c r="WB25" s="627"/>
      <c r="WC25" s="627"/>
      <c r="WD25" s="627"/>
      <c r="WE25" s="627"/>
      <c r="WF25" s="627"/>
      <c r="WG25" s="627"/>
      <c r="WH25" s="627"/>
      <c r="WI25" s="627"/>
      <c r="WJ25" s="627"/>
      <c r="WK25" s="627"/>
      <c r="WL25" s="627"/>
      <c r="WM25" s="627"/>
      <c r="WN25" s="627"/>
      <c r="WO25" s="627"/>
      <c r="WP25" s="627"/>
      <c r="WQ25" s="627"/>
      <c r="WR25" s="627"/>
      <c r="WS25" s="627"/>
      <c r="WT25" s="627"/>
      <c r="WU25" s="627"/>
      <c r="WV25" s="627"/>
      <c r="WW25" s="627"/>
      <c r="WX25" s="627"/>
      <c r="WY25" s="627"/>
      <c r="WZ25" s="627"/>
      <c r="XA25" s="627"/>
      <c r="XB25" s="627"/>
      <c r="XC25" s="627"/>
      <c r="XD25" s="627"/>
      <c r="XE25" s="627"/>
      <c r="XF25" s="627"/>
      <c r="XG25" s="627"/>
      <c r="XH25" s="627"/>
      <c r="XI25" s="627"/>
      <c r="XJ25" s="627"/>
      <c r="XK25" s="627"/>
      <c r="XL25" s="627"/>
      <c r="XM25" s="627"/>
      <c r="XN25" s="627"/>
      <c r="XO25" s="627"/>
      <c r="XP25" s="627"/>
      <c r="XQ25" s="627"/>
      <c r="XR25" s="627"/>
      <c r="XS25" s="627"/>
      <c r="XT25" s="627"/>
      <c r="XU25" s="627"/>
      <c r="XV25" s="627"/>
      <c r="XW25" s="627"/>
      <c r="XX25" s="627"/>
      <c r="XY25" s="627"/>
      <c r="XZ25" s="627"/>
      <c r="YA25" s="627"/>
      <c r="YB25" s="627"/>
      <c r="YC25" s="627"/>
      <c r="YD25" s="627"/>
      <c r="YE25" s="627"/>
      <c r="YF25" s="627"/>
      <c r="YG25" s="627"/>
      <c r="YH25" s="627"/>
      <c r="YI25" s="627"/>
      <c r="YJ25" s="627"/>
      <c r="YK25" s="627"/>
      <c r="YL25" s="627"/>
      <c r="YM25" s="627"/>
      <c r="YN25" s="627"/>
      <c r="YO25" s="627"/>
      <c r="YP25" s="627"/>
      <c r="YQ25" s="627"/>
      <c r="YR25" s="627"/>
      <c r="YS25" s="627"/>
      <c r="YT25" s="627"/>
      <c r="YU25" s="627"/>
      <c r="YV25" s="627"/>
      <c r="YW25" s="627"/>
      <c r="YX25" s="627"/>
      <c r="YY25" s="627"/>
      <c r="YZ25" s="627"/>
      <c r="ZA25" s="627"/>
      <c r="ZB25" s="627"/>
      <c r="ZC25" s="627"/>
      <c r="ZD25" s="627"/>
      <c r="ZE25" s="627"/>
      <c r="ZF25" s="627"/>
      <c r="ZG25" s="627"/>
      <c r="ZH25" s="627"/>
      <c r="ZI25" s="627"/>
      <c r="ZJ25" s="627"/>
      <c r="ZK25" s="627"/>
      <c r="ZL25" s="627"/>
      <c r="ZM25" s="627"/>
      <c r="ZN25" s="627"/>
      <c r="ZO25" s="627"/>
      <c r="ZP25" s="627"/>
      <c r="ZQ25" s="627"/>
      <c r="ZR25" s="627"/>
      <c r="ZS25" s="627"/>
      <c r="ZT25" s="627"/>
      <c r="ZU25" s="627"/>
      <c r="ZV25" s="627"/>
      <c r="ZW25" s="627"/>
      <c r="ZX25" s="627"/>
      <c r="ZY25" s="627"/>
      <c r="ZZ25" s="627"/>
      <c r="AAA25" s="627"/>
      <c r="AAB25" s="627"/>
      <c r="AAC25" s="627"/>
      <c r="AAD25" s="627"/>
      <c r="AAE25" s="627"/>
      <c r="AAF25" s="627"/>
      <c r="AAG25" s="627"/>
      <c r="AAH25" s="627"/>
      <c r="AAI25" s="627"/>
      <c r="AAJ25" s="627"/>
      <c r="AAK25" s="627"/>
      <c r="AAL25" s="627"/>
      <c r="AAM25" s="627"/>
      <c r="AAN25" s="627"/>
      <c r="AAO25" s="627"/>
      <c r="AAP25" s="627"/>
      <c r="AAQ25" s="627"/>
      <c r="AAR25" s="627"/>
      <c r="AAS25" s="627"/>
      <c r="AAT25" s="627"/>
      <c r="AAU25" s="627"/>
      <c r="AAV25" s="627"/>
      <c r="AAW25" s="627"/>
      <c r="AAX25" s="627"/>
      <c r="AAY25" s="627"/>
      <c r="AAZ25" s="627"/>
      <c r="ABA25" s="627"/>
      <c r="ABB25" s="627"/>
      <c r="ABC25" s="627"/>
      <c r="ABD25" s="627"/>
      <c r="ABE25" s="627"/>
      <c r="ABF25" s="627"/>
      <c r="ABG25" s="627"/>
      <c r="ABH25" s="627"/>
      <c r="ABI25" s="627"/>
      <c r="ABJ25" s="627"/>
      <c r="ABK25" s="627"/>
      <c r="ABL25" s="627"/>
      <c r="ABM25" s="627"/>
      <c r="ABN25" s="627"/>
      <c r="ABO25" s="627"/>
      <c r="ABP25" s="627"/>
      <c r="ABQ25" s="627"/>
      <c r="ABR25" s="627"/>
      <c r="ABS25" s="627"/>
      <c r="ABT25" s="627"/>
      <c r="ABU25" s="627"/>
      <c r="ABV25" s="627"/>
      <c r="ABW25" s="627"/>
      <c r="ABX25" s="627"/>
      <c r="ABY25" s="627"/>
      <c r="ABZ25" s="627"/>
      <c r="ACA25" s="627"/>
      <c r="ACB25" s="627"/>
      <c r="ACC25" s="627"/>
      <c r="ACD25" s="627"/>
      <c r="ACE25" s="627"/>
      <c r="ACF25" s="627"/>
      <c r="ACG25" s="627"/>
      <c r="ACH25" s="627"/>
      <c r="ACI25" s="627"/>
      <c r="ACJ25" s="627"/>
      <c r="ACK25" s="627"/>
      <c r="ACL25" s="627"/>
      <c r="ACM25" s="627"/>
      <c r="ACN25" s="627"/>
      <c r="ACO25" s="627"/>
      <c r="ACP25" s="627"/>
      <c r="ACQ25" s="627"/>
      <c r="ACR25" s="627"/>
      <c r="ACS25" s="627"/>
      <c r="ACT25" s="627"/>
      <c r="ACU25" s="627"/>
      <c r="ACV25" s="627"/>
      <c r="ACW25" s="627"/>
      <c r="ACX25" s="627"/>
      <c r="ACY25" s="627"/>
      <c r="ACZ25" s="627"/>
      <c r="ADA25" s="627"/>
      <c r="ADB25" s="627"/>
      <c r="ADC25" s="627"/>
      <c r="ADD25" s="627"/>
      <c r="ADE25" s="627"/>
      <c r="ADF25" s="627"/>
      <c r="ADG25" s="627"/>
      <c r="ADH25" s="627"/>
      <c r="ADI25" s="627"/>
      <c r="ADJ25" s="627"/>
      <c r="ADK25" s="627"/>
      <c r="ADL25" s="627"/>
      <c r="ADM25" s="627"/>
      <c r="ADN25" s="627"/>
      <c r="ADO25" s="627"/>
      <c r="ADP25" s="627"/>
      <c r="ADQ25" s="627"/>
      <c r="ADR25" s="627"/>
      <c r="ADS25" s="627"/>
      <c r="ADT25" s="627"/>
      <c r="ADU25" s="627"/>
      <c r="ADV25" s="627"/>
      <c r="ADW25" s="627"/>
      <c r="ADX25" s="627"/>
      <c r="ADY25" s="627"/>
      <c r="ADZ25" s="627"/>
      <c r="AEA25" s="627"/>
      <c r="AEB25" s="627"/>
      <c r="AEC25" s="627"/>
      <c r="AED25" s="627"/>
      <c r="AEE25" s="627"/>
      <c r="AEF25" s="627"/>
      <c r="AEG25" s="627"/>
      <c r="AEH25" s="627"/>
      <c r="AEI25" s="627"/>
      <c r="AEJ25" s="627"/>
      <c r="AEK25" s="627"/>
      <c r="AEL25" s="627"/>
      <c r="AEM25" s="627"/>
      <c r="AEN25" s="627"/>
      <c r="AEO25" s="627"/>
      <c r="AEP25" s="627"/>
      <c r="AEQ25" s="627"/>
      <c r="AER25" s="627"/>
      <c r="AES25" s="627"/>
      <c r="AET25" s="627"/>
      <c r="AEU25" s="627"/>
      <c r="AEV25" s="627"/>
      <c r="AEW25" s="627"/>
      <c r="AEX25" s="627"/>
      <c r="AEY25" s="627"/>
      <c r="AEZ25" s="627"/>
      <c r="AFA25" s="627"/>
      <c r="AFB25" s="627"/>
      <c r="AFC25" s="627"/>
      <c r="AFD25" s="627"/>
      <c r="AFE25" s="627"/>
      <c r="AFF25" s="627"/>
      <c r="AFG25" s="627"/>
      <c r="AFH25" s="627"/>
      <c r="AFI25" s="627"/>
      <c r="AFJ25" s="627"/>
      <c r="AFK25" s="627"/>
      <c r="AFL25" s="627"/>
      <c r="AFM25" s="627"/>
      <c r="AFN25" s="627"/>
      <c r="AFO25" s="627"/>
      <c r="AFP25" s="627"/>
      <c r="AFQ25" s="627"/>
      <c r="AFR25" s="627"/>
      <c r="AFS25" s="627"/>
      <c r="AFT25" s="627"/>
      <c r="AFU25" s="627"/>
      <c r="AFV25" s="627"/>
      <c r="AFW25" s="627"/>
      <c r="AFX25" s="627"/>
      <c r="AFY25" s="627"/>
      <c r="AFZ25" s="627"/>
      <c r="AGA25" s="627"/>
      <c r="AGB25" s="627"/>
      <c r="AGC25" s="627"/>
      <c r="AGD25" s="627"/>
      <c r="AGE25" s="627"/>
      <c r="AGF25" s="627"/>
      <c r="AGG25" s="627"/>
      <c r="AGH25" s="627"/>
      <c r="AGI25" s="627"/>
      <c r="AGJ25" s="627"/>
      <c r="AGK25" s="627"/>
      <c r="AGL25" s="627"/>
      <c r="AGM25" s="627"/>
      <c r="AGN25" s="627"/>
      <c r="AGO25" s="627"/>
      <c r="AGP25" s="627"/>
      <c r="AGQ25" s="627"/>
      <c r="AGR25" s="627"/>
      <c r="AGS25" s="627"/>
      <c r="AGT25" s="627"/>
      <c r="AGU25" s="627"/>
      <c r="AGV25" s="627"/>
      <c r="AGW25" s="627"/>
      <c r="AGX25" s="627"/>
      <c r="AGY25" s="627"/>
      <c r="AGZ25" s="627"/>
      <c r="AHA25" s="627"/>
      <c r="AHB25" s="627"/>
      <c r="AHC25" s="627"/>
      <c r="AHD25" s="627"/>
      <c r="AHE25" s="627"/>
      <c r="AHF25" s="627"/>
      <c r="AHG25" s="627"/>
      <c r="AHH25" s="627"/>
      <c r="AHI25" s="627"/>
      <c r="AHJ25" s="627"/>
      <c r="AHK25" s="627"/>
      <c r="AHL25" s="627"/>
      <c r="AHM25" s="627"/>
      <c r="AHN25" s="627"/>
      <c r="AHO25" s="627"/>
      <c r="AHP25" s="627"/>
      <c r="AHQ25" s="627"/>
      <c r="AHR25" s="627"/>
      <c r="AHS25" s="627"/>
      <c r="AHT25" s="627"/>
      <c r="AHU25" s="627"/>
      <c r="AHV25" s="627"/>
      <c r="AHW25" s="627"/>
      <c r="AHX25" s="627"/>
      <c r="AHY25" s="627"/>
      <c r="AHZ25" s="627"/>
      <c r="AIA25" s="627"/>
      <c r="AIB25" s="627"/>
      <c r="AIC25" s="627"/>
      <c r="AID25" s="627"/>
      <c r="AIE25" s="627"/>
      <c r="AIF25" s="627"/>
      <c r="AIG25" s="627"/>
      <c r="AIH25" s="627"/>
      <c r="AII25" s="627"/>
      <c r="AIJ25" s="627"/>
      <c r="AIK25" s="627"/>
      <c r="AIL25" s="627"/>
      <c r="AIM25" s="627"/>
      <c r="AIN25" s="627"/>
      <c r="AIO25" s="627"/>
      <c r="AIP25" s="627"/>
      <c r="AIQ25" s="627"/>
      <c r="AIR25" s="627"/>
      <c r="AIS25" s="627"/>
      <c r="AIT25" s="627"/>
      <c r="AIU25" s="627"/>
      <c r="AIV25" s="627"/>
      <c r="AIW25" s="627"/>
      <c r="AIX25" s="627"/>
      <c r="AIY25" s="627"/>
      <c r="AIZ25" s="627"/>
      <c r="AJA25" s="627"/>
      <c r="AJB25" s="627"/>
      <c r="AJC25" s="627"/>
      <c r="AJD25" s="627"/>
      <c r="AJE25" s="627"/>
      <c r="AJF25" s="627"/>
      <c r="AJG25" s="627"/>
      <c r="AJH25" s="627"/>
      <c r="AJI25" s="627"/>
      <c r="AJJ25" s="627"/>
      <c r="AJK25" s="627"/>
      <c r="AJL25" s="627"/>
      <c r="AJM25" s="627"/>
      <c r="AJN25" s="627"/>
      <c r="AJO25" s="627"/>
      <c r="AJP25" s="627"/>
      <c r="AJQ25" s="627"/>
      <c r="AJR25" s="627"/>
      <c r="AJS25" s="627"/>
      <c r="AJT25" s="627"/>
      <c r="AJU25" s="627"/>
      <c r="AJV25" s="627"/>
      <c r="AJW25" s="627"/>
      <c r="AJX25" s="627"/>
      <c r="AJY25" s="627"/>
      <c r="AJZ25" s="627"/>
      <c r="AKA25" s="627"/>
      <c r="AKB25" s="627"/>
      <c r="AKC25" s="627"/>
      <c r="AKD25" s="627"/>
      <c r="AKE25" s="627"/>
      <c r="AKF25" s="627"/>
      <c r="AKG25" s="627"/>
      <c r="AKH25" s="627"/>
      <c r="AKI25" s="627"/>
      <c r="AKJ25" s="627"/>
      <c r="AKK25" s="627"/>
      <c r="AKL25" s="627"/>
      <c r="AKM25" s="627"/>
      <c r="AKN25" s="627"/>
      <c r="AKO25" s="627"/>
      <c r="AKP25" s="627"/>
      <c r="AKQ25" s="627"/>
      <c r="AKR25" s="627"/>
      <c r="AKS25" s="627"/>
      <c r="AKT25" s="627"/>
      <c r="AKU25" s="627"/>
      <c r="AKV25" s="627"/>
      <c r="AKW25" s="627"/>
      <c r="AKX25" s="627"/>
      <c r="AKY25" s="627"/>
      <c r="AKZ25" s="627"/>
      <c r="ALA25" s="627"/>
      <c r="ALB25" s="627"/>
      <c r="ALC25" s="627"/>
      <c r="ALD25" s="627"/>
      <c r="ALE25" s="627"/>
      <c r="ALF25" s="627"/>
      <c r="ALG25" s="627"/>
      <c r="ALH25" s="627"/>
      <c r="ALI25" s="627"/>
      <c r="ALJ25" s="627"/>
      <c r="ALK25" s="627"/>
      <c r="ALL25" s="627"/>
      <c r="ALM25" s="627"/>
      <c r="ALN25" s="627"/>
      <c r="ALO25" s="627"/>
      <c r="ALP25" s="627"/>
      <c r="ALQ25" s="627"/>
      <c r="ALR25" s="627"/>
      <c r="ALS25" s="627"/>
      <c r="ALT25" s="627"/>
      <c r="ALU25" s="627"/>
      <c r="ALV25" s="627"/>
      <c r="ALW25" s="627"/>
      <c r="ALX25" s="627"/>
      <c r="ALY25" s="627"/>
      <c r="ALZ25" s="627"/>
      <c r="AMA25" s="627"/>
      <c r="AMB25" s="627"/>
      <c r="AMC25" s="627"/>
      <c r="AMD25" s="627"/>
      <c r="AME25" s="627"/>
      <c r="AMF25" s="627"/>
      <c r="AMG25" s="627"/>
      <c r="AMH25" s="627"/>
      <c r="AMI25" s="627"/>
      <c r="AMJ25" s="627"/>
      <c r="AMK25" s="627"/>
      <c r="AML25" s="627"/>
      <c r="AMM25" s="627"/>
      <c r="AMN25" s="627"/>
      <c r="AMO25" s="627"/>
      <c r="AMP25" s="627"/>
      <c r="AMQ25" s="627"/>
      <c r="AMR25" s="627"/>
      <c r="AMS25" s="627"/>
      <c r="AMT25" s="627"/>
      <c r="AMU25" s="627"/>
      <c r="AMV25" s="627"/>
      <c r="AMW25" s="627"/>
      <c r="AMX25" s="627"/>
      <c r="AMY25" s="627"/>
      <c r="AMZ25" s="627"/>
      <c r="ANA25" s="627"/>
      <c r="ANB25" s="627"/>
      <c r="ANC25" s="627"/>
      <c r="AND25" s="627"/>
      <c r="ANE25" s="627"/>
      <c r="ANF25" s="627"/>
      <c r="ANG25" s="627"/>
      <c r="ANH25" s="627"/>
      <c r="ANI25" s="627"/>
      <c r="ANJ25" s="627"/>
      <c r="ANK25" s="627"/>
      <c r="ANL25" s="627"/>
      <c r="ANM25" s="627"/>
      <c r="ANN25" s="627"/>
      <c r="ANO25" s="627"/>
      <c r="ANP25" s="627"/>
      <c r="ANQ25" s="627"/>
      <c r="ANR25" s="627"/>
      <c r="ANS25" s="627"/>
      <c r="ANT25" s="627"/>
      <c r="ANU25" s="627"/>
      <c r="ANV25" s="627"/>
      <c r="ANW25" s="627"/>
      <c r="ANX25" s="627"/>
      <c r="ANY25" s="627"/>
      <c r="ANZ25" s="627"/>
      <c r="AOA25" s="627"/>
      <c r="AOB25" s="627"/>
      <c r="AOC25" s="627"/>
      <c r="AOD25" s="627"/>
      <c r="AOE25" s="627"/>
      <c r="AOF25" s="627"/>
      <c r="AOG25" s="627"/>
      <c r="AOH25" s="627"/>
      <c r="AOI25" s="627"/>
      <c r="AOJ25" s="627"/>
      <c r="AOK25" s="627"/>
      <c r="AOL25" s="627"/>
      <c r="AOM25" s="627"/>
      <c r="AON25" s="627"/>
      <c r="AOO25" s="627"/>
      <c r="AOP25" s="627"/>
      <c r="AOQ25" s="627"/>
      <c r="AOR25" s="627"/>
      <c r="AOS25" s="627"/>
      <c r="AOT25" s="627"/>
      <c r="AOU25" s="627"/>
      <c r="AOV25" s="627"/>
      <c r="AOW25" s="627"/>
      <c r="AOX25" s="627"/>
      <c r="AOY25" s="627"/>
      <c r="AOZ25" s="627"/>
      <c r="APA25" s="627"/>
      <c r="APB25" s="627"/>
      <c r="APC25" s="627"/>
      <c r="APD25" s="627"/>
      <c r="APE25" s="627"/>
      <c r="APF25" s="627"/>
      <c r="APG25" s="627"/>
      <c r="APH25" s="627"/>
      <c r="API25" s="627"/>
      <c r="APJ25" s="627"/>
      <c r="APK25" s="627"/>
      <c r="APL25" s="627"/>
      <c r="APM25" s="627"/>
      <c r="APN25" s="627"/>
      <c r="APO25" s="627"/>
      <c r="APP25" s="627"/>
      <c r="APQ25" s="627"/>
      <c r="APR25" s="627"/>
      <c r="APS25" s="627"/>
      <c r="APT25" s="627"/>
      <c r="APU25" s="627"/>
      <c r="APV25" s="627"/>
      <c r="APW25" s="627"/>
      <c r="APX25" s="627"/>
      <c r="APY25" s="627"/>
      <c r="APZ25" s="627"/>
      <c r="AQA25" s="627"/>
      <c r="AQB25" s="627"/>
      <c r="AQC25" s="627"/>
      <c r="AQD25" s="627"/>
      <c r="AQE25" s="627"/>
      <c r="AQF25" s="627"/>
      <c r="AQG25" s="627"/>
      <c r="AQH25" s="627"/>
      <c r="AQI25" s="627"/>
      <c r="AQJ25" s="627"/>
      <c r="AQK25" s="627"/>
      <c r="AQL25" s="627"/>
      <c r="AQM25" s="627"/>
      <c r="AQN25" s="627"/>
      <c r="AQO25" s="627"/>
      <c r="AQP25" s="627"/>
      <c r="AQQ25" s="627"/>
      <c r="AQR25" s="627"/>
      <c r="AQS25" s="627"/>
      <c r="AQT25" s="627"/>
      <c r="AQU25" s="627"/>
      <c r="AQV25" s="627"/>
      <c r="AQW25" s="627"/>
      <c r="AQX25" s="627"/>
      <c r="AQY25" s="627"/>
      <c r="AQZ25" s="627"/>
      <c r="ARA25" s="627"/>
      <c r="ARB25" s="627"/>
      <c r="ARC25" s="627"/>
      <c r="ARD25" s="627"/>
      <c r="ARE25" s="627"/>
      <c r="ARF25" s="627"/>
      <c r="ARG25" s="627"/>
      <c r="ARH25" s="627"/>
      <c r="ARI25" s="627"/>
      <c r="ARJ25" s="627"/>
      <c r="ARK25" s="627"/>
      <c r="ARL25" s="627"/>
      <c r="ARM25" s="627"/>
      <c r="ARN25" s="627"/>
      <c r="ARO25" s="627"/>
      <c r="ARP25" s="627"/>
      <c r="ARQ25" s="627"/>
      <c r="ARR25" s="627"/>
      <c r="ARS25" s="627"/>
      <c r="ART25" s="627"/>
      <c r="ARU25" s="627"/>
      <c r="ARV25" s="627"/>
      <c r="ARW25" s="627"/>
      <c r="ARX25" s="627"/>
      <c r="ARY25" s="627"/>
      <c r="ARZ25" s="627"/>
      <c r="ASA25" s="627"/>
      <c r="ASB25" s="627"/>
      <c r="ASC25" s="627"/>
      <c r="ASD25" s="627"/>
      <c r="ASE25" s="627"/>
      <c r="ASF25" s="627"/>
      <c r="ASG25" s="627"/>
      <c r="ASH25" s="627"/>
      <c r="ASI25" s="627"/>
      <c r="ASJ25" s="627"/>
      <c r="ASK25" s="627"/>
      <c r="ASL25" s="627"/>
      <c r="ASM25" s="627"/>
      <c r="ASN25" s="627"/>
      <c r="ASO25" s="627"/>
      <c r="ASP25" s="627"/>
      <c r="ASQ25" s="627"/>
      <c r="ASR25" s="627"/>
      <c r="ASS25" s="627"/>
      <c r="AST25" s="627"/>
      <c r="ASU25" s="627"/>
      <c r="ASV25" s="627"/>
      <c r="ASW25" s="627"/>
      <c r="ASX25" s="627"/>
      <c r="ASY25" s="627"/>
      <c r="ASZ25" s="627"/>
      <c r="ATA25" s="627"/>
      <c r="ATB25" s="627"/>
      <c r="ATC25" s="627"/>
      <c r="ATD25" s="627"/>
      <c r="ATE25" s="627"/>
      <c r="ATF25" s="627"/>
      <c r="ATG25" s="627"/>
      <c r="ATH25" s="627"/>
      <c r="ATI25" s="627"/>
      <c r="ATJ25" s="627"/>
      <c r="ATK25" s="627"/>
      <c r="ATL25" s="627"/>
      <c r="ATM25" s="627"/>
      <c r="ATN25" s="627"/>
      <c r="ATO25" s="627"/>
      <c r="ATP25" s="627"/>
      <c r="ATQ25" s="627"/>
      <c r="ATR25" s="627"/>
      <c r="ATS25" s="627"/>
      <c r="ATT25" s="627"/>
      <c r="ATU25" s="627"/>
      <c r="ATV25" s="627"/>
      <c r="ATW25" s="627"/>
      <c r="ATX25" s="627"/>
      <c r="ATY25" s="627"/>
      <c r="ATZ25" s="627"/>
      <c r="AUA25" s="627"/>
      <c r="AUB25" s="627"/>
      <c r="AUC25" s="627"/>
      <c r="AUD25" s="627"/>
      <c r="AUE25" s="627"/>
      <c r="AUF25" s="627"/>
      <c r="AUG25" s="627"/>
      <c r="AUH25" s="627"/>
      <c r="AUI25" s="627"/>
      <c r="AUJ25" s="627"/>
      <c r="AUK25" s="627"/>
      <c r="AUL25" s="627"/>
      <c r="AUM25" s="627"/>
      <c r="AUN25" s="627"/>
      <c r="AUO25" s="627"/>
      <c r="AUP25" s="627"/>
      <c r="AUQ25" s="627"/>
      <c r="AUR25" s="627"/>
      <c r="AUS25" s="627"/>
      <c r="AUT25" s="627"/>
      <c r="AUU25" s="627"/>
      <c r="AUV25" s="627"/>
      <c r="AUW25" s="627"/>
      <c r="AUX25" s="627"/>
      <c r="AUY25" s="627"/>
      <c r="AUZ25" s="627"/>
      <c r="AVA25" s="627"/>
      <c r="AVB25" s="627"/>
      <c r="AVC25" s="627"/>
      <c r="AVD25" s="627"/>
      <c r="AVE25" s="627"/>
      <c r="AVF25" s="627"/>
      <c r="AVG25" s="627"/>
      <c r="AVH25" s="627"/>
      <c r="AVI25" s="627"/>
      <c r="AVJ25" s="627"/>
      <c r="AVK25" s="627"/>
      <c r="AVL25" s="627"/>
      <c r="AVM25" s="627"/>
      <c r="AVN25" s="627"/>
      <c r="AVO25" s="627"/>
      <c r="AVP25" s="627"/>
      <c r="AVQ25" s="627"/>
      <c r="AVR25" s="627"/>
      <c r="AVS25" s="627"/>
      <c r="AVT25" s="627"/>
      <c r="AVU25" s="627"/>
      <c r="AVV25" s="627"/>
      <c r="AVW25" s="627"/>
      <c r="AVX25" s="627"/>
      <c r="AVY25" s="627"/>
      <c r="AVZ25" s="627"/>
      <c r="AWA25" s="627"/>
      <c r="AWB25" s="627"/>
      <c r="AWC25" s="627"/>
      <c r="AWD25" s="627"/>
      <c r="AWE25" s="627"/>
      <c r="AWF25" s="627"/>
      <c r="AWG25" s="627"/>
      <c r="AWH25" s="627"/>
      <c r="AWI25" s="627"/>
      <c r="AWJ25" s="627"/>
      <c r="AWK25" s="627"/>
      <c r="AWL25" s="627"/>
      <c r="AWM25" s="627"/>
      <c r="AWN25" s="627"/>
      <c r="AWO25" s="627"/>
      <c r="AWP25" s="627"/>
      <c r="AWQ25" s="627"/>
      <c r="AWR25" s="627"/>
      <c r="AWS25" s="627"/>
      <c r="AWT25" s="627"/>
      <c r="AWU25" s="627"/>
      <c r="AWV25" s="627"/>
      <c r="AWW25" s="627"/>
      <c r="AWX25" s="627"/>
      <c r="AWY25" s="627"/>
      <c r="AWZ25" s="627"/>
      <c r="AXA25" s="627"/>
      <c r="AXB25" s="627"/>
      <c r="AXC25" s="627"/>
      <c r="AXD25" s="627"/>
      <c r="AXE25" s="627"/>
      <c r="AXF25" s="627"/>
      <c r="AXG25" s="627"/>
      <c r="AXH25" s="627"/>
      <c r="AXI25" s="627"/>
      <c r="AXJ25" s="627"/>
      <c r="AXK25" s="627"/>
      <c r="AXL25" s="627"/>
      <c r="AXM25" s="627"/>
      <c r="AXN25" s="627"/>
      <c r="AXO25" s="627"/>
      <c r="AXP25" s="627"/>
      <c r="AXQ25" s="627"/>
      <c r="AXR25" s="627"/>
      <c r="AXS25" s="627"/>
      <c r="AXT25" s="627"/>
      <c r="AXU25" s="627"/>
      <c r="AXV25" s="627"/>
      <c r="AXW25" s="627"/>
      <c r="AXX25" s="627"/>
      <c r="AXY25" s="627"/>
      <c r="AXZ25" s="627"/>
      <c r="AYA25" s="627"/>
      <c r="AYB25" s="627"/>
      <c r="AYC25" s="627"/>
      <c r="AYD25" s="627"/>
      <c r="AYE25" s="627"/>
      <c r="AYF25" s="627"/>
      <c r="AYG25" s="627"/>
      <c r="AYH25" s="627"/>
      <c r="AYI25" s="627"/>
      <c r="AYJ25" s="627"/>
      <c r="AYK25" s="627"/>
      <c r="AYL25" s="627"/>
      <c r="AYM25" s="627"/>
      <c r="AYN25" s="627"/>
      <c r="AYO25" s="627"/>
      <c r="AYP25" s="627"/>
      <c r="AYQ25" s="627"/>
      <c r="AYR25" s="627"/>
      <c r="AYS25" s="627"/>
      <c r="AYT25" s="627"/>
      <c r="AYU25" s="627"/>
      <c r="AYV25" s="627"/>
      <c r="AYW25" s="627"/>
      <c r="AYX25" s="627"/>
      <c r="AYY25" s="627"/>
      <c r="AYZ25" s="627"/>
      <c r="AZA25" s="627"/>
      <c r="AZB25" s="627"/>
      <c r="AZC25" s="627"/>
      <c r="AZD25" s="627"/>
      <c r="AZE25" s="627"/>
      <c r="AZF25" s="627"/>
      <c r="AZG25" s="627"/>
      <c r="AZH25" s="627"/>
      <c r="AZI25" s="627"/>
      <c r="AZJ25" s="627"/>
      <c r="AZK25" s="627"/>
      <c r="AZL25" s="627"/>
      <c r="AZM25" s="627"/>
      <c r="AZN25" s="627"/>
      <c r="AZO25" s="627"/>
      <c r="AZP25" s="627"/>
      <c r="AZQ25" s="627"/>
      <c r="AZR25" s="627"/>
      <c r="AZS25" s="627"/>
      <c r="AZT25" s="627"/>
      <c r="AZU25" s="627"/>
      <c r="AZV25" s="627"/>
      <c r="AZW25" s="627"/>
      <c r="AZX25" s="627"/>
      <c r="AZY25" s="627"/>
      <c r="AZZ25" s="627"/>
      <c r="BAA25" s="627"/>
      <c r="BAB25" s="627"/>
      <c r="BAC25" s="627"/>
      <c r="BAD25" s="627"/>
      <c r="BAE25" s="627"/>
      <c r="BAF25" s="627"/>
      <c r="BAG25" s="627"/>
      <c r="BAH25" s="627"/>
      <c r="BAI25" s="627"/>
      <c r="BAJ25" s="627"/>
      <c r="BAK25" s="627"/>
      <c r="BAL25" s="627"/>
      <c r="BAM25" s="627"/>
      <c r="BAN25" s="627"/>
      <c r="BAO25" s="627"/>
      <c r="BAP25" s="627"/>
      <c r="BAQ25" s="627"/>
      <c r="BAR25" s="627"/>
      <c r="BAS25" s="627"/>
      <c r="BAT25" s="627"/>
      <c r="BAU25" s="627"/>
      <c r="BAV25" s="627"/>
      <c r="BAW25" s="627"/>
      <c r="BAX25" s="627"/>
      <c r="BAY25" s="627"/>
      <c r="BAZ25" s="627"/>
      <c r="BBA25" s="627"/>
      <c r="BBB25" s="627"/>
      <c r="BBC25" s="627"/>
      <c r="BBD25" s="627"/>
      <c r="BBE25" s="627"/>
      <c r="BBF25" s="627"/>
      <c r="BBG25" s="627"/>
      <c r="BBH25" s="627"/>
      <c r="BBI25" s="627"/>
      <c r="BBJ25" s="627"/>
      <c r="BBK25" s="627"/>
      <c r="BBL25" s="627"/>
      <c r="BBM25" s="627"/>
      <c r="BBN25" s="627"/>
      <c r="BBO25" s="627"/>
      <c r="BBP25" s="627"/>
      <c r="BBQ25" s="627"/>
      <c r="BBR25" s="627"/>
      <c r="BBS25" s="627"/>
      <c r="BBT25" s="627"/>
      <c r="BBU25" s="627"/>
      <c r="BBV25" s="627"/>
      <c r="BBW25" s="627"/>
      <c r="BBX25" s="627"/>
      <c r="BBY25" s="627"/>
      <c r="BBZ25" s="627"/>
      <c r="BCA25" s="627"/>
      <c r="BCB25" s="627"/>
      <c r="BCC25" s="627"/>
      <c r="BCD25" s="627"/>
      <c r="BCE25" s="627"/>
      <c r="BCF25" s="627"/>
      <c r="BCG25" s="627"/>
      <c r="BCH25" s="627"/>
      <c r="BCI25" s="627"/>
      <c r="BCJ25" s="627"/>
      <c r="BCK25" s="627"/>
      <c r="BCL25" s="627"/>
      <c r="BCM25" s="627"/>
      <c r="BCN25" s="627"/>
      <c r="BCO25" s="627"/>
      <c r="BCP25" s="627"/>
      <c r="BCQ25" s="627"/>
      <c r="BCR25" s="627"/>
      <c r="BCS25" s="627"/>
      <c r="BCT25" s="627"/>
      <c r="BCU25" s="627"/>
      <c r="BCV25" s="627"/>
      <c r="BCW25" s="627"/>
      <c r="BCX25" s="627"/>
      <c r="BCY25" s="627"/>
      <c r="BCZ25" s="627"/>
      <c r="BDA25" s="627"/>
      <c r="BDB25" s="627"/>
      <c r="BDC25" s="627"/>
      <c r="BDD25" s="627"/>
      <c r="BDE25" s="627"/>
      <c r="BDF25" s="627"/>
      <c r="BDG25" s="627"/>
      <c r="BDH25" s="627"/>
      <c r="BDI25" s="627"/>
      <c r="BDJ25" s="627"/>
      <c r="BDK25" s="627"/>
      <c r="BDL25" s="627"/>
      <c r="BDM25" s="627"/>
      <c r="BDN25" s="627"/>
      <c r="BDO25" s="627"/>
      <c r="BDP25" s="627"/>
      <c r="BDQ25" s="627"/>
      <c r="BDR25" s="627"/>
      <c r="BDS25" s="627"/>
      <c r="BDT25" s="627"/>
      <c r="BDU25" s="627"/>
      <c r="BDV25" s="627"/>
      <c r="BDW25" s="627"/>
      <c r="BDX25" s="627"/>
      <c r="BDY25" s="627"/>
      <c r="BDZ25" s="627"/>
      <c r="BEA25" s="627"/>
      <c r="BEB25" s="627"/>
      <c r="BEC25" s="627"/>
      <c r="BED25" s="627"/>
      <c r="BEE25" s="627"/>
      <c r="BEF25" s="627"/>
      <c r="BEG25" s="627"/>
      <c r="BEH25" s="627"/>
      <c r="BEI25" s="627"/>
      <c r="BEJ25" s="627"/>
      <c r="BEK25" s="627"/>
      <c r="BEL25" s="627"/>
      <c r="BEM25" s="627"/>
      <c r="BEN25" s="627"/>
      <c r="BEO25" s="627"/>
      <c r="BEP25" s="627"/>
      <c r="BEQ25" s="627"/>
      <c r="BER25" s="627"/>
      <c r="BES25" s="627"/>
      <c r="BET25" s="627"/>
      <c r="BEU25" s="627"/>
      <c r="BEV25" s="627"/>
      <c r="BEW25" s="627"/>
      <c r="BEX25" s="627"/>
      <c r="BEY25" s="627"/>
      <c r="BEZ25" s="627"/>
      <c r="BFA25" s="627"/>
      <c r="BFB25" s="627"/>
      <c r="BFC25" s="627"/>
      <c r="BFD25" s="627"/>
      <c r="BFE25" s="627"/>
      <c r="BFF25" s="627"/>
      <c r="BFG25" s="627"/>
      <c r="BFH25" s="627"/>
      <c r="BFI25" s="627"/>
      <c r="BFJ25" s="627"/>
      <c r="BFK25" s="627"/>
      <c r="BFL25" s="627"/>
      <c r="BFM25" s="627"/>
      <c r="BFN25" s="627"/>
      <c r="BFO25" s="627"/>
      <c r="BFP25" s="627"/>
      <c r="BFQ25" s="627"/>
      <c r="BFR25" s="627"/>
      <c r="BFS25" s="627"/>
      <c r="BFT25" s="627"/>
      <c r="BFU25" s="627"/>
      <c r="BFV25" s="627"/>
      <c r="BFW25" s="627"/>
      <c r="BFX25" s="627"/>
      <c r="BFY25" s="627"/>
      <c r="BFZ25" s="627"/>
      <c r="BGA25" s="627"/>
      <c r="BGB25" s="627"/>
      <c r="BGC25" s="627"/>
      <c r="BGD25" s="627"/>
      <c r="BGE25" s="627"/>
      <c r="BGF25" s="627"/>
      <c r="BGG25" s="627"/>
      <c r="BGH25" s="627"/>
      <c r="BGI25" s="627"/>
      <c r="BGJ25" s="627"/>
      <c r="BGK25" s="627"/>
      <c r="BGL25" s="627"/>
      <c r="BGM25" s="627"/>
      <c r="BGN25" s="627"/>
      <c r="BGO25" s="627"/>
      <c r="BGP25" s="627"/>
      <c r="BGQ25" s="627"/>
      <c r="BGR25" s="627"/>
      <c r="BGS25" s="627"/>
      <c r="BGT25" s="627"/>
      <c r="BGU25" s="627"/>
      <c r="BGV25" s="627"/>
      <c r="BGW25" s="627"/>
      <c r="BGX25" s="627"/>
      <c r="BGY25" s="627"/>
      <c r="BGZ25" s="627"/>
      <c r="BHA25" s="627"/>
      <c r="BHB25" s="627"/>
      <c r="BHC25" s="627"/>
      <c r="BHD25" s="627"/>
      <c r="BHE25" s="627"/>
      <c r="BHF25" s="627"/>
      <c r="BHG25" s="627"/>
      <c r="BHH25" s="627"/>
      <c r="BHI25" s="627"/>
      <c r="BHJ25" s="627"/>
      <c r="BHK25" s="627"/>
      <c r="BHL25" s="627"/>
      <c r="BHM25" s="627"/>
      <c r="BHN25" s="627"/>
      <c r="BHO25" s="627"/>
      <c r="BHP25" s="627"/>
      <c r="BHQ25" s="627"/>
      <c r="BHR25" s="627"/>
      <c r="BHS25" s="627"/>
      <c r="BHT25" s="627"/>
      <c r="BHU25" s="627"/>
      <c r="BHV25" s="627"/>
      <c r="BHW25" s="627"/>
      <c r="BHX25" s="627"/>
      <c r="BHY25" s="627"/>
      <c r="BHZ25" s="627"/>
      <c r="BIA25" s="627"/>
      <c r="BIB25" s="627"/>
      <c r="BIC25" s="627"/>
      <c r="BID25" s="627"/>
      <c r="BIE25" s="627"/>
      <c r="BIF25" s="627"/>
      <c r="BIG25" s="627"/>
      <c r="BIH25" s="627"/>
      <c r="BII25" s="627"/>
      <c r="BIJ25" s="627"/>
      <c r="BIK25" s="627"/>
      <c r="BIL25" s="627"/>
      <c r="BIM25" s="627"/>
      <c r="BIN25" s="627"/>
      <c r="BIO25" s="627"/>
      <c r="BIP25" s="627"/>
      <c r="BIQ25" s="627"/>
      <c r="BIR25" s="627"/>
      <c r="BIS25" s="627"/>
      <c r="BIT25" s="627"/>
      <c r="BIU25" s="627"/>
      <c r="BIV25" s="627"/>
      <c r="BIW25" s="627"/>
      <c r="BIX25" s="627"/>
      <c r="BIY25" s="627"/>
      <c r="BIZ25" s="627"/>
      <c r="BJA25" s="627"/>
      <c r="BJB25" s="627"/>
      <c r="BJC25" s="627"/>
      <c r="BJD25" s="627"/>
      <c r="BJE25" s="627"/>
      <c r="BJF25" s="627"/>
      <c r="BJG25" s="627"/>
      <c r="BJH25" s="627"/>
      <c r="BJI25" s="627"/>
      <c r="BJJ25" s="627"/>
      <c r="BJK25" s="627"/>
      <c r="BJL25" s="627"/>
      <c r="BJM25" s="627"/>
      <c r="BJN25" s="627"/>
      <c r="BJO25" s="627"/>
      <c r="BJP25" s="627"/>
      <c r="BJQ25" s="627"/>
      <c r="BJR25" s="627"/>
      <c r="BJS25" s="627"/>
      <c r="BJT25" s="627"/>
      <c r="BJU25" s="627"/>
      <c r="BJV25" s="627"/>
      <c r="BJW25" s="627"/>
      <c r="BJX25" s="627"/>
      <c r="BJY25" s="627"/>
      <c r="BJZ25" s="627"/>
      <c r="BKA25" s="627"/>
      <c r="BKB25" s="627"/>
      <c r="BKC25" s="627"/>
      <c r="BKD25" s="627"/>
      <c r="BKE25" s="627"/>
      <c r="BKF25" s="627"/>
      <c r="BKG25" s="627"/>
      <c r="BKH25" s="627"/>
      <c r="BKI25" s="627"/>
      <c r="BKJ25" s="627"/>
      <c r="BKK25" s="627"/>
      <c r="BKL25" s="627"/>
      <c r="BKM25" s="627"/>
      <c r="BKN25" s="627"/>
      <c r="BKO25" s="627"/>
      <c r="BKP25" s="627"/>
      <c r="BKQ25" s="627"/>
      <c r="BKR25" s="627"/>
      <c r="BKS25" s="627"/>
      <c r="BKT25" s="627"/>
      <c r="BKU25" s="627"/>
      <c r="BKV25" s="627"/>
      <c r="BKW25" s="627"/>
      <c r="BKX25" s="627"/>
      <c r="BKY25" s="627"/>
      <c r="BKZ25" s="627"/>
      <c r="BLA25" s="627"/>
      <c r="BLB25" s="627"/>
      <c r="BLC25" s="627"/>
      <c r="BLD25" s="627"/>
      <c r="BLE25" s="627"/>
      <c r="BLF25" s="627"/>
      <c r="BLG25" s="627"/>
      <c r="BLH25" s="627"/>
      <c r="BLI25" s="627"/>
      <c r="BLJ25" s="627"/>
      <c r="BLK25" s="627"/>
      <c r="BLL25" s="627"/>
      <c r="BLM25" s="627"/>
      <c r="BLN25" s="627"/>
      <c r="BLO25" s="627"/>
      <c r="BLP25" s="627"/>
      <c r="BLQ25" s="627"/>
      <c r="BLR25" s="627"/>
      <c r="BLS25" s="627"/>
      <c r="BLT25" s="627"/>
      <c r="BLU25" s="627"/>
      <c r="BLV25" s="627"/>
      <c r="BLW25" s="627"/>
      <c r="BLX25" s="627"/>
      <c r="BLY25" s="627"/>
      <c r="BLZ25" s="627"/>
      <c r="BMA25" s="627"/>
      <c r="BMB25" s="627"/>
      <c r="BMC25" s="627"/>
      <c r="BMD25" s="627"/>
      <c r="BME25" s="627"/>
      <c r="BMF25" s="627"/>
      <c r="BMG25" s="627"/>
      <c r="BMH25" s="627"/>
      <c r="BMI25" s="627"/>
      <c r="BMJ25" s="627"/>
      <c r="BMK25" s="627"/>
      <c r="BML25" s="627"/>
      <c r="BMM25" s="627"/>
      <c r="BMN25" s="627"/>
      <c r="BMO25" s="627"/>
      <c r="BMP25" s="627"/>
      <c r="BMQ25" s="627"/>
      <c r="BMR25" s="627"/>
      <c r="BMS25" s="627"/>
      <c r="BMT25" s="627"/>
      <c r="BMU25" s="627"/>
      <c r="BMV25" s="627"/>
      <c r="BMW25" s="627"/>
      <c r="BMX25" s="627"/>
      <c r="BMY25" s="627"/>
      <c r="BMZ25" s="627"/>
      <c r="BNA25" s="627"/>
      <c r="BNB25" s="627"/>
      <c r="BNC25" s="627"/>
      <c r="BND25" s="627"/>
      <c r="BNE25" s="627"/>
      <c r="BNF25" s="627"/>
      <c r="BNG25" s="627"/>
      <c r="BNH25" s="627"/>
      <c r="BNI25" s="627"/>
      <c r="BNJ25" s="627"/>
      <c r="BNK25" s="627"/>
      <c r="BNL25" s="627"/>
      <c r="BNM25" s="627"/>
      <c r="BNN25" s="627"/>
      <c r="BNO25" s="627"/>
      <c r="BNP25" s="627"/>
      <c r="BNQ25" s="627"/>
      <c r="BNR25" s="627"/>
      <c r="BNS25" s="627"/>
      <c r="BNT25" s="627"/>
      <c r="BNU25" s="627"/>
      <c r="BNV25" s="627"/>
      <c r="BNW25" s="627"/>
      <c r="BNX25" s="627"/>
      <c r="BNY25" s="627"/>
      <c r="BNZ25" s="627"/>
      <c r="BOA25" s="627"/>
      <c r="BOB25" s="627"/>
      <c r="BOC25" s="627"/>
      <c r="BOD25" s="627"/>
      <c r="BOE25" s="627"/>
      <c r="BOF25" s="627"/>
      <c r="BOG25" s="627"/>
      <c r="BOH25" s="627"/>
      <c r="BOI25" s="627"/>
      <c r="BOJ25" s="627"/>
      <c r="BOK25" s="627"/>
      <c r="BOL25" s="627"/>
      <c r="BOM25" s="627"/>
      <c r="BON25" s="627"/>
      <c r="BOO25" s="627"/>
      <c r="BOP25" s="627"/>
      <c r="BOQ25" s="627"/>
      <c r="BOR25" s="627"/>
      <c r="BOS25" s="627"/>
      <c r="BOT25" s="627"/>
      <c r="BOU25" s="627"/>
      <c r="BOV25" s="627"/>
      <c r="BOW25" s="627"/>
      <c r="BOX25" s="627"/>
      <c r="BOY25" s="627"/>
      <c r="BOZ25" s="627"/>
      <c r="BPA25" s="627"/>
      <c r="BPB25" s="627"/>
      <c r="BPC25" s="627"/>
      <c r="BPD25" s="627"/>
      <c r="BPE25" s="627"/>
      <c r="BPF25" s="627"/>
      <c r="BPG25" s="627"/>
      <c r="BPH25" s="627"/>
      <c r="BPI25" s="627"/>
      <c r="BPJ25" s="627"/>
      <c r="BPK25" s="627"/>
      <c r="BPL25" s="627"/>
      <c r="BPM25" s="627"/>
      <c r="BPN25" s="627"/>
      <c r="BPO25" s="627"/>
      <c r="BPP25" s="627"/>
      <c r="BPQ25" s="627"/>
      <c r="BPR25" s="627"/>
      <c r="BPS25" s="627"/>
      <c r="BPT25" s="627"/>
      <c r="BPU25" s="627"/>
      <c r="BPV25" s="627"/>
      <c r="BPW25" s="627"/>
      <c r="BPX25" s="627"/>
      <c r="BPY25" s="627"/>
      <c r="BPZ25" s="627"/>
      <c r="BQA25" s="627"/>
      <c r="BQB25" s="627"/>
      <c r="BQC25" s="627"/>
      <c r="BQD25" s="627"/>
      <c r="BQE25" s="627"/>
      <c r="BQF25" s="627"/>
      <c r="BQG25" s="627"/>
      <c r="BQH25" s="627"/>
      <c r="BQI25" s="627"/>
      <c r="BQJ25" s="627"/>
      <c r="BQK25" s="627"/>
      <c r="BQL25" s="627"/>
      <c r="BQM25" s="627"/>
      <c r="BQN25" s="627"/>
      <c r="BQO25" s="627"/>
      <c r="BQP25" s="627"/>
      <c r="BQQ25" s="627"/>
      <c r="BQR25" s="627"/>
      <c r="BQS25" s="627"/>
      <c r="BQT25" s="627"/>
      <c r="BQU25" s="627"/>
      <c r="BQV25" s="627"/>
      <c r="BQW25" s="627"/>
      <c r="BQX25" s="627"/>
      <c r="BQY25" s="627"/>
      <c r="BQZ25" s="627"/>
      <c r="BRA25" s="627"/>
      <c r="BRB25" s="627"/>
      <c r="BRC25" s="627"/>
      <c r="BRD25" s="627"/>
      <c r="BRE25" s="627"/>
      <c r="BRF25" s="627"/>
      <c r="BRG25" s="627"/>
      <c r="BRH25" s="627"/>
      <c r="BRI25" s="627"/>
      <c r="BRJ25" s="627"/>
      <c r="BRK25" s="627"/>
      <c r="BRL25" s="627"/>
      <c r="BRM25" s="627"/>
      <c r="BRN25" s="627"/>
      <c r="BRO25" s="627"/>
      <c r="BRP25" s="627"/>
      <c r="BRQ25" s="627"/>
      <c r="BRR25" s="627"/>
      <c r="BRS25" s="627"/>
      <c r="BRT25" s="627"/>
      <c r="BRU25" s="627"/>
      <c r="BRV25" s="627"/>
      <c r="BRW25" s="627"/>
      <c r="BRX25" s="627"/>
      <c r="BRY25" s="627"/>
      <c r="BRZ25" s="627"/>
      <c r="BSA25" s="627"/>
      <c r="BSB25" s="627"/>
      <c r="BSC25" s="627"/>
      <c r="BSD25" s="627"/>
      <c r="BSE25" s="627"/>
      <c r="BSF25" s="627"/>
      <c r="BSG25" s="627"/>
      <c r="BSH25" s="627"/>
      <c r="BSI25" s="627"/>
      <c r="BSJ25" s="627"/>
      <c r="BSK25" s="627"/>
      <c r="BSL25" s="627"/>
      <c r="BSM25" s="627"/>
      <c r="BSN25" s="627"/>
      <c r="BSO25" s="627"/>
      <c r="BSP25" s="627"/>
      <c r="BSQ25" s="627"/>
      <c r="BSR25" s="627"/>
      <c r="BSS25" s="627"/>
      <c r="BST25" s="627"/>
      <c r="BSU25" s="627"/>
      <c r="BSV25" s="627"/>
      <c r="BSW25" s="627"/>
      <c r="BSX25" s="627"/>
      <c r="BSY25" s="627"/>
      <c r="BSZ25" s="627"/>
      <c r="BTA25" s="627"/>
      <c r="BTB25" s="627"/>
      <c r="BTC25" s="627"/>
      <c r="BTD25" s="627"/>
      <c r="BTE25" s="627"/>
      <c r="BTF25" s="627"/>
      <c r="BTG25" s="627"/>
      <c r="BTH25" s="627"/>
      <c r="BTI25" s="627"/>
      <c r="BTJ25" s="627"/>
      <c r="BTK25" s="627"/>
      <c r="BTL25" s="627"/>
      <c r="BTM25" s="627"/>
      <c r="BTN25" s="627"/>
      <c r="BTO25" s="627"/>
      <c r="BTP25" s="627"/>
      <c r="BTQ25" s="627"/>
      <c r="BTR25" s="627"/>
      <c r="BTS25" s="627"/>
      <c r="BTT25" s="627"/>
      <c r="BTU25" s="627"/>
      <c r="BTV25" s="627"/>
      <c r="BTW25" s="627"/>
      <c r="BTX25" s="627"/>
      <c r="BTY25" s="627"/>
      <c r="BTZ25" s="627"/>
      <c r="BUA25" s="627"/>
      <c r="BUB25" s="627"/>
      <c r="BUC25" s="627"/>
      <c r="BUD25" s="627"/>
      <c r="BUE25" s="627"/>
      <c r="BUF25" s="627"/>
      <c r="BUG25" s="627"/>
      <c r="BUH25" s="627"/>
      <c r="BUI25" s="627"/>
      <c r="BUJ25" s="627"/>
      <c r="BUK25" s="627"/>
      <c r="BUL25" s="627"/>
      <c r="BUM25" s="627"/>
      <c r="BUN25" s="627"/>
      <c r="BUO25" s="627"/>
      <c r="BUP25" s="627"/>
      <c r="BUQ25" s="627"/>
      <c r="BUR25" s="627"/>
      <c r="BUS25" s="627"/>
      <c r="BUT25" s="627"/>
      <c r="BUU25" s="627"/>
      <c r="BUV25" s="627"/>
      <c r="BUW25" s="627"/>
      <c r="BUX25" s="627"/>
      <c r="BUY25" s="627"/>
      <c r="BUZ25" s="627"/>
      <c r="BVA25" s="627"/>
      <c r="BVB25" s="627"/>
      <c r="BVC25" s="627"/>
      <c r="BVD25" s="627"/>
      <c r="BVE25" s="627"/>
      <c r="BVF25" s="627"/>
      <c r="BVG25" s="627"/>
      <c r="BVH25" s="627"/>
      <c r="BVI25" s="627"/>
      <c r="BVJ25" s="627"/>
      <c r="BVK25" s="627"/>
      <c r="BVL25" s="627"/>
      <c r="BVM25" s="627"/>
      <c r="BVN25" s="627"/>
      <c r="BVO25" s="627"/>
      <c r="BVP25" s="627"/>
      <c r="BVQ25" s="627"/>
      <c r="BVR25" s="627"/>
      <c r="BVS25" s="627"/>
      <c r="BVT25" s="627"/>
      <c r="BVU25" s="627"/>
      <c r="BVV25" s="627"/>
      <c r="BVW25" s="627"/>
      <c r="BVX25" s="627"/>
      <c r="BVY25" s="627"/>
      <c r="BVZ25" s="627"/>
      <c r="BWA25" s="627"/>
      <c r="BWB25" s="627"/>
      <c r="BWC25" s="627"/>
      <c r="BWD25" s="627"/>
      <c r="BWE25" s="627"/>
      <c r="BWF25" s="627"/>
      <c r="BWG25" s="627"/>
      <c r="BWH25" s="627"/>
      <c r="BWI25" s="627"/>
      <c r="BWJ25" s="627"/>
      <c r="BWK25" s="627"/>
      <c r="BWL25" s="627"/>
      <c r="BWM25" s="627"/>
      <c r="BWN25" s="627"/>
      <c r="BWO25" s="627"/>
      <c r="BWP25" s="627"/>
      <c r="BWQ25" s="627"/>
      <c r="BWR25" s="627"/>
      <c r="BWS25" s="627"/>
      <c r="BWT25" s="627"/>
      <c r="BWU25" s="627"/>
      <c r="BWV25" s="627"/>
      <c r="BWW25" s="627"/>
      <c r="BWX25" s="627"/>
      <c r="BWY25" s="627"/>
      <c r="BWZ25" s="627"/>
      <c r="BXA25" s="627"/>
      <c r="BXB25" s="627"/>
      <c r="BXC25" s="627"/>
      <c r="BXD25" s="627"/>
      <c r="BXE25" s="627"/>
      <c r="BXF25" s="627"/>
      <c r="BXG25" s="627"/>
      <c r="BXH25" s="627"/>
      <c r="BXI25" s="627"/>
      <c r="BXJ25" s="627"/>
      <c r="BXK25" s="627"/>
      <c r="BXL25" s="627"/>
      <c r="BXM25" s="627"/>
      <c r="BXN25" s="627"/>
      <c r="BXO25" s="627"/>
      <c r="BXP25" s="627"/>
      <c r="BXQ25" s="627"/>
      <c r="BXR25" s="627"/>
      <c r="BXS25" s="627"/>
      <c r="BXT25" s="627"/>
      <c r="BXU25" s="627"/>
      <c r="BXV25" s="627"/>
      <c r="BXW25" s="627"/>
      <c r="BXX25" s="627"/>
    </row>
    <row r="26" spans="1:2000" ht="21" customHeight="1" x14ac:dyDescent="0.3">
      <c r="A26" s="2859" t="s">
        <v>2877</v>
      </c>
      <c r="B26" s="3162">
        <v>27889.991221227036</v>
      </c>
      <c r="C26" s="3162">
        <v>30472.731989970434</v>
      </c>
      <c r="D26" s="3162">
        <v>33218.211829675573</v>
      </c>
      <c r="E26" s="3162">
        <v>27428.934466969564</v>
      </c>
      <c r="F26" s="3162">
        <v>33326.828991197101</v>
      </c>
      <c r="G26" s="3162">
        <v>34234.920269912793</v>
      </c>
      <c r="H26" s="3162">
        <v>32807.455683093503</v>
      </c>
      <c r="I26" s="3162">
        <v>36097.590534893658</v>
      </c>
      <c r="J26" s="3162">
        <v>34202.041787444607</v>
      </c>
      <c r="K26" s="3162">
        <v>35629.409730986117</v>
      </c>
      <c r="L26" s="3162">
        <v>35829.799563187822</v>
      </c>
      <c r="M26" s="3162">
        <v>36537.207329154888</v>
      </c>
      <c r="N26" s="3162">
        <v>35826.762863601012</v>
      </c>
      <c r="O26" s="3162">
        <v>36245.891460484694</v>
      </c>
      <c r="P26" s="3162">
        <v>41406.0584448644</v>
      </c>
      <c r="Q26" s="3162">
        <v>38246.898544406336</v>
      </c>
      <c r="R26" s="3162">
        <v>37682.399611981942</v>
      </c>
      <c r="S26" s="3162">
        <v>37619.541592431648</v>
      </c>
      <c r="T26" s="3162">
        <v>36048.246446760328</v>
      </c>
      <c r="U26" s="3162">
        <v>36115.592216543802</v>
      </c>
      <c r="V26" s="3162">
        <v>32589.340099377187</v>
      </c>
      <c r="W26" s="3162">
        <v>32148.58919184086</v>
      </c>
      <c r="X26" s="3162">
        <v>32449.280157051915</v>
      </c>
      <c r="Y26" s="3162">
        <v>30828.962402117726</v>
      </c>
      <c r="Z26" s="3162">
        <v>30740.485378237219</v>
      </c>
      <c r="AA26" s="3162">
        <v>37394.721162565409</v>
      </c>
      <c r="AB26" s="3162">
        <v>28857.570108451044</v>
      </c>
      <c r="AC26" s="3162">
        <v>28558.563032481237</v>
      </c>
      <c r="AD26" s="3162">
        <v>32840.643412776168</v>
      </c>
      <c r="AE26" s="3162">
        <v>33251.50682238333</v>
      </c>
      <c r="AF26" s="3162">
        <v>35445.672472539962</v>
      </c>
      <c r="AG26" s="3162">
        <v>36934.354463037569</v>
      </c>
      <c r="AH26" s="3162">
        <v>34110.05579911697</v>
      </c>
      <c r="AI26" s="3162">
        <v>32923.994865730339</v>
      </c>
      <c r="AJ26" s="3162">
        <v>39621.636781692956</v>
      </c>
      <c r="AK26" s="3162">
        <v>33299.199961928345</v>
      </c>
      <c r="AL26" s="3162">
        <v>32710.458000628354</v>
      </c>
    </row>
    <row r="27" spans="1:2000" ht="21" customHeight="1" x14ac:dyDescent="0.3">
      <c r="A27" s="2832" t="s">
        <v>5526</v>
      </c>
      <c r="B27" s="3161">
        <v>25822.464382958598</v>
      </c>
      <c r="C27" s="3161">
        <v>24497.074800354119</v>
      </c>
      <c r="D27" s="3161">
        <v>25389.339255708241</v>
      </c>
      <c r="E27" s="3161">
        <v>27624.690030171449</v>
      </c>
      <c r="F27" s="3161">
        <v>26262.570966939977</v>
      </c>
      <c r="G27" s="3161">
        <v>25661.436773562436</v>
      </c>
      <c r="H27" s="3161">
        <v>25416.033621111725</v>
      </c>
      <c r="I27" s="3161">
        <v>25055.740865629581</v>
      </c>
      <c r="J27" s="3161">
        <v>28936.836933392286</v>
      </c>
      <c r="K27" s="3161">
        <v>29040.394491347808</v>
      </c>
      <c r="L27" s="3161">
        <v>30206.752635290501</v>
      </c>
      <c r="M27" s="3161">
        <v>26613.023146541807</v>
      </c>
      <c r="N27" s="3161">
        <v>30913.775075286903</v>
      </c>
      <c r="O27" s="3161">
        <v>31625.52033900157</v>
      </c>
      <c r="P27" s="3161">
        <v>31060.756932185017</v>
      </c>
      <c r="Q27" s="3161">
        <v>34031.846301889695</v>
      </c>
      <c r="R27" s="3161">
        <v>40404.298701752785</v>
      </c>
      <c r="S27" s="3161">
        <v>39683.892261024783</v>
      </c>
      <c r="T27" s="3161">
        <v>40632.205824751181</v>
      </c>
      <c r="U27" s="3161">
        <v>38729.454275623757</v>
      </c>
      <c r="V27" s="3161">
        <v>38676.413872999474</v>
      </c>
      <c r="W27" s="3161">
        <v>38251.096890463632</v>
      </c>
      <c r="X27" s="3161">
        <v>35662.056777422251</v>
      </c>
      <c r="Y27" s="3161">
        <v>32709.436849611411</v>
      </c>
      <c r="Z27" s="3161">
        <v>30516.407828522028</v>
      </c>
      <c r="AA27" s="3161">
        <v>29714.84873617566</v>
      </c>
      <c r="AB27" s="3161">
        <v>27022.746644771945</v>
      </c>
      <c r="AC27" s="3161">
        <v>24756.782947885546</v>
      </c>
      <c r="AD27" s="3161">
        <v>26292.109879343221</v>
      </c>
      <c r="AE27" s="3161">
        <v>26370.859207760874</v>
      </c>
      <c r="AF27" s="3161">
        <v>24250.321202997398</v>
      </c>
      <c r="AG27" s="3161">
        <v>24023.31543219163</v>
      </c>
      <c r="AH27" s="3161">
        <v>28285.427302843644</v>
      </c>
      <c r="AI27" s="3161">
        <v>28058.541157673695</v>
      </c>
      <c r="AJ27" s="3161">
        <v>29305.062407267083</v>
      </c>
      <c r="AK27" s="3161">
        <v>26724.125104704686</v>
      </c>
      <c r="AL27" s="3161">
        <v>26653.737222395022</v>
      </c>
    </row>
    <row r="28" spans="1:2000" ht="21" customHeight="1" thickBot="1" x14ac:dyDescent="0.35">
      <c r="A28" s="2862" t="s">
        <v>5527</v>
      </c>
      <c r="B28" s="3163">
        <v>8066.5293043786587</v>
      </c>
      <c r="C28" s="3163">
        <v>7844.9024899280539</v>
      </c>
      <c r="D28" s="3163">
        <v>8345.0833143569525</v>
      </c>
      <c r="E28" s="3163">
        <v>7043.3582612301689</v>
      </c>
      <c r="F28" s="3163">
        <v>6488.9626685234362</v>
      </c>
      <c r="G28" s="3163">
        <v>6494.1338326819014</v>
      </c>
      <c r="H28" s="3163">
        <v>6835.3512236725137</v>
      </c>
      <c r="I28" s="3163">
        <v>6802.8645135440938</v>
      </c>
      <c r="J28" s="3163">
        <v>6387.6472653385799</v>
      </c>
      <c r="K28" s="3163">
        <v>6243.5951531516102</v>
      </c>
      <c r="L28" s="3163">
        <v>6329.13518730122</v>
      </c>
      <c r="M28" s="3163">
        <v>6364.2378972829438</v>
      </c>
      <c r="N28" s="3163">
        <v>5913.7803432957935</v>
      </c>
      <c r="O28" s="3163">
        <v>5654.5769508903031</v>
      </c>
      <c r="P28" s="3163">
        <v>5599.3073454421065</v>
      </c>
      <c r="Q28" s="3163">
        <v>6304.1088660572659</v>
      </c>
      <c r="R28" s="3163">
        <v>6660.4156103527839</v>
      </c>
      <c r="S28" s="3163">
        <v>6624.3775596565938</v>
      </c>
      <c r="T28" s="3163">
        <v>6055.4880193848985</v>
      </c>
      <c r="U28" s="3163">
        <v>6060.1721583842427</v>
      </c>
      <c r="V28" s="3163">
        <v>6467.0554470453708</v>
      </c>
      <c r="W28" s="3163">
        <v>6249.6162166227723</v>
      </c>
      <c r="X28" s="3163">
        <v>6278.5050411009997</v>
      </c>
      <c r="Y28" s="3163">
        <v>6466.2432873145299</v>
      </c>
      <c r="Z28" s="3163">
        <v>6147.7984624187284</v>
      </c>
      <c r="AA28" s="3163">
        <v>5828.471901894125</v>
      </c>
      <c r="AB28" s="3163">
        <v>5612.3456548378481</v>
      </c>
      <c r="AC28" s="3163">
        <v>5079.7077159590426</v>
      </c>
      <c r="AD28" s="3163">
        <v>4665.2773555150879</v>
      </c>
      <c r="AE28" s="3163">
        <v>4701.0206256297743</v>
      </c>
      <c r="AF28" s="3163">
        <v>4664.7209780178646</v>
      </c>
      <c r="AG28" s="3163">
        <v>6688.4841215780616</v>
      </c>
      <c r="AH28" s="3163">
        <v>5214.0959782988029</v>
      </c>
      <c r="AI28" s="3163">
        <v>4736.2648784015655</v>
      </c>
      <c r="AJ28" s="3163">
        <v>3647.0638481673809</v>
      </c>
      <c r="AK28" s="3163">
        <v>3900.8997703830878</v>
      </c>
      <c r="AL28" s="3163">
        <v>2713.978607381765</v>
      </c>
    </row>
    <row r="29" spans="1:2000" ht="21" customHeight="1" thickTop="1" thickBot="1" x14ac:dyDescent="0.35">
      <c r="A29" s="2865" t="s">
        <v>2880</v>
      </c>
      <c r="B29" s="3164">
        <v>422602.04616551159</v>
      </c>
      <c r="C29" s="3164">
        <v>420904.50768610759</v>
      </c>
      <c r="D29" s="3164">
        <v>425871.63182700693</v>
      </c>
      <c r="E29" s="3164">
        <v>424152.34238586848</v>
      </c>
      <c r="F29" s="3164">
        <v>429381.65368239867</v>
      </c>
      <c r="G29" s="3164">
        <v>431585.95011227031</v>
      </c>
      <c r="H29" s="3164">
        <v>433595.77655009262</v>
      </c>
      <c r="I29" s="3164">
        <v>435880.77902424673</v>
      </c>
      <c r="J29" s="3164">
        <v>439845.23311801307</v>
      </c>
      <c r="K29" s="3164">
        <v>444359.36248979933</v>
      </c>
      <c r="L29" s="3164">
        <v>444946.69414004404</v>
      </c>
      <c r="M29" s="3164">
        <v>445925.55049792019</v>
      </c>
      <c r="N29" s="3164">
        <v>446713.56285898428</v>
      </c>
      <c r="O29" s="3164">
        <v>446840.61533045681</v>
      </c>
      <c r="P29" s="3164">
        <v>440124.09743704548</v>
      </c>
      <c r="Q29" s="3164">
        <v>443386.76050163939</v>
      </c>
      <c r="R29" s="3164">
        <v>450457.11506544222</v>
      </c>
      <c r="S29" s="3164">
        <v>448736.82751908962</v>
      </c>
      <c r="T29" s="3164">
        <v>449983.40976825054</v>
      </c>
      <c r="U29" s="3164">
        <v>451030.01946007769</v>
      </c>
      <c r="V29" s="3164">
        <v>447641.88954086509</v>
      </c>
      <c r="W29" s="3164">
        <v>440482.820363543</v>
      </c>
      <c r="X29" s="3164">
        <v>438923.62345419277</v>
      </c>
      <c r="Y29" s="3164">
        <v>440877.30986333417</v>
      </c>
      <c r="Z29" s="3164">
        <v>439167.00692663639</v>
      </c>
      <c r="AA29" s="3164">
        <v>448692.44845711556</v>
      </c>
      <c r="AB29" s="3164">
        <v>440348.15179122851</v>
      </c>
      <c r="AC29" s="3164">
        <v>433641.52182678145</v>
      </c>
      <c r="AD29" s="3164">
        <v>442169.10348649637</v>
      </c>
      <c r="AE29" s="3164">
        <v>446875.43373712222</v>
      </c>
      <c r="AF29" s="3164">
        <v>445130.14263494563</v>
      </c>
      <c r="AG29" s="3164">
        <v>449394.88804927858</v>
      </c>
      <c r="AH29" s="3164">
        <v>450109.85430586804</v>
      </c>
      <c r="AI29" s="3164">
        <v>444858.87507932459</v>
      </c>
      <c r="AJ29" s="3164">
        <v>460081.06497402402</v>
      </c>
      <c r="AK29" s="3164">
        <v>452316.94488192489</v>
      </c>
      <c r="AL29" s="3164">
        <v>449570.42648793518</v>
      </c>
    </row>
    <row r="30" spans="1:2000" ht="21" customHeight="1" thickTop="1" thickBot="1" x14ac:dyDescent="0.35">
      <c r="A30" s="2865" t="s">
        <v>2881</v>
      </c>
      <c r="B30" s="3164">
        <v>360823.06125694729</v>
      </c>
      <c r="C30" s="3164">
        <v>358089.79840585496</v>
      </c>
      <c r="D30" s="3164">
        <v>358918.99742726621</v>
      </c>
      <c r="E30" s="3164">
        <v>362055.35962749727</v>
      </c>
      <c r="F30" s="3164">
        <v>363303.29105573817</v>
      </c>
      <c r="G30" s="3164">
        <v>365195.45923611312</v>
      </c>
      <c r="H30" s="3164">
        <v>368536.93602221488</v>
      </c>
      <c r="I30" s="3164">
        <v>367924.5831101794</v>
      </c>
      <c r="J30" s="3164">
        <v>370318.70713183761</v>
      </c>
      <c r="K30" s="3164">
        <v>373445.96311431378</v>
      </c>
      <c r="L30" s="3164">
        <v>372581.00675426453</v>
      </c>
      <c r="M30" s="3164">
        <v>376411.08212494059</v>
      </c>
      <c r="N30" s="3164">
        <v>374059.24457680061</v>
      </c>
      <c r="O30" s="3164">
        <v>373314.62658008031</v>
      </c>
      <c r="P30" s="3164">
        <v>362057.97471455391</v>
      </c>
      <c r="Q30" s="3164">
        <v>364803.90678928612</v>
      </c>
      <c r="R30" s="3164">
        <v>365710.00114135467</v>
      </c>
      <c r="S30" s="3164">
        <v>364809.01610597665</v>
      </c>
      <c r="T30" s="3164">
        <v>367247.46947735414</v>
      </c>
      <c r="U30" s="3164">
        <v>370124.80080952588</v>
      </c>
      <c r="V30" s="3164">
        <v>369909.08012144302</v>
      </c>
      <c r="W30" s="3164">
        <v>363833.51806461578</v>
      </c>
      <c r="X30" s="3164">
        <v>364533.78147861763</v>
      </c>
      <c r="Y30" s="3164">
        <v>370872.66732429049</v>
      </c>
      <c r="Z30" s="3164">
        <v>371762.31525745842</v>
      </c>
      <c r="AA30" s="3164">
        <v>375754.40665648039</v>
      </c>
      <c r="AB30" s="3164">
        <v>378855.4893831677</v>
      </c>
      <c r="AC30" s="3164">
        <v>375246.46813045564</v>
      </c>
      <c r="AD30" s="3164">
        <v>378371.07283886184</v>
      </c>
      <c r="AE30" s="3164">
        <v>382552.04708134825</v>
      </c>
      <c r="AF30" s="3164">
        <v>380769.42798139038</v>
      </c>
      <c r="AG30" s="3164">
        <v>381748.73403247126</v>
      </c>
      <c r="AH30" s="3164">
        <v>382500.27524560859</v>
      </c>
      <c r="AI30" s="3164">
        <v>379140.07417751901</v>
      </c>
      <c r="AJ30" s="3164">
        <v>387507.30193689663</v>
      </c>
      <c r="AK30" s="3164">
        <v>388392.72004490881</v>
      </c>
      <c r="AL30" s="3164">
        <v>387492.25265753001</v>
      </c>
    </row>
    <row r="31" spans="1:2000" s="1427" customFormat="1" ht="18.95" customHeight="1" thickTop="1" x14ac:dyDescent="0.25">
      <c r="A31" s="1626" t="s">
        <v>173</v>
      </c>
      <c r="B31" s="3165"/>
      <c r="C31" s="3165"/>
      <c r="D31" s="3165"/>
      <c r="E31" s="3165"/>
      <c r="F31" s="3165"/>
      <c r="G31" s="3165"/>
      <c r="H31" s="3165"/>
      <c r="I31" s="3165"/>
      <c r="J31" s="3165"/>
      <c r="K31" s="3165"/>
      <c r="L31" s="3165"/>
      <c r="M31" s="3165"/>
      <c r="N31" s="3165"/>
      <c r="O31" s="3165"/>
      <c r="P31" s="3165"/>
      <c r="Q31" s="3165"/>
      <c r="R31" s="3165"/>
      <c r="S31" s="3165"/>
      <c r="T31" s="3165"/>
      <c r="U31" s="3165"/>
      <c r="V31" s="3165"/>
      <c r="W31" s="3165"/>
      <c r="X31" s="3165"/>
      <c r="Y31" s="3165"/>
      <c r="Z31" s="3165"/>
      <c r="AA31" s="3165"/>
      <c r="AB31" s="3165"/>
      <c r="AC31" s="3165"/>
      <c r="AD31" s="3165"/>
      <c r="AE31" s="3165"/>
      <c r="AF31" s="3165"/>
      <c r="AG31" s="3165"/>
      <c r="AH31" s="3165"/>
      <c r="AI31" s="3165"/>
      <c r="AJ31" s="3165"/>
      <c r="AK31" s="3165"/>
      <c r="AL31" s="3165"/>
    </row>
    <row r="32" spans="1:2000" s="631" customFormat="1" ht="18.95" customHeight="1" x14ac:dyDescent="0.25">
      <c r="A32" s="471" t="s">
        <v>5522</v>
      </c>
      <c r="B32" s="3166"/>
      <c r="C32" s="3166"/>
      <c r="D32" s="3166"/>
      <c r="E32" s="3166"/>
      <c r="F32" s="3166"/>
      <c r="G32" s="3166"/>
      <c r="H32" s="3166"/>
      <c r="I32" s="3166"/>
      <c r="J32" s="3166"/>
      <c r="K32" s="3166"/>
      <c r="L32" s="3166"/>
      <c r="M32" s="3166"/>
      <c r="N32" s="3166"/>
      <c r="O32" s="3166"/>
      <c r="P32" s="3166"/>
      <c r="Q32" s="3166"/>
      <c r="R32" s="3166"/>
      <c r="S32" s="3166"/>
      <c r="T32" s="3166"/>
      <c r="U32" s="3166"/>
      <c r="V32" s="3166"/>
      <c r="W32" s="3166"/>
      <c r="X32" s="3166"/>
      <c r="Y32" s="3166"/>
      <c r="Z32" s="3166"/>
      <c r="AA32" s="3166"/>
      <c r="AB32" s="3166"/>
      <c r="AC32" s="3166"/>
      <c r="AD32" s="3166"/>
      <c r="AE32" s="3166"/>
      <c r="AF32" s="3166"/>
      <c r="AG32" s="3166"/>
      <c r="AH32" s="3166"/>
      <c r="AI32" s="3166"/>
      <c r="AJ32" s="3166"/>
      <c r="AK32" s="3166"/>
      <c r="AL32" s="3166"/>
    </row>
    <row r="33" spans="1:38" s="631" customFormat="1" ht="18.95" customHeight="1" x14ac:dyDescent="0.25">
      <c r="A33" s="2131" t="s">
        <v>5523</v>
      </c>
      <c r="B33" s="3167"/>
      <c r="C33" s="3167"/>
      <c r="D33" s="3167"/>
      <c r="E33" s="3167"/>
      <c r="F33" s="3167"/>
      <c r="G33" s="3167"/>
      <c r="H33" s="3167"/>
      <c r="I33" s="3167"/>
      <c r="J33" s="3167"/>
      <c r="K33" s="3167"/>
      <c r="L33" s="3167"/>
      <c r="M33" s="3167"/>
      <c r="N33" s="3167"/>
      <c r="O33" s="3167"/>
      <c r="P33" s="3167"/>
      <c r="Q33" s="3167"/>
      <c r="R33" s="3167"/>
      <c r="S33" s="3167"/>
      <c r="T33" s="3167"/>
      <c r="U33" s="3167"/>
      <c r="V33" s="3167"/>
      <c r="W33" s="3167"/>
      <c r="X33" s="3167"/>
      <c r="Y33" s="3167"/>
      <c r="Z33" s="3167"/>
      <c r="AA33" s="3167"/>
      <c r="AB33" s="3167"/>
      <c r="AC33" s="3167"/>
      <c r="AD33" s="3167"/>
      <c r="AE33" s="3167"/>
      <c r="AF33" s="3167"/>
      <c r="AG33" s="3167"/>
      <c r="AH33" s="3167"/>
      <c r="AI33" s="3167"/>
      <c r="AJ33" s="3167"/>
      <c r="AK33" s="3167"/>
      <c r="AL33" s="3167"/>
    </row>
    <row r="34" spans="1:38" s="631" customFormat="1" ht="18.95" customHeight="1" x14ac:dyDescent="0.25">
      <c r="A34" s="3043" t="s">
        <v>290</v>
      </c>
      <c r="B34" s="3166"/>
      <c r="C34" s="3166"/>
      <c r="D34" s="3166"/>
      <c r="E34" s="3166"/>
      <c r="F34" s="3166"/>
      <c r="G34" s="3166"/>
      <c r="H34" s="3166"/>
      <c r="I34" s="3166"/>
      <c r="J34" s="3166"/>
      <c r="K34" s="3166"/>
      <c r="L34" s="3166"/>
      <c r="M34" s="3166"/>
      <c r="N34" s="3166"/>
      <c r="O34" s="3166"/>
      <c r="P34" s="3166"/>
      <c r="Q34" s="3166"/>
      <c r="R34" s="3166"/>
      <c r="S34" s="3166"/>
      <c r="T34" s="3166"/>
      <c r="U34" s="3166"/>
      <c r="V34" s="3166"/>
      <c r="W34" s="3166"/>
      <c r="X34" s="3166"/>
      <c r="Y34" s="3166"/>
      <c r="Z34" s="3166"/>
      <c r="AA34" s="3166"/>
      <c r="AB34" s="3166"/>
      <c r="AC34" s="3166"/>
      <c r="AD34" s="3166"/>
      <c r="AE34" s="3166"/>
      <c r="AF34" s="3166"/>
      <c r="AG34" s="3166"/>
      <c r="AH34" s="3166"/>
      <c r="AI34" s="3166"/>
      <c r="AJ34" s="3166"/>
      <c r="AK34" s="3166"/>
      <c r="AL34" s="3166"/>
    </row>
    <row r="35" spans="1:38" ht="16.7" customHeight="1" x14ac:dyDescent="0.35">
      <c r="A35" s="2878"/>
    </row>
    <row r="37" spans="1:38" x14ac:dyDescent="0.35">
      <c r="B37" s="3077"/>
      <c r="C37" s="3077"/>
      <c r="D37" s="3077"/>
      <c r="E37" s="3077"/>
      <c r="F37" s="3077"/>
      <c r="G37" s="3077"/>
      <c r="H37" s="3077"/>
      <c r="I37" s="3077"/>
      <c r="J37" s="3077"/>
      <c r="K37" s="3077"/>
      <c r="L37" s="3077"/>
      <c r="M37" s="3077"/>
      <c r="N37" s="3077"/>
      <c r="O37" s="3077"/>
      <c r="P37" s="3077"/>
      <c r="Q37" s="3077"/>
      <c r="R37" s="3077"/>
      <c r="S37" s="3077"/>
      <c r="T37" s="3077"/>
      <c r="U37" s="3077"/>
      <c r="V37" s="3077"/>
      <c r="W37" s="3077"/>
      <c r="X37" s="3077"/>
      <c r="Y37" s="3077"/>
      <c r="Z37" s="3077"/>
      <c r="AA37" s="3077"/>
      <c r="AB37" s="3077"/>
      <c r="AC37" s="3077"/>
      <c r="AD37" s="3077"/>
      <c r="AE37" s="3077"/>
      <c r="AF37" s="3077"/>
      <c r="AG37" s="3077"/>
      <c r="AH37" s="3077"/>
      <c r="AI37" s="3077"/>
      <c r="AJ37" s="3077"/>
      <c r="AK37" s="3077"/>
      <c r="AL37" s="3077"/>
    </row>
    <row r="38" spans="1:38" x14ac:dyDescent="0.35">
      <c r="B38" s="3077"/>
      <c r="C38" s="3077"/>
      <c r="D38" s="3077"/>
      <c r="E38" s="3077"/>
      <c r="F38" s="3077"/>
      <c r="G38" s="3077"/>
      <c r="H38" s="3077"/>
      <c r="I38" s="3077"/>
      <c r="J38" s="3077"/>
      <c r="K38" s="3077"/>
      <c r="L38" s="3077"/>
      <c r="M38" s="3077"/>
      <c r="N38" s="3077"/>
      <c r="O38" s="3077"/>
      <c r="P38" s="3077"/>
      <c r="Q38" s="3077"/>
      <c r="R38" s="3077"/>
      <c r="S38" s="3077"/>
      <c r="T38" s="3077"/>
      <c r="U38" s="3077"/>
      <c r="V38" s="3077"/>
      <c r="W38" s="3077"/>
      <c r="X38" s="3077"/>
      <c r="Y38" s="3077"/>
      <c r="Z38" s="3077"/>
      <c r="AA38" s="3077"/>
      <c r="AB38" s="3077"/>
      <c r="AC38" s="3077"/>
      <c r="AD38" s="3077"/>
      <c r="AE38" s="3077"/>
      <c r="AF38" s="3077"/>
      <c r="AG38" s="3077"/>
      <c r="AH38" s="3077"/>
      <c r="AI38" s="3077"/>
      <c r="AJ38" s="3077"/>
      <c r="AK38" s="3077"/>
      <c r="AL38" s="3077"/>
    </row>
  </sheetData>
  <pageMargins left="0.75" right="0.75" top="0.75" bottom="0.75" header="0.3" footer="0"/>
  <pageSetup paperSize="9" scale="54"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XH37"/>
  <sheetViews>
    <sheetView showGridLines="0" zoomScale="70" zoomScaleNormal="70" zoomScaleSheetLayoutView="85" workbookViewId="0">
      <pane xSplit="1" ySplit="3" topLeftCell="S19" activePane="bottomRight" state="frozen"/>
      <selection activeCell="A38" sqref="A38"/>
      <selection pane="topRight" activeCell="A38" sqref="A38"/>
      <selection pane="bottomLeft" activeCell="A38" sqref="A38"/>
      <selection pane="bottomRight" activeCell="A38" sqref="A38"/>
    </sheetView>
  </sheetViews>
  <sheetFormatPr defaultColWidth="74.28515625" defaultRowHeight="20.25" x14ac:dyDescent="0.35"/>
  <cols>
    <col min="1" max="1" width="78.7109375" style="625" customWidth="1"/>
    <col min="2" max="18" width="12.42578125" style="625" hidden="1" customWidth="1"/>
    <col min="19" max="21" width="12.42578125" style="625" customWidth="1"/>
    <col min="22" max="22" width="18.7109375" style="627" customWidth="1"/>
    <col min="23" max="23" width="10.5703125" style="627" customWidth="1"/>
    <col min="24" max="16384" width="74.28515625" style="627"/>
  </cols>
  <sheetData>
    <row r="1" spans="1:22" ht="18.75" x14ac:dyDescent="0.3">
      <c r="A1" s="3152" t="s">
        <v>5528</v>
      </c>
      <c r="B1" s="3168"/>
      <c r="C1" s="3168"/>
      <c r="D1" s="3168"/>
      <c r="E1" s="3168"/>
      <c r="F1" s="3168"/>
      <c r="G1" s="627"/>
      <c r="H1" s="627"/>
      <c r="I1" s="627"/>
      <c r="J1" s="627"/>
      <c r="K1" s="627"/>
      <c r="L1" s="627"/>
      <c r="M1" s="627"/>
      <c r="N1" s="627"/>
      <c r="O1" s="627"/>
      <c r="P1" s="627"/>
      <c r="Q1" s="627"/>
      <c r="R1" s="627"/>
      <c r="S1" s="627"/>
      <c r="T1" s="627"/>
      <c r="U1" s="627"/>
    </row>
    <row r="2" spans="1:22" ht="19.5" customHeight="1" thickBot="1" x14ac:dyDescent="0.4">
      <c r="A2" s="3153"/>
      <c r="B2" s="3154"/>
      <c r="C2" s="3154"/>
      <c r="D2" s="3154"/>
      <c r="E2" s="3154"/>
      <c r="F2" s="3154"/>
      <c r="G2" s="3155"/>
      <c r="H2" s="3155"/>
      <c r="I2" s="3155"/>
      <c r="J2" s="3155"/>
      <c r="K2" s="3155"/>
      <c r="L2" s="3155"/>
      <c r="M2" s="3155"/>
      <c r="N2" s="3155"/>
      <c r="O2" s="3155"/>
      <c r="P2" s="3155"/>
      <c r="Q2" s="3155"/>
      <c r="R2" s="3155"/>
      <c r="S2" s="3155"/>
      <c r="T2" s="3155"/>
      <c r="U2" s="3155" t="s">
        <v>2734</v>
      </c>
    </row>
    <row r="3" spans="1:22" s="3158" customFormat="1" ht="30" customHeight="1" thickTop="1" thickBot="1" x14ac:dyDescent="0.35">
      <c r="A3" s="3156"/>
      <c r="B3" s="3157">
        <v>44562</v>
      </c>
      <c r="C3" s="3157">
        <v>44593</v>
      </c>
      <c r="D3" s="3157">
        <v>44621</v>
      </c>
      <c r="E3" s="3157">
        <v>44652</v>
      </c>
      <c r="F3" s="3157">
        <v>44682</v>
      </c>
      <c r="G3" s="3157">
        <v>44713</v>
      </c>
      <c r="H3" s="3157">
        <v>44743</v>
      </c>
      <c r="I3" s="3157">
        <v>44774</v>
      </c>
      <c r="J3" s="3157">
        <v>44805</v>
      </c>
      <c r="K3" s="3157">
        <v>44835</v>
      </c>
      <c r="L3" s="3157">
        <v>44866</v>
      </c>
      <c r="M3" s="3157">
        <v>44896</v>
      </c>
      <c r="N3" s="3157">
        <v>44927</v>
      </c>
      <c r="O3" s="3157">
        <v>44958</v>
      </c>
      <c r="P3" s="3157">
        <v>44986</v>
      </c>
      <c r="Q3" s="3157">
        <v>45017</v>
      </c>
      <c r="R3" s="3157">
        <v>45047</v>
      </c>
      <c r="S3" s="3157">
        <v>45078</v>
      </c>
      <c r="T3" s="3157">
        <v>45108</v>
      </c>
      <c r="U3" s="3157">
        <v>45139</v>
      </c>
    </row>
    <row r="4" spans="1:22" ht="21" customHeight="1" thickTop="1" x14ac:dyDescent="0.3">
      <c r="A4" s="2829" t="s">
        <v>2737</v>
      </c>
      <c r="B4" s="2830">
        <v>172385.18711094302</v>
      </c>
      <c r="C4" s="2830">
        <v>173361.29863679523</v>
      </c>
      <c r="D4" s="2830">
        <v>171605.4716528749</v>
      </c>
      <c r="E4" s="2830">
        <v>170637.8911132646</v>
      </c>
      <c r="F4" s="2830">
        <v>172228.73128124452</v>
      </c>
      <c r="G4" s="2830">
        <v>174663.39632401901</v>
      </c>
      <c r="H4" s="2830">
        <v>171380.32278027834</v>
      </c>
      <c r="I4" s="2830">
        <v>173076.84491528064</v>
      </c>
      <c r="J4" s="2830">
        <v>173160.29019604428</v>
      </c>
      <c r="K4" s="2830">
        <v>173277.53202339084</v>
      </c>
      <c r="L4" s="2830">
        <v>177223.94016639341</v>
      </c>
      <c r="M4" s="2830">
        <v>179448.72127797056</v>
      </c>
      <c r="N4" s="2830">
        <v>182071.79270767493</v>
      </c>
      <c r="O4" s="2830">
        <v>179527.12861349771</v>
      </c>
      <c r="P4" s="2830">
        <v>177538.82624291946</v>
      </c>
      <c r="Q4" s="2830">
        <v>177716.81603467523</v>
      </c>
      <c r="R4" s="2830">
        <v>176244.20539386437</v>
      </c>
      <c r="S4" s="2830">
        <v>180674.50644060486</v>
      </c>
      <c r="T4" s="2830">
        <v>179495.54222491695</v>
      </c>
      <c r="U4" s="2830">
        <v>178302.15156186669</v>
      </c>
    </row>
    <row r="5" spans="1:22" ht="21" customHeight="1" x14ac:dyDescent="0.3">
      <c r="A5" s="2832" t="s">
        <v>2738</v>
      </c>
      <c r="B5" s="2833">
        <v>10275.414789878098</v>
      </c>
      <c r="C5" s="2833">
        <v>10177.807268864219</v>
      </c>
      <c r="D5" s="2833">
        <v>10128.460886346</v>
      </c>
      <c r="E5" s="2833">
        <v>11726.684196212536</v>
      </c>
      <c r="F5" s="2833">
        <v>11295.502186997412</v>
      </c>
      <c r="G5" s="2833">
        <v>11593.206979783461</v>
      </c>
      <c r="H5" s="2833">
        <v>11496.28884896071</v>
      </c>
      <c r="I5" s="2833">
        <v>14137.16687386151</v>
      </c>
      <c r="J5" s="2833">
        <v>12909.662645080409</v>
      </c>
      <c r="K5" s="2833">
        <v>12505.598001190727</v>
      </c>
      <c r="L5" s="2833">
        <v>12914.942128481624</v>
      </c>
      <c r="M5" s="2833">
        <v>13342.609818615909</v>
      </c>
      <c r="N5" s="2833">
        <v>13415.640009576617</v>
      </c>
      <c r="O5" s="2833">
        <v>12621.281632105956</v>
      </c>
      <c r="P5" s="2833">
        <v>12393.229745195553</v>
      </c>
      <c r="Q5" s="2833">
        <v>11739.605913195359</v>
      </c>
      <c r="R5" s="2833">
        <v>12059.994655202307</v>
      </c>
      <c r="S5" s="2833">
        <v>12132.921416121262</v>
      </c>
      <c r="T5" s="2833">
        <v>12017.406004908458</v>
      </c>
      <c r="U5" s="2833">
        <v>12425.70224816627</v>
      </c>
    </row>
    <row r="6" spans="1:22" s="2703" customFormat="1" ht="21" customHeight="1" x14ac:dyDescent="0.3">
      <c r="A6" s="2832" t="s">
        <v>2744</v>
      </c>
      <c r="B6" s="2833">
        <v>2.3084833199999997</v>
      </c>
      <c r="C6" s="2833">
        <v>2.34566819</v>
      </c>
      <c r="D6" s="2833">
        <v>2.3627327200000003</v>
      </c>
      <c r="E6" s="2833">
        <v>2.3795996600000002</v>
      </c>
      <c r="F6" s="2833">
        <v>7.9563901799999996</v>
      </c>
      <c r="G6" s="2833">
        <v>7.6870969308901005</v>
      </c>
      <c r="H6" s="2833">
        <v>7.4530028799999997</v>
      </c>
      <c r="I6" s="2833">
        <v>7.3720487199999996</v>
      </c>
      <c r="J6" s="2833">
        <v>7.0593956100000002</v>
      </c>
      <c r="K6" s="2833">
        <v>7.14041134</v>
      </c>
      <c r="L6" s="2833">
        <v>7.6510734099999995</v>
      </c>
      <c r="M6" s="2833">
        <v>7.2229859099999993</v>
      </c>
      <c r="N6" s="2833">
        <v>7.2980183699999994</v>
      </c>
      <c r="O6" s="2833">
        <v>7.6684272699999996</v>
      </c>
      <c r="P6" s="2833">
        <v>43.895762481050404</v>
      </c>
      <c r="Q6" s="2833">
        <v>43.255880616426403</v>
      </c>
      <c r="R6" s="2833">
        <v>176.24862914393205</v>
      </c>
      <c r="S6" s="2833">
        <v>83.271524342538299</v>
      </c>
      <c r="T6" s="2833">
        <v>75.041084729551585</v>
      </c>
      <c r="U6" s="2833">
        <v>118.2362177102281</v>
      </c>
    </row>
    <row r="7" spans="1:22" s="2703" customFormat="1" ht="21" customHeight="1" x14ac:dyDescent="0.3">
      <c r="A7" s="2832" t="s">
        <v>2745</v>
      </c>
      <c r="B7" s="2833">
        <v>20387.80818155923</v>
      </c>
      <c r="C7" s="2833">
        <v>20111.735320749856</v>
      </c>
      <c r="D7" s="2833">
        <v>19432.680985057115</v>
      </c>
      <c r="E7" s="2833">
        <v>19590.010584287746</v>
      </c>
      <c r="F7" s="2833">
        <v>19317.522742862373</v>
      </c>
      <c r="G7" s="2833">
        <v>20901.918702460585</v>
      </c>
      <c r="H7" s="2833">
        <v>20052.286112957659</v>
      </c>
      <c r="I7" s="2833">
        <v>20296.055950919937</v>
      </c>
      <c r="J7" s="2833">
        <v>20266.312877628974</v>
      </c>
      <c r="K7" s="2833">
        <v>19827.73694610858</v>
      </c>
      <c r="L7" s="2833">
        <v>19993.208970551226</v>
      </c>
      <c r="M7" s="2833">
        <v>20777.939866720502</v>
      </c>
      <c r="N7" s="2833">
        <v>21223.270198280959</v>
      </c>
      <c r="O7" s="2833">
        <v>20600.60075084259</v>
      </c>
      <c r="P7" s="2833">
        <v>20081.657185788088</v>
      </c>
      <c r="Q7" s="2833">
        <v>20540.732415022794</v>
      </c>
      <c r="R7" s="2833">
        <v>19922.20542399387</v>
      </c>
      <c r="S7" s="2833">
        <v>20525.626895288358</v>
      </c>
      <c r="T7" s="2833">
        <v>20214.778335062503</v>
      </c>
      <c r="U7" s="2833">
        <v>19438.052480947212</v>
      </c>
    </row>
    <row r="8" spans="1:22" s="2703" customFormat="1" ht="21" customHeight="1" x14ac:dyDescent="0.3">
      <c r="A8" s="2832" t="s">
        <v>2768</v>
      </c>
      <c r="B8" s="2833">
        <v>4203.7297302200004</v>
      </c>
      <c r="C8" s="2833">
        <v>4288.5527377799999</v>
      </c>
      <c r="D8" s="2833">
        <v>4447.7039076600004</v>
      </c>
      <c r="E8" s="2833">
        <v>4418.6273845716023</v>
      </c>
      <c r="F8" s="2833">
        <v>4902.4977559159679</v>
      </c>
      <c r="G8" s="2833">
        <v>5091.9446156282511</v>
      </c>
      <c r="H8" s="2833">
        <v>4988.6415198186633</v>
      </c>
      <c r="I8" s="2833">
        <v>4603.7635012649707</v>
      </c>
      <c r="J8" s="2833">
        <v>4472.2831812957138</v>
      </c>
      <c r="K8" s="2833">
        <v>3982.0227102042704</v>
      </c>
      <c r="L8" s="2833">
        <v>4133.20086653</v>
      </c>
      <c r="M8" s="2833">
        <v>4235.4345518199998</v>
      </c>
      <c r="N8" s="2833">
        <v>4515.0481024399996</v>
      </c>
      <c r="O8" s="2833">
        <v>4180.5559683400006</v>
      </c>
      <c r="P8" s="2833">
        <v>3914.7998752200001</v>
      </c>
      <c r="Q8" s="2833">
        <v>3637.7104070300002</v>
      </c>
      <c r="R8" s="2833">
        <v>3902.2137732199999</v>
      </c>
      <c r="S8" s="2833">
        <v>3792.8544882900005</v>
      </c>
      <c r="T8" s="2833">
        <v>3990.5015201200004</v>
      </c>
      <c r="U8" s="2833">
        <v>3511.6374045400003</v>
      </c>
    </row>
    <row r="9" spans="1:22" s="2703" customFormat="1" ht="21" customHeight="1" x14ac:dyDescent="0.3">
      <c r="A9" s="2832" t="s">
        <v>2769</v>
      </c>
      <c r="B9" s="2833">
        <v>343.41395587</v>
      </c>
      <c r="C9" s="2833">
        <v>378.83226998000004</v>
      </c>
      <c r="D9" s="2833">
        <v>384.69010764000001</v>
      </c>
      <c r="E9" s="2833">
        <v>376.25059677000002</v>
      </c>
      <c r="F9" s="2833">
        <v>411.96806351000004</v>
      </c>
      <c r="G9" s="2833">
        <v>407.6806843</v>
      </c>
      <c r="H9" s="2833">
        <v>406.68744213999992</v>
      </c>
      <c r="I9" s="2833">
        <v>419.35398364000002</v>
      </c>
      <c r="J9" s="2833">
        <v>415.76811892000001</v>
      </c>
      <c r="K9" s="2833">
        <v>440.36295787999995</v>
      </c>
      <c r="L9" s="2833">
        <v>454.27459815999998</v>
      </c>
      <c r="M9" s="2833">
        <v>475.48054860000002</v>
      </c>
      <c r="N9" s="2833">
        <v>496.61037141999998</v>
      </c>
      <c r="O9" s="2833">
        <v>493.59919554000004</v>
      </c>
      <c r="P9" s="2833">
        <v>519.78202438999995</v>
      </c>
      <c r="Q9" s="2833">
        <v>519.03985060999992</v>
      </c>
      <c r="R9" s="2833">
        <v>516.64847662</v>
      </c>
      <c r="S9" s="2833">
        <v>509.38130511000003</v>
      </c>
      <c r="T9" s="2833">
        <v>512.51176994000002</v>
      </c>
      <c r="U9" s="2833">
        <v>524.85709861999999</v>
      </c>
    </row>
    <row r="10" spans="1:22" ht="21" customHeight="1" x14ac:dyDescent="0.3">
      <c r="A10" s="2832" t="s">
        <v>2770</v>
      </c>
      <c r="B10" s="2833">
        <v>17883.54584408765</v>
      </c>
      <c r="C10" s="2833">
        <v>17820.996785939486</v>
      </c>
      <c r="D10" s="2833">
        <v>17984.0683957521</v>
      </c>
      <c r="E10" s="2833">
        <v>17167.847750581077</v>
      </c>
      <c r="F10" s="2833">
        <v>18167.908691361688</v>
      </c>
      <c r="G10" s="2833">
        <v>18489.886833226879</v>
      </c>
      <c r="H10" s="2833">
        <v>17866.632030484834</v>
      </c>
      <c r="I10" s="2833">
        <v>17663.97286598276</v>
      </c>
      <c r="J10" s="2833">
        <v>18065.438787055162</v>
      </c>
      <c r="K10" s="2833">
        <v>18201.355273262485</v>
      </c>
      <c r="L10" s="2833">
        <v>17738.946184179193</v>
      </c>
      <c r="M10" s="2833">
        <v>17972.081020860271</v>
      </c>
      <c r="N10" s="2833">
        <v>19120.734964739975</v>
      </c>
      <c r="O10" s="2833">
        <v>19365.703095443048</v>
      </c>
      <c r="P10" s="2833">
        <v>19081.467857203472</v>
      </c>
      <c r="Q10" s="2833">
        <v>19426.801373569928</v>
      </c>
      <c r="R10" s="2833">
        <v>18975.740903675178</v>
      </c>
      <c r="S10" s="2833">
        <v>19008.794120275717</v>
      </c>
      <c r="T10" s="2833">
        <v>18127.424114287791</v>
      </c>
      <c r="U10" s="2833">
        <v>17810.095530601942</v>
      </c>
      <c r="V10" s="2703"/>
    </row>
    <row r="11" spans="1:22" ht="21" customHeight="1" x14ac:dyDescent="0.3">
      <c r="A11" s="2832" t="s">
        <v>2780</v>
      </c>
      <c r="B11" s="2833">
        <v>22552.639285118996</v>
      </c>
      <c r="C11" s="2833">
        <v>22881.878925018038</v>
      </c>
      <c r="D11" s="2833">
        <v>22318.626566928484</v>
      </c>
      <c r="E11" s="2833">
        <v>23322.864780633732</v>
      </c>
      <c r="F11" s="2833">
        <v>23789.603868913815</v>
      </c>
      <c r="G11" s="2833">
        <v>26483.791791102012</v>
      </c>
      <c r="H11" s="2833">
        <v>26132.137284240031</v>
      </c>
      <c r="I11" s="2833">
        <v>27496.42830750113</v>
      </c>
      <c r="J11" s="2833">
        <v>27725.782282221888</v>
      </c>
      <c r="K11" s="2833">
        <v>28405.593004915994</v>
      </c>
      <c r="L11" s="2833">
        <v>29322.134998726051</v>
      </c>
      <c r="M11" s="2833">
        <v>29213.07896846965</v>
      </c>
      <c r="N11" s="2833">
        <v>29100.62910256549</v>
      </c>
      <c r="O11" s="2833">
        <v>28851.9790563674</v>
      </c>
      <c r="P11" s="2833">
        <v>27782.034542005727</v>
      </c>
      <c r="Q11" s="2833">
        <v>28490.875610677878</v>
      </c>
      <c r="R11" s="2833">
        <v>28792.363474221613</v>
      </c>
      <c r="S11" s="2833">
        <v>30447.99833606201</v>
      </c>
      <c r="T11" s="2833">
        <v>29711.042438857265</v>
      </c>
      <c r="U11" s="2833">
        <v>29551.059054315854</v>
      </c>
    </row>
    <row r="12" spans="1:22" ht="21" customHeight="1" x14ac:dyDescent="0.3">
      <c r="A12" s="2832" t="s">
        <v>2784</v>
      </c>
      <c r="B12" s="2833">
        <v>5181.4991237471422</v>
      </c>
      <c r="C12" s="2833">
        <v>5189.3904112610107</v>
      </c>
      <c r="D12" s="2833">
        <v>5164.7138583484057</v>
      </c>
      <c r="E12" s="2833">
        <v>5090.4702281175814</v>
      </c>
      <c r="F12" s="2833">
        <v>5054.9131840214332</v>
      </c>
      <c r="G12" s="2833">
        <v>5068.0656350342651</v>
      </c>
      <c r="H12" s="2833">
        <v>5018.511484401417</v>
      </c>
      <c r="I12" s="2833">
        <v>4966.8827216913405</v>
      </c>
      <c r="J12" s="2833">
        <v>5565.1376908936127</v>
      </c>
      <c r="K12" s="2833">
        <v>5580.7065469588679</v>
      </c>
      <c r="L12" s="2833">
        <v>5120.7355556363773</v>
      </c>
      <c r="M12" s="2833">
        <v>5207.1205102795029</v>
      </c>
      <c r="N12" s="2833">
        <v>5067.1079964136316</v>
      </c>
      <c r="O12" s="2833">
        <v>5145.8258841533807</v>
      </c>
      <c r="P12" s="2833">
        <v>5116.0776725265159</v>
      </c>
      <c r="Q12" s="2833">
        <v>5178.466298037888</v>
      </c>
      <c r="R12" s="2833">
        <v>5119.4761118739525</v>
      </c>
      <c r="S12" s="2833">
        <v>5114.4745619200712</v>
      </c>
      <c r="T12" s="2833">
        <v>5211.4412371869239</v>
      </c>
      <c r="U12" s="2833">
        <v>5139.171048487291</v>
      </c>
    </row>
    <row r="13" spans="1:22" ht="21" customHeight="1" x14ac:dyDescent="0.3">
      <c r="A13" s="2832" t="s">
        <v>2790</v>
      </c>
      <c r="B13" s="2833">
        <v>54268.10689009435</v>
      </c>
      <c r="C13" s="2833">
        <v>54658.035217946795</v>
      </c>
      <c r="D13" s="2833">
        <v>53773.465289975706</v>
      </c>
      <c r="E13" s="2833">
        <v>51048.964145897873</v>
      </c>
      <c r="F13" s="2833">
        <v>51725.631469814449</v>
      </c>
      <c r="G13" s="2833">
        <v>52018.96798228124</v>
      </c>
      <c r="H13" s="2833">
        <v>50932.282547085313</v>
      </c>
      <c r="I13" s="2833">
        <v>49448.701325664042</v>
      </c>
      <c r="J13" s="2833">
        <v>48852.893937405934</v>
      </c>
      <c r="K13" s="2833">
        <v>49129.5572660627</v>
      </c>
      <c r="L13" s="2833">
        <v>50344.218870355551</v>
      </c>
      <c r="M13" s="2833">
        <v>49881.05744102782</v>
      </c>
      <c r="N13" s="2833">
        <v>50985.587010542942</v>
      </c>
      <c r="O13" s="2833">
        <v>50095.84641118248</v>
      </c>
      <c r="P13" s="2833">
        <v>50629.784952864939</v>
      </c>
      <c r="Q13" s="2833">
        <v>49962.890497245811</v>
      </c>
      <c r="R13" s="2833">
        <v>48751.079137944354</v>
      </c>
      <c r="S13" s="2833">
        <v>49055.567854972156</v>
      </c>
      <c r="T13" s="2833">
        <v>49764.164042412754</v>
      </c>
      <c r="U13" s="2833">
        <v>49282.535758217375</v>
      </c>
    </row>
    <row r="14" spans="1:22" ht="21" customHeight="1" x14ac:dyDescent="0.3">
      <c r="A14" s="2832" t="s">
        <v>2801</v>
      </c>
      <c r="B14" s="2833">
        <v>2426.3753282059474</v>
      </c>
      <c r="C14" s="2833">
        <v>2407.7322983608997</v>
      </c>
      <c r="D14" s="2833">
        <v>2542.7418862381014</v>
      </c>
      <c r="E14" s="2833">
        <v>2613.1551935501698</v>
      </c>
      <c r="F14" s="2833">
        <v>2857.46611571722</v>
      </c>
      <c r="G14" s="2833">
        <v>2768.6662473293736</v>
      </c>
      <c r="H14" s="2833">
        <v>2506.9488916494306</v>
      </c>
      <c r="I14" s="2833">
        <v>2443.6664502017525</v>
      </c>
      <c r="J14" s="2833">
        <v>2488.6106816288561</v>
      </c>
      <c r="K14" s="2833">
        <v>2548.7785293219204</v>
      </c>
      <c r="L14" s="2833">
        <v>2810.8260660786718</v>
      </c>
      <c r="M14" s="2833">
        <v>2775.4830540679523</v>
      </c>
      <c r="N14" s="2833">
        <v>2817.0561539475884</v>
      </c>
      <c r="O14" s="2833">
        <v>2807.3115294307713</v>
      </c>
      <c r="P14" s="2833">
        <v>2758.4248614383528</v>
      </c>
      <c r="Q14" s="2833">
        <v>2818.5407630060881</v>
      </c>
      <c r="R14" s="2833">
        <v>2812.7868203646881</v>
      </c>
      <c r="S14" s="2833">
        <v>3089.9241828438621</v>
      </c>
      <c r="T14" s="2833">
        <v>3314.961275978615</v>
      </c>
      <c r="U14" s="2833">
        <v>3631.5069441598444</v>
      </c>
    </row>
    <row r="15" spans="1:22" ht="21" customHeight="1" x14ac:dyDescent="0.3">
      <c r="A15" s="2832" t="s">
        <v>2808</v>
      </c>
      <c r="B15" s="2833">
        <v>23851.168825007018</v>
      </c>
      <c r="C15" s="2833">
        <v>24082.449502605326</v>
      </c>
      <c r="D15" s="2833">
        <v>24272.944623217267</v>
      </c>
      <c r="E15" s="2833">
        <v>24373.155881233961</v>
      </c>
      <c r="F15" s="2833">
        <v>23973.419467710981</v>
      </c>
      <c r="G15" s="2833">
        <v>20799.296247320435</v>
      </c>
      <c r="H15" s="2833">
        <v>20624.44102176858</v>
      </c>
      <c r="I15" s="2833">
        <v>20298.397247734596</v>
      </c>
      <c r="J15" s="2833">
        <v>20686.340825383413</v>
      </c>
      <c r="K15" s="2833">
        <v>20954.244309132107</v>
      </c>
      <c r="L15" s="2833">
        <v>22394.892955491985</v>
      </c>
      <c r="M15" s="2833">
        <v>23132.804900224113</v>
      </c>
      <c r="N15" s="2833">
        <v>22822.285734753157</v>
      </c>
      <c r="O15" s="2833">
        <v>22861.683908098614</v>
      </c>
      <c r="P15" s="2833">
        <v>22505.724891836951</v>
      </c>
      <c r="Q15" s="2833">
        <v>22515.212419806925</v>
      </c>
      <c r="R15" s="2833">
        <v>22383.076074203509</v>
      </c>
      <c r="S15" s="2833">
        <v>23675.317279807612</v>
      </c>
      <c r="T15" s="2833">
        <v>23329.268408142583</v>
      </c>
      <c r="U15" s="2833">
        <v>23431.974380829546</v>
      </c>
    </row>
    <row r="16" spans="1:22" ht="21" customHeight="1" x14ac:dyDescent="0.3">
      <c r="A16" s="2832" t="s">
        <v>2809</v>
      </c>
      <c r="B16" s="2833">
        <v>3113.1644973651892</v>
      </c>
      <c r="C16" s="2833">
        <v>3165.871793778861</v>
      </c>
      <c r="D16" s="2833">
        <v>3489.7507761260476</v>
      </c>
      <c r="E16" s="2833">
        <v>3443.8614938835062</v>
      </c>
      <c r="F16" s="2833">
        <v>3472.3383813355986</v>
      </c>
      <c r="G16" s="2833">
        <v>3615.2826960912153</v>
      </c>
      <c r="H16" s="2833">
        <v>3986.8002426656853</v>
      </c>
      <c r="I16" s="2833">
        <v>3926.8430704610701</v>
      </c>
      <c r="J16" s="2833">
        <v>4242.2671370310545</v>
      </c>
      <c r="K16" s="2833">
        <v>4188.4060624478243</v>
      </c>
      <c r="L16" s="2833">
        <v>4448.3735230142038</v>
      </c>
      <c r="M16" s="2833">
        <v>4702.6557139726292</v>
      </c>
      <c r="N16" s="2833">
        <v>4596.7164138782746</v>
      </c>
      <c r="O16" s="2833">
        <v>4734.2987972412348</v>
      </c>
      <c r="P16" s="2833">
        <v>4723.6954357363302</v>
      </c>
      <c r="Q16" s="2833">
        <v>4723.6467678857753</v>
      </c>
      <c r="R16" s="2833">
        <v>4710.5937481665806</v>
      </c>
      <c r="S16" s="2833">
        <v>5018.1708762979497</v>
      </c>
      <c r="T16" s="2833">
        <v>4744.1571618721719</v>
      </c>
      <c r="U16" s="2833">
        <v>4882.7275427880249</v>
      </c>
    </row>
    <row r="17" spans="1:1984" ht="21" customHeight="1" x14ac:dyDescent="0.3">
      <c r="A17" s="2832" t="s">
        <v>2816</v>
      </c>
      <c r="B17" s="2833">
        <v>2803.3869715768897</v>
      </c>
      <c r="C17" s="2833">
        <v>2763.0225957714106</v>
      </c>
      <c r="D17" s="2833">
        <v>3132.4018719557166</v>
      </c>
      <c r="E17" s="2833">
        <v>2792.5761816193753</v>
      </c>
      <c r="F17" s="2833">
        <v>2807.6006497441449</v>
      </c>
      <c r="G17" s="2833">
        <v>2828.594800857401</v>
      </c>
      <c r="H17" s="2833">
        <v>2831.6707240231644</v>
      </c>
      <c r="I17" s="2833">
        <v>2846.4761569120665</v>
      </c>
      <c r="J17" s="2833">
        <v>2957.8097011697405</v>
      </c>
      <c r="K17" s="2833">
        <v>2976.090228882334</v>
      </c>
      <c r="L17" s="2833">
        <v>2882.4244260157102</v>
      </c>
      <c r="M17" s="2833">
        <v>2940.8541068514751</v>
      </c>
      <c r="N17" s="2833">
        <v>3074.8519721655721</v>
      </c>
      <c r="O17" s="2833">
        <v>2948.4359352745619</v>
      </c>
      <c r="P17" s="2833">
        <v>3036.2610113051778</v>
      </c>
      <c r="Q17" s="2833">
        <v>3158.5260391789643</v>
      </c>
      <c r="R17" s="2833">
        <v>3112.1707247243698</v>
      </c>
      <c r="S17" s="2833">
        <v>3123.9238670896257</v>
      </c>
      <c r="T17" s="2833">
        <v>3392.1364292294174</v>
      </c>
      <c r="U17" s="2833">
        <v>3421.5234599450559</v>
      </c>
    </row>
    <row r="18" spans="1:1984" ht="21" customHeight="1" x14ac:dyDescent="0.3">
      <c r="A18" s="2832" t="s">
        <v>2823</v>
      </c>
      <c r="B18" s="2833">
        <v>1060.0941993099998</v>
      </c>
      <c r="C18" s="2833">
        <v>1051.1535857399999</v>
      </c>
      <c r="D18" s="2833">
        <v>1052.11240436</v>
      </c>
      <c r="E18" s="2833">
        <v>1033.26421605</v>
      </c>
      <c r="F18" s="2833">
        <v>1030.2847029900001</v>
      </c>
      <c r="G18" s="2833">
        <v>1039.1003280599998</v>
      </c>
      <c r="H18" s="2833">
        <v>978.34298529000012</v>
      </c>
      <c r="I18" s="2833">
        <v>960.22408524000002</v>
      </c>
      <c r="J18" s="2833">
        <v>976.92744232999996</v>
      </c>
      <c r="K18" s="2833">
        <v>962.16155021999998</v>
      </c>
      <c r="L18" s="2833">
        <v>965.75971014000015</v>
      </c>
      <c r="M18" s="2833">
        <v>980.24430419999987</v>
      </c>
      <c r="N18" s="2833">
        <v>949.56444390000001</v>
      </c>
      <c r="O18" s="2833">
        <v>940.17357747999995</v>
      </c>
      <c r="P18" s="2833">
        <v>926.39331978999974</v>
      </c>
      <c r="Q18" s="2833">
        <v>918.43915903999982</v>
      </c>
      <c r="R18" s="2833">
        <v>924.64970316999995</v>
      </c>
      <c r="S18" s="2833">
        <v>916.67663733000006</v>
      </c>
      <c r="T18" s="2833">
        <v>917.05868586000008</v>
      </c>
      <c r="U18" s="2833">
        <v>952.0192141900003</v>
      </c>
    </row>
    <row r="19" spans="1:1984" ht="21" customHeight="1" x14ac:dyDescent="0.3">
      <c r="A19" s="2832" t="s">
        <v>2829</v>
      </c>
      <c r="B19" s="2833">
        <v>1755.4475209300001</v>
      </c>
      <c r="C19" s="2833">
        <v>1936.3333163099999</v>
      </c>
      <c r="D19" s="2833">
        <v>1333.307565509999</v>
      </c>
      <c r="E19" s="2833">
        <v>1446.2655559154803</v>
      </c>
      <c r="F19" s="2833">
        <v>1436.1096853994231</v>
      </c>
      <c r="G19" s="2833">
        <v>1418.6033234172564</v>
      </c>
      <c r="H19" s="2833">
        <v>1495.309039142352</v>
      </c>
      <c r="I19" s="2833">
        <v>1443.7917580999988</v>
      </c>
      <c r="J19" s="2833">
        <v>1461.7060392099988</v>
      </c>
      <c r="K19" s="2833">
        <v>1510.3474652599994</v>
      </c>
      <c r="L19" s="2833">
        <v>1543.9231823299988</v>
      </c>
      <c r="M19" s="2833">
        <v>1529.4683904799992</v>
      </c>
      <c r="N19" s="2833">
        <v>1541.5384237999988</v>
      </c>
      <c r="O19" s="2833">
        <v>1534.6451865199988</v>
      </c>
      <c r="P19" s="2833">
        <v>1567.435297219999</v>
      </c>
      <c r="Q19" s="2833">
        <v>1634.005340369999</v>
      </c>
      <c r="R19" s="2833">
        <v>1656.2553402899989</v>
      </c>
      <c r="S19" s="2833">
        <v>1692.4862944499989</v>
      </c>
      <c r="T19" s="2833">
        <v>1737.8479959999991</v>
      </c>
      <c r="U19" s="2833">
        <v>1744.2175971699992</v>
      </c>
    </row>
    <row r="20" spans="1:1984" ht="21" customHeight="1" x14ac:dyDescent="0.3">
      <c r="A20" s="2832" t="s">
        <v>2832</v>
      </c>
      <c r="B20" s="2833">
        <v>1399.202429849998</v>
      </c>
      <c r="C20" s="2833">
        <v>1354.8139119599998</v>
      </c>
      <c r="D20" s="2833">
        <v>1292.8132083300002</v>
      </c>
      <c r="E20" s="2833">
        <v>1309.36396902</v>
      </c>
      <c r="F20" s="2833">
        <v>1337.2607924200001</v>
      </c>
      <c r="G20" s="2833">
        <v>1374.73716274</v>
      </c>
      <c r="H20" s="2833">
        <v>1391.4651532</v>
      </c>
      <c r="I20" s="2833">
        <v>1446.0661094100001</v>
      </c>
      <c r="J20" s="2833">
        <v>1426.1572176500001</v>
      </c>
      <c r="K20" s="2833">
        <v>1423.97411186</v>
      </c>
      <c r="L20" s="2833">
        <v>1514.4311788</v>
      </c>
      <c r="M20" s="2833">
        <v>1580.62639661</v>
      </c>
      <c r="N20" s="2833">
        <v>1635.8912271899999</v>
      </c>
      <c r="O20" s="2833">
        <v>1653.39680645</v>
      </c>
      <c r="P20" s="2833">
        <v>1707.4535288300001</v>
      </c>
      <c r="Q20" s="2833">
        <v>1780.3538016000005</v>
      </c>
      <c r="R20" s="2833">
        <v>1792.9765932199998</v>
      </c>
      <c r="S20" s="2833">
        <v>1825.3400804400001</v>
      </c>
      <c r="T20" s="2833">
        <v>1805.7374577999999</v>
      </c>
      <c r="U20" s="2833">
        <v>1816.7958300799999</v>
      </c>
    </row>
    <row r="21" spans="1:1984" ht="21" customHeight="1" thickBot="1" x14ac:dyDescent="0.35">
      <c r="A21" s="2832" t="s">
        <v>2837</v>
      </c>
      <c r="B21" s="2833">
        <v>877.88105480257786</v>
      </c>
      <c r="C21" s="2833">
        <v>1090.3470265393128</v>
      </c>
      <c r="D21" s="2833">
        <v>852.62658671000725</v>
      </c>
      <c r="E21" s="2833">
        <v>882.14935525999829</v>
      </c>
      <c r="F21" s="2833">
        <v>640.74713234999399</v>
      </c>
      <c r="G21" s="2833">
        <v>755.96519745574926</v>
      </c>
      <c r="H21" s="2833">
        <v>664.42444957050964</v>
      </c>
      <c r="I21" s="2833">
        <v>671.68245797549628</v>
      </c>
      <c r="J21" s="2833">
        <v>640.13223552953571</v>
      </c>
      <c r="K21" s="2833">
        <v>633.45664834303966</v>
      </c>
      <c r="L21" s="2833">
        <v>633.99587849281079</v>
      </c>
      <c r="M21" s="2833">
        <v>694.55869926073126</v>
      </c>
      <c r="N21" s="2833">
        <v>701.962563690759</v>
      </c>
      <c r="O21" s="2833">
        <v>684.12245175770181</v>
      </c>
      <c r="P21" s="2833">
        <v>750.70827908727085</v>
      </c>
      <c r="Q21" s="2833">
        <v>628.71349778138858</v>
      </c>
      <c r="R21" s="2833">
        <v>635.72580383002912</v>
      </c>
      <c r="S21" s="2833">
        <v>661.77671996366587</v>
      </c>
      <c r="T21" s="2833">
        <v>630.06426252892629</v>
      </c>
      <c r="U21" s="2833">
        <v>620.03975109807391</v>
      </c>
    </row>
    <row r="22" spans="1:1984" ht="21" customHeight="1" x14ac:dyDescent="0.3">
      <c r="A22" s="2851" t="s">
        <v>2841</v>
      </c>
      <c r="B22" s="3159">
        <v>176026.07282887364</v>
      </c>
      <c r="C22" s="3159">
        <v>177608.44307893363</v>
      </c>
      <c r="D22" s="3159">
        <v>178163.58138128329</v>
      </c>
      <c r="E22" s="3159">
        <v>180187.24899310409</v>
      </c>
      <c r="F22" s="3159">
        <v>182259.18036439744</v>
      </c>
      <c r="G22" s="3159">
        <v>184652.11048620619</v>
      </c>
      <c r="H22" s="3159">
        <v>187184.75676917654</v>
      </c>
      <c r="I22" s="3159">
        <v>188639.23778147023</v>
      </c>
      <c r="J22" s="3159">
        <v>190739.07937179873</v>
      </c>
      <c r="K22" s="3159">
        <v>192419.67312879273</v>
      </c>
      <c r="L22" s="3159">
        <v>194587.36312801304</v>
      </c>
      <c r="M22" s="3159">
        <v>195752.24258101225</v>
      </c>
      <c r="N22" s="3159">
        <v>196312.49871966604</v>
      </c>
      <c r="O22" s="3159">
        <v>197664.32329915315</v>
      </c>
      <c r="P22" s="3159">
        <v>199676.35949255279</v>
      </c>
      <c r="Q22" s="3159">
        <v>200932.19504925158</v>
      </c>
      <c r="R22" s="3159">
        <v>202472.65766296591</v>
      </c>
      <c r="S22" s="3159">
        <v>204281.40520370301</v>
      </c>
      <c r="T22" s="3159">
        <v>206548.39608763228</v>
      </c>
      <c r="U22" s="3159">
        <v>208202.44771269313</v>
      </c>
    </row>
    <row r="23" spans="1:1984" ht="21" customHeight="1" x14ac:dyDescent="0.3">
      <c r="A23" s="2836" t="s">
        <v>2842</v>
      </c>
      <c r="B23" s="3160">
        <v>102751.89456358968</v>
      </c>
      <c r="C23" s="3160">
        <v>103176.67858203179</v>
      </c>
      <c r="D23" s="3160">
        <v>104296.72887581722</v>
      </c>
      <c r="E23" s="3160">
        <v>105193.27151145836</v>
      </c>
      <c r="F23" s="3160">
        <v>106690.08435431388</v>
      </c>
      <c r="G23" s="3160">
        <v>108003.02115730534</v>
      </c>
      <c r="H23" s="3160">
        <v>112721.11176174316</v>
      </c>
      <c r="I23" s="3160">
        <v>113907.70356161799</v>
      </c>
      <c r="J23" s="3160">
        <v>115501.65769867701</v>
      </c>
      <c r="K23" s="3160">
        <v>117212.95760808456</v>
      </c>
      <c r="L23" s="3160">
        <v>118778.8009374259</v>
      </c>
      <c r="M23" s="3160">
        <v>119799.86417286252</v>
      </c>
      <c r="N23" s="3160">
        <v>120589.0386829456</v>
      </c>
      <c r="O23" s="3160">
        <v>121363.46057095555</v>
      </c>
      <c r="P23" s="3160">
        <v>122236.44705781923</v>
      </c>
      <c r="Q23" s="3160">
        <v>123121.88247140711</v>
      </c>
      <c r="R23" s="3160">
        <v>123914.36661463566</v>
      </c>
      <c r="S23" s="3160">
        <v>125085.54167146595</v>
      </c>
      <c r="T23" s="3160">
        <v>126407.61846662981</v>
      </c>
      <c r="U23" s="3160">
        <v>127480.3848978626</v>
      </c>
    </row>
    <row r="24" spans="1:1984" s="3135" customFormat="1" ht="21" customHeight="1" x14ac:dyDescent="0.3">
      <c r="A24" s="2829" t="s">
        <v>4518</v>
      </c>
      <c r="B24" s="3161">
        <v>36009.738639344439</v>
      </c>
      <c r="C24" s="3161">
        <v>37023.886907829205</v>
      </c>
      <c r="D24" s="3161">
        <v>36427.823229861257</v>
      </c>
      <c r="E24" s="3161">
        <v>36950.530537604609</v>
      </c>
      <c r="F24" s="3161">
        <v>36935.254429266031</v>
      </c>
      <c r="G24" s="3161">
        <v>36674.376033996901</v>
      </c>
      <c r="H24" s="3161">
        <v>37174.151647149316</v>
      </c>
      <c r="I24" s="3161">
        <v>40618.120405697526</v>
      </c>
      <c r="J24" s="3161">
        <v>42324.479201925249</v>
      </c>
      <c r="K24" s="3161">
        <v>43211.823000392062</v>
      </c>
      <c r="L24" s="3161">
        <v>44133.963722238273</v>
      </c>
      <c r="M24" s="3161">
        <v>47114.067494329604</v>
      </c>
      <c r="N24" s="3161">
        <v>49502.900896763815</v>
      </c>
      <c r="O24" s="3161">
        <v>49240.22417881478</v>
      </c>
      <c r="P24" s="3161">
        <v>46889.593406436856</v>
      </c>
      <c r="Q24" s="3161">
        <v>45134.610035772384</v>
      </c>
      <c r="R24" s="3161">
        <v>45500.321429967677</v>
      </c>
      <c r="S24" s="3161">
        <v>45849.645229812966</v>
      </c>
      <c r="T24" s="3161">
        <v>46464.20144676882</v>
      </c>
      <c r="U24" s="3161">
        <v>48599.253650148668</v>
      </c>
      <c r="V24" s="627"/>
      <c r="W24" s="627"/>
      <c r="X24" s="627"/>
      <c r="Y24" s="627"/>
      <c r="Z24" s="627"/>
      <c r="AA24" s="627"/>
      <c r="AB24" s="627"/>
      <c r="AC24" s="627"/>
      <c r="AD24" s="627"/>
      <c r="AE24" s="627"/>
      <c r="AF24" s="627"/>
      <c r="AG24" s="627"/>
      <c r="AH24" s="627"/>
      <c r="AI24" s="627"/>
      <c r="AJ24" s="627"/>
      <c r="AK24" s="627"/>
      <c r="AL24" s="627"/>
      <c r="AM24" s="627"/>
      <c r="AN24" s="627"/>
      <c r="AO24" s="627"/>
      <c r="AP24" s="627"/>
      <c r="AQ24" s="627"/>
      <c r="AR24" s="627"/>
      <c r="AS24" s="627"/>
      <c r="AT24" s="627"/>
      <c r="AU24" s="627"/>
      <c r="AV24" s="627"/>
      <c r="AW24" s="627"/>
      <c r="AX24" s="627"/>
      <c r="AY24" s="627"/>
      <c r="AZ24" s="627"/>
      <c r="BA24" s="627"/>
      <c r="BB24" s="627"/>
      <c r="BC24" s="627"/>
      <c r="BD24" s="627"/>
      <c r="BE24" s="627"/>
      <c r="BF24" s="627"/>
      <c r="BG24" s="627"/>
      <c r="BH24" s="627"/>
      <c r="BI24" s="627"/>
      <c r="BJ24" s="627"/>
      <c r="BK24" s="627"/>
      <c r="BL24" s="627"/>
      <c r="BM24" s="627"/>
      <c r="BN24" s="627"/>
      <c r="BO24" s="627"/>
      <c r="BP24" s="627"/>
      <c r="BQ24" s="627"/>
      <c r="BR24" s="627"/>
      <c r="BS24" s="627"/>
      <c r="BT24" s="627"/>
      <c r="BU24" s="627"/>
      <c r="BV24" s="627"/>
      <c r="BW24" s="627"/>
      <c r="BX24" s="627"/>
      <c r="BY24" s="627"/>
      <c r="BZ24" s="627"/>
      <c r="CA24" s="627"/>
      <c r="CB24" s="627"/>
      <c r="CC24" s="627"/>
      <c r="CD24" s="627"/>
      <c r="CE24" s="627"/>
      <c r="CF24" s="627"/>
      <c r="CG24" s="627"/>
      <c r="CH24" s="627"/>
      <c r="CI24" s="627"/>
      <c r="CJ24" s="627"/>
      <c r="CK24" s="627"/>
      <c r="CL24" s="627"/>
      <c r="CM24" s="627"/>
      <c r="CN24" s="627"/>
      <c r="CO24" s="627"/>
      <c r="CP24" s="627"/>
      <c r="CQ24" s="627"/>
      <c r="CR24" s="627"/>
      <c r="CS24" s="627"/>
      <c r="CT24" s="627"/>
      <c r="CU24" s="627"/>
      <c r="CV24" s="627"/>
      <c r="CW24" s="627"/>
      <c r="CX24" s="627"/>
      <c r="CY24" s="627"/>
      <c r="CZ24" s="627"/>
      <c r="DA24" s="627"/>
      <c r="DB24" s="627"/>
      <c r="DC24" s="627"/>
      <c r="DD24" s="627"/>
      <c r="DE24" s="627"/>
      <c r="DF24" s="627"/>
      <c r="DG24" s="627"/>
      <c r="DH24" s="627"/>
      <c r="DI24" s="627"/>
      <c r="DJ24" s="627"/>
      <c r="DK24" s="627"/>
      <c r="DL24" s="627"/>
      <c r="DM24" s="627"/>
      <c r="DN24" s="627"/>
      <c r="DO24" s="627"/>
      <c r="DP24" s="627"/>
      <c r="DQ24" s="627"/>
      <c r="DR24" s="627"/>
      <c r="DS24" s="627"/>
      <c r="DT24" s="627"/>
      <c r="DU24" s="627"/>
      <c r="DV24" s="627"/>
      <c r="DW24" s="627"/>
      <c r="DX24" s="627"/>
      <c r="DY24" s="627"/>
      <c r="DZ24" s="627"/>
      <c r="EA24" s="627"/>
      <c r="EB24" s="627"/>
      <c r="EC24" s="627"/>
      <c r="ED24" s="627"/>
      <c r="EE24" s="627"/>
      <c r="EF24" s="627"/>
      <c r="EG24" s="627"/>
      <c r="EH24" s="627"/>
      <c r="EI24" s="627"/>
      <c r="EJ24" s="627"/>
      <c r="EK24" s="627"/>
      <c r="EL24" s="627"/>
      <c r="EM24" s="627"/>
      <c r="EN24" s="627"/>
      <c r="EO24" s="627"/>
      <c r="EP24" s="627"/>
      <c r="EQ24" s="627"/>
      <c r="ER24" s="627"/>
      <c r="ES24" s="627"/>
      <c r="ET24" s="627"/>
      <c r="EU24" s="627"/>
      <c r="EV24" s="627"/>
      <c r="EW24" s="627"/>
      <c r="EX24" s="627"/>
      <c r="EY24" s="627"/>
      <c r="EZ24" s="627"/>
      <c r="FA24" s="627"/>
      <c r="FB24" s="627"/>
      <c r="FC24" s="627"/>
      <c r="FD24" s="627"/>
      <c r="FE24" s="627"/>
      <c r="FF24" s="627"/>
      <c r="FG24" s="627"/>
      <c r="FH24" s="627"/>
      <c r="FI24" s="627"/>
      <c r="FJ24" s="627"/>
      <c r="FK24" s="627"/>
      <c r="FL24" s="627"/>
      <c r="FM24" s="627"/>
      <c r="FN24" s="627"/>
      <c r="FO24" s="627"/>
      <c r="FP24" s="627"/>
      <c r="FQ24" s="627"/>
      <c r="FR24" s="627"/>
      <c r="FS24" s="627"/>
      <c r="FT24" s="627"/>
      <c r="FU24" s="627"/>
      <c r="FV24" s="627"/>
      <c r="FW24" s="627"/>
      <c r="FX24" s="627"/>
      <c r="FY24" s="627"/>
      <c r="FZ24" s="627"/>
      <c r="GA24" s="627"/>
      <c r="GB24" s="627"/>
      <c r="GC24" s="627"/>
      <c r="GD24" s="627"/>
      <c r="GE24" s="627"/>
      <c r="GF24" s="627"/>
      <c r="GG24" s="627"/>
      <c r="GH24" s="627"/>
      <c r="GI24" s="627"/>
      <c r="GJ24" s="627"/>
      <c r="GK24" s="627"/>
      <c r="GL24" s="627"/>
      <c r="GM24" s="627"/>
      <c r="GN24" s="627"/>
      <c r="GO24" s="627"/>
      <c r="GP24" s="627"/>
      <c r="GQ24" s="627"/>
      <c r="GR24" s="627"/>
      <c r="GS24" s="627"/>
      <c r="GT24" s="627"/>
      <c r="GU24" s="627"/>
      <c r="GV24" s="627"/>
      <c r="GW24" s="627"/>
      <c r="GX24" s="627"/>
      <c r="GY24" s="627"/>
      <c r="GZ24" s="627"/>
      <c r="HA24" s="627"/>
      <c r="HB24" s="627"/>
      <c r="HC24" s="627"/>
      <c r="HD24" s="627"/>
      <c r="HE24" s="627"/>
      <c r="HF24" s="627"/>
      <c r="HG24" s="627"/>
      <c r="HH24" s="627"/>
      <c r="HI24" s="627"/>
      <c r="HJ24" s="627"/>
      <c r="HK24" s="627"/>
      <c r="HL24" s="627"/>
      <c r="HM24" s="627"/>
      <c r="HN24" s="627"/>
      <c r="HO24" s="627"/>
      <c r="HP24" s="627"/>
      <c r="HQ24" s="627"/>
      <c r="HR24" s="627"/>
      <c r="HS24" s="627"/>
      <c r="HT24" s="627"/>
      <c r="HU24" s="627"/>
      <c r="HV24" s="627"/>
      <c r="HW24" s="627"/>
      <c r="HX24" s="627"/>
      <c r="HY24" s="627"/>
      <c r="HZ24" s="627"/>
      <c r="IA24" s="627"/>
      <c r="IB24" s="627"/>
      <c r="IC24" s="627"/>
      <c r="ID24" s="627"/>
      <c r="IE24" s="627"/>
      <c r="IF24" s="627"/>
      <c r="IG24" s="627"/>
      <c r="IH24" s="627"/>
      <c r="II24" s="627"/>
      <c r="IJ24" s="627"/>
      <c r="IK24" s="627"/>
      <c r="IL24" s="627"/>
      <c r="IM24" s="627"/>
      <c r="IN24" s="627"/>
      <c r="IO24" s="627"/>
      <c r="IP24" s="627"/>
      <c r="IQ24" s="627"/>
      <c r="IR24" s="627"/>
      <c r="IS24" s="627"/>
      <c r="IT24" s="627"/>
      <c r="IU24" s="627"/>
      <c r="IV24" s="627"/>
      <c r="IW24" s="627"/>
      <c r="IX24" s="627"/>
      <c r="IY24" s="627"/>
      <c r="IZ24" s="627"/>
      <c r="JA24" s="627"/>
      <c r="JB24" s="627"/>
      <c r="JC24" s="627"/>
      <c r="JD24" s="627"/>
      <c r="JE24" s="627"/>
      <c r="JF24" s="627"/>
      <c r="JG24" s="627"/>
      <c r="JH24" s="627"/>
      <c r="JI24" s="627"/>
      <c r="JJ24" s="627"/>
      <c r="JK24" s="627"/>
      <c r="JL24" s="627"/>
      <c r="JM24" s="627"/>
      <c r="JN24" s="627"/>
      <c r="JO24" s="627"/>
      <c r="JP24" s="627"/>
      <c r="JQ24" s="627"/>
      <c r="JR24" s="627"/>
      <c r="JS24" s="627"/>
      <c r="JT24" s="627"/>
      <c r="JU24" s="627"/>
      <c r="JV24" s="627"/>
      <c r="JW24" s="627"/>
      <c r="JX24" s="627"/>
      <c r="JY24" s="627"/>
      <c r="JZ24" s="627"/>
      <c r="KA24" s="627"/>
      <c r="KB24" s="627"/>
      <c r="KC24" s="627"/>
      <c r="KD24" s="627"/>
      <c r="KE24" s="627"/>
      <c r="KF24" s="627"/>
      <c r="KG24" s="627"/>
      <c r="KH24" s="627"/>
      <c r="KI24" s="627"/>
      <c r="KJ24" s="627"/>
      <c r="KK24" s="627"/>
      <c r="KL24" s="627"/>
      <c r="KM24" s="627"/>
      <c r="KN24" s="627"/>
      <c r="KO24" s="627"/>
      <c r="KP24" s="627"/>
      <c r="KQ24" s="627"/>
      <c r="KR24" s="627"/>
      <c r="KS24" s="627"/>
      <c r="KT24" s="627"/>
      <c r="KU24" s="627"/>
      <c r="KV24" s="627"/>
      <c r="KW24" s="627"/>
      <c r="KX24" s="627"/>
      <c r="KY24" s="627"/>
      <c r="KZ24" s="627"/>
      <c r="LA24" s="627"/>
      <c r="LB24" s="627"/>
      <c r="LC24" s="627"/>
      <c r="LD24" s="627"/>
      <c r="LE24" s="627"/>
      <c r="LF24" s="627"/>
      <c r="LG24" s="627"/>
      <c r="LH24" s="627"/>
      <c r="LI24" s="627"/>
      <c r="LJ24" s="627"/>
      <c r="LK24" s="627"/>
      <c r="LL24" s="627"/>
      <c r="LM24" s="627"/>
      <c r="LN24" s="627"/>
      <c r="LO24" s="627"/>
      <c r="LP24" s="627"/>
      <c r="LQ24" s="627"/>
      <c r="LR24" s="627"/>
      <c r="LS24" s="627"/>
      <c r="LT24" s="627"/>
      <c r="LU24" s="627"/>
      <c r="LV24" s="627"/>
      <c r="LW24" s="627"/>
      <c r="LX24" s="627"/>
      <c r="LY24" s="627"/>
      <c r="LZ24" s="627"/>
      <c r="MA24" s="627"/>
      <c r="MB24" s="627"/>
      <c r="MC24" s="627"/>
      <c r="MD24" s="627"/>
      <c r="ME24" s="627"/>
      <c r="MF24" s="627"/>
      <c r="MG24" s="627"/>
      <c r="MH24" s="627"/>
      <c r="MI24" s="627"/>
      <c r="MJ24" s="627"/>
      <c r="MK24" s="627"/>
      <c r="ML24" s="627"/>
      <c r="MM24" s="627"/>
      <c r="MN24" s="627"/>
      <c r="MO24" s="627"/>
      <c r="MP24" s="627"/>
      <c r="MQ24" s="627"/>
      <c r="MR24" s="627"/>
      <c r="MS24" s="627"/>
      <c r="MT24" s="627"/>
      <c r="MU24" s="627"/>
      <c r="MV24" s="627"/>
      <c r="MW24" s="627"/>
      <c r="MX24" s="627"/>
      <c r="MY24" s="627"/>
      <c r="MZ24" s="627"/>
      <c r="NA24" s="627"/>
      <c r="NB24" s="627"/>
      <c r="NC24" s="627"/>
      <c r="ND24" s="627"/>
      <c r="NE24" s="627"/>
      <c r="NF24" s="627"/>
      <c r="NG24" s="627"/>
      <c r="NH24" s="627"/>
      <c r="NI24" s="627"/>
      <c r="NJ24" s="627"/>
      <c r="NK24" s="627"/>
      <c r="NL24" s="627"/>
      <c r="NM24" s="627"/>
      <c r="NN24" s="627"/>
      <c r="NO24" s="627"/>
      <c r="NP24" s="627"/>
      <c r="NQ24" s="627"/>
      <c r="NR24" s="627"/>
      <c r="NS24" s="627"/>
      <c r="NT24" s="627"/>
      <c r="NU24" s="627"/>
      <c r="NV24" s="627"/>
      <c r="NW24" s="627"/>
      <c r="NX24" s="627"/>
      <c r="NY24" s="627"/>
      <c r="NZ24" s="627"/>
      <c r="OA24" s="627"/>
      <c r="OB24" s="627"/>
      <c r="OC24" s="627"/>
      <c r="OD24" s="627"/>
      <c r="OE24" s="627"/>
      <c r="OF24" s="627"/>
      <c r="OG24" s="627"/>
      <c r="OH24" s="627"/>
      <c r="OI24" s="627"/>
      <c r="OJ24" s="627"/>
      <c r="OK24" s="627"/>
      <c r="OL24" s="627"/>
      <c r="OM24" s="627"/>
      <c r="ON24" s="627"/>
      <c r="OO24" s="627"/>
      <c r="OP24" s="627"/>
      <c r="OQ24" s="627"/>
      <c r="OR24" s="627"/>
      <c r="OS24" s="627"/>
      <c r="OT24" s="627"/>
      <c r="OU24" s="627"/>
      <c r="OV24" s="627"/>
      <c r="OW24" s="627"/>
      <c r="OX24" s="627"/>
      <c r="OY24" s="627"/>
      <c r="OZ24" s="627"/>
      <c r="PA24" s="627"/>
      <c r="PB24" s="627"/>
      <c r="PC24" s="627"/>
      <c r="PD24" s="627"/>
      <c r="PE24" s="627"/>
      <c r="PF24" s="627"/>
      <c r="PG24" s="627"/>
      <c r="PH24" s="627"/>
      <c r="PI24" s="627"/>
      <c r="PJ24" s="627"/>
      <c r="PK24" s="627"/>
      <c r="PL24" s="627"/>
      <c r="PM24" s="627"/>
      <c r="PN24" s="627"/>
      <c r="PO24" s="627"/>
      <c r="PP24" s="627"/>
      <c r="PQ24" s="627"/>
      <c r="PR24" s="627"/>
      <c r="PS24" s="627"/>
      <c r="PT24" s="627"/>
      <c r="PU24" s="627"/>
      <c r="PV24" s="627"/>
      <c r="PW24" s="627"/>
      <c r="PX24" s="627"/>
      <c r="PY24" s="627"/>
      <c r="PZ24" s="627"/>
      <c r="QA24" s="627"/>
      <c r="QB24" s="627"/>
      <c r="QC24" s="627"/>
      <c r="QD24" s="627"/>
      <c r="QE24" s="627"/>
      <c r="QF24" s="627"/>
      <c r="QG24" s="627"/>
      <c r="QH24" s="627"/>
      <c r="QI24" s="627"/>
      <c r="QJ24" s="627"/>
      <c r="QK24" s="627"/>
      <c r="QL24" s="627"/>
      <c r="QM24" s="627"/>
      <c r="QN24" s="627"/>
      <c r="QO24" s="627"/>
      <c r="QP24" s="627"/>
      <c r="QQ24" s="627"/>
      <c r="QR24" s="627"/>
      <c r="QS24" s="627"/>
      <c r="QT24" s="627"/>
      <c r="QU24" s="627"/>
      <c r="QV24" s="627"/>
      <c r="QW24" s="627"/>
      <c r="QX24" s="627"/>
      <c r="QY24" s="627"/>
      <c r="QZ24" s="627"/>
      <c r="RA24" s="627"/>
      <c r="RB24" s="627"/>
      <c r="RC24" s="627"/>
      <c r="RD24" s="627"/>
      <c r="RE24" s="627"/>
      <c r="RF24" s="627"/>
      <c r="RG24" s="627"/>
      <c r="RH24" s="627"/>
      <c r="RI24" s="627"/>
      <c r="RJ24" s="627"/>
      <c r="RK24" s="627"/>
      <c r="RL24" s="627"/>
      <c r="RM24" s="627"/>
      <c r="RN24" s="627"/>
      <c r="RO24" s="627"/>
      <c r="RP24" s="627"/>
      <c r="RQ24" s="627"/>
      <c r="RR24" s="627"/>
      <c r="RS24" s="627"/>
      <c r="RT24" s="627"/>
      <c r="RU24" s="627"/>
      <c r="RV24" s="627"/>
      <c r="RW24" s="627"/>
      <c r="RX24" s="627"/>
      <c r="RY24" s="627"/>
      <c r="RZ24" s="627"/>
      <c r="SA24" s="627"/>
      <c r="SB24" s="627"/>
      <c r="SC24" s="627"/>
      <c r="SD24" s="627"/>
      <c r="SE24" s="627"/>
      <c r="SF24" s="627"/>
      <c r="SG24" s="627"/>
      <c r="SH24" s="627"/>
      <c r="SI24" s="627"/>
      <c r="SJ24" s="627"/>
      <c r="SK24" s="627"/>
      <c r="SL24" s="627"/>
      <c r="SM24" s="627"/>
      <c r="SN24" s="627"/>
      <c r="SO24" s="627"/>
      <c r="SP24" s="627"/>
      <c r="SQ24" s="627"/>
      <c r="SR24" s="627"/>
      <c r="SS24" s="627"/>
      <c r="ST24" s="627"/>
      <c r="SU24" s="627"/>
      <c r="SV24" s="627"/>
      <c r="SW24" s="627"/>
      <c r="SX24" s="627"/>
      <c r="SY24" s="627"/>
      <c r="SZ24" s="627"/>
      <c r="TA24" s="627"/>
      <c r="TB24" s="627"/>
      <c r="TC24" s="627"/>
      <c r="TD24" s="627"/>
      <c r="TE24" s="627"/>
      <c r="TF24" s="627"/>
      <c r="TG24" s="627"/>
      <c r="TH24" s="627"/>
      <c r="TI24" s="627"/>
      <c r="TJ24" s="627"/>
      <c r="TK24" s="627"/>
      <c r="TL24" s="627"/>
      <c r="TM24" s="627"/>
      <c r="TN24" s="627"/>
      <c r="TO24" s="627"/>
      <c r="TP24" s="627"/>
      <c r="TQ24" s="627"/>
      <c r="TR24" s="627"/>
      <c r="TS24" s="627"/>
      <c r="TT24" s="627"/>
      <c r="TU24" s="627"/>
      <c r="TV24" s="627"/>
      <c r="TW24" s="627"/>
      <c r="TX24" s="627"/>
      <c r="TY24" s="627"/>
      <c r="TZ24" s="627"/>
      <c r="UA24" s="627"/>
      <c r="UB24" s="627"/>
      <c r="UC24" s="627"/>
      <c r="UD24" s="627"/>
      <c r="UE24" s="627"/>
      <c r="UF24" s="627"/>
      <c r="UG24" s="627"/>
      <c r="UH24" s="627"/>
      <c r="UI24" s="627"/>
      <c r="UJ24" s="627"/>
      <c r="UK24" s="627"/>
      <c r="UL24" s="627"/>
      <c r="UM24" s="627"/>
      <c r="UN24" s="627"/>
      <c r="UO24" s="627"/>
      <c r="UP24" s="627"/>
      <c r="UQ24" s="627"/>
      <c r="UR24" s="627"/>
      <c r="US24" s="627"/>
      <c r="UT24" s="627"/>
      <c r="UU24" s="627"/>
      <c r="UV24" s="627"/>
      <c r="UW24" s="627"/>
      <c r="UX24" s="627"/>
      <c r="UY24" s="627"/>
      <c r="UZ24" s="627"/>
      <c r="VA24" s="627"/>
      <c r="VB24" s="627"/>
      <c r="VC24" s="627"/>
      <c r="VD24" s="627"/>
      <c r="VE24" s="627"/>
      <c r="VF24" s="627"/>
      <c r="VG24" s="627"/>
      <c r="VH24" s="627"/>
      <c r="VI24" s="627"/>
      <c r="VJ24" s="627"/>
      <c r="VK24" s="627"/>
      <c r="VL24" s="627"/>
      <c r="VM24" s="627"/>
      <c r="VN24" s="627"/>
      <c r="VO24" s="627"/>
      <c r="VP24" s="627"/>
      <c r="VQ24" s="627"/>
      <c r="VR24" s="627"/>
      <c r="VS24" s="627"/>
      <c r="VT24" s="627"/>
      <c r="VU24" s="627"/>
      <c r="VV24" s="627"/>
      <c r="VW24" s="627"/>
      <c r="VX24" s="627"/>
      <c r="VY24" s="627"/>
      <c r="VZ24" s="627"/>
      <c r="WA24" s="627"/>
      <c r="WB24" s="627"/>
      <c r="WC24" s="627"/>
      <c r="WD24" s="627"/>
      <c r="WE24" s="627"/>
      <c r="WF24" s="627"/>
      <c r="WG24" s="627"/>
      <c r="WH24" s="627"/>
      <c r="WI24" s="627"/>
      <c r="WJ24" s="627"/>
      <c r="WK24" s="627"/>
      <c r="WL24" s="627"/>
      <c r="WM24" s="627"/>
      <c r="WN24" s="627"/>
      <c r="WO24" s="627"/>
      <c r="WP24" s="627"/>
      <c r="WQ24" s="627"/>
      <c r="WR24" s="627"/>
      <c r="WS24" s="627"/>
      <c r="WT24" s="627"/>
      <c r="WU24" s="627"/>
      <c r="WV24" s="627"/>
      <c r="WW24" s="627"/>
      <c r="WX24" s="627"/>
      <c r="WY24" s="627"/>
      <c r="WZ24" s="627"/>
      <c r="XA24" s="627"/>
      <c r="XB24" s="627"/>
      <c r="XC24" s="627"/>
      <c r="XD24" s="627"/>
      <c r="XE24" s="627"/>
      <c r="XF24" s="627"/>
      <c r="XG24" s="627"/>
      <c r="XH24" s="627"/>
      <c r="XI24" s="627"/>
      <c r="XJ24" s="627"/>
      <c r="XK24" s="627"/>
      <c r="XL24" s="627"/>
      <c r="XM24" s="627"/>
      <c r="XN24" s="627"/>
      <c r="XO24" s="627"/>
      <c r="XP24" s="627"/>
      <c r="XQ24" s="627"/>
      <c r="XR24" s="627"/>
      <c r="XS24" s="627"/>
      <c r="XT24" s="627"/>
      <c r="XU24" s="627"/>
      <c r="XV24" s="627"/>
      <c r="XW24" s="627"/>
      <c r="XX24" s="627"/>
      <c r="XY24" s="627"/>
      <c r="XZ24" s="627"/>
      <c r="YA24" s="627"/>
      <c r="YB24" s="627"/>
      <c r="YC24" s="627"/>
      <c r="YD24" s="627"/>
      <c r="YE24" s="627"/>
      <c r="YF24" s="627"/>
      <c r="YG24" s="627"/>
      <c r="YH24" s="627"/>
      <c r="YI24" s="627"/>
      <c r="YJ24" s="627"/>
      <c r="YK24" s="627"/>
      <c r="YL24" s="627"/>
      <c r="YM24" s="627"/>
      <c r="YN24" s="627"/>
      <c r="YO24" s="627"/>
      <c r="YP24" s="627"/>
      <c r="YQ24" s="627"/>
      <c r="YR24" s="627"/>
      <c r="YS24" s="627"/>
      <c r="YT24" s="627"/>
      <c r="YU24" s="627"/>
      <c r="YV24" s="627"/>
      <c r="YW24" s="627"/>
      <c r="YX24" s="627"/>
      <c r="YY24" s="627"/>
      <c r="YZ24" s="627"/>
      <c r="ZA24" s="627"/>
      <c r="ZB24" s="627"/>
      <c r="ZC24" s="627"/>
      <c r="ZD24" s="627"/>
      <c r="ZE24" s="627"/>
      <c r="ZF24" s="627"/>
      <c r="ZG24" s="627"/>
      <c r="ZH24" s="627"/>
      <c r="ZI24" s="627"/>
      <c r="ZJ24" s="627"/>
      <c r="ZK24" s="627"/>
      <c r="ZL24" s="627"/>
      <c r="ZM24" s="627"/>
      <c r="ZN24" s="627"/>
      <c r="ZO24" s="627"/>
      <c r="ZP24" s="627"/>
      <c r="ZQ24" s="627"/>
      <c r="ZR24" s="627"/>
      <c r="ZS24" s="627"/>
      <c r="ZT24" s="627"/>
      <c r="ZU24" s="627"/>
      <c r="ZV24" s="627"/>
      <c r="ZW24" s="627"/>
      <c r="ZX24" s="627"/>
      <c r="ZY24" s="627"/>
      <c r="ZZ24" s="627"/>
      <c r="AAA24" s="627"/>
      <c r="AAB24" s="627"/>
      <c r="AAC24" s="627"/>
      <c r="AAD24" s="627"/>
      <c r="AAE24" s="627"/>
      <c r="AAF24" s="627"/>
      <c r="AAG24" s="627"/>
      <c r="AAH24" s="627"/>
      <c r="AAI24" s="627"/>
      <c r="AAJ24" s="627"/>
      <c r="AAK24" s="627"/>
      <c r="AAL24" s="627"/>
      <c r="AAM24" s="627"/>
      <c r="AAN24" s="627"/>
      <c r="AAO24" s="627"/>
      <c r="AAP24" s="627"/>
      <c r="AAQ24" s="627"/>
      <c r="AAR24" s="627"/>
      <c r="AAS24" s="627"/>
      <c r="AAT24" s="627"/>
      <c r="AAU24" s="627"/>
      <c r="AAV24" s="627"/>
      <c r="AAW24" s="627"/>
      <c r="AAX24" s="627"/>
      <c r="AAY24" s="627"/>
      <c r="AAZ24" s="627"/>
      <c r="ABA24" s="627"/>
      <c r="ABB24" s="627"/>
      <c r="ABC24" s="627"/>
      <c r="ABD24" s="627"/>
      <c r="ABE24" s="627"/>
      <c r="ABF24" s="627"/>
      <c r="ABG24" s="627"/>
      <c r="ABH24" s="627"/>
      <c r="ABI24" s="627"/>
      <c r="ABJ24" s="627"/>
      <c r="ABK24" s="627"/>
      <c r="ABL24" s="627"/>
      <c r="ABM24" s="627"/>
      <c r="ABN24" s="627"/>
      <c r="ABO24" s="627"/>
      <c r="ABP24" s="627"/>
      <c r="ABQ24" s="627"/>
      <c r="ABR24" s="627"/>
      <c r="ABS24" s="627"/>
      <c r="ABT24" s="627"/>
      <c r="ABU24" s="627"/>
      <c r="ABV24" s="627"/>
      <c r="ABW24" s="627"/>
      <c r="ABX24" s="627"/>
      <c r="ABY24" s="627"/>
      <c r="ABZ24" s="627"/>
      <c r="ACA24" s="627"/>
      <c r="ACB24" s="627"/>
      <c r="ACC24" s="627"/>
      <c r="ACD24" s="627"/>
      <c r="ACE24" s="627"/>
      <c r="ACF24" s="627"/>
      <c r="ACG24" s="627"/>
      <c r="ACH24" s="627"/>
      <c r="ACI24" s="627"/>
      <c r="ACJ24" s="627"/>
      <c r="ACK24" s="627"/>
      <c r="ACL24" s="627"/>
      <c r="ACM24" s="627"/>
      <c r="ACN24" s="627"/>
      <c r="ACO24" s="627"/>
      <c r="ACP24" s="627"/>
      <c r="ACQ24" s="627"/>
      <c r="ACR24" s="627"/>
      <c r="ACS24" s="627"/>
      <c r="ACT24" s="627"/>
      <c r="ACU24" s="627"/>
      <c r="ACV24" s="627"/>
      <c r="ACW24" s="627"/>
      <c r="ACX24" s="627"/>
      <c r="ACY24" s="627"/>
      <c r="ACZ24" s="627"/>
      <c r="ADA24" s="627"/>
      <c r="ADB24" s="627"/>
      <c r="ADC24" s="627"/>
      <c r="ADD24" s="627"/>
      <c r="ADE24" s="627"/>
      <c r="ADF24" s="627"/>
      <c r="ADG24" s="627"/>
      <c r="ADH24" s="627"/>
      <c r="ADI24" s="627"/>
      <c r="ADJ24" s="627"/>
      <c r="ADK24" s="627"/>
      <c r="ADL24" s="627"/>
      <c r="ADM24" s="627"/>
      <c r="ADN24" s="627"/>
      <c r="ADO24" s="627"/>
      <c r="ADP24" s="627"/>
      <c r="ADQ24" s="627"/>
      <c r="ADR24" s="627"/>
      <c r="ADS24" s="627"/>
      <c r="ADT24" s="627"/>
      <c r="ADU24" s="627"/>
      <c r="ADV24" s="627"/>
      <c r="ADW24" s="627"/>
      <c r="ADX24" s="627"/>
      <c r="ADY24" s="627"/>
      <c r="ADZ24" s="627"/>
      <c r="AEA24" s="627"/>
      <c r="AEB24" s="627"/>
      <c r="AEC24" s="627"/>
      <c r="AED24" s="627"/>
      <c r="AEE24" s="627"/>
      <c r="AEF24" s="627"/>
      <c r="AEG24" s="627"/>
      <c r="AEH24" s="627"/>
      <c r="AEI24" s="627"/>
      <c r="AEJ24" s="627"/>
      <c r="AEK24" s="627"/>
      <c r="AEL24" s="627"/>
      <c r="AEM24" s="627"/>
      <c r="AEN24" s="627"/>
      <c r="AEO24" s="627"/>
      <c r="AEP24" s="627"/>
      <c r="AEQ24" s="627"/>
      <c r="AER24" s="627"/>
      <c r="AES24" s="627"/>
      <c r="AET24" s="627"/>
      <c r="AEU24" s="627"/>
      <c r="AEV24" s="627"/>
      <c r="AEW24" s="627"/>
      <c r="AEX24" s="627"/>
      <c r="AEY24" s="627"/>
      <c r="AEZ24" s="627"/>
      <c r="AFA24" s="627"/>
      <c r="AFB24" s="627"/>
      <c r="AFC24" s="627"/>
      <c r="AFD24" s="627"/>
      <c r="AFE24" s="627"/>
      <c r="AFF24" s="627"/>
      <c r="AFG24" s="627"/>
      <c r="AFH24" s="627"/>
      <c r="AFI24" s="627"/>
      <c r="AFJ24" s="627"/>
      <c r="AFK24" s="627"/>
      <c r="AFL24" s="627"/>
      <c r="AFM24" s="627"/>
      <c r="AFN24" s="627"/>
      <c r="AFO24" s="627"/>
      <c r="AFP24" s="627"/>
      <c r="AFQ24" s="627"/>
      <c r="AFR24" s="627"/>
      <c r="AFS24" s="627"/>
      <c r="AFT24" s="627"/>
      <c r="AFU24" s="627"/>
      <c r="AFV24" s="627"/>
      <c r="AFW24" s="627"/>
      <c r="AFX24" s="627"/>
      <c r="AFY24" s="627"/>
      <c r="AFZ24" s="627"/>
      <c r="AGA24" s="627"/>
      <c r="AGB24" s="627"/>
      <c r="AGC24" s="627"/>
      <c r="AGD24" s="627"/>
      <c r="AGE24" s="627"/>
      <c r="AGF24" s="627"/>
      <c r="AGG24" s="627"/>
      <c r="AGH24" s="627"/>
      <c r="AGI24" s="627"/>
      <c r="AGJ24" s="627"/>
      <c r="AGK24" s="627"/>
      <c r="AGL24" s="627"/>
      <c r="AGM24" s="627"/>
      <c r="AGN24" s="627"/>
      <c r="AGO24" s="627"/>
      <c r="AGP24" s="627"/>
      <c r="AGQ24" s="627"/>
      <c r="AGR24" s="627"/>
      <c r="AGS24" s="627"/>
      <c r="AGT24" s="627"/>
      <c r="AGU24" s="627"/>
      <c r="AGV24" s="627"/>
      <c r="AGW24" s="627"/>
      <c r="AGX24" s="627"/>
      <c r="AGY24" s="627"/>
      <c r="AGZ24" s="627"/>
      <c r="AHA24" s="627"/>
      <c r="AHB24" s="627"/>
      <c r="AHC24" s="627"/>
      <c r="AHD24" s="627"/>
      <c r="AHE24" s="627"/>
      <c r="AHF24" s="627"/>
      <c r="AHG24" s="627"/>
      <c r="AHH24" s="627"/>
      <c r="AHI24" s="627"/>
      <c r="AHJ24" s="627"/>
      <c r="AHK24" s="627"/>
      <c r="AHL24" s="627"/>
      <c r="AHM24" s="627"/>
      <c r="AHN24" s="627"/>
      <c r="AHO24" s="627"/>
      <c r="AHP24" s="627"/>
      <c r="AHQ24" s="627"/>
      <c r="AHR24" s="627"/>
      <c r="AHS24" s="627"/>
      <c r="AHT24" s="627"/>
      <c r="AHU24" s="627"/>
      <c r="AHV24" s="627"/>
      <c r="AHW24" s="627"/>
      <c r="AHX24" s="627"/>
      <c r="AHY24" s="627"/>
      <c r="AHZ24" s="627"/>
      <c r="AIA24" s="627"/>
      <c r="AIB24" s="627"/>
      <c r="AIC24" s="627"/>
      <c r="AID24" s="627"/>
      <c r="AIE24" s="627"/>
      <c r="AIF24" s="627"/>
      <c r="AIG24" s="627"/>
      <c r="AIH24" s="627"/>
      <c r="AII24" s="627"/>
      <c r="AIJ24" s="627"/>
      <c r="AIK24" s="627"/>
      <c r="AIL24" s="627"/>
      <c r="AIM24" s="627"/>
      <c r="AIN24" s="627"/>
      <c r="AIO24" s="627"/>
      <c r="AIP24" s="627"/>
      <c r="AIQ24" s="627"/>
      <c r="AIR24" s="627"/>
      <c r="AIS24" s="627"/>
      <c r="AIT24" s="627"/>
      <c r="AIU24" s="627"/>
      <c r="AIV24" s="627"/>
      <c r="AIW24" s="627"/>
      <c r="AIX24" s="627"/>
      <c r="AIY24" s="627"/>
      <c r="AIZ24" s="627"/>
      <c r="AJA24" s="627"/>
      <c r="AJB24" s="627"/>
      <c r="AJC24" s="627"/>
      <c r="AJD24" s="627"/>
      <c r="AJE24" s="627"/>
      <c r="AJF24" s="627"/>
      <c r="AJG24" s="627"/>
      <c r="AJH24" s="627"/>
      <c r="AJI24" s="627"/>
      <c r="AJJ24" s="627"/>
      <c r="AJK24" s="627"/>
      <c r="AJL24" s="627"/>
      <c r="AJM24" s="627"/>
      <c r="AJN24" s="627"/>
      <c r="AJO24" s="627"/>
      <c r="AJP24" s="627"/>
      <c r="AJQ24" s="627"/>
      <c r="AJR24" s="627"/>
      <c r="AJS24" s="627"/>
      <c r="AJT24" s="627"/>
      <c r="AJU24" s="627"/>
      <c r="AJV24" s="627"/>
      <c r="AJW24" s="627"/>
      <c r="AJX24" s="627"/>
      <c r="AJY24" s="627"/>
      <c r="AJZ24" s="627"/>
      <c r="AKA24" s="627"/>
      <c r="AKB24" s="627"/>
      <c r="AKC24" s="627"/>
      <c r="AKD24" s="627"/>
      <c r="AKE24" s="627"/>
      <c r="AKF24" s="627"/>
      <c r="AKG24" s="627"/>
      <c r="AKH24" s="627"/>
      <c r="AKI24" s="627"/>
      <c r="AKJ24" s="627"/>
      <c r="AKK24" s="627"/>
      <c r="AKL24" s="627"/>
      <c r="AKM24" s="627"/>
      <c r="AKN24" s="627"/>
      <c r="AKO24" s="627"/>
      <c r="AKP24" s="627"/>
      <c r="AKQ24" s="627"/>
      <c r="AKR24" s="627"/>
      <c r="AKS24" s="627"/>
      <c r="AKT24" s="627"/>
      <c r="AKU24" s="627"/>
      <c r="AKV24" s="627"/>
      <c r="AKW24" s="627"/>
      <c r="AKX24" s="627"/>
      <c r="AKY24" s="627"/>
      <c r="AKZ24" s="627"/>
      <c r="ALA24" s="627"/>
      <c r="ALB24" s="627"/>
      <c r="ALC24" s="627"/>
      <c r="ALD24" s="627"/>
      <c r="ALE24" s="627"/>
      <c r="ALF24" s="627"/>
      <c r="ALG24" s="627"/>
      <c r="ALH24" s="627"/>
      <c r="ALI24" s="627"/>
      <c r="ALJ24" s="627"/>
      <c r="ALK24" s="627"/>
      <c r="ALL24" s="627"/>
      <c r="ALM24" s="627"/>
      <c r="ALN24" s="627"/>
      <c r="ALO24" s="627"/>
      <c r="ALP24" s="627"/>
      <c r="ALQ24" s="627"/>
      <c r="ALR24" s="627"/>
      <c r="ALS24" s="627"/>
      <c r="ALT24" s="627"/>
      <c r="ALU24" s="627"/>
      <c r="ALV24" s="627"/>
      <c r="ALW24" s="627"/>
      <c r="ALX24" s="627"/>
      <c r="ALY24" s="627"/>
      <c r="ALZ24" s="627"/>
      <c r="AMA24" s="627"/>
      <c r="AMB24" s="627"/>
      <c r="AMC24" s="627"/>
      <c r="AMD24" s="627"/>
      <c r="AME24" s="627"/>
      <c r="AMF24" s="627"/>
      <c r="AMG24" s="627"/>
      <c r="AMH24" s="627"/>
      <c r="AMI24" s="627"/>
      <c r="AMJ24" s="627"/>
      <c r="AMK24" s="627"/>
      <c r="AML24" s="627"/>
      <c r="AMM24" s="627"/>
      <c r="AMN24" s="627"/>
      <c r="AMO24" s="627"/>
      <c r="AMP24" s="627"/>
      <c r="AMQ24" s="627"/>
      <c r="AMR24" s="627"/>
      <c r="AMS24" s="627"/>
      <c r="AMT24" s="627"/>
      <c r="AMU24" s="627"/>
      <c r="AMV24" s="627"/>
      <c r="AMW24" s="627"/>
      <c r="AMX24" s="627"/>
      <c r="AMY24" s="627"/>
      <c r="AMZ24" s="627"/>
      <c r="ANA24" s="627"/>
      <c r="ANB24" s="627"/>
      <c r="ANC24" s="627"/>
      <c r="AND24" s="627"/>
      <c r="ANE24" s="627"/>
      <c r="ANF24" s="627"/>
      <c r="ANG24" s="627"/>
      <c r="ANH24" s="627"/>
      <c r="ANI24" s="627"/>
      <c r="ANJ24" s="627"/>
      <c r="ANK24" s="627"/>
      <c r="ANL24" s="627"/>
      <c r="ANM24" s="627"/>
      <c r="ANN24" s="627"/>
      <c r="ANO24" s="627"/>
      <c r="ANP24" s="627"/>
      <c r="ANQ24" s="627"/>
      <c r="ANR24" s="627"/>
      <c r="ANS24" s="627"/>
      <c r="ANT24" s="627"/>
      <c r="ANU24" s="627"/>
      <c r="ANV24" s="627"/>
      <c r="ANW24" s="627"/>
      <c r="ANX24" s="627"/>
      <c r="ANY24" s="627"/>
      <c r="ANZ24" s="627"/>
      <c r="AOA24" s="627"/>
      <c r="AOB24" s="627"/>
      <c r="AOC24" s="627"/>
      <c r="AOD24" s="627"/>
      <c r="AOE24" s="627"/>
      <c r="AOF24" s="627"/>
      <c r="AOG24" s="627"/>
      <c r="AOH24" s="627"/>
      <c r="AOI24" s="627"/>
      <c r="AOJ24" s="627"/>
      <c r="AOK24" s="627"/>
      <c r="AOL24" s="627"/>
      <c r="AOM24" s="627"/>
      <c r="AON24" s="627"/>
      <c r="AOO24" s="627"/>
      <c r="AOP24" s="627"/>
      <c r="AOQ24" s="627"/>
      <c r="AOR24" s="627"/>
      <c r="AOS24" s="627"/>
      <c r="AOT24" s="627"/>
      <c r="AOU24" s="627"/>
      <c r="AOV24" s="627"/>
      <c r="AOW24" s="627"/>
      <c r="AOX24" s="627"/>
      <c r="AOY24" s="627"/>
      <c r="AOZ24" s="627"/>
      <c r="APA24" s="627"/>
      <c r="APB24" s="627"/>
      <c r="APC24" s="627"/>
      <c r="APD24" s="627"/>
      <c r="APE24" s="627"/>
      <c r="APF24" s="627"/>
      <c r="APG24" s="627"/>
      <c r="APH24" s="627"/>
      <c r="API24" s="627"/>
      <c r="APJ24" s="627"/>
      <c r="APK24" s="627"/>
      <c r="APL24" s="627"/>
      <c r="APM24" s="627"/>
      <c r="APN24" s="627"/>
      <c r="APO24" s="627"/>
      <c r="APP24" s="627"/>
      <c r="APQ24" s="627"/>
      <c r="APR24" s="627"/>
      <c r="APS24" s="627"/>
      <c r="APT24" s="627"/>
      <c r="APU24" s="627"/>
      <c r="APV24" s="627"/>
      <c r="APW24" s="627"/>
      <c r="APX24" s="627"/>
      <c r="APY24" s="627"/>
      <c r="APZ24" s="627"/>
      <c r="AQA24" s="627"/>
      <c r="AQB24" s="627"/>
      <c r="AQC24" s="627"/>
      <c r="AQD24" s="627"/>
      <c r="AQE24" s="627"/>
      <c r="AQF24" s="627"/>
      <c r="AQG24" s="627"/>
      <c r="AQH24" s="627"/>
      <c r="AQI24" s="627"/>
      <c r="AQJ24" s="627"/>
      <c r="AQK24" s="627"/>
      <c r="AQL24" s="627"/>
      <c r="AQM24" s="627"/>
      <c r="AQN24" s="627"/>
      <c r="AQO24" s="627"/>
      <c r="AQP24" s="627"/>
      <c r="AQQ24" s="627"/>
      <c r="AQR24" s="627"/>
      <c r="AQS24" s="627"/>
      <c r="AQT24" s="627"/>
      <c r="AQU24" s="627"/>
      <c r="AQV24" s="627"/>
      <c r="AQW24" s="627"/>
      <c r="AQX24" s="627"/>
      <c r="AQY24" s="627"/>
      <c r="AQZ24" s="627"/>
      <c r="ARA24" s="627"/>
      <c r="ARB24" s="627"/>
      <c r="ARC24" s="627"/>
      <c r="ARD24" s="627"/>
      <c r="ARE24" s="627"/>
      <c r="ARF24" s="627"/>
      <c r="ARG24" s="627"/>
      <c r="ARH24" s="627"/>
      <c r="ARI24" s="627"/>
      <c r="ARJ24" s="627"/>
      <c r="ARK24" s="627"/>
      <c r="ARL24" s="627"/>
      <c r="ARM24" s="627"/>
      <c r="ARN24" s="627"/>
      <c r="ARO24" s="627"/>
      <c r="ARP24" s="627"/>
      <c r="ARQ24" s="627"/>
      <c r="ARR24" s="627"/>
      <c r="ARS24" s="627"/>
      <c r="ART24" s="627"/>
      <c r="ARU24" s="627"/>
      <c r="ARV24" s="627"/>
      <c r="ARW24" s="627"/>
      <c r="ARX24" s="627"/>
      <c r="ARY24" s="627"/>
      <c r="ARZ24" s="627"/>
      <c r="ASA24" s="627"/>
      <c r="ASB24" s="627"/>
      <c r="ASC24" s="627"/>
      <c r="ASD24" s="627"/>
      <c r="ASE24" s="627"/>
      <c r="ASF24" s="627"/>
      <c r="ASG24" s="627"/>
      <c r="ASH24" s="627"/>
      <c r="ASI24" s="627"/>
      <c r="ASJ24" s="627"/>
      <c r="ASK24" s="627"/>
      <c r="ASL24" s="627"/>
      <c r="ASM24" s="627"/>
      <c r="ASN24" s="627"/>
      <c r="ASO24" s="627"/>
      <c r="ASP24" s="627"/>
      <c r="ASQ24" s="627"/>
      <c r="ASR24" s="627"/>
      <c r="ASS24" s="627"/>
      <c r="AST24" s="627"/>
      <c r="ASU24" s="627"/>
      <c r="ASV24" s="627"/>
      <c r="ASW24" s="627"/>
      <c r="ASX24" s="627"/>
      <c r="ASY24" s="627"/>
      <c r="ASZ24" s="627"/>
      <c r="ATA24" s="627"/>
      <c r="ATB24" s="627"/>
      <c r="ATC24" s="627"/>
      <c r="ATD24" s="627"/>
      <c r="ATE24" s="627"/>
      <c r="ATF24" s="627"/>
      <c r="ATG24" s="627"/>
      <c r="ATH24" s="627"/>
      <c r="ATI24" s="627"/>
      <c r="ATJ24" s="627"/>
      <c r="ATK24" s="627"/>
      <c r="ATL24" s="627"/>
      <c r="ATM24" s="627"/>
      <c r="ATN24" s="627"/>
      <c r="ATO24" s="627"/>
      <c r="ATP24" s="627"/>
      <c r="ATQ24" s="627"/>
      <c r="ATR24" s="627"/>
      <c r="ATS24" s="627"/>
      <c r="ATT24" s="627"/>
      <c r="ATU24" s="627"/>
      <c r="ATV24" s="627"/>
      <c r="ATW24" s="627"/>
      <c r="ATX24" s="627"/>
      <c r="ATY24" s="627"/>
      <c r="ATZ24" s="627"/>
      <c r="AUA24" s="627"/>
      <c r="AUB24" s="627"/>
      <c r="AUC24" s="627"/>
      <c r="AUD24" s="627"/>
      <c r="AUE24" s="627"/>
      <c r="AUF24" s="627"/>
      <c r="AUG24" s="627"/>
      <c r="AUH24" s="627"/>
      <c r="AUI24" s="627"/>
      <c r="AUJ24" s="627"/>
      <c r="AUK24" s="627"/>
      <c r="AUL24" s="627"/>
      <c r="AUM24" s="627"/>
      <c r="AUN24" s="627"/>
      <c r="AUO24" s="627"/>
      <c r="AUP24" s="627"/>
      <c r="AUQ24" s="627"/>
      <c r="AUR24" s="627"/>
      <c r="AUS24" s="627"/>
      <c r="AUT24" s="627"/>
      <c r="AUU24" s="627"/>
      <c r="AUV24" s="627"/>
      <c r="AUW24" s="627"/>
      <c r="AUX24" s="627"/>
      <c r="AUY24" s="627"/>
      <c r="AUZ24" s="627"/>
      <c r="AVA24" s="627"/>
      <c r="AVB24" s="627"/>
      <c r="AVC24" s="627"/>
      <c r="AVD24" s="627"/>
      <c r="AVE24" s="627"/>
      <c r="AVF24" s="627"/>
      <c r="AVG24" s="627"/>
      <c r="AVH24" s="627"/>
      <c r="AVI24" s="627"/>
      <c r="AVJ24" s="627"/>
      <c r="AVK24" s="627"/>
      <c r="AVL24" s="627"/>
      <c r="AVM24" s="627"/>
      <c r="AVN24" s="627"/>
      <c r="AVO24" s="627"/>
      <c r="AVP24" s="627"/>
      <c r="AVQ24" s="627"/>
      <c r="AVR24" s="627"/>
      <c r="AVS24" s="627"/>
      <c r="AVT24" s="627"/>
      <c r="AVU24" s="627"/>
      <c r="AVV24" s="627"/>
      <c r="AVW24" s="627"/>
      <c r="AVX24" s="627"/>
      <c r="AVY24" s="627"/>
      <c r="AVZ24" s="627"/>
      <c r="AWA24" s="627"/>
      <c r="AWB24" s="627"/>
      <c r="AWC24" s="627"/>
      <c r="AWD24" s="627"/>
      <c r="AWE24" s="627"/>
      <c r="AWF24" s="627"/>
      <c r="AWG24" s="627"/>
      <c r="AWH24" s="627"/>
      <c r="AWI24" s="627"/>
      <c r="AWJ24" s="627"/>
      <c r="AWK24" s="627"/>
      <c r="AWL24" s="627"/>
      <c r="AWM24" s="627"/>
      <c r="AWN24" s="627"/>
      <c r="AWO24" s="627"/>
      <c r="AWP24" s="627"/>
      <c r="AWQ24" s="627"/>
      <c r="AWR24" s="627"/>
      <c r="AWS24" s="627"/>
      <c r="AWT24" s="627"/>
      <c r="AWU24" s="627"/>
      <c r="AWV24" s="627"/>
      <c r="AWW24" s="627"/>
      <c r="AWX24" s="627"/>
      <c r="AWY24" s="627"/>
      <c r="AWZ24" s="627"/>
      <c r="AXA24" s="627"/>
      <c r="AXB24" s="627"/>
      <c r="AXC24" s="627"/>
      <c r="AXD24" s="627"/>
      <c r="AXE24" s="627"/>
      <c r="AXF24" s="627"/>
      <c r="AXG24" s="627"/>
      <c r="AXH24" s="627"/>
      <c r="AXI24" s="627"/>
      <c r="AXJ24" s="627"/>
      <c r="AXK24" s="627"/>
      <c r="AXL24" s="627"/>
      <c r="AXM24" s="627"/>
      <c r="AXN24" s="627"/>
      <c r="AXO24" s="627"/>
      <c r="AXP24" s="627"/>
      <c r="AXQ24" s="627"/>
      <c r="AXR24" s="627"/>
      <c r="AXS24" s="627"/>
      <c r="AXT24" s="627"/>
      <c r="AXU24" s="627"/>
      <c r="AXV24" s="627"/>
      <c r="AXW24" s="627"/>
      <c r="AXX24" s="627"/>
      <c r="AXY24" s="627"/>
      <c r="AXZ24" s="627"/>
      <c r="AYA24" s="627"/>
      <c r="AYB24" s="627"/>
      <c r="AYC24" s="627"/>
      <c r="AYD24" s="627"/>
      <c r="AYE24" s="627"/>
      <c r="AYF24" s="627"/>
      <c r="AYG24" s="627"/>
      <c r="AYH24" s="627"/>
      <c r="AYI24" s="627"/>
      <c r="AYJ24" s="627"/>
      <c r="AYK24" s="627"/>
      <c r="AYL24" s="627"/>
      <c r="AYM24" s="627"/>
      <c r="AYN24" s="627"/>
      <c r="AYO24" s="627"/>
      <c r="AYP24" s="627"/>
      <c r="AYQ24" s="627"/>
      <c r="AYR24" s="627"/>
      <c r="AYS24" s="627"/>
      <c r="AYT24" s="627"/>
      <c r="AYU24" s="627"/>
      <c r="AYV24" s="627"/>
      <c r="AYW24" s="627"/>
      <c r="AYX24" s="627"/>
      <c r="AYY24" s="627"/>
      <c r="AYZ24" s="627"/>
      <c r="AZA24" s="627"/>
      <c r="AZB24" s="627"/>
      <c r="AZC24" s="627"/>
      <c r="AZD24" s="627"/>
      <c r="AZE24" s="627"/>
      <c r="AZF24" s="627"/>
      <c r="AZG24" s="627"/>
      <c r="AZH24" s="627"/>
      <c r="AZI24" s="627"/>
      <c r="AZJ24" s="627"/>
      <c r="AZK24" s="627"/>
      <c r="AZL24" s="627"/>
      <c r="AZM24" s="627"/>
      <c r="AZN24" s="627"/>
      <c r="AZO24" s="627"/>
      <c r="AZP24" s="627"/>
      <c r="AZQ24" s="627"/>
      <c r="AZR24" s="627"/>
      <c r="AZS24" s="627"/>
      <c r="AZT24" s="627"/>
      <c r="AZU24" s="627"/>
      <c r="AZV24" s="627"/>
      <c r="AZW24" s="627"/>
      <c r="AZX24" s="627"/>
      <c r="AZY24" s="627"/>
      <c r="AZZ24" s="627"/>
      <c r="BAA24" s="627"/>
      <c r="BAB24" s="627"/>
      <c r="BAC24" s="627"/>
      <c r="BAD24" s="627"/>
      <c r="BAE24" s="627"/>
      <c r="BAF24" s="627"/>
      <c r="BAG24" s="627"/>
      <c r="BAH24" s="627"/>
      <c r="BAI24" s="627"/>
      <c r="BAJ24" s="627"/>
      <c r="BAK24" s="627"/>
      <c r="BAL24" s="627"/>
      <c r="BAM24" s="627"/>
      <c r="BAN24" s="627"/>
      <c r="BAO24" s="627"/>
      <c r="BAP24" s="627"/>
      <c r="BAQ24" s="627"/>
      <c r="BAR24" s="627"/>
      <c r="BAS24" s="627"/>
      <c r="BAT24" s="627"/>
      <c r="BAU24" s="627"/>
      <c r="BAV24" s="627"/>
      <c r="BAW24" s="627"/>
      <c r="BAX24" s="627"/>
      <c r="BAY24" s="627"/>
      <c r="BAZ24" s="627"/>
      <c r="BBA24" s="627"/>
      <c r="BBB24" s="627"/>
      <c r="BBC24" s="627"/>
      <c r="BBD24" s="627"/>
      <c r="BBE24" s="627"/>
      <c r="BBF24" s="627"/>
      <c r="BBG24" s="627"/>
      <c r="BBH24" s="627"/>
      <c r="BBI24" s="627"/>
      <c r="BBJ24" s="627"/>
      <c r="BBK24" s="627"/>
      <c r="BBL24" s="627"/>
      <c r="BBM24" s="627"/>
      <c r="BBN24" s="627"/>
      <c r="BBO24" s="627"/>
      <c r="BBP24" s="627"/>
      <c r="BBQ24" s="627"/>
      <c r="BBR24" s="627"/>
      <c r="BBS24" s="627"/>
      <c r="BBT24" s="627"/>
      <c r="BBU24" s="627"/>
      <c r="BBV24" s="627"/>
      <c r="BBW24" s="627"/>
      <c r="BBX24" s="627"/>
      <c r="BBY24" s="627"/>
      <c r="BBZ24" s="627"/>
      <c r="BCA24" s="627"/>
      <c r="BCB24" s="627"/>
      <c r="BCC24" s="627"/>
      <c r="BCD24" s="627"/>
      <c r="BCE24" s="627"/>
      <c r="BCF24" s="627"/>
      <c r="BCG24" s="627"/>
      <c r="BCH24" s="627"/>
      <c r="BCI24" s="627"/>
      <c r="BCJ24" s="627"/>
      <c r="BCK24" s="627"/>
      <c r="BCL24" s="627"/>
      <c r="BCM24" s="627"/>
      <c r="BCN24" s="627"/>
      <c r="BCO24" s="627"/>
      <c r="BCP24" s="627"/>
      <c r="BCQ24" s="627"/>
      <c r="BCR24" s="627"/>
      <c r="BCS24" s="627"/>
      <c r="BCT24" s="627"/>
      <c r="BCU24" s="627"/>
      <c r="BCV24" s="627"/>
      <c r="BCW24" s="627"/>
      <c r="BCX24" s="627"/>
      <c r="BCY24" s="627"/>
      <c r="BCZ24" s="627"/>
      <c r="BDA24" s="627"/>
      <c r="BDB24" s="627"/>
      <c r="BDC24" s="627"/>
      <c r="BDD24" s="627"/>
      <c r="BDE24" s="627"/>
      <c r="BDF24" s="627"/>
      <c r="BDG24" s="627"/>
      <c r="BDH24" s="627"/>
      <c r="BDI24" s="627"/>
      <c r="BDJ24" s="627"/>
      <c r="BDK24" s="627"/>
      <c r="BDL24" s="627"/>
      <c r="BDM24" s="627"/>
      <c r="BDN24" s="627"/>
      <c r="BDO24" s="627"/>
      <c r="BDP24" s="627"/>
      <c r="BDQ24" s="627"/>
      <c r="BDR24" s="627"/>
      <c r="BDS24" s="627"/>
      <c r="BDT24" s="627"/>
      <c r="BDU24" s="627"/>
      <c r="BDV24" s="627"/>
      <c r="BDW24" s="627"/>
      <c r="BDX24" s="627"/>
      <c r="BDY24" s="627"/>
      <c r="BDZ24" s="627"/>
      <c r="BEA24" s="627"/>
      <c r="BEB24" s="627"/>
      <c r="BEC24" s="627"/>
      <c r="BED24" s="627"/>
      <c r="BEE24" s="627"/>
      <c r="BEF24" s="627"/>
      <c r="BEG24" s="627"/>
      <c r="BEH24" s="627"/>
      <c r="BEI24" s="627"/>
      <c r="BEJ24" s="627"/>
      <c r="BEK24" s="627"/>
      <c r="BEL24" s="627"/>
      <c r="BEM24" s="627"/>
      <c r="BEN24" s="627"/>
      <c r="BEO24" s="627"/>
      <c r="BEP24" s="627"/>
      <c r="BEQ24" s="627"/>
      <c r="BER24" s="627"/>
      <c r="BES24" s="627"/>
      <c r="BET24" s="627"/>
      <c r="BEU24" s="627"/>
      <c r="BEV24" s="627"/>
      <c r="BEW24" s="627"/>
      <c r="BEX24" s="627"/>
      <c r="BEY24" s="627"/>
      <c r="BEZ24" s="627"/>
      <c r="BFA24" s="627"/>
      <c r="BFB24" s="627"/>
      <c r="BFC24" s="627"/>
      <c r="BFD24" s="627"/>
      <c r="BFE24" s="627"/>
      <c r="BFF24" s="627"/>
      <c r="BFG24" s="627"/>
      <c r="BFH24" s="627"/>
      <c r="BFI24" s="627"/>
      <c r="BFJ24" s="627"/>
      <c r="BFK24" s="627"/>
      <c r="BFL24" s="627"/>
      <c r="BFM24" s="627"/>
      <c r="BFN24" s="627"/>
      <c r="BFO24" s="627"/>
      <c r="BFP24" s="627"/>
      <c r="BFQ24" s="627"/>
      <c r="BFR24" s="627"/>
      <c r="BFS24" s="627"/>
      <c r="BFT24" s="627"/>
      <c r="BFU24" s="627"/>
      <c r="BFV24" s="627"/>
      <c r="BFW24" s="627"/>
      <c r="BFX24" s="627"/>
      <c r="BFY24" s="627"/>
      <c r="BFZ24" s="627"/>
      <c r="BGA24" s="627"/>
      <c r="BGB24" s="627"/>
      <c r="BGC24" s="627"/>
      <c r="BGD24" s="627"/>
      <c r="BGE24" s="627"/>
      <c r="BGF24" s="627"/>
      <c r="BGG24" s="627"/>
      <c r="BGH24" s="627"/>
      <c r="BGI24" s="627"/>
      <c r="BGJ24" s="627"/>
      <c r="BGK24" s="627"/>
      <c r="BGL24" s="627"/>
      <c r="BGM24" s="627"/>
      <c r="BGN24" s="627"/>
      <c r="BGO24" s="627"/>
      <c r="BGP24" s="627"/>
      <c r="BGQ24" s="627"/>
      <c r="BGR24" s="627"/>
      <c r="BGS24" s="627"/>
      <c r="BGT24" s="627"/>
      <c r="BGU24" s="627"/>
      <c r="BGV24" s="627"/>
      <c r="BGW24" s="627"/>
      <c r="BGX24" s="627"/>
      <c r="BGY24" s="627"/>
      <c r="BGZ24" s="627"/>
      <c r="BHA24" s="627"/>
      <c r="BHB24" s="627"/>
      <c r="BHC24" s="627"/>
      <c r="BHD24" s="627"/>
      <c r="BHE24" s="627"/>
      <c r="BHF24" s="627"/>
      <c r="BHG24" s="627"/>
      <c r="BHH24" s="627"/>
      <c r="BHI24" s="627"/>
      <c r="BHJ24" s="627"/>
      <c r="BHK24" s="627"/>
      <c r="BHL24" s="627"/>
      <c r="BHM24" s="627"/>
      <c r="BHN24" s="627"/>
      <c r="BHO24" s="627"/>
      <c r="BHP24" s="627"/>
      <c r="BHQ24" s="627"/>
      <c r="BHR24" s="627"/>
      <c r="BHS24" s="627"/>
      <c r="BHT24" s="627"/>
      <c r="BHU24" s="627"/>
      <c r="BHV24" s="627"/>
      <c r="BHW24" s="627"/>
      <c r="BHX24" s="627"/>
      <c r="BHY24" s="627"/>
      <c r="BHZ24" s="627"/>
      <c r="BIA24" s="627"/>
      <c r="BIB24" s="627"/>
      <c r="BIC24" s="627"/>
      <c r="BID24" s="627"/>
      <c r="BIE24" s="627"/>
      <c r="BIF24" s="627"/>
      <c r="BIG24" s="627"/>
      <c r="BIH24" s="627"/>
      <c r="BII24" s="627"/>
      <c r="BIJ24" s="627"/>
      <c r="BIK24" s="627"/>
      <c r="BIL24" s="627"/>
      <c r="BIM24" s="627"/>
      <c r="BIN24" s="627"/>
      <c r="BIO24" s="627"/>
      <c r="BIP24" s="627"/>
      <c r="BIQ24" s="627"/>
      <c r="BIR24" s="627"/>
      <c r="BIS24" s="627"/>
      <c r="BIT24" s="627"/>
      <c r="BIU24" s="627"/>
      <c r="BIV24" s="627"/>
      <c r="BIW24" s="627"/>
      <c r="BIX24" s="627"/>
      <c r="BIY24" s="627"/>
      <c r="BIZ24" s="627"/>
      <c r="BJA24" s="627"/>
      <c r="BJB24" s="627"/>
      <c r="BJC24" s="627"/>
      <c r="BJD24" s="627"/>
      <c r="BJE24" s="627"/>
      <c r="BJF24" s="627"/>
      <c r="BJG24" s="627"/>
      <c r="BJH24" s="627"/>
      <c r="BJI24" s="627"/>
      <c r="BJJ24" s="627"/>
      <c r="BJK24" s="627"/>
      <c r="BJL24" s="627"/>
      <c r="BJM24" s="627"/>
      <c r="BJN24" s="627"/>
      <c r="BJO24" s="627"/>
      <c r="BJP24" s="627"/>
      <c r="BJQ24" s="627"/>
      <c r="BJR24" s="627"/>
      <c r="BJS24" s="627"/>
      <c r="BJT24" s="627"/>
      <c r="BJU24" s="627"/>
      <c r="BJV24" s="627"/>
      <c r="BJW24" s="627"/>
      <c r="BJX24" s="627"/>
      <c r="BJY24" s="627"/>
      <c r="BJZ24" s="627"/>
      <c r="BKA24" s="627"/>
      <c r="BKB24" s="627"/>
      <c r="BKC24" s="627"/>
      <c r="BKD24" s="627"/>
      <c r="BKE24" s="627"/>
      <c r="BKF24" s="627"/>
      <c r="BKG24" s="627"/>
      <c r="BKH24" s="627"/>
      <c r="BKI24" s="627"/>
      <c r="BKJ24" s="627"/>
      <c r="BKK24" s="627"/>
      <c r="BKL24" s="627"/>
      <c r="BKM24" s="627"/>
      <c r="BKN24" s="627"/>
      <c r="BKO24" s="627"/>
      <c r="BKP24" s="627"/>
      <c r="BKQ24" s="627"/>
      <c r="BKR24" s="627"/>
      <c r="BKS24" s="627"/>
      <c r="BKT24" s="627"/>
      <c r="BKU24" s="627"/>
      <c r="BKV24" s="627"/>
      <c r="BKW24" s="627"/>
      <c r="BKX24" s="627"/>
      <c r="BKY24" s="627"/>
      <c r="BKZ24" s="627"/>
      <c r="BLA24" s="627"/>
      <c r="BLB24" s="627"/>
      <c r="BLC24" s="627"/>
      <c r="BLD24" s="627"/>
      <c r="BLE24" s="627"/>
      <c r="BLF24" s="627"/>
      <c r="BLG24" s="627"/>
      <c r="BLH24" s="627"/>
      <c r="BLI24" s="627"/>
      <c r="BLJ24" s="627"/>
      <c r="BLK24" s="627"/>
      <c r="BLL24" s="627"/>
      <c r="BLM24" s="627"/>
      <c r="BLN24" s="627"/>
      <c r="BLO24" s="627"/>
      <c r="BLP24" s="627"/>
      <c r="BLQ24" s="627"/>
      <c r="BLR24" s="627"/>
      <c r="BLS24" s="627"/>
      <c r="BLT24" s="627"/>
      <c r="BLU24" s="627"/>
      <c r="BLV24" s="627"/>
      <c r="BLW24" s="627"/>
      <c r="BLX24" s="627"/>
      <c r="BLY24" s="627"/>
      <c r="BLZ24" s="627"/>
      <c r="BMA24" s="627"/>
      <c r="BMB24" s="627"/>
      <c r="BMC24" s="627"/>
      <c r="BMD24" s="627"/>
      <c r="BME24" s="627"/>
      <c r="BMF24" s="627"/>
      <c r="BMG24" s="627"/>
      <c r="BMH24" s="627"/>
      <c r="BMI24" s="627"/>
      <c r="BMJ24" s="627"/>
      <c r="BMK24" s="627"/>
      <c r="BML24" s="627"/>
      <c r="BMM24" s="627"/>
      <c r="BMN24" s="627"/>
      <c r="BMO24" s="627"/>
      <c r="BMP24" s="627"/>
      <c r="BMQ24" s="627"/>
      <c r="BMR24" s="627"/>
      <c r="BMS24" s="627"/>
      <c r="BMT24" s="627"/>
      <c r="BMU24" s="627"/>
      <c r="BMV24" s="627"/>
      <c r="BMW24" s="627"/>
      <c r="BMX24" s="627"/>
      <c r="BMY24" s="627"/>
      <c r="BMZ24" s="627"/>
      <c r="BNA24" s="627"/>
      <c r="BNB24" s="627"/>
      <c r="BNC24" s="627"/>
      <c r="BND24" s="627"/>
      <c r="BNE24" s="627"/>
      <c r="BNF24" s="627"/>
      <c r="BNG24" s="627"/>
      <c r="BNH24" s="627"/>
      <c r="BNI24" s="627"/>
      <c r="BNJ24" s="627"/>
      <c r="BNK24" s="627"/>
      <c r="BNL24" s="627"/>
      <c r="BNM24" s="627"/>
      <c r="BNN24" s="627"/>
      <c r="BNO24" s="627"/>
      <c r="BNP24" s="627"/>
      <c r="BNQ24" s="627"/>
      <c r="BNR24" s="627"/>
      <c r="BNS24" s="627"/>
      <c r="BNT24" s="627"/>
      <c r="BNU24" s="627"/>
      <c r="BNV24" s="627"/>
      <c r="BNW24" s="627"/>
      <c r="BNX24" s="627"/>
      <c r="BNY24" s="627"/>
      <c r="BNZ24" s="627"/>
      <c r="BOA24" s="627"/>
      <c r="BOB24" s="627"/>
      <c r="BOC24" s="627"/>
      <c r="BOD24" s="627"/>
      <c r="BOE24" s="627"/>
      <c r="BOF24" s="627"/>
      <c r="BOG24" s="627"/>
      <c r="BOH24" s="627"/>
      <c r="BOI24" s="627"/>
      <c r="BOJ24" s="627"/>
      <c r="BOK24" s="627"/>
      <c r="BOL24" s="627"/>
      <c r="BOM24" s="627"/>
      <c r="BON24" s="627"/>
      <c r="BOO24" s="627"/>
      <c r="BOP24" s="627"/>
      <c r="BOQ24" s="627"/>
      <c r="BOR24" s="627"/>
      <c r="BOS24" s="627"/>
      <c r="BOT24" s="627"/>
      <c r="BOU24" s="627"/>
      <c r="BOV24" s="627"/>
      <c r="BOW24" s="627"/>
      <c r="BOX24" s="627"/>
      <c r="BOY24" s="627"/>
      <c r="BOZ24" s="627"/>
      <c r="BPA24" s="627"/>
      <c r="BPB24" s="627"/>
      <c r="BPC24" s="627"/>
      <c r="BPD24" s="627"/>
      <c r="BPE24" s="627"/>
      <c r="BPF24" s="627"/>
      <c r="BPG24" s="627"/>
      <c r="BPH24" s="627"/>
      <c r="BPI24" s="627"/>
      <c r="BPJ24" s="627"/>
      <c r="BPK24" s="627"/>
      <c r="BPL24" s="627"/>
      <c r="BPM24" s="627"/>
      <c r="BPN24" s="627"/>
      <c r="BPO24" s="627"/>
      <c r="BPP24" s="627"/>
      <c r="BPQ24" s="627"/>
      <c r="BPR24" s="627"/>
      <c r="BPS24" s="627"/>
      <c r="BPT24" s="627"/>
      <c r="BPU24" s="627"/>
      <c r="BPV24" s="627"/>
      <c r="BPW24" s="627"/>
      <c r="BPX24" s="627"/>
      <c r="BPY24" s="627"/>
      <c r="BPZ24" s="627"/>
      <c r="BQA24" s="627"/>
      <c r="BQB24" s="627"/>
      <c r="BQC24" s="627"/>
      <c r="BQD24" s="627"/>
      <c r="BQE24" s="627"/>
      <c r="BQF24" s="627"/>
      <c r="BQG24" s="627"/>
      <c r="BQH24" s="627"/>
      <c r="BQI24" s="627"/>
      <c r="BQJ24" s="627"/>
      <c r="BQK24" s="627"/>
      <c r="BQL24" s="627"/>
      <c r="BQM24" s="627"/>
      <c r="BQN24" s="627"/>
      <c r="BQO24" s="627"/>
      <c r="BQP24" s="627"/>
      <c r="BQQ24" s="627"/>
      <c r="BQR24" s="627"/>
      <c r="BQS24" s="627"/>
      <c r="BQT24" s="627"/>
      <c r="BQU24" s="627"/>
      <c r="BQV24" s="627"/>
      <c r="BQW24" s="627"/>
      <c r="BQX24" s="627"/>
      <c r="BQY24" s="627"/>
      <c r="BQZ24" s="627"/>
      <c r="BRA24" s="627"/>
      <c r="BRB24" s="627"/>
      <c r="BRC24" s="627"/>
      <c r="BRD24" s="627"/>
      <c r="BRE24" s="627"/>
      <c r="BRF24" s="627"/>
      <c r="BRG24" s="627"/>
      <c r="BRH24" s="627"/>
      <c r="BRI24" s="627"/>
      <c r="BRJ24" s="627"/>
      <c r="BRK24" s="627"/>
      <c r="BRL24" s="627"/>
      <c r="BRM24" s="627"/>
      <c r="BRN24" s="627"/>
      <c r="BRO24" s="627"/>
      <c r="BRP24" s="627"/>
      <c r="BRQ24" s="627"/>
      <c r="BRR24" s="627"/>
      <c r="BRS24" s="627"/>
      <c r="BRT24" s="627"/>
      <c r="BRU24" s="627"/>
      <c r="BRV24" s="627"/>
      <c r="BRW24" s="627"/>
      <c r="BRX24" s="627"/>
      <c r="BRY24" s="627"/>
      <c r="BRZ24" s="627"/>
      <c r="BSA24" s="627"/>
      <c r="BSB24" s="627"/>
      <c r="BSC24" s="627"/>
      <c r="BSD24" s="627"/>
      <c r="BSE24" s="627"/>
      <c r="BSF24" s="627"/>
      <c r="BSG24" s="627"/>
      <c r="BSH24" s="627"/>
      <c r="BSI24" s="627"/>
      <c r="BSJ24" s="627"/>
      <c r="BSK24" s="627"/>
      <c r="BSL24" s="627"/>
      <c r="BSM24" s="627"/>
      <c r="BSN24" s="627"/>
      <c r="BSO24" s="627"/>
      <c r="BSP24" s="627"/>
      <c r="BSQ24" s="627"/>
      <c r="BSR24" s="627"/>
      <c r="BSS24" s="627"/>
      <c r="BST24" s="627"/>
      <c r="BSU24" s="627"/>
      <c r="BSV24" s="627"/>
      <c r="BSW24" s="627"/>
      <c r="BSX24" s="627"/>
      <c r="BSY24" s="627"/>
      <c r="BSZ24" s="627"/>
      <c r="BTA24" s="627"/>
      <c r="BTB24" s="627"/>
      <c r="BTC24" s="627"/>
      <c r="BTD24" s="627"/>
      <c r="BTE24" s="627"/>
      <c r="BTF24" s="627"/>
      <c r="BTG24" s="627"/>
      <c r="BTH24" s="627"/>
      <c r="BTI24" s="627"/>
      <c r="BTJ24" s="627"/>
      <c r="BTK24" s="627"/>
      <c r="BTL24" s="627"/>
      <c r="BTM24" s="627"/>
      <c r="BTN24" s="627"/>
      <c r="BTO24" s="627"/>
      <c r="BTP24" s="627"/>
      <c r="BTQ24" s="627"/>
      <c r="BTR24" s="627"/>
      <c r="BTS24" s="627"/>
      <c r="BTT24" s="627"/>
      <c r="BTU24" s="627"/>
      <c r="BTV24" s="627"/>
      <c r="BTW24" s="627"/>
      <c r="BTX24" s="627"/>
      <c r="BTY24" s="627"/>
      <c r="BTZ24" s="627"/>
      <c r="BUA24" s="627"/>
      <c r="BUB24" s="627"/>
      <c r="BUC24" s="627"/>
      <c r="BUD24" s="627"/>
      <c r="BUE24" s="627"/>
      <c r="BUF24" s="627"/>
      <c r="BUG24" s="627"/>
      <c r="BUH24" s="627"/>
      <c r="BUI24" s="627"/>
      <c r="BUJ24" s="627"/>
      <c r="BUK24" s="627"/>
      <c r="BUL24" s="627"/>
      <c r="BUM24" s="627"/>
      <c r="BUN24" s="627"/>
      <c r="BUO24" s="627"/>
      <c r="BUP24" s="627"/>
      <c r="BUQ24" s="627"/>
      <c r="BUR24" s="627"/>
      <c r="BUS24" s="627"/>
      <c r="BUT24" s="627"/>
      <c r="BUU24" s="627"/>
      <c r="BUV24" s="627"/>
      <c r="BUW24" s="627"/>
      <c r="BUX24" s="627"/>
      <c r="BUY24" s="627"/>
      <c r="BUZ24" s="627"/>
      <c r="BVA24" s="627"/>
      <c r="BVB24" s="627"/>
      <c r="BVC24" s="627"/>
      <c r="BVD24" s="627"/>
      <c r="BVE24" s="627"/>
      <c r="BVF24" s="627"/>
      <c r="BVG24" s="627"/>
      <c r="BVH24" s="627"/>
      <c r="BVI24" s="627"/>
      <c r="BVJ24" s="627"/>
      <c r="BVK24" s="627"/>
      <c r="BVL24" s="627"/>
      <c r="BVM24" s="627"/>
      <c r="BVN24" s="627"/>
      <c r="BVO24" s="627"/>
      <c r="BVP24" s="627"/>
      <c r="BVQ24" s="627"/>
      <c r="BVR24" s="627"/>
      <c r="BVS24" s="627"/>
      <c r="BVT24" s="627"/>
      <c r="BVU24" s="627"/>
      <c r="BVV24" s="627"/>
      <c r="BVW24" s="627"/>
      <c r="BVX24" s="627"/>
      <c r="BVY24" s="627"/>
      <c r="BVZ24" s="627"/>
      <c r="BWA24" s="627"/>
      <c r="BWB24" s="627"/>
      <c r="BWC24" s="627"/>
      <c r="BWD24" s="627"/>
      <c r="BWE24" s="627"/>
      <c r="BWF24" s="627"/>
      <c r="BWG24" s="627"/>
      <c r="BWH24" s="627"/>
      <c r="BWI24" s="627"/>
      <c r="BWJ24" s="627"/>
      <c r="BWK24" s="627"/>
      <c r="BWL24" s="627"/>
      <c r="BWM24" s="627"/>
      <c r="BWN24" s="627"/>
      <c r="BWO24" s="627"/>
      <c r="BWP24" s="627"/>
      <c r="BWQ24" s="627"/>
      <c r="BWR24" s="627"/>
      <c r="BWS24" s="627"/>
      <c r="BWT24" s="627"/>
      <c r="BWU24" s="627"/>
      <c r="BWV24" s="627"/>
      <c r="BWW24" s="627"/>
      <c r="BWX24" s="627"/>
      <c r="BWY24" s="627"/>
      <c r="BWZ24" s="627"/>
      <c r="BXA24" s="627"/>
      <c r="BXB24" s="627"/>
      <c r="BXC24" s="627"/>
      <c r="BXD24" s="627"/>
      <c r="BXE24" s="627"/>
      <c r="BXF24" s="627"/>
      <c r="BXG24" s="627"/>
      <c r="BXH24" s="627"/>
    </row>
    <row r="25" spans="1:1984" s="3136" customFormat="1" ht="21" customHeight="1" thickBot="1" x14ac:dyDescent="0.35">
      <c r="A25" s="2829" t="s">
        <v>2876</v>
      </c>
      <c r="B25" s="3161">
        <v>5681.8225991499994</v>
      </c>
      <c r="C25" s="3161">
        <v>4922.9812535399988</v>
      </c>
      <c r="D25" s="3161">
        <v>6902.3129092670397</v>
      </c>
      <c r="E25" s="3161">
        <v>7792.3800382303325</v>
      </c>
      <c r="F25" s="3161">
        <v>10091.131090879226</v>
      </c>
      <c r="G25" s="3161">
        <v>11718.668688750769</v>
      </c>
      <c r="H25" s="3161">
        <v>12114.068540410874</v>
      </c>
      <c r="I25" s="3161">
        <v>12640.246368763939</v>
      </c>
      <c r="J25" s="3161">
        <v>15895.765230898771</v>
      </c>
      <c r="K25" s="3161">
        <v>17559.013673898582</v>
      </c>
      <c r="L25" s="3161">
        <v>17851.617274404562</v>
      </c>
      <c r="M25" s="3161">
        <v>17879.804387897188</v>
      </c>
      <c r="N25" s="3161">
        <v>17071.525297385113</v>
      </c>
      <c r="O25" s="3161">
        <v>17009.088262296293</v>
      </c>
      <c r="P25" s="3161">
        <v>16767.69569164209</v>
      </c>
      <c r="Q25" s="3161">
        <v>17497.913567099931</v>
      </c>
      <c r="R25" s="3161">
        <v>19160.352829791642</v>
      </c>
      <c r="S25" s="3161">
        <v>19629.204013814593</v>
      </c>
      <c r="T25" s="3161">
        <v>19171.818828711854</v>
      </c>
      <c r="U25" s="3161">
        <v>19807.696388012831</v>
      </c>
      <c r="V25" s="627"/>
      <c r="W25" s="627"/>
      <c r="X25" s="627"/>
      <c r="Y25" s="627"/>
      <c r="Z25" s="627"/>
      <c r="AA25" s="627"/>
      <c r="AB25" s="627"/>
      <c r="AC25" s="627"/>
      <c r="AD25" s="627"/>
      <c r="AE25" s="627"/>
      <c r="AF25" s="627"/>
      <c r="AG25" s="627"/>
      <c r="AH25" s="627"/>
      <c r="AI25" s="627"/>
      <c r="AJ25" s="627"/>
      <c r="AK25" s="627"/>
      <c r="AL25" s="627"/>
      <c r="AM25" s="627"/>
      <c r="AN25" s="627"/>
      <c r="AO25" s="627"/>
      <c r="AP25" s="627"/>
      <c r="AQ25" s="627"/>
      <c r="AR25" s="627"/>
      <c r="AS25" s="627"/>
      <c r="AT25" s="627"/>
      <c r="AU25" s="627"/>
      <c r="AV25" s="627"/>
      <c r="AW25" s="627"/>
      <c r="AX25" s="627"/>
      <c r="AY25" s="627"/>
      <c r="AZ25" s="627"/>
      <c r="BA25" s="627"/>
      <c r="BB25" s="627"/>
      <c r="BC25" s="627"/>
      <c r="BD25" s="627"/>
      <c r="BE25" s="627"/>
      <c r="BF25" s="627"/>
      <c r="BG25" s="627"/>
      <c r="BH25" s="627"/>
      <c r="BI25" s="627"/>
      <c r="BJ25" s="627"/>
      <c r="BK25" s="627"/>
      <c r="BL25" s="627"/>
      <c r="BM25" s="627"/>
      <c r="BN25" s="627"/>
      <c r="BO25" s="627"/>
      <c r="BP25" s="627"/>
      <c r="BQ25" s="627"/>
      <c r="BR25" s="627"/>
      <c r="BS25" s="627"/>
      <c r="BT25" s="627"/>
      <c r="BU25" s="627"/>
      <c r="BV25" s="627"/>
      <c r="BW25" s="627"/>
      <c r="BX25" s="627"/>
      <c r="BY25" s="627"/>
      <c r="BZ25" s="627"/>
      <c r="CA25" s="627"/>
      <c r="CB25" s="627"/>
      <c r="CC25" s="627"/>
      <c r="CD25" s="627"/>
      <c r="CE25" s="627"/>
      <c r="CF25" s="627"/>
      <c r="CG25" s="627"/>
      <c r="CH25" s="627"/>
      <c r="CI25" s="627"/>
      <c r="CJ25" s="627"/>
      <c r="CK25" s="627"/>
      <c r="CL25" s="627"/>
      <c r="CM25" s="627"/>
      <c r="CN25" s="627"/>
      <c r="CO25" s="627"/>
      <c r="CP25" s="627"/>
      <c r="CQ25" s="627"/>
      <c r="CR25" s="627"/>
      <c r="CS25" s="627"/>
      <c r="CT25" s="627"/>
      <c r="CU25" s="627"/>
      <c r="CV25" s="627"/>
      <c r="CW25" s="627"/>
      <c r="CX25" s="627"/>
      <c r="CY25" s="627"/>
      <c r="CZ25" s="627"/>
      <c r="DA25" s="627"/>
      <c r="DB25" s="627"/>
      <c r="DC25" s="627"/>
      <c r="DD25" s="627"/>
      <c r="DE25" s="627"/>
      <c r="DF25" s="627"/>
      <c r="DG25" s="627"/>
      <c r="DH25" s="627"/>
      <c r="DI25" s="627"/>
      <c r="DJ25" s="627"/>
      <c r="DK25" s="627"/>
      <c r="DL25" s="627"/>
      <c r="DM25" s="627"/>
      <c r="DN25" s="627"/>
      <c r="DO25" s="627"/>
      <c r="DP25" s="627"/>
      <c r="DQ25" s="627"/>
      <c r="DR25" s="627"/>
      <c r="DS25" s="627"/>
      <c r="DT25" s="627"/>
      <c r="DU25" s="627"/>
      <c r="DV25" s="627"/>
      <c r="DW25" s="627"/>
      <c r="DX25" s="627"/>
      <c r="DY25" s="627"/>
      <c r="DZ25" s="627"/>
      <c r="EA25" s="627"/>
      <c r="EB25" s="627"/>
      <c r="EC25" s="627"/>
      <c r="ED25" s="627"/>
      <c r="EE25" s="627"/>
      <c r="EF25" s="627"/>
      <c r="EG25" s="627"/>
      <c r="EH25" s="627"/>
      <c r="EI25" s="627"/>
      <c r="EJ25" s="627"/>
      <c r="EK25" s="627"/>
      <c r="EL25" s="627"/>
      <c r="EM25" s="627"/>
      <c r="EN25" s="627"/>
      <c r="EO25" s="627"/>
      <c r="EP25" s="627"/>
      <c r="EQ25" s="627"/>
      <c r="ER25" s="627"/>
      <c r="ES25" s="627"/>
      <c r="ET25" s="627"/>
      <c r="EU25" s="627"/>
      <c r="EV25" s="627"/>
      <c r="EW25" s="627"/>
      <c r="EX25" s="627"/>
      <c r="EY25" s="627"/>
      <c r="EZ25" s="627"/>
      <c r="FA25" s="627"/>
      <c r="FB25" s="627"/>
      <c r="FC25" s="627"/>
      <c r="FD25" s="627"/>
      <c r="FE25" s="627"/>
      <c r="FF25" s="627"/>
      <c r="FG25" s="627"/>
      <c r="FH25" s="627"/>
      <c r="FI25" s="627"/>
      <c r="FJ25" s="627"/>
      <c r="FK25" s="627"/>
      <c r="FL25" s="627"/>
      <c r="FM25" s="627"/>
      <c r="FN25" s="627"/>
      <c r="FO25" s="627"/>
      <c r="FP25" s="627"/>
      <c r="FQ25" s="627"/>
      <c r="FR25" s="627"/>
      <c r="FS25" s="627"/>
      <c r="FT25" s="627"/>
      <c r="FU25" s="627"/>
      <c r="FV25" s="627"/>
      <c r="FW25" s="627"/>
      <c r="FX25" s="627"/>
      <c r="FY25" s="627"/>
      <c r="FZ25" s="627"/>
      <c r="GA25" s="627"/>
      <c r="GB25" s="627"/>
      <c r="GC25" s="627"/>
      <c r="GD25" s="627"/>
      <c r="GE25" s="627"/>
      <c r="GF25" s="627"/>
      <c r="GG25" s="627"/>
      <c r="GH25" s="627"/>
      <c r="GI25" s="627"/>
      <c r="GJ25" s="627"/>
      <c r="GK25" s="627"/>
      <c r="GL25" s="627"/>
      <c r="GM25" s="627"/>
      <c r="GN25" s="627"/>
      <c r="GO25" s="627"/>
      <c r="GP25" s="627"/>
      <c r="GQ25" s="627"/>
      <c r="GR25" s="627"/>
      <c r="GS25" s="627"/>
      <c r="GT25" s="627"/>
      <c r="GU25" s="627"/>
      <c r="GV25" s="627"/>
      <c r="GW25" s="627"/>
      <c r="GX25" s="627"/>
      <c r="GY25" s="627"/>
      <c r="GZ25" s="627"/>
      <c r="HA25" s="627"/>
      <c r="HB25" s="627"/>
      <c r="HC25" s="627"/>
      <c r="HD25" s="627"/>
      <c r="HE25" s="627"/>
      <c r="HF25" s="627"/>
      <c r="HG25" s="627"/>
      <c r="HH25" s="627"/>
      <c r="HI25" s="627"/>
      <c r="HJ25" s="627"/>
      <c r="HK25" s="627"/>
      <c r="HL25" s="627"/>
      <c r="HM25" s="627"/>
      <c r="HN25" s="627"/>
      <c r="HO25" s="627"/>
      <c r="HP25" s="627"/>
      <c r="HQ25" s="627"/>
      <c r="HR25" s="627"/>
      <c r="HS25" s="627"/>
      <c r="HT25" s="627"/>
      <c r="HU25" s="627"/>
      <c r="HV25" s="627"/>
      <c r="HW25" s="627"/>
      <c r="HX25" s="627"/>
      <c r="HY25" s="627"/>
      <c r="HZ25" s="627"/>
      <c r="IA25" s="627"/>
      <c r="IB25" s="627"/>
      <c r="IC25" s="627"/>
      <c r="ID25" s="627"/>
      <c r="IE25" s="627"/>
      <c r="IF25" s="627"/>
      <c r="IG25" s="627"/>
      <c r="IH25" s="627"/>
      <c r="II25" s="627"/>
      <c r="IJ25" s="627"/>
      <c r="IK25" s="627"/>
      <c r="IL25" s="627"/>
      <c r="IM25" s="627"/>
      <c r="IN25" s="627"/>
      <c r="IO25" s="627"/>
      <c r="IP25" s="627"/>
      <c r="IQ25" s="627"/>
      <c r="IR25" s="627"/>
      <c r="IS25" s="627"/>
      <c r="IT25" s="627"/>
      <c r="IU25" s="627"/>
      <c r="IV25" s="627"/>
      <c r="IW25" s="627"/>
      <c r="IX25" s="627"/>
      <c r="IY25" s="627"/>
      <c r="IZ25" s="627"/>
      <c r="JA25" s="627"/>
      <c r="JB25" s="627"/>
      <c r="JC25" s="627"/>
      <c r="JD25" s="627"/>
      <c r="JE25" s="627"/>
      <c r="JF25" s="627"/>
      <c r="JG25" s="627"/>
      <c r="JH25" s="627"/>
      <c r="JI25" s="627"/>
      <c r="JJ25" s="627"/>
      <c r="JK25" s="627"/>
      <c r="JL25" s="627"/>
      <c r="JM25" s="627"/>
      <c r="JN25" s="627"/>
      <c r="JO25" s="627"/>
      <c r="JP25" s="627"/>
      <c r="JQ25" s="627"/>
      <c r="JR25" s="627"/>
      <c r="JS25" s="627"/>
      <c r="JT25" s="627"/>
      <c r="JU25" s="627"/>
      <c r="JV25" s="627"/>
      <c r="JW25" s="627"/>
      <c r="JX25" s="627"/>
      <c r="JY25" s="627"/>
      <c r="JZ25" s="627"/>
      <c r="KA25" s="627"/>
      <c r="KB25" s="627"/>
      <c r="KC25" s="627"/>
      <c r="KD25" s="627"/>
      <c r="KE25" s="627"/>
      <c r="KF25" s="627"/>
      <c r="KG25" s="627"/>
      <c r="KH25" s="627"/>
      <c r="KI25" s="627"/>
      <c r="KJ25" s="627"/>
      <c r="KK25" s="627"/>
      <c r="KL25" s="627"/>
      <c r="KM25" s="627"/>
      <c r="KN25" s="627"/>
      <c r="KO25" s="627"/>
      <c r="KP25" s="627"/>
      <c r="KQ25" s="627"/>
      <c r="KR25" s="627"/>
      <c r="KS25" s="627"/>
      <c r="KT25" s="627"/>
      <c r="KU25" s="627"/>
      <c r="KV25" s="627"/>
      <c r="KW25" s="627"/>
      <c r="KX25" s="627"/>
      <c r="KY25" s="627"/>
      <c r="KZ25" s="627"/>
      <c r="LA25" s="627"/>
      <c r="LB25" s="627"/>
      <c r="LC25" s="627"/>
      <c r="LD25" s="627"/>
      <c r="LE25" s="627"/>
      <c r="LF25" s="627"/>
      <c r="LG25" s="627"/>
      <c r="LH25" s="627"/>
      <c r="LI25" s="627"/>
      <c r="LJ25" s="627"/>
      <c r="LK25" s="627"/>
      <c r="LL25" s="627"/>
      <c r="LM25" s="627"/>
      <c r="LN25" s="627"/>
      <c r="LO25" s="627"/>
      <c r="LP25" s="627"/>
      <c r="LQ25" s="627"/>
      <c r="LR25" s="627"/>
      <c r="LS25" s="627"/>
      <c r="LT25" s="627"/>
      <c r="LU25" s="627"/>
      <c r="LV25" s="627"/>
      <c r="LW25" s="627"/>
      <c r="LX25" s="627"/>
      <c r="LY25" s="627"/>
      <c r="LZ25" s="627"/>
      <c r="MA25" s="627"/>
      <c r="MB25" s="627"/>
      <c r="MC25" s="627"/>
      <c r="MD25" s="627"/>
      <c r="ME25" s="627"/>
      <c r="MF25" s="627"/>
      <c r="MG25" s="627"/>
      <c r="MH25" s="627"/>
      <c r="MI25" s="627"/>
      <c r="MJ25" s="627"/>
      <c r="MK25" s="627"/>
      <c r="ML25" s="627"/>
      <c r="MM25" s="627"/>
      <c r="MN25" s="627"/>
      <c r="MO25" s="627"/>
      <c r="MP25" s="627"/>
      <c r="MQ25" s="627"/>
      <c r="MR25" s="627"/>
      <c r="MS25" s="627"/>
      <c r="MT25" s="627"/>
      <c r="MU25" s="627"/>
      <c r="MV25" s="627"/>
      <c r="MW25" s="627"/>
      <c r="MX25" s="627"/>
      <c r="MY25" s="627"/>
      <c r="MZ25" s="627"/>
      <c r="NA25" s="627"/>
      <c r="NB25" s="627"/>
      <c r="NC25" s="627"/>
      <c r="ND25" s="627"/>
      <c r="NE25" s="627"/>
      <c r="NF25" s="627"/>
      <c r="NG25" s="627"/>
      <c r="NH25" s="627"/>
      <c r="NI25" s="627"/>
      <c r="NJ25" s="627"/>
      <c r="NK25" s="627"/>
      <c r="NL25" s="627"/>
      <c r="NM25" s="627"/>
      <c r="NN25" s="627"/>
      <c r="NO25" s="627"/>
      <c r="NP25" s="627"/>
      <c r="NQ25" s="627"/>
      <c r="NR25" s="627"/>
      <c r="NS25" s="627"/>
      <c r="NT25" s="627"/>
      <c r="NU25" s="627"/>
      <c r="NV25" s="627"/>
      <c r="NW25" s="627"/>
      <c r="NX25" s="627"/>
      <c r="NY25" s="627"/>
      <c r="NZ25" s="627"/>
      <c r="OA25" s="627"/>
      <c r="OB25" s="627"/>
      <c r="OC25" s="627"/>
      <c r="OD25" s="627"/>
      <c r="OE25" s="627"/>
      <c r="OF25" s="627"/>
      <c r="OG25" s="627"/>
      <c r="OH25" s="627"/>
      <c r="OI25" s="627"/>
      <c r="OJ25" s="627"/>
      <c r="OK25" s="627"/>
      <c r="OL25" s="627"/>
      <c r="OM25" s="627"/>
      <c r="ON25" s="627"/>
      <c r="OO25" s="627"/>
      <c r="OP25" s="627"/>
      <c r="OQ25" s="627"/>
      <c r="OR25" s="627"/>
      <c r="OS25" s="627"/>
      <c r="OT25" s="627"/>
      <c r="OU25" s="627"/>
      <c r="OV25" s="627"/>
      <c r="OW25" s="627"/>
      <c r="OX25" s="627"/>
      <c r="OY25" s="627"/>
      <c r="OZ25" s="627"/>
      <c r="PA25" s="627"/>
      <c r="PB25" s="627"/>
      <c r="PC25" s="627"/>
      <c r="PD25" s="627"/>
      <c r="PE25" s="627"/>
      <c r="PF25" s="627"/>
      <c r="PG25" s="627"/>
      <c r="PH25" s="627"/>
      <c r="PI25" s="627"/>
      <c r="PJ25" s="627"/>
      <c r="PK25" s="627"/>
      <c r="PL25" s="627"/>
      <c r="PM25" s="627"/>
      <c r="PN25" s="627"/>
      <c r="PO25" s="627"/>
      <c r="PP25" s="627"/>
      <c r="PQ25" s="627"/>
      <c r="PR25" s="627"/>
      <c r="PS25" s="627"/>
      <c r="PT25" s="627"/>
      <c r="PU25" s="627"/>
      <c r="PV25" s="627"/>
      <c r="PW25" s="627"/>
      <c r="PX25" s="627"/>
      <c r="PY25" s="627"/>
      <c r="PZ25" s="627"/>
      <c r="QA25" s="627"/>
      <c r="QB25" s="627"/>
      <c r="QC25" s="627"/>
      <c r="QD25" s="627"/>
      <c r="QE25" s="627"/>
      <c r="QF25" s="627"/>
      <c r="QG25" s="627"/>
      <c r="QH25" s="627"/>
      <c r="QI25" s="627"/>
      <c r="QJ25" s="627"/>
      <c r="QK25" s="627"/>
      <c r="QL25" s="627"/>
      <c r="QM25" s="627"/>
      <c r="QN25" s="627"/>
      <c r="QO25" s="627"/>
      <c r="QP25" s="627"/>
      <c r="QQ25" s="627"/>
      <c r="QR25" s="627"/>
      <c r="QS25" s="627"/>
      <c r="QT25" s="627"/>
      <c r="QU25" s="627"/>
      <c r="QV25" s="627"/>
      <c r="QW25" s="627"/>
      <c r="QX25" s="627"/>
      <c r="QY25" s="627"/>
      <c r="QZ25" s="627"/>
      <c r="RA25" s="627"/>
      <c r="RB25" s="627"/>
      <c r="RC25" s="627"/>
      <c r="RD25" s="627"/>
      <c r="RE25" s="627"/>
      <c r="RF25" s="627"/>
      <c r="RG25" s="627"/>
      <c r="RH25" s="627"/>
      <c r="RI25" s="627"/>
      <c r="RJ25" s="627"/>
      <c r="RK25" s="627"/>
      <c r="RL25" s="627"/>
      <c r="RM25" s="627"/>
      <c r="RN25" s="627"/>
      <c r="RO25" s="627"/>
      <c r="RP25" s="627"/>
      <c r="RQ25" s="627"/>
      <c r="RR25" s="627"/>
      <c r="RS25" s="627"/>
      <c r="RT25" s="627"/>
      <c r="RU25" s="627"/>
      <c r="RV25" s="627"/>
      <c r="RW25" s="627"/>
      <c r="RX25" s="627"/>
      <c r="RY25" s="627"/>
      <c r="RZ25" s="627"/>
      <c r="SA25" s="627"/>
      <c r="SB25" s="627"/>
      <c r="SC25" s="627"/>
      <c r="SD25" s="627"/>
      <c r="SE25" s="627"/>
      <c r="SF25" s="627"/>
      <c r="SG25" s="627"/>
      <c r="SH25" s="627"/>
      <c r="SI25" s="627"/>
      <c r="SJ25" s="627"/>
      <c r="SK25" s="627"/>
      <c r="SL25" s="627"/>
      <c r="SM25" s="627"/>
      <c r="SN25" s="627"/>
      <c r="SO25" s="627"/>
      <c r="SP25" s="627"/>
      <c r="SQ25" s="627"/>
      <c r="SR25" s="627"/>
      <c r="SS25" s="627"/>
      <c r="ST25" s="627"/>
      <c r="SU25" s="627"/>
      <c r="SV25" s="627"/>
      <c r="SW25" s="627"/>
      <c r="SX25" s="627"/>
      <c r="SY25" s="627"/>
      <c r="SZ25" s="627"/>
      <c r="TA25" s="627"/>
      <c r="TB25" s="627"/>
      <c r="TC25" s="627"/>
      <c r="TD25" s="627"/>
      <c r="TE25" s="627"/>
      <c r="TF25" s="627"/>
      <c r="TG25" s="627"/>
      <c r="TH25" s="627"/>
      <c r="TI25" s="627"/>
      <c r="TJ25" s="627"/>
      <c r="TK25" s="627"/>
      <c r="TL25" s="627"/>
      <c r="TM25" s="627"/>
      <c r="TN25" s="627"/>
      <c r="TO25" s="627"/>
      <c r="TP25" s="627"/>
      <c r="TQ25" s="627"/>
      <c r="TR25" s="627"/>
      <c r="TS25" s="627"/>
      <c r="TT25" s="627"/>
      <c r="TU25" s="627"/>
      <c r="TV25" s="627"/>
      <c r="TW25" s="627"/>
      <c r="TX25" s="627"/>
      <c r="TY25" s="627"/>
      <c r="TZ25" s="627"/>
      <c r="UA25" s="627"/>
      <c r="UB25" s="627"/>
      <c r="UC25" s="627"/>
      <c r="UD25" s="627"/>
      <c r="UE25" s="627"/>
      <c r="UF25" s="627"/>
      <c r="UG25" s="627"/>
      <c r="UH25" s="627"/>
      <c r="UI25" s="627"/>
      <c r="UJ25" s="627"/>
      <c r="UK25" s="627"/>
      <c r="UL25" s="627"/>
      <c r="UM25" s="627"/>
      <c r="UN25" s="627"/>
      <c r="UO25" s="627"/>
      <c r="UP25" s="627"/>
      <c r="UQ25" s="627"/>
      <c r="UR25" s="627"/>
      <c r="US25" s="627"/>
      <c r="UT25" s="627"/>
      <c r="UU25" s="627"/>
      <c r="UV25" s="627"/>
      <c r="UW25" s="627"/>
      <c r="UX25" s="627"/>
      <c r="UY25" s="627"/>
      <c r="UZ25" s="627"/>
      <c r="VA25" s="627"/>
      <c r="VB25" s="627"/>
      <c r="VC25" s="627"/>
      <c r="VD25" s="627"/>
      <c r="VE25" s="627"/>
      <c r="VF25" s="627"/>
      <c r="VG25" s="627"/>
      <c r="VH25" s="627"/>
      <c r="VI25" s="627"/>
      <c r="VJ25" s="627"/>
      <c r="VK25" s="627"/>
      <c r="VL25" s="627"/>
      <c r="VM25" s="627"/>
      <c r="VN25" s="627"/>
      <c r="VO25" s="627"/>
      <c r="VP25" s="627"/>
      <c r="VQ25" s="627"/>
      <c r="VR25" s="627"/>
      <c r="VS25" s="627"/>
      <c r="VT25" s="627"/>
      <c r="VU25" s="627"/>
      <c r="VV25" s="627"/>
      <c r="VW25" s="627"/>
      <c r="VX25" s="627"/>
      <c r="VY25" s="627"/>
      <c r="VZ25" s="627"/>
      <c r="WA25" s="627"/>
      <c r="WB25" s="627"/>
      <c r="WC25" s="627"/>
      <c r="WD25" s="627"/>
      <c r="WE25" s="627"/>
      <c r="WF25" s="627"/>
      <c r="WG25" s="627"/>
      <c r="WH25" s="627"/>
      <c r="WI25" s="627"/>
      <c r="WJ25" s="627"/>
      <c r="WK25" s="627"/>
      <c r="WL25" s="627"/>
      <c r="WM25" s="627"/>
      <c r="WN25" s="627"/>
      <c r="WO25" s="627"/>
      <c r="WP25" s="627"/>
      <c r="WQ25" s="627"/>
      <c r="WR25" s="627"/>
      <c r="WS25" s="627"/>
      <c r="WT25" s="627"/>
      <c r="WU25" s="627"/>
      <c r="WV25" s="627"/>
      <c r="WW25" s="627"/>
      <c r="WX25" s="627"/>
      <c r="WY25" s="627"/>
      <c r="WZ25" s="627"/>
      <c r="XA25" s="627"/>
      <c r="XB25" s="627"/>
      <c r="XC25" s="627"/>
      <c r="XD25" s="627"/>
      <c r="XE25" s="627"/>
      <c r="XF25" s="627"/>
      <c r="XG25" s="627"/>
      <c r="XH25" s="627"/>
      <c r="XI25" s="627"/>
      <c r="XJ25" s="627"/>
      <c r="XK25" s="627"/>
      <c r="XL25" s="627"/>
      <c r="XM25" s="627"/>
      <c r="XN25" s="627"/>
      <c r="XO25" s="627"/>
      <c r="XP25" s="627"/>
      <c r="XQ25" s="627"/>
      <c r="XR25" s="627"/>
      <c r="XS25" s="627"/>
      <c r="XT25" s="627"/>
      <c r="XU25" s="627"/>
      <c r="XV25" s="627"/>
      <c r="XW25" s="627"/>
      <c r="XX25" s="627"/>
      <c r="XY25" s="627"/>
      <c r="XZ25" s="627"/>
      <c r="YA25" s="627"/>
      <c r="YB25" s="627"/>
      <c r="YC25" s="627"/>
      <c r="YD25" s="627"/>
      <c r="YE25" s="627"/>
      <c r="YF25" s="627"/>
      <c r="YG25" s="627"/>
      <c r="YH25" s="627"/>
      <c r="YI25" s="627"/>
      <c r="YJ25" s="627"/>
      <c r="YK25" s="627"/>
      <c r="YL25" s="627"/>
      <c r="YM25" s="627"/>
      <c r="YN25" s="627"/>
      <c r="YO25" s="627"/>
      <c r="YP25" s="627"/>
      <c r="YQ25" s="627"/>
      <c r="YR25" s="627"/>
      <c r="YS25" s="627"/>
      <c r="YT25" s="627"/>
      <c r="YU25" s="627"/>
      <c r="YV25" s="627"/>
      <c r="YW25" s="627"/>
      <c r="YX25" s="627"/>
      <c r="YY25" s="627"/>
      <c r="YZ25" s="627"/>
      <c r="ZA25" s="627"/>
      <c r="ZB25" s="627"/>
      <c r="ZC25" s="627"/>
      <c r="ZD25" s="627"/>
      <c r="ZE25" s="627"/>
      <c r="ZF25" s="627"/>
      <c r="ZG25" s="627"/>
      <c r="ZH25" s="627"/>
      <c r="ZI25" s="627"/>
      <c r="ZJ25" s="627"/>
      <c r="ZK25" s="627"/>
      <c r="ZL25" s="627"/>
      <c r="ZM25" s="627"/>
      <c r="ZN25" s="627"/>
      <c r="ZO25" s="627"/>
      <c r="ZP25" s="627"/>
      <c r="ZQ25" s="627"/>
      <c r="ZR25" s="627"/>
      <c r="ZS25" s="627"/>
      <c r="ZT25" s="627"/>
      <c r="ZU25" s="627"/>
      <c r="ZV25" s="627"/>
      <c r="ZW25" s="627"/>
      <c r="ZX25" s="627"/>
      <c r="ZY25" s="627"/>
      <c r="ZZ25" s="627"/>
      <c r="AAA25" s="627"/>
      <c r="AAB25" s="627"/>
      <c r="AAC25" s="627"/>
      <c r="AAD25" s="627"/>
      <c r="AAE25" s="627"/>
      <c r="AAF25" s="627"/>
      <c r="AAG25" s="627"/>
      <c r="AAH25" s="627"/>
      <c r="AAI25" s="627"/>
      <c r="AAJ25" s="627"/>
      <c r="AAK25" s="627"/>
      <c r="AAL25" s="627"/>
      <c r="AAM25" s="627"/>
      <c r="AAN25" s="627"/>
      <c r="AAO25" s="627"/>
      <c r="AAP25" s="627"/>
      <c r="AAQ25" s="627"/>
      <c r="AAR25" s="627"/>
      <c r="AAS25" s="627"/>
      <c r="AAT25" s="627"/>
      <c r="AAU25" s="627"/>
      <c r="AAV25" s="627"/>
      <c r="AAW25" s="627"/>
      <c r="AAX25" s="627"/>
      <c r="AAY25" s="627"/>
      <c r="AAZ25" s="627"/>
      <c r="ABA25" s="627"/>
      <c r="ABB25" s="627"/>
      <c r="ABC25" s="627"/>
      <c r="ABD25" s="627"/>
      <c r="ABE25" s="627"/>
      <c r="ABF25" s="627"/>
      <c r="ABG25" s="627"/>
      <c r="ABH25" s="627"/>
      <c r="ABI25" s="627"/>
      <c r="ABJ25" s="627"/>
      <c r="ABK25" s="627"/>
      <c r="ABL25" s="627"/>
      <c r="ABM25" s="627"/>
      <c r="ABN25" s="627"/>
      <c r="ABO25" s="627"/>
      <c r="ABP25" s="627"/>
      <c r="ABQ25" s="627"/>
      <c r="ABR25" s="627"/>
      <c r="ABS25" s="627"/>
      <c r="ABT25" s="627"/>
      <c r="ABU25" s="627"/>
      <c r="ABV25" s="627"/>
      <c r="ABW25" s="627"/>
      <c r="ABX25" s="627"/>
      <c r="ABY25" s="627"/>
      <c r="ABZ25" s="627"/>
      <c r="ACA25" s="627"/>
      <c r="ACB25" s="627"/>
      <c r="ACC25" s="627"/>
      <c r="ACD25" s="627"/>
      <c r="ACE25" s="627"/>
      <c r="ACF25" s="627"/>
      <c r="ACG25" s="627"/>
      <c r="ACH25" s="627"/>
      <c r="ACI25" s="627"/>
      <c r="ACJ25" s="627"/>
      <c r="ACK25" s="627"/>
      <c r="ACL25" s="627"/>
      <c r="ACM25" s="627"/>
      <c r="ACN25" s="627"/>
      <c r="ACO25" s="627"/>
      <c r="ACP25" s="627"/>
      <c r="ACQ25" s="627"/>
      <c r="ACR25" s="627"/>
      <c r="ACS25" s="627"/>
      <c r="ACT25" s="627"/>
      <c r="ACU25" s="627"/>
      <c r="ACV25" s="627"/>
      <c r="ACW25" s="627"/>
      <c r="ACX25" s="627"/>
      <c r="ACY25" s="627"/>
      <c r="ACZ25" s="627"/>
      <c r="ADA25" s="627"/>
      <c r="ADB25" s="627"/>
      <c r="ADC25" s="627"/>
      <c r="ADD25" s="627"/>
      <c r="ADE25" s="627"/>
      <c r="ADF25" s="627"/>
      <c r="ADG25" s="627"/>
      <c r="ADH25" s="627"/>
      <c r="ADI25" s="627"/>
      <c r="ADJ25" s="627"/>
      <c r="ADK25" s="627"/>
      <c r="ADL25" s="627"/>
      <c r="ADM25" s="627"/>
      <c r="ADN25" s="627"/>
      <c r="ADO25" s="627"/>
      <c r="ADP25" s="627"/>
      <c r="ADQ25" s="627"/>
      <c r="ADR25" s="627"/>
      <c r="ADS25" s="627"/>
      <c r="ADT25" s="627"/>
      <c r="ADU25" s="627"/>
      <c r="ADV25" s="627"/>
      <c r="ADW25" s="627"/>
      <c r="ADX25" s="627"/>
      <c r="ADY25" s="627"/>
      <c r="ADZ25" s="627"/>
      <c r="AEA25" s="627"/>
      <c r="AEB25" s="627"/>
      <c r="AEC25" s="627"/>
      <c r="AED25" s="627"/>
      <c r="AEE25" s="627"/>
      <c r="AEF25" s="627"/>
      <c r="AEG25" s="627"/>
      <c r="AEH25" s="627"/>
      <c r="AEI25" s="627"/>
      <c r="AEJ25" s="627"/>
      <c r="AEK25" s="627"/>
      <c r="AEL25" s="627"/>
      <c r="AEM25" s="627"/>
      <c r="AEN25" s="627"/>
      <c r="AEO25" s="627"/>
      <c r="AEP25" s="627"/>
      <c r="AEQ25" s="627"/>
      <c r="AER25" s="627"/>
      <c r="AES25" s="627"/>
      <c r="AET25" s="627"/>
      <c r="AEU25" s="627"/>
      <c r="AEV25" s="627"/>
      <c r="AEW25" s="627"/>
      <c r="AEX25" s="627"/>
      <c r="AEY25" s="627"/>
      <c r="AEZ25" s="627"/>
      <c r="AFA25" s="627"/>
      <c r="AFB25" s="627"/>
      <c r="AFC25" s="627"/>
      <c r="AFD25" s="627"/>
      <c r="AFE25" s="627"/>
      <c r="AFF25" s="627"/>
      <c r="AFG25" s="627"/>
      <c r="AFH25" s="627"/>
      <c r="AFI25" s="627"/>
      <c r="AFJ25" s="627"/>
      <c r="AFK25" s="627"/>
      <c r="AFL25" s="627"/>
      <c r="AFM25" s="627"/>
      <c r="AFN25" s="627"/>
      <c r="AFO25" s="627"/>
      <c r="AFP25" s="627"/>
      <c r="AFQ25" s="627"/>
      <c r="AFR25" s="627"/>
      <c r="AFS25" s="627"/>
      <c r="AFT25" s="627"/>
      <c r="AFU25" s="627"/>
      <c r="AFV25" s="627"/>
      <c r="AFW25" s="627"/>
      <c r="AFX25" s="627"/>
      <c r="AFY25" s="627"/>
      <c r="AFZ25" s="627"/>
      <c r="AGA25" s="627"/>
      <c r="AGB25" s="627"/>
      <c r="AGC25" s="627"/>
      <c r="AGD25" s="627"/>
      <c r="AGE25" s="627"/>
      <c r="AGF25" s="627"/>
      <c r="AGG25" s="627"/>
      <c r="AGH25" s="627"/>
      <c r="AGI25" s="627"/>
      <c r="AGJ25" s="627"/>
      <c r="AGK25" s="627"/>
      <c r="AGL25" s="627"/>
      <c r="AGM25" s="627"/>
      <c r="AGN25" s="627"/>
      <c r="AGO25" s="627"/>
      <c r="AGP25" s="627"/>
      <c r="AGQ25" s="627"/>
      <c r="AGR25" s="627"/>
      <c r="AGS25" s="627"/>
      <c r="AGT25" s="627"/>
      <c r="AGU25" s="627"/>
      <c r="AGV25" s="627"/>
      <c r="AGW25" s="627"/>
      <c r="AGX25" s="627"/>
      <c r="AGY25" s="627"/>
      <c r="AGZ25" s="627"/>
      <c r="AHA25" s="627"/>
      <c r="AHB25" s="627"/>
      <c r="AHC25" s="627"/>
      <c r="AHD25" s="627"/>
      <c r="AHE25" s="627"/>
      <c r="AHF25" s="627"/>
      <c r="AHG25" s="627"/>
      <c r="AHH25" s="627"/>
      <c r="AHI25" s="627"/>
      <c r="AHJ25" s="627"/>
      <c r="AHK25" s="627"/>
      <c r="AHL25" s="627"/>
      <c r="AHM25" s="627"/>
      <c r="AHN25" s="627"/>
      <c r="AHO25" s="627"/>
      <c r="AHP25" s="627"/>
      <c r="AHQ25" s="627"/>
      <c r="AHR25" s="627"/>
      <c r="AHS25" s="627"/>
      <c r="AHT25" s="627"/>
      <c r="AHU25" s="627"/>
      <c r="AHV25" s="627"/>
      <c r="AHW25" s="627"/>
      <c r="AHX25" s="627"/>
      <c r="AHY25" s="627"/>
      <c r="AHZ25" s="627"/>
      <c r="AIA25" s="627"/>
      <c r="AIB25" s="627"/>
      <c r="AIC25" s="627"/>
      <c r="AID25" s="627"/>
      <c r="AIE25" s="627"/>
      <c r="AIF25" s="627"/>
      <c r="AIG25" s="627"/>
      <c r="AIH25" s="627"/>
      <c r="AII25" s="627"/>
      <c r="AIJ25" s="627"/>
      <c r="AIK25" s="627"/>
      <c r="AIL25" s="627"/>
      <c r="AIM25" s="627"/>
      <c r="AIN25" s="627"/>
      <c r="AIO25" s="627"/>
      <c r="AIP25" s="627"/>
      <c r="AIQ25" s="627"/>
      <c r="AIR25" s="627"/>
      <c r="AIS25" s="627"/>
      <c r="AIT25" s="627"/>
      <c r="AIU25" s="627"/>
      <c r="AIV25" s="627"/>
      <c r="AIW25" s="627"/>
      <c r="AIX25" s="627"/>
      <c r="AIY25" s="627"/>
      <c r="AIZ25" s="627"/>
      <c r="AJA25" s="627"/>
      <c r="AJB25" s="627"/>
      <c r="AJC25" s="627"/>
      <c r="AJD25" s="627"/>
      <c r="AJE25" s="627"/>
      <c r="AJF25" s="627"/>
      <c r="AJG25" s="627"/>
      <c r="AJH25" s="627"/>
      <c r="AJI25" s="627"/>
      <c r="AJJ25" s="627"/>
      <c r="AJK25" s="627"/>
      <c r="AJL25" s="627"/>
      <c r="AJM25" s="627"/>
      <c r="AJN25" s="627"/>
      <c r="AJO25" s="627"/>
      <c r="AJP25" s="627"/>
      <c r="AJQ25" s="627"/>
      <c r="AJR25" s="627"/>
      <c r="AJS25" s="627"/>
      <c r="AJT25" s="627"/>
      <c r="AJU25" s="627"/>
      <c r="AJV25" s="627"/>
      <c r="AJW25" s="627"/>
      <c r="AJX25" s="627"/>
      <c r="AJY25" s="627"/>
      <c r="AJZ25" s="627"/>
      <c r="AKA25" s="627"/>
      <c r="AKB25" s="627"/>
      <c r="AKC25" s="627"/>
      <c r="AKD25" s="627"/>
      <c r="AKE25" s="627"/>
      <c r="AKF25" s="627"/>
      <c r="AKG25" s="627"/>
      <c r="AKH25" s="627"/>
      <c r="AKI25" s="627"/>
      <c r="AKJ25" s="627"/>
      <c r="AKK25" s="627"/>
      <c r="AKL25" s="627"/>
      <c r="AKM25" s="627"/>
      <c r="AKN25" s="627"/>
      <c r="AKO25" s="627"/>
      <c r="AKP25" s="627"/>
      <c r="AKQ25" s="627"/>
      <c r="AKR25" s="627"/>
      <c r="AKS25" s="627"/>
      <c r="AKT25" s="627"/>
      <c r="AKU25" s="627"/>
      <c r="AKV25" s="627"/>
      <c r="AKW25" s="627"/>
      <c r="AKX25" s="627"/>
      <c r="AKY25" s="627"/>
      <c r="AKZ25" s="627"/>
      <c r="ALA25" s="627"/>
      <c r="ALB25" s="627"/>
      <c r="ALC25" s="627"/>
      <c r="ALD25" s="627"/>
      <c r="ALE25" s="627"/>
      <c r="ALF25" s="627"/>
      <c r="ALG25" s="627"/>
      <c r="ALH25" s="627"/>
      <c r="ALI25" s="627"/>
      <c r="ALJ25" s="627"/>
      <c r="ALK25" s="627"/>
      <c r="ALL25" s="627"/>
      <c r="ALM25" s="627"/>
      <c r="ALN25" s="627"/>
      <c r="ALO25" s="627"/>
      <c r="ALP25" s="627"/>
      <c r="ALQ25" s="627"/>
      <c r="ALR25" s="627"/>
      <c r="ALS25" s="627"/>
      <c r="ALT25" s="627"/>
      <c r="ALU25" s="627"/>
      <c r="ALV25" s="627"/>
      <c r="ALW25" s="627"/>
      <c r="ALX25" s="627"/>
      <c r="ALY25" s="627"/>
      <c r="ALZ25" s="627"/>
      <c r="AMA25" s="627"/>
      <c r="AMB25" s="627"/>
      <c r="AMC25" s="627"/>
      <c r="AMD25" s="627"/>
      <c r="AME25" s="627"/>
      <c r="AMF25" s="627"/>
      <c r="AMG25" s="627"/>
      <c r="AMH25" s="627"/>
      <c r="AMI25" s="627"/>
      <c r="AMJ25" s="627"/>
      <c r="AMK25" s="627"/>
      <c r="AML25" s="627"/>
      <c r="AMM25" s="627"/>
      <c r="AMN25" s="627"/>
      <c r="AMO25" s="627"/>
      <c r="AMP25" s="627"/>
      <c r="AMQ25" s="627"/>
      <c r="AMR25" s="627"/>
      <c r="AMS25" s="627"/>
      <c r="AMT25" s="627"/>
      <c r="AMU25" s="627"/>
      <c r="AMV25" s="627"/>
      <c r="AMW25" s="627"/>
      <c r="AMX25" s="627"/>
      <c r="AMY25" s="627"/>
      <c r="AMZ25" s="627"/>
      <c r="ANA25" s="627"/>
      <c r="ANB25" s="627"/>
      <c r="ANC25" s="627"/>
      <c r="AND25" s="627"/>
      <c r="ANE25" s="627"/>
      <c r="ANF25" s="627"/>
      <c r="ANG25" s="627"/>
      <c r="ANH25" s="627"/>
      <c r="ANI25" s="627"/>
      <c r="ANJ25" s="627"/>
      <c r="ANK25" s="627"/>
      <c r="ANL25" s="627"/>
      <c r="ANM25" s="627"/>
      <c r="ANN25" s="627"/>
      <c r="ANO25" s="627"/>
      <c r="ANP25" s="627"/>
      <c r="ANQ25" s="627"/>
      <c r="ANR25" s="627"/>
      <c r="ANS25" s="627"/>
      <c r="ANT25" s="627"/>
      <c r="ANU25" s="627"/>
      <c r="ANV25" s="627"/>
      <c r="ANW25" s="627"/>
      <c r="ANX25" s="627"/>
      <c r="ANY25" s="627"/>
      <c r="ANZ25" s="627"/>
      <c r="AOA25" s="627"/>
      <c r="AOB25" s="627"/>
      <c r="AOC25" s="627"/>
      <c r="AOD25" s="627"/>
      <c r="AOE25" s="627"/>
      <c r="AOF25" s="627"/>
      <c r="AOG25" s="627"/>
      <c r="AOH25" s="627"/>
      <c r="AOI25" s="627"/>
      <c r="AOJ25" s="627"/>
      <c r="AOK25" s="627"/>
      <c r="AOL25" s="627"/>
      <c r="AOM25" s="627"/>
      <c r="AON25" s="627"/>
      <c r="AOO25" s="627"/>
      <c r="AOP25" s="627"/>
      <c r="AOQ25" s="627"/>
      <c r="AOR25" s="627"/>
      <c r="AOS25" s="627"/>
      <c r="AOT25" s="627"/>
      <c r="AOU25" s="627"/>
      <c r="AOV25" s="627"/>
      <c r="AOW25" s="627"/>
      <c r="AOX25" s="627"/>
      <c r="AOY25" s="627"/>
      <c r="AOZ25" s="627"/>
      <c r="APA25" s="627"/>
      <c r="APB25" s="627"/>
      <c r="APC25" s="627"/>
      <c r="APD25" s="627"/>
      <c r="APE25" s="627"/>
      <c r="APF25" s="627"/>
      <c r="APG25" s="627"/>
      <c r="APH25" s="627"/>
      <c r="API25" s="627"/>
      <c r="APJ25" s="627"/>
      <c r="APK25" s="627"/>
      <c r="APL25" s="627"/>
      <c r="APM25" s="627"/>
      <c r="APN25" s="627"/>
      <c r="APO25" s="627"/>
      <c r="APP25" s="627"/>
      <c r="APQ25" s="627"/>
      <c r="APR25" s="627"/>
      <c r="APS25" s="627"/>
      <c r="APT25" s="627"/>
      <c r="APU25" s="627"/>
      <c r="APV25" s="627"/>
      <c r="APW25" s="627"/>
      <c r="APX25" s="627"/>
      <c r="APY25" s="627"/>
      <c r="APZ25" s="627"/>
      <c r="AQA25" s="627"/>
      <c r="AQB25" s="627"/>
      <c r="AQC25" s="627"/>
      <c r="AQD25" s="627"/>
      <c r="AQE25" s="627"/>
      <c r="AQF25" s="627"/>
      <c r="AQG25" s="627"/>
      <c r="AQH25" s="627"/>
      <c r="AQI25" s="627"/>
      <c r="AQJ25" s="627"/>
      <c r="AQK25" s="627"/>
      <c r="AQL25" s="627"/>
      <c r="AQM25" s="627"/>
      <c r="AQN25" s="627"/>
      <c r="AQO25" s="627"/>
      <c r="AQP25" s="627"/>
      <c r="AQQ25" s="627"/>
      <c r="AQR25" s="627"/>
      <c r="AQS25" s="627"/>
      <c r="AQT25" s="627"/>
      <c r="AQU25" s="627"/>
      <c r="AQV25" s="627"/>
      <c r="AQW25" s="627"/>
      <c r="AQX25" s="627"/>
      <c r="AQY25" s="627"/>
      <c r="AQZ25" s="627"/>
      <c r="ARA25" s="627"/>
      <c r="ARB25" s="627"/>
      <c r="ARC25" s="627"/>
      <c r="ARD25" s="627"/>
      <c r="ARE25" s="627"/>
      <c r="ARF25" s="627"/>
      <c r="ARG25" s="627"/>
      <c r="ARH25" s="627"/>
      <c r="ARI25" s="627"/>
      <c r="ARJ25" s="627"/>
      <c r="ARK25" s="627"/>
      <c r="ARL25" s="627"/>
      <c r="ARM25" s="627"/>
      <c r="ARN25" s="627"/>
      <c r="ARO25" s="627"/>
      <c r="ARP25" s="627"/>
      <c r="ARQ25" s="627"/>
      <c r="ARR25" s="627"/>
      <c r="ARS25" s="627"/>
      <c r="ART25" s="627"/>
      <c r="ARU25" s="627"/>
      <c r="ARV25" s="627"/>
      <c r="ARW25" s="627"/>
      <c r="ARX25" s="627"/>
      <c r="ARY25" s="627"/>
      <c r="ARZ25" s="627"/>
      <c r="ASA25" s="627"/>
      <c r="ASB25" s="627"/>
      <c r="ASC25" s="627"/>
      <c r="ASD25" s="627"/>
      <c r="ASE25" s="627"/>
      <c r="ASF25" s="627"/>
      <c r="ASG25" s="627"/>
      <c r="ASH25" s="627"/>
      <c r="ASI25" s="627"/>
      <c r="ASJ25" s="627"/>
      <c r="ASK25" s="627"/>
      <c r="ASL25" s="627"/>
      <c r="ASM25" s="627"/>
      <c r="ASN25" s="627"/>
      <c r="ASO25" s="627"/>
      <c r="ASP25" s="627"/>
      <c r="ASQ25" s="627"/>
      <c r="ASR25" s="627"/>
      <c r="ASS25" s="627"/>
      <c r="AST25" s="627"/>
      <c r="ASU25" s="627"/>
      <c r="ASV25" s="627"/>
      <c r="ASW25" s="627"/>
      <c r="ASX25" s="627"/>
      <c r="ASY25" s="627"/>
      <c r="ASZ25" s="627"/>
      <c r="ATA25" s="627"/>
      <c r="ATB25" s="627"/>
      <c r="ATC25" s="627"/>
      <c r="ATD25" s="627"/>
      <c r="ATE25" s="627"/>
      <c r="ATF25" s="627"/>
      <c r="ATG25" s="627"/>
      <c r="ATH25" s="627"/>
      <c r="ATI25" s="627"/>
      <c r="ATJ25" s="627"/>
      <c r="ATK25" s="627"/>
      <c r="ATL25" s="627"/>
      <c r="ATM25" s="627"/>
      <c r="ATN25" s="627"/>
      <c r="ATO25" s="627"/>
      <c r="ATP25" s="627"/>
      <c r="ATQ25" s="627"/>
      <c r="ATR25" s="627"/>
      <c r="ATS25" s="627"/>
      <c r="ATT25" s="627"/>
      <c r="ATU25" s="627"/>
      <c r="ATV25" s="627"/>
      <c r="ATW25" s="627"/>
      <c r="ATX25" s="627"/>
      <c r="ATY25" s="627"/>
      <c r="ATZ25" s="627"/>
      <c r="AUA25" s="627"/>
      <c r="AUB25" s="627"/>
      <c r="AUC25" s="627"/>
      <c r="AUD25" s="627"/>
      <c r="AUE25" s="627"/>
      <c r="AUF25" s="627"/>
      <c r="AUG25" s="627"/>
      <c r="AUH25" s="627"/>
      <c r="AUI25" s="627"/>
      <c r="AUJ25" s="627"/>
      <c r="AUK25" s="627"/>
      <c r="AUL25" s="627"/>
      <c r="AUM25" s="627"/>
      <c r="AUN25" s="627"/>
      <c r="AUO25" s="627"/>
      <c r="AUP25" s="627"/>
      <c r="AUQ25" s="627"/>
      <c r="AUR25" s="627"/>
      <c r="AUS25" s="627"/>
      <c r="AUT25" s="627"/>
      <c r="AUU25" s="627"/>
      <c r="AUV25" s="627"/>
      <c r="AUW25" s="627"/>
      <c r="AUX25" s="627"/>
      <c r="AUY25" s="627"/>
      <c r="AUZ25" s="627"/>
      <c r="AVA25" s="627"/>
      <c r="AVB25" s="627"/>
      <c r="AVC25" s="627"/>
      <c r="AVD25" s="627"/>
      <c r="AVE25" s="627"/>
      <c r="AVF25" s="627"/>
      <c r="AVG25" s="627"/>
      <c r="AVH25" s="627"/>
      <c r="AVI25" s="627"/>
      <c r="AVJ25" s="627"/>
      <c r="AVK25" s="627"/>
      <c r="AVL25" s="627"/>
      <c r="AVM25" s="627"/>
      <c r="AVN25" s="627"/>
      <c r="AVO25" s="627"/>
      <c r="AVP25" s="627"/>
      <c r="AVQ25" s="627"/>
      <c r="AVR25" s="627"/>
      <c r="AVS25" s="627"/>
      <c r="AVT25" s="627"/>
      <c r="AVU25" s="627"/>
      <c r="AVV25" s="627"/>
      <c r="AVW25" s="627"/>
      <c r="AVX25" s="627"/>
      <c r="AVY25" s="627"/>
      <c r="AVZ25" s="627"/>
      <c r="AWA25" s="627"/>
      <c r="AWB25" s="627"/>
      <c r="AWC25" s="627"/>
      <c r="AWD25" s="627"/>
      <c r="AWE25" s="627"/>
      <c r="AWF25" s="627"/>
      <c r="AWG25" s="627"/>
      <c r="AWH25" s="627"/>
      <c r="AWI25" s="627"/>
      <c r="AWJ25" s="627"/>
      <c r="AWK25" s="627"/>
      <c r="AWL25" s="627"/>
      <c r="AWM25" s="627"/>
      <c r="AWN25" s="627"/>
      <c r="AWO25" s="627"/>
      <c r="AWP25" s="627"/>
      <c r="AWQ25" s="627"/>
      <c r="AWR25" s="627"/>
      <c r="AWS25" s="627"/>
      <c r="AWT25" s="627"/>
      <c r="AWU25" s="627"/>
      <c r="AWV25" s="627"/>
      <c r="AWW25" s="627"/>
      <c r="AWX25" s="627"/>
      <c r="AWY25" s="627"/>
      <c r="AWZ25" s="627"/>
      <c r="AXA25" s="627"/>
      <c r="AXB25" s="627"/>
      <c r="AXC25" s="627"/>
      <c r="AXD25" s="627"/>
      <c r="AXE25" s="627"/>
      <c r="AXF25" s="627"/>
      <c r="AXG25" s="627"/>
      <c r="AXH25" s="627"/>
      <c r="AXI25" s="627"/>
      <c r="AXJ25" s="627"/>
      <c r="AXK25" s="627"/>
      <c r="AXL25" s="627"/>
      <c r="AXM25" s="627"/>
      <c r="AXN25" s="627"/>
      <c r="AXO25" s="627"/>
      <c r="AXP25" s="627"/>
      <c r="AXQ25" s="627"/>
      <c r="AXR25" s="627"/>
      <c r="AXS25" s="627"/>
      <c r="AXT25" s="627"/>
      <c r="AXU25" s="627"/>
      <c r="AXV25" s="627"/>
      <c r="AXW25" s="627"/>
      <c r="AXX25" s="627"/>
      <c r="AXY25" s="627"/>
      <c r="AXZ25" s="627"/>
      <c r="AYA25" s="627"/>
      <c r="AYB25" s="627"/>
      <c r="AYC25" s="627"/>
      <c r="AYD25" s="627"/>
      <c r="AYE25" s="627"/>
      <c r="AYF25" s="627"/>
      <c r="AYG25" s="627"/>
      <c r="AYH25" s="627"/>
      <c r="AYI25" s="627"/>
      <c r="AYJ25" s="627"/>
      <c r="AYK25" s="627"/>
      <c r="AYL25" s="627"/>
      <c r="AYM25" s="627"/>
      <c r="AYN25" s="627"/>
      <c r="AYO25" s="627"/>
      <c r="AYP25" s="627"/>
      <c r="AYQ25" s="627"/>
      <c r="AYR25" s="627"/>
      <c r="AYS25" s="627"/>
      <c r="AYT25" s="627"/>
      <c r="AYU25" s="627"/>
      <c r="AYV25" s="627"/>
      <c r="AYW25" s="627"/>
      <c r="AYX25" s="627"/>
      <c r="AYY25" s="627"/>
      <c r="AYZ25" s="627"/>
      <c r="AZA25" s="627"/>
      <c r="AZB25" s="627"/>
      <c r="AZC25" s="627"/>
      <c r="AZD25" s="627"/>
      <c r="AZE25" s="627"/>
      <c r="AZF25" s="627"/>
      <c r="AZG25" s="627"/>
      <c r="AZH25" s="627"/>
      <c r="AZI25" s="627"/>
      <c r="AZJ25" s="627"/>
      <c r="AZK25" s="627"/>
      <c r="AZL25" s="627"/>
      <c r="AZM25" s="627"/>
      <c r="AZN25" s="627"/>
      <c r="AZO25" s="627"/>
      <c r="AZP25" s="627"/>
      <c r="AZQ25" s="627"/>
      <c r="AZR25" s="627"/>
      <c r="AZS25" s="627"/>
      <c r="AZT25" s="627"/>
      <c r="AZU25" s="627"/>
      <c r="AZV25" s="627"/>
      <c r="AZW25" s="627"/>
      <c r="AZX25" s="627"/>
      <c r="AZY25" s="627"/>
      <c r="AZZ25" s="627"/>
      <c r="BAA25" s="627"/>
      <c r="BAB25" s="627"/>
      <c r="BAC25" s="627"/>
      <c r="BAD25" s="627"/>
      <c r="BAE25" s="627"/>
      <c r="BAF25" s="627"/>
      <c r="BAG25" s="627"/>
      <c r="BAH25" s="627"/>
      <c r="BAI25" s="627"/>
      <c r="BAJ25" s="627"/>
      <c r="BAK25" s="627"/>
      <c r="BAL25" s="627"/>
      <c r="BAM25" s="627"/>
      <c r="BAN25" s="627"/>
      <c r="BAO25" s="627"/>
      <c r="BAP25" s="627"/>
      <c r="BAQ25" s="627"/>
      <c r="BAR25" s="627"/>
      <c r="BAS25" s="627"/>
      <c r="BAT25" s="627"/>
      <c r="BAU25" s="627"/>
      <c r="BAV25" s="627"/>
      <c r="BAW25" s="627"/>
      <c r="BAX25" s="627"/>
      <c r="BAY25" s="627"/>
      <c r="BAZ25" s="627"/>
      <c r="BBA25" s="627"/>
      <c r="BBB25" s="627"/>
      <c r="BBC25" s="627"/>
      <c r="BBD25" s="627"/>
      <c r="BBE25" s="627"/>
      <c r="BBF25" s="627"/>
      <c r="BBG25" s="627"/>
      <c r="BBH25" s="627"/>
      <c r="BBI25" s="627"/>
      <c r="BBJ25" s="627"/>
      <c r="BBK25" s="627"/>
      <c r="BBL25" s="627"/>
      <c r="BBM25" s="627"/>
      <c r="BBN25" s="627"/>
      <c r="BBO25" s="627"/>
      <c r="BBP25" s="627"/>
      <c r="BBQ25" s="627"/>
      <c r="BBR25" s="627"/>
      <c r="BBS25" s="627"/>
      <c r="BBT25" s="627"/>
      <c r="BBU25" s="627"/>
      <c r="BBV25" s="627"/>
      <c r="BBW25" s="627"/>
      <c r="BBX25" s="627"/>
      <c r="BBY25" s="627"/>
      <c r="BBZ25" s="627"/>
      <c r="BCA25" s="627"/>
      <c r="BCB25" s="627"/>
      <c r="BCC25" s="627"/>
      <c r="BCD25" s="627"/>
      <c r="BCE25" s="627"/>
      <c r="BCF25" s="627"/>
      <c r="BCG25" s="627"/>
      <c r="BCH25" s="627"/>
      <c r="BCI25" s="627"/>
      <c r="BCJ25" s="627"/>
      <c r="BCK25" s="627"/>
      <c r="BCL25" s="627"/>
      <c r="BCM25" s="627"/>
      <c r="BCN25" s="627"/>
      <c r="BCO25" s="627"/>
      <c r="BCP25" s="627"/>
      <c r="BCQ25" s="627"/>
      <c r="BCR25" s="627"/>
      <c r="BCS25" s="627"/>
      <c r="BCT25" s="627"/>
      <c r="BCU25" s="627"/>
      <c r="BCV25" s="627"/>
      <c r="BCW25" s="627"/>
      <c r="BCX25" s="627"/>
      <c r="BCY25" s="627"/>
      <c r="BCZ25" s="627"/>
      <c r="BDA25" s="627"/>
      <c r="BDB25" s="627"/>
      <c r="BDC25" s="627"/>
      <c r="BDD25" s="627"/>
      <c r="BDE25" s="627"/>
      <c r="BDF25" s="627"/>
      <c r="BDG25" s="627"/>
      <c r="BDH25" s="627"/>
      <c r="BDI25" s="627"/>
      <c r="BDJ25" s="627"/>
      <c r="BDK25" s="627"/>
      <c r="BDL25" s="627"/>
      <c r="BDM25" s="627"/>
      <c r="BDN25" s="627"/>
      <c r="BDO25" s="627"/>
      <c r="BDP25" s="627"/>
      <c r="BDQ25" s="627"/>
      <c r="BDR25" s="627"/>
      <c r="BDS25" s="627"/>
      <c r="BDT25" s="627"/>
      <c r="BDU25" s="627"/>
      <c r="BDV25" s="627"/>
      <c r="BDW25" s="627"/>
      <c r="BDX25" s="627"/>
      <c r="BDY25" s="627"/>
      <c r="BDZ25" s="627"/>
      <c r="BEA25" s="627"/>
      <c r="BEB25" s="627"/>
      <c r="BEC25" s="627"/>
      <c r="BED25" s="627"/>
      <c r="BEE25" s="627"/>
      <c r="BEF25" s="627"/>
      <c r="BEG25" s="627"/>
      <c r="BEH25" s="627"/>
      <c r="BEI25" s="627"/>
      <c r="BEJ25" s="627"/>
      <c r="BEK25" s="627"/>
      <c r="BEL25" s="627"/>
      <c r="BEM25" s="627"/>
      <c r="BEN25" s="627"/>
      <c r="BEO25" s="627"/>
      <c r="BEP25" s="627"/>
      <c r="BEQ25" s="627"/>
      <c r="BER25" s="627"/>
      <c r="BES25" s="627"/>
      <c r="BET25" s="627"/>
      <c r="BEU25" s="627"/>
      <c r="BEV25" s="627"/>
      <c r="BEW25" s="627"/>
      <c r="BEX25" s="627"/>
      <c r="BEY25" s="627"/>
      <c r="BEZ25" s="627"/>
      <c r="BFA25" s="627"/>
      <c r="BFB25" s="627"/>
      <c r="BFC25" s="627"/>
      <c r="BFD25" s="627"/>
      <c r="BFE25" s="627"/>
      <c r="BFF25" s="627"/>
      <c r="BFG25" s="627"/>
      <c r="BFH25" s="627"/>
      <c r="BFI25" s="627"/>
      <c r="BFJ25" s="627"/>
      <c r="BFK25" s="627"/>
      <c r="BFL25" s="627"/>
      <c r="BFM25" s="627"/>
      <c r="BFN25" s="627"/>
      <c r="BFO25" s="627"/>
      <c r="BFP25" s="627"/>
      <c r="BFQ25" s="627"/>
      <c r="BFR25" s="627"/>
      <c r="BFS25" s="627"/>
      <c r="BFT25" s="627"/>
      <c r="BFU25" s="627"/>
      <c r="BFV25" s="627"/>
      <c r="BFW25" s="627"/>
      <c r="BFX25" s="627"/>
      <c r="BFY25" s="627"/>
      <c r="BFZ25" s="627"/>
      <c r="BGA25" s="627"/>
      <c r="BGB25" s="627"/>
      <c r="BGC25" s="627"/>
      <c r="BGD25" s="627"/>
      <c r="BGE25" s="627"/>
      <c r="BGF25" s="627"/>
      <c r="BGG25" s="627"/>
      <c r="BGH25" s="627"/>
      <c r="BGI25" s="627"/>
      <c r="BGJ25" s="627"/>
      <c r="BGK25" s="627"/>
      <c r="BGL25" s="627"/>
      <c r="BGM25" s="627"/>
      <c r="BGN25" s="627"/>
      <c r="BGO25" s="627"/>
      <c r="BGP25" s="627"/>
      <c r="BGQ25" s="627"/>
      <c r="BGR25" s="627"/>
      <c r="BGS25" s="627"/>
      <c r="BGT25" s="627"/>
      <c r="BGU25" s="627"/>
      <c r="BGV25" s="627"/>
      <c r="BGW25" s="627"/>
      <c r="BGX25" s="627"/>
      <c r="BGY25" s="627"/>
      <c r="BGZ25" s="627"/>
      <c r="BHA25" s="627"/>
      <c r="BHB25" s="627"/>
      <c r="BHC25" s="627"/>
      <c r="BHD25" s="627"/>
      <c r="BHE25" s="627"/>
      <c r="BHF25" s="627"/>
      <c r="BHG25" s="627"/>
      <c r="BHH25" s="627"/>
      <c r="BHI25" s="627"/>
      <c r="BHJ25" s="627"/>
      <c r="BHK25" s="627"/>
      <c r="BHL25" s="627"/>
      <c r="BHM25" s="627"/>
      <c r="BHN25" s="627"/>
      <c r="BHO25" s="627"/>
      <c r="BHP25" s="627"/>
      <c r="BHQ25" s="627"/>
      <c r="BHR25" s="627"/>
      <c r="BHS25" s="627"/>
      <c r="BHT25" s="627"/>
      <c r="BHU25" s="627"/>
      <c r="BHV25" s="627"/>
      <c r="BHW25" s="627"/>
      <c r="BHX25" s="627"/>
      <c r="BHY25" s="627"/>
      <c r="BHZ25" s="627"/>
      <c r="BIA25" s="627"/>
      <c r="BIB25" s="627"/>
      <c r="BIC25" s="627"/>
      <c r="BID25" s="627"/>
      <c r="BIE25" s="627"/>
      <c r="BIF25" s="627"/>
      <c r="BIG25" s="627"/>
      <c r="BIH25" s="627"/>
      <c r="BII25" s="627"/>
      <c r="BIJ25" s="627"/>
      <c r="BIK25" s="627"/>
      <c r="BIL25" s="627"/>
      <c r="BIM25" s="627"/>
      <c r="BIN25" s="627"/>
      <c r="BIO25" s="627"/>
      <c r="BIP25" s="627"/>
      <c r="BIQ25" s="627"/>
      <c r="BIR25" s="627"/>
      <c r="BIS25" s="627"/>
      <c r="BIT25" s="627"/>
      <c r="BIU25" s="627"/>
      <c r="BIV25" s="627"/>
      <c r="BIW25" s="627"/>
      <c r="BIX25" s="627"/>
      <c r="BIY25" s="627"/>
      <c r="BIZ25" s="627"/>
      <c r="BJA25" s="627"/>
      <c r="BJB25" s="627"/>
      <c r="BJC25" s="627"/>
      <c r="BJD25" s="627"/>
      <c r="BJE25" s="627"/>
      <c r="BJF25" s="627"/>
      <c r="BJG25" s="627"/>
      <c r="BJH25" s="627"/>
      <c r="BJI25" s="627"/>
      <c r="BJJ25" s="627"/>
      <c r="BJK25" s="627"/>
      <c r="BJL25" s="627"/>
      <c r="BJM25" s="627"/>
      <c r="BJN25" s="627"/>
      <c r="BJO25" s="627"/>
      <c r="BJP25" s="627"/>
      <c r="BJQ25" s="627"/>
      <c r="BJR25" s="627"/>
      <c r="BJS25" s="627"/>
      <c r="BJT25" s="627"/>
      <c r="BJU25" s="627"/>
      <c r="BJV25" s="627"/>
      <c r="BJW25" s="627"/>
      <c r="BJX25" s="627"/>
      <c r="BJY25" s="627"/>
      <c r="BJZ25" s="627"/>
      <c r="BKA25" s="627"/>
      <c r="BKB25" s="627"/>
      <c r="BKC25" s="627"/>
      <c r="BKD25" s="627"/>
      <c r="BKE25" s="627"/>
      <c r="BKF25" s="627"/>
      <c r="BKG25" s="627"/>
      <c r="BKH25" s="627"/>
      <c r="BKI25" s="627"/>
      <c r="BKJ25" s="627"/>
      <c r="BKK25" s="627"/>
      <c r="BKL25" s="627"/>
      <c r="BKM25" s="627"/>
      <c r="BKN25" s="627"/>
      <c r="BKO25" s="627"/>
      <c r="BKP25" s="627"/>
      <c r="BKQ25" s="627"/>
      <c r="BKR25" s="627"/>
      <c r="BKS25" s="627"/>
      <c r="BKT25" s="627"/>
      <c r="BKU25" s="627"/>
      <c r="BKV25" s="627"/>
      <c r="BKW25" s="627"/>
      <c r="BKX25" s="627"/>
      <c r="BKY25" s="627"/>
      <c r="BKZ25" s="627"/>
      <c r="BLA25" s="627"/>
      <c r="BLB25" s="627"/>
      <c r="BLC25" s="627"/>
      <c r="BLD25" s="627"/>
      <c r="BLE25" s="627"/>
      <c r="BLF25" s="627"/>
      <c r="BLG25" s="627"/>
      <c r="BLH25" s="627"/>
      <c r="BLI25" s="627"/>
      <c r="BLJ25" s="627"/>
      <c r="BLK25" s="627"/>
      <c r="BLL25" s="627"/>
      <c r="BLM25" s="627"/>
      <c r="BLN25" s="627"/>
      <c r="BLO25" s="627"/>
      <c r="BLP25" s="627"/>
      <c r="BLQ25" s="627"/>
      <c r="BLR25" s="627"/>
      <c r="BLS25" s="627"/>
      <c r="BLT25" s="627"/>
      <c r="BLU25" s="627"/>
      <c r="BLV25" s="627"/>
      <c r="BLW25" s="627"/>
      <c r="BLX25" s="627"/>
      <c r="BLY25" s="627"/>
      <c r="BLZ25" s="627"/>
      <c r="BMA25" s="627"/>
      <c r="BMB25" s="627"/>
      <c r="BMC25" s="627"/>
      <c r="BMD25" s="627"/>
      <c r="BME25" s="627"/>
      <c r="BMF25" s="627"/>
      <c r="BMG25" s="627"/>
      <c r="BMH25" s="627"/>
      <c r="BMI25" s="627"/>
      <c r="BMJ25" s="627"/>
      <c r="BMK25" s="627"/>
      <c r="BML25" s="627"/>
      <c r="BMM25" s="627"/>
      <c r="BMN25" s="627"/>
      <c r="BMO25" s="627"/>
      <c r="BMP25" s="627"/>
      <c r="BMQ25" s="627"/>
      <c r="BMR25" s="627"/>
      <c r="BMS25" s="627"/>
      <c r="BMT25" s="627"/>
      <c r="BMU25" s="627"/>
      <c r="BMV25" s="627"/>
      <c r="BMW25" s="627"/>
      <c r="BMX25" s="627"/>
      <c r="BMY25" s="627"/>
      <c r="BMZ25" s="627"/>
      <c r="BNA25" s="627"/>
      <c r="BNB25" s="627"/>
      <c r="BNC25" s="627"/>
      <c r="BND25" s="627"/>
      <c r="BNE25" s="627"/>
      <c r="BNF25" s="627"/>
      <c r="BNG25" s="627"/>
      <c r="BNH25" s="627"/>
      <c r="BNI25" s="627"/>
      <c r="BNJ25" s="627"/>
      <c r="BNK25" s="627"/>
      <c r="BNL25" s="627"/>
      <c r="BNM25" s="627"/>
      <c r="BNN25" s="627"/>
      <c r="BNO25" s="627"/>
      <c r="BNP25" s="627"/>
      <c r="BNQ25" s="627"/>
      <c r="BNR25" s="627"/>
      <c r="BNS25" s="627"/>
      <c r="BNT25" s="627"/>
      <c r="BNU25" s="627"/>
      <c r="BNV25" s="627"/>
      <c r="BNW25" s="627"/>
      <c r="BNX25" s="627"/>
      <c r="BNY25" s="627"/>
      <c r="BNZ25" s="627"/>
      <c r="BOA25" s="627"/>
      <c r="BOB25" s="627"/>
      <c r="BOC25" s="627"/>
      <c r="BOD25" s="627"/>
      <c r="BOE25" s="627"/>
      <c r="BOF25" s="627"/>
      <c r="BOG25" s="627"/>
      <c r="BOH25" s="627"/>
      <c r="BOI25" s="627"/>
      <c r="BOJ25" s="627"/>
      <c r="BOK25" s="627"/>
      <c r="BOL25" s="627"/>
      <c r="BOM25" s="627"/>
      <c r="BON25" s="627"/>
      <c r="BOO25" s="627"/>
      <c r="BOP25" s="627"/>
      <c r="BOQ25" s="627"/>
      <c r="BOR25" s="627"/>
      <c r="BOS25" s="627"/>
      <c r="BOT25" s="627"/>
      <c r="BOU25" s="627"/>
      <c r="BOV25" s="627"/>
      <c r="BOW25" s="627"/>
      <c r="BOX25" s="627"/>
      <c r="BOY25" s="627"/>
      <c r="BOZ25" s="627"/>
      <c r="BPA25" s="627"/>
      <c r="BPB25" s="627"/>
      <c r="BPC25" s="627"/>
      <c r="BPD25" s="627"/>
      <c r="BPE25" s="627"/>
      <c r="BPF25" s="627"/>
      <c r="BPG25" s="627"/>
      <c r="BPH25" s="627"/>
      <c r="BPI25" s="627"/>
      <c r="BPJ25" s="627"/>
      <c r="BPK25" s="627"/>
      <c r="BPL25" s="627"/>
      <c r="BPM25" s="627"/>
      <c r="BPN25" s="627"/>
      <c r="BPO25" s="627"/>
      <c r="BPP25" s="627"/>
      <c r="BPQ25" s="627"/>
      <c r="BPR25" s="627"/>
      <c r="BPS25" s="627"/>
      <c r="BPT25" s="627"/>
      <c r="BPU25" s="627"/>
      <c r="BPV25" s="627"/>
      <c r="BPW25" s="627"/>
      <c r="BPX25" s="627"/>
      <c r="BPY25" s="627"/>
      <c r="BPZ25" s="627"/>
      <c r="BQA25" s="627"/>
      <c r="BQB25" s="627"/>
      <c r="BQC25" s="627"/>
      <c r="BQD25" s="627"/>
      <c r="BQE25" s="627"/>
      <c r="BQF25" s="627"/>
      <c r="BQG25" s="627"/>
      <c r="BQH25" s="627"/>
      <c r="BQI25" s="627"/>
      <c r="BQJ25" s="627"/>
      <c r="BQK25" s="627"/>
      <c r="BQL25" s="627"/>
      <c r="BQM25" s="627"/>
      <c r="BQN25" s="627"/>
      <c r="BQO25" s="627"/>
      <c r="BQP25" s="627"/>
      <c r="BQQ25" s="627"/>
      <c r="BQR25" s="627"/>
      <c r="BQS25" s="627"/>
      <c r="BQT25" s="627"/>
      <c r="BQU25" s="627"/>
      <c r="BQV25" s="627"/>
      <c r="BQW25" s="627"/>
      <c r="BQX25" s="627"/>
      <c r="BQY25" s="627"/>
      <c r="BQZ25" s="627"/>
      <c r="BRA25" s="627"/>
      <c r="BRB25" s="627"/>
      <c r="BRC25" s="627"/>
      <c r="BRD25" s="627"/>
      <c r="BRE25" s="627"/>
      <c r="BRF25" s="627"/>
      <c r="BRG25" s="627"/>
      <c r="BRH25" s="627"/>
      <c r="BRI25" s="627"/>
      <c r="BRJ25" s="627"/>
      <c r="BRK25" s="627"/>
      <c r="BRL25" s="627"/>
      <c r="BRM25" s="627"/>
      <c r="BRN25" s="627"/>
      <c r="BRO25" s="627"/>
      <c r="BRP25" s="627"/>
      <c r="BRQ25" s="627"/>
      <c r="BRR25" s="627"/>
      <c r="BRS25" s="627"/>
      <c r="BRT25" s="627"/>
      <c r="BRU25" s="627"/>
      <c r="BRV25" s="627"/>
      <c r="BRW25" s="627"/>
      <c r="BRX25" s="627"/>
      <c r="BRY25" s="627"/>
      <c r="BRZ25" s="627"/>
      <c r="BSA25" s="627"/>
      <c r="BSB25" s="627"/>
      <c r="BSC25" s="627"/>
      <c r="BSD25" s="627"/>
      <c r="BSE25" s="627"/>
      <c r="BSF25" s="627"/>
      <c r="BSG25" s="627"/>
      <c r="BSH25" s="627"/>
      <c r="BSI25" s="627"/>
      <c r="BSJ25" s="627"/>
      <c r="BSK25" s="627"/>
      <c r="BSL25" s="627"/>
      <c r="BSM25" s="627"/>
      <c r="BSN25" s="627"/>
      <c r="BSO25" s="627"/>
      <c r="BSP25" s="627"/>
      <c r="BSQ25" s="627"/>
      <c r="BSR25" s="627"/>
      <c r="BSS25" s="627"/>
      <c r="BST25" s="627"/>
      <c r="BSU25" s="627"/>
      <c r="BSV25" s="627"/>
      <c r="BSW25" s="627"/>
      <c r="BSX25" s="627"/>
      <c r="BSY25" s="627"/>
      <c r="BSZ25" s="627"/>
      <c r="BTA25" s="627"/>
      <c r="BTB25" s="627"/>
      <c r="BTC25" s="627"/>
      <c r="BTD25" s="627"/>
      <c r="BTE25" s="627"/>
      <c r="BTF25" s="627"/>
      <c r="BTG25" s="627"/>
      <c r="BTH25" s="627"/>
      <c r="BTI25" s="627"/>
      <c r="BTJ25" s="627"/>
      <c r="BTK25" s="627"/>
      <c r="BTL25" s="627"/>
      <c r="BTM25" s="627"/>
      <c r="BTN25" s="627"/>
      <c r="BTO25" s="627"/>
      <c r="BTP25" s="627"/>
      <c r="BTQ25" s="627"/>
      <c r="BTR25" s="627"/>
      <c r="BTS25" s="627"/>
      <c r="BTT25" s="627"/>
      <c r="BTU25" s="627"/>
      <c r="BTV25" s="627"/>
      <c r="BTW25" s="627"/>
      <c r="BTX25" s="627"/>
      <c r="BTY25" s="627"/>
      <c r="BTZ25" s="627"/>
      <c r="BUA25" s="627"/>
      <c r="BUB25" s="627"/>
      <c r="BUC25" s="627"/>
      <c r="BUD25" s="627"/>
      <c r="BUE25" s="627"/>
      <c r="BUF25" s="627"/>
      <c r="BUG25" s="627"/>
      <c r="BUH25" s="627"/>
      <c r="BUI25" s="627"/>
      <c r="BUJ25" s="627"/>
      <c r="BUK25" s="627"/>
      <c r="BUL25" s="627"/>
      <c r="BUM25" s="627"/>
      <c r="BUN25" s="627"/>
      <c r="BUO25" s="627"/>
      <c r="BUP25" s="627"/>
      <c r="BUQ25" s="627"/>
      <c r="BUR25" s="627"/>
      <c r="BUS25" s="627"/>
      <c r="BUT25" s="627"/>
      <c r="BUU25" s="627"/>
      <c r="BUV25" s="627"/>
      <c r="BUW25" s="627"/>
      <c r="BUX25" s="627"/>
      <c r="BUY25" s="627"/>
      <c r="BUZ25" s="627"/>
      <c r="BVA25" s="627"/>
      <c r="BVB25" s="627"/>
      <c r="BVC25" s="627"/>
      <c r="BVD25" s="627"/>
      <c r="BVE25" s="627"/>
      <c r="BVF25" s="627"/>
      <c r="BVG25" s="627"/>
      <c r="BVH25" s="627"/>
      <c r="BVI25" s="627"/>
      <c r="BVJ25" s="627"/>
      <c r="BVK25" s="627"/>
      <c r="BVL25" s="627"/>
      <c r="BVM25" s="627"/>
      <c r="BVN25" s="627"/>
      <c r="BVO25" s="627"/>
      <c r="BVP25" s="627"/>
      <c r="BVQ25" s="627"/>
      <c r="BVR25" s="627"/>
      <c r="BVS25" s="627"/>
      <c r="BVT25" s="627"/>
      <c r="BVU25" s="627"/>
      <c r="BVV25" s="627"/>
      <c r="BVW25" s="627"/>
      <c r="BVX25" s="627"/>
      <c r="BVY25" s="627"/>
      <c r="BVZ25" s="627"/>
      <c r="BWA25" s="627"/>
      <c r="BWB25" s="627"/>
      <c r="BWC25" s="627"/>
      <c r="BWD25" s="627"/>
      <c r="BWE25" s="627"/>
      <c r="BWF25" s="627"/>
      <c r="BWG25" s="627"/>
      <c r="BWH25" s="627"/>
      <c r="BWI25" s="627"/>
      <c r="BWJ25" s="627"/>
      <c r="BWK25" s="627"/>
      <c r="BWL25" s="627"/>
      <c r="BWM25" s="627"/>
      <c r="BWN25" s="627"/>
      <c r="BWO25" s="627"/>
      <c r="BWP25" s="627"/>
      <c r="BWQ25" s="627"/>
      <c r="BWR25" s="627"/>
      <c r="BWS25" s="627"/>
      <c r="BWT25" s="627"/>
      <c r="BWU25" s="627"/>
      <c r="BWV25" s="627"/>
      <c r="BWW25" s="627"/>
      <c r="BWX25" s="627"/>
      <c r="BWY25" s="627"/>
      <c r="BWZ25" s="627"/>
      <c r="BXA25" s="627"/>
      <c r="BXB25" s="627"/>
      <c r="BXC25" s="627"/>
      <c r="BXD25" s="627"/>
      <c r="BXE25" s="627"/>
      <c r="BXF25" s="627"/>
      <c r="BXG25" s="627"/>
      <c r="BXH25" s="627"/>
    </row>
    <row r="26" spans="1:1984" ht="21" customHeight="1" x14ac:dyDescent="0.3">
      <c r="A26" s="2859" t="s">
        <v>5529</v>
      </c>
      <c r="B26" s="3169">
        <v>58716.433195386708</v>
      </c>
      <c r="C26" s="3169">
        <v>61189.488242343272</v>
      </c>
      <c r="D26" s="3169">
        <v>62332.041563453153</v>
      </c>
      <c r="E26" s="3169">
        <v>59958.889957989137</v>
      </c>
      <c r="F26" s="3169">
        <v>60648.742575215256</v>
      </c>
      <c r="G26" s="3169">
        <v>66215.319208891277</v>
      </c>
      <c r="H26" s="3169">
        <v>61243.302154738194</v>
      </c>
      <c r="I26" s="3169">
        <v>60848.010907072909</v>
      </c>
      <c r="J26" s="3169">
        <v>58434.744046920874</v>
      </c>
      <c r="K26" s="3169">
        <v>62810.459575974404</v>
      </c>
      <c r="L26" s="3169">
        <v>63607.019248690369</v>
      </c>
      <c r="M26" s="3169">
        <v>65386.718452143483</v>
      </c>
      <c r="N26" s="3169">
        <v>64374.447102391205</v>
      </c>
      <c r="O26" s="3169">
        <v>65750.116466290405</v>
      </c>
      <c r="P26" s="3169">
        <v>68030.140456732741</v>
      </c>
      <c r="Q26" s="3169">
        <v>65529.279230965418</v>
      </c>
      <c r="R26" s="3169">
        <v>63341.761048898225</v>
      </c>
      <c r="S26" s="3169">
        <v>67197.218849361088</v>
      </c>
      <c r="T26" s="3169">
        <v>67362.049268467119</v>
      </c>
      <c r="U26" s="3169">
        <v>67235.310860091777</v>
      </c>
      <c r="V26" s="626"/>
    </row>
    <row r="27" spans="1:1984" ht="21" customHeight="1" thickBot="1" x14ac:dyDescent="0.35">
      <c r="A27" s="2862" t="s">
        <v>3921</v>
      </c>
      <c r="B27" s="3163">
        <v>2551.8544922589276</v>
      </c>
      <c r="C27" s="3163">
        <v>2610.7557375398965</v>
      </c>
      <c r="D27" s="3163">
        <v>2625.8734156252403</v>
      </c>
      <c r="E27" s="3163">
        <v>2247.2363283807804</v>
      </c>
      <c r="F27" s="3163">
        <v>2310.264419316125</v>
      </c>
      <c r="G27" s="3163">
        <v>2544.9913677626182</v>
      </c>
      <c r="H27" s="3163">
        <v>2546.2055206003947</v>
      </c>
      <c r="I27" s="3163">
        <v>2453.2742139855573</v>
      </c>
      <c r="J27" s="3163">
        <v>1548.2929842133053</v>
      </c>
      <c r="K27" s="3163">
        <v>1380.8489594011935</v>
      </c>
      <c r="L27" s="3163">
        <v>1266.2438217544134</v>
      </c>
      <c r="M27" s="3163">
        <v>1076.8719290190884</v>
      </c>
      <c r="N27" s="3163">
        <v>1100.3986978834</v>
      </c>
      <c r="O27" s="3163">
        <v>1121.0055628763423</v>
      </c>
      <c r="P27" s="3163">
        <v>1110.6239448306087</v>
      </c>
      <c r="Q27" s="3163">
        <v>1099.2039940280531</v>
      </c>
      <c r="R27" s="3163">
        <v>5003.3499731303709</v>
      </c>
      <c r="S27" s="3163">
        <v>6639.7692855991909</v>
      </c>
      <c r="T27" s="3163">
        <v>6764.2200790337392</v>
      </c>
      <c r="U27" s="3163">
        <v>6681.5047547861504</v>
      </c>
    </row>
    <row r="28" spans="1:1984" ht="21" customHeight="1" thickTop="1" thickBot="1" x14ac:dyDescent="0.35">
      <c r="A28" s="2865" t="s">
        <v>2847</v>
      </c>
      <c r="B28" s="3164">
        <v>451371.10886595678</v>
      </c>
      <c r="C28" s="3164">
        <v>456716.85385698132</v>
      </c>
      <c r="D28" s="3164">
        <v>458057.10415236489</v>
      </c>
      <c r="E28" s="3164">
        <v>457774.17696857353</v>
      </c>
      <c r="F28" s="3164">
        <v>464473.30416031857</v>
      </c>
      <c r="G28" s="3164">
        <v>476468.86210962676</v>
      </c>
      <c r="H28" s="3164">
        <v>471642.80741235369</v>
      </c>
      <c r="I28" s="3164">
        <v>478275.73459227075</v>
      </c>
      <c r="J28" s="3164">
        <v>482102.65103180119</v>
      </c>
      <c r="K28" s="3164">
        <v>490659.35036184982</v>
      </c>
      <c r="L28" s="3164">
        <v>498670.14736149408</v>
      </c>
      <c r="M28" s="3164">
        <v>506658.42612237221</v>
      </c>
      <c r="N28" s="3164">
        <v>510433.56342176459</v>
      </c>
      <c r="O28" s="3164">
        <v>510311.8863829287</v>
      </c>
      <c r="P28" s="3164">
        <v>510013.23923511448</v>
      </c>
      <c r="Q28" s="3164">
        <v>507910.01791179262</v>
      </c>
      <c r="R28" s="3164">
        <v>511722.64833861822</v>
      </c>
      <c r="S28" s="3164">
        <v>524271.7490228957</v>
      </c>
      <c r="T28" s="3164">
        <v>525806.22793553071</v>
      </c>
      <c r="U28" s="3164">
        <v>528828.36492759921</v>
      </c>
    </row>
    <row r="29" spans="1:1984" ht="21" customHeight="1" thickTop="1" thickBot="1" x14ac:dyDescent="0.35">
      <c r="A29" s="2865" t="s">
        <v>2848</v>
      </c>
      <c r="B29" s="3164">
        <v>390102.82117831113</v>
      </c>
      <c r="C29" s="3164">
        <v>392916.60987709818</v>
      </c>
      <c r="D29" s="3164">
        <v>393099.18917328649</v>
      </c>
      <c r="E29" s="3164">
        <v>395568.05068220361</v>
      </c>
      <c r="F29" s="3164">
        <v>401514.29716578725</v>
      </c>
      <c r="G29" s="3164">
        <v>407708.55153297284</v>
      </c>
      <c r="H29" s="3164">
        <v>407853.29973701504</v>
      </c>
      <c r="I29" s="3164">
        <v>414974.44947121223</v>
      </c>
      <c r="J29" s="3164">
        <v>422119.614000667</v>
      </c>
      <c r="K29" s="3164">
        <v>426468.04182647425</v>
      </c>
      <c r="L29" s="3164">
        <v>433796.88429104933</v>
      </c>
      <c r="M29" s="3164">
        <v>440194.83574120962</v>
      </c>
      <c r="N29" s="3164">
        <v>444958.71762148995</v>
      </c>
      <c r="O29" s="3164">
        <v>443440.76435376192</v>
      </c>
      <c r="P29" s="3164">
        <v>440872.47483355115</v>
      </c>
      <c r="Q29" s="3164">
        <v>441281.53468679916</v>
      </c>
      <c r="R29" s="3164">
        <v>443377.53731658962</v>
      </c>
      <c r="S29" s="3164">
        <v>450434.76088793541</v>
      </c>
      <c r="T29" s="3164">
        <v>451679.9585880299</v>
      </c>
      <c r="U29" s="3164">
        <v>454911.54931272136</v>
      </c>
    </row>
    <row r="30" spans="1:1984" s="1427" customFormat="1" ht="18.95" customHeight="1" thickTop="1" x14ac:dyDescent="0.25">
      <c r="A30" s="1626" t="s">
        <v>173</v>
      </c>
      <c r="B30" s="3165"/>
      <c r="C30" s="3165"/>
      <c r="D30" s="3165"/>
      <c r="E30" s="3165"/>
      <c r="F30" s="3165"/>
      <c r="G30" s="3165"/>
      <c r="H30" s="3165"/>
      <c r="I30" s="3165"/>
      <c r="J30" s="3165"/>
      <c r="K30" s="3165"/>
      <c r="L30" s="3165"/>
      <c r="M30" s="3165"/>
      <c r="N30" s="3165"/>
      <c r="O30" s="3165"/>
      <c r="P30" s="3165"/>
      <c r="Q30" s="3165"/>
      <c r="R30" s="3165"/>
      <c r="S30" s="3165"/>
      <c r="T30" s="3165"/>
      <c r="U30" s="3165"/>
    </row>
    <row r="31" spans="1:1984" s="631" customFormat="1" ht="18.95" customHeight="1" x14ac:dyDescent="0.25">
      <c r="A31" s="471" t="s">
        <v>5522</v>
      </c>
      <c r="B31" s="3166"/>
      <c r="C31" s="3166"/>
      <c r="D31" s="3166"/>
      <c r="E31" s="3166"/>
      <c r="F31" s="3166"/>
      <c r="G31" s="3166"/>
      <c r="H31" s="3166"/>
      <c r="I31" s="3166"/>
      <c r="J31" s="3166"/>
      <c r="K31" s="3166"/>
      <c r="L31" s="3166"/>
      <c r="M31" s="3166"/>
      <c r="N31" s="3166"/>
      <c r="O31" s="3166"/>
      <c r="P31" s="3166"/>
      <c r="Q31" s="3166"/>
      <c r="R31" s="3166"/>
      <c r="S31" s="3166"/>
      <c r="T31" s="3166"/>
      <c r="U31" s="3166"/>
    </row>
    <row r="32" spans="1:1984" s="631" customFormat="1" ht="18.95" customHeight="1" x14ac:dyDescent="0.25">
      <c r="A32" s="2131" t="s">
        <v>5523</v>
      </c>
      <c r="B32" s="3167"/>
      <c r="C32" s="3167"/>
      <c r="D32" s="3167"/>
      <c r="E32" s="3167"/>
      <c r="F32" s="3167"/>
      <c r="G32" s="3167"/>
      <c r="H32" s="3167"/>
      <c r="I32" s="3167"/>
      <c r="J32" s="3167"/>
      <c r="K32" s="3167"/>
      <c r="L32" s="3167"/>
      <c r="M32" s="3167"/>
      <c r="N32" s="3167"/>
      <c r="O32" s="3167"/>
      <c r="P32" s="3167"/>
      <c r="Q32" s="3167"/>
      <c r="R32" s="3167"/>
      <c r="S32" s="3167"/>
      <c r="T32" s="3167"/>
      <c r="U32" s="3167"/>
    </row>
    <row r="33" spans="1:21" s="631" customFormat="1" ht="18.95" customHeight="1" x14ac:dyDescent="0.25">
      <c r="A33" s="2131" t="s">
        <v>4551</v>
      </c>
      <c r="B33" s="2131"/>
      <c r="C33" s="2131"/>
      <c r="D33" s="2131"/>
      <c r="E33" s="2131"/>
      <c r="F33" s="2131"/>
      <c r="G33" s="2131"/>
      <c r="H33" s="2131"/>
      <c r="I33" s="2131"/>
      <c r="J33" s="2131"/>
      <c r="K33" s="2131"/>
      <c r="L33" s="2131"/>
      <c r="M33" s="2131"/>
      <c r="N33" s="2131"/>
      <c r="O33" s="2131"/>
      <c r="P33" s="2131"/>
      <c r="Q33" s="2131"/>
      <c r="R33" s="2131"/>
      <c r="S33" s="2131"/>
      <c r="T33" s="2131"/>
      <c r="U33" s="3167"/>
    </row>
    <row r="34" spans="1:21" s="631" customFormat="1" ht="18.95" customHeight="1" x14ac:dyDescent="0.25">
      <c r="A34" s="2131"/>
      <c r="B34" s="3167"/>
      <c r="C34" s="3167"/>
      <c r="D34" s="3167"/>
      <c r="E34" s="3167"/>
      <c r="F34" s="3167"/>
      <c r="G34" s="3167"/>
      <c r="H34" s="3167"/>
      <c r="I34" s="3167"/>
      <c r="J34" s="3167"/>
      <c r="K34" s="3167"/>
      <c r="L34" s="3167"/>
      <c r="M34" s="3167"/>
      <c r="N34" s="3167"/>
      <c r="O34" s="3167"/>
      <c r="P34" s="3167"/>
      <c r="Q34" s="3167"/>
      <c r="R34" s="3167"/>
      <c r="S34" s="3167"/>
      <c r="T34" s="3167"/>
      <c r="U34" s="3167"/>
    </row>
    <row r="35" spans="1:21" s="631" customFormat="1" ht="18.95" customHeight="1" x14ac:dyDescent="0.25">
      <c r="A35" s="3043" t="s">
        <v>290</v>
      </c>
      <c r="B35" s="3166"/>
      <c r="C35" s="3166"/>
      <c r="D35" s="3166"/>
      <c r="E35" s="3166"/>
      <c r="F35" s="3166"/>
      <c r="G35" s="3166"/>
      <c r="H35" s="3166"/>
      <c r="I35" s="3166"/>
      <c r="J35" s="3166"/>
      <c r="K35" s="3166"/>
      <c r="L35" s="3166"/>
      <c r="M35" s="3166"/>
      <c r="N35" s="3166"/>
      <c r="O35" s="3166"/>
      <c r="P35" s="3166"/>
      <c r="Q35" s="3166"/>
      <c r="R35" s="3166"/>
      <c r="S35" s="3166"/>
      <c r="T35" s="3166"/>
      <c r="U35" s="3166"/>
    </row>
    <row r="36" spans="1:21" s="631" customFormat="1" ht="18.95" customHeight="1" x14ac:dyDescent="0.25">
      <c r="A36" s="3043"/>
      <c r="B36" s="3166"/>
      <c r="C36" s="3166"/>
      <c r="D36" s="3166"/>
      <c r="E36" s="3166"/>
      <c r="F36" s="3166"/>
      <c r="G36" s="3166"/>
      <c r="H36" s="3166"/>
      <c r="I36" s="3166"/>
      <c r="J36" s="3166"/>
      <c r="K36" s="3166"/>
      <c r="L36" s="3166"/>
      <c r="M36" s="3166"/>
      <c r="N36" s="3166"/>
      <c r="O36" s="3166"/>
      <c r="P36" s="3166"/>
      <c r="Q36" s="3166"/>
      <c r="R36" s="3166"/>
      <c r="S36" s="3166"/>
      <c r="T36" s="3166"/>
      <c r="U36" s="3166"/>
    </row>
    <row r="37" spans="1:21" x14ac:dyDescent="0.35">
      <c r="B37" s="3077"/>
      <c r="C37" s="3077"/>
      <c r="D37" s="3077"/>
      <c r="E37" s="3077"/>
      <c r="F37" s="3077"/>
      <c r="G37" s="3077"/>
      <c r="H37" s="3077"/>
      <c r="I37" s="3077"/>
      <c r="J37" s="3077"/>
      <c r="K37" s="3077"/>
      <c r="L37" s="3077"/>
      <c r="M37" s="3077"/>
      <c r="N37" s="3077"/>
      <c r="O37" s="3077"/>
      <c r="P37" s="3077"/>
      <c r="Q37" s="3077"/>
      <c r="R37" s="3077"/>
      <c r="S37" s="3077"/>
      <c r="T37" s="3077"/>
      <c r="U37" s="3077"/>
    </row>
  </sheetData>
  <pageMargins left="0.75" right="0.75" top="0.75" bottom="0.75" header="0.3" footer="0"/>
  <pageSetup paperSize="9" scale="65" fitToHeight="0"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P166"/>
  <sheetViews>
    <sheetView showGridLines="0" zoomScaleNormal="100" zoomScaleSheetLayoutView="85" workbookViewId="0">
      <pane xSplit="5" ySplit="11" topLeftCell="F150" activePane="bottomRight" state="frozen"/>
      <selection activeCell="A38" sqref="A38"/>
      <selection pane="topRight" activeCell="A38" sqref="A38"/>
      <selection pane="bottomLeft" activeCell="A38" sqref="A38"/>
      <selection pane="bottomRight" activeCell="A38" sqref="A38"/>
    </sheetView>
  </sheetViews>
  <sheetFormatPr defaultColWidth="9.140625" defaultRowHeight="14.25" x14ac:dyDescent="0.25"/>
  <cols>
    <col min="1" max="1" width="16.85546875" style="3187" customWidth="1"/>
    <col min="2" max="2" width="10" style="3187" customWidth="1"/>
    <col min="3" max="3" width="9.5703125" style="3187" customWidth="1"/>
    <col min="4" max="4" width="13.28515625" style="3187" customWidth="1"/>
    <col min="5" max="5" width="12.7109375" style="3187" customWidth="1"/>
    <col min="6" max="6" width="13.42578125" style="3187" customWidth="1"/>
    <col min="7" max="7" width="12.85546875" style="3187" customWidth="1"/>
    <col min="8" max="8" width="13.42578125" style="3187" customWidth="1"/>
    <col min="9" max="9" width="9.28515625" style="3187" customWidth="1"/>
    <col min="10" max="11" width="10" style="3187" customWidth="1"/>
    <col min="12" max="12" width="7.28515625" style="3187" customWidth="1"/>
    <col min="13" max="16384" width="9.140625" style="3187"/>
  </cols>
  <sheetData>
    <row r="1" spans="1:12" s="3172" customFormat="1" ht="22.5" customHeight="1" x14ac:dyDescent="0.3">
      <c r="A1" s="3170" t="s">
        <v>5530</v>
      </c>
      <c r="B1" s="3171"/>
      <c r="C1" s="3171"/>
      <c r="D1" s="3171"/>
      <c r="E1" s="3171"/>
      <c r="F1" s="3171"/>
      <c r="G1" s="3171"/>
      <c r="H1" s="3171"/>
      <c r="I1" s="3171"/>
      <c r="J1" s="3171"/>
      <c r="K1" s="3171"/>
      <c r="L1" s="3171"/>
    </row>
    <row r="2" spans="1:12" s="3173" customFormat="1" ht="15" thickBot="1" x14ac:dyDescent="0.3">
      <c r="B2" s="3174"/>
      <c r="C2" s="3174"/>
      <c r="D2" s="3175"/>
      <c r="E2" s="3176"/>
      <c r="F2" s="3175"/>
      <c r="G2" s="3175"/>
      <c r="H2" s="3175"/>
      <c r="I2" s="3175"/>
      <c r="J2" s="3175"/>
      <c r="K2" s="3175"/>
      <c r="L2" s="3175"/>
    </row>
    <row r="3" spans="1:12" s="3173" customFormat="1" ht="34.5" customHeight="1" x14ac:dyDescent="0.25">
      <c r="A3" s="3288" t="s">
        <v>5531</v>
      </c>
      <c r="B3" s="3291" t="s">
        <v>5532</v>
      </c>
      <c r="C3" s="3271"/>
      <c r="D3" s="3270" t="s">
        <v>5533</v>
      </c>
      <c r="E3" s="3271"/>
      <c r="F3" s="3270" t="s">
        <v>5534</v>
      </c>
      <c r="G3" s="3271"/>
      <c r="H3" s="3270" t="s">
        <v>5535</v>
      </c>
      <c r="I3" s="3271"/>
      <c r="J3" s="3270" t="s">
        <v>5536</v>
      </c>
      <c r="K3" s="3271"/>
    </row>
    <row r="4" spans="1:12" s="3173" customFormat="1" ht="17.25" thickBot="1" x14ac:dyDescent="0.3">
      <c r="A4" s="3289"/>
      <c r="B4" s="3292"/>
      <c r="C4" s="3273"/>
      <c r="D4" s="3272"/>
      <c r="E4" s="3273"/>
      <c r="F4" s="3274" t="s">
        <v>5537</v>
      </c>
      <c r="G4" s="3275"/>
      <c r="H4" s="3272"/>
      <c r="I4" s="3273"/>
      <c r="J4" s="3272"/>
      <c r="K4" s="3273"/>
    </row>
    <row r="5" spans="1:12" s="3173" customFormat="1" ht="18.75" customHeight="1" thickBot="1" x14ac:dyDescent="0.3">
      <c r="A5" s="3289"/>
      <c r="B5" s="3276" t="s">
        <v>5538</v>
      </c>
      <c r="C5" s="3277"/>
      <c r="D5" s="3278" t="s">
        <v>5539</v>
      </c>
      <c r="E5" s="3279"/>
      <c r="F5" s="3280" t="s">
        <v>5540</v>
      </c>
      <c r="G5" s="3279"/>
      <c r="H5" s="3278" t="s">
        <v>5541</v>
      </c>
      <c r="I5" s="3279"/>
      <c r="J5" s="3278"/>
      <c r="K5" s="3279"/>
    </row>
    <row r="6" spans="1:12" s="3173" customFormat="1" ht="18.75" customHeight="1" thickBot="1" x14ac:dyDescent="0.3">
      <c r="A6" s="3289"/>
      <c r="B6" s="3177" t="s">
        <v>5542</v>
      </c>
      <c r="C6" s="3178" t="s">
        <v>5543</v>
      </c>
      <c r="D6" s="3179" t="s">
        <v>5542</v>
      </c>
      <c r="E6" s="3178" t="s">
        <v>5543</v>
      </c>
      <c r="F6" s="3179" t="s">
        <v>5542</v>
      </c>
      <c r="G6" s="3178" t="s">
        <v>5543</v>
      </c>
      <c r="H6" s="3179" t="s">
        <v>5542</v>
      </c>
      <c r="I6" s="3178" t="s">
        <v>5544</v>
      </c>
      <c r="J6" s="3179" t="s">
        <v>5542</v>
      </c>
      <c r="K6" s="3178" t="s">
        <v>5543</v>
      </c>
    </row>
    <row r="7" spans="1:12" s="3173" customFormat="1" ht="18.75" customHeight="1" thickBot="1" x14ac:dyDescent="0.35">
      <c r="A7" s="3290"/>
      <c r="B7" s="3283" t="s">
        <v>281</v>
      </c>
      <c r="C7" s="3284"/>
      <c r="D7" s="3284"/>
      <c r="E7" s="3284"/>
      <c r="F7" s="3284"/>
      <c r="G7" s="3284"/>
      <c r="H7" s="3284"/>
      <c r="I7" s="3285"/>
      <c r="J7" s="3286" t="s">
        <v>35</v>
      </c>
      <c r="K7" s="3287"/>
    </row>
    <row r="8" spans="1:12" ht="15.75" hidden="1" customHeight="1" thickTop="1" thickBot="1" x14ac:dyDescent="0.3">
      <c r="A8" s="3180">
        <v>42992</v>
      </c>
      <c r="B8" s="3181">
        <v>361175.69677423354</v>
      </c>
      <c r="C8" s="3182">
        <v>88286.459009553524</v>
      </c>
      <c r="D8" s="3183">
        <v>40838.256150537141</v>
      </c>
      <c r="E8" s="3182">
        <v>7974.4071671473275</v>
      </c>
      <c r="F8" s="3183">
        <v>32506.689252031556</v>
      </c>
      <c r="G8" s="3182">
        <v>5296.603179006177</v>
      </c>
      <c r="H8" s="3183">
        <v>8331.5668985055854</v>
      </c>
      <c r="I8" s="3184">
        <v>2677.8039881411505</v>
      </c>
      <c r="J8" s="3185">
        <v>10.860238774177406</v>
      </c>
      <c r="K8" s="3186"/>
    </row>
    <row r="9" spans="1:12" ht="15.75" hidden="1" customHeight="1" x14ac:dyDescent="0.25">
      <c r="A9" s="3180">
        <v>43006</v>
      </c>
      <c r="B9" s="3188">
        <v>366721.28067960928</v>
      </c>
      <c r="C9" s="3189">
        <v>87823.449350442621</v>
      </c>
      <c r="D9" s="3190">
        <v>42864.53315141143</v>
      </c>
      <c r="E9" s="3189">
        <v>8575.0335684122801</v>
      </c>
      <c r="F9" s="3190">
        <v>33040.295497566556</v>
      </c>
      <c r="G9" s="3189">
        <v>5245.8201367587426</v>
      </c>
      <c r="H9" s="3190">
        <v>9824.2376538448734</v>
      </c>
      <c r="I9" s="3191">
        <v>3329.2134316535376</v>
      </c>
      <c r="J9" s="3192">
        <v>11.6885862396572</v>
      </c>
      <c r="K9" s="3193">
        <v>9.7639453151005871</v>
      </c>
    </row>
    <row r="10" spans="1:12" ht="15.75" hidden="1" customHeight="1" x14ac:dyDescent="0.25">
      <c r="A10" s="3180">
        <v>43020</v>
      </c>
      <c r="B10" s="3188">
        <v>368153.52089342714</v>
      </c>
      <c r="C10" s="3189">
        <v>88430.119801853085</v>
      </c>
      <c r="D10" s="3190">
        <v>40573.210905210013</v>
      </c>
      <c r="E10" s="3189">
        <v>9065.1625724645492</v>
      </c>
      <c r="F10" s="3190">
        <v>33176.874799229125</v>
      </c>
      <c r="G10" s="3189">
        <v>5277.1019088973944</v>
      </c>
      <c r="H10" s="3190">
        <v>7396.3361059808885</v>
      </c>
      <c r="I10" s="3191">
        <v>3788.0606635671547</v>
      </c>
      <c r="J10" s="3185">
        <v>11.02073146190421</v>
      </c>
      <c r="K10" s="3186">
        <v>10.251215980230512</v>
      </c>
    </row>
    <row r="11" spans="1:12" ht="15.75" hidden="1" customHeight="1" x14ac:dyDescent="0.25">
      <c r="A11" s="3180">
        <v>43034</v>
      </c>
      <c r="B11" s="3194">
        <v>366499.60203842353</v>
      </c>
      <c r="C11" s="3195">
        <v>88994.852652033514</v>
      </c>
      <c r="D11" s="3195">
        <v>39842.170658852134</v>
      </c>
      <c r="E11" s="3195">
        <v>8861.1292133211446</v>
      </c>
      <c r="F11" s="3195">
        <v>33025.948978694731</v>
      </c>
      <c r="G11" s="3195">
        <v>5312.3679622976115</v>
      </c>
      <c r="H11" s="3195"/>
      <c r="I11" s="3195">
        <v>3548.7612510235331</v>
      </c>
      <c r="J11" s="3196">
        <v>10.87099970566274</v>
      </c>
      <c r="K11" s="3196">
        <v>9.9569008198348534</v>
      </c>
    </row>
    <row r="12" spans="1:12" ht="15.75" hidden="1" customHeight="1" x14ac:dyDescent="0.25">
      <c r="A12" s="3180">
        <v>43048</v>
      </c>
      <c r="B12" s="3194">
        <v>365392.24261965213</v>
      </c>
      <c r="C12" s="3195">
        <v>91823.283922713556</v>
      </c>
      <c r="D12" s="3195">
        <v>40123.950403650735</v>
      </c>
      <c r="E12" s="3195">
        <v>10729.603939666975</v>
      </c>
      <c r="F12" s="3195">
        <v>32926.321972470367</v>
      </c>
      <c r="G12" s="3195">
        <v>5482.0502775616969</v>
      </c>
      <c r="H12" s="3197"/>
      <c r="I12" s="3195">
        <v>5247.5536621052779</v>
      </c>
      <c r="J12" s="3196">
        <v>10.981062464814553</v>
      </c>
      <c r="K12" s="3196">
        <v>11.685057951856678</v>
      </c>
    </row>
    <row r="13" spans="1:12" ht="15.75" hidden="1" customHeight="1" x14ac:dyDescent="0.25">
      <c r="A13" s="3180">
        <v>43062</v>
      </c>
      <c r="B13" s="3194">
        <v>368515.28300039214</v>
      </c>
      <c r="C13" s="3195">
        <v>91311.460366474566</v>
      </c>
      <c r="D13" s="3195">
        <v>41715.648082138592</v>
      </c>
      <c r="E13" s="3195">
        <v>13184.120952340229</v>
      </c>
      <c r="F13" s="3195">
        <v>33208.211432067146</v>
      </c>
      <c r="G13" s="3195">
        <v>5450.796980633907</v>
      </c>
      <c r="H13" s="3195"/>
      <c r="I13" s="3195">
        <v>7733.3239717063216</v>
      </c>
      <c r="J13" s="3196">
        <v>11.319923489331703</v>
      </c>
      <c r="K13" s="3196">
        <v>14.438626761007145</v>
      </c>
    </row>
    <row r="14" spans="1:12" ht="15.75" hidden="1" customHeight="1" x14ac:dyDescent="0.25">
      <c r="A14" s="3180">
        <v>43076</v>
      </c>
      <c r="B14" s="3194">
        <v>367898.51831961353</v>
      </c>
      <c r="C14" s="3195">
        <v>91528.577010380468</v>
      </c>
      <c r="D14" s="3195">
        <v>42133.972753866423</v>
      </c>
      <c r="E14" s="3195">
        <v>15222.627779706396</v>
      </c>
      <c r="F14" s="3195">
        <v>33154.896981184182</v>
      </c>
      <c r="G14" s="3195">
        <v>5462.3610656768496</v>
      </c>
      <c r="H14" s="3195">
        <v>8979.0757726822412</v>
      </c>
      <c r="I14" s="3195">
        <v>9760.2667140295453</v>
      </c>
      <c r="J14" s="3196">
        <v>11.452607351156098</v>
      </c>
      <c r="K14" s="3196">
        <v>16.631557352825407</v>
      </c>
    </row>
    <row r="15" spans="1:12" ht="15.75" hidden="1" customHeight="1" x14ac:dyDescent="0.25">
      <c r="A15" s="3180">
        <v>43090</v>
      </c>
      <c r="B15" s="3194">
        <v>368923.65798190067</v>
      </c>
      <c r="C15" s="3195">
        <v>89603.379112250273</v>
      </c>
      <c r="D15" s="3195">
        <v>47596.278203546433</v>
      </c>
      <c r="E15" s="3195">
        <v>17091.410395667794</v>
      </c>
      <c r="F15" s="3195">
        <v>33246.865712184277</v>
      </c>
      <c r="G15" s="3195">
        <v>5347.0450841928732</v>
      </c>
      <c r="H15" s="3195">
        <v>14349.412491362156</v>
      </c>
      <c r="I15" s="3195">
        <v>11744.365311474921</v>
      </c>
      <c r="J15" s="3196">
        <v>12.901389535143743</v>
      </c>
      <c r="K15" s="3196">
        <v>19.074515453548464</v>
      </c>
    </row>
    <row r="16" spans="1:12" ht="15.75" hidden="1" customHeight="1" x14ac:dyDescent="0.25">
      <c r="A16" s="3180">
        <v>43104</v>
      </c>
      <c r="B16" s="3194">
        <v>374750.1169682336</v>
      </c>
      <c r="C16" s="3195">
        <v>88667.989477667652</v>
      </c>
      <c r="D16" s="3195">
        <v>42368.639704460715</v>
      </c>
      <c r="E16" s="3195">
        <v>18894.39994165333</v>
      </c>
      <c r="F16" s="3195">
        <v>33765.260986603498</v>
      </c>
      <c r="G16" s="3195">
        <v>5294.9123956850735</v>
      </c>
      <c r="H16" s="3195">
        <v>8603.3787178572165</v>
      </c>
      <c r="I16" s="3195">
        <v>13599.487545968255</v>
      </c>
      <c r="J16" s="3196">
        <v>11.305837619805779</v>
      </c>
      <c r="K16" s="3196">
        <v>21.309155708794055</v>
      </c>
    </row>
    <row r="17" spans="1:11" ht="15.75" hidden="1" customHeight="1" x14ac:dyDescent="0.25">
      <c r="A17" s="3180">
        <v>43118</v>
      </c>
      <c r="B17" s="3194">
        <v>378080.413921008</v>
      </c>
      <c r="C17" s="3195">
        <v>88772.861863336817</v>
      </c>
      <c r="D17" s="3195">
        <v>42872.336828682855</v>
      </c>
      <c r="E17" s="3195">
        <v>17898.0590058249</v>
      </c>
      <c r="F17" s="3195">
        <v>34061.797667196857</v>
      </c>
      <c r="G17" s="3195">
        <v>5303.3314355961083</v>
      </c>
      <c r="H17" s="3195">
        <v>8810.5391614859982</v>
      </c>
      <c r="I17" s="3195">
        <v>12594.727570228792</v>
      </c>
      <c r="J17" s="3196">
        <v>11.339475743813624</v>
      </c>
      <c r="K17" s="3196">
        <v>20.161633443088082</v>
      </c>
    </row>
    <row r="18" spans="1:11" ht="15.75" hidden="1" customHeight="1" x14ac:dyDescent="0.25">
      <c r="A18" s="3180">
        <v>43132</v>
      </c>
      <c r="B18" s="3194">
        <v>377868.33374124137</v>
      </c>
      <c r="C18" s="3195">
        <v>87165.367335338407</v>
      </c>
      <c r="D18" s="3195">
        <v>43811.698241464983</v>
      </c>
      <c r="E18" s="3195">
        <v>19077.167230392701</v>
      </c>
      <c r="F18" s="3195">
        <v>34040.716998714459</v>
      </c>
      <c r="G18" s="3195">
        <v>5208.2107321184812</v>
      </c>
      <c r="H18" s="3195">
        <v>9770.981242750524</v>
      </c>
      <c r="I18" s="3195">
        <v>13868.956498274219</v>
      </c>
      <c r="J18" s="3196">
        <v>11.594434973602889</v>
      </c>
      <c r="K18" s="3196">
        <v>21.886177748784032</v>
      </c>
    </row>
    <row r="19" spans="1:11" ht="15.75" hidden="1" customHeight="1" x14ac:dyDescent="0.25">
      <c r="A19" s="3180">
        <v>43146</v>
      </c>
      <c r="B19" s="3194">
        <v>377690.09701586573</v>
      </c>
      <c r="C19" s="3195">
        <v>86156.903383648823</v>
      </c>
      <c r="D19" s="3195">
        <v>42282.992490204284</v>
      </c>
      <c r="E19" s="3195">
        <v>18995.701364856057</v>
      </c>
      <c r="F19" s="3195">
        <v>34024.067169074777</v>
      </c>
      <c r="G19" s="3195">
        <v>5148.1085779210216</v>
      </c>
      <c r="H19" s="3195">
        <v>8258.9253211295072</v>
      </c>
      <c r="I19" s="3195">
        <v>13847.592786935034</v>
      </c>
      <c r="J19" s="3196">
        <v>11.195155187886245</v>
      </c>
      <c r="K19" s="3196">
        <v>22.047799559682332</v>
      </c>
    </row>
    <row r="20" spans="1:11" ht="15.75" hidden="1" customHeight="1" x14ac:dyDescent="0.25">
      <c r="A20" s="3180">
        <v>43160</v>
      </c>
      <c r="B20" s="3194">
        <v>375677.31823860138</v>
      </c>
      <c r="C20" s="3195">
        <v>85049.020841844147</v>
      </c>
      <c r="D20" s="3195">
        <v>40600.052544635706</v>
      </c>
      <c r="E20" s="3195">
        <v>16973.173954279744</v>
      </c>
      <c r="F20" s="3195">
        <v>33842.443557269653</v>
      </c>
      <c r="G20" s="3195">
        <v>5081.951306646969</v>
      </c>
      <c r="H20" s="3195">
        <v>6757.608987366053</v>
      </c>
      <c r="I20" s="3195">
        <v>11891.222647632774</v>
      </c>
      <c r="J20" s="3196">
        <v>10.807160979266166</v>
      </c>
      <c r="K20" s="3196">
        <v>19.956930469361662</v>
      </c>
    </row>
    <row r="21" spans="1:11" ht="15.75" hidden="1" customHeight="1" x14ac:dyDescent="0.25">
      <c r="A21" s="3180">
        <v>43174</v>
      </c>
      <c r="B21" s="3194">
        <v>376573.50971649645</v>
      </c>
      <c r="C21" s="3195">
        <v>85181.03374988625</v>
      </c>
      <c r="D21" s="3195">
        <v>42823.113843861429</v>
      </c>
      <c r="E21" s="3195">
        <v>21168.244242468729</v>
      </c>
      <c r="F21" s="3195">
        <v>33922.764503166996</v>
      </c>
      <c r="G21" s="3195">
        <v>5090.0962725382888</v>
      </c>
      <c r="H21" s="3195">
        <v>8900.3493406944326</v>
      </c>
      <c r="I21" s="3195">
        <v>16078.14796993044</v>
      </c>
      <c r="J21" s="3196">
        <v>11.371780738401069</v>
      </c>
      <c r="K21" s="3196">
        <v>24.850889112973455</v>
      </c>
    </row>
    <row r="22" spans="1:11" ht="15.75" hidden="1" customHeight="1" x14ac:dyDescent="0.25">
      <c r="A22" s="3180">
        <v>43188</v>
      </c>
      <c r="B22" s="3194">
        <v>378583.52052852785</v>
      </c>
      <c r="C22" s="3195">
        <v>86413.663919740837</v>
      </c>
      <c r="D22" s="3195">
        <v>42595.272157928557</v>
      </c>
      <c r="E22" s="3195">
        <v>20353.883067532362</v>
      </c>
      <c r="F22" s="3195">
        <v>34103.333071793248</v>
      </c>
      <c r="G22" s="3195">
        <v>5164.2756857006243</v>
      </c>
      <c r="H22" s="3195">
        <v>8491.9390861353095</v>
      </c>
      <c r="I22" s="3195">
        <v>15189.607381831738</v>
      </c>
      <c r="J22" s="3196">
        <v>11.251221949244574</v>
      </c>
      <c r="K22" s="3196">
        <v>23.554010030678267</v>
      </c>
    </row>
    <row r="23" spans="1:11" ht="15.75" hidden="1" customHeight="1" x14ac:dyDescent="0.25">
      <c r="A23" s="3180">
        <v>43202</v>
      </c>
      <c r="B23" s="3194">
        <v>377347.04610080703</v>
      </c>
      <c r="C23" s="3195">
        <v>90478.734485362249</v>
      </c>
      <c r="D23" s="3195">
        <v>39131.149764157853</v>
      </c>
      <c r="E23" s="3195">
        <v>19823.104455390032</v>
      </c>
      <c r="F23" s="3195">
        <v>33991.895497573802</v>
      </c>
      <c r="G23" s="3195">
        <v>5408.2831701209607</v>
      </c>
      <c r="H23" s="3195">
        <v>5139.2542665840519</v>
      </c>
      <c r="I23" s="3195">
        <v>14414.82128526907</v>
      </c>
      <c r="J23" s="3196">
        <v>10.370069189226964</v>
      </c>
      <c r="K23" s="3196">
        <v>21.909130988781722</v>
      </c>
    </row>
    <row r="24" spans="1:11" ht="15.75" hidden="1" customHeight="1" x14ac:dyDescent="0.25">
      <c r="A24" s="3180">
        <v>43216</v>
      </c>
      <c r="B24" s="3194">
        <v>373453.69189558004</v>
      </c>
      <c r="C24" s="3195">
        <v>91891.128292615322</v>
      </c>
      <c r="D24" s="3195">
        <v>40583.640503069277</v>
      </c>
      <c r="E24" s="3195">
        <v>16361.303275571398</v>
      </c>
      <c r="F24" s="3195">
        <v>33641.898612246638</v>
      </c>
      <c r="G24" s="3195">
        <v>5492.7568031272995</v>
      </c>
      <c r="H24" s="3195">
        <v>6941.7418908226391</v>
      </c>
      <c r="I24" s="3195">
        <v>10868.546472444097</v>
      </c>
      <c r="J24" s="3196">
        <v>10.867114553634327</v>
      </c>
      <c r="K24" s="3196">
        <v>17.80509563825461</v>
      </c>
    </row>
    <row r="25" spans="1:11" ht="15.75" hidden="1" customHeight="1" x14ac:dyDescent="0.25">
      <c r="A25" s="3180">
        <v>43230</v>
      </c>
      <c r="B25" s="3194">
        <v>374681.8052887306</v>
      </c>
      <c r="C25" s="3195">
        <v>90955.612484943165</v>
      </c>
      <c r="D25" s="3195">
        <v>41964.906426510708</v>
      </c>
      <c r="E25" s="3195">
        <v>20345.985123619659</v>
      </c>
      <c r="F25" s="3195">
        <v>33752.612807144433</v>
      </c>
      <c r="G25" s="3195">
        <v>5436.5031949908107</v>
      </c>
      <c r="H25" s="3195">
        <v>8212.2936193662754</v>
      </c>
      <c r="I25" s="3195">
        <v>14909.481928628848</v>
      </c>
      <c r="J25" s="3196">
        <v>11.200145252362192</v>
      </c>
      <c r="K25" s="3196">
        <v>22.369136513689845</v>
      </c>
    </row>
    <row r="26" spans="1:11" ht="14.25" hidden="1" customHeight="1" x14ac:dyDescent="0.25">
      <c r="A26" s="3180">
        <v>43244</v>
      </c>
      <c r="B26" s="3194">
        <v>375981.99733898998</v>
      </c>
      <c r="C26" s="3195">
        <v>90715.630133986691</v>
      </c>
      <c r="D26" s="3195">
        <v>43247.274830216433</v>
      </c>
      <c r="E26" s="3195">
        <v>23535.855182285803</v>
      </c>
      <c r="F26" s="3195">
        <v>33869.468978006553</v>
      </c>
      <c r="G26" s="3195">
        <v>5422.2116630409064</v>
      </c>
      <c r="H26" s="3195">
        <v>9377.80585220988</v>
      </c>
      <c r="I26" s="3195">
        <v>18113.643519244895</v>
      </c>
      <c r="J26" s="3196">
        <v>11.502485527578107</v>
      </c>
      <c r="K26" s="3196">
        <v>25.944652699345657</v>
      </c>
    </row>
    <row r="27" spans="1:11" ht="15.75" hidden="1" customHeight="1" x14ac:dyDescent="0.25">
      <c r="A27" s="3180">
        <v>43258</v>
      </c>
      <c r="B27" s="3194">
        <v>373610.8215225492</v>
      </c>
      <c r="C27" s="3195">
        <v>92893.461633318759</v>
      </c>
      <c r="D27" s="3195">
        <v>42497.146968708577</v>
      </c>
      <c r="E27" s="3195">
        <v>23198.228343044429</v>
      </c>
      <c r="F27" s="3195">
        <v>33655.619837011356</v>
      </c>
      <c r="G27" s="3195">
        <v>5553.1770980111751</v>
      </c>
      <c r="H27" s="3195">
        <v>8841.5271316972212</v>
      </c>
      <c r="I27" s="3195">
        <v>17645.051245033254</v>
      </c>
      <c r="J27" s="3196">
        <v>11.374709864003142</v>
      </c>
      <c r="K27" s="3196">
        <v>24.972939898198128</v>
      </c>
    </row>
    <row r="28" spans="1:11" ht="15.75" hidden="1" customHeight="1" x14ac:dyDescent="0.25">
      <c r="A28" s="3180">
        <v>43272</v>
      </c>
      <c r="B28" s="3194">
        <v>374375.3046686608</v>
      </c>
      <c r="C28" s="3195">
        <v>91460.587041084378</v>
      </c>
      <c r="D28" s="3195">
        <v>40826.88678127429</v>
      </c>
      <c r="E28" s="3195">
        <v>24121.148555744552</v>
      </c>
      <c r="F28" s="3195">
        <v>33723.97314780335</v>
      </c>
      <c r="G28" s="3195">
        <v>5467.5047373824718</v>
      </c>
      <c r="H28" s="3195">
        <v>7102.9136334709401</v>
      </c>
      <c r="I28" s="3195">
        <v>18653.643818362081</v>
      </c>
      <c r="J28" s="3196">
        <v>10.905336509150342</v>
      </c>
      <c r="K28" s="3196">
        <v>26.373271084417222</v>
      </c>
    </row>
    <row r="29" spans="1:11" ht="15.75" hidden="1" customHeight="1" x14ac:dyDescent="0.25">
      <c r="A29" s="3180">
        <v>43286</v>
      </c>
      <c r="B29" s="3194">
        <v>372436.00736440637</v>
      </c>
      <c r="C29" s="3195">
        <v>94293.427019792303</v>
      </c>
      <c r="D29" s="3195">
        <v>42801.688434131407</v>
      </c>
      <c r="E29" s="3195">
        <v>27165.030012468589</v>
      </c>
      <c r="F29" s="3195">
        <v>33549.498169779101</v>
      </c>
      <c r="G29" s="3195">
        <v>5637.433949865861</v>
      </c>
      <c r="H29" s="3195">
        <v>9252.1902643523063</v>
      </c>
      <c r="I29" s="3195">
        <v>21527.59606260273</v>
      </c>
      <c r="J29" s="3196">
        <v>11.492360455967544</v>
      </c>
      <c r="K29" s="3196">
        <v>28.809038838695106</v>
      </c>
    </row>
    <row r="30" spans="1:11" ht="15.75" hidden="1" customHeight="1" x14ac:dyDescent="0.25">
      <c r="A30" s="3180">
        <v>43300</v>
      </c>
      <c r="B30" s="3194">
        <v>374681.93962771294</v>
      </c>
      <c r="C30" s="3195">
        <v>96484.084220879566</v>
      </c>
      <c r="D30" s="3195">
        <v>44200.180436443567</v>
      </c>
      <c r="E30" s="3195">
        <v>25499.283878777904</v>
      </c>
      <c r="F30" s="3195">
        <v>33751.756635671649</v>
      </c>
      <c r="G30" s="3195">
        <v>5768.7903404677754</v>
      </c>
      <c r="H30" s="3195">
        <v>10448.423800771918</v>
      </c>
      <c r="I30" s="3195">
        <v>19730.493538310129</v>
      </c>
      <c r="J30" s="3196">
        <v>11.796720301053536</v>
      </c>
      <c r="K30" s="3196">
        <v>26.428487231534248</v>
      </c>
    </row>
    <row r="31" spans="1:11" ht="15.75" hidden="1" customHeight="1" x14ac:dyDescent="0.25">
      <c r="A31" s="3180">
        <v>43314</v>
      </c>
      <c r="B31" s="3194">
        <v>372799.53522131132</v>
      </c>
      <c r="C31" s="3195">
        <v>91950.727017632875</v>
      </c>
      <c r="D31" s="3195">
        <v>42904.753354117143</v>
      </c>
      <c r="E31" s="3195">
        <v>23262.249140762691</v>
      </c>
      <c r="F31" s="3195">
        <v>33582.147756872735</v>
      </c>
      <c r="G31" s="3195">
        <v>5496.917229754833</v>
      </c>
      <c r="H31" s="3195">
        <v>9322.6055972444083</v>
      </c>
      <c r="I31" s="3195">
        <v>17765.331911007859</v>
      </c>
      <c r="J31" s="3196">
        <v>11.508800119250918</v>
      </c>
      <c r="K31" s="3196">
        <v>25.298602735682362</v>
      </c>
    </row>
    <row r="32" spans="1:11" ht="15.75" hidden="1" customHeight="1" x14ac:dyDescent="0.25">
      <c r="A32" s="3180">
        <v>43328</v>
      </c>
      <c r="B32" s="3194">
        <v>373684.60342089005</v>
      </c>
      <c r="C32" s="3195">
        <v>90491.566608288442</v>
      </c>
      <c r="D32" s="3195">
        <v>42565.960142101438</v>
      </c>
      <c r="E32" s="3195">
        <v>21526.763043059185</v>
      </c>
      <c r="F32" s="3195">
        <v>33661.354001850763</v>
      </c>
      <c r="G32" s="3195">
        <v>5409.6675338501927</v>
      </c>
      <c r="H32" s="3195">
        <v>8904.6061402506748</v>
      </c>
      <c r="I32" s="3195">
        <v>16117.095509208993</v>
      </c>
      <c r="J32" s="3196">
        <v>11.390878765791259</v>
      </c>
      <c r="K32" s="3196">
        <v>23.788695289409954</v>
      </c>
    </row>
    <row r="33" spans="1:11" ht="15.75" hidden="1" customHeight="1" x14ac:dyDescent="0.25">
      <c r="A33" s="3180">
        <v>43342</v>
      </c>
      <c r="B33" s="3194">
        <v>372414.32041296718</v>
      </c>
      <c r="C33" s="3195">
        <v>93904.968117871351</v>
      </c>
      <c r="D33" s="3195">
        <v>48733.309912880723</v>
      </c>
      <c r="E33" s="3195">
        <v>28199.348267118352</v>
      </c>
      <c r="F33" s="3195">
        <v>33546.287791954623</v>
      </c>
      <c r="G33" s="3195">
        <v>5614.9654505472263</v>
      </c>
      <c r="H33" s="3195">
        <v>15187.0221209261</v>
      </c>
      <c r="I33" s="3195">
        <v>22584.382816571124</v>
      </c>
      <c r="J33" s="3196">
        <v>13.085777651847746</v>
      </c>
      <c r="K33" s="3196">
        <v>30.029665982871084</v>
      </c>
    </row>
    <row r="34" spans="1:11" ht="15.75" hidden="1" customHeight="1" x14ac:dyDescent="0.25">
      <c r="A34" s="3180">
        <v>43356</v>
      </c>
      <c r="B34" s="3194">
        <v>377162.33432383637</v>
      </c>
      <c r="C34" s="3195">
        <v>94001.551164631921</v>
      </c>
      <c r="D34" s="3195">
        <v>47713.964896860714</v>
      </c>
      <c r="E34" s="3195">
        <v>26427.242194674196</v>
      </c>
      <c r="F34" s="3195">
        <v>33973.56866227492</v>
      </c>
      <c r="G34" s="3195">
        <v>5620.7873544581616</v>
      </c>
      <c r="H34" s="3195">
        <v>13740.396234585794</v>
      </c>
      <c r="I34" s="3195">
        <v>20806.454840216036</v>
      </c>
      <c r="J34" s="3196">
        <v>12.650776749062356</v>
      </c>
      <c r="K34" s="3196">
        <v>28.11362351711643</v>
      </c>
    </row>
    <row r="35" spans="1:11" ht="15.75" hidden="1" customHeight="1" x14ac:dyDescent="0.25">
      <c r="A35" s="3180">
        <v>43370</v>
      </c>
      <c r="B35" s="3194">
        <v>376732.22356683575</v>
      </c>
      <c r="C35" s="3195">
        <v>95519.932849042525</v>
      </c>
      <c r="D35" s="3195">
        <v>44401.362601006425</v>
      </c>
      <c r="E35" s="3195">
        <v>23234.14353662527</v>
      </c>
      <c r="F35" s="3195">
        <v>33935.026541754414</v>
      </c>
      <c r="G35" s="3195">
        <v>5711.7783571164173</v>
      </c>
      <c r="H35" s="3195">
        <v>10466.336059252011</v>
      </c>
      <c r="I35" s="3195">
        <v>17522.365179508852</v>
      </c>
      <c r="J35" s="3196">
        <v>11.785921092871211</v>
      </c>
      <c r="K35" s="3196">
        <v>24.323869210988629</v>
      </c>
    </row>
    <row r="36" spans="1:11" ht="15.75" hidden="1" customHeight="1" x14ac:dyDescent="0.25">
      <c r="A36" s="3180">
        <v>43384</v>
      </c>
      <c r="B36" s="3194">
        <v>376971.892783007</v>
      </c>
      <c r="C36" s="3195">
        <v>95291.10912719203</v>
      </c>
      <c r="D36" s="3195">
        <v>42691.444430129297</v>
      </c>
      <c r="E36" s="3195">
        <v>21474.19945612572</v>
      </c>
      <c r="F36" s="3195">
        <v>33956.715826001426</v>
      </c>
      <c r="G36" s="3195">
        <v>5697.9695639443244</v>
      </c>
      <c r="H36" s="3195">
        <v>8734.7286041278712</v>
      </c>
      <c r="I36" s="3195">
        <v>15776.229892181396</v>
      </c>
      <c r="J36" s="3196">
        <v>11.324834887545157</v>
      </c>
      <c r="K36" s="3196">
        <v>22.535365211735055</v>
      </c>
    </row>
    <row r="37" spans="1:11" ht="15.75" hidden="1" customHeight="1" x14ac:dyDescent="0.25">
      <c r="A37" s="3180">
        <v>43398</v>
      </c>
      <c r="B37" s="3194">
        <v>375928.72619546991</v>
      </c>
      <c r="C37" s="3195">
        <v>95185.480781589547</v>
      </c>
      <c r="D37" s="3195">
        <v>41502.405969030726</v>
      </c>
      <c r="E37" s="3195">
        <v>20106.524373162207</v>
      </c>
      <c r="F37" s="3195">
        <v>33862.628623320874</v>
      </c>
      <c r="G37" s="3195">
        <v>5691.7666697429886</v>
      </c>
      <c r="H37" s="3195">
        <v>7639.7773457098519</v>
      </c>
      <c r="I37" s="3195">
        <v>14414.757703419218</v>
      </c>
      <c r="J37" s="3196">
        <v>11.039966641828512</v>
      </c>
      <c r="K37" s="3196">
        <v>21.123520318501289</v>
      </c>
    </row>
    <row r="38" spans="1:11" ht="15.75" hidden="1" customHeight="1" x14ac:dyDescent="0.25">
      <c r="A38" s="3180">
        <v>43412</v>
      </c>
      <c r="B38" s="3194">
        <v>375648.27708208858</v>
      </c>
      <c r="C38" s="3195">
        <v>93910.207282063959</v>
      </c>
      <c r="D38" s="3195">
        <v>44286.322998514988</v>
      </c>
      <c r="E38" s="3195">
        <v>17966.642269772587</v>
      </c>
      <c r="F38" s="3195">
        <v>33837.203100456172</v>
      </c>
      <c r="G38" s="3195">
        <v>5615.3736615450362</v>
      </c>
      <c r="H38" s="3195">
        <v>10449.119898058816</v>
      </c>
      <c r="I38" s="3195">
        <v>12351.26860822755</v>
      </c>
      <c r="J38" s="3196">
        <v>11.789305502082023</v>
      </c>
      <c r="K38" s="3196">
        <v>19.131724643955781</v>
      </c>
    </row>
    <row r="39" spans="1:11" ht="15.75" hidden="1" customHeight="1" x14ac:dyDescent="0.25">
      <c r="A39" s="3180">
        <v>43426</v>
      </c>
      <c r="B39" s="3194">
        <v>379438.74104569125</v>
      </c>
      <c r="C39" s="3195">
        <v>97591.214112587899</v>
      </c>
      <c r="D39" s="3195">
        <v>44460.024306392857</v>
      </c>
      <c r="E39" s="3195">
        <v>17951.153189295481</v>
      </c>
      <c r="F39" s="3195">
        <v>34178.060750781879</v>
      </c>
      <c r="G39" s="3195">
        <v>5836.423475642162</v>
      </c>
      <c r="H39" s="3195">
        <v>10281.963555610979</v>
      </c>
      <c r="I39" s="3195">
        <v>12114.72971365332</v>
      </c>
      <c r="J39" s="3196">
        <v>11.717312835232889</v>
      </c>
      <c r="K39" s="3196">
        <v>18.39423082551858</v>
      </c>
    </row>
    <row r="40" spans="1:11" ht="15.75" hidden="1" customHeight="1" x14ac:dyDescent="0.25">
      <c r="A40" s="3180">
        <v>43440</v>
      </c>
      <c r="B40" s="3194">
        <v>377944.46953957417</v>
      </c>
      <c r="C40" s="3195">
        <v>100465.63639875027</v>
      </c>
      <c r="D40" s="3195">
        <v>49803.819442450716</v>
      </c>
      <c r="E40" s="3195">
        <v>16546.719052853066</v>
      </c>
      <c r="F40" s="3195">
        <v>34043.451275799598</v>
      </c>
      <c r="G40" s="3195">
        <v>6008.9721724330757</v>
      </c>
      <c r="H40" s="3195">
        <v>15760.368166651118</v>
      </c>
      <c r="I40" s="3195">
        <v>10537.746880419991</v>
      </c>
      <c r="J40" s="3196">
        <v>13.177549469932332</v>
      </c>
      <c r="K40" s="3196">
        <v>16.470028604784606</v>
      </c>
    </row>
    <row r="41" spans="1:11" ht="15.75" hidden="1" customHeight="1" x14ac:dyDescent="0.25">
      <c r="A41" s="3180">
        <v>43454</v>
      </c>
      <c r="B41" s="3194">
        <v>383170.3589830593</v>
      </c>
      <c r="C41" s="3195">
        <v>96375.801290741103</v>
      </c>
      <c r="D41" s="3195">
        <v>48200.370268429993</v>
      </c>
      <c r="E41" s="3195">
        <v>15118.545572244589</v>
      </c>
      <c r="F41" s="3195">
        <v>34513.699170000596</v>
      </c>
      <c r="G41" s="3195">
        <v>5763.6368364276359</v>
      </c>
      <c r="H41" s="3195">
        <v>13686.671098429397</v>
      </c>
      <c r="I41" s="3195">
        <v>9354.9087358169527</v>
      </c>
      <c r="J41" s="3196">
        <v>12.579357755217444</v>
      </c>
      <c r="K41" s="3196">
        <v>15.687076392377595</v>
      </c>
    </row>
    <row r="42" spans="1:11" ht="15.75" hidden="1" customHeight="1" thickTop="1" x14ac:dyDescent="0.25">
      <c r="A42" s="3180">
        <v>43468</v>
      </c>
      <c r="B42" s="3194">
        <v>384381.66696552228</v>
      </c>
      <c r="C42" s="3195">
        <v>96186.25507104893</v>
      </c>
      <c r="D42" s="3195">
        <v>44975.481479952141</v>
      </c>
      <c r="E42" s="3195">
        <v>15744.491729098992</v>
      </c>
      <c r="F42" s="3195">
        <v>34622.676903489933</v>
      </c>
      <c r="G42" s="3195">
        <v>5752.2907198676348</v>
      </c>
      <c r="H42" s="3195">
        <v>10352.804576462207</v>
      </c>
      <c r="I42" s="3195">
        <v>9992.2010092313576</v>
      </c>
      <c r="J42" s="3196">
        <v>11.700735322526787</v>
      </c>
      <c r="K42" s="3196">
        <v>16.368754264805474</v>
      </c>
    </row>
    <row r="43" spans="1:11" ht="15.75" hidden="1" customHeight="1" x14ac:dyDescent="0.25">
      <c r="A43" s="3180">
        <v>43482</v>
      </c>
      <c r="B43" s="3194">
        <v>389007.01137208636</v>
      </c>
      <c r="C43" s="3195">
        <v>94745.51404809505</v>
      </c>
      <c r="D43" s="3195">
        <v>46293.999754888566</v>
      </c>
      <c r="E43" s="3195">
        <v>15114.524511186642</v>
      </c>
      <c r="F43" s="3195">
        <v>35038.996032232659</v>
      </c>
      <c r="G43" s="3195">
        <v>5665.8208370557804</v>
      </c>
      <c r="H43" s="3195">
        <v>11255.003722655907</v>
      </c>
      <c r="I43" s="3195">
        <v>9448.7036741308621</v>
      </c>
      <c r="J43" s="3196">
        <v>11.900556648478558</v>
      </c>
      <c r="K43" s="3196">
        <v>15.952760046786125</v>
      </c>
    </row>
    <row r="44" spans="1:11" ht="15.75" hidden="1" customHeight="1" x14ac:dyDescent="0.25">
      <c r="A44" s="3180">
        <v>43496</v>
      </c>
      <c r="B44" s="3194">
        <v>387739.96191248135</v>
      </c>
      <c r="C44" s="3195">
        <v>98244.056687742952</v>
      </c>
      <c r="D44" s="3195">
        <v>47441.156161505707</v>
      </c>
      <c r="E44" s="3195">
        <v>16679.897256735469</v>
      </c>
      <c r="F44" s="3195">
        <v>34924.551834914055</v>
      </c>
      <c r="G44" s="3195">
        <v>5876.006559404088</v>
      </c>
      <c r="H44" s="3195">
        <v>12516.604326591652</v>
      </c>
      <c r="I44" s="3195">
        <v>10803.890697331381</v>
      </c>
      <c r="J44" s="3196">
        <v>12.235302218401177</v>
      </c>
      <c r="K44" s="3196">
        <v>16.978021693210955</v>
      </c>
    </row>
    <row r="45" spans="1:11" ht="15.75" hidden="1" customHeight="1" x14ac:dyDescent="0.25">
      <c r="A45" s="3180">
        <v>43510</v>
      </c>
      <c r="B45" s="3194">
        <v>388595.74818804284</v>
      </c>
      <c r="C45" s="3195">
        <v>97743.351931241705</v>
      </c>
      <c r="D45" s="3195">
        <v>44715.379378050013</v>
      </c>
      <c r="E45" s="3195">
        <v>19484.807857570777</v>
      </c>
      <c r="F45" s="3195">
        <v>34996.396874194725</v>
      </c>
      <c r="G45" s="3195">
        <v>5849.4147576939276</v>
      </c>
      <c r="H45" s="3195">
        <v>9718.9825038552881</v>
      </c>
      <c r="I45" s="3195">
        <v>13635.393099876848</v>
      </c>
      <c r="J45" s="3196">
        <v>11.506914212661968</v>
      </c>
      <c r="K45" s="3196">
        <v>19.934663046216702</v>
      </c>
    </row>
    <row r="46" spans="1:11" ht="15.75" hidden="1" customHeight="1" x14ac:dyDescent="0.25">
      <c r="A46" s="3180">
        <v>43524</v>
      </c>
      <c r="B46" s="3194">
        <v>387275.00925403339</v>
      </c>
      <c r="C46" s="3195">
        <v>100813.20657763991</v>
      </c>
      <c r="D46" s="3195">
        <v>46729.993317989298</v>
      </c>
      <c r="E46" s="3195">
        <v>18267.54236951195</v>
      </c>
      <c r="F46" s="3195">
        <v>34877.539985775584</v>
      </c>
      <c r="G46" s="3195">
        <v>6033.5996260500197</v>
      </c>
      <c r="H46" s="3195">
        <v>11852.453332213714</v>
      </c>
      <c r="I46" s="3195">
        <v>12233.94274346193</v>
      </c>
      <c r="J46" s="3196">
        <v>12.066359099183886</v>
      </c>
      <c r="K46" s="3196">
        <v>18.120187810357418</v>
      </c>
    </row>
    <row r="47" spans="1:11" ht="15.75" hidden="1" customHeight="1" x14ac:dyDescent="0.25">
      <c r="A47" s="3180">
        <v>43538</v>
      </c>
      <c r="B47" s="3194">
        <v>386284.50415640144</v>
      </c>
      <c r="C47" s="3195">
        <v>100211.01914063616</v>
      </c>
      <c r="D47" s="3195">
        <v>47930.10120686642</v>
      </c>
      <c r="E47" s="3195">
        <v>18893.887458218065</v>
      </c>
      <c r="F47" s="3195">
        <v>34784.862122794453</v>
      </c>
      <c r="G47" s="3195">
        <v>5999.8233159592864</v>
      </c>
      <c r="H47" s="3195">
        <v>13145.239084071967</v>
      </c>
      <c r="I47" s="3195">
        <v>12894.06414225878</v>
      </c>
      <c r="J47" s="3196">
        <v>12.407979272049744</v>
      </c>
      <c r="K47" s="3196">
        <v>18.854101694846932</v>
      </c>
    </row>
    <row r="48" spans="1:11" ht="15.75" hidden="1" customHeight="1" thickTop="1" x14ac:dyDescent="0.25">
      <c r="A48" s="3180">
        <v>43552</v>
      </c>
      <c r="B48" s="3194">
        <v>387997.17273510993</v>
      </c>
      <c r="C48" s="3195">
        <v>102402.98837716757</v>
      </c>
      <c r="D48" s="3195">
        <v>47930.289578314289</v>
      </c>
      <c r="E48" s="3195">
        <v>19814.342317332637</v>
      </c>
      <c r="F48" s="3195">
        <v>34937.104062503648</v>
      </c>
      <c r="G48" s="3195">
        <v>6132.6069584008892</v>
      </c>
      <c r="H48" s="3195">
        <v>12993.185515810641</v>
      </c>
      <c r="I48" s="3195">
        <v>13681.735358931748</v>
      </c>
      <c r="J48" s="3196">
        <v>12.353257432377436</v>
      </c>
      <c r="K48" s="3196">
        <v>19.349378989168809</v>
      </c>
    </row>
    <row r="49" spans="1:11" ht="15.75" hidden="1" customHeight="1" x14ac:dyDescent="0.25">
      <c r="A49" s="3180">
        <v>43566</v>
      </c>
      <c r="B49" s="3194">
        <v>390349.57052449783</v>
      </c>
      <c r="C49" s="3195">
        <v>100858.24847887128</v>
      </c>
      <c r="D49" s="3195">
        <v>44598.967381561415</v>
      </c>
      <c r="E49" s="3195">
        <v>19999.63114357254</v>
      </c>
      <c r="F49" s="3195">
        <v>35148.967909088024</v>
      </c>
      <c r="G49" s="3195">
        <v>6039.8238674767972</v>
      </c>
      <c r="H49" s="3195">
        <v>9449.9994724733915</v>
      </c>
      <c r="I49" s="3195">
        <v>13959.807276095744</v>
      </c>
      <c r="J49" s="3196">
        <v>11.425391687157612</v>
      </c>
      <c r="K49" s="3196">
        <v>19.82944523150454</v>
      </c>
    </row>
    <row r="50" spans="1:11" ht="15.75" hidden="1" customHeight="1" x14ac:dyDescent="0.25">
      <c r="A50" s="3180">
        <v>43580</v>
      </c>
      <c r="B50" s="3194">
        <v>388827.78923031635</v>
      </c>
      <c r="C50" s="3195">
        <v>97784.255142351903</v>
      </c>
      <c r="D50" s="3195">
        <v>44686.189603757142</v>
      </c>
      <c r="E50" s="3195">
        <v>19522.33620810046</v>
      </c>
      <c r="F50" s="3195">
        <v>35011.89858251821</v>
      </c>
      <c r="G50" s="3195">
        <v>5855.4569406812852</v>
      </c>
      <c r="H50" s="3195">
        <v>9674.2910212389324</v>
      </c>
      <c r="I50" s="3195">
        <v>13666.879267419175</v>
      </c>
      <c r="J50" s="3196">
        <v>11.49254010167672</v>
      </c>
      <c r="K50" s="3196">
        <v>19.964703090165514</v>
      </c>
    </row>
    <row r="51" spans="1:11" ht="15.75" hidden="1" customHeight="1" x14ac:dyDescent="0.25">
      <c r="A51" s="3180">
        <v>43594</v>
      </c>
      <c r="B51" s="3194">
        <v>390015.89235821058</v>
      </c>
      <c r="C51" s="3195">
        <v>99230.258401527099</v>
      </c>
      <c r="D51" s="3195">
        <v>46374.351876499291</v>
      </c>
      <c r="E51" s="3195">
        <v>19726.096856061249</v>
      </c>
      <c r="F51" s="3195">
        <v>35118.79248837271</v>
      </c>
      <c r="G51" s="3195">
        <v>5942.2407200024636</v>
      </c>
      <c r="H51" s="3195">
        <v>11255.559388126581</v>
      </c>
      <c r="I51" s="3195">
        <v>13783.856136058785</v>
      </c>
      <c r="J51" s="3196">
        <v>11.890374927057257</v>
      </c>
      <c r="K51" s="3196">
        <v>19.879114671092779</v>
      </c>
    </row>
    <row r="52" spans="1:11" ht="15.75" hidden="1" customHeight="1" x14ac:dyDescent="0.25">
      <c r="A52" s="3180">
        <v>43608</v>
      </c>
      <c r="B52" s="3194">
        <v>395178.77733674349</v>
      </c>
      <c r="C52" s="3195">
        <v>99674.588857506023</v>
      </c>
      <c r="D52" s="3195">
        <v>46781.35921928141</v>
      </c>
      <c r="E52" s="3195">
        <v>19691.131639216535</v>
      </c>
      <c r="F52" s="3195">
        <v>35583.392051342496</v>
      </c>
      <c r="G52" s="3195">
        <v>5968.9406040933136</v>
      </c>
      <c r="H52" s="3195">
        <v>11197.967167938914</v>
      </c>
      <c r="I52" s="3195">
        <v>13722.191035123222</v>
      </c>
      <c r="J52" s="3196">
        <v>11.838024180994324</v>
      </c>
      <c r="K52" s="3196">
        <v>19.755417970538925</v>
      </c>
    </row>
    <row r="53" spans="1:11" ht="15.75" hidden="1" customHeight="1" x14ac:dyDescent="0.25">
      <c r="A53" s="3180">
        <v>43622</v>
      </c>
      <c r="B53" s="3194">
        <v>393234.33321811352</v>
      </c>
      <c r="C53" s="3195">
        <v>99207.040452394853</v>
      </c>
      <c r="D53" s="3195">
        <v>52311.448588595711</v>
      </c>
      <c r="E53" s="3195">
        <v>19817.799357513763</v>
      </c>
      <c r="F53" s="3195">
        <v>35408.360907349364</v>
      </c>
      <c r="G53" s="3195">
        <v>5940.9084819975942</v>
      </c>
      <c r="H53" s="3195">
        <v>16903.087681246347</v>
      </c>
      <c r="I53" s="3195">
        <v>13876.890875516168</v>
      </c>
      <c r="J53" s="3196">
        <v>13.302869096015671</v>
      </c>
      <c r="K53" s="3196">
        <v>19.976202562985904</v>
      </c>
    </row>
    <row r="54" spans="1:11" ht="15.75" hidden="1" customHeight="1" x14ac:dyDescent="0.25">
      <c r="A54" s="3180">
        <v>43636</v>
      </c>
      <c r="B54" s="3194">
        <v>396538.74419182417</v>
      </c>
      <c r="C54" s="3195">
        <v>102751.7424632349</v>
      </c>
      <c r="D54" s="3195">
        <v>44244.403039649289</v>
      </c>
      <c r="E54" s="3195">
        <v>19916.171639023163</v>
      </c>
      <c r="F54" s="3195">
        <v>35705.447143754303</v>
      </c>
      <c r="G54" s="3195">
        <v>6153.7977701340023</v>
      </c>
      <c r="H54" s="3195">
        <v>8538.9558958949856</v>
      </c>
      <c r="I54" s="3195">
        <v>13762.373868889161</v>
      </c>
      <c r="J54" s="3196">
        <v>11.157649457387251</v>
      </c>
      <c r="K54" s="3196">
        <v>19.382806716050847</v>
      </c>
    </row>
    <row r="55" spans="1:11" ht="15.75" hidden="1" customHeight="1" x14ac:dyDescent="0.25">
      <c r="A55" s="3180">
        <v>43650</v>
      </c>
      <c r="B55" s="3194">
        <v>397095.54591140727</v>
      </c>
      <c r="C55" s="3195">
        <v>104782.63394747024</v>
      </c>
      <c r="D55" s="3195">
        <v>47177.149322470716</v>
      </c>
      <c r="E55" s="3195">
        <v>20473.368077867479</v>
      </c>
      <c r="F55" s="3195">
        <v>35755.303929522262</v>
      </c>
      <c r="G55" s="3195">
        <v>6275.8215051844763</v>
      </c>
      <c r="H55" s="3195">
        <v>11421.845392948453</v>
      </c>
      <c r="I55" s="3195">
        <v>14197.546572683003</v>
      </c>
      <c r="J55" s="3196">
        <v>11.880553637082604</v>
      </c>
      <c r="K55" s="3196">
        <v>19.538894286749091</v>
      </c>
    </row>
    <row r="56" spans="1:11" ht="15.75" hidden="1" customHeight="1" x14ac:dyDescent="0.25">
      <c r="A56" s="3180">
        <v>43664</v>
      </c>
      <c r="B56" s="3194">
        <v>401180.26240941073</v>
      </c>
      <c r="C56" s="3195">
        <v>106950.5223859104</v>
      </c>
      <c r="D56" s="3195">
        <v>48175.050196501441</v>
      </c>
      <c r="E56" s="3195">
        <v>20233.116572669958</v>
      </c>
      <c r="F56" s="3195">
        <v>36123.193962393605</v>
      </c>
      <c r="G56" s="3195">
        <v>6405.7177794568597</v>
      </c>
      <c r="H56" s="3195">
        <v>12051.856234107836</v>
      </c>
      <c r="I56" s="3195">
        <v>13827.398793213099</v>
      </c>
      <c r="J56" s="3196">
        <v>12.008330097590408</v>
      </c>
      <c r="K56" s="3196">
        <v>18.918202661659425</v>
      </c>
    </row>
    <row r="57" spans="1:11" ht="15.75" hidden="1" customHeight="1" x14ac:dyDescent="0.25">
      <c r="A57" s="3180">
        <v>43678</v>
      </c>
      <c r="B57" s="3194">
        <v>397858.29795419081</v>
      </c>
      <c r="C57" s="3195">
        <v>108223.58274427621</v>
      </c>
      <c r="D57" s="3195">
        <v>50976.035905411423</v>
      </c>
      <c r="E57" s="3195">
        <v>20494.340032618322</v>
      </c>
      <c r="F57" s="3195">
        <v>35824.134564789798</v>
      </c>
      <c r="G57" s="3195">
        <v>6482.1564653814949</v>
      </c>
      <c r="H57" s="3195">
        <v>15151.901340621625</v>
      </c>
      <c r="I57" s="3195">
        <v>14012.183567236827</v>
      </c>
      <c r="J57" s="3196">
        <v>12.812610964137985</v>
      </c>
      <c r="K57" s="3196">
        <v>18.937037116064463</v>
      </c>
    </row>
    <row r="58" spans="1:11" ht="15.75" hidden="1" customHeight="1" x14ac:dyDescent="0.25">
      <c r="A58" s="3180">
        <v>43692</v>
      </c>
      <c r="B58" s="3194">
        <v>400564.03373729216</v>
      </c>
      <c r="C58" s="3195">
        <v>107017.22328837361</v>
      </c>
      <c r="D58" s="3195">
        <v>48870.342296707131</v>
      </c>
      <c r="E58" s="3195">
        <v>20341.609465751128</v>
      </c>
      <c r="F58" s="3195">
        <v>36067.603703053661</v>
      </c>
      <c r="G58" s="3195">
        <v>6409.8062861708313</v>
      </c>
      <c r="H58" s="3195">
        <v>12802.73859365347</v>
      </c>
      <c r="I58" s="3195">
        <v>13931.803179580296</v>
      </c>
      <c r="J58" s="3196">
        <v>12.200382006527947</v>
      </c>
      <c r="K58" s="3196">
        <v>19.007790373085719</v>
      </c>
    </row>
    <row r="59" spans="1:11" ht="15.75" hidden="1" customHeight="1" x14ac:dyDescent="0.25">
      <c r="A59" s="3180">
        <v>43706</v>
      </c>
      <c r="B59" s="3194">
        <v>400881.20995892538</v>
      </c>
      <c r="C59" s="3195">
        <v>105525.52685398559</v>
      </c>
      <c r="D59" s="3195">
        <v>48056.885617234999</v>
      </c>
      <c r="E59" s="3195">
        <v>20637.930989652839</v>
      </c>
      <c r="F59" s="3195">
        <v>36096.00222344022</v>
      </c>
      <c r="G59" s="3195">
        <v>6320.4027264811693</v>
      </c>
      <c r="H59" s="3195">
        <v>11960.883393794778</v>
      </c>
      <c r="I59" s="3195">
        <v>14317.528263171669</v>
      </c>
      <c r="J59" s="3196">
        <v>11.987811956105139</v>
      </c>
      <c r="K59" s="3196">
        <v>19.557287800334127</v>
      </c>
    </row>
    <row r="60" spans="1:11" ht="15.75" hidden="1" customHeight="1" x14ac:dyDescent="0.25">
      <c r="A60" s="3180">
        <v>43720</v>
      </c>
      <c r="B60" s="3194">
        <v>401078.72161256569</v>
      </c>
      <c r="C60" s="3195">
        <v>109835.40286059282</v>
      </c>
      <c r="D60" s="3195">
        <v>46957.651518063576</v>
      </c>
      <c r="E60" s="3195">
        <v>21063.601823466121</v>
      </c>
      <c r="F60" s="3195">
        <v>36113.775577910943</v>
      </c>
      <c r="G60" s="3195">
        <v>6578.9970831155488</v>
      </c>
      <c r="H60" s="3195">
        <v>10843.875940152633</v>
      </c>
      <c r="I60" s="3195">
        <v>14484.604740350573</v>
      </c>
      <c r="J60" s="3196">
        <v>11.707839131746251</v>
      </c>
      <c r="K60" s="3196">
        <v>19.177424832866347</v>
      </c>
    </row>
    <row r="61" spans="1:11" ht="15.75" hidden="1" customHeight="1" x14ac:dyDescent="0.25">
      <c r="A61" s="3180">
        <v>43734</v>
      </c>
      <c r="B61" s="3194">
        <v>397450.27503390639</v>
      </c>
      <c r="C61" s="3195">
        <v>108824.6141703379</v>
      </c>
      <c r="D61" s="3195">
        <v>49786.912189245697</v>
      </c>
      <c r="E61" s="3195">
        <v>19902.031115700134</v>
      </c>
      <c r="F61" s="3195">
        <v>35787.151187501826</v>
      </c>
      <c r="G61" s="3195">
        <v>6518.3925605867689</v>
      </c>
      <c r="H61" s="3195">
        <v>13999.761001743871</v>
      </c>
      <c r="I61" s="3195">
        <v>13383.638555113364</v>
      </c>
      <c r="J61" s="3196">
        <v>12.526576358513877</v>
      </c>
      <c r="K61" s="3196">
        <v>18.288170619698636</v>
      </c>
    </row>
    <row r="62" spans="1:11" ht="15.75" hidden="1" customHeight="1" x14ac:dyDescent="0.25">
      <c r="A62" s="3180">
        <v>43748</v>
      </c>
      <c r="B62" s="3194">
        <v>399307.4070736164</v>
      </c>
      <c r="C62" s="3195">
        <v>117200.11122887878</v>
      </c>
      <c r="D62" s="3195">
        <v>47170.271561300004</v>
      </c>
      <c r="E62" s="3195">
        <v>19417.692619168916</v>
      </c>
      <c r="F62" s="3195">
        <v>35954.271758940791</v>
      </c>
      <c r="G62" s="3195">
        <v>7020.9365921891804</v>
      </c>
      <c r="H62" s="3195">
        <v>11215.999802359212</v>
      </c>
      <c r="I62" s="3195">
        <v>12396.756026979736</v>
      </c>
      <c r="J62" s="3196">
        <v>11.813021928892915</v>
      </c>
      <c r="K62" s="3196">
        <v>16.567981391458169</v>
      </c>
    </row>
    <row r="63" spans="1:11" ht="15.75" hidden="1" customHeight="1" x14ac:dyDescent="0.25">
      <c r="A63" s="3180">
        <v>43762</v>
      </c>
      <c r="B63" s="3194">
        <v>400649.8363802096</v>
      </c>
      <c r="C63" s="3195">
        <v>115858.25171883483</v>
      </c>
      <c r="D63" s="3195">
        <v>44252.334700571424</v>
      </c>
      <c r="E63" s="3195">
        <v>21079.876919848179</v>
      </c>
      <c r="F63" s="3195">
        <v>36074.81224958846</v>
      </c>
      <c r="G63" s="3195">
        <v>6940.6104528836822</v>
      </c>
      <c r="H63" s="3195">
        <v>8177.5224509829641</v>
      </c>
      <c r="I63" s="3195">
        <v>14139.266466964496</v>
      </c>
      <c r="J63" s="3196">
        <v>11.045139840910043</v>
      </c>
      <c r="K63" s="3196">
        <v>18.194540835127473</v>
      </c>
    </row>
    <row r="64" spans="1:11" ht="15.75" hidden="1" customHeight="1" x14ac:dyDescent="0.25">
      <c r="A64" s="3180">
        <v>43776</v>
      </c>
      <c r="B64" s="3194">
        <v>400329.66033975634</v>
      </c>
      <c r="C64" s="3195">
        <v>113967.49228880426</v>
      </c>
      <c r="D64" s="3195">
        <v>45448.266891724285</v>
      </c>
      <c r="E64" s="3195">
        <v>21417.499139336116</v>
      </c>
      <c r="F64" s="3195">
        <v>36045.914290170578</v>
      </c>
      <c r="G64" s="3195">
        <v>6827.2196309332585</v>
      </c>
      <c r="H64" s="3195">
        <v>9402.3526015537063</v>
      </c>
      <c r="I64" s="3195">
        <v>14590.279508402858</v>
      </c>
      <c r="J64" s="3196">
        <v>11.352710377030952</v>
      </c>
      <c r="K64" s="3196">
        <v>18.792638768485119</v>
      </c>
    </row>
    <row r="65" spans="1:12" ht="15.75" hidden="1" customHeight="1" x14ac:dyDescent="0.25">
      <c r="A65" s="3180">
        <v>43790</v>
      </c>
      <c r="B65" s="3194">
        <v>405135.79123642144</v>
      </c>
      <c r="C65" s="3195">
        <v>112840.53048504356</v>
      </c>
      <c r="D65" s="3195">
        <v>44862.006161371428</v>
      </c>
      <c r="E65" s="3195">
        <v>21002.414131485595</v>
      </c>
      <c r="F65" s="3195">
        <v>36463.21303148404</v>
      </c>
      <c r="G65" s="3195">
        <v>6769.77061563187</v>
      </c>
      <c r="H65" s="3195">
        <v>8398.7931298873882</v>
      </c>
      <c r="I65" s="3195">
        <v>14232.643515853724</v>
      </c>
      <c r="J65" s="3196">
        <v>11.073325816131538</v>
      </c>
      <c r="K65" s="3196">
        <v>18.612473763821377</v>
      </c>
    </row>
    <row r="66" spans="1:12" ht="15.75" hidden="1" customHeight="1" x14ac:dyDescent="0.25">
      <c r="A66" s="3180">
        <v>43804</v>
      </c>
      <c r="B66" s="3194">
        <v>406262.55785023421</v>
      </c>
      <c r="C66" s="3195">
        <v>115068.29607919187</v>
      </c>
      <c r="D66" s="3195">
        <v>46751.711527508574</v>
      </c>
      <c r="E66" s="3195">
        <v>23917.806966345383</v>
      </c>
      <c r="F66" s="3195">
        <v>36564.621590872041</v>
      </c>
      <c r="G66" s="3195">
        <v>6903.4368418508875</v>
      </c>
      <c r="H66" s="3195">
        <v>10187.089936636534</v>
      </c>
      <c r="I66" s="3195">
        <v>17014.370124494497</v>
      </c>
      <c r="J66" s="3196">
        <v>11.507757883202041</v>
      </c>
      <c r="K66" s="3196">
        <v>20.785748795554213</v>
      </c>
    </row>
    <row r="67" spans="1:12" ht="15.75" hidden="1" customHeight="1" x14ac:dyDescent="0.25">
      <c r="A67" s="3180">
        <v>43818</v>
      </c>
      <c r="B67" s="3194">
        <v>409140.00303550792</v>
      </c>
      <c r="C67" s="3195">
        <v>115324.85661245523</v>
      </c>
      <c r="D67" s="3195">
        <v>49233.249328197133</v>
      </c>
      <c r="E67" s="3195">
        <v>24050.969859993736</v>
      </c>
      <c r="F67" s="3195">
        <v>36823.594093180589</v>
      </c>
      <c r="G67" s="3195">
        <v>6918.8288500907256</v>
      </c>
      <c r="H67" s="3195">
        <v>12409.655235016544</v>
      </c>
      <c r="I67" s="3195">
        <v>17132.141009903011</v>
      </c>
      <c r="J67" s="3196">
        <v>12.033350188914268</v>
      </c>
      <c r="K67" s="3196">
        <v>20.854974865319885</v>
      </c>
    </row>
    <row r="68" spans="1:12" ht="15.75" hidden="1" customHeight="1" x14ac:dyDescent="0.25">
      <c r="A68" s="3180">
        <v>43832</v>
      </c>
      <c r="B68" s="3194">
        <v>414244.54177146713</v>
      </c>
      <c r="C68" s="3195">
        <v>115459.7230340622</v>
      </c>
      <c r="D68" s="3195">
        <v>58820.77716494356</v>
      </c>
      <c r="E68" s="3195">
        <v>22619.678858911568</v>
      </c>
      <c r="F68" s="3195">
        <v>37283.00548618177</v>
      </c>
      <c r="G68" s="3195">
        <v>6926.918897543912</v>
      </c>
      <c r="H68" s="3195">
        <v>21537.77167876179</v>
      </c>
      <c r="I68" s="3195">
        <v>15692.759961367656</v>
      </c>
      <c r="J68" s="3196">
        <v>14.199529802711112</v>
      </c>
      <c r="K68" s="3196">
        <v>19.590969270070438</v>
      </c>
    </row>
    <row r="69" spans="1:12" ht="15.75" hidden="1" customHeight="1" x14ac:dyDescent="0.25">
      <c r="A69" s="3180">
        <v>43846</v>
      </c>
      <c r="B69" s="3194">
        <v>429288.60444826138</v>
      </c>
      <c r="C69" s="3195">
        <v>110831.03053986686</v>
      </c>
      <c r="D69" s="3195">
        <v>56380.51258256712</v>
      </c>
      <c r="E69" s="3195">
        <v>21234.726662682937</v>
      </c>
      <c r="F69" s="3195">
        <v>38636.971889038752</v>
      </c>
      <c r="G69" s="3195">
        <v>6649.1968399285233</v>
      </c>
      <c r="H69" s="3195">
        <v>17743.540693528368</v>
      </c>
      <c r="I69" s="3195">
        <v>14585.529822754414</v>
      </c>
      <c r="J69" s="3196">
        <v>13.133475242146151</v>
      </c>
      <c r="K69" s="3196">
        <v>19.159549955681975</v>
      </c>
    </row>
    <row r="70" spans="1:12" ht="15.75" hidden="1" customHeight="1" x14ac:dyDescent="0.25">
      <c r="A70" s="3180">
        <v>43860</v>
      </c>
      <c r="B70" s="3194">
        <v>426522.02863370709</v>
      </c>
      <c r="C70" s="3195">
        <v>111941.55872104883</v>
      </c>
      <c r="D70" s="3195">
        <v>58174.850189351426</v>
      </c>
      <c r="E70" s="3195">
        <v>21118.336706052833</v>
      </c>
      <c r="F70" s="3195">
        <v>38387.979758909831</v>
      </c>
      <c r="G70" s="3195">
        <v>6715.8287353454698</v>
      </c>
      <c r="H70" s="3195">
        <v>19786.870430441595</v>
      </c>
      <c r="I70" s="3195">
        <v>14402.507970707364</v>
      </c>
      <c r="J70" s="3196">
        <v>13.639354191319249</v>
      </c>
      <c r="K70" s="3196">
        <v>18.865501737990243</v>
      </c>
    </row>
    <row r="71" spans="1:12" ht="15.75" hidden="1" customHeight="1" x14ac:dyDescent="0.25">
      <c r="A71" s="3180">
        <v>43874</v>
      </c>
      <c r="B71" s="3194">
        <v>429791.55726958497</v>
      </c>
      <c r="C71" s="3195">
        <v>113965.15817015122</v>
      </c>
      <c r="D71" s="3195">
        <v>45685.05742508571</v>
      </c>
      <c r="E71" s="3195">
        <v>21660.669189635024</v>
      </c>
      <c r="F71" s="3195">
        <v>38682.237084828404</v>
      </c>
      <c r="G71" s="3195">
        <v>6837.2448698319085</v>
      </c>
      <c r="H71" s="3195">
        <v>7002.8203402573054</v>
      </c>
      <c r="I71" s="3195">
        <v>14823.424319803114</v>
      </c>
      <c r="J71" s="3196">
        <v>10.629584656180192</v>
      </c>
      <c r="K71" s="3196">
        <v>19.006395934883372</v>
      </c>
    </row>
    <row r="72" spans="1:12" ht="15.75" hidden="1" customHeight="1" x14ac:dyDescent="0.25">
      <c r="A72" s="3180">
        <v>43888</v>
      </c>
      <c r="B72" s="3194">
        <v>425481.70085667213</v>
      </c>
      <c r="C72" s="3195">
        <v>114150.9914912494</v>
      </c>
      <c r="D72" s="3195">
        <v>52771.250898473561</v>
      </c>
      <c r="E72" s="3195">
        <v>22367.402046643772</v>
      </c>
      <c r="F72" s="3195">
        <v>38293.650172238464</v>
      </c>
      <c r="G72" s="3195">
        <v>6848.8614260496479</v>
      </c>
      <c r="H72" s="3195">
        <v>14477.600726235098</v>
      </c>
      <c r="I72" s="3195">
        <v>15518.540620594125</v>
      </c>
      <c r="J72" s="3196">
        <v>12.402707517673035</v>
      </c>
      <c r="K72" s="3196">
        <v>19.594575355360284</v>
      </c>
    </row>
    <row r="73" spans="1:12" ht="15.75" hidden="1" customHeight="1" x14ac:dyDescent="0.25">
      <c r="A73" s="3180">
        <v>43902</v>
      </c>
      <c r="B73" s="3194">
        <v>430735.0620059151</v>
      </c>
      <c r="C73" s="3195">
        <v>116517.47911195534</v>
      </c>
      <c r="D73" s="3195">
        <v>55352.080935636433</v>
      </c>
      <c r="E73" s="3195">
        <v>23734.41897577095</v>
      </c>
      <c r="F73" s="3195">
        <v>38766.454025485371</v>
      </c>
      <c r="G73" s="3195">
        <v>6990.8497834153095</v>
      </c>
      <c r="H73" s="3195">
        <v>16585.626910151062</v>
      </c>
      <c r="I73" s="3195">
        <v>16743.569192355641</v>
      </c>
      <c r="J73" s="3196">
        <v>12.850609531962437</v>
      </c>
      <c r="K73" s="3196">
        <v>20.369835630382831</v>
      </c>
    </row>
    <row r="74" spans="1:12" s="3198" customFormat="1" ht="15.75" hidden="1" customHeight="1" x14ac:dyDescent="0.25">
      <c r="A74" s="3180" t="s">
        <v>5545</v>
      </c>
      <c r="B74" s="3194">
        <v>434118.87694211298</v>
      </c>
      <c r="C74" s="3195">
        <v>119963.4531807469</v>
      </c>
      <c r="D74" s="3195">
        <v>57341.591692895716</v>
      </c>
      <c r="E74" s="3195">
        <v>22896.333603557137</v>
      </c>
      <c r="F74" s="3195">
        <v>34729.775006733405</v>
      </c>
      <c r="G74" s="3195">
        <v>7197.6085523215334</v>
      </c>
      <c r="H74" s="3195">
        <v>22611.81668616231</v>
      </c>
      <c r="I74" s="3195">
        <v>15698.725051235604</v>
      </c>
      <c r="J74" s="3196">
        <v>13.20873031295109</v>
      </c>
      <c r="K74" s="3196">
        <v>19.086090802220923</v>
      </c>
      <c r="L74" s="3187"/>
    </row>
    <row r="75" spans="1:12" s="3198" customFormat="1" ht="15.75" hidden="1" customHeight="1" x14ac:dyDescent="0.25">
      <c r="A75" s="3180" t="s">
        <v>5546</v>
      </c>
      <c r="B75" s="3194">
        <v>434547.6612497851</v>
      </c>
      <c r="C75" s="3195">
        <v>129370.32235956832</v>
      </c>
      <c r="D75" s="3195">
        <v>58681.827167577132</v>
      </c>
      <c r="E75" s="3195">
        <v>27142.85812084797</v>
      </c>
      <c r="F75" s="3195">
        <v>34764.089291075048</v>
      </c>
      <c r="G75" s="3195">
        <v>7762.0120482549055</v>
      </c>
      <c r="H75" s="3195">
        <v>23917.737876502077</v>
      </c>
      <c r="I75" s="3195">
        <v>19380.846072593056</v>
      </c>
      <c r="J75" s="3196">
        <v>13.504117591797568</v>
      </c>
      <c r="K75" s="3196">
        <v>20.980745526325467</v>
      </c>
      <c r="L75" s="3187"/>
    </row>
    <row r="76" spans="1:12" s="3198" customFormat="1" ht="15.75" hidden="1" customHeight="1" thickTop="1" x14ac:dyDescent="0.25">
      <c r="A76" s="3180">
        <v>43944</v>
      </c>
      <c r="B76" s="3194">
        <v>440638</v>
      </c>
      <c r="C76" s="3195">
        <v>132053</v>
      </c>
      <c r="D76" s="3195">
        <v>59304</v>
      </c>
      <c r="E76" s="3195">
        <v>29512</v>
      </c>
      <c r="F76" s="3195">
        <v>35251</v>
      </c>
      <c r="G76" s="3195">
        <v>7923</v>
      </c>
      <c r="H76" s="3195">
        <v>24053</v>
      </c>
      <c r="I76" s="3195">
        <v>21589</v>
      </c>
      <c r="J76" s="3196">
        <v>13.46</v>
      </c>
      <c r="K76" s="3196">
        <v>22.35</v>
      </c>
      <c r="L76" s="3187"/>
    </row>
    <row r="77" spans="1:12" s="3198" customFormat="1" ht="15.75" hidden="1" customHeight="1" thickTop="1" x14ac:dyDescent="0.25">
      <c r="A77" s="3180">
        <v>43958</v>
      </c>
      <c r="B77" s="3194">
        <v>442773.04167473654</v>
      </c>
      <c r="C77" s="3195">
        <v>133723.89196545194</v>
      </c>
      <c r="D77" s="3195">
        <v>64941.483634741424</v>
      </c>
      <c r="E77" s="3195">
        <v>26773.457449848429</v>
      </c>
      <c r="F77" s="3195">
        <v>35422.124596832764</v>
      </c>
      <c r="G77" s="3195">
        <v>8023.2225707867246</v>
      </c>
      <c r="H77" s="3195">
        <v>29519.359037908645</v>
      </c>
      <c r="I77" s="3195">
        <v>18750.2348790617</v>
      </c>
      <c r="J77" s="3196">
        <v>14.666991330164992</v>
      </c>
      <c r="K77" s="3196">
        <v>20.021446471783406</v>
      </c>
      <c r="L77" s="3187"/>
    </row>
    <row r="78" spans="1:12" s="3198" customFormat="1" ht="15.75" hidden="1" customHeight="1" thickTop="1" x14ac:dyDescent="0.25">
      <c r="A78" s="3180">
        <v>43972</v>
      </c>
      <c r="B78" s="3194">
        <v>448625.182851827</v>
      </c>
      <c r="C78" s="3195">
        <v>137023.56465890515</v>
      </c>
      <c r="D78" s="3195">
        <v>74986.714448143568</v>
      </c>
      <c r="E78" s="3195">
        <v>24798.107613464039</v>
      </c>
      <c r="F78" s="3195">
        <v>35890.29854383412</v>
      </c>
      <c r="G78" s="3195">
        <v>8221.2009427683442</v>
      </c>
      <c r="H78" s="3195">
        <v>39096.415904309477</v>
      </c>
      <c r="I78" s="3195">
        <v>16576.906670695691</v>
      </c>
      <c r="J78" s="3196">
        <v>16.714780470295256</v>
      </c>
      <c r="K78" s="3196">
        <v>18.097695586298855</v>
      </c>
      <c r="L78" s="3187"/>
    </row>
    <row r="79" spans="1:12" s="3198" customFormat="1" ht="15.75" hidden="1" customHeight="1" thickTop="1" x14ac:dyDescent="0.25">
      <c r="A79" s="3180">
        <v>43986</v>
      </c>
      <c r="B79" s="3194">
        <v>452007.75125861005</v>
      </c>
      <c r="C79" s="3195">
        <v>138220.86483187968</v>
      </c>
      <c r="D79" s="3195">
        <v>85411.994129944971</v>
      </c>
      <c r="E79" s="3195">
        <v>24693.806443150279</v>
      </c>
      <c r="F79" s="3195">
        <v>36160.903881011698</v>
      </c>
      <c r="G79" s="3195">
        <v>8293.0390546706112</v>
      </c>
      <c r="H79" s="3195">
        <v>49251.090248933295</v>
      </c>
      <c r="I79" s="3195">
        <v>16400.767388479671</v>
      </c>
      <c r="J79" s="3196">
        <v>18.896134832227172</v>
      </c>
      <c r="K79" s="3196">
        <v>17.865469495640738</v>
      </c>
      <c r="L79" s="3187"/>
    </row>
    <row r="80" spans="1:12" s="3199" customFormat="1" ht="15.75" hidden="1" customHeight="1" thickTop="1" x14ac:dyDescent="0.25">
      <c r="A80" s="3180">
        <v>44000</v>
      </c>
      <c r="B80" s="3194">
        <v>457492.35724326567</v>
      </c>
      <c r="C80" s="3195">
        <v>135358.58551198844</v>
      </c>
      <c r="D80" s="3195">
        <v>81888.482788155001</v>
      </c>
      <c r="E80" s="3195">
        <v>24694.989226607184</v>
      </c>
      <c r="F80" s="3195">
        <v>36599.672101309894</v>
      </c>
      <c r="G80" s="3195">
        <v>8121.3024893328302</v>
      </c>
      <c r="H80" s="3195">
        <v>45288.8106868451</v>
      </c>
      <c r="I80" s="3195">
        <v>16573.686737274362</v>
      </c>
      <c r="J80" s="3196">
        <v>17.899420939312403</v>
      </c>
      <c r="K80" s="3196">
        <v>18.244124769182076</v>
      </c>
      <c r="L80" s="3187"/>
    </row>
    <row r="81" spans="1:12" s="3199" customFormat="1" ht="15.75" hidden="1" customHeight="1" x14ac:dyDescent="0.25">
      <c r="A81" s="3180">
        <v>44014</v>
      </c>
      <c r="B81" s="3194">
        <v>463194.18166354287</v>
      </c>
      <c r="C81" s="3195">
        <v>135492.8845285328</v>
      </c>
      <c r="D81" s="3195">
        <v>76546.654821627148</v>
      </c>
      <c r="E81" s="3195">
        <v>26548.965386488129</v>
      </c>
      <c r="F81" s="3195">
        <v>37055.817292054242</v>
      </c>
      <c r="G81" s="3195">
        <v>8129.3610024838545</v>
      </c>
      <c r="H81" s="3195">
        <v>39490.837529572898</v>
      </c>
      <c r="I81" s="3195">
        <v>18419.604384004269</v>
      </c>
      <c r="J81" s="3196">
        <v>16.52582390968578</v>
      </c>
      <c r="K81" s="3196">
        <v>19.594361341460193</v>
      </c>
      <c r="L81" s="3187"/>
    </row>
    <row r="82" spans="1:12" s="3199" customFormat="1" ht="15.75" hidden="1" customHeight="1" x14ac:dyDescent="0.25">
      <c r="A82" s="3180">
        <v>44028</v>
      </c>
      <c r="B82" s="3194">
        <v>463213.02200582885</v>
      </c>
      <c r="C82" s="3195">
        <v>133201.9528924381</v>
      </c>
      <c r="D82" s="3195">
        <v>74752.283116682855</v>
      </c>
      <c r="E82" s="3195">
        <v>28202.443901021667</v>
      </c>
      <c r="F82" s="3195">
        <v>37057.325741634195</v>
      </c>
      <c r="G82" s="3195">
        <v>7991.9041876703586</v>
      </c>
      <c r="H82" s="3195">
        <v>37694.957375048652</v>
      </c>
      <c r="I82" s="3195">
        <v>20210.539713351307</v>
      </c>
      <c r="J82" s="3196">
        <v>16.137776695695358</v>
      </c>
      <c r="K82" s="3196">
        <v>21.172695511300365</v>
      </c>
      <c r="L82" s="3187"/>
    </row>
    <row r="83" spans="1:12" s="3199" customFormat="1" ht="15.75" hidden="1" customHeight="1" thickTop="1" x14ac:dyDescent="0.25">
      <c r="A83" s="3180">
        <v>44042</v>
      </c>
      <c r="B83" s="3194">
        <v>456906.08644868794</v>
      </c>
      <c r="C83" s="3195">
        <v>136292.40019267926</v>
      </c>
      <c r="D83" s="3195">
        <v>77442.357277575735</v>
      </c>
      <c r="E83" s="3195">
        <v>28461.644294954236</v>
      </c>
      <c r="F83" s="3195">
        <v>36552.769368146968</v>
      </c>
      <c r="G83" s="3195">
        <v>8177.3321723718027</v>
      </c>
      <c r="H83" s="3195">
        <v>40889.587909428752</v>
      </c>
      <c r="I83" s="3195">
        <v>20284.312122582432</v>
      </c>
      <c r="J83" s="3196">
        <v>16.949294302358293</v>
      </c>
      <c r="K83" s="3196">
        <v>20.882781618577006</v>
      </c>
      <c r="L83" s="3187"/>
    </row>
    <row r="84" spans="1:12" s="3199" customFormat="1" ht="15.75" hidden="1" customHeight="1" x14ac:dyDescent="0.25">
      <c r="A84" s="3180">
        <v>44056</v>
      </c>
      <c r="B84" s="3194">
        <v>459100.6758373006</v>
      </c>
      <c r="C84" s="3195">
        <v>136012.00585691672</v>
      </c>
      <c r="D84" s="3195">
        <v>75345.583890757174</v>
      </c>
      <c r="E84" s="3195">
        <v>28414.174386130613</v>
      </c>
      <c r="F84" s="3195">
        <v>36728.333073827314</v>
      </c>
      <c r="G84" s="3195">
        <v>8160.5110962825574</v>
      </c>
      <c r="H84" s="3195">
        <v>38617.250816929838</v>
      </c>
      <c r="I84" s="3195">
        <v>20253.663289848038</v>
      </c>
      <c r="J84" s="3196">
        <v>16.411560221152598</v>
      </c>
      <c r="K84" s="3196">
        <v>20.890931066792767</v>
      </c>
      <c r="L84" s="3187"/>
    </row>
    <row r="85" spans="1:12" s="3199" customFormat="1" ht="15.75" hidden="1" customHeight="1" thickTop="1" x14ac:dyDescent="0.25">
      <c r="A85" s="3180">
        <v>44070</v>
      </c>
      <c r="B85" s="3194">
        <v>453759.70683656883</v>
      </c>
      <c r="C85" s="3195">
        <v>139915.59122062675</v>
      </c>
      <c r="D85" s="3195">
        <v>65278.104126367143</v>
      </c>
      <c r="E85" s="3195">
        <v>25955.852403344088</v>
      </c>
      <c r="F85" s="3195">
        <v>36300.842063632357</v>
      </c>
      <c r="G85" s="3195">
        <v>8394.8863357074715</v>
      </c>
      <c r="H85" s="3195">
        <v>28977.26206273479</v>
      </c>
      <c r="I85" s="3195">
        <v>17560.966067636615</v>
      </c>
      <c r="J85" s="3196">
        <v>14.386051282838658</v>
      </c>
      <c r="K85" s="3196">
        <v>18.551079387868537</v>
      </c>
      <c r="L85" s="3187"/>
    </row>
    <row r="86" spans="1:12" s="3199" customFormat="1" ht="15.75" hidden="1" customHeight="1" x14ac:dyDescent="0.25">
      <c r="A86" s="3180">
        <v>44084</v>
      </c>
      <c r="B86" s="3200">
        <v>448962.07461513602</v>
      </c>
      <c r="C86" s="3201">
        <v>142757.78877172273</v>
      </c>
      <c r="D86" s="3201">
        <v>61131.574679963567</v>
      </c>
      <c r="E86" s="3201">
        <v>22556.158653139355</v>
      </c>
      <c r="F86" s="3201">
        <v>35917.031354315106</v>
      </c>
      <c r="G86" s="3201">
        <v>8565.418287475195</v>
      </c>
      <c r="H86" s="3201">
        <v>25214.543325648483</v>
      </c>
      <c r="I86" s="3201">
        <v>13990.74036566416</v>
      </c>
      <c r="J86" s="3202">
        <v>13.616200150617939</v>
      </c>
      <c r="K86" s="3202">
        <v>15.800299827568672</v>
      </c>
      <c r="L86" s="3187"/>
    </row>
    <row r="87" spans="1:12" s="3199" customFormat="1" ht="15.75" hidden="1" customHeight="1" thickTop="1" x14ac:dyDescent="0.25">
      <c r="A87" s="3180">
        <v>44098</v>
      </c>
      <c r="B87" s="3200">
        <v>449725.49507104565</v>
      </c>
      <c r="C87" s="3201">
        <v>147619.97988150796</v>
      </c>
      <c r="D87" s="3201">
        <v>58402.554810847127</v>
      </c>
      <c r="E87" s="3201">
        <v>20750.915502770302</v>
      </c>
      <c r="F87" s="3201">
        <v>35978.10508565182</v>
      </c>
      <c r="G87" s="3201">
        <v>8857.1496829143562</v>
      </c>
      <c r="H87" s="3201">
        <v>22424.449725195336</v>
      </c>
      <c r="I87" s="3201">
        <v>11893.765819855942</v>
      </c>
      <c r="J87" s="3202">
        <v>12.98626727880325</v>
      </c>
      <c r="K87" s="3202">
        <v>14.056983017764063</v>
      </c>
      <c r="L87" s="3187"/>
    </row>
    <row r="88" spans="1:12" s="3199" customFormat="1" ht="15.75" hidden="1" customHeight="1" x14ac:dyDescent="0.25">
      <c r="A88" s="3180">
        <v>44112</v>
      </c>
      <c r="B88" s="3200">
        <v>450256.08529647707</v>
      </c>
      <c r="C88" s="3201">
        <v>144519.43950848395</v>
      </c>
      <c r="D88" s="3201">
        <v>69364.945952854294</v>
      </c>
      <c r="E88" s="3201">
        <v>24664.569574595742</v>
      </c>
      <c r="F88" s="3201">
        <v>36020.552347157136</v>
      </c>
      <c r="G88" s="3201">
        <v>8671.1172279298098</v>
      </c>
      <c r="H88" s="3201">
        <v>33344.393605697151</v>
      </c>
      <c r="I88" s="3201">
        <v>15993.452346665934</v>
      </c>
      <c r="J88" s="3202">
        <v>15.405665401985635</v>
      </c>
      <c r="K88" s="3202">
        <v>17.06661031794814</v>
      </c>
      <c r="L88" s="3187"/>
    </row>
    <row r="89" spans="1:12" s="3199" customFormat="1" ht="15.75" hidden="1" customHeight="1" thickTop="1" x14ac:dyDescent="0.25">
      <c r="A89" s="3180">
        <v>44126</v>
      </c>
      <c r="B89" s="3200">
        <v>455522.25029191631</v>
      </c>
      <c r="C89" s="3201">
        <v>143736.63092413594</v>
      </c>
      <c r="D89" s="3201">
        <v>71871.119891732858</v>
      </c>
      <c r="E89" s="3201">
        <v>23606.857843985716</v>
      </c>
      <c r="F89" s="3201">
        <v>36441.845696743003</v>
      </c>
      <c r="G89" s="3201">
        <v>8624.1486004058625</v>
      </c>
      <c r="H89" s="3201">
        <v>35429.274194989834</v>
      </c>
      <c r="I89" s="3201">
        <v>14982.709243579853</v>
      </c>
      <c r="J89" s="3202">
        <v>15.777740789977891</v>
      </c>
      <c r="K89" s="3202">
        <v>16.423689418771328</v>
      </c>
      <c r="L89" s="3187"/>
    </row>
    <row r="90" spans="1:12" s="3199" customFormat="1" ht="15.75" hidden="1" customHeight="1" x14ac:dyDescent="0.25">
      <c r="A90" s="3180">
        <v>44140</v>
      </c>
      <c r="B90" s="3200">
        <v>455375.62639938155</v>
      </c>
      <c r="C90" s="3201">
        <v>140332.1087129988</v>
      </c>
      <c r="D90" s="3201">
        <v>75760.619301484272</v>
      </c>
      <c r="E90" s="3201">
        <v>23933.09079887105</v>
      </c>
      <c r="F90" s="3201">
        <v>36430.115733197512</v>
      </c>
      <c r="G90" s="3201">
        <v>8419.8773068446808</v>
      </c>
      <c r="H90" s="3201">
        <v>39330.503568286782</v>
      </c>
      <c r="I90" s="3201">
        <v>15513.213492026362</v>
      </c>
      <c r="J90" s="3202">
        <v>16.636950883936716</v>
      </c>
      <c r="K90" s="3202">
        <v>17.054607828788473</v>
      </c>
      <c r="L90" s="3187"/>
    </row>
    <row r="91" spans="1:12" s="3199" customFormat="1" ht="15.75" hidden="1" customHeight="1" thickTop="1" x14ac:dyDescent="0.25">
      <c r="A91" s="3180">
        <v>44154</v>
      </c>
      <c r="B91" s="3200">
        <v>455336.08695708076</v>
      </c>
      <c r="C91" s="3201">
        <v>142098.86307587833</v>
      </c>
      <c r="D91" s="3201">
        <v>76673.864114207143</v>
      </c>
      <c r="E91" s="3201">
        <v>23711.408756019948</v>
      </c>
      <c r="F91" s="3201">
        <v>36426.952750729179</v>
      </c>
      <c r="G91" s="3201">
        <v>8525.8824389306628</v>
      </c>
      <c r="H91" s="3201">
        <v>40246.911363477986</v>
      </c>
      <c r="I91" s="3201">
        <v>15185.526317089281</v>
      </c>
      <c r="J91" s="3202">
        <v>16.83896056352641</v>
      </c>
      <c r="K91" s="3202">
        <v>16.686557684390806</v>
      </c>
      <c r="L91" s="3187"/>
    </row>
    <row r="92" spans="1:12" s="3199" customFormat="1" ht="15.75" hidden="1" customHeight="1" x14ac:dyDescent="0.25">
      <c r="A92" s="3180">
        <v>44168</v>
      </c>
      <c r="B92" s="3200">
        <v>453110.19436861924</v>
      </c>
      <c r="C92" s="3201">
        <v>145216.77448584131</v>
      </c>
      <c r="D92" s="3201">
        <v>80203.29089773717</v>
      </c>
      <c r="E92" s="3201">
        <v>23424.620305077387</v>
      </c>
      <c r="F92" s="3201">
        <v>36248.881299707813</v>
      </c>
      <c r="G92" s="3201">
        <v>8712.9571564867729</v>
      </c>
      <c r="H92" s="3201">
        <v>43954.409598029313</v>
      </c>
      <c r="I92" s="3201">
        <v>14711.663148590609</v>
      </c>
      <c r="J92" s="3202">
        <v>17.700614970602338</v>
      </c>
      <c r="K92" s="3202">
        <v>16.130795073789013</v>
      </c>
      <c r="L92" s="3187"/>
    </row>
    <row r="93" spans="1:12" s="3199" customFormat="1" ht="15.75" hidden="1" customHeight="1" x14ac:dyDescent="0.25">
      <c r="A93" s="3180">
        <v>44182</v>
      </c>
      <c r="B93" s="3200">
        <v>459223.70406609704</v>
      </c>
      <c r="C93" s="3201">
        <v>141862.76828453573</v>
      </c>
      <c r="D93" s="3201">
        <v>86369.993143274958</v>
      </c>
      <c r="E93" s="3201">
        <v>24584.302913260064</v>
      </c>
      <c r="F93" s="3201">
        <v>36737.962005869536</v>
      </c>
      <c r="G93" s="3201">
        <v>8511.7168366358255</v>
      </c>
      <c r="H93" s="3201">
        <v>49632.031137405458</v>
      </c>
      <c r="I93" s="3201">
        <v>16072.586076624237</v>
      </c>
      <c r="J93" s="3202">
        <v>18.807825549624404</v>
      </c>
      <c r="K93" s="3202">
        <v>17.329637092623944</v>
      </c>
      <c r="L93" s="3187"/>
    </row>
    <row r="94" spans="1:12" s="3199" customFormat="1" ht="15.75" hidden="1" customHeight="1" thickTop="1" x14ac:dyDescent="0.25">
      <c r="A94" s="3180">
        <v>44196</v>
      </c>
      <c r="B94" s="3200">
        <v>465433.02136863774</v>
      </c>
      <c r="C94" s="3201">
        <v>142750.25806398326</v>
      </c>
      <c r="D94" s="3201">
        <v>85817.539259184996</v>
      </c>
      <c r="E94" s="3201">
        <v>25411.12964533249</v>
      </c>
      <c r="F94" s="3201">
        <v>37234.704338798874</v>
      </c>
      <c r="G94" s="3201">
        <v>8564.9685118581074</v>
      </c>
      <c r="H94" s="3201">
        <v>48582.834920386122</v>
      </c>
      <c r="I94" s="3201">
        <v>16846.161133474383</v>
      </c>
      <c r="J94" s="3202">
        <v>18.438214591399774</v>
      </c>
      <c r="K94" s="3202">
        <v>17.801109427026578</v>
      </c>
      <c r="L94" s="3187"/>
    </row>
    <row r="95" spans="1:12" s="3199" customFormat="1" ht="15.75" hidden="1" customHeight="1" x14ac:dyDescent="0.25">
      <c r="A95" s="3180">
        <v>44210</v>
      </c>
      <c r="B95" s="3200">
        <v>477391.92859725002</v>
      </c>
      <c r="C95" s="3201">
        <v>146410.05442792206</v>
      </c>
      <c r="D95" s="3201">
        <v>79007.517803357157</v>
      </c>
      <c r="E95" s="3201">
        <v>29479.495979262589</v>
      </c>
      <c r="F95" s="3201">
        <v>38191.409615599543</v>
      </c>
      <c r="G95" s="3201">
        <v>8784.5617698106598</v>
      </c>
      <c r="H95" s="3201">
        <v>40816.108187757593</v>
      </c>
      <c r="I95" s="3201">
        <v>20694.934209451927</v>
      </c>
      <c r="J95" s="3202">
        <v>16.549822707625118</v>
      </c>
      <c r="K95" s="3202">
        <v>20.13488492607275</v>
      </c>
      <c r="L95" s="3187"/>
    </row>
    <row r="96" spans="1:12" s="3199" customFormat="1" ht="15.75" hidden="1" customHeight="1" thickTop="1" x14ac:dyDescent="0.25">
      <c r="A96" s="3180">
        <v>44224</v>
      </c>
      <c r="B96" s="3200">
        <v>470895.62921301421</v>
      </c>
      <c r="C96" s="3201">
        <v>147242.77496795502</v>
      </c>
      <c r="D96" s="3201">
        <v>75730.05856911499</v>
      </c>
      <c r="E96" s="3201">
        <v>54472.336609172358</v>
      </c>
      <c r="F96" s="3201">
        <v>37671.705645969552</v>
      </c>
      <c r="G96" s="3201">
        <v>8834.5250163809869</v>
      </c>
      <c r="H96" s="3201">
        <v>38058.35292314543</v>
      </c>
      <c r="I96" s="3201">
        <v>45637.811592791382</v>
      </c>
      <c r="J96" s="3202">
        <v>16.082132402816963</v>
      </c>
      <c r="K96" s="3202">
        <v>36.994913075380012</v>
      </c>
      <c r="L96" s="3187"/>
    </row>
    <row r="97" spans="1:12" s="3199" customFormat="1" ht="15.75" hidden="1" customHeight="1" x14ac:dyDescent="0.25">
      <c r="A97" s="3180">
        <v>44238</v>
      </c>
      <c r="B97" s="3200">
        <v>472800.52777481149</v>
      </c>
      <c r="C97" s="3201">
        <v>148822.72881842603</v>
      </c>
      <c r="D97" s="3201">
        <v>76536.409536986437</v>
      </c>
      <c r="E97" s="3201">
        <v>50060.083900303522</v>
      </c>
      <c r="F97" s="3201">
        <v>37824.09767784115</v>
      </c>
      <c r="G97" s="3201">
        <v>8929.3221372133794</v>
      </c>
      <c r="H97" s="3201">
        <v>38712.311859145273</v>
      </c>
      <c r="I97" s="3201">
        <v>41130.761763090151</v>
      </c>
      <c r="J97" s="3202">
        <v>16.187885808249288</v>
      </c>
      <c r="K97" s="3202">
        <v>33.637391477601696</v>
      </c>
      <c r="L97" s="3187"/>
    </row>
    <row r="98" spans="1:12" s="3199" customFormat="1" ht="15.75" hidden="1" customHeight="1" x14ac:dyDescent="0.25">
      <c r="A98" s="3180">
        <v>44252</v>
      </c>
      <c r="B98" s="3200">
        <v>470909.36710750213</v>
      </c>
      <c r="C98" s="3201">
        <v>150722.43578835254</v>
      </c>
      <c r="D98" s="3201">
        <v>73774.153345464292</v>
      </c>
      <c r="E98" s="3201">
        <v>42103.800804853825</v>
      </c>
      <c r="F98" s="3201">
        <v>37672.805133181864</v>
      </c>
      <c r="G98" s="3201">
        <v>9043.3043238648843</v>
      </c>
      <c r="H98" s="3201">
        <v>36101.348212282421</v>
      </c>
      <c r="I98" s="3201">
        <v>33060.496480988942</v>
      </c>
      <c r="J98" s="3202">
        <v>15.666316811366945</v>
      </c>
      <c r="K98" s="3202">
        <v>27.934660546474198</v>
      </c>
      <c r="L98" s="3187"/>
    </row>
    <row r="99" spans="1:12" s="3199" customFormat="1" ht="15.75" hidden="1" customHeight="1" thickTop="1" x14ac:dyDescent="0.25">
      <c r="A99" s="3180" t="s">
        <v>5547</v>
      </c>
      <c r="B99" s="3200">
        <v>471339.25044922938</v>
      </c>
      <c r="C99" s="3201">
        <v>153462.13485504608</v>
      </c>
      <c r="D99" s="3201">
        <v>71944.656035065011</v>
      </c>
      <c r="E99" s="3201">
        <v>42571.538742179626</v>
      </c>
      <c r="F99" s="3201">
        <v>37707.195853906189</v>
      </c>
      <c r="G99" s="3201">
        <v>9207.6862278268854</v>
      </c>
      <c r="H99" s="3201">
        <v>34237.460181158807</v>
      </c>
      <c r="I99" s="3201">
        <v>33363.852514352751</v>
      </c>
      <c r="J99" s="3202">
        <v>15.263879671912575</v>
      </c>
      <c r="K99" s="3202">
        <v>27.740744505079984</v>
      </c>
      <c r="L99" s="3187"/>
    </row>
    <row r="100" spans="1:12" s="3199" customFormat="1" ht="15.75" hidden="1" customHeight="1" thickTop="1" x14ac:dyDescent="0.25">
      <c r="A100" s="3180" t="s">
        <v>5548</v>
      </c>
      <c r="B100" s="3200">
        <v>472397.34851422219</v>
      </c>
      <c r="C100" s="3201">
        <v>151804.97383321795</v>
      </c>
      <c r="D100" s="3201">
        <v>69813.54109377788</v>
      </c>
      <c r="E100" s="3201">
        <v>42490.659123691315</v>
      </c>
      <c r="F100" s="3201">
        <v>37791.843874334409</v>
      </c>
      <c r="G100" s="3201">
        <v>9108.2564350955963</v>
      </c>
      <c r="H100" s="3201">
        <v>32021.697219443457</v>
      </c>
      <c r="I100" s="3201">
        <v>33382.402688595714</v>
      </c>
      <c r="J100" s="3202">
        <v>14.778563282235707</v>
      </c>
      <c r="K100" s="3202">
        <v>27.990294422351468</v>
      </c>
      <c r="L100" s="3187"/>
    </row>
    <row r="101" spans="1:12" s="3199" customFormat="1" ht="15.75" hidden="1" customHeight="1" thickTop="1" x14ac:dyDescent="0.25">
      <c r="A101" s="3180" t="s">
        <v>5549</v>
      </c>
      <c r="B101" s="3200">
        <v>473471.71997981356</v>
      </c>
      <c r="C101" s="3201">
        <v>149979.39783585654</v>
      </c>
      <c r="D101" s="3201">
        <v>72719.102963212164</v>
      </c>
      <c r="E101" s="3201">
        <v>36648.046505275393</v>
      </c>
      <c r="F101" s="3201">
        <v>37877.794053523074</v>
      </c>
      <c r="G101" s="3201">
        <v>8998.7215287979034</v>
      </c>
      <c r="H101" s="3201">
        <v>34841.308909689076</v>
      </c>
      <c r="I101" s="3201">
        <v>27649.324976477485</v>
      </c>
      <c r="J101" s="3202">
        <v>15.358700402700407</v>
      </c>
      <c r="K101" s="3202">
        <v>24.435387149229978</v>
      </c>
      <c r="L101" s="3187"/>
    </row>
    <row r="102" spans="1:12" s="3199" customFormat="1" ht="15.75" hidden="1" customHeight="1" x14ac:dyDescent="0.25">
      <c r="A102" s="3180" t="s">
        <v>5550</v>
      </c>
      <c r="B102" s="3200">
        <v>480061.20814166061</v>
      </c>
      <c r="C102" s="3201">
        <v>149876.30159740118</v>
      </c>
      <c r="D102" s="3201">
        <v>63759.16759120713</v>
      </c>
      <c r="E102" s="3201">
        <v>39276.324253339975</v>
      </c>
      <c r="F102" s="3201">
        <v>38404.953420725069</v>
      </c>
      <c r="G102" s="3201">
        <v>8992.5355187999121</v>
      </c>
      <c r="H102" s="3201">
        <v>25354.214170482075</v>
      </c>
      <c r="I102" s="3201">
        <v>30283.788734540056</v>
      </c>
      <c r="J102" s="3202">
        <v>13.281466302603755</v>
      </c>
      <c r="K102" s="3202">
        <v>26.205826961786343</v>
      </c>
      <c r="L102" s="3187"/>
    </row>
    <row r="103" spans="1:12" s="3199" customFormat="1" ht="15.75" hidden="1" customHeight="1" thickTop="1" x14ac:dyDescent="0.25">
      <c r="A103" s="3180" t="s">
        <v>5551</v>
      </c>
      <c r="B103" s="3200">
        <v>481781.37499180919</v>
      </c>
      <c r="C103" s="3201">
        <v>156772.72896667561</v>
      </c>
      <c r="D103" s="3201">
        <v>63264.542162366422</v>
      </c>
      <c r="E103" s="3201">
        <v>44282.207465811596</v>
      </c>
      <c r="F103" s="3201">
        <v>38542.566776260966</v>
      </c>
      <c r="G103" s="3201">
        <v>9406.3211553133642</v>
      </c>
      <c r="H103" s="3201">
        <v>24721.975386105452</v>
      </c>
      <c r="I103" s="3201">
        <v>34875.886310498245</v>
      </c>
      <c r="J103" s="3202">
        <v>13.131379801355333</v>
      </c>
      <c r="K103" s="3202">
        <v>28.246116373482565</v>
      </c>
      <c r="L103" s="3187"/>
    </row>
    <row r="104" spans="1:12" s="3199" customFormat="1" ht="15.75" hidden="1" customHeight="1" x14ac:dyDescent="0.25">
      <c r="A104" s="3180" t="s">
        <v>5552</v>
      </c>
      <c r="B104" s="3200">
        <v>485574.71506499965</v>
      </c>
      <c r="C104" s="3201">
        <v>150796.37123321131</v>
      </c>
      <c r="D104" s="3201">
        <v>59150.094510864292</v>
      </c>
      <c r="E104" s="3201">
        <v>44756.099827593127</v>
      </c>
      <c r="F104" s="3201">
        <v>38846.033960803572</v>
      </c>
      <c r="G104" s="3201">
        <v>9047.7397072899785</v>
      </c>
      <c r="H104" s="3201">
        <v>20304.060550060702</v>
      </c>
      <c r="I104" s="3201">
        <v>35708.360120303158</v>
      </c>
      <c r="J104" s="3202">
        <v>12.181460993689999</v>
      </c>
      <c r="K104" s="3202">
        <v>29.679825490214494</v>
      </c>
      <c r="L104" s="3187"/>
    </row>
    <row r="105" spans="1:12" s="3199" customFormat="1" ht="15.75" hidden="1" customHeight="1" thickTop="1" x14ac:dyDescent="0.25">
      <c r="A105" s="3180" t="s">
        <v>5553</v>
      </c>
      <c r="B105" s="3200">
        <v>484094.36413183936</v>
      </c>
      <c r="C105" s="3201">
        <v>150269.87786368156</v>
      </c>
      <c r="D105" s="3201">
        <v>62931.329664193581</v>
      </c>
      <c r="E105" s="3201">
        <v>49184.125342699554</v>
      </c>
      <c r="F105" s="3201">
        <v>38727.605953578168</v>
      </c>
      <c r="G105" s="3201">
        <v>9016.1500545476229</v>
      </c>
      <c r="H105" s="3201">
        <v>24203.72371061541</v>
      </c>
      <c r="I105" s="3201">
        <v>40167.975288151931</v>
      </c>
      <c r="J105" s="3202">
        <v>12.999806303684775</v>
      </c>
      <c r="K105" s="3202">
        <v>32.730528594238493</v>
      </c>
      <c r="L105" s="3187"/>
    </row>
    <row r="106" spans="1:12" s="3199" customFormat="1" ht="15.75" hidden="1" customHeight="1" x14ac:dyDescent="0.25">
      <c r="A106" s="3180" t="s">
        <v>5554</v>
      </c>
      <c r="B106" s="3200">
        <v>490755.83145439852</v>
      </c>
      <c r="C106" s="3201">
        <v>151987.44668250755</v>
      </c>
      <c r="D106" s="3201">
        <v>65565.392585915717</v>
      </c>
      <c r="E106" s="3201">
        <v>52673.259804868176</v>
      </c>
      <c r="F106" s="3201">
        <v>39275.90018443099</v>
      </c>
      <c r="G106" s="3201">
        <v>9107.6715498911162</v>
      </c>
      <c r="H106" s="3201">
        <v>26289.492401484713</v>
      </c>
      <c r="I106" s="3201">
        <v>43565.588254977061</v>
      </c>
      <c r="J106" s="3202">
        <v>13.360084258521562</v>
      </c>
      <c r="K106" s="3202">
        <v>34.656322580969068</v>
      </c>
      <c r="L106" s="3187"/>
    </row>
    <row r="107" spans="1:12" s="3199" customFormat="1" ht="15.75" hidden="1" customHeight="1" thickTop="1" x14ac:dyDescent="0.25">
      <c r="A107" s="3180">
        <v>44378</v>
      </c>
      <c r="B107" s="3200">
        <v>491847.58458091709</v>
      </c>
      <c r="C107" s="3201">
        <v>151939.53137012263</v>
      </c>
      <c r="D107" s="3201">
        <v>65088.55270101213</v>
      </c>
      <c r="E107" s="3201">
        <v>46137.662945877455</v>
      </c>
      <c r="F107" s="3201">
        <v>39363.284359994468</v>
      </c>
      <c r="G107" s="3201">
        <v>9104.7636870665392</v>
      </c>
      <c r="H107" s="3201">
        <v>25725.268341017672</v>
      </c>
      <c r="I107" s="3201">
        <v>37032.899258810925</v>
      </c>
      <c r="J107" s="3202">
        <v>13.233480196201711</v>
      </c>
      <c r="K107" s="3202">
        <v>30.365805745107071</v>
      </c>
      <c r="L107" s="3187"/>
    </row>
    <row r="108" spans="1:12" s="3199" customFormat="1" ht="15.75" hidden="1" customHeight="1" thickTop="1" x14ac:dyDescent="0.25">
      <c r="A108" s="3180">
        <v>44392</v>
      </c>
      <c r="B108" s="3200">
        <v>494332.43840061995</v>
      </c>
      <c r="C108" s="3201">
        <v>157665.6445190972</v>
      </c>
      <c r="D108" s="3201">
        <v>65202.017440840013</v>
      </c>
      <c r="E108" s="3201">
        <v>50312.472834534863</v>
      </c>
      <c r="F108" s="3201">
        <v>39562.13046284255</v>
      </c>
      <c r="G108" s="3201">
        <v>9448.2871280511154</v>
      </c>
      <c r="H108" s="3201">
        <v>25639.886977997448</v>
      </c>
      <c r="I108" s="3201">
        <v>40864.185706483739</v>
      </c>
      <c r="J108" s="3202">
        <v>13.189912774447263</v>
      </c>
      <c r="K108" s="3202">
        <v>31.91086618013399</v>
      </c>
      <c r="L108" s="3187"/>
    </row>
    <row r="109" spans="1:12" s="3199" customFormat="1" ht="15.75" hidden="1" customHeight="1" thickTop="1" x14ac:dyDescent="0.25">
      <c r="A109" s="3180">
        <v>44406</v>
      </c>
      <c r="B109" s="3200">
        <v>496257.79445336206</v>
      </c>
      <c r="C109" s="3201">
        <v>163337.44614575611</v>
      </c>
      <c r="D109" s="3201">
        <v>63512.973652910718</v>
      </c>
      <c r="E109" s="3201">
        <v>45058.520014218579</v>
      </c>
      <c r="F109" s="3201">
        <v>39716.456909833323</v>
      </c>
      <c r="G109" s="3201">
        <v>9788.3717535720934</v>
      </c>
      <c r="H109" s="3201">
        <v>23796.516743077387</v>
      </c>
      <c r="I109" s="3201">
        <v>35270.148260646478</v>
      </c>
      <c r="J109" s="3202">
        <v>12.798383090964149</v>
      </c>
      <c r="K109" s="3202">
        <v>27.586154355572624</v>
      </c>
      <c r="L109" s="3187"/>
    </row>
    <row r="110" spans="1:12" s="3199" customFormat="1" ht="15.75" hidden="1" customHeight="1" x14ac:dyDescent="0.25">
      <c r="A110" s="3180">
        <v>44420</v>
      </c>
      <c r="B110" s="3200">
        <v>498404.46721439948</v>
      </c>
      <c r="C110" s="3201">
        <v>162025.2487401602</v>
      </c>
      <c r="D110" s="3201">
        <v>64540.444548418571</v>
      </c>
      <c r="E110" s="3201">
        <v>43027.604048455454</v>
      </c>
      <c r="F110" s="3201">
        <v>39887.959841720505</v>
      </c>
      <c r="G110" s="3201">
        <v>9709.8130759831893</v>
      </c>
      <c r="H110" s="3201">
        <v>24652.484706698055</v>
      </c>
      <c r="I110" s="3201">
        <v>33317.790972472256</v>
      </c>
      <c r="J110" s="3202">
        <v>12.949411330347308</v>
      </c>
      <c r="K110" s="3202">
        <v>26.556110472299782</v>
      </c>
      <c r="L110" s="3187"/>
    </row>
    <row r="111" spans="1:12" s="3199" customFormat="1" ht="15.75" hidden="1" customHeight="1" thickTop="1" x14ac:dyDescent="0.25">
      <c r="A111" s="3180">
        <v>44434</v>
      </c>
      <c r="B111" s="3200">
        <v>501879.64120578277</v>
      </c>
      <c r="C111" s="3201">
        <v>162122.84058369207</v>
      </c>
      <c r="D111" s="3201">
        <v>62076.911903413573</v>
      </c>
      <c r="E111" s="3201">
        <v>39725.541680599395</v>
      </c>
      <c r="F111" s="3201">
        <v>40165.948946698925</v>
      </c>
      <c r="G111" s="3201">
        <v>9715.6871973442903</v>
      </c>
      <c r="H111" s="3201">
        <v>21910.962956714626</v>
      </c>
      <c r="I111" s="3201">
        <v>30009.854483255102</v>
      </c>
      <c r="J111" s="3202">
        <v>12.368884251664742</v>
      </c>
      <c r="K111" s="3202">
        <v>24.503359019355468</v>
      </c>
      <c r="L111" s="3187"/>
    </row>
    <row r="112" spans="1:12" s="3199" customFormat="1" ht="15.75" hidden="1" customHeight="1" thickTop="1" x14ac:dyDescent="0.25">
      <c r="A112" s="3180">
        <v>44448</v>
      </c>
      <c r="B112" s="3200">
        <v>499500.75710360426</v>
      </c>
      <c r="C112" s="3201">
        <v>163963.00437805988</v>
      </c>
      <c r="D112" s="3201">
        <v>69114.059355831414</v>
      </c>
      <c r="E112" s="3201">
        <v>50731.746813945661</v>
      </c>
      <c r="F112" s="3201">
        <v>39975.481218032612</v>
      </c>
      <c r="G112" s="3201">
        <v>9826.2147753753998</v>
      </c>
      <c r="H112" s="3201">
        <v>29138.578137798821</v>
      </c>
      <c r="I112" s="3201">
        <v>40905.532038570265</v>
      </c>
      <c r="J112" s="3202">
        <v>13.836627547192304</v>
      </c>
      <c r="K112" s="3202">
        <v>30.940971718821558</v>
      </c>
      <c r="L112" s="3187"/>
    </row>
    <row r="113" spans="1:12" s="3199" customFormat="1" ht="15.75" hidden="1" customHeight="1" x14ac:dyDescent="0.25">
      <c r="A113" s="3180">
        <v>44462</v>
      </c>
      <c r="B113" s="3200">
        <v>503424.08147374581</v>
      </c>
      <c r="C113" s="3201">
        <v>163858.0389110723</v>
      </c>
      <c r="D113" s="3201">
        <v>72495.396001954985</v>
      </c>
      <c r="E113" s="3201">
        <v>55215.855390498771</v>
      </c>
      <c r="F113" s="3201">
        <v>40289.564463120405</v>
      </c>
      <c r="G113" s="3201">
        <v>9819.7538757487855</v>
      </c>
      <c r="H113" s="3201">
        <v>32205.831538834602</v>
      </c>
      <c r="I113" s="3201">
        <v>45396.10151475</v>
      </c>
      <c r="J113" s="3202">
        <v>14.400462486762407</v>
      </c>
      <c r="K113" s="3202">
        <v>33.697373505406759</v>
      </c>
      <c r="L113" s="3187"/>
    </row>
    <row r="114" spans="1:12" s="3199" customFormat="1" ht="15.75" hidden="1" customHeight="1" thickTop="1" x14ac:dyDescent="0.25">
      <c r="A114" s="3180">
        <v>44476</v>
      </c>
      <c r="B114" s="3200">
        <v>503444.0497649663</v>
      </c>
      <c r="C114" s="3201">
        <v>164861.09057667502</v>
      </c>
      <c r="D114" s="3201">
        <v>78215.105447568567</v>
      </c>
      <c r="E114" s="3201">
        <v>55689.917534513734</v>
      </c>
      <c r="F114" s="3201">
        <v>40291.103148221715</v>
      </c>
      <c r="G114" s="3201">
        <v>9879.9810593321927</v>
      </c>
      <c r="H114" s="3201">
        <v>37924.002299346852</v>
      </c>
      <c r="I114" s="3201">
        <v>45809.936475181545</v>
      </c>
      <c r="J114" s="3202">
        <v>15.53600752339479</v>
      </c>
      <c r="K114" s="3202">
        <v>33.779903638701811</v>
      </c>
      <c r="L114" s="3187"/>
    </row>
    <row r="115" spans="1:12" s="3199" customFormat="1" ht="15.75" hidden="1" customHeight="1" x14ac:dyDescent="0.25">
      <c r="A115" s="3180">
        <v>44490</v>
      </c>
      <c r="B115" s="3200">
        <v>507421.10935918993</v>
      </c>
      <c r="C115" s="3201">
        <v>166167.40029519438</v>
      </c>
      <c r="D115" s="3201">
        <v>70167.532238529311</v>
      </c>
      <c r="E115" s="3201">
        <v>64030.36145106257</v>
      </c>
      <c r="F115" s="3201">
        <v>40609.148277171058</v>
      </c>
      <c r="G115" s="3201">
        <v>9958.4493713847623</v>
      </c>
      <c r="H115" s="3201">
        <v>29558.383961358231</v>
      </c>
      <c r="I115" s="3201">
        <v>54071.912079677815</v>
      </c>
      <c r="J115" s="3202">
        <v>13.828264324111824</v>
      </c>
      <c r="K115" s="3202">
        <v>38.533648198932759</v>
      </c>
      <c r="L115" s="3187"/>
    </row>
    <row r="116" spans="1:12" s="3199" customFormat="1" ht="18.95" hidden="1" customHeight="1" thickTop="1" x14ac:dyDescent="0.25">
      <c r="A116" s="3180">
        <v>44504</v>
      </c>
      <c r="B116" s="3200">
        <v>513365.18231708428</v>
      </c>
      <c r="C116" s="3201">
        <v>168129.59103283327</v>
      </c>
      <c r="D116" s="3201">
        <v>70796.202197767154</v>
      </c>
      <c r="E116" s="3201">
        <v>60986.948423522001</v>
      </c>
      <c r="F116" s="3201">
        <v>41084.643548481872</v>
      </c>
      <c r="G116" s="3201">
        <v>10076.203739633653</v>
      </c>
      <c r="H116" s="3201">
        <v>29711.558649285278</v>
      </c>
      <c r="I116" s="3201">
        <v>50910.744683888348</v>
      </c>
      <c r="J116" s="3202">
        <v>13.790612343094061</v>
      </c>
      <c r="K116" s="3202">
        <v>36.273774324242616</v>
      </c>
      <c r="L116" s="3187"/>
    </row>
    <row r="117" spans="1:12" s="3199" customFormat="1" ht="18.95" hidden="1" customHeight="1" thickTop="1" x14ac:dyDescent="0.25">
      <c r="A117" s="3180">
        <v>44518</v>
      </c>
      <c r="B117" s="3200">
        <v>516892.77577990427</v>
      </c>
      <c r="C117" s="3201">
        <v>167763.70773448612</v>
      </c>
      <c r="D117" s="3201">
        <v>65321.74467697143</v>
      </c>
      <c r="E117" s="3201">
        <v>58236.373267314761</v>
      </c>
      <c r="F117" s="3201">
        <v>41366.859712338832</v>
      </c>
      <c r="G117" s="3201">
        <v>10054.244226609293</v>
      </c>
      <c r="H117" s="3201">
        <v>23954.884964632594</v>
      </c>
      <c r="I117" s="3201">
        <v>48182.129040705469</v>
      </c>
      <c r="J117" s="3202">
        <v>12.637387817698148</v>
      </c>
      <c r="K117" s="3202">
        <v>34.713332253888588</v>
      </c>
      <c r="L117" s="3187"/>
    </row>
    <row r="118" spans="1:12" s="3199" customFormat="1" ht="18.95" hidden="1" customHeight="1" thickTop="1" x14ac:dyDescent="0.25">
      <c r="A118" s="3180">
        <v>44532</v>
      </c>
      <c r="B118" s="3200">
        <v>512860.88644957647</v>
      </c>
      <c r="C118" s="3201">
        <v>176003.10773474682</v>
      </c>
      <c r="D118" s="3201">
        <v>66802.550845412872</v>
      </c>
      <c r="E118" s="3201">
        <v>57583.25862504448</v>
      </c>
      <c r="F118" s="3201">
        <v>41044.143942415947</v>
      </c>
      <c r="G118" s="3201">
        <v>10548.731694247441</v>
      </c>
      <c r="H118" s="3201">
        <v>25758.406902996911</v>
      </c>
      <c r="I118" s="3201">
        <v>47034.526930797037</v>
      </c>
      <c r="J118" s="3202">
        <v>13.025471937989325</v>
      </c>
      <c r="K118" s="3202">
        <v>32.717182876013666</v>
      </c>
      <c r="L118" s="3187"/>
    </row>
    <row r="119" spans="1:12" s="3199" customFormat="1" ht="18.95" hidden="1" customHeight="1" thickTop="1" x14ac:dyDescent="0.25">
      <c r="A119" s="3180">
        <v>44546</v>
      </c>
      <c r="B119" s="3200">
        <v>515007.31415479071</v>
      </c>
      <c r="C119" s="3201">
        <v>173762.77187500332</v>
      </c>
      <c r="D119" s="3201">
        <v>69832.383086470712</v>
      </c>
      <c r="E119" s="3201">
        <v>59340.980258663323</v>
      </c>
      <c r="F119" s="3201">
        <v>41215.706009384368</v>
      </c>
      <c r="G119" s="3201">
        <v>10414.425654749375</v>
      </c>
      <c r="H119" s="3201">
        <v>28616.67707708634</v>
      </c>
      <c r="I119" s="3201">
        <v>48926.554603913944</v>
      </c>
      <c r="J119" s="3202">
        <v>13.559493460996144</v>
      </c>
      <c r="K119" s="3202">
        <v>34.150571850540231</v>
      </c>
      <c r="L119" s="3187"/>
    </row>
    <row r="120" spans="1:12" s="3199" customFormat="1" ht="18.95" hidden="1" customHeight="1" x14ac:dyDescent="0.25">
      <c r="A120" s="3180">
        <v>44560</v>
      </c>
      <c r="B120" s="3200">
        <v>520230.81333910779</v>
      </c>
      <c r="C120" s="3201">
        <v>174305.90994693153</v>
      </c>
      <c r="D120" s="3201">
        <v>81792.203707551438</v>
      </c>
      <c r="E120" s="3201">
        <v>67850.636788741947</v>
      </c>
      <c r="F120" s="3201">
        <v>41633.576884438502</v>
      </c>
      <c r="G120" s="3201">
        <v>10447.020733833491</v>
      </c>
      <c r="H120" s="3201">
        <v>40158.626823112936</v>
      </c>
      <c r="I120" s="3201">
        <v>57403.616054908452</v>
      </c>
      <c r="J120" s="3202">
        <v>15.722291261943363</v>
      </c>
      <c r="K120" s="3202">
        <v>38.926182600119233</v>
      </c>
      <c r="L120" s="3187"/>
    </row>
    <row r="121" spans="1:12" s="3199" customFormat="1" ht="18.95" hidden="1" customHeight="1" thickTop="1" x14ac:dyDescent="0.25">
      <c r="A121" s="3180">
        <v>44574</v>
      </c>
      <c r="B121" s="3200">
        <v>533312.2534811286</v>
      </c>
      <c r="C121" s="3201">
        <v>176604.84012025202</v>
      </c>
      <c r="D121" s="3201">
        <v>70408.958985894991</v>
      </c>
      <c r="E121" s="3201">
        <v>92304.798065322553</v>
      </c>
      <c r="F121" s="3201">
        <v>42680.090013429384</v>
      </c>
      <c r="G121" s="3201">
        <v>10584.958106010794</v>
      </c>
      <c r="H121" s="3201">
        <v>27728.868972465611</v>
      </c>
      <c r="I121" s="3201">
        <v>81719.839959311779</v>
      </c>
      <c r="J121" s="3202">
        <v>13.202201623215926</v>
      </c>
      <c r="K121" s="3202">
        <v>52.266290098545035</v>
      </c>
      <c r="L121" s="3187"/>
    </row>
    <row r="122" spans="1:12" s="3199" customFormat="1" ht="18.95" hidden="1" customHeight="1" thickTop="1" x14ac:dyDescent="0.25">
      <c r="A122" s="3180">
        <v>44588</v>
      </c>
      <c r="B122" s="3200">
        <v>523250.77549069782</v>
      </c>
      <c r="C122" s="3201">
        <v>168830.46481913418</v>
      </c>
      <c r="D122" s="3201">
        <v>69830.683171676443</v>
      </c>
      <c r="E122" s="3201">
        <v>78228.069199374309</v>
      </c>
      <c r="F122" s="3201">
        <v>41875.204250903174</v>
      </c>
      <c r="G122" s="3201">
        <v>10118.47123041255</v>
      </c>
      <c r="H122" s="3201">
        <v>27955.478920773268</v>
      </c>
      <c r="I122" s="3201">
        <v>68109.597968961738</v>
      </c>
      <c r="J122" s="3202">
        <v>13.345547955698702</v>
      </c>
      <c r="K122" s="3202">
        <v>46.335280355461315</v>
      </c>
      <c r="L122" s="3187"/>
    </row>
    <row r="123" spans="1:12" s="3199" customFormat="1" ht="18.95" hidden="1" customHeight="1" thickTop="1" x14ac:dyDescent="0.25">
      <c r="A123" s="3180">
        <v>44602</v>
      </c>
      <c r="B123" s="3200">
        <v>512778.71406278008</v>
      </c>
      <c r="C123" s="3201">
        <v>170982.46058265411</v>
      </c>
      <c r="D123" s="3201">
        <v>66991.548334260719</v>
      </c>
      <c r="E123" s="3201">
        <v>76670.227302564686</v>
      </c>
      <c r="F123" s="3201">
        <v>41037.531442224681</v>
      </c>
      <c r="G123" s="3201">
        <v>10247.521897057535</v>
      </c>
      <c r="H123" s="3201">
        <v>25954.016892036037</v>
      </c>
      <c r="I123" s="3201">
        <v>66422.705405507135</v>
      </c>
      <c r="J123" s="3202">
        <v>13.064416774144579</v>
      </c>
      <c r="K123" s="3202">
        <v>44.840989561909922</v>
      </c>
      <c r="L123" s="3187"/>
    </row>
    <row r="124" spans="1:12" s="3199" customFormat="1" ht="18.95" hidden="1" customHeight="1" thickTop="1" x14ac:dyDescent="0.25">
      <c r="A124" s="3180">
        <v>44616</v>
      </c>
      <c r="B124" s="3200">
        <v>511260.9793975263</v>
      </c>
      <c r="C124" s="3201">
        <v>174121.173016224</v>
      </c>
      <c r="D124" s="3201">
        <v>71018.004772555723</v>
      </c>
      <c r="E124" s="3201">
        <v>68753.496635105854</v>
      </c>
      <c r="F124" s="3201">
        <v>40916.039040117459</v>
      </c>
      <c r="G124" s="3201">
        <v>10435.899864736926</v>
      </c>
      <c r="H124" s="3201">
        <v>30101.96573243825</v>
      </c>
      <c r="I124" s="3201">
        <v>58317.596770368931</v>
      </c>
      <c r="J124" s="3202">
        <v>13.89075396605543</v>
      </c>
      <c r="K124" s="3202">
        <v>39.48600589125347</v>
      </c>
      <c r="L124" s="3187"/>
    </row>
    <row r="125" spans="1:12" s="3199" customFormat="1" ht="18.95" hidden="1" customHeight="1" thickTop="1" x14ac:dyDescent="0.25">
      <c r="A125" s="3180">
        <v>44630</v>
      </c>
      <c r="B125" s="3200">
        <v>513799.10660346289</v>
      </c>
      <c r="C125" s="3201">
        <v>178784.47227293765</v>
      </c>
      <c r="D125" s="3201">
        <v>70185.854585087145</v>
      </c>
      <c r="E125" s="3201">
        <v>67921.534158678303</v>
      </c>
      <c r="F125" s="3201">
        <v>41119.149950901636</v>
      </c>
      <c r="G125" s="3201">
        <v>10715.652269407808</v>
      </c>
      <c r="H125" s="3201">
        <v>29066.704634185517</v>
      </c>
      <c r="I125" s="3201">
        <v>57205.881889270502</v>
      </c>
      <c r="J125" s="3202">
        <v>13.660174508488353</v>
      </c>
      <c r="K125" s="3202">
        <v>37.990734483354501</v>
      </c>
      <c r="L125" s="3187"/>
    </row>
    <row r="126" spans="1:12" s="3199" customFormat="1" ht="18.95" hidden="1" customHeight="1" thickTop="1" x14ac:dyDescent="0.25">
      <c r="A126" s="3180">
        <v>44644</v>
      </c>
      <c r="B126" s="3200">
        <v>515715.26942203072</v>
      </c>
      <c r="C126" s="3201">
        <v>181171.87886993057</v>
      </c>
      <c r="D126" s="3201">
        <v>68538.349048113552</v>
      </c>
      <c r="E126" s="3201">
        <v>59128.432662899933</v>
      </c>
      <c r="F126" s="3201">
        <v>41272.168947694401</v>
      </c>
      <c r="G126" s="3201">
        <v>10859.102186746873</v>
      </c>
      <c r="H126" s="3201">
        <v>27266.180100419151</v>
      </c>
      <c r="I126" s="3201">
        <v>48269.330476153067</v>
      </c>
      <c r="J126" s="3202">
        <v>13.28995922981405</v>
      </c>
      <c r="K126" s="3202">
        <v>32.636650363023634</v>
      </c>
      <c r="L126" s="3187"/>
    </row>
    <row r="127" spans="1:12" s="3199" customFormat="1" ht="18.95" hidden="1" customHeight="1" x14ac:dyDescent="0.25">
      <c r="A127" s="3180">
        <v>44658</v>
      </c>
      <c r="B127" s="3200">
        <v>514744.16234269924</v>
      </c>
      <c r="C127" s="3201">
        <v>172087.57089455516</v>
      </c>
      <c r="D127" s="3201">
        <v>67451.549783465714</v>
      </c>
      <c r="E127" s="3201">
        <v>75894.902467939959</v>
      </c>
      <c r="F127" s="3201">
        <v>41194.119879338556</v>
      </c>
      <c r="G127" s="3201">
        <v>10314.314084731346</v>
      </c>
      <c r="H127" s="3201">
        <v>26257.429904127162</v>
      </c>
      <c r="I127" s="3201">
        <v>65580.58838320864</v>
      </c>
      <c r="J127" s="3202">
        <v>13.103897959032851</v>
      </c>
      <c r="K127" s="3202">
        <v>44.10248925789287</v>
      </c>
      <c r="L127" s="3187"/>
    </row>
    <row r="128" spans="1:12" s="3199" customFormat="1" ht="18.95" hidden="1" customHeight="1" x14ac:dyDescent="0.25">
      <c r="A128" s="3180">
        <v>44672</v>
      </c>
      <c r="B128" s="3200">
        <v>519200.47863998503</v>
      </c>
      <c r="C128" s="3201">
        <v>169982.42966717813</v>
      </c>
      <c r="D128" s="3201">
        <v>65164.671513391426</v>
      </c>
      <c r="E128" s="3201">
        <v>68044.89230083357</v>
      </c>
      <c r="F128" s="3201">
        <v>41550.609085769705</v>
      </c>
      <c r="G128" s="3201">
        <v>10188.017684102506</v>
      </c>
      <c r="H128" s="3201">
        <v>23614.062427621717</v>
      </c>
      <c r="I128" s="3201">
        <v>57856.874616731075</v>
      </c>
      <c r="J128" s="3202">
        <v>12.550965223315361</v>
      </c>
      <c r="K128" s="3202">
        <v>40.030544588675419</v>
      </c>
      <c r="L128" s="3187"/>
    </row>
    <row r="129" spans="1:12" s="3199" customFormat="1" ht="18.95" hidden="1" customHeight="1" x14ac:dyDescent="0.25">
      <c r="A129" s="3180">
        <v>44686</v>
      </c>
      <c r="B129" s="3200">
        <v>522699.25286759861</v>
      </c>
      <c r="C129" s="3201">
        <v>165377.01290077713</v>
      </c>
      <c r="D129" s="3201">
        <v>68939.458536197155</v>
      </c>
      <c r="E129" s="3201">
        <v>63442.079945744641</v>
      </c>
      <c r="F129" s="3201">
        <v>41830.079893006106</v>
      </c>
      <c r="G129" s="3201">
        <v>9912.016026347972</v>
      </c>
      <c r="H129" s="3201">
        <v>27109.378643191052</v>
      </c>
      <c r="I129" s="3201">
        <v>53530.063919396678</v>
      </c>
      <c r="J129" s="3202">
        <v>13.189125134192556</v>
      </c>
      <c r="K129" s="3202">
        <v>38.36209085709428</v>
      </c>
      <c r="L129" s="3187"/>
    </row>
    <row r="130" spans="1:12" s="3199" customFormat="1" ht="18.95" hidden="1" customHeight="1" x14ac:dyDescent="0.25">
      <c r="A130" s="3180">
        <v>44700</v>
      </c>
      <c r="B130" s="3200">
        <v>515761.89322704065</v>
      </c>
      <c r="C130" s="3201">
        <v>168764.75489002917</v>
      </c>
      <c r="D130" s="3201">
        <v>67782.709627104283</v>
      </c>
      <c r="E130" s="3201">
        <v>60836.37981658167</v>
      </c>
      <c r="F130" s="3201">
        <v>41274.707148334688</v>
      </c>
      <c r="G130" s="3201">
        <v>10115.568525773177</v>
      </c>
      <c r="H130" s="3201">
        <v>26508.002478769591</v>
      </c>
      <c r="I130" s="3201">
        <v>50720.811290808495</v>
      </c>
      <c r="J130" s="3202">
        <v>13.14224849048048</v>
      </c>
      <c r="K130" s="3202">
        <v>36.048036129477389</v>
      </c>
      <c r="L130" s="3187"/>
    </row>
    <row r="131" spans="1:12" s="3199" customFormat="1" ht="18.95" hidden="1" customHeight="1" x14ac:dyDescent="0.25">
      <c r="A131" s="3180">
        <v>44714</v>
      </c>
      <c r="B131" s="3200">
        <v>515341.76148963353</v>
      </c>
      <c r="C131" s="3201">
        <v>168569.47616029653</v>
      </c>
      <c r="D131" s="3201">
        <v>66858.951812722866</v>
      </c>
      <c r="E131" s="3201">
        <v>52318.333986905534</v>
      </c>
      <c r="F131" s="3201">
        <v>41240.737466761944</v>
      </c>
      <c r="G131" s="3201">
        <v>10104.121158924343</v>
      </c>
      <c r="H131" s="3201">
        <v>25618.214345960903</v>
      </c>
      <c r="I131" s="3201">
        <v>42214.212827981195</v>
      </c>
      <c r="J131" s="3202">
        <v>12.973711196907875</v>
      </c>
      <c r="K131" s="3202">
        <v>31.036659292430169</v>
      </c>
      <c r="L131" s="3187"/>
    </row>
    <row r="132" spans="1:12" s="3199" customFormat="1" ht="18.95" hidden="1" customHeight="1" thickTop="1" x14ac:dyDescent="0.25">
      <c r="A132" s="3180">
        <v>44728</v>
      </c>
      <c r="B132" s="3200">
        <v>516172.08656772721</v>
      </c>
      <c r="C132" s="3201">
        <v>165530.91893940573</v>
      </c>
      <c r="D132" s="3201">
        <v>66918.448940992166</v>
      </c>
      <c r="E132" s="3201">
        <v>53039.933922923956</v>
      </c>
      <c r="F132" s="3201">
        <v>41307.457825261889</v>
      </c>
      <c r="G132" s="3201">
        <v>9921.5869614815656</v>
      </c>
      <c r="H132" s="3201">
        <v>25610.99111573027</v>
      </c>
      <c r="I132" s="3201">
        <v>43118.346961442396</v>
      </c>
      <c r="J132" s="3202">
        <v>12.964368024230957</v>
      </c>
      <c r="K132" s="3202">
        <v>32.042312253664079</v>
      </c>
      <c r="L132" s="3187"/>
    </row>
    <row r="133" spans="1:12" s="3199" customFormat="1" ht="18.95" hidden="1" customHeight="1" x14ac:dyDescent="0.25">
      <c r="A133" s="3180">
        <v>44742</v>
      </c>
      <c r="B133" s="3200">
        <v>518385.4828469365</v>
      </c>
      <c r="C133" s="3201">
        <v>168517.28478244561</v>
      </c>
      <c r="D133" s="3201">
        <v>75960.624283966448</v>
      </c>
      <c r="E133" s="3201">
        <v>55213.98295652595</v>
      </c>
      <c r="F133" s="3201">
        <v>41484.610150398657</v>
      </c>
      <c r="G133" s="3201">
        <v>10100.708444963937</v>
      </c>
      <c r="H133" s="3201">
        <v>34476.014133567762</v>
      </c>
      <c r="I133" s="3201">
        <v>45113.274511561998</v>
      </c>
      <c r="J133" s="3202">
        <v>14.653308550771147</v>
      </c>
      <c r="K133" s="3202">
        <v>32.764581406475145</v>
      </c>
      <c r="L133" s="3187"/>
    </row>
    <row r="134" spans="1:12" s="3199" customFormat="1" ht="18.95" hidden="1" customHeight="1" x14ac:dyDescent="0.25">
      <c r="A134" s="3180">
        <v>44756</v>
      </c>
      <c r="B134" s="3200">
        <v>528333.13233199588</v>
      </c>
      <c r="C134" s="3201">
        <v>171852.59231460787</v>
      </c>
      <c r="D134" s="3201">
        <v>77514.943561027147</v>
      </c>
      <c r="E134" s="3201">
        <v>48145.538029680349</v>
      </c>
      <c r="F134" s="3201">
        <v>47565.612178417294</v>
      </c>
      <c r="G134" s="3201">
        <v>10300.735359851345</v>
      </c>
      <c r="H134" s="3201">
        <v>29949.331382609831</v>
      </c>
      <c r="I134" s="3201">
        <v>37844.80266982902</v>
      </c>
      <c r="J134" s="3202">
        <v>14.671603732078273</v>
      </c>
      <c r="K134" s="3202">
        <v>28.015601848787398</v>
      </c>
      <c r="L134" s="3187"/>
    </row>
    <row r="135" spans="1:12" s="3199" customFormat="1" ht="18.95" hidden="1" customHeight="1" x14ac:dyDescent="0.25">
      <c r="A135" s="3180">
        <v>44770</v>
      </c>
      <c r="B135" s="3200">
        <v>530849.1314560516</v>
      </c>
      <c r="C135" s="3201">
        <v>171733.79922629509</v>
      </c>
      <c r="D135" s="3201">
        <v>73843.241361592867</v>
      </c>
      <c r="E135" s="3201">
        <v>48773.330842556345</v>
      </c>
      <c r="F135" s="3201">
        <v>47791.888560365289</v>
      </c>
      <c r="G135" s="3201">
        <v>10293.716800697259</v>
      </c>
      <c r="H135" s="3201">
        <v>26051.352801227556</v>
      </c>
      <c r="I135" s="3201">
        <v>38479.614041859095</v>
      </c>
      <c r="J135" s="3202">
        <v>13.910400711978232</v>
      </c>
      <c r="K135" s="3202">
        <v>28.400542620202163</v>
      </c>
      <c r="L135" s="3187"/>
    </row>
    <row r="136" spans="1:12" s="3199" customFormat="1" ht="18.95" hidden="1" customHeight="1" x14ac:dyDescent="0.25">
      <c r="A136" s="3180">
        <v>44784</v>
      </c>
      <c r="B136" s="3200">
        <v>531163.2200998622</v>
      </c>
      <c r="C136" s="3201">
        <v>171607.54124415995</v>
      </c>
      <c r="D136" s="3201">
        <v>71992.821519797144</v>
      </c>
      <c r="E136" s="3201">
        <v>50723.561010388039</v>
      </c>
      <c r="F136" s="3201">
        <v>47819.33193960788</v>
      </c>
      <c r="G136" s="3201">
        <v>10286.691054236071</v>
      </c>
      <c r="H136" s="3201">
        <v>24173.48958018926</v>
      </c>
      <c r="I136" s="3201">
        <v>40436.869956151975</v>
      </c>
      <c r="J136" s="3202">
        <v>13.553803952438956</v>
      </c>
      <c r="K136" s="3202">
        <v>29.557885768096593</v>
      </c>
      <c r="L136" s="3187"/>
    </row>
    <row r="137" spans="1:12" s="3199" customFormat="1" ht="18.95" hidden="1" customHeight="1" x14ac:dyDescent="0.25">
      <c r="A137" s="3180">
        <v>44798</v>
      </c>
      <c r="B137" s="3200">
        <v>531040.62884943059</v>
      </c>
      <c r="C137" s="3201">
        <v>173520.20547180116</v>
      </c>
      <c r="D137" s="3201">
        <v>69965.790909197865</v>
      </c>
      <c r="E137" s="3201">
        <v>52661.856440851334</v>
      </c>
      <c r="F137" s="3201">
        <v>47808.303737694892</v>
      </c>
      <c r="G137" s="3201">
        <v>10401.447567477324</v>
      </c>
      <c r="H137" s="3201">
        <v>22157.487171502984</v>
      </c>
      <c r="I137" s="3201">
        <v>42260.408873374006</v>
      </c>
      <c r="J137" s="3202">
        <v>13.175223722672207</v>
      </c>
      <c r="K137" s="3202">
        <v>30.349120609708724</v>
      </c>
      <c r="L137" s="3187"/>
    </row>
    <row r="138" spans="1:12" s="3199" customFormat="1" ht="18.95" hidden="1" customHeight="1" thickTop="1" x14ac:dyDescent="0.25">
      <c r="A138" s="3180">
        <v>44812</v>
      </c>
      <c r="B138" s="3200">
        <v>531952.65432320943</v>
      </c>
      <c r="C138" s="3201">
        <v>182106.1821318435</v>
      </c>
      <c r="D138" s="3201">
        <v>70677.428399538563</v>
      </c>
      <c r="E138" s="3201">
        <v>50496.808885726503</v>
      </c>
      <c r="F138" s="3201">
        <v>47890.237152761256</v>
      </c>
      <c r="G138" s="3201">
        <v>10916.705418795671</v>
      </c>
      <c r="H138" s="3201">
        <v>22787.191246777325</v>
      </c>
      <c r="I138" s="3201">
        <v>39580.103466930828</v>
      </c>
      <c r="J138" s="3202">
        <v>13.286413334934807</v>
      </c>
      <c r="K138" s="3202">
        <v>27.729321593907883</v>
      </c>
      <c r="L138" s="3187"/>
    </row>
    <row r="139" spans="1:12" s="3199" customFormat="1" ht="18.95" hidden="1" customHeight="1" thickTop="1" x14ac:dyDescent="0.25">
      <c r="A139" s="3180">
        <v>44826</v>
      </c>
      <c r="B139" s="3200">
        <v>532582.91285456426</v>
      </c>
      <c r="C139" s="3201">
        <v>178472.44276132589</v>
      </c>
      <c r="D139" s="3201">
        <v>74492.862742489291</v>
      </c>
      <c r="E139" s="3201">
        <v>39250.473801415828</v>
      </c>
      <c r="F139" s="3201">
        <v>47946.63662985713</v>
      </c>
      <c r="G139" s="3201">
        <v>10698.896917048658</v>
      </c>
      <c r="H139" s="3201">
        <v>26546.226112632176</v>
      </c>
      <c r="I139" s="3201">
        <v>28551.576884367165</v>
      </c>
      <c r="J139" s="3202">
        <v>13.987092139929677</v>
      </c>
      <c r="K139" s="3202">
        <v>21.992456198913647</v>
      </c>
      <c r="L139" s="3187"/>
    </row>
    <row r="140" spans="1:12" s="3199" customFormat="1" ht="18.95" customHeight="1" thickTop="1" x14ac:dyDescent="0.25">
      <c r="A140" s="3180">
        <v>44840</v>
      </c>
      <c r="B140" s="3200">
        <v>536627.80046817509</v>
      </c>
      <c r="C140" s="3201">
        <v>180790.36708322863</v>
      </c>
      <c r="D140" s="3201">
        <v>71793.439709450729</v>
      </c>
      <c r="E140" s="3201">
        <v>46370.685813792006</v>
      </c>
      <c r="F140" s="3201">
        <v>48310.69779826219</v>
      </c>
      <c r="G140" s="3201">
        <v>10837.95818757609</v>
      </c>
      <c r="H140" s="3201">
        <v>23482.741911188525</v>
      </c>
      <c r="I140" s="3201">
        <v>35532.727626215936</v>
      </c>
      <c r="J140" s="3202">
        <v>13.378628473369314</v>
      </c>
      <c r="K140" s="3202">
        <v>25.648869772162584</v>
      </c>
      <c r="L140" s="3187"/>
    </row>
    <row r="141" spans="1:12" s="3199" customFormat="1" ht="18.95" customHeight="1" x14ac:dyDescent="0.25">
      <c r="A141" s="3180">
        <v>44854</v>
      </c>
      <c r="B141" s="3200">
        <v>538443.9242296142</v>
      </c>
      <c r="C141" s="3201">
        <v>177648.81571818164</v>
      </c>
      <c r="D141" s="3201">
        <v>68844.309021138586</v>
      </c>
      <c r="E141" s="3201">
        <v>39151.760560499439</v>
      </c>
      <c r="F141" s="3201">
        <v>48473.941601961364</v>
      </c>
      <c r="G141" s="3201">
        <v>10649.603328893509</v>
      </c>
      <c r="H141" s="3201">
        <v>20370.367419177204</v>
      </c>
      <c r="I141" s="3201">
        <v>28502.157231605917</v>
      </c>
      <c r="J141" s="3202">
        <v>12.785789925968333</v>
      </c>
      <c r="K141" s="3202">
        <v>22.038852554248923</v>
      </c>
      <c r="L141" s="3187"/>
    </row>
    <row r="142" spans="1:12" s="3199" customFormat="1" ht="18.95" customHeight="1" x14ac:dyDescent="0.25">
      <c r="A142" s="3180">
        <v>44868</v>
      </c>
      <c r="B142" s="3200">
        <v>538986.36669359705</v>
      </c>
      <c r="C142" s="3201">
        <v>180793.68168076451</v>
      </c>
      <c r="D142" s="3201">
        <v>62047.634498269988</v>
      </c>
      <c r="E142" s="3201">
        <v>30314.344788220897</v>
      </c>
      <c r="F142" s="3201">
        <v>48522.61786071994</v>
      </c>
      <c r="G142" s="3201">
        <v>10838.390995315071</v>
      </c>
      <c r="H142" s="3201">
        <v>13525.016637550054</v>
      </c>
      <c r="I142" s="3201">
        <v>19475.953792905828</v>
      </c>
      <c r="J142" s="3202">
        <v>11.511911679492037</v>
      </c>
      <c r="K142" s="3202">
        <v>16.767369581946063</v>
      </c>
      <c r="L142" s="3187"/>
    </row>
    <row r="143" spans="1:12" s="3199" customFormat="1" ht="16.5" x14ac:dyDescent="0.25">
      <c r="A143" s="3180">
        <v>44882</v>
      </c>
      <c r="B143" s="3200">
        <v>532315.38655872643</v>
      </c>
      <c r="C143" s="3201">
        <v>186774.24139997154</v>
      </c>
      <c r="D143" s="3201">
        <v>60754.90135560216</v>
      </c>
      <c r="E143" s="3201">
        <v>34766.840609537569</v>
      </c>
      <c r="F143" s="3201">
        <v>47922.193452623236</v>
      </c>
      <c r="G143" s="3201">
        <v>11197.248709106387</v>
      </c>
      <c r="H143" s="3201">
        <v>12832.707902978911</v>
      </c>
      <c r="I143" s="3201">
        <v>23569.591900431173</v>
      </c>
      <c r="J143" s="3202">
        <v>11.413328055077649</v>
      </c>
      <c r="K143" s="3202">
        <v>18.61436585095554</v>
      </c>
      <c r="L143" s="3187"/>
    </row>
    <row r="144" spans="1:12" s="3199" customFormat="1" ht="16.5" x14ac:dyDescent="0.25">
      <c r="A144" s="3180">
        <v>44896</v>
      </c>
      <c r="B144" s="3200">
        <v>528462.05937099573</v>
      </c>
      <c r="C144" s="3201">
        <v>192929.27282618952</v>
      </c>
      <c r="D144" s="3201">
        <v>59555.687866983571</v>
      </c>
      <c r="E144" s="3201">
        <v>31585.446449371964</v>
      </c>
      <c r="F144" s="3201">
        <v>47575.618784342674</v>
      </c>
      <c r="G144" s="3201">
        <v>11566.400742269339</v>
      </c>
      <c r="H144" s="3201">
        <v>11980.06908264091</v>
      </c>
      <c r="I144" s="3201">
        <v>20019.045707102629</v>
      </c>
      <c r="J144" s="3202">
        <v>11.269624150098871</v>
      </c>
      <c r="K144" s="3202">
        <v>16.371515834109516</v>
      </c>
      <c r="L144" s="3187"/>
    </row>
    <row r="145" spans="1:16" s="3199" customFormat="1" ht="16.5" x14ac:dyDescent="0.25">
      <c r="A145" s="3180">
        <v>44910</v>
      </c>
      <c r="B145" s="3200">
        <v>530647.91188740428</v>
      </c>
      <c r="C145" s="3201">
        <v>191067.42104089266</v>
      </c>
      <c r="D145" s="3201">
        <v>58735.440467534281</v>
      </c>
      <c r="E145" s="3201">
        <v>29272.067191324662</v>
      </c>
      <c r="F145" s="3201">
        <v>47772.54544636888</v>
      </c>
      <c r="G145" s="3201">
        <v>11454.556344785231</v>
      </c>
      <c r="H145" s="3201">
        <v>10962.895021165401</v>
      </c>
      <c r="I145" s="3201">
        <v>17817.51084653943</v>
      </c>
      <c r="J145" s="3202">
        <v>11.068627455561735</v>
      </c>
      <c r="K145" s="3202">
        <v>15.320281726658042</v>
      </c>
      <c r="L145" s="3187"/>
    </row>
    <row r="146" spans="1:16" s="3199" customFormat="1" ht="16.5" x14ac:dyDescent="0.25">
      <c r="A146" s="3180">
        <v>44924</v>
      </c>
      <c r="B146" s="3200">
        <v>535567.30255592929</v>
      </c>
      <c r="C146" s="3201">
        <v>183193.08814071136</v>
      </c>
      <c r="D146" s="3201">
        <v>67634.871263325011</v>
      </c>
      <c r="E146" s="3201">
        <v>38010.873550793716</v>
      </c>
      <c r="F146" s="3201">
        <v>48215.580538678769</v>
      </c>
      <c r="G146" s="3201">
        <v>10981.903082679255</v>
      </c>
      <c r="H146" s="3201">
        <v>19419.29072464622</v>
      </c>
      <c r="I146" s="3201">
        <v>27028.970468114465</v>
      </c>
      <c r="J146" s="3202">
        <v>12.628640871193195</v>
      </c>
      <c r="K146" s="3202">
        <v>20.749076254229312</v>
      </c>
      <c r="L146" s="3187"/>
    </row>
    <row r="147" spans="1:16" s="3199" customFormat="1" ht="17.25" thickBot="1" x14ac:dyDescent="0.3">
      <c r="A147" s="3203">
        <v>44938</v>
      </c>
      <c r="B147" s="3204">
        <v>548012.97824197134</v>
      </c>
      <c r="C147" s="3205">
        <v>186513.85653748346</v>
      </c>
      <c r="D147" s="3205">
        <v>79948.573254931413</v>
      </c>
      <c r="E147" s="3205">
        <v>67548.746732357511</v>
      </c>
      <c r="F147" s="3205">
        <v>49335.830239427305</v>
      </c>
      <c r="G147" s="3205">
        <v>11181.056593815747</v>
      </c>
      <c r="H147" s="3205">
        <v>30612.743015504115</v>
      </c>
      <c r="I147" s="3205">
        <v>56367.690138541759</v>
      </c>
      <c r="J147" s="3206">
        <v>14.588810197781607</v>
      </c>
      <c r="K147" s="3206">
        <v>36.216476344631438</v>
      </c>
      <c r="L147" s="3187"/>
    </row>
    <row r="148" spans="1:16" s="3199" customFormat="1" ht="17.25" thickTop="1" x14ac:dyDescent="0.25">
      <c r="A148" s="3180">
        <v>44980</v>
      </c>
      <c r="B148" s="3200">
        <v>545897.58003848302</v>
      </c>
      <c r="C148" s="3201">
        <v>188674.41744668884</v>
      </c>
      <c r="D148" s="3201">
        <v>51983.228943292495</v>
      </c>
      <c r="E148" s="3201">
        <v>40424.095419288198</v>
      </c>
      <c r="F148" s="3201">
        <v>49145.708979375777</v>
      </c>
      <c r="G148" s="3201">
        <v>16965.770794289703</v>
      </c>
      <c r="H148" s="3201">
        <v>2837.5199639167222</v>
      </c>
      <c r="I148" s="3201">
        <v>23458.32462499851</v>
      </c>
      <c r="J148" s="3202">
        <v>9.5225241591340151</v>
      </c>
      <c r="K148" s="3202">
        <v>21.425318793264744</v>
      </c>
      <c r="L148" s="3187"/>
    </row>
    <row r="149" spans="1:16" s="3199" customFormat="1" ht="16.5" x14ac:dyDescent="0.25">
      <c r="A149" s="3180">
        <v>45008</v>
      </c>
      <c r="B149" s="3200">
        <v>551144.2951110953</v>
      </c>
      <c r="C149" s="3201">
        <v>197158.95257811443</v>
      </c>
      <c r="D149" s="3201">
        <v>51573.780438694652</v>
      </c>
      <c r="E149" s="3201">
        <v>31249.388779026995</v>
      </c>
      <c r="F149" s="3201">
        <v>49618.085857721147</v>
      </c>
      <c r="G149" s="3201">
        <v>17729.206434307733</v>
      </c>
      <c r="H149" s="3201">
        <v>1955.6945809734921</v>
      </c>
      <c r="I149" s="3201">
        <v>13520.182344719266</v>
      </c>
      <c r="J149" s="3202">
        <v>9.3575821969269981</v>
      </c>
      <c r="K149" s="3202">
        <v>15.849845198708881</v>
      </c>
      <c r="L149" s="3187"/>
    </row>
    <row r="150" spans="1:16" s="3199" customFormat="1" ht="16.5" x14ac:dyDescent="0.25">
      <c r="A150" s="3180">
        <v>45036</v>
      </c>
      <c r="B150" s="3200">
        <v>552795.59541001031</v>
      </c>
      <c r="C150" s="3201">
        <v>191686.97808189571</v>
      </c>
      <c r="D150" s="3201">
        <v>52258.521537797511</v>
      </c>
      <c r="E150" s="3201">
        <v>25175.653271645519</v>
      </c>
      <c r="F150" s="3201">
        <v>49766.567873948406</v>
      </c>
      <c r="G150" s="3201">
        <v>17236.863740323122</v>
      </c>
      <c r="H150" s="3201">
        <v>2491.9536638490972</v>
      </c>
      <c r="I150" s="3201">
        <v>7938.7895313223944</v>
      </c>
      <c r="J150" s="3202">
        <v>9.4534981775745148</v>
      </c>
      <c r="K150" s="3202">
        <v>13.133731630371653</v>
      </c>
      <c r="L150" s="3187"/>
    </row>
    <row r="151" spans="1:16" s="3199" customFormat="1" ht="16.5" x14ac:dyDescent="0.25">
      <c r="A151" s="3180">
        <v>45064</v>
      </c>
      <c r="B151" s="3200">
        <v>546371.95384269254</v>
      </c>
      <c r="C151" s="3201">
        <v>186543.49323158123</v>
      </c>
      <c r="D151" s="3201">
        <v>50994.736807371053</v>
      </c>
      <c r="E151" s="3201">
        <v>25476.687559714825</v>
      </c>
      <c r="F151" s="3201">
        <v>49188.415024085822</v>
      </c>
      <c r="G151" s="3201">
        <v>16773.975212598813</v>
      </c>
      <c r="H151" s="3201">
        <v>1806.3217832852436</v>
      </c>
      <c r="I151" s="3201">
        <v>8702.7123471160103</v>
      </c>
      <c r="J151" s="3202">
        <v>9.333337197987488</v>
      </c>
      <c r="K151" s="3202">
        <v>13.657237311454882</v>
      </c>
      <c r="L151" s="3187"/>
    </row>
    <row r="152" spans="1:16" s="3199" customFormat="1" ht="16.5" x14ac:dyDescent="0.25">
      <c r="A152" s="3180">
        <v>45092</v>
      </c>
      <c r="B152" s="3200">
        <v>542073.45565036649</v>
      </c>
      <c r="C152" s="3201">
        <v>181168.26430142278</v>
      </c>
      <c r="D152" s="3201">
        <v>50604.920165808217</v>
      </c>
      <c r="E152" s="3201">
        <v>24230.402819596296</v>
      </c>
      <c r="F152" s="3201">
        <v>48801.626822535349</v>
      </c>
      <c r="G152" s="3201">
        <v>16290.127973125665</v>
      </c>
      <c r="H152" s="3201">
        <v>1803.2933432728596</v>
      </c>
      <c r="I152" s="3201">
        <v>7940.2748464706328</v>
      </c>
      <c r="J152" s="3202">
        <v>9.3354359336953099</v>
      </c>
      <c r="K152" s="3202">
        <v>13.374529426016037</v>
      </c>
      <c r="L152" s="3187"/>
    </row>
    <row r="153" spans="1:16" s="3199" customFormat="1" ht="16.5" x14ac:dyDescent="0.25">
      <c r="A153" s="3180">
        <v>45120</v>
      </c>
      <c r="B153" s="3200">
        <v>541939.6665184655</v>
      </c>
      <c r="C153" s="3201">
        <v>179989.09391230182</v>
      </c>
      <c r="D153" s="3201">
        <v>51356.978801532503</v>
      </c>
      <c r="E153" s="3201">
        <v>22264.264506965261</v>
      </c>
      <c r="F153" s="3201">
        <v>48789.40112709716</v>
      </c>
      <c r="G153" s="3201">
        <v>16184.187311671887</v>
      </c>
      <c r="H153" s="3201">
        <v>2567.5776744353452</v>
      </c>
      <c r="I153" s="3201">
        <v>6080.0771952933756</v>
      </c>
      <c r="J153" s="3202">
        <v>9.4765122345556563</v>
      </c>
      <c r="K153" s="3202">
        <v>12.369785314777648</v>
      </c>
      <c r="L153" s="3187"/>
    </row>
    <row r="154" spans="1:16" s="3199" customFormat="1" ht="16.5" x14ac:dyDescent="0.25">
      <c r="A154" s="3180">
        <v>45148</v>
      </c>
      <c r="B154" s="3200">
        <v>555902.92292753432</v>
      </c>
      <c r="C154" s="3201">
        <v>184223.13094608858</v>
      </c>
      <c r="D154" s="3201">
        <v>52411.575483557142</v>
      </c>
      <c r="E154" s="3201">
        <v>21208.965918195463</v>
      </c>
      <c r="F154" s="3201">
        <v>50043.847376589649</v>
      </c>
      <c r="G154" s="3201">
        <v>16567.497472036419</v>
      </c>
      <c r="H154" s="3201">
        <v>2367.7281069675046</v>
      </c>
      <c r="I154" s="3201">
        <v>4641.4684461590477</v>
      </c>
      <c r="J154" s="3202">
        <v>9.4281885059254034</v>
      </c>
      <c r="K154" s="3202">
        <v>11.512650886604513</v>
      </c>
      <c r="L154" s="3187"/>
    </row>
    <row r="155" spans="1:16" s="3199" customFormat="1" ht="15" customHeight="1" x14ac:dyDescent="0.25">
      <c r="A155" s="3180">
        <v>45176</v>
      </c>
      <c r="B155" s="3200">
        <v>567149.5560989955</v>
      </c>
      <c r="C155" s="3201">
        <v>184732.85518329125</v>
      </c>
      <c r="D155" s="3201">
        <v>52954.467162033587</v>
      </c>
      <c r="E155" s="3201">
        <v>21280.815706733138</v>
      </c>
      <c r="F155" s="3201">
        <v>51053.674489053403</v>
      </c>
      <c r="G155" s="3201">
        <v>16615.742526352376</v>
      </c>
      <c r="H155" s="3201">
        <v>1900.79267298016</v>
      </c>
      <c r="I155" s="3201">
        <v>4665.0731803807621</v>
      </c>
      <c r="J155" s="3202">
        <v>9.3369494152950416</v>
      </c>
      <c r="K155" s="3202">
        <v>11.519778485325954</v>
      </c>
      <c r="L155" s="3187"/>
    </row>
    <row r="156" spans="1:16" s="3199" customFormat="1" ht="19.5" customHeight="1" thickBot="1" x14ac:dyDescent="0.3">
      <c r="A156" s="3207">
        <v>45204</v>
      </c>
      <c r="B156" s="3208">
        <v>598962.9123088799</v>
      </c>
      <c r="C156" s="3209">
        <v>186560.13485747215</v>
      </c>
      <c r="D156" s="3209">
        <v>56215.669593006438</v>
      </c>
      <c r="E156" s="3209">
        <v>21387.954299176468</v>
      </c>
      <c r="F156" s="3209">
        <v>53906.915966021537</v>
      </c>
      <c r="G156" s="3209">
        <v>16790.158278950155</v>
      </c>
      <c r="H156" s="3209">
        <v>2308.753626984897</v>
      </c>
      <c r="I156" s="3209">
        <v>4597.7960202263148</v>
      </c>
      <c r="J156" s="3210">
        <v>9.3855009112845575</v>
      </c>
      <c r="K156" s="3210">
        <v>11.464375449511975</v>
      </c>
      <c r="L156" s="3187"/>
    </row>
    <row r="157" spans="1:16" s="3213" customFormat="1" ht="19.5" customHeight="1" x14ac:dyDescent="0.25">
      <c r="A157" s="3282" t="s">
        <v>33</v>
      </c>
      <c r="B157" s="3282"/>
      <c r="C157" s="3282"/>
      <c r="D157" s="3282"/>
      <c r="E157" s="3282"/>
      <c r="F157" s="3282"/>
      <c r="G157" s="3282"/>
      <c r="H157" s="3282"/>
      <c r="I157" s="3282"/>
      <c r="J157" s="3282"/>
      <c r="K157" s="3211"/>
      <c r="L157" s="3212"/>
    </row>
    <row r="158" spans="1:16" s="3213" customFormat="1" ht="19.5" customHeight="1" x14ac:dyDescent="0.25">
      <c r="A158" s="3282" t="s">
        <v>5555</v>
      </c>
      <c r="B158" s="3282"/>
      <c r="C158" s="3282"/>
      <c r="D158" s="3282"/>
      <c r="E158" s="3282"/>
      <c r="F158" s="3282"/>
      <c r="G158" s="3282"/>
      <c r="H158" s="3282"/>
      <c r="I158" s="3282"/>
      <c r="J158" s="3282"/>
      <c r="K158" s="3211"/>
      <c r="L158" s="3214"/>
      <c r="M158" s="3214"/>
      <c r="N158" s="3214"/>
      <c r="O158" s="3214"/>
      <c r="P158" s="3214"/>
    </row>
    <row r="159" spans="1:16" s="3213" customFormat="1" ht="19.5" customHeight="1" x14ac:dyDescent="0.25">
      <c r="A159" s="3281" t="s">
        <v>5556</v>
      </c>
      <c r="B159" s="3281"/>
      <c r="C159" s="3281"/>
      <c r="D159" s="3281"/>
      <c r="E159" s="3281"/>
      <c r="F159" s="3281"/>
      <c r="G159" s="3281"/>
      <c r="H159" s="3281"/>
      <c r="I159" s="3281"/>
      <c r="J159" s="3281"/>
      <c r="K159" s="3211"/>
    </row>
    <row r="160" spans="1:16" s="3213" customFormat="1" ht="19.5" customHeight="1" x14ac:dyDescent="0.25">
      <c r="A160" s="3281" t="s">
        <v>5557</v>
      </c>
      <c r="B160" s="3281"/>
      <c r="C160" s="3281"/>
      <c r="D160" s="3281"/>
      <c r="E160" s="3281"/>
      <c r="F160" s="3281"/>
      <c r="G160" s="3281"/>
      <c r="H160" s="3281"/>
      <c r="I160" s="3281"/>
      <c r="J160" s="3281"/>
      <c r="K160" s="3211"/>
    </row>
    <row r="161" spans="1:16" s="3215" customFormat="1" ht="19.5" customHeight="1" x14ac:dyDescent="0.25">
      <c r="A161" s="2733" t="s">
        <v>5558</v>
      </c>
      <c r="B161" s="3214"/>
      <c r="C161" s="3214"/>
      <c r="D161" s="3214"/>
      <c r="E161" s="3214"/>
      <c r="F161" s="3214"/>
      <c r="G161" s="3214"/>
      <c r="H161" s="3214"/>
      <c r="I161" s="3214"/>
      <c r="J161" s="3214"/>
      <c r="K161" s="3214"/>
      <c r="L161" s="3213"/>
    </row>
    <row r="162" spans="1:16" s="3215" customFormat="1" ht="19.5" customHeight="1" x14ac:dyDescent="0.25">
      <c r="A162" s="2733" t="s">
        <v>5559</v>
      </c>
      <c r="B162" s="3214"/>
      <c r="C162" s="3214"/>
      <c r="D162" s="3214"/>
      <c r="E162" s="3214"/>
      <c r="F162" s="3214"/>
      <c r="G162" s="3214"/>
      <c r="H162" s="3216"/>
      <c r="I162" s="3216"/>
      <c r="J162" s="3214"/>
      <c r="K162" s="3214"/>
      <c r="L162" s="3213"/>
    </row>
    <row r="163" spans="1:16" s="3215" customFormat="1" ht="19.5" customHeight="1" x14ac:dyDescent="0.25">
      <c r="A163" s="2733" t="s">
        <v>5560</v>
      </c>
      <c r="B163" s="3214"/>
      <c r="C163" s="3214"/>
      <c r="D163" s="3214"/>
      <c r="E163" s="3214"/>
      <c r="F163" s="3214"/>
      <c r="G163" s="3214"/>
      <c r="H163" s="3214"/>
      <c r="I163" s="3214"/>
      <c r="J163" s="3214"/>
      <c r="K163" s="3214"/>
      <c r="L163" s="3213"/>
    </row>
    <row r="164" spans="1:16" s="3215" customFormat="1" ht="22.5" customHeight="1" x14ac:dyDescent="0.25">
      <c r="A164" s="2733" t="s">
        <v>5561</v>
      </c>
      <c r="B164" s="3214"/>
      <c r="C164" s="3214"/>
      <c r="D164" s="3214"/>
      <c r="E164" s="3214"/>
      <c r="F164" s="3214"/>
      <c r="G164" s="3214"/>
      <c r="H164" s="3216"/>
      <c r="I164" s="3216"/>
      <c r="J164" s="3214"/>
      <c r="K164" s="3214"/>
      <c r="L164" s="3213"/>
    </row>
    <row r="165" spans="1:16" s="3217" customFormat="1" ht="34.5" customHeight="1" x14ac:dyDescent="0.25">
      <c r="A165" s="3252" t="s">
        <v>5562</v>
      </c>
      <c r="B165" s="3252"/>
      <c r="C165" s="3252"/>
      <c r="D165" s="3252"/>
      <c r="E165" s="3252"/>
      <c r="F165" s="3252"/>
      <c r="G165" s="3252"/>
      <c r="H165" s="3252"/>
      <c r="I165" s="3252"/>
      <c r="J165" s="3252"/>
      <c r="K165" s="3252"/>
      <c r="M165" s="3218"/>
      <c r="N165" s="3218"/>
      <c r="O165" s="3218"/>
      <c r="P165" s="3218"/>
    </row>
    <row r="166" spans="1:16" s="3215" customFormat="1" x14ac:dyDescent="0.25">
      <c r="A166" s="3282" t="s">
        <v>290</v>
      </c>
      <c r="B166" s="3282"/>
      <c r="C166" s="3282"/>
      <c r="D166" s="3282"/>
      <c r="E166" s="3282"/>
      <c r="F166" s="3282"/>
      <c r="G166" s="3282"/>
      <c r="H166" s="3282"/>
      <c r="I166" s="3282"/>
      <c r="J166" s="3282"/>
      <c r="K166" s="3214"/>
      <c r="L166" s="3213"/>
    </row>
  </sheetData>
  <mergeCells count="20">
    <mergeCell ref="A159:J159"/>
    <mergeCell ref="A160:J160"/>
    <mergeCell ref="A165:K165"/>
    <mergeCell ref="A166:J166"/>
    <mergeCell ref="H5:I5"/>
    <mergeCell ref="J5:K5"/>
    <mergeCell ref="B7:I7"/>
    <mergeCell ref="J7:K7"/>
    <mergeCell ref="A157:J157"/>
    <mergeCell ref="A158:J158"/>
    <mergeCell ref="A3:A7"/>
    <mergeCell ref="B3:C4"/>
    <mergeCell ref="D3:E4"/>
    <mergeCell ref="F3:G3"/>
    <mergeCell ref="H3:I4"/>
    <mergeCell ref="J3:K4"/>
    <mergeCell ref="F4:G4"/>
    <mergeCell ref="B5:C5"/>
    <mergeCell ref="D5:E5"/>
    <mergeCell ref="F5:G5"/>
  </mergeCells>
  <pageMargins left="0.75" right="0.75" top="0.75" bottom="0.75" header="0.3" footer="0"/>
  <pageSetup paperSize="9" scale="78"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32"/>
  <sheetViews>
    <sheetView zoomScale="90" zoomScaleNormal="90" zoomScaleSheetLayoutView="85" workbookViewId="0">
      <pane xSplit="1" ySplit="5" topLeftCell="B6" activePane="bottomRight" state="frozen"/>
      <selection activeCell="A38" sqref="A38"/>
      <selection pane="topRight" activeCell="A38" sqref="A38"/>
      <selection pane="bottomLeft" activeCell="A38" sqref="A38"/>
      <selection pane="bottomRight" activeCell="A38" sqref="A38"/>
    </sheetView>
  </sheetViews>
  <sheetFormatPr defaultColWidth="9.140625" defaultRowHeight="14.25" x14ac:dyDescent="0.25"/>
  <cols>
    <col min="1" max="1" width="45.85546875" style="1177" customWidth="1"/>
    <col min="2" max="2" width="21.7109375" style="1177" bestFit="1" customWidth="1"/>
    <col min="3" max="3" width="20.7109375" style="1177" bestFit="1" customWidth="1"/>
    <col min="4" max="4" width="19.28515625" style="1177" bestFit="1" customWidth="1"/>
    <col min="5" max="5" width="18.7109375" style="1177" bestFit="1" customWidth="1"/>
    <col min="6" max="6" width="19.28515625" style="1177" bestFit="1" customWidth="1"/>
    <col min="7" max="7" width="22.5703125" style="1177" customWidth="1"/>
    <col min="8" max="8" width="15.85546875" style="1177" customWidth="1"/>
    <col min="9" max="16384" width="9.140625" style="1177"/>
  </cols>
  <sheetData>
    <row r="1" spans="1:8" s="1176" customFormat="1" ht="18.75" x14ac:dyDescent="0.25">
      <c r="A1" s="1175" t="s">
        <v>864</v>
      </c>
    </row>
    <row r="2" spans="1:8" ht="15" thickBot="1" x14ac:dyDescent="0.3">
      <c r="G2" s="1178" t="s">
        <v>865</v>
      </c>
    </row>
    <row r="3" spans="1:8" s="1182" customFormat="1" ht="18" thickTop="1" thickBot="1" x14ac:dyDescent="0.3">
      <c r="A3" s="3293" t="s">
        <v>866</v>
      </c>
      <c r="B3" s="1179" t="s">
        <v>867</v>
      </c>
      <c r="C3" s="1180"/>
      <c r="D3" s="1180"/>
      <c r="E3" s="1180"/>
      <c r="F3" s="1180"/>
      <c r="G3" s="1181"/>
    </row>
    <row r="4" spans="1:8" s="1182" customFormat="1" ht="16.5" x14ac:dyDescent="0.25">
      <c r="A4" s="3294"/>
      <c r="B4" s="1183" t="s">
        <v>868</v>
      </c>
      <c r="C4" s="3296" t="s">
        <v>12</v>
      </c>
      <c r="D4" s="1184" t="s">
        <v>869</v>
      </c>
      <c r="E4" s="1184" t="s">
        <v>870</v>
      </c>
      <c r="F4" s="3296" t="s">
        <v>287</v>
      </c>
      <c r="G4" s="3298" t="s">
        <v>176</v>
      </c>
    </row>
    <row r="5" spans="1:8" s="1182" customFormat="1" ht="17.25" thickBot="1" x14ac:dyDescent="0.3">
      <c r="A5" s="3295"/>
      <c r="B5" s="1185" t="s">
        <v>871</v>
      </c>
      <c r="C5" s="3297"/>
      <c r="D5" s="1186" t="s">
        <v>872</v>
      </c>
      <c r="E5" s="1186" t="s">
        <v>873</v>
      </c>
      <c r="F5" s="3297"/>
      <c r="G5" s="3299"/>
    </row>
    <row r="6" spans="1:8" ht="17.25" thickTop="1" x14ac:dyDescent="0.25">
      <c r="A6" s="1187"/>
      <c r="B6" s="1188"/>
      <c r="C6" s="1189"/>
      <c r="D6" s="1189"/>
      <c r="E6" s="1189"/>
      <c r="F6" s="1189"/>
      <c r="G6" s="1190"/>
    </row>
    <row r="7" spans="1:8" ht="15" customHeight="1" x14ac:dyDescent="0.25">
      <c r="A7" s="1191" t="s">
        <v>874</v>
      </c>
      <c r="B7" s="1192">
        <v>530530761613.11353</v>
      </c>
      <c r="C7" s="1193">
        <v>110080248637.70374</v>
      </c>
      <c r="D7" s="1193">
        <v>21055993441.96875</v>
      </c>
      <c r="E7" s="1193">
        <v>3361050025.303432</v>
      </c>
      <c r="F7" s="1193">
        <v>13165771108.958897</v>
      </c>
      <c r="G7" s="1194">
        <v>678193824827.04834</v>
      </c>
      <c r="H7" s="1195"/>
    </row>
    <row r="8" spans="1:8" ht="16.5" x14ac:dyDescent="0.25">
      <c r="A8" s="1187"/>
      <c r="B8" s="1196"/>
      <c r="C8" s="1197"/>
      <c r="D8" s="1197"/>
      <c r="E8" s="1197"/>
      <c r="F8" s="1197"/>
      <c r="G8" s="1198"/>
      <c r="H8" s="1195"/>
    </row>
    <row r="9" spans="1:8" ht="15" customHeight="1" x14ac:dyDescent="0.25">
      <c r="A9" s="1191" t="s">
        <v>875</v>
      </c>
      <c r="B9" s="1192">
        <v>377990251792.73572</v>
      </c>
      <c r="C9" s="1193">
        <v>28965818106.241924</v>
      </c>
      <c r="D9" s="1193">
        <v>10899628374.162025</v>
      </c>
      <c r="E9" s="1193">
        <v>5066556055.3501816</v>
      </c>
      <c r="F9" s="1193">
        <v>2437466609.6965861</v>
      </c>
      <c r="G9" s="1194">
        <v>425359720938.18628</v>
      </c>
      <c r="H9" s="1195"/>
    </row>
    <row r="10" spans="1:8" ht="16.5" x14ac:dyDescent="0.25">
      <c r="A10" s="1191"/>
      <c r="B10" s="1199"/>
      <c r="C10" s="1200"/>
      <c r="D10" s="1200"/>
      <c r="E10" s="1200"/>
      <c r="F10" s="1200"/>
      <c r="G10" s="1194"/>
      <c r="H10" s="1195"/>
    </row>
    <row r="11" spans="1:8" ht="16.5" x14ac:dyDescent="0.25">
      <c r="A11" s="1191" t="s">
        <v>876</v>
      </c>
      <c r="B11" s="1196">
        <v>72101174888.324173</v>
      </c>
      <c r="C11" s="1197">
        <v>3626548117.94451</v>
      </c>
      <c r="D11" s="1197">
        <v>1651175442.959461</v>
      </c>
      <c r="E11" s="1197">
        <v>1323034271.1629598</v>
      </c>
      <c r="F11" s="1197">
        <v>617512306.92260981</v>
      </c>
      <c r="G11" s="1194">
        <v>79319445027.313705</v>
      </c>
      <c r="H11" s="1195"/>
    </row>
    <row r="12" spans="1:8" ht="15" customHeight="1" x14ac:dyDescent="0.25">
      <c r="A12" s="1191" t="s">
        <v>877</v>
      </c>
      <c r="B12" s="1196">
        <v>35323695376.228088</v>
      </c>
      <c r="C12" s="1197">
        <v>2751693141.0636873</v>
      </c>
      <c r="D12" s="1197">
        <v>285940556.64764595</v>
      </c>
      <c r="E12" s="1197">
        <v>706912050.66960812</v>
      </c>
      <c r="F12" s="1197">
        <v>25637089.537607949</v>
      </c>
      <c r="G12" s="1194">
        <v>39093878214.146637</v>
      </c>
      <c r="H12" s="1201"/>
    </row>
    <row r="13" spans="1:8" ht="15" customHeight="1" x14ac:dyDescent="0.25">
      <c r="A13" s="1191" t="s">
        <v>878</v>
      </c>
      <c r="B13" s="1196">
        <v>79255310247.605225</v>
      </c>
      <c r="C13" s="1197">
        <v>2298480760.7429366</v>
      </c>
      <c r="D13" s="1197">
        <v>1599536310.0224652</v>
      </c>
      <c r="E13" s="1197">
        <v>858675634.68255794</v>
      </c>
      <c r="F13" s="1197">
        <v>129500992.05376734</v>
      </c>
      <c r="G13" s="1194">
        <v>84141503945.106949</v>
      </c>
      <c r="H13" s="1195"/>
    </row>
    <row r="14" spans="1:8" ht="15" customHeight="1" x14ac:dyDescent="0.25">
      <c r="A14" s="1191" t="s">
        <v>879</v>
      </c>
      <c r="B14" s="1196">
        <v>53592431193.079636</v>
      </c>
      <c r="C14" s="1197">
        <v>7566343534.8584175</v>
      </c>
      <c r="D14" s="1197">
        <v>3083869959.9678097</v>
      </c>
      <c r="E14" s="1197">
        <v>992126146.05116487</v>
      </c>
      <c r="F14" s="1197">
        <v>358018912.10345703</v>
      </c>
      <c r="G14" s="1194">
        <v>65592789746.060478</v>
      </c>
      <c r="H14" s="1195"/>
    </row>
    <row r="15" spans="1:8" ht="15" customHeight="1" x14ac:dyDescent="0.25">
      <c r="A15" s="1191" t="s">
        <v>880</v>
      </c>
      <c r="B15" s="1196">
        <v>32645983329.031479</v>
      </c>
      <c r="C15" s="1197">
        <v>5721479565.1964808</v>
      </c>
      <c r="D15" s="1197">
        <v>1241238044.3253062</v>
      </c>
      <c r="E15" s="1197">
        <v>635770341.92080748</v>
      </c>
      <c r="F15" s="1197">
        <v>73026441.88457939</v>
      </c>
      <c r="G15" s="1194">
        <v>40317497722.358658</v>
      </c>
      <c r="H15" s="1195"/>
    </row>
    <row r="16" spans="1:8" ht="15" customHeight="1" x14ac:dyDescent="0.25">
      <c r="A16" s="1191" t="s">
        <v>881</v>
      </c>
      <c r="B16" s="1196">
        <v>72671176788.518097</v>
      </c>
      <c r="C16" s="1197">
        <v>4039924989.7416892</v>
      </c>
      <c r="D16" s="1197">
        <v>2105927347.1987948</v>
      </c>
      <c r="E16" s="1197">
        <v>530875544.30690813</v>
      </c>
      <c r="F16" s="1197">
        <v>862405660.88721466</v>
      </c>
      <c r="G16" s="1194">
        <v>80210310330.65271</v>
      </c>
      <c r="H16" s="1195"/>
    </row>
    <row r="17" spans="1:12" ht="15" customHeight="1" x14ac:dyDescent="0.25">
      <c r="A17" s="1191" t="s">
        <v>882</v>
      </c>
      <c r="B17" s="1196">
        <v>14893348079.799053</v>
      </c>
      <c r="C17" s="1197">
        <v>1058615501.6114544</v>
      </c>
      <c r="D17" s="1197">
        <v>499885382.21146375</v>
      </c>
      <c r="E17" s="1197">
        <v>14028753.184786798</v>
      </c>
      <c r="F17" s="1197">
        <v>251742917.87502876</v>
      </c>
      <c r="G17" s="1194">
        <v>16717620634.681787</v>
      </c>
      <c r="H17" s="1195"/>
    </row>
    <row r="18" spans="1:12" ht="15" customHeight="1" x14ac:dyDescent="0.25">
      <c r="A18" s="1191" t="s">
        <v>883</v>
      </c>
      <c r="B18" s="1196">
        <v>5706271561.5718832</v>
      </c>
      <c r="C18" s="1197">
        <v>1711326642.2849638</v>
      </c>
      <c r="D18" s="1197">
        <v>238351897.00889722</v>
      </c>
      <c r="E18" s="1197">
        <v>0</v>
      </c>
      <c r="F18" s="1197">
        <v>14680468.0665382</v>
      </c>
      <c r="G18" s="1194">
        <v>7670630568.9322815</v>
      </c>
      <c r="H18" s="1195"/>
    </row>
    <row r="19" spans="1:12" ht="15" customHeight="1" x14ac:dyDescent="0.25">
      <c r="A19" s="1191" t="s">
        <v>884</v>
      </c>
      <c r="B19" s="1196">
        <v>314789515.21386242</v>
      </c>
      <c r="C19" s="1197">
        <v>10146402.679462321</v>
      </c>
      <c r="D19" s="1197">
        <v>5771382.2187211998</v>
      </c>
      <c r="E19" s="1197">
        <v>0</v>
      </c>
      <c r="F19" s="1197">
        <v>2662932.6822899496</v>
      </c>
      <c r="G19" s="1194">
        <v>333370232.7943359</v>
      </c>
      <c r="H19" s="1195"/>
    </row>
    <row r="20" spans="1:12" ht="15" customHeight="1" x14ac:dyDescent="0.25">
      <c r="A20" s="1191" t="s">
        <v>885</v>
      </c>
      <c r="B20" s="1196">
        <v>8434272299.6632299</v>
      </c>
      <c r="C20" s="1197">
        <v>65907345.51069659</v>
      </c>
      <c r="D20" s="1197">
        <v>63460958.905439898</v>
      </c>
      <c r="E20" s="1197">
        <v>0</v>
      </c>
      <c r="F20" s="1197">
        <v>2076380.4530867001</v>
      </c>
      <c r="G20" s="1194">
        <v>8565716984.5324535</v>
      </c>
      <c r="H20" s="1195"/>
    </row>
    <row r="21" spans="1:12" ht="15" customHeight="1" x14ac:dyDescent="0.25">
      <c r="A21" s="1191" t="s">
        <v>886</v>
      </c>
      <c r="B21" s="1196">
        <v>1254600511.7070215</v>
      </c>
      <c r="C21" s="1197">
        <v>22576022.351333439</v>
      </c>
      <c r="D21" s="1197">
        <v>25875394.997699298</v>
      </c>
      <c r="E21" s="1197">
        <v>5133313.3713887995</v>
      </c>
      <c r="F21" s="1197">
        <v>96814401.954918295</v>
      </c>
      <c r="G21" s="1194">
        <v>1404999644.3823614</v>
      </c>
      <c r="H21" s="1195"/>
    </row>
    <row r="22" spans="1:12" ht="15" customHeight="1" x14ac:dyDescent="0.25">
      <c r="A22" s="1191" t="s">
        <v>887</v>
      </c>
      <c r="B22" s="1196">
        <v>132107097.52853675</v>
      </c>
      <c r="C22" s="1197">
        <v>22325700.551248882</v>
      </c>
      <c r="D22" s="1197">
        <v>56034053.783640347</v>
      </c>
      <c r="E22" s="1197">
        <v>0</v>
      </c>
      <c r="F22" s="1197">
        <v>0</v>
      </c>
      <c r="G22" s="1194">
        <v>210466851.863426</v>
      </c>
      <c r="H22" s="1195"/>
    </row>
    <row r="23" spans="1:12" ht="15" customHeight="1" x14ac:dyDescent="0.25">
      <c r="A23" s="1191" t="s">
        <v>888</v>
      </c>
      <c r="B23" s="1196">
        <v>673506129.80592203</v>
      </c>
      <c r="C23" s="1197">
        <v>0</v>
      </c>
      <c r="D23" s="1197">
        <v>9469708.8026218489</v>
      </c>
      <c r="E23" s="1197">
        <v>0</v>
      </c>
      <c r="F23" s="1197">
        <v>0</v>
      </c>
      <c r="G23" s="1194">
        <v>682975838.60854387</v>
      </c>
      <c r="H23" s="1195"/>
    </row>
    <row r="24" spans="1:12" ht="15" customHeight="1" x14ac:dyDescent="0.25">
      <c r="A24" s="1191" t="s">
        <v>889</v>
      </c>
      <c r="B24" s="1196">
        <v>708938537.49709475</v>
      </c>
      <c r="C24" s="1197">
        <v>67464908.721624151</v>
      </c>
      <c r="D24" s="1197">
        <v>32609893.418918848</v>
      </c>
      <c r="E24" s="1197">
        <v>0</v>
      </c>
      <c r="F24" s="1197">
        <v>3388105.2754873997</v>
      </c>
      <c r="G24" s="1194">
        <v>812401444.91312516</v>
      </c>
      <c r="H24" s="1195"/>
    </row>
    <row r="25" spans="1:12" ht="15" customHeight="1" x14ac:dyDescent="0.25">
      <c r="A25" s="1191" t="s">
        <v>890</v>
      </c>
      <c r="B25" s="1196">
        <v>282646237.16233224</v>
      </c>
      <c r="C25" s="1197">
        <v>2985472.9834159999</v>
      </c>
      <c r="D25" s="1197">
        <v>482041.69314019993</v>
      </c>
      <c r="E25" s="1197">
        <v>0</v>
      </c>
      <c r="F25" s="1197">
        <v>0</v>
      </c>
      <c r="G25" s="1194">
        <v>286113751.83888847</v>
      </c>
      <c r="H25" s="1195"/>
    </row>
    <row r="26" spans="1:12" ht="16.5" x14ac:dyDescent="0.25">
      <c r="A26" s="1191"/>
      <c r="B26" s="1196"/>
      <c r="C26" s="1197"/>
      <c r="D26" s="1197"/>
      <c r="E26" s="1197"/>
      <c r="F26" s="1197"/>
      <c r="G26" s="1198"/>
      <c r="H26" s="1195"/>
    </row>
    <row r="27" spans="1:12" ht="15.75" customHeight="1" x14ac:dyDescent="0.25">
      <c r="A27" s="1191" t="s">
        <v>387</v>
      </c>
      <c r="B27" s="1192">
        <v>908521013405.84924</v>
      </c>
      <c r="C27" s="1193">
        <v>139046066743.94565</v>
      </c>
      <c r="D27" s="1193">
        <v>31955621816.130775</v>
      </c>
      <c r="E27" s="1193">
        <v>8427606080.653614</v>
      </c>
      <c r="F27" s="1193">
        <v>15603237718.655483</v>
      </c>
      <c r="G27" s="1194">
        <v>1103553545765.2346</v>
      </c>
      <c r="H27" s="1195"/>
    </row>
    <row r="28" spans="1:12" ht="17.25" thickBot="1" x14ac:dyDescent="0.3">
      <c r="A28" s="1202"/>
      <c r="B28" s="1203"/>
      <c r="C28" s="1204"/>
      <c r="D28" s="1204"/>
      <c r="E28" s="1204"/>
      <c r="F28" s="1204"/>
      <c r="G28" s="1205"/>
      <c r="H28" s="1195"/>
    </row>
    <row r="29" spans="1:12" s="1206" customFormat="1" ht="18.95" customHeight="1" thickTop="1" x14ac:dyDescent="0.25">
      <c r="A29" s="1206" t="s">
        <v>891</v>
      </c>
      <c r="B29" s="1207"/>
      <c r="E29" s="1208"/>
      <c r="G29" s="1207"/>
      <c r="H29" s="1207"/>
    </row>
    <row r="30" spans="1:12" s="1206" customFormat="1" ht="18.95" customHeight="1" x14ac:dyDescent="0.25">
      <c r="A30" s="1206" t="s">
        <v>892</v>
      </c>
      <c r="B30" s="1207"/>
      <c r="C30" s="1207"/>
      <c r="D30" s="1207"/>
      <c r="E30" s="1207"/>
      <c r="F30" s="1207"/>
      <c r="G30" s="1207"/>
      <c r="H30" s="1207"/>
      <c r="I30" s="1207"/>
      <c r="J30" s="1207"/>
      <c r="K30" s="1207"/>
      <c r="L30" s="1207"/>
    </row>
    <row r="31" spans="1:12" s="1206" customFormat="1" ht="18.95" customHeight="1" x14ac:dyDescent="0.25">
      <c r="A31" s="1206" t="s">
        <v>173</v>
      </c>
      <c r="B31" s="1207"/>
      <c r="C31" s="1207"/>
      <c r="D31" s="1207"/>
      <c r="E31" s="1207"/>
      <c r="F31" s="1207"/>
      <c r="G31" s="1207"/>
      <c r="H31" s="1207"/>
      <c r="I31" s="1207"/>
      <c r="J31" s="1207"/>
      <c r="K31" s="1207"/>
      <c r="L31" s="1207"/>
    </row>
    <row r="32" spans="1:12" s="1206" customFormat="1" ht="21.75" customHeight="1" x14ac:dyDescent="0.25">
      <c r="A32" s="1206" t="s">
        <v>290</v>
      </c>
      <c r="B32" s="1207"/>
      <c r="C32" s="1207"/>
      <c r="D32" s="1207"/>
      <c r="E32" s="1207"/>
      <c r="F32" s="1207"/>
      <c r="G32" s="1207"/>
    </row>
  </sheetData>
  <mergeCells count="4">
    <mergeCell ref="A3:A5"/>
    <mergeCell ref="C4:C5"/>
    <mergeCell ref="F4:F5"/>
    <mergeCell ref="G4:G5"/>
  </mergeCells>
  <printOptions horizontalCentered="1"/>
  <pageMargins left="0.75" right="0.75" top="0.75" bottom="0.75" header="0.3" footer="0"/>
  <pageSetup paperSize="9" scale="77"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BI108"/>
  <sheetViews>
    <sheetView zoomScale="90" zoomScaleNormal="90" zoomScaleSheetLayoutView="100" workbookViewId="0">
      <pane xSplit="22" ySplit="4" topLeftCell="AM36" activePane="bottomRight" state="frozen"/>
      <selection activeCell="A38" sqref="A38"/>
      <selection pane="topRight" activeCell="A38" sqref="A38"/>
      <selection pane="bottomLeft" activeCell="A38" sqref="A38"/>
      <selection pane="bottomRight" activeCell="A38" sqref="A38"/>
    </sheetView>
  </sheetViews>
  <sheetFormatPr defaultRowHeight="14.25" x14ac:dyDescent="0.2"/>
  <cols>
    <col min="1" max="1" width="56.42578125" style="1263" customWidth="1"/>
    <col min="2" max="2" width="8.42578125" style="1268" hidden="1" customWidth="1"/>
    <col min="3" max="3" width="10" style="1268" hidden="1" customWidth="1"/>
    <col min="4" max="4" width="11" style="1268" hidden="1" customWidth="1"/>
    <col min="5" max="5" width="9.5703125" style="1268" hidden="1" customWidth="1"/>
    <col min="6" max="6" width="9.42578125" style="1268" hidden="1" customWidth="1"/>
    <col min="7" max="7" width="8.5703125" style="1268" hidden="1" customWidth="1"/>
    <col min="8" max="8" width="10.85546875" style="1268" hidden="1" customWidth="1"/>
    <col min="9" max="10" width="9.5703125" style="1268" hidden="1" customWidth="1"/>
    <col min="11" max="11" width="10.28515625" style="1216" hidden="1" customWidth="1"/>
    <col min="12" max="17" width="9.28515625" style="1216" hidden="1" customWidth="1"/>
    <col min="18" max="18" width="7.5703125" style="1216" hidden="1" customWidth="1"/>
    <col min="19" max="19" width="9.28515625" style="1216" hidden="1" customWidth="1"/>
    <col min="20" max="20" width="7.5703125" style="1216" hidden="1" customWidth="1"/>
    <col min="21" max="21" width="7.5703125" style="1265" hidden="1" customWidth="1"/>
    <col min="22" max="22" width="7.85546875" style="1265" hidden="1" customWidth="1"/>
    <col min="23" max="23" width="12.7109375" style="1266" hidden="1" customWidth="1"/>
    <col min="24" max="26" width="7.5703125" style="1267" hidden="1" customWidth="1"/>
    <col min="27" max="27" width="12.7109375" style="1267" hidden="1" customWidth="1"/>
    <col min="28" max="28" width="7.5703125" style="1267" hidden="1" customWidth="1"/>
    <col min="29" max="29" width="9.28515625" style="1267" hidden="1" customWidth="1"/>
    <col min="30" max="30" width="7.5703125" style="1267" hidden="1" customWidth="1"/>
    <col min="31" max="38" width="12.7109375" style="1267" hidden="1" customWidth="1"/>
    <col min="39" max="39" width="12.7109375" style="1267" customWidth="1"/>
    <col min="40" max="42" width="12.7109375" style="1267" hidden="1" customWidth="1"/>
    <col min="43" max="47" width="12.7109375" style="1267" customWidth="1"/>
    <col min="48" max="49" width="12.5703125" style="1216" customWidth="1"/>
    <col min="50" max="52" width="12.28515625" style="1216" customWidth="1"/>
    <col min="53" max="56" width="12.85546875" style="1216" customWidth="1"/>
    <col min="57" max="57" width="12" style="1216" customWidth="1"/>
    <col min="58" max="16384" width="9.140625" style="1216"/>
  </cols>
  <sheetData>
    <row r="1" spans="1:61" s="1209" customFormat="1" ht="17.25" customHeight="1" x14ac:dyDescent="0.25">
      <c r="A1" s="3307" t="s">
        <v>5593</v>
      </c>
      <c r="B1" s="3307"/>
      <c r="C1" s="3307"/>
      <c r="D1" s="3307"/>
      <c r="E1" s="3307"/>
      <c r="F1" s="3307"/>
      <c r="G1" s="3307"/>
      <c r="H1" s="3307"/>
      <c r="I1" s="3307"/>
      <c r="J1" s="3307"/>
      <c r="K1" s="3307"/>
      <c r="L1" s="3307"/>
      <c r="M1" s="3307"/>
      <c r="N1" s="3307"/>
      <c r="O1" s="3307"/>
      <c r="P1" s="3307"/>
      <c r="Q1" s="3307"/>
      <c r="R1" s="3307"/>
      <c r="S1" s="3307"/>
      <c r="T1" s="3307"/>
      <c r="U1" s="3307"/>
      <c r="V1" s="3307"/>
      <c r="W1" s="3307"/>
      <c r="X1" s="3307"/>
      <c r="Y1" s="3307"/>
      <c r="Z1" s="3307"/>
      <c r="AA1" s="3307"/>
      <c r="AB1" s="3307"/>
      <c r="AC1" s="3307"/>
      <c r="AD1" s="3307"/>
      <c r="AE1" s="3307"/>
      <c r="AF1" s="3307"/>
      <c r="AG1" s="3307"/>
      <c r="AH1" s="3307"/>
      <c r="AI1" s="3307"/>
      <c r="AJ1" s="3307"/>
      <c r="AK1" s="3307"/>
      <c r="AL1" s="3307"/>
      <c r="AM1" s="3307"/>
      <c r="AN1" s="3307"/>
      <c r="AO1" s="3307"/>
      <c r="AP1" s="3307"/>
      <c r="AQ1" s="3307"/>
      <c r="AR1" s="3307"/>
      <c r="AS1" s="3307"/>
      <c r="AT1" s="3307"/>
      <c r="AU1" s="3307"/>
      <c r="AV1" s="3307"/>
      <c r="AW1" s="3307"/>
      <c r="AX1" s="3307"/>
      <c r="AY1" s="3307"/>
    </row>
    <row r="2" spans="1:61" s="1209" customFormat="1" ht="13.5" customHeight="1" thickBot="1" x14ac:dyDescent="0.3">
      <c r="B2" s="1210"/>
      <c r="C2" s="1210"/>
      <c r="D2" s="1210"/>
      <c r="E2" s="1210"/>
      <c r="F2" s="1210"/>
      <c r="G2" s="1210"/>
      <c r="H2" s="1210"/>
      <c r="I2" s="1210"/>
      <c r="J2" s="1210"/>
      <c r="K2" s="1210"/>
      <c r="L2" s="1210"/>
      <c r="M2" s="1210"/>
      <c r="N2" s="1210"/>
      <c r="O2" s="1210"/>
      <c r="P2" s="1210"/>
      <c r="Q2" s="1210"/>
      <c r="R2" s="1210"/>
      <c r="S2" s="1210"/>
      <c r="T2" s="1210"/>
      <c r="U2" s="1210"/>
      <c r="V2" s="1210"/>
      <c r="W2" s="1211"/>
      <c r="X2" s="1211"/>
      <c r="Y2" s="1211"/>
      <c r="Z2" s="1211"/>
      <c r="AA2" s="1211"/>
      <c r="AB2" s="1211"/>
      <c r="AC2" s="1211"/>
      <c r="AD2" s="1211"/>
      <c r="AE2" s="1211"/>
      <c r="AF2" s="1211"/>
      <c r="AG2" s="1211"/>
      <c r="AH2" s="1211"/>
      <c r="AI2" s="1211"/>
      <c r="AJ2" s="1211"/>
      <c r="AK2" s="1212"/>
      <c r="AL2" s="1212"/>
      <c r="AM2" s="1211"/>
      <c r="AP2" s="1212"/>
      <c r="AQ2" s="1212"/>
      <c r="AR2" s="1212"/>
      <c r="AS2" s="1212"/>
      <c r="AT2" s="1212"/>
      <c r="AU2" s="1212"/>
      <c r="AW2" s="1212"/>
      <c r="AY2" s="1212"/>
      <c r="BA2" s="1212"/>
      <c r="BB2" s="1212"/>
      <c r="BD2" s="1212"/>
      <c r="BE2" s="1212" t="s">
        <v>35</v>
      </c>
    </row>
    <row r="3" spans="1:61" s="1214" customFormat="1" ht="16.5" customHeight="1" x14ac:dyDescent="0.3">
      <c r="A3" s="3308" t="s">
        <v>893</v>
      </c>
      <c r="B3" s="1213">
        <v>39873</v>
      </c>
      <c r="C3" s="1213">
        <v>39965</v>
      </c>
      <c r="D3" s="1213">
        <v>40057</v>
      </c>
      <c r="E3" s="1213">
        <v>40148</v>
      </c>
      <c r="F3" s="1213">
        <v>40238</v>
      </c>
      <c r="G3" s="1213">
        <v>40330</v>
      </c>
      <c r="H3" s="1213">
        <v>40422</v>
      </c>
      <c r="I3" s="1213">
        <v>40513</v>
      </c>
      <c r="J3" s="1213">
        <v>40603</v>
      </c>
      <c r="K3" s="1213">
        <v>40695</v>
      </c>
      <c r="L3" s="1213">
        <v>40787</v>
      </c>
      <c r="M3" s="1213">
        <v>40878</v>
      </c>
      <c r="N3" s="1213">
        <v>40969</v>
      </c>
      <c r="O3" s="1213">
        <v>41061</v>
      </c>
      <c r="P3" s="1213">
        <v>41153</v>
      </c>
      <c r="Q3" s="1213">
        <v>41244</v>
      </c>
      <c r="R3" s="1213">
        <v>41334</v>
      </c>
      <c r="S3" s="1213">
        <v>41426</v>
      </c>
      <c r="T3" s="1213">
        <v>41518</v>
      </c>
      <c r="U3" s="1213">
        <v>41609</v>
      </c>
      <c r="V3" s="3310">
        <v>41883</v>
      </c>
      <c r="W3" s="3306">
        <v>41974</v>
      </c>
      <c r="X3" s="3306">
        <v>42064</v>
      </c>
      <c r="Y3" s="3306">
        <v>42157</v>
      </c>
      <c r="Z3" s="3306">
        <v>42250</v>
      </c>
      <c r="AA3" s="3306">
        <v>42339</v>
      </c>
      <c r="AB3" s="3306">
        <v>42430</v>
      </c>
      <c r="AC3" s="3306">
        <v>42523</v>
      </c>
      <c r="AD3" s="3306">
        <v>42616</v>
      </c>
      <c r="AE3" s="3306">
        <v>42708</v>
      </c>
      <c r="AF3" s="3306">
        <v>42795</v>
      </c>
      <c r="AG3" s="3306">
        <v>42887</v>
      </c>
      <c r="AH3" s="3306">
        <v>42979</v>
      </c>
      <c r="AI3" s="3306">
        <v>43070</v>
      </c>
      <c r="AJ3" s="3306">
        <v>43160</v>
      </c>
      <c r="AK3" s="3300" t="s">
        <v>894</v>
      </c>
      <c r="AL3" s="3300" t="s">
        <v>895</v>
      </c>
      <c r="AM3" s="3300" t="s">
        <v>896</v>
      </c>
      <c r="AN3" s="3300" t="s">
        <v>897</v>
      </c>
      <c r="AO3" s="3300" t="s">
        <v>468</v>
      </c>
      <c r="AP3" s="3300" t="s">
        <v>898</v>
      </c>
      <c r="AQ3" s="3300" t="s">
        <v>899</v>
      </c>
      <c r="AR3" s="3300" t="s">
        <v>900</v>
      </c>
      <c r="AS3" s="3300" t="s">
        <v>313</v>
      </c>
      <c r="AT3" s="3300" t="s">
        <v>316</v>
      </c>
      <c r="AU3" s="3300">
        <v>44166</v>
      </c>
      <c r="AV3" s="3300">
        <v>44256</v>
      </c>
      <c r="AW3" s="3300">
        <v>44349</v>
      </c>
      <c r="AX3" s="3300">
        <v>44441</v>
      </c>
      <c r="AY3" s="3300" t="s">
        <v>901</v>
      </c>
      <c r="AZ3" s="3300" t="s">
        <v>902</v>
      </c>
      <c r="BA3" s="3300" t="s">
        <v>903</v>
      </c>
      <c r="BB3" s="3300" t="s">
        <v>904</v>
      </c>
      <c r="BC3" s="3300" t="s">
        <v>905</v>
      </c>
      <c r="BD3" s="3300" t="s">
        <v>906</v>
      </c>
      <c r="BE3" s="3300" t="s">
        <v>5594</v>
      </c>
    </row>
    <row r="4" spans="1:61" ht="9.75" customHeight="1" thickBot="1" x14ac:dyDescent="0.35">
      <c r="A4" s="3309"/>
      <c r="B4" s="1215"/>
      <c r="C4" s="1215"/>
      <c r="D4" s="1215"/>
      <c r="E4" s="1215"/>
      <c r="F4" s="1215"/>
      <c r="G4" s="1215"/>
      <c r="H4" s="1215"/>
      <c r="I4" s="1215"/>
      <c r="J4" s="1215"/>
      <c r="K4" s="1215"/>
      <c r="L4" s="1215"/>
      <c r="M4" s="1215"/>
      <c r="N4" s="1215"/>
      <c r="O4" s="1215"/>
      <c r="P4" s="1215"/>
      <c r="Q4" s="1215"/>
      <c r="R4" s="1215"/>
      <c r="S4" s="1215"/>
      <c r="T4" s="1215"/>
      <c r="U4" s="1215"/>
      <c r="V4" s="3311"/>
      <c r="W4" s="3301"/>
      <c r="X4" s="3301"/>
      <c r="Y4" s="3301"/>
      <c r="Z4" s="3301"/>
      <c r="AA4" s="3301"/>
      <c r="AB4" s="3301"/>
      <c r="AC4" s="3301"/>
      <c r="AD4" s="3301"/>
      <c r="AE4" s="3301"/>
      <c r="AF4" s="3301"/>
      <c r="AG4" s="3301"/>
      <c r="AH4" s="3301"/>
      <c r="AI4" s="3301"/>
      <c r="AJ4" s="3301"/>
      <c r="AK4" s="3301"/>
      <c r="AL4" s="3301"/>
      <c r="AM4" s="3301"/>
      <c r="AN4" s="3301"/>
      <c r="AO4" s="3301"/>
      <c r="AP4" s="3301"/>
      <c r="AQ4" s="3301"/>
      <c r="AR4" s="3301"/>
      <c r="AS4" s="3301"/>
      <c r="AT4" s="3301"/>
      <c r="AU4" s="3301"/>
      <c r="AV4" s="3301"/>
      <c r="AW4" s="3301"/>
      <c r="AX4" s="3301"/>
      <c r="AY4" s="3301"/>
      <c r="AZ4" s="3301"/>
      <c r="BA4" s="3301"/>
      <c r="BB4" s="3301"/>
      <c r="BC4" s="3301"/>
      <c r="BD4" s="3301"/>
      <c r="BE4" s="3301"/>
    </row>
    <row r="5" spans="1:61" s="1222" customFormat="1" ht="17.25" x14ac:dyDescent="0.3">
      <c r="A5" s="1217" t="s">
        <v>907</v>
      </c>
      <c r="B5" s="1218"/>
      <c r="C5" s="1218"/>
      <c r="D5" s="1218"/>
      <c r="E5" s="1218"/>
      <c r="F5" s="1218"/>
      <c r="G5" s="1218"/>
      <c r="H5" s="1218"/>
      <c r="I5" s="1218"/>
      <c r="J5" s="1218"/>
      <c r="K5" s="1218"/>
      <c r="L5" s="1218"/>
      <c r="M5" s="1218"/>
      <c r="N5" s="1218"/>
      <c r="O5" s="1218"/>
      <c r="P5" s="1218"/>
      <c r="Q5" s="1218"/>
      <c r="R5" s="1218"/>
      <c r="S5" s="1218"/>
      <c r="T5" s="1218"/>
      <c r="U5" s="1218"/>
      <c r="V5" s="1219"/>
      <c r="W5" s="1220"/>
      <c r="X5" s="1220"/>
      <c r="Y5" s="1220"/>
      <c r="Z5" s="1220"/>
      <c r="AA5" s="1221"/>
      <c r="AB5" s="1220"/>
      <c r="AC5" s="1220"/>
      <c r="AD5" s="1220"/>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row>
    <row r="6" spans="1:61" ht="17.25" x14ac:dyDescent="0.3">
      <c r="A6" s="1223" t="s">
        <v>908</v>
      </c>
      <c r="B6" s="1224">
        <v>0.1718676367942365</v>
      </c>
      <c r="C6" s="1224">
        <v>0.15997964794204753</v>
      </c>
      <c r="D6" s="1224">
        <v>0.153</v>
      </c>
      <c r="E6" s="1224">
        <v>0.154</v>
      </c>
      <c r="F6" s="1224">
        <v>0.16700000000000001</v>
      </c>
      <c r="G6" s="1224">
        <v>0.16549926722586525</v>
      </c>
      <c r="H6" s="1224">
        <v>0.1591182920756036</v>
      </c>
      <c r="I6" s="1224">
        <v>0.157946867635543</v>
      </c>
      <c r="J6" s="1224">
        <v>0.17243388831771284</v>
      </c>
      <c r="K6" s="1224">
        <v>0.16285419143411595</v>
      </c>
      <c r="L6" s="1224">
        <v>0.15829854881621278</v>
      </c>
      <c r="M6" s="1224">
        <v>0.156</v>
      </c>
      <c r="N6" s="1224">
        <v>0.16</v>
      </c>
      <c r="O6" s="1224">
        <v>0.16435170105853492</v>
      </c>
      <c r="P6" s="1224">
        <v>0.17203186507637383</v>
      </c>
      <c r="Q6" s="1224">
        <v>0.17090056720664193</v>
      </c>
      <c r="R6" s="1224">
        <v>0.17430335722370124</v>
      </c>
      <c r="S6" s="1224">
        <v>0.16400000000000001</v>
      </c>
      <c r="T6" s="1224">
        <v>0.16900000000000001</v>
      </c>
      <c r="U6" s="1224">
        <v>0.17299999999999999</v>
      </c>
      <c r="V6" s="1225">
        <v>0.17508264034499557</v>
      </c>
      <c r="W6" s="1226">
        <v>17.079466277427397</v>
      </c>
      <c r="X6" s="1226">
        <v>17.740151884661529</v>
      </c>
      <c r="Y6" s="1226">
        <v>17.599999999999998</v>
      </c>
      <c r="Z6" s="1226">
        <v>18.2</v>
      </c>
      <c r="AA6" s="1226">
        <v>18.383057849063054</v>
      </c>
      <c r="AB6" s="1226">
        <v>18.675117348055888</v>
      </c>
      <c r="AC6" s="1226">
        <v>18.201865156654755</v>
      </c>
      <c r="AD6" s="1226">
        <v>18.18107339782329</v>
      </c>
      <c r="AE6" s="1226">
        <v>18.234977514011121</v>
      </c>
      <c r="AF6" s="1226">
        <v>18.478099253170633</v>
      </c>
      <c r="AG6" s="1226">
        <v>18.600000000000001</v>
      </c>
      <c r="AH6" s="1226">
        <v>18.2</v>
      </c>
      <c r="AI6" s="1226">
        <v>18.600000000000001</v>
      </c>
      <c r="AJ6" s="1226">
        <v>18.600000000000001</v>
      </c>
      <c r="AK6" s="1226">
        <v>18</v>
      </c>
      <c r="AL6" s="1226">
        <v>18.398676813123199</v>
      </c>
      <c r="AM6" s="1226">
        <v>19.243484012944851</v>
      </c>
      <c r="AN6" s="1226">
        <v>19.546290927550068</v>
      </c>
      <c r="AO6" s="1226">
        <v>19.98532855093838</v>
      </c>
      <c r="AP6" s="1226">
        <v>19.837974262374257</v>
      </c>
      <c r="AQ6" s="1227">
        <v>19.600371347647538</v>
      </c>
      <c r="AR6" s="1226">
        <v>19.294394145716151</v>
      </c>
      <c r="AS6" s="1226">
        <v>20.360962428295718</v>
      </c>
      <c r="AT6" s="1226">
        <v>19.880611409676508</v>
      </c>
      <c r="AU6" s="1226">
        <v>19.707844948950726</v>
      </c>
      <c r="AV6" s="1226">
        <v>19.752002668590912</v>
      </c>
      <c r="AW6" s="1226">
        <v>19.7</v>
      </c>
      <c r="AX6" s="1226">
        <v>20.7</v>
      </c>
      <c r="AY6" s="1226">
        <v>20.7</v>
      </c>
      <c r="AZ6" s="1226">
        <v>21</v>
      </c>
      <c r="BA6" s="1226">
        <v>20.3</v>
      </c>
      <c r="BB6" s="1226">
        <v>20.2</v>
      </c>
      <c r="BC6" s="1226">
        <v>20.6</v>
      </c>
      <c r="BD6" s="1226">
        <v>21.4</v>
      </c>
      <c r="BE6" s="1226">
        <v>20.896143552949127</v>
      </c>
    </row>
    <row r="7" spans="1:61" ht="17.25" x14ac:dyDescent="0.3">
      <c r="A7" s="1223" t="s">
        <v>909</v>
      </c>
      <c r="B7" s="1224">
        <v>0.15055686147138789</v>
      </c>
      <c r="C7" s="1224">
        <v>0.13834498252886165</v>
      </c>
      <c r="D7" s="1224">
        <v>0.13206883192338364</v>
      </c>
      <c r="E7" s="1224">
        <v>0.13257567692621144</v>
      </c>
      <c r="F7" s="1224">
        <v>0.14600174663236906</v>
      </c>
      <c r="G7" s="1224">
        <v>0.1423335452646744</v>
      </c>
      <c r="H7" s="1224">
        <v>0.13647953285407111</v>
      </c>
      <c r="I7" s="1224">
        <v>0.13638936851998498</v>
      </c>
      <c r="J7" s="1224">
        <v>0.15014960288428036</v>
      </c>
      <c r="K7" s="1224">
        <v>0.14085991820948748</v>
      </c>
      <c r="L7" s="1224">
        <v>0.13806515998901453</v>
      </c>
      <c r="M7" s="1224">
        <v>0.13900000000000001</v>
      </c>
      <c r="N7" s="1224">
        <v>0.14499999999999999</v>
      </c>
      <c r="O7" s="1224">
        <v>0.15037147410328416</v>
      </c>
      <c r="P7" s="1224">
        <v>0.15749874257434712</v>
      </c>
      <c r="Q7" s="1224">
        <v>0.15521270336226159</v>
      </c>
      <c r="R7" s="1224">
        <v>0.15935757455659602</v>
      </c>
      <c r="S7" s="1224">
        <v>0.15</v>
      </c>
      <c r="T7" s="1224">
        <v>0.14799999999999999</v>
      </c>
      <c r="U7" s="1224">
        <v>0.151</v>
      </c>
      <c r="V7" s="1225">
        <v>0.15122846815962562</v>
      </c>
      <c r="W7" s="1226">
        <v>15.121041423645831</v>
      </c>
      <c r="X7" s="1226">
        <v>15.369758545732349</v>
      </c>
      <c r="Y7" s="1226">
        <v>15.2</v>
      </c>
      <c r="Z7" s="1226">
        <v>16.600000000000001</v>
      </c>
      <c r="AA7" s="1226">
        <v>16.977039339356185</v>
      </c>
      <c r="AB7" s="1226">
        <v>17.241235556886664</v>
      </c>
      <c r="AC7" s="1226">
        <v>16.53574933076268</v>
      </c>
      <c r="AD7" s="1226">
        <v>16.562261888658959</v>
      </c>
      <c r="AE7" s="1226">
        <v>16.664238987111755</v>
      </c>
      <c r="AF7" s="1226">
        <v>16.935946304592171</v>
      </c>
      <c r="AG7" s="1226">
        <v>17.2</v>
      </c>
      <c r="AH7" s="1226">
        <v>16.8</v>
      </c>
      <c r="AI7" s="1226">
        <v>17.299999999999997</v>
      </c>
      <c r="AJ7" s="1226">
        <v>17.2</v>
      </c>
      <c r="AK7" s="1226">
        <v>16.7</v>
      </c>
      <c r="AL7" s="1226">
        <v>17.055065710101662</v>
      </c>
      <c r="AM7" s="1226">
        <v>17.867932104146984</v>
      </c>
      <c r="AN7" s="1226">
        <v>18.162603154807112</v>
      </c>
      <c r="AO7" s="1226">
        <v>18.524051642907786</v>
      </c>
      <c r="AP7" s="1226">
        <v>18.444901394979841</v>
      </c>
      <c r="AQ7" s="1227">
        <v>18.21484157642093</v>
      </c>
      <c r="AR7" s="1226">
        <v>18.021312422135612</v>
      </c>
      <c r="AS7" s="1226">
        <v>19.022911522605384</v>
      </c>
      <c r="AT7" s="1226">
        <v>18.520278174427229</v>
      </c>
      <c r="AU7" s="1226">
        <v>18.337569014559815</v>
      </c>
      <c r="AV7" s="1226">
        <v>18.404464005233415</v>
      </c>
      <c r="AW7" s="1226">
        <v>18.3</v>
      </c>
      <c r="AX7" s="1226">
        <v>19.399999999999999</v>
      </c>
      <c r="AY7" s="1226">
        <v>19.399999999999999</v>
      </c>
      <c r="AZ7" s="1226">
        <v>19.8</v>
      </c>
      <c r="BA7" s="1227">
        <v>19.100000000000001</v>
      </c>
      <c r="BB7" s="1226">
        <v>18.899999999999999</v>
      </c>
      <c r="BC7" s="1226">
        <v>19.3</v>
      </c>
      <c r="BD7" s="1226">
        <v>19.5</v>
      </c>
      <c r="BE7" s="1226">
        <v>19.019350950233719</v>
      </c>
    </row>
    <row r="8" spans="1:61" ht="17.25" x14ac:dyDescent="0.3">
      <c r="A8" s="1223" t="s">
        <v>910</v>
      </c>
      <c r="B8" s="1224">
        <v>0.10140426111429046</v>
      </c>
      <c r="C8" s="1224">
        <v>0.10589471241226837</v>
      </c>
      <c r="D8" s="1224">
        <v>0.11068489597478232</v>
      </c>
      <c r="E8" s="1224">
        <v>0.13420253822556999</v>
      </c>
      <c r="F8" s="1224">
        <v>8.1405968067922219E-2</v>
      </c>
      <c r="G8" s="1224">
        <v>7.5999999999999998E-2</v>
      </c>
      <c r="H8" s="1224">
        <v>8.617944059955579E-2</v>
      </c>
      <c r="I8" s="1224">
        <v>9.1381504838376093E-2</v>
      </c>
      <c r="J8" s="1224">
        <v>8.2010890852598411E-2</v>
      </c>
      <c r="K8" s="1224">
        <v>9.6056694525205336E-2</v>
      </c>
      <c r="L8" s="1224">
        <v>9.6426830122635337E-2</v>
      </c>
      <c r="M8" s="1224">
        <v>0.109</v>
      </c>
      <c r="N8" s="1224">
        <v>0.107</v>
      </c>
      <c r="O8" s="1224">
        <v>0.15815332093148349</v>
      </c>
      <c r="P8" s="1224">
        <v>0.14694991323370413</v>
      </c>
      <c r="Q8" s="1224">
        <v>0.12407532303703329</v>
      </c>
      <c r="R8" s="1224">
        <v>0.11825260073262621</v>
      </c>
      <c r="S8" s="1224">
        <v>0.13</v>
      </c>
      <c r="T8" s="1224">
        <v>0.129</v>
      </c>
      <c r="U8" s="1224">
        <v>0.127</v>
      </c>
      <c r="V8" s="1225">
        <v>0.1221773840544107</v>
      </c>
      <c r="W8" s="1226">
        <v>16.446667143528636</v>
      </c>
      <c r="X8" s="1226">
        <v>16.411092890645577</v>
      </c>
      <c r="Y8" s="1226">
        <v>17.8</v>
      </c>
      <c r="Z8" s="1226">
        <v>17.899999999999999</v>
      </c>
      <c r="AA8" s="1226">
        <v>19.106987017216934</v>
      </c>
      <c r="AB8" s="1226">
        <v>18.707460028369997</v>
      </c>
      <c r="AC8" s="1226">
        <v>18.505255305394439</v>
      </c>
      <c r="AD8" s="1226">
        <v>18.688264715851261</v>
      </c>
      <c r="AE8" s="1226">
        <v>18.665572688503023</v>
      </c>
      <c r="AF8" s="1226">
        <v>19.275934037268701</v>
      </c>
      <c r="AG8" s="1226">
        <v>18</v>
      </c>
      <c r="AH8" s="1226">
        <v>18.3</v>
      </c>
      <c r="AI8" s="1226">
        <v>16.600000000000001</v>
      </c>
      <c r="AJ8" s="1226">
        <v>15.6</v>
      </c>
      <c r="AK8" s="1226">
        <v>14.3</v>
      </c>
      <c r="AL8" s="1226">
        <v>9.9073415848788198</v>
      </c>
      <c r="AM8" s="1226">
        <v>13.894017800239904</v>
      </c>
      <c r="AN8" s="1226">
        <v>12.987379307258815</v>
      </c>
      <c r="AO8" s="1226">
        <v>12.687120676440983</v>
      </c>
      <c r="AP8" s="1226">
        <v>11.541547614822806</v>
      </c>
      <c r="AQ8" s="1227">
        <v>10.397266259056606</v>
      </c>
      <c r="AR8" s="1226">
        <v>11.482813013192354</v>
      </c>
      <c r="AS8" s="1226">
        <v>12.220372398420672</v>
      </c>
      <c r="AT8" s="1226">
        <v>11.135984273161625</v>
      </c>
      <c r="AU8" s="1226">
        <v>10.213019762269575</v>
      </c>
      <c r="AV8" s="1226">
        <v>10.564795482922449</v>
      </c>
      <c r="AW8" s="1226">
        <v>8.1999999999999993</v>
      </c>
      <c r="AX8" s="1226">
        <v>7.6</v>
      </c>
      <c r="AY8" s="1226">
        <v>8.9</v>
      </c>
      <c r="AZ8" s="1226">
        <v>9.1999999999999993</v>
      </c>
      <c r="BA8" s="1226">
        <v>8.8000000000000007</v>
      </c>
      <c r="BB8" s="1226">
        <v>8.4</v>
      </c>
      <c r="BC8" s="1226">
        <v>8.3000000000000007</v>
      </c>
      <c r="BD8" s="1226">
        <v>8.1</v>
      </c>
      <c r="BE8" s="1226">
        <v>10.305245316075283</v>
      </c>
    </row>
    <row r="9" spans="1:61" ht="15.75" customHeight="1" x14ac:dyDescent="0.3">
      <c r="A9" s="1223" t="s">
        <v>911</v>
      </c>
      <c r="B9" s="1224">
        <v>0.8239611283071826</v>
      </c>
      <c r="C9" s="1224">
        <v>1.4373029210939954</v>
      </c>
      <c r="D9" s="1224">
        <v>1.6411025237915049</v>
      </c>
      <c r="E9" s="1224">
        <v>2.0360524518371519</v>
      </c>
      <c r="F9" s="1224">
        <v>2.5552436349246372</v>
      </c>
      <c r="G9" s="1224"/>
      <c r="H9" s="1224"/>
      <c r="I9" s="1224"/>
      <c r="J9" s="1224"/>
      <c r="K9" s="1224"/>
      <c r="L9" s="1224"/>
      <c r="M9" s="1224"/>
      <c r="N9" s="1224"/>
      <c r="O9" s="1224"/>
      <c r="P9" s="1224"/>
      <c r="Q9" s="1224"/>
      <c r="R9" s="1224"/>
      <c r="S9" s="1224"/>
      <c r="T9" s="1224"/>
      <c r="U9" s="1224"/>
      <c r="V9" s="1225"/>
      <c r="W9" s="1228"/>
      <c r="X9" s="1228"/>
      <c r="Y9" s="1228"/>
      <c r="Z9" s="1228"/>
      <c r="AA9" s="1229"/>
      <c r="AB9" s="1228"/>
      <c r="AC9" s="1228"/>
      <c r="AD9" s="1228"/>
      <c r="AE9" s="1229"/>
      <c r="AF9" s="1229"/>
      <c r="AG9" s="1229"/>
      <c r="AH9" s="1229"/>
      <c r="AI9" s="1229"/>
      <c r="AJ9" s="1229"/>
      <c r="AK9" s="1229"/>
      <c r="AL9" s="1229"/>
      <c r="AM9" s="1230">
        <v>15.419434046967629</v>
      </c>
      <c r="AN9" s="1230">
        <v>15.736934923679685</v>
      </c>
      <c r="AO9" s="1230">
        <v>16.055525337084532</v>
      </c>
      <c r="AP9" s="1230">
        <v>15.957909748217366</v>
      </c>
      <c r="AQ9" s="1230">
        <v>15.816846588005468</v>
      </c>
      <c r="AR9" s="1230">
        <v>15.909762076959217</v>
      </c>
      <c r="AS9" s="1230">
        <v>16.826725965665311</v>
      </c>
      <c r="AT9" s="1230">
        <v>16.233547240808992</v>
      </c>
      <c r="AU9" s="1230">
        <v>16.171003414943062</v>
      </c>
      <c r="AV9" s="1230">
        <v>16.287276540183854</v>
      </c>
      <c r="AW9" s="1230">
        <v>16.245787232136632</v>
      </c>
      <c r="AX9" s="1230">
        <v>17.192049556701477</v>
      </c>
      <c r="AY9" s="1229">
        <v>19</v>
      </c>
      <c r="AZ9" s="1229">
        <v>19.399999999999999</v>
      </c>
      <c r="BA9" s="1230">
        <v>18.7</v>
      </c>
      <c r="BB9" s="1229">
        <v>18.600000000000001</v>
      </c>
      <c r="BC9" s="1229">
        <v>19</v>
      </c>
      <c r="BD9" s="1229">
        <v>19.2</v>
      </c>
      <c r="BE9" s="1229">
        <v>18.685975331183691</v>
      </c>
    </row>
    <row r="10" spans="1:61" ht="15.75" customHeight="1" x14ac:dyDescent="0.3">
      <c r="A10" s="1223" t="s">
        <v>912</v>
      </c>
      <c r="B10" s="1224">
        <v>0.87272071449793776</v>
      </c>
      <c r="C10" s="1224">
        <v>1.4515986239049474</v>
      </c>
      <c r="D10" s="1224">
        <v>1.660813683255403</v>
      </c>
      <c r="E10" s="1224">
        <v>2.0554942301869499</v>
      </c>
      <c r="F10" s="1224">
        <v>2.5590518499363855</v>
      </c>
      <c r="G10" s="1224"/>
      <c r="H10" s="1224"/>
      <c r="I10" s="1224"/>
      <c r="J10" s="1224"/>
      <c r="K10" s="1224"/>
      <c r="L10" s="1224"/>
      <c r="M10" s="1224"/>
      <c r="N10" s="1224"/>
      <c r="O10" s="1224"/>
      <c r="P10" s="1224"/>
      <c r="Q10" s="1224"/>
      <c r="R10" s="1224"/>
      <c r="S10" s="1224"/>
      <c r="T10" s="1224"/>
      <c r="U10" s="1224"/>
      <c r="V10" s="1225"/>
      <c r="W10" s="1228"/>
      <c r="X10" s="1228"/>
      <c r="Y10" s="1228"/>
      <c r="Z10" s="1228"/>
      <c r="AA10" s="1229"/>
      <c r="AB10" s="1228"/>
      <c r="AC10" s="1228"/>
      <c r="AD10" s="1228"/>
      <c r="AE10" s="1229"/>
      <c r="AF10" s="1229"/>
      <c r="AG10" s="1229"/>
      <c r="AH10" s="1229"/>
      <c r="AI10" s="1229"/>
      <c r="AJ10" s="1229"/>
      <c r="AK10" s="1229"/>
      <c r="AL10" s="1229"/>
      <c r="AM10" s="1230">
        <v>10.371869346343265</v>
      </c>
      <c r="AN10" s="1230">
        <v>10.398507738431483</v>
      </c>
      <c r="AO10" s="1230">
        <v>10.462456288453611</v>
      </c>
      <c r="AP10" s="1230">
        <v>10.374658414867778</v>
      </c>
      <c r="AQ10" s="1230">
        <v>10.186960017771733</v>
      </c>
      <c r="AR10" s="1230">
        <v>9.9814555649852039</v>
      </c>
      <c r="AS10" s="1230">
        <v>9.7884393268759524</v>
      </c>
      <c r="AT10" s="1230">
        <v>9.4263857434316289</v>
      </c>
      <c r="AU10" s="1230">
        <v>9.6128254520664331</v>
      </c>
      <c r="AV10" s="1230">
        <v>9.2289374105997002</v>
      </c>
      <c r="AW10" s="1230">
        <v>9.0539460448333386</v>
      </c>
      <c r="AX10" s="1230">
        <v>9.2007874362734228</v>
      </c>
      <c r="AY10" s="1229">
        <v>9.1</v>
      </c>
      <c r="AZ10" s="1229">
        <v>9.1999999999999993</v>
      </c>
      <c r="BA10" s="1229">
        <v>9.1</v>
      </c>
      <c r="BB10" s="1229">
        <v>8.8000000000000007</v>
      </c>
      <c r="BC10" s="1229">
        <v>9</v>
      </c>
      <c r="BD10" s="1229">
        <v>9.1999999999999993</v>
      </c>
      <c r="BE10" s="1229">
        <v>9.2808696681307055</v>
      </c>
    </row>
    <row r="11" spans="1:61" ht="17.25" x14ac:dyDescent="0.3">
      <c r="A11" s="1223"/>
      <c r="B11" s="1224"/>
      <c r="C11" s="1224"/>
      <c r="D11" s="1224"/>
      <c r="E11" s="1224"/>
      <c r="F11" s="1224"/>
      <c r="G11" s="1224"/>
      <c r="H11" s="1224"/>
      <c r="I11" s="1224"/>
      <c r="J11" s="1224"/>
      <c r="K11" s="1224"/>
      <c r="L11" s="1224"/>
      <c r="M11" s="1224"/>
      <c r="N11" s="1224"/>
      <c r="O11" s="1224"/>
      <c r="P11" s="1224"/>
      <c r="Q11" s="1224"/>
      <c r="R11" s="1224"/>
      <c r="S11" s="1224"/>
      <c r="T11" s="1224"/>
      <c r="U11" s="1224"/>
      <c r="V11" s="1225"/>
      <c r="W11" s="1228"/>
      <c r="X11" s="1228"/>
      <c r="Y11" s="1228"/>
      <c r="Z11" s="1228"/>
      <c r="AA11" s="1229"/>
      <c r="AB11" s="1228"/>
      <c r="AC11" s="1228"/>
      <c r="AD11" s="1228"/>
      <c r="AE11" s="1229"/>
      <c r="AF11" s="1229"/>
      <c r="AG11" s="1229"/>
      <c r="AH11" s="1229"/>
      <c r="AI11" s="1229"/>
      <c r="AJ11" s="1229"/>
      <c r="AK11" s="1229"/>
      <c r="AL11" s="1229"/>
      <c r="AM11" s="1229"/>
      <c r="AN11" s="1229"/>
      <c r="AO11" s="1229"/>
      <c r="AP11" s="1229"/>
      <c r="AQ11" s="1229"/>
      <c r="AR11" s="1229"/>
      <c r="AS11" s="1229"/>
      <c r="AT11" s="1229"/>
      <c r="AU11" s="1229"/>
      <c r="AV11" s="1229"/>
      <c r="AW11" s="1229"/>
      <c r="AX11" s="1229"/>
      <c r="AY11" s="1229"/>
      <c r="AZ11" s="1229"/>
      <c r="BA11" s="1229"/>
      <c r="BB11" s="1229"/>
      <c r="BC11" s="1229"/>
      <c r="BD11" s="1229"/>
      <c r="BE11" s="1229"/>
    </row>
    <row r="12" spans="1:61" s="1222" customFormat="1" ht="17.25" x14ac:dyDescent="0.3">
      <c r="A12" s="1231" t="s">
        <v>913</v>
      </c>
      <c r="B12" s="1224"/>
      <c r="C12" s="1224"/>
      <c r="D12" s="1224"/>
      <c r="E12" s="1224"/>
      <c r="F12" s="1224"/>
      <c r="G12" s="1224"/>
      <c r="H12" s="1224"/>
      <c r="I12" s="1224"/>
      <c r="J12" s="1224"/>
      <c r="K12" s="1224"/>
      <c r="L12" s="1224"/>
      <c r="M12" s="1224"/>
      <c r="N12" s="1224"/>
      <c r="O12" s="1224"/>
      <c r="P12" s="1224"/>
      <c r="Q12" s="1224"/>
      <c r="R12" s="1224"/>
      <c r="S12" s="1224"/>
      <c r="T12" s="1224"/>
      <c r="U12" s="1224"/>
      <c r="V12" s="1225"/>
      <c r="W12" s="1228"/>
      <c r="X12" s="1228"/>
      <c r="Y12" s="1228"/>
      <c r="Z12" s="1228"/>
      <c r="AA12" s="1229"/>
      <c r="AB12" s="1228"/>
      <c r="AC12" s="1228"/>
      <c r="AD12" s="1228"/>
      <c r="AE12" s="1229"/>
      <c r="AF12" s="1229"/>
      <c r="AG12" s="1229"/>
      <c r="AH12" s="1229"/>
      <c r="AI12" s="1229"/>
      <c r="AJ12" s="1229"/>
      <c r="AK12" s="1229"/>
      <c r="AL12" s="1229"/>
      <c r="AM12" s="1229"/>
      <c r="AN12" s="1229"/>
      <c r="AO12" s="1229"/>
      <c r="AP12" s="1229"/>
      <c r="AQ12" s="1229"/>
      <c r="AR12" s="1229"/>
      <c r="AS12" s="1229"/>
      <c r="AT12" s="1229"/>
      <c r="AU12" s="1229"/>
      <c r="AV12" s="1229"/>
      <c r="AW12" s="1229"/>
      <c r="AX12" s="1229"/>
      <c r="AY12" s="1229"/>
      <c r="AZ12" s="1229"/>
      <c r="BA12" s="1229"/>
      <c r="BB12" s="1229"/>
      <c r="BC12" s="1229"/>
      <c r="BD12" s="1229"/>
      <c r="BE12" s="1229"/>
    </row>
    <row r="13" spans="1:61" s="1233" customFormat="1" ht="17.25" x14ac:dyDescent="0.3">
      <c r="A13" s="1232" t="s">
        <v>914</v>
      </c>
      <c r="B13" s="1224">
        <v>2.5197925557508143E-2</v>
      </c>
      <c r="C13" s="1224">
        <v>2.6045615462957972E-2</v>
      </c>
      <c r="D13" s="1224">
        <v>2.6486309631902225E-2</v>
      </c>
      <c r="E13" s="1224">
        <v>3.2924285771855202E-2</v>
      </c>
      <c r="F13" s="1224">
        <v>2.7363296386452005E-2</v>
      </c>
      <c r="G13" s="1224">
        <v>2.4065356759438657E-2</v>
      </c>
      <c r="H13" s="1224">
        <v>2.5049885804074492E-2</v>
      </c>
      <c r="I13" s="1224">
        <v>2.7651856071952099E-2</v>
      </c>
      <c r="J13" s="1224">
        <v>2.7561775187051701E-2</v>
      </c>
      <c r="K13" s="1224">
        <v>2.6164216840683992E-2</v>
      </c>
      <c r="L13" s="1224">
        <v>2.6373536194376886E-2</v>
      </c>
      <c r="M13" s="1224">
        <v>2.8000000000000001E-2</v>
      </c>
      <c r="N13" s="1224">
        <v>0.03</v>
      </c>
      <c r="O13" s="1224">
        <v>3.7556230260331717E-2</v>
      </c>
      <c r="P13" s="1224">
        <v>3.7761912444048883E-2</v>
      </c>
      <c r="Q13" s="1224">
        <v>3.6370789830943655E-2</v>
      </c>
      <c r="R13" s="1224">
        <v>3.8731735604897399E-2</v>
      </c>
      <c r="S13" s="1224">
        <v>0.04</v>
      </c>
      <c r="T13" s="1224">
        <v>4.1000000000000002E-2</v>
      </c>
      <c r="U13" s="1224">
        <v>4.2000000000000003E-2</v>
      </c>
      <c r="V13" s="1225">
        <v>4.4704044487761899E-2</v>
      </c>
      <c r="W13" s="1226">
        <v>4.9197505521158353</v>
      </c>
      <c r="X13" s="1226">
        <v>5.0754037081381709</v>
      </c>
      <c r="Y13" s="1226">
        <v>5.8000000000000007</v>
      </c>
      <c r="Z13" s="1226">
        <v>7.0000000000000009</v>
      </c>
      <c r="AA13" s="1226">
        <v>7.1953207801947094</v>
      </c>
      <c r="AB13" s="1226">
        <v>7.8326598836997245</v>
      </c>
      <c r="AC13" s="1226">
        <v>7.96090474918556</v>
      </c>
      <c r="AD13" s="1226">
        <v>7.9661725546600737</v>
      </c>
      <c r="AE13" s="1226">
        <v>7.7566016498368402</v>
      </c>
      <c r="AF13" s="1226">
        <v>7.8821384670888035</v>
      </c>
      <c r="AG13" s="1226">
        <v>7.8</v>
      </c>
      <c r="AH13" s="1226">
        <v>7.8</v>
      </c>
      <c r="AI13" s="1226">
        <v>7.0000000000000009</v>
      </c>
      <c r="AJ13" s="1226">
        <v>7.2</v>
      </c>
      <c r="AK13" s="1226">
        <v>6.85</v>
      </c>
      <c r="AL13" s="1226">
        <v>5.3421374731891733</v>
      </c>
      <c r="AM13" s="1226">
        <v>6.521304404860345</v>
      </c>
      <c r="AN13" s="1226">
        <v>6.2709373919024118</v>
      </c>
      <c r="AO13" s="1226">
        <v>6.2569253530058333</v>
      </c>
      <c r="AP13" s="1226">
        <v>5.8247478940608319</v>
      </c>
      <c r="AQ13" s="1226">
        <v>4.9403213350838797</v>
      </c>
      <c r="AR13" s="1226">
        <v>5.2919190662090099</v>
      </c>
      <c r="AS13" s="1226">
        <v>5.8489702018065381</v>
      </c>
      <c r="AT13" s="1226">
        <v>6.1127477251757902</v>
      </c>
      <c r="AU13" s="1226">
        <v>6.2057092378954053</v>
      </c>
      <c r="AV13" s="1226">
        <v>6.2436020991211656</v>
      </c>
      <c r="AW13" s="1226">
        <v>5.6</v>
      </c>
      <c r="AX13" s="1226">
        <v>5.3</v>
      </c>
      <c r="AY13" s="1226">
        <v>5.8</v>
      </c>
      <c r="AZ13" s="1226">
        <v>5.9</v>
      </c>
      <c r="BA13" s="1226">
        <v>5.6</v>
      </c>
      <c r="BB13" s="1226">
        <v>5.2</v>
      </c>
      <c r="BC13" s="1226">
        <v>4.9000000000000004</v>
      </c>
      <c r="BD13" s="1226">
        <v>4.7</v>
      </c>
      <c r="BE13" s="1226">
        <v>5.6011895569542265</v>
      </c>
      <c r="BF13" s="1222"/>
      <c r="BG13" s="1222"/>
      <c r="BH13" s="1222"/>
      <c r="BI13" s="1222"/>
    </row>
    <row r="14" spans="1:61" s="1233" customFormat="1" ht="18.75" x14ac:dyDescent="0.3">
      <c r="A14" s="1232" t="s">
        <v>915</v>
      </c>
      <c r="B14" s="1224"/>
      <c r="C14" s="1224"/>
      <c r="D14" s="1224"/>
      <c r="E14" s="1224"/>
      <c r="F14" s="1224"/>
      <c r="G14" s="1224"/>
      <c r="H14" s="1224"/>
      <c r="I14" s="1224"/>
      <c r="J14" s="1224"/>
      <c r="K14" s="1224"/>
      <c r="L14" s="1224"/>
      <c r="M14" s="1224"/>
      <c r="N14" s="1224"/>
      <c r="O14" s="1224"/>
      <c r="P14" s="1224"/>
      <c r="Q14" s="1224"/>
      <c r="R14" s="1224"/>
      <c r="S14" s="1224"/>
      <c r="T14" s="1224"/>
      <c r="U14" s="1224"/>
      <c r="V14" s="1225"/>
      <c r="W14" s="1226"/>
      <c r="X14" s="1226"/>
      <c r="Y14" s="1226"/>
      <c r="Z14" s="1226"/>
      <c r="AA14" s="1226"/>
      <c r="AB14" s="1226"/>
      <c r="AC14" s="1226"/>
      <c r="AD14" s="1226"/>
      <c r="AE14" s="1226"/>
      <c r="AF14" s="1226"/>
      <c r="AG14" s="1226"/>
      <c r="AH14" s="1226"/>
      <c r="AI14" s="1226"/>
      <c r="AJ14" s="1226"/>
      <c r="AK14" s="1226"/>
      <c r="AL14" s="1226"/>
      <c r="AM14" s="1230">
        <v>46.187065650417772</v>
      </c>
      <c r="AN14" s="1230">
        <v>45.877500806018709</v>
      </c>
      <c r="AO14" s="1230">
        <v>45.025103643183542</v>
      </c>
      <c r="AP14" s="1230">
        <v>45.5677229224383</v>
      </c>
      <c r="AQ14" s="1230">
        <v>44.459203263087865</v>
      </c>
      <c r="AR14" s="1230">
        <v>43.475571989134259</v>
      </c>
      <c r="AS14" s="1230">
        <v>43.452712223353736</v>
      </c>
      <c r="AT14" s="1230">
        <v>44.396371248982341</v>
      </c>
      <c r="AU14" s="1230">
        <v>46.740778472959391</v>
      </c>
      <c r="AV14" s="1230">
        <v>47.902266081221562</v>
      </c>
      <c r="AW14" s="1230">
        <v>50.791095256794691</v>
      </c>
      <c r="AX14" s="1230">
        <v>49.438223382330968</v>
      </c>
      <c r="AY14" s="1226">
        <v>49.6</v>
      </c>
      <c r="AZ14" s="1226">
        <v>48.3</v>
      </c>
      <c r="BA14" s="1226">
        <v>44.8</v>
      </c>
      <c r="BB14" s="1226">
        <v>44.2</v>
      </c>
      <c r="BC14" s="1226">
        <v>43.8</v>
      </c>
      <c r="BD14" s="1226">
        <v>44.3</v>
      </c>
      <c r="BE14" s="1226">
        <v>43.72099465067749</v>
      </c>
      <c r="BF14" s="1222"/>
      <c r="BG14" s="1222"/>
      <c r="BH14" s="1222"/>
      <c r="BI14" s="1222"/>
    </row>
    <row r="15" spans="1:61" s="1233" customFormat="1" ht="18.75" x14ac:dyDescent="0.3">
      <c r="A15" s="1232" t="s">
        <v>916</v>
      </c>
      <c r="B15" s="1224"/>
      <c r="C15" s="1224"/>
      <c r="D15" s="1224"/>
      <c r="E15" s="1224"/>
      <c r="F15" s="1224"/>
      <c r="G15" s="1224"/>
      <c r="H15" s="1224"/>
      <c r="I15" s="1224"/>
      <c r="J15" s="1224"/>
      <c r="K15" s="1224"/>
      <c r="L15" s="1224"/>
      <c r="M15" s="1224"/>
      <c r="N15" s="1224"/>
      <c r="O15" s="1224"/>
      <c r="P15" s="1224"/>
      <c r="Q15" s="1224"/>
      <c r="R15" s="1224"/>
      <c r="S15" s="1224"/>
      <c r="T15" s="1224"/>
      <c r="U15" s="1224"/>
      <c r="V15" s="1225"/>
      <c r="W15" s="1226"/>
      <c r="X15" s="1226"/>
      <c r="Y15" s="1226"/>
      <c r="Z15" s="1226"/>
      <c r="AA15" s="1226"/>
      <c r="AB15" s="1226"/>
      <c r="AC15" s="1226"/>
      <c r="AD15" s="1226"/>
      <c r="AE15" s="1226"/>
      <c r="AF15" s="1226"/>
      <c r="AG15" s="1226"/>
      <c r="AH15" s="1226"/>
      <c r="AI15" s="1226"/>
      <c r="AJ15" s="1226"/>
      <c r="AK15" s="1226"/>
      <c r="AL15" s="1226"/>
      <c r="AM15" s="1230">
        <v>52.924376435290888</v>
      </c>
      <c r="AN15" s="1230">
        <v>52.688629505764254</v>
      </c>
      <c r="AO15" s="1230">
        <v>53.671010314700418</v>
      </c>
      <c r="AP15" s="1230">
        <v>53.923183680921227</v>
      </c>
      <c r="AQ15" s="1230">
        <v>49.602103827073279</v>
      </c>
      <c r="AR15" s="1230">
        <v>49.486251180165077</v>
      </c>
      <c r="AS15" s="1230">
        <v>50.235056789616486</v>
      </c>
      <c r="AT15" s="1230">
        <v>55.518181377611441</v>
      </c>
      <c r="AU15" s="1230">
        <v>60.048702272183888</v>
      </c>
      <c r="AV15" s="1230">
        <v>57.692633123092882</v>
      </c>
      <c r="AW15" s="1230">
        <v>63.866751218428696</v>
      </c>
      <c r="AX15" s="1230">
        <v>63.868421629653483</v>
      </c>
      <c r="AY15" s="1226">
        <v>61.3</v>
      </c>
      <c r="AZ15" s="1226">
        <v>58.5</v>
      </c>
      <c r="BA15" s="1226">
        <v>60</v>
      </c>
      <c r="BB15" s="1226">
        <v>61.4</v>
      </c>
      <c r="BC15" s="1226">
        <v>60.2</v>
      </c>
      <c r="BD15" s="1226">
        <v>55.9</v>
      </c>
      <c r="BE15" s="1226">
        <v>51.266160782306265</v>
      </c>
      <c r="BF15" s="1222"/>
      <c r="BG15" s="1222"/>
      <c r="BH15" s="1222"/>
      <c r="BI15" s="1222"/>
    </row>
    <row r="16" spans="1:61" ht="17.25" hidden="1" customHeight="1" x14ac:dyDescent="0.3">
      <c r="A16" s="1232" t="s">
        <v>917</v>
      </c>
      <c r="B16" s="1224"/>
      <c r="C16" s="1224"/>
      <c r="D16" s="1224"/>
      <c r="E16" s="1224"/>
      <c r="F16" s="1224"/>
      <c r="G16" s="1224"/>
      <c r="H16" s="1224"/>
      <c r="I16" s="1224"/>
      <c r="J16" s="1224"/>
      <c r="K16" s="1224"/>
      <c r="L16" s="1224"/>
      <c r="M16" s="1224"/>
      <c r="N16" s="1224"/>
      <c r="O16" s="1224"/>
      <c r="P16" s="1224"/>
      <c r="Q16" s="1224"/>
      <c r="R16" s="1224"/>
      <c r="S16" s="1224"/>
      <c r="T16" s="1224"/>
      <c r="U16" s="1224"/>
      <c r="V16" s="1225"/>
      <c r="W16" s="1226"/>
      <c r="X16" s="1226"/>
      <c r="Y16" s="1226"/>
      <c r="Z16" s="1226"/>
      <c r="AA16" s="1226"/>
      <c r="AB16" s="1226"/>
      <c r="AC16" s="1226"/>
      <c r="AD16" s="1226"/>
      <c r="AE16" s="1226"/>
      <c r="AF16" s="1226"/>
      <c r="AG16" s="1226"/>
      <c r="AH16" s="1226"/>
      <c r="AI16" s="1226"/>
      <c r="AJ16" s="1226"/>
      <c r="AK16" s="1229"/>
      <c r="AL16" s="1229"/>
      <c r="AM16" s="1229"/>
      <c r="AN16" s="1229"/>
      <c r="AO16" s="1229"/>
      <c r="AP16" s="1229"/>
      <c r="AQ16" s="1229"/>
      <c r="AR16" s="1229"/>
      <c r="AS16" s="1229"/>
      <c r="AT16" s="1229"/>
      <c r="AU16" s="1229"/>
      <c r="AV16" s="1229"/>
      <c r="AW16" s="1229"/>
      <c r="AX16" s="1229"/>
      <c r="AY16" s="1229"/>
      <c r="AZ16" s="1229"/>
      <c r="BA16" s="1229"/>
      <c r="BB16" s="1229"/>
      <c r="BC16" s="1229"/>
      <c r="BD16" s="1229"/>
      <c r="BE16" s="1229"/>
      <c r="BF16" s="1222"/>
      <c r="BG16" s="1222"/>
      <c r="BH16" s="1222"/>
      <c r="BI16" s="1222"/>
    </row>
    <row r="17" spans="1:61" ht="17.25" hidden="1" customHeight="1" x14ac:dyDescent="0.3">
      <c r="A17" s="1234" t="s">
        <v>918</v>
      </c>
      <c r="B17" s="1224">
        <v>3.0155437159844183E-3</v>
      </c>
      <c r="C17" s="1224">
        <v>4.3193631377357539E-3</v>
      </c>
      <c r="D17" s="1224">
        <v>3.0841900478876497E-3</v>
      </c>
      <c r="E17" s="1224">
        <v>3.3434742997696314E-3</v>
      </c>
      <c r="F17" s="1224">
        <v>2.2633564100575953E-3</v>
      </c>
      <c r="G17" s="1224">
        <v>2.5743099818762759E-3</v>
      </c>
      <c r="H17" s="1224">
        <v>2.8677841566075546E-3</v>
      </c>
      <c r="I17" s="1224">
        <v>2.7469582431086498E-3</v>
      </c>
      <c r="J17" s="1224">
        <v>3.3967870062394778E-3</v>
      </c>
      <c r="K17" s="1224">
        <v>3.3791447360746948E-3</v>
      </c>
      <c r="L17" s="1224">
        <v>5.5081131733300684E-3</v>
      </c>
      <c r="M17" s="1224">
        <v>5.0000000000000001E-3</v>
      </c>
      <c r="N17" s="1224">
        <v>3.0000000000000001E-3</v>
      </c>
      <c r="O17" s="1224">
        <v>2.1539319168444051E-3</v>
      </c>
      <c r="P17" s="1224">
        <v>2.4931277095117804E-3</v>
      </c>
      <c r="Q17" s="1224">
        <v>2.3703916738098897E-3</v>
      </c>
      <c r="R17" s="1224">
        <v>5.0430731233156029E-3</v>
      </c>
      <c r="S17" s="1224">
        <v>1E-3</v>
      </c>
      <c r="T17" s="1224">
        <v>1.0999999999999999E-2</v>
      </c>
      <c r="U17" s="1224">
        <v>3.0000000000000001E-3</v>
      </c>
      <c r="V17" s="1225">
        <v>5.0000000000000001E-3</v>
      </c>
      <c r="W17" s="1226">
        <v>0.3</v>
      </c>
      <c r="X17" s="1226">
        <v>0.4</v>
      </c>
      <c r="Y17" s="1226">
        <v>0.1</v>
      </c>
      <c r="Z17" s="1226">
        <v>0</v>
      </c>
      <c r="AA17" s="1226">
        <v>0.12920864087190195</v>
      </c>
      <c r="AB17" s="1226">
        <v>0.17906161770768128</v>
      </c>
      <c r="AC17" s="1226">
        <v>0.16272967686037082</v>
      </c>
      <c r="AD17" s="1226">
        <v>0.26760242755425767</v>
      </c>
      <c r="AE17" s="1226">
        <v>0.481251878227557</v>
      </c>
      <c r="AF17" s="1226">
        <v>0.36791663612250475</v>
      </c>
      <c r="AG17" s="1226">
        <v>0.28477117470647767</v>
      </c>
      <c r="AH17" s="1226">
        <v>1.3</v>
      </c>
      <c r="AI17" s="1226">
        <v>1.6</v>
      </c>
      <c r="AJ17" s="1226">
        <v>1.81</v>
      </c>
      <c r="AK17" s="1226">
        <v>2.38</v>
      </c>
      <c r="AL17" s="1226">
        <v>3.5538292921179888</v>
      </c>
      <c r="AM17" s="1226">
        <v>2.1473568829140626</v>
      </c>
      <c r="AN17" s="1226">
        <v>3.1274194315739292</v>
      </c>
      <c r="AO17" s="1226">
        <v>3.5695375004339382</v>
      </c>
      <c r="AP17" s="1226">
        <v>2.3896054320652187</v>
      </c>
      <c r="AQ17" s="1226">
        <v>2.4809779610665039</v>
      </c>
      <c r="AR17" s="1226">
        <v>4.3927133173786013</v>
      </c>
      <c r="AS17" s="1226">
        <v>4.6131039573140011</v>
      </c>
      <c r="AT17" s="1226">
        <v>2.7809606158097804</v>
      </c>
      <c r="AU17" s="1226">
        <v>4.2619886732251517</v>
      </c>
      <c r="AV17" s="1226">
        <v>4.5343999631347538</v>
      </c>
      <c r="AW17" s="1226">
        <v>5</v>
      </c>
      <c r="AX17" s="1226">
        <v>4.9000000000000004</v>
      </c>
      <c r="AY17" s="1227" t="s">
        <v>919</v>
      </c>
      <c r="AZ17" s="1227" t="s">
        <v>919</v>
      </c>
      <c r="BA17" s="1227" t="s">
        <v>919</v>
      </c>
      <c r="BB17" s="1227" t="s">
        <v>919</v>
      </c>
      <c r="BC17" s="1227" t="s">
        <v>919</v>
      </c>
      <c r="BD17" s="1227" t="s">
        <v>919</v>
      </c>
      <c r="BE17" s="1227"/>
      <c r="BF17" s="1222"/>
      <c r="BG17" s="1222"/>
      <c r="BH17" s="1222"/>
      <c r="BI17" s="1222"/>
    </row>
    <row r="18" spans="1:61" ht="15.75" hidden="1" customHeight="1" x14ac:dyDescent="0.3">
      <c r="A18" s="1234" t="s">
        <v>738</v>
      </c>
      <c r="B18" s="1224">
        <v>0</v>
      </c>
      <c r="C18" s="1224">
        <v>0</v>
      </c>
      <c r="D18" s="1224">
        <v>0</v>
      </c>
      <c r="E18" s="1224">
        <v>0</v>
      </c>
      <c r="F18" s="1224">
        <v>0</v>
      </c>
      <c r="G18" s="1224">
        <v>0</v>
      </c>
      <c r="H18" s="1224">
        <v>0</v>
      </c>
      <c r="I18" s="1224">
        <v>2.0742703303314701E-5</v>
      </c>
      <c r="J18" s="1224">
        <v>0</v>
      </c>
      <c r="K18" s="1224">
        <v>0</v>
      </c>
      <c r="L18" s="1224">
        <v>0</v>
      </c>
      <c r="M18" s="1224">
        <v>0</v>
      </c>
      <c r="N18" s="1224">
        <v>0</v>
      </c>
      <c r="O18" s="1224">
        <v>0</v>
      </c>
      <c r="P18" s="1224">
        <v>0</v>
      </c>
      <c r="Q18" s="1224">
        <v>0</v>
      </c>
      <c r="R18" s="1224">
        <v>0</v>
      </c>
      <c r="S18" s="1224">
        <v>0</v>
      </c>
      <c r="T18" s="1224">
        <v>0</v>
      </c>
      <c r="U18" s="1224">
        <v>0</v>
      </c>
      <c r="V18" s="1225">
        <v>0</v>
      </c>
      <c r="W18" s="1226">
        <v>0</v>
      </c>
      <c r="X18" s="1226">
        <v>0</v>
      </c>
      <c r="Y18" s="1226">
        <v>0</v>
      </c>
      <c r="Z18" s="1226">
        <v>0</v>
      </c>
      <c r="AA18" s="1226">
        <v>0</v>
      </c>
      <c r="AB18" s="1226">
        <v>0</v>
      </c>
      <c r="AC18" s="1226">
        <v>0</v>
      </c>
      <c r="AD18" s="1226">
        <v>0</v>
      </c>
      <c r="AE18" s="1226">
        <v>0</v>
      </c>
      <c r="AF18" s="1226">
        <v>0</v>
      </c>
      <c r="AG18" s="1226">
        <v>0</v>
      </c>
      <c r="AH18" s="1226">
        <v>0</v>
      </c>
      <c r="AI18" s="1226">
        <v>0</v>
      </c>
      <c r="AJ18" s="1226"/>
      <c r="AK18" s="1226"/>
      <c r="AL18" s="1226"/>
      <c r="AM18" s="1226">
        <v>0</v>
      </c>
      <c r="AN18" s="1226">
        <v>6.3695963041807671E-6</v>
      </c>
      <c r="AO18" s="1226">
        <v>7.3668169322201249E-3</v>
      </c>
      <c r="AP18" s="1226">
        <v>0</v>
      </c>
      <c r="AQ18" s="1226">
        <v>0</v>
      </c>
      <c r="AR18" s="1226">
        <v>6.75889264937738E-8</v>
      </c>
      <c r="AS18" s="1226">
        <v>0</v>
      </c>
      <c r="AT18" s="1226">
        <v>1.1029404139373411E-6</v>
      </c>
      <c r="AU18" s="1226">
        <v>5.0303897755392231E-7</v>
      </c>
      <c r="AV18" s="1226">
        <v>0</v>
      </c>
      <c r="AW18" s="1226"/>
      <c r="AX18" s="1226"/>
      <c r="AY18" s="1226"/>
      <c r="AZ18" s="1226"/>
      <c r="BA18" s="1226"/>
      <c r="BB18" s="1226"/>
      <c r="BC18" s="1226"/>
      <c r="BD18" s="1226"/>
      <c r="BE18" s="1226"/>
      <c r="BF18" s="1222"/>
      <c r="BG18" s="1222"/>
      <c r="BH18" s="1222"/>
      <c r="BI18" s="1222"/>
    </row>
    <row r="19" spans="1:61" ht="17.25" hidden="1" customHeight="1" x14ac:dyDescent="0.3">
      <c r="A19" s="1234" t="s">
        <v>752</v>
      </c>
      <c r="B19" s="1224">
        <v>1.4092549441701673E-2</v>
      </c>
      <c r="C19" s="1224">
        <v>1.3649205921122077E-2</v>
      </c>
      <c r="D19" s="1224">
        <v>1.270030536008563E-2</v>
      </c>
      <c r="E19" s="1224">
        <v>1.2439305482407306E-2</v>
      </c>
      <c r="F19" s="1224">
        <v>1.4445408951210477E-2</v>
      </c>
      <c r="G19" s="1224">
        <v>1.2780911935204522E-2</v>
      </c>
      <c r="H19" s="1224">
        <v>1.1694594426882133E-2</v>
      </c>
      <c r="I19" s="1224">
        <v>1.1496703074599499E-2</v>
      </c>
      <c r="J19" s="1224">
        <v>1.3575268995024543E-2</v>
      </c>
      <c r="K19" s="1224">
        <v>1.3378856281861364E-2</v>
      </c>
      <c r="L19" s="1224">
        <v>1.168141210745146E-2</v>
      </c>
      <c r="M19" s="1224">
        <v>1.0999999999999999E-2</v>
      </c>
      <c r="N19" s="1224">
        <v>1.2999999999999999E-2</v>
      </c>
      <c r="O19" s="1224">
        <v>1.263616319426086E-2</v>
      </c>
      <c r="P19" s="1224">
        <v>1.2535027180992352E-2</v>
      </c>
      <c r="Q19" s="1224">
        <v>1.2154399056778346E-2</v>
      </c>
      <c r="R19" s="1224">
        <v>1.2758537196127594E-2</v>
      </c>
      <c r="S19" s="1224">
        <v>1.0999999999999999E-2</v>
      </c>
      <c r="T19" s="1224">
        <v>1.2E-2</v>
      </c>
      <c r="U19" s="1224">
        <v>1.2E-2</v>
      </c>
      <c r="V19" s="1225">
        <v>1.6E-2</v>
      </c>
      <c r="W19" s="1226">
        <v>1.5</v>
      </c>
      <c r="X19" s="1226">
        <v>1.5</v>
      </c>
      <c r="Y19" s="1226">
        <v>1.5</v>
      </c>
      <c r="Z19" s="1226">
        <v>1.5</v>
      </c>
      <c r="AA19" s="1226">
        <v>1.4886987448091058</v>
      </c>
      <c r="AB19" s="1226">
        <v>1.5752569404762784</v>
      </c>
      <c r="AC19" s="1226">
        <v>1.5881682048256272</v>
      </c>
      <c r="AD19" s="1226">
        <v>2.255156749437071</v>
      </c>
      <c r="AE19" s="1226">
        <v>2.3249145146920625</v>
      </c>
      <c r="AF19" s="1226">
        <v>2.9106927784129084</v>
      </c>
      <c r="AG19" s="1226">
        <v>3.1854958654870833</v>
      </c>
      <c r="AH19" s="1226">
        <v>3.8</v>
      </c>
      <c r="AI19" s="1226">
        <v>3.8</v>
      </c>
      <c r="AJ19" s="1226">
        <v>3.95</v>
      </c>
      <c r="AK19" s="1226">
        <v>3.95</v>
      </c>
      <c r="AL19" s="1226">
        <v>3.9147436854671605</v>
      </c>
      <c r="AM19" s="1226">
        <v>11.754983709697516</v>
      </c>
      <c r="AN19" s="1226">
        <v>11.480056521486807</v>
      </c>
      <c r="AO19" s="1226">
        <v>12.157369478837083</v>
      </c>
      <c r="AP19" s="1226">
        <v>13.010093266233715</v>
      </c>
      <c r="AQ19" s="1226">
        <v>12.080694668602995</v>
      </c>
      <c r="AR19" s="1226">
        <v>11.697649694406847</v>
      </c>
      <c r="AS19" s="1226">
        <v>11.397081061464027</v>
      </c>
      <c r="AT19" s="1226">
        <v>9.7873211539381284</v>
      </c>
      <c r="AU19" s="1226">
        <v>9.610060973660719</v>
      </c>
      <c r="AV19" s="1226">
        <v>8.9051769358252493</v>
      </c>
      <c r="AW19" s="1226">
        <v>9.8000000000000007</v>
      </c>
      <c r="AX19" s="1226">
        <v>9.1</v>
      </c>
      <c r="AY19" s="1227" t="s">
        <v>919</v>
      </c>
      <c r="AZ19" s="1227" t="s">
        <v>919</v>
      </c>
      <c r="BA19" s="1227" t="s">
        <v>919</v>
      </c>
      <c r="BB19" s="1227" t="s">
        <v>919</v>
      </c>
      <c r="BC19" s="1227" t="s">
        <v>919</v>
      </c>
      <c r="BD19" s="1227" t="s">
        <v>919</v>
      </c>
      <c r="BE19" s="1227"/>
      <c r="BF19" s="1222"/>
      <c r="BG19" s="1222"/>
      <c r="BH19" s="1222"/>
      <c r="BI19" s="1222"/>
    </row>
    <row r="20" spans="1:61" ht="15.75" hidden="1" customHeight="1" x14ac:dyDescent="0.3">
      <c r="A20" s="1234" t="s">
        <v>920</v>
      </c>
      <c r="B20" s="1224">
        <v>1.2933583145196233E-4</v>
      </c>
      <c r="C20" s="1224">
        <v>1.3542259299952717E-4</v>
      </c>
      <c r="D20" s="1224">
        <v>2.7090594245465809E-5</v>
      </c>
      <c r="E20" s="1224">
        <v>2.6432752449088304E-5</v>
      </c>
      <c r="F20" s="1224">
        <v>2.6096989300145516E-5</v>
      </c>
      <c r="G20" s="1224">
        <v>2.2143310927905979E-5</v>
      </c>
      <c r="H20" s="1224">
        <v>2.0083563141495049E-5</v>
      </c>
      <c r="I20" s="1224">
        <v>0</v>
      </c>
      <c r="J20" s="1224">
        <v>1.6379894098325613E-5</v>
      </c>
      <c r="K20" s="1224">
        <v>1.925115470682851E-5</v>
      </c>
      <c r="L20" s="1224">
        <v>1.0049879792999365E-5</v>
      </c>
      <c r="M20" s="1224">
        <v>0</v>
      </c>
      <c r="N20" s="1224">
        <v>0</v>
      </c>
      <c r="O20" s="1224">
        <v>1.6175287811040988E-5</v>
      </c>
      <c r="P20" s="1224">
        <v>4.6737659353978758E-6</v>
      </c>
      <c r="Q20" s="1224">
        <v>5.9854929905078961E-6</v>
      </c>
      <c r="R20" s="1224">
        <v>4.3936030275726805E-6</v>
      </c>
      <c r="S20" s="1224">
        <v>0</v>
      </c>
      <c r="T20" s="1224">
        <v>0</v>
      </c>
      <c r="U20" s="1224">
        <v>0</v>
      </c>
      <c r="V20" s="1225">
        <v>0</v>
      </c>
      <c r="W20" s="1226">
        <v>0</v>
      </c>
      <c r="X20" s="1226">
        <v>0</v>
      </c>
      <c r="Y20" s="1226">
        <v>0</v>
      </c>
      <c r="Z20" s="1226">
        <v>0</v>
      </c>
      <c r="AA20" s="1226">
        <v>0</v>
      </c>
      <c r="AB20" s="1226">
        <v>0</v>
      </c>
      <c r="AC20" s="1226">
        <v>0</v>
      </c>
      <c r="AD20" s="1226">
        <v>0</v>
      </c>
      <c r="AE20" s="1226">
        <v>0</v>
      </c>
      <c r="AF20" s="1226">
        <v>0</v>
      </c>
      <c r="AG20" s="1226">
        <v>0</v>
      </c>
      <c r="AH20" s="1226">
        <v>0</v>
      </c>
      <c r="AI20" s="1226">
        <v>0</v>
      </c>
      <c r="AJ20" s="1226"/>
      <c r="AK20" s="1226"/>
      <c r="AL20" s="1226"/>
      <c r="AM20" s="1226">
        <v>2.632518579061157E-2</v>
      </c>
      <c r="AN20" s="1226">
        <v>2.6348162882491394E-2</v>
      </c>
      <c r="AO20" s="1226">
        <v>2.5244193405041065E-2</v>
      </c>
      <c r="AP20" s="1226">
        <v>2.5039449300756248E-2</v>
      </c>
      <c r="AQ20" s="1226">
        <v>2.4571651738506697E-2</v>
      </c>
      <c r="AR20" s="1226">
        <v>2.4908087071665322E-2</v>
      </c>
      <c r="AS20" s="1226">
        <v>2.3153222522598032E-2</v>
      </c>
      <c r="AT20" s="1226">
        <v>1.6947961233458077E-2</v>
      </c>
      <c r="AU20" s="1226">
        <v>1.6519102727788046E-2</v>
      </c>
      <c r="AV20" s="1226">
        <v>0</v>
      </c>
      <c r="AW20" s="1226"/>
      <c r="AX20" s="1226"/>
      <c r="AY20" s="1226"/>
      <c r="AZ20" s="1226"/>
      <c r="BA20" s="1226"/>
      <c r="BB20" s="1226"/>
      <c r="BC20" s="1226"/>
      <c r="BD20" s="1226"/>
      <c r="BE20" s="1226"/>
      <c r="BF20" s="1222"/>
      <c r="BG20" s="1222"/>
      <c r="BH20" s="1222"/>
      <c r="BI20" s="1222"/>
    </row>
    <row r="21" spans="1:61" ht="17.25" hidden="1" customHeight="1" x14ac:dyDescent="0.3">
      <c r="A21" s="1234" t="s">
        <v>921</v>
      </c>
      <c r="B21" s="1224">
        <v>0.33389757536273279</v>
      </c>
      <c r="C21" s="1224">
        <v>0.34679967273354118</v>
      </c>
      <c r="D21" s="1224">
        <v>0.32817452300591377</v>
      </c>
      <c r="E21" s="1224">
        <v>0.3468926163137464</v>
      </c>
      <c r="F21" s="1224">
        <v>0.35191047592250252</v>
      </c>
      <c r="G21" s="1224">
        <v>0.33532169521547606</v>
      </c>
      <c r="H21" s="1224">
        <v>0.33909472543576735</v>
      </c>
      <c r="I21" s="1224">
        <v>0.33693445741015099</v>
      </c>
      <c r="J21" s="1224">
        <v>0.34179331204783581</v>
      </c>
      <c r="K21" s="1224">
        <v>0.33252461054199867</v>
      </c>
      <c r="L21" s="1224">
        <v>0.33022633402271567</v>
      </c>
      <c r="M21" s="1224">
        <v>0.32600000000000001</v>
      </c>
      <c r="N21" s="1224">
        <v>0.32900000000000001</v>
      </c>
      <c r="O21" s="1224">
        <v>0.31925704095719321</v>
      </c>
      <c r="P21" s="1224">
        <v>0.32836067996376689</v>
      </c>
      <c r="Q21" s="1224">
        <v>0.3293657705711992</v>
      </c>
      <c r="R21" s="1224">
        <v>0.33453988273147722</v>
      </c>
      <c r="S21" s="1224">
        <v>0.32600000000000001</v>
      </c>
      <c r="T21" s="1224">
        <v>0.33500000000000002</v>
      </c>
      <c r="U21" s="1224">
        <v>0.34699999999999998</v>
      </c>
      <c r="V21" s="1225">
        <v>0.34200000000000003</v>
      </c>
      <c r="W21" s="1226">
        <v>33.6</v>
      </c>
      <c r="X21" s="1226">
        <v>33.6</v>
      </c>
      <c r="Y21" s="1226">
        <v>34.799999999999997</v>
      </c>
      <c r="Z21" s="1226">
        <v>35.799999999999997</v>
      </c>
      <c r="AA21" s="1226">
        <v>36.783557136672798</v>
      </c>
      <c r="AB21" s="1226">
        <v>37.063958282435408</v>
      </c>
      <c r="AC21" s="1226">
        <v>36.978404237397925</v>
      </c>
      <c r="AD21" s="1226">
        <v>36.397531754839356</v>
      </c>
      <c r="AE21" s="1226">
        <v>35.607043996424458</v>
      </c>
      <c r="AF21" s="1226">
        <v>35.711979015288627</v>
      </c>
      <c r="AG21" s="1226">
        <v>35.565503851747138</v>
      </c>
      <c r="AH21" s="1226">
        <v>33.700000000000003</v>
      </c>
      <c r="AI21" s="1226">
        <v>33.1</v>
      </c>
      <c r="AJ21" s="1226">
        <v>33.01</v>
      </c>
      <c r="AK21" s="1226">
        <v>33.28</v>
      </c>
      <c r="AL21" s="1226">
        <v>32.854849432543304</v>
      </c>
      <c r="AM21" s="1226">
        <v>26.710892816735182</v>
      </c>
      <c r="AN21" s="1226">
        <v>26.816587973748717</v>
      </c>
      <c r="AO21" s="1226">
        <v>25.685654535962748</v>
      </c>
      <c r="AP21" s="1226">
        <v>26.185769845248487</v>
      </c>
      <c r="AQ21" s="1226">
        <v>26.444479051635987</v>
      </c>
      <c r="AR21" s="1226">
        <v>25.935985804921462</v>
      </c>
      <c r="AS21" s="1226">
        <v>27.123042390586889</v>
      </c>
      <c r="AT21" s="1226">
        <v>28.280747002995604</v>
      </c>
      <c r="AU21" s="1226">
        <v>27.800917616419728</v>
      </c>
      <c r="AV21" s="1226">
        <v>27.343493097023369</v>
      </c>
      <c r="AW21" s="1226">
        <v>26.4</v>
      </c>
      <c r="AX21" s="1226">
        <v>26.6</v>
      </c>
      <c r="AY21" s="1227" t="s">
        <v>919</v>
      </c>
      <c r="AZ21" s="1227" t="s">
        <v>919</v>
      </c>
      <c r="BA21" s="1227" t="s">
        <v>919</v>
      </c>
      <c r="BB21" s="1227" t="s">
        <v>919</v>
      </c>
      <c r="BC21" s="1227" t="s">
        <v>919</v>
      </c>
      <c r="BD21" s="1227" t="s">
        <v>919</v>
      </c>
      <c r="BE21" s="1227"/>
      <c r="BF21" s="1222"/>
      <c r="BG21" s="1222"/>
      <c r="BH21" s="1222"/>
      <c r="BI21" s="1222"/>
    </row>
    <row r="22" spans="1:61" ht="17.25" hidden="1" customHeight="1" x14ac:dyDescent="0.3">
      <c r="A22" s="1234" t="s">
        <v>922</v>
      </c>
      <c r="B22" s="1224">
        <v>0.13514181439579356</v>
      </c>
      <c r="C22" s="1224">
        <v>0.14405943931739607</v>
      </c>
      <c r="D22" s="1224">
        <v>0.14408870881548616</v>
      </c>
      <c r="E22" s="1224">
        <v>0.15570525298084484</v>
      </c>
      <c r="F22" s="1224">
        <v>0.16138847034649689</v>
      </c>
      <c r="G22" s="1224">
        <v>0.15004974623530135</v>
      </c>
      <c r="H22" s="1224">
        <v>0.15859095302657109</v>
      </c>
      <c r="I22" s="1224">
        <v>0.160909444215905</v>
      </c>
      <c r="J22" s="1224">
        <v>0.15256718262794058</v>
      </c>
      <c r="K22" s="1224">
        <v>0.15046915253648624</v>
      </c>
      <c r="L22" s="1224">
        <v>0.14692682233585846</v>
      </c>
      <c r="M22" s="1224">
        <v>0.14299999999999999</v>
      </c>
      <c r="N22" s="1224">
        <v>0.15</v>
      </c>
      <c r="O22" s="1224">
        <v>0.19112295647056809</v>
      </c>
      <c r="P22" s="1224">
        <v>0.20195561867535916</v>
      </c>
      <c r="Q22" s="1224">
        <v>0.19653475447206908</v>
      </c>
      <c r="R22" s="1224">
        <v>0.20526144136965374</v>
      </c>
      <c r="S22" s="1224">
        <v>0.20799999999999999</v>
      </c>
      <c r="T22" s="1224">
        <v>0.21</v>
      </c>
      <c r="U22" s="1224">
        <v>0.216</v>
      </c>
      <c r="V22" s="1225">
        <v>0.19900000000000001</v>
      </c>
      <c r="W22" s="1226">
        <v>19.2</v>
      </c>
      <c r="X22" s="1226">
        <v>18.600000000000001</v>
      </c>
      <c r="Y22" s="1226">
        <v>20.200000000000003</v>
      </c>
      <c r="Z22" s="1226">
        <v>20.5</v>
      </c>
      <c r="AA22" s="1226">
        <v>20.979802285971722</v>
      </c>
      <c r="AB22" s="1226">
        <v>21.640975993972162</v>
      </c>
      <c r="AC22" s="1226">
        <v>21.755820762617056</v>
      </c>
      <c r="AD22" s="1226">
        <v>21.820244957306862</v>
      </c>
      <c r="AE22" s="1226">
        <v>22.008368369989917</v>
      </c>
      <c r="AF22" s="1226">
        <v>21.591792416870256</v>
      </c>
      <c r="AG22" s="1226">
        <v>22.459342411256831</v>
      </c>
      <c r="AH22" s="1226">
        <v>22.1</v>
      </c>
      <c r="AI22" s="1226">
        <v>21.8</v>
      </c>
      <c r="AJ22" s="1226">
        <v>21.9</v>
      </c>
      <c r="AK22" s="1226">
        <v>21.8</v>
      </c>
      <c r="AL22" s="1226">
        <v>21.578622226795915</v>
      </c>
      <c r="AM22" s="1226">
        <v>22.021047647060975</v>
      </c>
      <c r="AN22" s="1226">
        <v>22.693792244418042</v>
      </c>
      <c r="AO22" s="1226">
        <v>22.567488143699137</v>
      </c>
      <c r="AP22" s="1226">
        <v>23.031073447825836</v>
      </c>
      <c r="AQ22" s="1226">
        <v>23.356358643891166</v>
      </c>
      <c r="AR22" s="1226">
        <v>21.1460361882855</v>
      </c>
      <c r="AS22" s="1226">
        <v>20.932642759312404</v>
      </c>
      <c r="AT22" s="1226">
        <v>22.028585038784424</v>
      </c>
      <c r="AU22" s="1226">
        <v>22.017463624490006</v>
      </c>
      <c r="AV22" s="1226">
        <v>22.260351432331394</v>
      </c>
      <c r="AW22" s="1226">
        <v>21.7</v>
      </c>
      <c r="AX22" s="1226">
        <v>22.3</v>
      </c>
      <c r="AY22" s="1227" t="s">
        <v>919</v>
      </c>
      <c r="AZ22" s="1227" t="s">
        <v>919</v>
      </c>
      <c r="BA22" s="1227" t="s">
        <v>919</v>
      </c>
      <c r="BB22" s="1227" t="s">
        <v>919</v>
      </c>
      <c r="BC22" s="1227" t="s">
        <v>919</v>
      </c>
      <c r="BD22" s="1227" t="s">
        <v>919</v>
      </c>
      <c r="BE22" s="1227"/>
      <c r="BF22" s="1222"/>
      <c r="BG22" s="1222"/>
      <c r="BH22" s="1222"/>
      <c r="BI22" s="1222"/>
    </row>
    <row r="23" spans="1:61" ht="17.25" hidden="1" customHeight="1" x14ac:dyDescent="0.3">
      <c r="A23" s="1234" t="s">
        <v>923</v>
      </c>
      <c r="B23" s="1224">
        <v>0.51372318125233563</v>
      </c>
      <c r="C23" s="1224">
        <v>0.49103689629720537</v>
      </c>
      <c r="D23" s="1235">
        <v>0.51192518217638128</v>
      </c>
      <c r="E23" s="1235">
        <v>0.48159291817078287</v>
      </c>
      <c r="F23" s="1235">
        <v>0.46996619138043216</v>
      </c>
      <c r="G23" s="1235">
        <v>0.49925119332121393</v>
      </c>
      <c r="H23" s="1235">
        <v>0.48773185939103036</v>
      </c>
      <c r="I23" s="1224">
        <v>0.487891694352933</v>
      </c>
      <c r="J23" s="1224">
        <v>0.48865106942886133</v>
      </c>
      <c r="K23" s="1224">
        <v>0.50022898474887223</v>
      </c>
      <c r="L23" s="1224">
        <v>0.50564726848085129</v>
      </c>
      <c r="M23" s="1224">
        <v>0.51500000000000001</v>
      </c>
      <c r="N23" s="1224">
        <v>0.505</v>
      </c>
      <c r="O23" s="1224">
        <v>0.47481373217332223</v>
      </c>
      <c r="P23" s="1224">
        <v>0.45465087270443438</v>
      </c>
      <c r="Q23" s="1224">
        <v>0.45956869873315292</v>
      </c>
      <c r="R23" s="1224">
        <v>0.44239267197639837</v>
      </c>
      <c r="S23" s="1224">
        <v>0.45500000000000002</v>
      </c>
      <c r="T23" s="1224">
        <v>0.432</v>
      </c>
      <c r="U23" s="1224">
        <v>0.42199999999999999</v>
      </c>
      <c r="V23" s="1225">
        <v>0.437</v>
      </c>
      <c r="W23" s="1226">
        <v>45.4</v>
      </c>
      <c r="X23" s="1226">
        <v>45.9</v>
      </c>
      <c r="Y23" s="1226">
        <v>43.4</v>
      </c>
      <c r="Z23" s="1226">
        <v>42.199999999999996</v>
      </c>
      <c r="AA23" s="1226">
        <v>40.618729311069785</v>
      </c>
      <c r="AB23" s="1226">
        <v>39.540743661972868</v>
      </c>
      <c r="AC23" s="1226">
        <v>39.484628995090688</v>
      </c>
      <c r="AD23" s="1226">
        <v>39.229828078749811</v>
      </c>
      <c r="AE23" s="1226">
        <v>39.549159027412045</v>
      </c>
      <c r="AF23" s="1226">
        <v>39.389090638073448</v>
      </c>
      <c r="AG23" s="1226">
        <v>38.476093801510665</v>
      </c>
      <c r="AH23" s="1226">
        <v>39</v>
      </c>
      <c r="AI23" s="1226">
        <v>39.700000000000003</v>
      </c>
      <c r="AJ23" s="1226">
        <v>39.28</v>
      </c>
      <c r="AK23" s="1226">
        <v>38.6</v>
      </c>
      <c r="AL23" s="1226">
        <v>38.072976428498556</v>
      </c>
      <c r="AM23" s="1226">
        <v>37.339393757801666</v>
      </c>
      <c r="AN23" s="1226">
        <v>35.855789296293707</v>
      </c>
      <c r="AO23" s="1226">
        <v>35.987339330729853</v>
      </c>
      <c r="AP23" s="1226">
        <v>35.35841855932599</v>
      </c>
      <c r="AQ23" s="1226">
        <v>35.612918023064822</v>
      </c>
      <c r="AR23" s="1226">
        <v>36.802706840346985</v>
      </c>
      <c r="AS23" s="1226">
        <v>35.91097660880007</v>
      </c>
      <c r="AT23" s="1226">
        <v>37.105437124298206</v>
      </c>
      <c r="AU23" s="1226">
        <v>36.293049506437612</v>
      </c>
      <c r="AV23" s="1226">
        <v>36.938851774688082</v>
      </c>
      <c r="AW23" s="1226">
        <v>37</v>
      </c>
      <c r="AX23" s="1226">
        <v>37</v>
      </c>
      <c r="AY23" s="1227" t="s">
        <v>919</v>
      </c>
      <c r="AZ23" s="1227" t="s">
        <v>919</v>
      </c>
      <c r="BA23" s="1227" t="s">
        <v>919</v>
      </c>
      <c r="BB23" s="1227" t="s">
        <v>919</v>
      </c>
      <c r="BC23" s="1227" t="s">
        <v>919</v>
      </c>
      <c r="BD23" s="1227" t="s">
        <v>919</v>
      </c>
      <c r="BE23" s="1227"/>
      <c r="BF23" s="1222"/>
      <c r="BG23" s="1222"/>
      <c r="BH23" s="1222"/>
      <c r="BI23" s="1222"/>
    </row>
    <row r="24" spans="1:61" ht="9" customHeight="1" x14ac:dyDescent="0.3">
      <c r="A24" s="1223"/>
      <c r="B24" s="1224"/>
      <c r="C24" s="1224"/>
      <c r="D24" s="1224"/>
      <c r="E24" s="1224"/>
      <c r="F24" s="1224"/>
      <c r="G24" s="1224"/>
      <c r="H24" s="1224"/>
      <c r="I24" s="1224"/>
      <c r="J24" s="1224"/>
      <c r="K24" s="1224"/>
      <c r="L24" s="1224"/>
      <c r="M24" s="1224"/>
      <c r="N24" s="1224"/>
      <c r="O24" s="1224"/>
      <c r="P24" s="1224"/>
      <c r="Q24" s="1224"/>
      <c r="R24" s="1224"/>
      <c r="S24" s="1224"/>
      <c r="T24" s="1224"/>
      <c r="U24" s="1224"/>
      <c r="V24" s="1225"/>
      <c r="W24" s="1226"/>
      <c r="X24" s="1226"/>
      <c r="Y24" s="1226"/>
      <c r="Z24" s="1226"/>
      <c r="AA24" s="1226"/>
      <c r="AB24" s="1226"/>
      <c r="AC24" s="1226"/>
      <c r="AD24" s="1226"/>
      <c r="AE24" s="1226"/>
      <c r="AF24" s="1226"/>
      <c r="AG24" s="1226"/>
      <c r="AH24" s="1226"/>
      <c r="AI24" s="1226"/>
      <c r="AJ24" s="1226"/>
      <c r="AK24" s="1229"/>
      <c r="AL24" s="1229"/>
      <c r="AM24" s="1229"/>
      <c r="AN24" s="1229"/>
      <c r="AO24" s="1229"/>
      <c r="AP24" s="1229"/>
      <c r="AQ24" s="1229"/>
      <c r="AR24" s="1229"/>
      <c r="AS24" s="1229"/>
      <c r="AT24" s="1229"/>
      <c r="AU24" s="1229"/>
      <c r="AV24" s="1229"/>
      <c r="AW24" s="1229"/>
      <c r="AX24" s="1229"/>
      <c r="AY24" s="1229"/>
      <c r="AZ24" s="1229"/>
      <c r="BA24" s="1229"/>
      <c r="BB24" s="1229"/>
      <c r="BC24" s="1229"/>
      <c r="BD24" s="1229"/>
      <c r="BE24" s="1229"/>
      <c r="BF24" s="1222"/>
      <c r="BG24" s="1222"/>
      <c r="BH24" s="1222"/>
      <c r="BI24" s="1222"/>
    </row>
    <row r="25" spans="1:61" s="1222" customFormat="1" ht="17.25" x14ac:dyDescent="0.3">
      <c r="A25" s="1231" t="s">
        <v>924</v>
      </c>
      <c r="B25" s="1224"/>
      <c r="C25" s="1224"/>
      <c r="D25" s="1224"/>
      <c r="E25" s="1224"/>
      <c r="F25" s="1224"/>
      <c r="G25" s="1224"/>
      <c r="H25" s="1224"/>
      <c r="I25" s="1224"/>
      <c r="J25" s="1224"/>
      <c r="K25" s="1224"/>
      <c r="L25" s="1224"/>
      <c r="M25" s="1224"/>
      <c r="N25" s="1224"/>
      <c r="O25" s="1224"/>
      <c r="P25" s="1224"/>
      <c r="Q25" s="1224"/>
      <c r="R25" s="1224"/>
      <c r="S25" s="1224"/>
      <c r="T25" s="1224"/>
      <c r="U25" s="1224"/>
      <c r="V25" s="1225"/>
      <c r="W25" s="1226"/>
      <c r="X25" s="1226"/>
      <c r="Y25" s="1226"/>
      <c r="Z25" s="1226"/>
      <c r="AA25" s="1226"/>
      <c r="AB25" s="1226"/>
      <c r="AC25" s="1226"/>
      <c r="AD25" s="1226"/>
      <c r="AE25" s="1226"/>
      <c r="AF25" s="1226"/>
      <c r="AG25" s="1226"/>
      <c r="AH25" s="1226"/>
      <c r="AI25" s="1226"/>
      <c r="AJ25" s="1226"/>
      <c r="AK25" s="1229"/>
      <c r="AL25" s="1229"/>
      <c r="AM25" s="1229"/>
      <c r="AN25" s="1229"/>
      <c r="AO25" s="1229"/>
      <c r="AP25" s="1229"/>
      <c r="AQ25" s="1229"/>
      <c r="AR25" s="1229"/>
      <c r="AS25" s="1229"/>
      <c r="AT25" s="1229"/>
      <c r="AU25" s="1229"/>
      <c r="AV25" s="1229"/>
      <c r="AW25" s="1229"/>
      <c r="AX25" s="1229"/>
      <c r="AY25" s="1229"/>
      <c r="AZ25" s="1229"/>
      <c r="BA25" s="1229"/>
      <c r="BB25" s="1229"/>
      <c r="BC25" s="1229"/>
      <c r="BD25" s="1229"/>
      <c r="BE25" s="1229"/>
    </row>
    <row r="26" spans="1:61" s="1233" customFormat="1" ht="17.25" x14ac:dyDescent="0.3">
      <c r="A26" s="1223" t="s">
        <v>925</v>
      </c>
      <c r="B26" s="1224">
        <v>1.6090034105965979E-2</v>
      </c>
      <c r="C26" s="1224">
        <v>1.7057976197404033E-2</v>
      </c>
      <c r="D26" s="1224">
        <v>1.7000000000000001E-2</v>
      </c>
      <c r="E26" s="1224">
        <v>1.6E-2</v>
      </c>
      <c r="F26" s="1224">
        <v>1.7000000000000001E-2</v>
      </c>
      <c r="G26" s="1224">
        <v>1.4586812296004142E-2</v>
      </c>
      <c r="H26" s="1224">
        <v>1.2180404048535584E-2</v>
      </c>
      <c r="I26" s="1224">
        <v>1.4450478508197201E-2</v>
      </c>
      <c r="J26" s="1224">
        <v>1.3949362314729825E-2</v>
      </c>
      <c r="K26" s="1224">
        <v>1.5650576651972538E-2</v>
      </c>
      <c r="L26" s="1224">
        <v>1.6224751719306336E-2</v>
      </c>
      <c r="M26" s="1224">
        <v>1.2999999999999999E-2</v>
      </c>
      <c r="N26" s="1224">
        <v>1.4999999999999999E-2</v>
      </c>
      <c r="O26" s="1224">
        <v>1.5034313199307653E-2</v>
      </c>
      <c r="P26" s="1224">
        <v>1.523066263055624E-2</v>
      </c>
      <c r="Q26" s="1224">
        <v>1.4159637906424468E-2</v>
      </c>
      <c r="R26" s="1224">
        <v>1.2346864749583146E-2</v>
      </c>
      <c r="S26" s="1224">
        <v>1.2E-2</v>
      </c>
      <c r="T26" s="1224">
        <v>1.0999999999999999E-2</v>
      </c>
      <c r="U26" s="1224">
        <v>1.2999999999999999E-2</v>
      </c>
      <c r="V26" s="1225">
        <v>1.5114834382697631E-2</v>
      </c>
      <c r="W26" s="1226">
        <v>1.415480743806983</v>
      </c>
      <c r="X26" s="1226">
        <v>1.2682065316592466</v>
      </c>
      <c r="Y26" s="1226">
        <v>1.0999999999999999</v>
      </c>
      <c r="Z26" s="1226">
        <v>1.0999999999999999</v>
      </c>
      <c r="AA26" s="1226">
        <v>1.1973223805114095</v>
      </c>
      <c r="AB26" s="1226">
        <v>1.3809003810754978</v>
      </c>
      <c r="AC26" s="1226">
        <v>1.4346374829804802</v>
      </c>
      <c r="AD26" s="1226">
        <v>1.4746585075531982</v>
      </c>
      <c r="AE26" s="1226">
        <v>1.4739863068511501</v>
      </c>
      <c r="AF26" s="1226">
        <v>1.4000000000000001</v>
      </c>
      <c r="AG26" s="1226">
        <v>1.5</v>
      </c>
      <c r="AH26" s="1226">
        <v>1.5</v>
      </c>
      <c r="AI26" s="1226">
        <v>1.6</v>
      </c>
      <c r="AJ26" s="1226">
        <v>1.49</v>
      </c>
      <c r="AK26" s="1226">
        <v>1.54</v>
      </c>
      <c r="AL26" s="1226">
        <v>1.6923639622670097</v>
      </c>
      <c r="AM26" s="1226">
        <v>1.6468253092772327</v>
      </c>
      <c r="AN26" s="1226">
        <v>2.206227257590907</v>
      </c>
      <c r="AO26" s="1226">
        <v>2.0381838431232864</v>
      </c>
      <c r="AP26" s="1226">
        <v>2.0255635368388529</v>
      </c>
      <c r="AQ26" s="1226">
        <v>1.9417430097390922</v>
      </c>
      <c r="AR26" s="1226">
        <v>1.2317727901560871</v>
      </c>
      <c r="AS26" s="1226">
        <v>1.0554889242306253</v>
      </c>
      <c r="AT26" s="1226">
        <v>1.0629833107767395</v>
      </c>
      <c r="AU26" s="1226">
        <v>0.97475112532089192</v>
      </c>
      <c r="AV26" s="1226">
        <v>1.1971871063803601</v>
      </c>
      <c r="AW26" s="1226">
        <v>1.3</v>
      </c>
      <c r="AX26" s="1226">
        <v>1.3</v>
      </c>
      <c r="AY26" s="1226">
        <v>1.3</v>
      </c>
      <c r="AZ26" s="1226">
        <v>1.2</v>
      </c>
      <c r="BA26" s="1226">
        <v>1.3</v>
      </c>
      <c r="BB26" s="1226">
        <v>1.5</v>
      </c>
      <c r="BC26" s="1226">
        <v>1.6</v>
      </c>
      <c r="BD26" s="1226">
        <v>2.5</v>
      </c>
      <c r="BE26" s="1226">
        <v>2.6291596206761434</v>
      </c>
      <c r="BF26" s="1222"/>
      <c r="BG26" s="1222"/>
      <c r="BH26" s="1222"/>
      <c r="BI26" s="1222"/>
    </row>
    <row r="27" spans="1:61" s="1233" customFormat="1" ht="18.75" x14ac:dyDescent="0.3">
      <c r="A27" s="1223" t="s">
        <v>926</v>
      </c>
      <c r="B27" s="1224">
        <v>0.22024247467788996</v>
      </c>
      <c r="C27" s="1224">
        <v>0.22715409987767532</v>
      </c>
      <c r="D27" s="1224">
        <v>0.22139256495717388</v>
      </c>
      <c r="E27" s="1224">
        <v>0.21</v>
      </c>
      <c r="F27" s="1224">
        <v>0.214</v>
      </c>
      <c r="G27" s="1224">
        <v>0.19518147457291063</v>
      </c>
      <c r="H27" s="1224">
        <v>0.16700000000000001</v>
      </c>
      <c r="I27" s="1224">
        <v>0.200167681142044</v>
      </c>
      <c r="J27" s="1224">
        <v>0.19319702192885313</v>
      </c>
      <c r="K27" s="1224">
        <v>0.21475660485138484</v>
      </c>
      <c r="L27" s="1224">
        <v>0.22058102549230985</v>
      </c>
      <c r="M27" s="1224">
        <v>0.17899999999999999</v>
      </c>
      <c r="N27" s="1224">
        <v>0.20300000000000001</v>
      </c>
      <c r="O27" s="1224">
        <v>0.19630241418985794</v>
      </c>
      <c r="P27" s="1224">
        <v>0.1964053838402276</v>
      </c>
      <c r="Q27" s="1224">
        <v>0.17980837751637718</v>
      </c>
      <c r="R27" s="1224">
        <v>0.15654636430175237</v>
      </c>
      <c r="S27" s="1224">
        <v>0.152</v>
      </c>
      <c r="T27" s="1224">
        <v>0.13500000000000001</v>
      </c>
      <c r="U27" s="1224">
        <v>0.15</v>
      </c>
      <c r="V27" s="1225">
        <v>0.16299382009850857</v>
      </c>
      <c r="W27" s="1226">
        <v>15.244662636871393</v>
      </c>
      <c r="X27" s="1226">
        <v>13.691764718816323</v>
      </c>
      <c r="Y27" s="1226">
        <v>11.4</v>
      </c>
      <c r="Z27" s="1226">
        <v>11.1</v>
      </c>
      <c r="AA27" s="1226">
        <v>12.08330845681771</v>
      </c>
      <c r="AB27" s="1226">
        <v>13.139262747958739</v>
      </c>
      <c r="AC27" s="1226">
        <v>13.643696676349403</v>
      </c>
      <c r="AD27" s="1226">
        <v>14.011488942661035</v>
      </c>
      <c r="AE27" s="1226">
        <v>13.926742731512153</v>
      </c>
      <c r="AF27" s="1226">
        <v>13.200000000000001</v>
      </c>
      <c r="AG27" s="1226">
        <v>14.899999999999999</v>
      </c>
      <c r="AH27" s="1226">
        <v>14.7</v>
      </c>
      <c r="AI27" s="1226">
        <v>16</v>
      </c>
      <c r="AJ27" s="1226">
        <v>14.91</v>
      </c>
      <c r="AK27" s="1226">
        <v>14.64</v>
      </c>
      <c r="AL27" s="1226">
        <v>15.663858058796393</v>
      </c>
      <c r="AM27" s="1226">
        <v>15.061797945756956</v>
      </c>
      <c r="AN27" s="1226">
        <v>18.972522230132622</v>
      </c>
      <c r="AO27" s="1226">
        <v>17.41169088987327</v>
      </c>
      <c r="AP27" s="1226">
        <v>17.284500294032263</v>
      </c>
      <c r="AQ27" s="1226">
        <v>16.706972308375104</v>
      </c>
      <c r="AR27" s="1226">
        <v>10.964274071360022</v>
      </c>
      <c r="AS27" s="1226">
        <v>9.4505960925776655</v>
      </c>
      <c r="AT27" s="1226">
        <v>9.6530941345234851</v>
      </c>
      <c r="AU27" s="1226">
        <v>8.8854924637530601</v>
      </c>
      <c r="AV27" s="1226">
        <v>11.390579873923947</v>
      </c>
      <c r="AW27" s="1226">
        <v>12.7</v>
      </c>
      <c r="AX27" s="1226">
        <v>12.4</v>
      </c>
      <c r="AY27" s="1226">
        <v>10.532158208821626</v>
      </c>
      <c r="AZ27" s="1226">
        <v>10.4</v>
      </c>
      <c r="BA27" s="1226">
        <v>11.2</v>
      </c>
      <c r="BB27" s="1226">
        <v>12.8</v>
      </c>
      <c r="BC27" s="1226">
        <v>14</v>
      </c>
      <c r="BD27" s="1226">
        <v>21.4</v>
      </c>
      <c r="BE27" s="1226">
        <v>22.054683262229137</v>
      </c>
      <c r="BF27" s="1222"/>
      <c r="BG27" s="1222"/>
      <c r="BH27" s="1222"/>
      <c r="BI27" s="1222"/>
    </row>
    <row r="28" spans="1:61" ht="18.75" x14ac:dyDescent="0.3">
      <c r="A28" s="1223" t="s">
        <v>927</v>
      </c>
      <c r="B28" s="1224">
        <v>0.68927270547595321</v>
      </c>
      <c r="C28" s="1224">
        <v>0.68600000000000005</v>
      </c>
      <c r="D28" s="1224">
        <v>0.69</v>
      </c>
      <c r="E28" s="1224">
        <v>0.68899999999999995</v>
      </c>
      <c r="F28" s="1224">
        <v>0.67600000000000005</v>
      </c>
      <c r="G28" s="1224">
        <v>0.69299999999999995</v>
      </c>
      <c r="H28" s="1224">
        <v>0.70499999999999996</v>
      </c>
      <c r="I28" s="1224">
        <v>0.67052464624553398</v>
      </c>
      <c r="J28" s="1224">
        <v>0.69975067350562514</v>
      </c>
      <c r="K28" s="1224">
        <v>0.65439552793373612</v>
      </c>
      <c r="L28" s="1224">
        <v>0.62417960009325579</v>
      </c>
      <c r="M28" s="1224">
        <v>0.65400000000000003</v>
      </c>
      <c r="N28" s="1224">
        <v>0.59699999999999998</v>
      </c>
      <c r="O28" s="1224">
        <v>0.62977187817500924</v>
      </c>
      <c r="P28" s="1224">
        <v>0.65165725198905189</v>
      </c>
      <c r="Q28" s="1224">
        <v>0.65688000793393164</v>
      </c>
      <c r="R28" s="1224">
        <v>0.69779968032192285</v>
      </c>
      <c r="S28" s="1224">
        <v>0.71299999999999997</v>
      </c>
      <c r="T28" s="1224">
        <v>0.71299999999999997</v>
      </c>
      <c r="U28" s="1224">
        <v>0.66800000000000004</v>
      </c>
      <c r="V28" s="1225">
        <v>0.68237790917093921</v>
      </c>
      <c r="W28" s="1226">
        <v>48.957804329847562</v>
      </c>
      <c r="X28" s="1226">
        <v>64.890780202486482</v>
      </c>
      <c r="Y28" s="1226">
        <v>62</v>
      </c>
      <c r="Z28" s="1226">
        <v>61.8</v>
      </c>
      <c r="AA28" s="1226">
        <v>68.53268891713283</v>
      </c>
      <c r="AB28" s="1226">
        <v>62.741210017356288</v>
      </c>
      <c r="AC28" s="1226">
        <v>67.223235194532577</v>
      </c>
      <c r="AD28" s="1226">
        <v>62.980100903777867</v>
      </c>
      <c r="AE28" s="1226">
        <v>71.514311582573526</v>
      </c>
      <c r="AF28" s="1226">
        <v>69.20210908500357</v>
      </c>
      <c r="AG28" s="1226">
        <v>68.8</v>
      </c>
      <c r="AH28" s="1226">
        <v>70.199999999999989</v>
      </c>
      <c r="AI28" s="1226">
        <v>69.599999999999994</v>
      </c>
      <c r="AJ28" s="1226">
        <v>66.95</v>
      </c>
      <c r="AK28" s="1226">
        <v>71.459999999999994</v>
      </c>
      <c r="AL28" s="1226">
        <v>71.322508294203303</v>
      </c>
      <c r="AM28" s="1226">
        <v>72.923885275720281</v>
      </c>
      <c r="AN28" s="1226">
        <v>72.693468284242726</v>
      </c>
      <c r="AO28" s="1226">
        <v>73.810115711038463</v>
      </c>
      <c r="AP28" s="1226">
        <v>72.802980924650825</v>
      </c>
      <c r="AQ28" s="1227">
        <v>69.294822860877105</v>
      </c>
      <c r="AR28" s="1226">
        <v>71.737733415435329</v>
      </c>
      <c r="AS28" s="1226">
        <v>65.854990318326585</v>
      </c>
      <c r="AT28" s="1226">
        <v>68.207367998092536</v>
      </c>
      <c r="AU28" s="1226">
        <v>69.007966557859902</v>
      </c>
      <c r="AV28" s="1226">
        <v>63.084492648444566</v>
      </c>
      <c r="AW28" s="1226">
        <v>69.3</v>
      </c>
      <c r="AX28" s="1226">
        <v>66.599999999999994</v>
      </c>
      <c r="AY28" s="1226">
        <v>65.923804527823194</v>
      </c>
      <c r="AZ28" s="1226">
        <v>66.400000000000006</v>
      </c>
      <c r="BA28" s="1226">
        <v>68.599999999999994</v>
      </c>
      <c r="BB28" s="1226">
        <v>70</v>
      </c>
      <c r="BC28" s="1226">
        <v>70.099999999999994</v>
      </c>
      <c r="BD28" s="1226">
        <v>74.400000000000006</v>
      </c>
      <c r="BE28" s="1226">
        <v>74.24022209313226</v>
      </c>
      <c r="BF28" s="1222"/>
      <c r="BG28" s="1222"/>
      <c r="BH28" s="1222"/>
      <c r="BI28" s="1222"/>
    </row>
    <row r="29" spans="1:61" ht="18.75" x14ac:dyDescent="0.3">
      <c r="A29" s="1223" t="s">
        <v>928</v>
      </c>
      <c r="B29" s="1224">
        <v>0.38165357658836813</v>
      </c>
      <c r="C29" s="1224">
        <v>0.38800000000000001</v>
      </c>
      <c r="D29" s="1224">
        <v>0.37591465370404409</v>
      </c>
      <c r="E29" s="1224">
        <v>0.39200000000000002</v>
      </c>
      <c r="F29" s="1224">
        <v>0.39900000000000002</v>
      </c>
      <c r="G29" s="1224">
        <v>0.40894936046831321</v>
      </c>
      <c r="H29" s="1224">
        <v>0.43041634891269864</v>
      </c>
      <c r="I29" s="1224">
        <v>0.38928613324127903</v>
      </c>
      <c r="J29" s="1224">
        <v>0.39348905199766759</v>
      </c>
      <c r="K29" s="1224">
        <v>0.3671289285246872</v>
      </c>
      <c r="L29" s="1224">
        <v>0.36766692890891983</v>
      </c>
      <c r="M29" s="1224">
        <v>0.41199999999999998</v>
      </c>
      <c r="N29" s="1224">
        <v>0.33800000000000002</v>
      </c>
      <c r="O29" s="1224">
        <v>0.39021901253483943</v>
      </c>
      <c r="P29" s="1224">
        <v>0.3860554089170613</v>
      </c>
      <c r="Q29" s="1224">
        <v>0.38746267888210367</v>
      </c>
      <c r="R29" s="1224">
        <v>0.41456959896407691</v>
      </c>
      <c r="S29" s="1224">
        <v>0.43</v>
      </c>
      <c r="T29" s="1224">
        <v>0.437</v>
      </c>
      <c r="U29" s="1224">
        <v>0.44800000000000001</v>
      </c>
      <c r="V29" s="1225">
        <v>0.42688328881786741</v>
      </c>
      <c r="W29" s="1226">
        <v>36.878828281237382</v>
      </c>
      <c r="X29" s="1226">
        <v>43.598319242041796</v>
      </c>
      <c r="Y29" s="1226">
        <v>40.6</v>
      </c>
      <c r="Z29" s="1226">
        <v>39.5</v>
      </c>
      <c r="AA29" s="1226">
        <v>44.266421935883159</v>
      </c>
      <c r="AB29" s="1226">
        <v>36.183633918285516</v>
      </c>
      <c r="AC29" s="1226">
        <v>41.777357758885245</v>
      </c>
      <c r="AD29" s="1226">
        <v>38.91381225487185</v>
      </c>
      <c r="AE29" s="1226">
        <v>45.883118245707983</v>
      </c>
      <c r="AF29" s="1226">
        <v>42.256130385845161</v>
      </c>
      <c r="AG29" s="1226">
        <v>40.200000000000003</v>
      </c>
      <c r="AH29" s="1226">
        <v>44.3</v>
      </c>
      <c r="AI29" s="1226">
        <v>42.9</v>
      </c>
      <c r="AJ29" s="1226">
        <v>41.13</v>
      </c>
      <c r="AK29" s="1226">
        <v>40.51</v>
      </c>
      <c r="AL29" s="1226">
        <v>41.5242541537189</v>
      </c>
      <c r="AM29" s="1226">
        <v>39.572794892234917</v>
      </c>
      <c r="AN29" s="1226">
        <v>38.423939843807844</v>
      </c>
      <c r="AO29" s="1226">
        <v>40.384402037778628</v>
      </c>
      <c r="AP29" s="1226">
        <v>42.454167747126895</v>
      </c>
      <c r="AQ29" s="1227">
        <v>41.056475919522718</v>
      </c>
      <c r="AR29" s="1226">
        <v>41.813727199979823</v>
      </c>
      <c r="AS29" s="1226">
        <v>40.032403383137968</v>
      </c>
      <c r="AT29" s="1226">
        <v>43.322117908762124</v>
      </c>
      <c r="AU29" s="1226">
        <v>44.125550257001215</v>
      </c>
      <c r="AV29" s="1226">
        <v>44.025934383685687</v>
      </c>
      <c r="AW29" s="1226">
        <v>43.2</v>
      </c>
      <c r="AX29" s="1226">
        <v>45.9</v>
      </c>
      <c r="AY29" s="1226">
        <v>44.601661603675034</v>
      </c>
      <c r="AZ29" s="1226">
        <v>45.8</v>
      </c>
      <c r="BA29" s="1226">
        <v>45.1</v>
      </c>
      <c r="BB29" s="1226">
        <v>42.5</v>
      </c>
      <c r="BC29" s="1226">
        <v>40.6</v>
      </c>
      <c r="BD29" s="1226">
        <v>35.1</v>
      </c>
      <c r="BE29" s="1226">
        <v>32.954265645355392</v>
      </c>
      <c r="BF29" s="1222"/>
      <c r="BG29" s="1222"/>
      <c r="BH29" s="1222"/>
      <c r="BI29" s="1222"/>
    </row>
    <row r="30" spans="1:61" ht="17.25" x14ac:dyDescent="0.3">
      <c r="A30" s="1223"/>
      <c r="B30" s="1224"/>
      <c r="C30" s="1224"/>
      <c r="D30" s="1224"/>
      <c r="E30" s="1224"/>
      <c r="F30" s="1224"/>
      <c r="G30" s="1224"/>
      <c r="H30" s="1224"/>
      <c r="I30" s="1224"/>
      <c r="J30" s="1224"/>
      <c r="K30" s="1224"/>
      <c r="L30" s="1224"/>
      <c r="M30" s="1224"/>
      <c r="N30" s="1224"/>
      <c r="O30" s="1224"/>
      <c r="P30" s="1224"/>
      <c r="Q30" s="1224"/>
      <c r="R30" s="1224"/>
      <c r="S30" s="1224"/>
      <c r="T30" s="1224"/>
      <c r="U30" s="1224"/>
      <c r="V30" s="1225"/>
      <c r="W30" s="1226"/>
      <c r="X30" s="1226"/>
      <c r="Y30" s="1226"/>
      <c r="Z30" s="1226"/>
      <c r="AA30" s="1226"/>
      <c r="AB30" s="1226"/>
      <c r="AC30" s="1226"/>
      <c r="AD30" s="1226"/>
      <c r="AE30" s="1226"/>
      <c r="AF30" s="1226"/>
      <c r="AG30" s="1226"/>
      <c r="AH30" s="1226"/>
      <c r="AI30" s="1226"/>
      <c r="AJ30" s="1226"/>
      <c r="AK30" s="1226"/>
      <c r="AL30" s="1226"/>
      <c r="AM30" s="1226"/>
      <c r="AN30" s="1226"/>
      <c r="AO30" s="1226"/>
      <c r="AP30" s="1226"/>
      <c r="AQ30" s="1226"/>
      <c r="AR30" s="1226"/>
      <c r="AS30" s="1226"/>
      <c r="AT30" s="1226"/>
      <c r="AU30" s="1226"/>
      <c r="AV30" s="1226"/>
      <c r="AW30" s="1226"/>
      <c r="AX30" s="1226"/>
      <c r="AY30" s="1226"/>
      <c r="AZ30" s="1226"/>
      <c r="BA30" s="1226"/>
      <c r="BB30" s="1226"/>
      <c r="BC30" s="1226"/>
      <c r="BD30" s="1226"/>
      <c r="BE30" s="1226"/>
      <c r="BF30" s="1222"/>
      <c r="BG30" s="1222"/>
      <c r="BH30" s="1222"/>
      <c r="BI30" s="1222"/>
    </row>
    <row r="31" spans="1:61" s="1222" customFormat="1" ht="17.25" x14ac:dyDescent="0.3">
      <c r="A31" s="1231" t="s">
        <v>929</v>
      </c>
      <c r="B31" s="1224"/>
      <c r="C31" s="1224"/>
      <c r="D31" s="1224"/>
      <c r="E31" s="1224"/>
      <c r="F31" s="1224"/>
      <c r="G31" s="1224"/>
      <c r="H31" s="1224"/>
      <c r="I31" s="1224"/>
      <c r="J31" s="1224"/>
      <c r="K31" s="1224"/>
      <c r="L31" s="1224"/>
      <c r="M31" s="1224"/>
      <c r="N31" s="1224"/>
      <c r="O31" s="1224"/>
      <c r="P31" s="1224"/>
      <c r="Q31" s="1224"/>
      <c r="R31" s="1224"/>
      <c r="S31" s="1224"/>
      <c r="T31" s="1224"/>
      <c r="U31" s="1224"/>
      <c r="V31" s="1225"/>
      <c r="W31" s="1226"/>
      <c r="X31" s="1226"/>
      <c r="Y31" s="1226"/>
      <c r="Z31" s="1226"/>
      <c r="AA31" s="1226"/>
      <c r="AB31" s="1226"/>
      <c r="AC31" s="1226"/>
      <c r="AD31" s="1226"/>
      <c r="AE31" s="1226"/>
      <c r="AF31" s="1226"/>
      <c r="AG31" s="1226"/>
      <c r="AH31" s="1226"/>
      <c r="AI31" s="1226"/>
      <c r="AJ31" s="1226"/>
      <c r="AK31" s="1226"/>
      <c r="AL31" s="1226"/>
      <c r="AM31" s="1226"/>
      <c r="AN31" s="1226"/>
      <c r="AO31" s="1226"/>
      <c r="AP31" s="1226"/>
      <c r="AQ31" s="1226"/>
      <c r="AR31" s="1226"/>
      <c r="AS31" s="1226"/>
      <c r="AT31" s="1226"/>
      <c r="AU31" s="1226"/>
      <c r="AV31" s="1226"/>
      <c r="AW31" s="1226"/>
      <c r="AX31" s="1226"/>
      <c r="AY31" s="1226"/>
      <c r="AZ31" s="1226"/>
      <c r="BA31" s="1226"/>
      <c r="BB31" s="1226"/>
      <c r="BC31" s="1226"/>
      <c r="BD31" s="1226"/>
      <c r="BE31" s="1226"/>
    </row>
    <row r="32" spans="1:61" s="1233" customFormat="1" ht="18.75" x14ac:dyDescent="0.3">
      <c r="A32" s="1223" t="s">
        <v>930</v>
      </c>
      <c r="B32" s="1224">
        <f>3198.69553483832%/100</f>
        <v>0.319869553483832</v>
      </c>
      <c r="C32" s="1224">
        <f>2883.54139724783%/100</f>
        <v>0.28835413972478302</v>
      </c>
      <c r="D32" s="1224">
        <f>2647.99753987011%/100</f>
        <v>0.264799753987011</v>
      </c>
      <c r="E32" s="1224">
        <f>2793.88812550324%/100</f>
        <v>0.27938881255032405</v>
      </c>
      <c r="F32" s="1224">
        <f>2764.2792299214%/100</f>
        <v>0.27642792299214003</v>
      </c>
      <c r="G32" s="1224">
        <f>2494.99233140775%/100</f>
        <v>0.24949923314077502</v>
      </c>
      <c r="H32" s="1224">
        <f>2359.35420038034%/100</f>
        <v>0.235935420038034</v>
      </c>
      <c r="I32" s="1224">
        <v>0.233821796802682</v>
      </c>
      <c r="J32" s="1224">
        <v>0.19846258281635012</v>
      </c>
      <c r="K32" s="1224">
        <v>0.21183228729625447</v>
      </c>
      <c r="L32" s="1224">
        <v>0.1823844581403502</v>
      </c>
      <c r="M32" s="1224">
        <v>0.17699999999999999</v>
      </c>
      <c r="N32" s="1224">
        <v>0.191</v>
      </c>
      <c r="O32" s="1224">
        <v>0.14787624364786564</v>
      </c>
      <c r="P32" s="1224">
        <v>0.1635561889119112</v>
      </c>
      <c r="Q32" s="1224">
        <v>0.19142503995162541</v>
      </c>
      <c r="R32" s="1224">
        <v>0.19068883377495952</v>
      </c>
      <c r="S32" s="1224">
        <v>0.19400000000000001</v>
      </c>
      <c r="T32" s="1224">
        <v>0.17499999999999999</v>
      </c>
      <c r="U32" s="1224">
        <v>0.22500000000000001</v>
      </c>
      <c r="V32" s="1225">
        <v>0.22699012975755481</v>
      </c>
      <c r="W32" s="1226">
        <v>24.09625881394858</v>
      </c>
      <c r="X32" s="1226">
        <v>25.956200484147235</v>
      </c>
      <c r="Y32" s="1226">
        <v>25.1</v>
      </c>
      <c r="Z32" s="1226">
        <v>24.3</v>
      </c>
      <c r="AA32" s="1226">
        <v>27.142915617403883</v>
      </c>
      <c r="AB32" s="1226">
        <v>27.434399319476118</v>
      </c>
      <c r="AC32" s="1226">
        <v>27.927923997394061</v>
      </c>
      <c r="AD32" s="1226">
        <v>28.268794851144087</v>
      </c>
      <c r="AE32" s="1226">
        <v>27.859308096266783</v>
      </c>
      <c r="AF32" s="1226">
        <v>26.837315676924266</v>
      </c>
      <c r="AG32" s="1226">
        <v>28.1</v>
      </c>
      <c r="AH32" s="1226">
        <v>25</v>
      </c>
      <c r="AI32" s="1226">
        <v>22.1</v>
      </c>
      <c r="AJ32" s="1226">
        <v>23.2</v>
      </c>
      <c r="AK32" s="1226">
        <v>25.37</v>
      </c>
      <c r="AL32" s="1226">
        <v>21.572066904887965</v>
      </c>
      <c r="AM32" s="1226">
        <v>22.546695113733346</v>
      </c>
      <c r="AN32" s="1226">
        <v>22.557680565156815</v>
      </c>
      <c r="AO32" s="1226">
        <v>20.991140022327809</v>
      </c>
      <c r="AP32" s="1226">
        <v>21.741972974986023</v>
      </c>
      <c r="AQ32" s="1226">
        <v>25.271548428200468</v>
      </c>
      <c r="AR32" s="1226">
        <v>24.527136382024747</v>
      </c>
      <c r="AS32" s="1226">
        <v>26.38357194716453</v>
      </c>
      <c r="AT32" s="1226">
        <v>27.699442655492518</v>
      </c>
      <c r="AU32" s="1226">
        <v>26.049504322446694</v>
      </c>
      <c r="AV32" s="1226">
        <v>29.386920832383044</v>
      </c>
      <c r="AW32" s="1226">
        <v>27.3</v>
      </c>
      <c r="AX32" s="1226">
        <v>26.5</v>
      </c>
      <c r="AY32" s="1226">
        <v>48.635005576643685</v>
      </c>
      <c r="AZ32" s="1226">
        <v>49.8</v>
      </c>
      <c r="BA32" s="1226">
        <v>47.8</v>
      </c>
      <c r="BB32" s="1226">
        <v>47.9</v>
      </c>
      <c r="BC32" s="1226">
        <v>45.5</v>
      </c>
      <c r="BD32" s="1226">
        <v>46.9</v>
      </c>
      <c r="BE32" s="1226">
        <v>46.994992623016593</v>
      </c>
      <c r="BF32" s="1222"/>
      <c r="BG32" s="1222"/>
      <c r="BH32" s="1222"/>
      <c r="BI32" s="1222"/>
    </row>
    <row r="33" spans="1:61" ht="18.75" x14ac:dyDescent="0.3">
      <c r="A33" s="1223" t="s">
        <v>931</v>
      </c>
      <c r="B33" s="1224">
        <v>0.36733440968615505</v>
      </c>
      <c r="C33" s="1224">
        <v>0.34416969269264264</v>
      </c>
      <c r="D33" s="1224">
        <v>0.31765180209417104</v>
      </c>
      <c r="E33" s="1224">
        <v>0.34403627001483933</v>
      </c>
      <c r="F33" s="1224">
        <v>0.35415334845235552</v>
      </c>
      <c r="G33" s="1224">
        <v>0.32384477218823571</v>
      </c>
      <c r="H33" s="1224">
        <v>0.3122705232676406</v>
      </c>
      <c r="I33" s="1224">
        <v>0.31876904337777801</v>
      </c>
      <c r="J33" s="1224">
        <v>0.28078266284313547</v>
      </c>
      <c r="K33" s="1224">
        <v>0.29928540102271473</v>
      </c>
      <c r="L33" s="1224">
        <v>0.26706251255058722</v>
      </c>
      <c r="M33" s="1224">
        <v>0.26</v>
      </c>
      <c r="N33" s="1224">
        <v>0.28799999999999998</v>
      </c>
      <c r="O33" s="1224">
        <v>0.22604206315803368</v>
      </c>
      <c r="P33" s="1224">
        <v>0.25120426135156182</v>
      </c>
      <c r="Q33" s="1224">
        <v>0.27451269118104954</v>
      </c>
      <c r="R33" s="1224">
        <v>0.27949757265796787</v>
      </c>
      <c r="S33" s="1224">
        <v>0.28000000000000003</v>
      </c>
      <c r="T33" s="1224">
        <v>0.26500000000000001</v>
      </c>
      <c r="U33" s="1224">
        <v>0.31</v>
      </c>
      <c r="V33" s="1225">
        <v>0.29133738928079433</v>
      </c>
      <c r="W33" s="1226">
        <v>30.194998135417585</v>
      </c>
      <c r="X33" s="1226">
        <v>32.996147914315046</v>
      </c>
      <c r="Y33" s="1226">
        <v>31.7</v>
      </c>
      <c r="Z33" s="1226">
        <v>31.1</v>
      </c>
      <c r="AA33" s="1226">
        <v>34.489015586532489</v>
      </c>
      <c r="AB33" s="1226">
        <v>34.421831374166722</v>
      </c>
      <c r="AC33" s="1226">
        <v>34.132045167644662</v>
      </c>
      <c r="AD33" s="1226">
        <v>34.280026697973724</v>
      </c>
      <c r="AE33" s="1226">
        <v>33.851704489104179</v>
      </c>
      <c r="AF33" s="1226">
        <v>33.307781232977042</v>
      </c>
      <c r="AG33" s="1226">
        <v>35.199999999999996</v>
      </c>
      <c r="AH33" s="1226">
        <v>32.200000000000003</v>
      </c>
      <c r="AI33" s="1226">
        <v>28.9</v>
      </c>
      <c r="AJ33" s="1226">
        <v>30.03</v>
      </c>
      <c r="AK33" s="1226">
        <v>28.79</v>
      </c>
      <c r="AL33" s="1226">
        <v>24.570447913983699</v>
      </c>
      <c r="AM33" s="1226">
        <v>25.525085947107247</v>
      </c>
      <c r="AN33" s="1226">
        <v>25.636014001331485</v>
      </c>
      <c r="AO33" s="1226">
        <v>23.863619699285589</v>
      </c>
      <c r="AP33" s="1226">
        <v>24.717089688296614</v>
      </c>
      <c r="AQ33" s="1226">
        <v>28.528597138542644</v>
      </c>
      <c r="AR33" s="1226">
        <v>27.714199398343819</v>
      </c>
      <c r="AS33" s="1226">
        <v>29.723515893727487</v>
      </c>
      <c r="AT33" s="1226">
        <v>31.071832868578163</v>
      </c>
      <c r="AU33" s="1226">
        <v>29.258097229978631</v>
      </c>
      <c r="AV33" s="1226">
        <v>32.814777103977924</v>
      </c>
      <c r="AW33" s="1226">
        <v>30.5</v>
      </c>
      <c r="AX33" s="1226">
        <v>29.6</v>
      </c>
      <c r="AY33" s="1226">
        <v>54.317539519862571</v>
      </c>
      <c r="AZ33" s="1226">
        <v>55.8</v>
      </c>
      <c r="BA33" s="1226">
        <v>53.6</v>
      </c>
      <c r="BB33" s="1226">
        <v>53.3</v>
      </c>
      <c r="BC33" s="1226">
        <v>50.8</v>
      </c>
      <c r="BD33" s="1226">
        <v>52.6</v>
      </c>
      <c r="BE33" s="1226">
        <v>52.787267020266498</v>
      </c>
      <c r="BF33" s="1222"/>
      <c r="BG33" s="1222"/>
      <c r="BH33" s="1222"/>
      <c r="BI33" s="1222"/>
    </row>
    <row r="34" spans="1:61" ht="18.75" x14ac:dyDescent="0.3">
      <c r="A34" s="1223" t="s">
        <v>932</v>
      </c>
      <c r="B34" s="1224"/>
      <c r="C34" s="1224"/>
      <c r="D34" s="1224"/>
      <c r="E34" s="1224"/>
      <c r="F34" s="1224"/>
      <c r="G34" s="1224"/>
      <c r="H34" s="1224"/>
      <c r="I34" s="1224"/>
      <c r="J34" s="1224"/>
      <c r="K34" s="1224"/>
      <c r="L34" s="1224"/>
      <c r="M34" s="1224"/>
      <c r="N34" s="1224"/>
      <c r="O34" s="1224"/>
      <c r="P34" s="1224"/>
      <c r="Q34" s="1224"/>
      <c r="R34" s="1224"/>
      <c r="S34" s="1224"/>
      <c r="T34" s="1224"/>
      <c r="U34" s="1224"/>
      <c r="V34" s="1225"/>
      <c r="W34" s="1226"/>
      <c r="X34" s="1226"/>
      <c r="Y34" s="1226"/>
      <c r="Z34" s="1226"/>
      <c r="AA34" s="1226"/>
      <c r="AB34" s="1226"/>
      <c r="AC34" s="1226"/>
      <c r="AD34" s="1226"/>
      <c r="AE34" s="1226"/>
      <c r="AF34" s="1226"/>
      <c r="AG34" s="1226"/>
      <c r="AH34" s="1226"/>
      <c r="AI34" s="1226"/>
      <c r="AJ34" s="1226"/>
      <c r="AK34" s="1226"/>
      <c r="AL34" s="1226"/>
      <c r="AM34" s="1230">
        <v>185.06434251531431</v>
      </c>
      <c r="AN34" s="1230">
        <v>205.71825351852965</v>
      </c>
      <c r="AO34" s="1230">
        <v>245.96974034985749</v>
      </c>
      <c r="AP34" s="1230">
        <v>248.71059771357551</v>
      </c>
      <c r="AQ34" s="1230">
        <v>246.18780915866537</v>
      </c>
      <c r="AR34" s="1230">
        <v>237.37703593062525</v>
      </c>
      <c r="AS34" s="1230">
        <v>235.95887418544783</v>
      </c>
      <c r="AT34" s="1230">
        <v>261.3673442564866</v>
      </c>
      <c r="AU34" s="1230">
        <v>248.73840518320293</v>
      </c>
      <c r="AV34" s="1230">
        <v>250.56119250787992</v>
      </c>
      <c r="AW34" s="1230">
        <v>246.14420032671572</v>
      </c>
      <c r="AX34" s="1230">
        <v>258.95524375711875</v>
      </c>
      <c r="AY34" s="1227">
        <v>237.2</v>
      </c>
      <c r="AZ34" s="1226">
        <v>261.5</v>
      </c>
      <c r="BA34" s="1226">
        <v>235.8</v>
      </c>
      <c r="BB34" s="1226">
        <v>230.8</v>
      </c>
      <c r="BC34" s="1226">
        <v>238.3</v>
      </c>
      <c r="BD34" s="1226">
        <v>237.5</v>
      </c>
      <c r="BE34" s="1226">
        <v>277.4247952610063</v>
      </c>
      <c r="BF34" s="1222"/>
      <c r="BG34" s="1222"/>
      <c r="BH34" s="1222"/>
      <c r="BI34" s="1222"/>
    </row>
    <row r="35" spans="1:61" ht="17.25" x14ac:dyDescent="0.3">
      <c r="A35" s="1223"/>
      <c r="B35" s="1224"/>
      <c r="C35" s="1224"/>
      <c r="D35" s="1224"/>
      <c r="E35" s="1224"/>
      <c r="F35" s="1224"/>
      <c r="G35" s="1224"/>
      <c r="H35" s="1224"/>
      <c r="I35" s="1224"/>
      <c r="J35" s="1224"/>
      <c r="K35" s="1224"/>
      <c r="L35" s="1224"/>
      <c r="M35" s="1224"/>
      <c r="N35" s="1224"/>
      <c r="O35" s="1224"/>
      <c r="P35" s="1224"/>
      <c r="Q35" s="1224"/>
      <c r="R35" s="1224"/>
      <c r="S35" s="1224"/>
      <c r="T35" s="1224"/>
      <c r="U35" s="1224"/>
      <c r="V35" s="1225"/>
      <c r="W35" s="1226">
        <v>0</v>
      </c>
      <c r="X35" s="1226">
        <v>0</v>
      </c>
      <c r="Y35" s="1226">
        <v>0</v>
      </c>
      <c r="Z35" s="1226">
        <v>0</v>
      </c>
      <c r="AA35" s="1226">
        <v>0</v>
      </c>
      <c r="AB35" s="1226">
        <v>0</v>
      </c>
      <c r="AC35" s="1226">
        <v>0</v>
      </c>
      <c r="AD35" s="1226">
        <v>0</v>
      </c>
      <c r="AE35" s="1226">
        <v>0</v>
      </c>
      <c r="AF35" s="1226">
        <v>0</v>
      </c>
      <c r="AG35" s="1226">
        <v>0</v>
      </c>
      <c r="AH35" s="1226">
        <v>0</v>
      </c>
      <c r="AI35" s="1226">
        <v>0</v>
      </c>
      <c r="AJ35" s="1226"/>
      <c r="AK35" s="1226"/>
      <c r="AL35" s="1226"/>
      <c r="AM35" s="1226"/>
      <c r="AN35" s="1226"/>
      <c r="AO35" s="1226"/>
      <c r="AP35" s="1226"/>
      <c r="AQ35" s="1226"/>
      <c r="AR35" s="1226"/>
      <c r="AS35" s="1226"/>
      <c r="AT35" s="1226"/>
      <c r="AU35" s="1226"/>
      <c r="AV35" s="1226"/>
      <c r="AW35" s="1226"/>
      <c r="AX35" s="1226"/>
      <c r="AY35" s="1226"/>
      <c r="AZ35" s="1226"/>
      <c r="BA35" s="1226"/>
      <c r="BB35" s="1226"/>
      <c r="BC35" s="1226"/>
      <c r="BD35" s="1226"/>
      <c r="BE35" s="1226"/>
      <c r="BF35" s="1222"/>
      <c r="BG35" s="1222"/>
      <c r="BH35" s="1222"/>
      <c r="BI35" s="1222"/>
    </row>
    <row r="36" spans="1:61" s="1222" customFormat="1" ht="17.25" x14ac:dyDescent="0.3">
      <c r="A36" s="1231" t="s">
        <v>933</v>
      </c>
      <c r="B36" s="1224"/>
      <c r="C36" s="1224"/>
      <c r="D36" s="1224"/>
      <c r="E36" s="1224"/>
      <c r="F36" s="1224"/>
      <c r="G36" s="1224"/>
      <c r="H36" s="1224"/>
      <c r="I36" s="1224"/>
      <c r="J36" s="1224"/>
      <c r="K36" s="1224"/>
      <c r="L36" s="1224"/>
      <c r="M36" s="1224"/>
      <c r="N36" s="1224"/>
      <c r="O36" s="1224"/>
      <c r="P36" s="1224"/>
      <c r="Q36" s="1224"/>
      <c r="R36" s="1224"/>
      <c r="S36" s="1224"/>
      <c r="T36" s="1224"/>
      <c r="U36" s="1224"/>
      <c r="V36" s="1225"/>
      <c r="W36" s="1226"/>
      <c r="X36" s="1226"/>
      <c r="Y36" s="1226"/>
      <c r="Z36" s="1226"/>
      <c r="AA36" s="1226"/>
      <c r="AB36" s="1226"/>
      <c r="AC36" s="1226"/>
      <c r="AD36" s="1226"/>
      <c r="AE36" s="1226"/>
      <c r="AF36" s="1226"/>
      <c r="AG36" s="1226"/>
      <c r="AH36" s="1226"/>
      <c r="AI36" s="1226"/>
      <c r="AJ36" s="1226"/>
      <c r="AK36" s="1226"/>
      <c r="AL36" s="1226"/>
      <c r="AM36" s="1226"/>
      <c r="AN36" s="1226"/>
      <c r="AO36" s="1226"/>
      <c r="AP36" s="1226"/>
      <c r="AQ36" s="1226"/>
      <c r="AR36" s="1226"/>
      <c r="AS36" s="1226"/>
      <c r="AT36" s="1226"/>
      <c r="AU36" s="1226"/>
      <c r="AV36" s="1226"/>
      <c r="AW36" s="1226"/>
      <c r="AX36" s="1226"/>
      <c r="AY36" s="1226"/>
      <c r="AZ36" s="1226"/>
      <c r="BA36" s="1226"/>
      <c r="BB36" s="1226"/>
      <c r="BC36" s="1226"/>
      <c r="BD36" s="1226"/>
      <c r="BE36" s="1226"/>
    </row>
    <row r="37" spans="1:61" ht="17.25" x14ac:dyDescent="0.3">
      <c r="A37" s="1223" t="s">
        <v>934</v>
      </c>
      <c r="B37" s="1224">
        <v>6.0104282553467739E-2</v>
      </c>
      <c r="C37" s="1224">
        <v>6.4500346785437618E-2</v>
      </c>
      <c r="D37" s="1224">
        <v>5.2099011223765992E-2</v>
      </c>
      <c r="E37" s="1224">
        <v>5.3012908503079936E-2</v>
      </c>
      <c r="F37" s="1224">
        <v>3.7775463806665695E-2</v>
      </c>
      <c r="G37" s="1224">
        <v>1.7999999999999999E-2</v>
      </c>
      <c r="H37" s="1224">
        <v>4.2999999999999997E-2</v>
      </c>
      <c r="I37" s="1224">
        <v>7.0107517851225695E-2</v>
      </c>
      <c r="J37" s="1224">
        <v>2.6102399698963264E-2</v>
      </c>
      <c r="K37" s="1224">
        <v>1.9882783996460547E-2</v>
      </c>
      <c r="L37" s="1224">
        <v>1.6936369755080404E-2</v>
      </c>
      <c r="M37" s="1224">
        <v>2.1999999999999999E-2</v>
      </c>
      <c r="N37" s="1224">
        <v>0.03</v>
      </c>
      <c r="O37" s="1224">
        <v>3.7545194683539999E-2</v>
      </c>
      <c r="P37" s="1224">
        <v>2.9523432845026468E-2</v>
      </c>
      <c r="Q37" s="1224">
        <v>2.1096732096130714E-2</v>
      </c>
      <c r="R37" s="1224">
        <v>2.1691074312518387E-2</v>
      </c>
      <c r="S37" s="1224">
        <v>2.3E-2</v>
      </c>
      <c r="T37" s="1224">
        <v>2.3E-2</v>
      </c>
      <c r="U37" s="1224">
        <v>2.1000000000000001E-2</v>
      </c>
      <c r="V37" s="1225">
        <v>2.9767143936428712E-2</v>
      </c>
      <c r="W37" s="1226">
        <v>2.3671240711071979</v>
      </c>
      <c r="X37" s="1226">
        <v>2.7377210400152552</v>
      </c>
      <c r="Y37" s="1226">
        <v>2.8000000000000003</v>
      </c>
      <c r="Z37" s="1226">
        <v>2.6</v>
      </c>
      <c r="AA37" s="1226">
        <v>3.0399589089660322</v>
      </c>
      <c r="AB37" s="1226">
        <v>2.5358553132808566</v>
      </c>
      <c r="AC37" s="1226">
        <v>2.8569898184830889</v>
      </c>
      <c r="AD37" s="1226">
        <v>3.0105070033503716</v>
      </c>
      <c r="AE37" s="1236">
        <v>3.1</v>
      </c>
      <c r="AF37" s="1226">
        <v>4.7</v>
      </c>
      <c r="AG37" s="1226">
        <v>3.8</v>
      </c>
      <c r="AH37" s="1226">
        <v>3.3000000000000003</v>
      </c>
      <c r="AI37" s="1226">
        <v>3.3000000000000003</v>
      </c>
      <c r="AJ37" s="1226">
        <v>4.8</v>
      </c>
      <c r="AK37" s="1226">
        <v>3.05</v>
      </c>
      <c r="AL37" s="1226">
        <v>2.5739174229080173</v>
      </c>
      <c r="AM37" s="1226">
        <v>2.0982168926491829</v>
      </c>
      <c r="AN37" s="1226">
        <v>3.6282338540501438</v>
      </c>
      <c r="AO37" s="1226">
        <v>2.7841920746542619</v>
      </c>
      <c r="AP37" s="1226">
        <v>1.9356859820226016</v>
      </c>
      <c r="AQ37" s="1226">
        <v>2.0930245211400003</v>
      </c>
      <c r="AR37" s="1226">
        <v>1.6950509850660926</v>
      </c>
      <c r="AS37" s="1226">
        <v>1.7107143034474743</v>
      </c>
      <c r="AT37" s="1226">
        <v>1.6117213095953209</v>
      </c>
      <c r="AU37" s="1226">
        <v>1.6416036359376718</v>
      </c>
      <c r="AV37" s="1226">
        <v>1.8627625081364965</v>
      </c>
      <c r="AW37" s="1226">
        <v>2.2000000000000002</v>
      </c>
      <c r="AX37" s="1226">
        <v>1.8</v>
      </c>
      <c r="AY37" s="1226">
        <v>1.4914357889324932</v>
      </c>
      <c r="AZ37" s="1226">
        <v>1.4914357889324932</v>
      </c>
      <c r="BA37" s="1227">
        <v>1.8</v>
      </c>
      <c r="BB37" s="1226">
        <v>1.9</v>
      </c>
      <c r="BC37" s="1226">
        <v>1.5</v>
      </c>
      <c r="BD37" s="1226">
        <v>1.5</v>
      </c>
      <c r="BE37" s="1226">
        <v>1.0745746632838602</v>
      </c>
      <c r="BF37" s="1222"/>
      <c r="BG37" s="1222"/>
      <c r="BH37" s="1222"/>
      <c r="BI37" s="1222"/>
    </row>
    <row r="38" spans="1:61" ht="18" thickBot="1" x14ac:dyDescent="0.35">
      <c r="A38" s="1237"/>
      <c r="B38" s="1238"/>
      <c r="C38" s="1238"/>
      <c r="D38" s="1238"/>
      <c r="E38" s="1238"/>
      <c r="F38" s="1238"/>
      <c r="G38" s="1238"/>
      <c r="H38" s="1238"/>
      <c r="I38" s="1238"/>
      <c r="J38" s="1238"/>
      <c r="K38" s="1238"/>
      <c r="L38" s="1238"/>
      <c r="M38" s="1238"/>
      <c r="N38" s="1238"/>
      <c r="O38" s="1238"/>
      <c r="P38" s="1238"/>
      <c r="Q38" s="1238"/>
      <c r="R38" s="1238"/>
      <c r="S38" s="1238"/>
      <c r="T38" s="1238"/>
      <c r="U38" s="1238"/>
      <c r="V38" s="1239"/>
      <c r="W38" s="1240"/>
      <c r="X38" s="1240"/>
      <c r="Y38" s="1240"/>
      <c r="Z38" s="1240"/>
      <c r="AA38" s="1241"/>
      <c r="AB38" s="1240"/>
      <c r="AC38" s="1240"/>
      <c r="AD38" s="1240"/>
      <c r="AE38" s="1241"/>
      <c r="AF38" s="1241"/>
      <c r="AG38" s="1241"/>
      <c r="AH38" s="1241"/>
      <c r="AI38" s="1241"/>
      <c r="AJ38" s="1241"/>
      <c r="AK38" s="1241"/>
      <c r="AL38" s="1241"/>
      <c r="AM38" s="1241"/>
      <c r="AN38" s="1241"/>
      <c r="AO38" s="1241"/>
      <c r="AP38" s="1241"/>
      <c r="AQ38" s="1241"/>
      <c r="AR38" s="1241"/>
      <c r="AS38" s="1241"/>
      <c r="AT38" s="1241"/>
      <c r="AU38" s="1241"/>
      <c r="AV38" s="1241"/>
      <c r="AW38" s="1241"/>
      <c r="AX38" s="1241"/>
      <c r="AY38" s="1241"/>
      <c r="AZ38" s="1241"/>
      <c r="BA38" s="1241"/>
      <c r="BB38" s="1241"/>
      <c r="BC38" s="1241"/>
      <c r="BD38" s="1241"/>
      <c r="BE38" s="1241"/>
      <c r="BF38" s="1222"/>
      <c r="BG38" s="1222"/>
      <c r="BH38" s="1222"/>
      <c r="BI38" s="1222"/>
    </row>
    <row r="39" spans="1:61" s="1214" customFormat="1" ht="18" thickBot="1" x14ac:dyDescent="0.35">
      <c r="A39" s="1242" t="s">
        <v>935</v>
      </c>
      <c r="B39" s="1243"/>
      <c r="C39" s="1243"/>
      <c r="D39" s="1243"/>
      <c r="E39" s="1243"/>
      <c r="F39" s="1243"/>
      <c r="G39" s="1243"/>
      <c r="H39" s="1243"/>
      <c r="I39" s="1243"/>
      <c r="J39" s="1243"/>
      <c r="K39" s="1243"/>
      <c r="L39" s="1243"/>
      <c r="M39" s="1243"/>
      <c r="N39" s="1243"/>
      <c r="O39" s="1243"/>
      <c r="P39" s="1243"/>
      <c r="Q39" s="1243"/>
      <c r="R39" s="1243"/>
      <c r="S39" s="1243"/>
      <c r="T39" s="1243"/>
      <c r="U39" s="1243"/>
      <c r="V39" s="1244">
        <v>41883</v>
      </c>
      <c r="W39" s="1245">
        <v>41974</v>
      </c>
      <c r="X39" s="1245">
        <v>42064</v>
      </c>
      <c r="Y39" s="1245">
        <v>42156</v>
      </c>
      <c r="Z39" s="1245">
        <v>42248</v>
      </c>
      <c r="AA39" s="1245">
        <v>42339</v>
      </c>
      <c r="AB39" s="1245">
        <v>42430</v>
      </c>
      <c r="AC39" s="1245">
        <v>42523</v>
      </c>
      <c r="AD39" s="1245">
        <v>42616</v>
      </c>
      <c r="AE39" s="1245">
        <v>42708</v>
      </c>
      <c r="AF39" s="1245">
        <v>42795</v>
      </c>
      <c r="AG39" s="1245">
        <v>42887</v>
      </c>
      <c r="AH39" s="1245">
        <v>42979</v>
      </c>
      <c r="AI39" s="1245">
        <v>43070</v>
      </c>
      <c r="AJ39" s="1245">
        <v>43160</v>
      </c>
      <c r="AK39" s="1246">
        <v>43252</v>
      </c>
      <c r="AL39" s="1247" t="s">
        <v>895</v>
      </c>
      <c r="AM39" s="1247" t="s">
        <v>896</v>
      </c>
      <c r="AN39" s="1246">
        <v>43525</v>
      </c>
      <c r="AO39" s="1246">
        <v>43617</v>
      </c>
      <c r="AP39" s="1246" t="str">
        <f>AP3</f>
        <v>Sep-19</v>
      </c>
      <c r="AQ39" s="1247" t="s">
        <v>899</v>
      </c>
      <c r="AR39" s="1247" t="s">
        <v>900</v>
      </c>
      <c r="AS39" s="1247" t="s">
        <v>313</v>
      </c>
      <c r="AT39" s="1247" t="s">
        <v>316</v>
      </c>
      <c r="AU39" s="1247">
        <v>44166</v>
      </c>
      <c r="AV39" s="1247">
        <v>44256</v>
      </c>
      <c r="AW39" s="1247">
        <v>44349</v>
      </c>
      <c r="AX39" s="1247">
        <v>44441</v>
      </c>
      <c r="AY39" s="1247" t="s">
        <v>901</v>
      </c>
      <c r="AZ39" s="1247" t="s">
        <v>902</v>
      </c>
      <c r="BA39" s="1247" t="s">
        <v>903</v>
      </c>
      <c r="BB39" s="1247" t="s">
        <v>904</v>
      </c>
      <c r="BC39" s="1247" t="s">
        <v>905</v>
      </c>
      <c r="BD39" s="1247" t="s">
        <v>936</v>
      </c>
      <c r="BE39" s="1247" t="s">
        <v>5595</v>
      </c>
      <c r="BF39" s="1222"/>
      <c r="BG39" s="1222"/>
      <c r="BH39" s="1222"/>
      <c r="BI39" s="1222"/>
    </row>
    <row r="40" spans="1:61" ht="18.75" x14ac:dyDescent="0.3">
      <c r="A40" s="1248" t="s">
        <v>937</v>
      </c>
      <c r="B40" s="1249">
        <v>7.9906493935895634E-2</v>
      </c>
      <c r="C40" s="1249">
        <v>0.08</v>
      </c>
      <c r="D40" s="1249">
        <v>7.7560171958379262E-2</v>
      </c>
      <c r="E40" s="1249">
        <v>7.6225904274344988E-2</v>
      </c>
      <c r="F40" s="1249">
        <v>7.3999999999999996E-2</v>
      </c>
      <c r="G40" s="1249">
        <v>7.0965784548610814E-2</v>
      </c>
      <c r="H40" s="1249">
        <v>7.0119202036310641E-2</v>
      </c>
      <c r="I40" s="1249">
        <v>7.2993052800396696E-2</v>
      </c>
      <c r="J40" s="1249">
        <v>7.5409031682435193E-2</v>
      </c>
      <c r="K40" s="1249">
        <v>7.2929576692569859E-2</v>
      </c>
      <c r="L40" s="1249">
        <v>7.2890223933264706E-2</v>
      </c>
      <c r="M40" s="1249">
        <v>7.1999999999999995E-2</v>
      </c>
      <c r="N40" s="1249">
        <v>7.0999999999999994E-2</v>
      </c>
      <c r="O40" s="1249">
        <v>7.8821490254983792E-2</v>
      </c>
      <c r="P40" s="1249">
        <v>7.959578181433738E-2</v>
      </c>
      <c r="Q40" s="1249">
        <v>8.4657485930249854E-2</v>
      </c>
      <c r="R40" s="1249">
        <v>8.6053026682195985E-2</v>
      </c>
      <c r="S40" s="1249">
        <v>8.6999999999999994E-2</v>
      </c>
      <c r="T40" s="1249">
        <v>8.1000000000000003E-2</v>
      </c>
      <c r="U40" s="1249">
        <v>8.7999999999999995E-2</v>
      </c>
      <c r="V40" s="1250">
        <v>9.3177437379245442E-2</v>
      </c>
      <c r="W40" s="1251">
        <v>9.3306665730606149</v>
      </c>
      <c r="X40" s="1251">
        <v>9.2009086776321336</v>
      </c>
      <c r="Y40" s="1251">
        <v>10.299999999999999</v>
      </c>
      <c r="Z40" s="1251">
        <v>10.4</v>
      </c>
      <c r="AA40" s="1251">
        <v>10.519981499742521</v>
      </c>
      <c r="AB40" s="1251">
        <v>10.500357654121462</v>
      </c>
      <c r="AC40" s="1251">
        <v>10.525758840695129</v>
      </c>
      <c r="AD40" s="1251">
        <v>10.553703201314901</v>
      </c>
      <c r="AE40" s="1251">
        <v>10.621188951352165</v>
      </c>
      <c r="AF40" s="1251">
        <v>10.201805120964211</v>
      </c>
      <c r="AG40" s="1251">
        <v>10.4</v>
      </c>
      <c r="AH40" s="1251">
        <v>10</v>
      </c>
      <c r="AI40" s="1251">
        <v>10.100000000000001</v>
      </c>
      <c r="AJ40" s="1251">
        <v>9.9600000000000009</v>
      </c>
      <c r="AK40" s="1251">
        <v>11.58</v>
      </c>
      <c r="AL40" s="1251">
        <v>11.786602748732603</v>
      </c>
      <c r="AM40" s="1251">
        <v>11.479521667759071</v>
      </c>
      <c r="AN40" s="1251">
        <v>11.773806130298089</v>
      </c>
      <c r="AO40" s="1251">
        <v>11.855077862194207</v>
      </c>
      <c r="AP40" s="1251">
        <v>11.756500727490572</v>
      </c>
      <c r="AQ40" s="1251">
        <v>11.26924916887902</v>
      </c>
      <c r="AR40" s="1251">
        <v>11.200733143647019</v>
      </c>
      <c r="AS40" s="1251">
        <v>10.998509013545373</v>
      </c>
      <c r="AT40" s="1251">
        <v>10.616657798512689</v>
      </c>
      <c r="AU40" s="1251">
        <v>10.809213053859001</v>
      </c>
      <c r="AV40" s="1251">
        <v>10.232099584990143</v>
      </c>
      <c r="AW40" s="1251">
        <v>10.3</v>
      </c>
      <c r="AX40" s="1251">
        <v>10.3</v>
      </c>
      <c r="AY40" s="1227" t="s">
        <v>919</v>
      </c>
      <c r="AZ40" s="1227" t="s">
        <v>919</v>
      </c>
      <c r="BA40" s="1227" t="s">
        <v>919</v>
      </c>
      <c r="BB40" s="1227" t="s">
        <v>919</v>
      </c>
      <c r="BC40" s="1227" t="s">
        <v>919</v>
      </c>
      <c r="BD40" s="1227" t="s">
        <v>919</v>
      </c>
      <c r="BE40" s="1227"/>
      <c r="BF40" s="1222"/>
      <c r="BG40" s="1222"/>
      <c r="BH40" s="1222"/>
      <c r="BI40" s="1222"/>
    </row>
    <row r="41" spans="1:61" ht="18.75" x14ac:dyDescent="0.3">
      <c r="A41" s="1223" t="s">
        <v>938</v>
      </c>
      <c r="B41" s="1224"/>
      <c r="C41" s="1224"/>
      <c r="D41" s="1224"/>
      <c r="E41" s="1224"/>
      <c r="F41" s="1224"/>
      <c r="G41" s="1224"/>
      <c r="H41" s="1224"/>
      <c r="I41" s="1224"/>
      <c r="J41" s="1224"/>
      <c r="K41" s="1224"/>
      <c r="L41" s="1224"/>
      <c r="M41" s="1224"/>
      <c r="N41" s="1224"/>
      <c r="O41" s="1224"/>
      <c r="P41" s="1224"/>
      <c r="Q41" s="1224"/>
      <c r="R41" s="1224"/>
      <c r="S41" s="1224"/>
      <c r="T41" s="1224"/>
      <c r="U41" s="1224"/>
      <c r="V41" s="1225"/>
      <c r="W41" s="1226"/>
      <c r="X41" s="1226"/>
      <c r="Y41" s="1226"/>
      <c r="Z41" s="1226"/>
      <c r="AA41" s="1226"/>
      <c r="AB41" s="1226"/>
      <c r="AC41" s="1226"/>
      <c r="AD41" s="1226"/>
      <c r="AE41" s="1226"/>
      <c r="AF41" s="1226"/>
      <c r="AG41" s="1226"/>
      <c r="AH41" s="1226"/>
      <c r="AI41" s="1226"/>
      <c r="AJ41" s="1226"/>
      <c r="AK41" s="1226"/>
      <c r="AL41" s="1226"/>
      <c r="AM41" s="1230" t="s">
        <v>919</v>
      </c>
      <c r="AN41" s="1230" t="s">
        <v>919</v>
      </c>
      <c r="AO41" s="1230" t="s">
        <v>919</v>
      </c>
      <c r="AP41" s="1230" t="s">
        <v>919</v>
      </c>
      <c r="AQ41" s="1230">
        <v>6.3613208321680714</v>
      </c>
      <c r="AR41" s="1230">
        <v>1.7537200187645263</v>
      </c>
      <c r="AS41" s="1230">
        <v>2.2180992820821643</v>
      </c>
      <c r="AT41" s="1230">
        <v>4.4879648137243544</v>
      </c>
      <c r="AU41" s="1230">
        <v>3.1797562848263627</v>
      </c>
      <c r="AV41" s="1230">
        <v>8.5238541082525607</v>
      </c>
      <c r="AW41" s="1230">
        <v>6.9597485050399088</v>
      </c>
      <c r="AX41" s="1230">
        <v>4.0866919165852833</v>
      </c>
      <c r="AY41" s="1227">
        <v>2.2000000000000002</v>
      </c>
      <c r="AZ41" s="1227">
        <v>2.2000000000000002</v>
      </c>
      <c r="BA41" s="1227">
        <v>4.4000000000000004</v>
      </c>
      <c r="BB41" s="1227">
        <v>5.5</v>
      </c>
      <c r="BC41" s="1227">
        <v>8.3000000000000007</v>
      </c>
      <c r="BD41" s="1227">
        <v>7.9</v>
      </c>
      <c r="BE41" s="1227">
        <v>6.2768101483059668</v>
      </c>
      <c r="BF41" s="1222"/>
      <c r="BG41" s="1222"/>
      <c r="BH41" s="1222"/>
      <c r="BI41" s="1222"/>
    </row>
    <row r="42" spans="1:61" ht="18.75" x14ac:dyDescent="0.3">
      <c r="A42" s="1223" t="s">
        <v>939</v>
      </c>
      <c r="B42" s="1224">
        <v>1.9627250984953022</v>
      </c>
      <c r="C42" s="1224">
        <v>2.1319255590887591</v>
      </c>
      <c r="D42" s="1224">
        <v>2.1769357461154226</v>
      </c>
      <c r="E42" s="1224">
        <v>2.168539174429887</v>
      </c>
      <c r="F42" s="1224">
        <v>2.0885666569830477</v>
      </c>
      <c r="G42" s="1224">
        <v>1.9385614907555835</v>
      </c>
      <c r="H42" s="1224">
        <v>2.1700196622474026</v>
      </c>
      <c r="I42" s="1224">
        <v>2.2245426981523302</v>
      </c>
      <c r="J42" s="1224">
        <v>1.9744786940643584</v>
      </c>
      <c r="K42" s="1224">
        <v>2.2818638509353271</v>
      </c>
      <c r="L42" s="1224">
        <v>2.5020124605940488</v>
      </c>
      <c r="M42" s="1224">
        <v>2.4700000000000002</v>
      </c>
      <c r="N42" s="1224">
        <v>2.327</v>
      </c>
      <c r="O42" s="1224">
        <v>2.2005123371488451</v>
      </c>
      <c r="P42" s="1224">
        <v>2.1480849342308126</v>
      </c>
      <c r="Q42" s="1224">
        <v>1.8722714306439481</v>
      </c>
      <c r="R42" s="1224">
        <v>1.7170463816925896</v>
      </c>
      <c r="S42" s="1224">
        <v>1.7450000000000001</v>
      </c>
      <c r="T42" s="1224">
        <v>1.869</v>
      </c>
      <c r="U42" s="1224">
        <v>1.9590000000000001</v>
      </c>
      <c r="V42" s="1225">
        <v>1.95502172520468</v>
      </c>
      <c r="W42" s="1226">
        <v>201.92649213219048</v>
      </c>
      <c r="X42" s="1226">
        <v>190.93545728041644</v>
      </c>
      <c r="Y42" s="1226">
        <v>209.60000000000002</v>
      </c>
      <c r="Z42" s="1226">
        <v>190.9</v>
      </c>
      <c r="AA42" s="1226">
        <v>184.26505542569564</v>
      </c>
      <c r="AB42" s="1226">
        <v>190.17114275750822</v>
      </c>
      <c r="AC42" s="1226">
        <v>188.42965770810886</v>
      </c>
      <c r="AD42" s="1226">
        <v>176.47487871145307</v>
      </c>
      <c r="AE42" s="1226">
        <v>159.69999999999999</v>
      </c>
      <c r="AF42" s="1226">
        <v>149.96446659510275</v>
      </c>
      <c r="AG42" s="1226">
        <v>137.79999999999998</v>
      </c>
      <c r="AH42" s="1226">
        <v>157.4</v>
      </c>
      <c r="AI42" s="1227" t="s">
        <v>940</v>
      </c>
      <c r="AJ42" s="1227" t="s">
        <v>941</v>
      </c>
      <c r="AK42" s="1227" t="s">
        <v>942</v>
      </c>
      <c r="AL42" s="1227">
        <v>262.18939224700034</v>
      </c>
      <c r="AM42" s="1227">
        <v>249.37992166303684</v>
      </c>
      <c r="AN42" s="1227">
        <v>232.05528012186375</v>
      </c>
      <c r="AO42" s="1227">
        <v>248.4412477187405</v>
      </c>
      <c r="AP42" s="1227">
        <v>237.94130223524209</v>
      </c>
      <c r="AQ42" s="1227">
        <v>237.30761378430759</v>
      </c>
      <c r="AR42" s="1227">
        <v>244.82381044708453</v>
      </c>
      <c r="AS42" s="1227">
        <v>258.53227861225508</v>
      </c>
      <c r="AT42" s="1227">
        <v>257.68598049025917</v>
      </c>
      <c r="AU42" s="1227">
        <v>242.31270014006415</v>
      </c>
      <c r="AV42" s="1227">
        <v>237.49864541313087</v>
      </c>
      <c r="AW42" s="1227">
        <v>253.1</v>
      </c>
      <c r="AX42" s="1227">
        <v>236.5</v>
      </c>
      <c r="AY42" s="1227">
        <v>284</v>
      </c>
      <c r="AZ42" s="1227">
        <v>270.8</v>
      </c>
      <c r="BA42" s="1227">
        <v>308.2</v>
      </c>
      <c r="BB42" s="1227">
        <v>322.10000000000002</v>
      </c>
      <c r="BC42" s="1227">
        <v>278.5</v>
      </c>
      <c r="BD42" s="1227">
        <v>289.8</v>
      </c>
      <c r="BE42" s="1227">
        <v>280.17978644975932</v>
      </c>
      <c r="BF42" s="1222"/>
      <c r="BG42" s="1222"/>
      <c r="BH42" s="1222"/>
      <c r="BI42" s="1222"/>
    </row>
    <row r="43" spans="1:61" ht="17.25" x14ac:dyDescent="0.3">
      <c r="A43" s="1223" t="s">
        <v>943</v>
      </c>
      <c r="B43" s="1224">
        <v>1.4290284535231361</v>
      </c>
      <c r="C43" s="1224">
        <v>1.4595003462992404</v>
      </c>
      <c r="D43" s="1224">
        <v>1.3869498927450459</v>
      </c>
      <c r="E43" s="1224">
        <v>1.5309162373238567</v>
      </c>
      <c r="F43" s="1224">
        <v>1.6026195548337676</v>
      </c>
      <c r="G43" s="1224">
        <v>1.530922336492808</v>
      </c>
      <c r="H43" s="1224">
        <v>1.4878856869276673</v>
      </c>
      <c r="I43" s="1224">
        <v>1.4958549175584801</v>
      </c>
      <c r="J43" s="1224">
        <v>1.4026143194487957</v>
      </c>
      <c r="K43" s="1224">
        <v>1.4266298021305628</v>
      </c>
      <c r="L43" s="1224">
        <v>1.3137065928627119</v>
      </c>
      <c r="M43" s="1224">
        <v>1.2490000000000001</v>
      </c>
      <c r="N43" s="1224">
        <v>1.349</v>
      </c>
      <c r="O43" s="1224">
        <v>1.2011290761119884</v>
      </c>
      <c r="P43" s="1224">
        <v>1.240136467155629</v>
      </c>
      <c r="Q43" s="1224">
        <v>1.2865702142777165</v>
      </c>
      <c r="R43" s="1224">
        <v>1.3418788746442913</v>
      </c>
      <c r="S43" s="1224">
        <v>1.3069999999999999</v>
      </c>
      <c r="T43" s="1224">
        <v>1.304</v>
      </c>
      <c r="U43" s="1224">
        <v>1.37</v>
      </c>
      <c r="V43" s="1225">
        <v>1.3152938304312209</v>
      </c>
      <c r="W43" s="1226">
        <v>133.2278965083992</v>
      </c>
      <c r="X43" s="1226">
        <v>141.52665313146429</v>
      </c>
      <c r="Y43" s="1226">
        <v>142.30000000000001</v>
      </c>
      <c r="Z43" s="1226">
        <v>140.30000000000001</v>
      </c>
      <c r="AA43" s="1226">
        <v>146.76415963638695</v>
      </c>
      <c r="AB43" s="1226">
        <v>144.38932082754798</v>
      </c>
      <c r="AC43" s="1226">
        <v>148.18322966266041</v>
      </c>
      <c r="AD43" s="1226">
        <v>150.88832178332578</v>
      </c>
      <c r="AE43" s="1226">
        <v>149.80133515000017</v>
      </c>
      <c r="AF43" s="1226">
        <v>151.50840819950449</v>
      </c>
      <c r="AG43" s="1226">
        <v>155.80000000000001</v>
      </c>
      <c r="AH43" s="1226">
        <v>157.1</v>
      </c>
      <c r="AI43" s="1226">
        <v>153.4</v>
      </c>
      <c r="AJ43" s="1226">
        <v>159.30000000000001</v>
      </c>
      <c r="AK43" s="1226">
        <v>155.19999999999999</v>
      </c>
      <c r="AL43" s="1226">
        <v>148.27899368637875</v>
      </c>
      <c r="AM43" s="1226">
        <v>154.55582027513788</v>
      </c>
      <c r="AN43" s="1226">
        <v>161.20259835440837</v>
      </c>
      <c r="AO43" s="1226">
        <v>159.90049393801627</v>
      </c>
      <c r="AP43" s="1226">
        <v>161.54905638747132</v>
      </c>
      <c r="AQ43" s="1226">
        <v>174.73707687326063</v>
      </c>
      <c r="AR43" s="1226">
        <v>179.3646775726412</v>
      </c>
      <c r="AS43" s="1226">
        <v>182.65396249015745</v>
      </c>
      <c r="AT43" s="1226">
        <v>194.78373728286968</v>
      </c>
      <c r="AU43" s="1226">
        <v>197.42974227474267</v>
      </c>
      <c r="AV43" s="1226">
        <v>212.9695669851194</v>
      </c>
      <c r="AW43" s="1226">
        <v>219.2</v>
      </c>
      <c r="AX43" s="1226">
        <v>230.8</v>
      </c>
      <c r="AY43" s="1226">
        <v>234.3</v>
      </c>
      <c r="AZ43" s="1226">
        <v>233.7</v>
      </c>
      <c r="BA43" s="1226">
        <v>228.1</v>
      </c>
      <c r="BB43" s="1226">
        <v>228.8</v>
      </c>
      <c r="BC43" s="1226">
        <v>226.3</v>
      </c>
      <c r="BD43" s="1226">
        <v>229.1</v>
      </c>
      <c r="BE43" s="1226">
        <v>221.96447465430668</v>
      </c>
      <c r="BF43" s="1222"/>
      <c r="BG43" s="1222"/>
      <c r="BH43" s="1222"/>
      <c r="BI43" s="1222"/>
    </row>
    <row r="44" spans="1:61" ht="17.25" x14ac:dyDescent="0.3">
      <c r="A44" s="1223" t="s">
        <v>944</v>
      </c>
      <c r="B44" s="1224">
        <v>5.7194720647856898E-2</v>
      </c>
      <c r="C44" s="1224">
        <v>6.0366142880787295E-2</v>
      </c>
      <c r="D44" s="1224">
        <v>6.3213859091297758E-2</v>
      </c>
      <c r="E44" s="1224">
        <v>6.8320490728315059E-2</v>
      </c>
      <c r="F44" s="1224">
        <v>7.1463039342846452E-2</v>
      </c>
      <c r="G44" s="1224">
        <v>6.8223465290142282E-2</v>
      </c>
      <c r="H44" s="1224">
        <v>6.9256999467085259E-2</v>
      </c>
      <c r="I44" s="1224">
        <v>6.8474932408058409E-2</v>
      </c>
      <c r="J44" s="1224">
        <v>6.8639495447066337E-2</v>
      </c>
      <c r="K44" s="1224">
        <v>5.8999999999999997E-2</v>
      </c>
      <c r="L44" s="1224">
        <v>5.7000000000000002E-2</v>
      </c>
      <c r="M44" s="1224">
        <v>6.8000000000000005E-2</v>
      </c>
      <c r="N44" s="1224">
        <v>7.1999999999999995E-2</v>
      </c>
      <c r="O44" s="1224">
        <v>7.4257402484487325E-2</v>
      </c>
      <c r="P44" s="1224">
        <v>7.8473382486985904E-2</v>
      </c>
      <c r="Q44" s="1224">
        <v>7.8568928847883177E-2</v>
      </c>
      <c r="R44" s="1224">
        <v>7.1265329485131687E-2</v>
      </c>
      <c r="S44" s="1224">
        <v>7.2999999999999995E-2</v>
      </c>
      <c r="T44" s="1224">
        <v>8.5000000000000006E-2</v>
      </c>
      <c r="U44" s="1224">
        <v>8.6999999999999994E-2</v>
      </c>
      <c r="V44" s="1225">
        <v>6.2E-2</v>
      </c>
      <c r="W44" s="1226">
        <v>6.2</v>
      </c>
      <c r="X44" s="1226">
        <v>6</v>
      </c>
      <c r="Y44" s="1226">
        <v>8.6999999999999993</v>
      </c>
      <c r="Z44" s="1226">
        <v>8.9</v>
      </c>
      <c r="AA44" s="1226">
        <v>9.093315768425132</v>
      </c>
      <c r="AB44" s="1226">
        <v>9.4164576237297162</v>
      </c>
      <c r="AC44" s="1226">
        <v>9.4682716417396211</v>
      </c>
      <c r="AD44" s="1226">
        <v>9.3019144763507011</v>
      </c>
      <c r="AE44" s="1226">
        <v>9.3844928647020556</v>
      </c>
      <c r="AF44" s="1226">
        <v>9.1800000000000015</v>
      </c>
      <c r="AG44" s="1226">
        <v>9.7100000000000009</v>
      </c>
      <c r="AH44" s="1226">
        <v>9.7000000000000011</v>
      </c>
      <c r="AI44" s="1226">
        <v>10.199999999999999</v>
      </c>
      <c r="AJ44" s="1226">
        <v>10.3</v>
      </c>
      <c r="AK44" s="1226">
        <v>10.3</v>
      </c>
      <c r="AL44" s="1226">
        <v>10.256165501073442</v>
      </c>
      <c r="AM44" s="1226">
        <v>10.481515955254658</v>
      </c>
      <c r="AN44" s="1226">
        <v>10.72744175671591</v>
      </c>
      <c r="AO44" s="1226">
        <v>10.959357565834154</v>
      </c>
      <c r="AP44" s="1226">
        <v>11.062157568951598</v>
      </c>
      <c r="AQ44" s="1226">
        <v>10.787403137229123</v>
      </c>
      <c r="AR44" s="1226">
        <v>10.611089318588951</v>
      </c>
      <c r="AS44" s="1226">
        <v>10.589241986559772</v>
      </c>
      <c r="AT44" s="1226">
        <v>11.274688957534654</v>
      </c>
      <c r="AU44" s="1226">
        <v>11.47941169215407</v>
      </c>
      <c r="AV44" s="1226">
        <v>12.546617345236646</v>
      </c>
      <c r="AW44" s="1226">
        <v>11.3</v>
      </c>
      <c r="AX44" s="1226">
        <v>11.7</v>
      </c>
      <c r="AY44" s="1226">
        <v>11.6</v>
      </c>
      <c r="AZ44" s="1226">
        <v>12.3</v>
      </c>
      <c r="BA44" s="1226">
        <v>12.5</v>
      </c>
      <c r="BB44" s="1226">
        <v>12.2</v>
      </c>
      <c r="BC44" s="1226">
        <v>11.9</v>
      </c>
      <c r="BD44" s="1226">
        <v>12.2</v>
      </c>
      <c r="BE44" s="1226">
        <v>12.838638387973123</v>
      </c>
      <c r="BF44" s="1222"/>
      <c r="BG44" s="1222"/>
      <c r="BH44" s="1222"/>
      <c r="BI44" s="1222"/>
    </row>
    <row r="45" spans="1:61" s="1233" customFormat="1" ht="17.25" x14ac:dyDescent="0.3">
      <c r="A45" s="1223" t="s">
        <v>945</v>
      </c>
      <c r="B45" s="1224">
        <v>1.8517519925667948E-2</v>
      </c>
      <c r="C45" s="1224">
        <v>2.0662406859914193E-2</v>
      </c>
      <c r="D45" s="1224">
        <v>2.0824617653534151E-2</v>
      </c>
      <c r="E45" s="1224">
        <v>2.0776781417889457E-2</v>
      </c>
      <c r="F45" s="1224">
        <v>2.0704778494959192E-2</v>
      </c>
      <c r="G45" s="1224">
        <v>3.2000000000000001E-2</v>
      </c>
      <c r="H45" s="1224">
        <v>3.2017096550969314E-2</v>
      </c>
      <c r="I45" s="1224">
        <v>5.5875278857700897E-2</v>
      </c>
      <c r="J45" s="1224">
        <v>6.1879204771409971E-2</v>
      </c>
      <c r="K45" s="1224">
        <v>5.2999999999999999E-2</v>
      </c>
      <c r="L45" s="1224">
        <v>5.1999999999999998E-2</v>
      </c>
      <c r="M45" s="1224">
        <v>6.6000000000000003E-2</v>
      </c>
      <c r="N45" s="1224">
        <v>7.5999999999999998E-2</v>
      </c>
      <c r="O45" s="1224">
        <v>7.1945523792900298E-2</v>
      </c>
      <c r="P45" s="1224">
        <v>7.5223345885320744E-2</v>
      </c>
      <c r="Q45" s="1224">
        <v>7.4421681982130033E-2</v>
      </c>
      <c r="R45" s="1224">
        <v>7.4053880022555321E-2</v>
      </c>
      <c r="S45" s="1224">
        <v>7.0000000000000007E-2</v>
      </c>
      <c r="T45" s="1224">
        <v>6.7000000000000004E-2</v>
      </c>
      <c r="U45" s="1224">
        <v>6.9000000000000006E-2</v>
      </c>
      <c r="V45" s="1225">
        <v>5.0999999999999997E-2</v>
      </c>
      <c r="W45" s="1226">
        <v>5</v>
      </c>
      <c r="X45" s="1226">
        <v>4.9000000000000004</v>
      </c>
      <c r="Y45" s="1226">
        <v>5.6000000000000005</v>
      </c>
      <c r="Z45" s="1226">
        <v>6</v>
      </c>
      <c r="AA45" s="1226">
        <v>5.7940872453689947</v>
      </c>
      <c r="AB45" s="1226">
        <v>5.7953616100292322</v>
      </c>
      <c r="AC45" s="1226">
        <v>5.4992830782663571</v>
      </c>
      <c r="AD45" s="1226">
        <v>5.0896689425874868</v>
      </c>
      <c r="AE45" s="1226">
        <v>4.5778556151022585</v>
      </c>
      <c r="AF45" s="1226">
        <v>4.2799999999999994</v>
      </c>
      <c r="AG45" s="1226">
        <v>4.32</v>
      </c>
      <c r="AH45" s="1226">
        <v>4.2</v>
      </c>
      <c r="AI45" s="1226">
        <v>3.9</v>
      </c>
      <c r="AJ45" s="1226">
        <v>4.0999999999999996</v>
      </c>
      <c r="AK45" s="1226">
        <v>4.4000000000000004</v>
      </c>
      <c r="AL45" s="1226">
        <v>3.9324856897086646</v>
      </c>
      <c r="AM45" s="1226">
        <v>4.5782800655325318</v>
      </c>
      <c r="AN45" s="1226">
        <v>4.2845886524579342</v>
      </c>
      <c r="AO45" s="1226">
        <v>4.1646219112942191</v>
      </c>
      <c r="AP45" s="1226">
        <v>4.7292401016471777</v>
      </c>
      <c r="AQ45" s="1226">
        <v>4.9775185716538557</v>
      </c>
      <c r="AR45" s="1226">
        <v>4.7079171097236365</v>
      </c>
      <c r="AS45" s="1226">
        <v>4.9689057687053744</v>
      </c>
      <c r="AT45" s="1226">
        <v>5.1128421197643634</v>
      </c>
      <c r="AU45" s="1226">
        <v>5.3711581637697705</v>
      </c>
      <c r="AV45" s="1226">
        <v>5.4770060555126312</v>
      </c>
      <c r="AW45" s="1226">
        <v>5.5</v>
      </c>
      <c r="AX45" s="1226">
        <v>5.5</v>
      </c>
      <c r="AY45" s="1226">
        <v>5.4</v>
      </c>
      <c r="AZ45" s="1226">
        <v>5.9</v>
      </c>
      <c r="BA45" s="1226">
        <v>4.9000000000000004</v>
      </c>
      <c r="BB45" s="1226">
        <v>4.4000000000000004</v>
      </c>
      <c r="BC45" s="1226">
        <v>4.3</v>
      </c>
      <c r="BD45" s="1226">
        <v>4.2</v>
      </c>
      <c r="BE45" s="1226">
        <v>4.5040351174346043</v>
      </c>
      <c r="BF45" s="1222"/>
      <c r="BG45" s="1222"/>
      <c r="BH45" s="1222"/>
      <c r="BI45" s="1222"/>
    </row>
    <row r="46" spans="1:61" ht="18.75" x14ac:dyDescent="0.3">
      <c r="A46" s="1223" t="s">
        <v>946</v>
      </c>
      <c r="B46" s="1224">
        <v>0.12383616636928256</v>
      </c>
      <c r="C46" s="1224">
        <v>0.12551167945399952</v>
      </c>
      <c r="D46" s="1224">
        <v>0.18511174186781373</v>
      </c>
      <c r="E46" s="1224">
        <v>0.111</v>
      </c>
      <c r="F46" s="1224">
        <v>0.14399999999999999</v>
      </c>
      <c r="G46" s="1224">
        <v>0.10852360032635136</v>
      </c>
      <c r="H46" s="1224">
        <v>0.11352801390210875</v>
      </c>
      <c r="I46" s="1224">
        <v>7.7623670420225596E-2</v>
      </c>
      <c r="J46" s="1224">
        <v>2.0635413736239248E-2</v>
      </c>
      <c r="K46" s="1224">
        <v>8.4710226533909874E-2</v>
      </c>
      <c r="L46" s="1224">
        <v>0.11290021258379018</v>
      </c>
      <c r="M46" s="1224">
        <v>0.112</v>
      </c>
      <c r="N46" s="1224">
        <v>0.159</v>
      </c>
      <c r="O46" s="1224">
        <v>9.9520293546976446E-2</v>
      </c>
      <c r="P46" s="1224">
        <v>9.5565647973099258E-2</v>
      </c>
      <c r="Q46" s="1224">
        <v>8.7322655929667883E-2</v>
      </c>
      <c r="R46" s="1224">
        <v>3.1091166790915416E-2</v>
      </c>
      <c r="S46" s="1224">
        <v>5.2999999999999999E-2</v>
      </c>
      <c r="T46" s="1224">
        <v>4.5999999999999999E-2</v>
      </c>
      <c r="U46" s="1224">
        <v>0.14099999999999999</v>
      </c>
      <c r="V46" s="1225">
        <v>8.8126492609848492E-2</v>
      </c>
      <c r="W46" s="1226">
        <v>35.428382092928636</v>
      </c>
      <c r="X46" s="1226">
        <v>13.082563421897442</v>
      </c>
      <c r="Y46" s="1226">
        <v>15</v>
      </c>
      <c r="Z46" s="1226">
        <v>17.7</v>
      </c>
      <c r="AA46" s="1226">
        <v>9.9705636281062517</v>
      </c>
      <c r="AB46" s="1226">
        <v>16.248607296743852</v>
      </c>
      <c r="AC46" s="1226">
        <v>7.8658365326374771</v>
      </c>
      <c r="AD46" s="1226">
        <v>17.921172709626422</v>
      </c>
      <c r="AE46" s="1226">
        <v>9.5</v>
      </c>
      <c r="AF46" s="1226">
        <v>10.335416037667905</v>
      </c>
      <c r="AG46" s="1226">
        <v>8.67</v>
      </c>
      <c r="AH46" s="1226">
        <v>12.3</v>
      </c>
      <c r="AI46" s="1226">
        <v>10.199999999999999</v>
      </c>
      <c r="AJ46" s="1226">
        <v>12.5</v>
      </c>
      <c r="AK46" s="1226">
        <v>8.1999999999999993</v>
      </c>
      <c r="AL46" s="1226">
        <v>11.52956682435153</v>
      </c>
      <c r="AM46" s="1226">
        <v>10.153914066524013</v>
      </c>
      <c r="AN46" s="1226">
        <v>9.1576863490318896</v>
      </c>
      <c r="AO46" s="1226">
        <v>7.7482079379959874</v>
      </c>
      <c r="AP46" s="1226">
        <v>10.325812636437661</v>
      </c>
      <c r="AQ46" s="1226">
        <v>11.714781411352655</v>
      </c>
      <c r="AR46" s="1226">
        <v>13.015051181384976</v>
      </c>
      <c r="AS46" s="1226">
        <v>16.384610062134374</v>
      </c>
      <c r="AT46" s="1226">
        <v>13.311740922442258</v>
      </c>
      <c r="AU46" s="1226">
        <v>10.989464698155068</v>
      </c>
      <c r="AV46" s="1226">
        <v>17.853248658938583</v>
      </c>
      <c r="AW46" s="1226">
        <v>7.6</v>
      </c>
      <c r="AX46" s="1226">
        <v>12.8</v>
      </c>
      <c r="AY46" s="1226">
        <v>12.4</v>
      </c>
      <c r="AZ46" s="1226">
        <v>11.3</v>
      </c>
      <c r="BA46" s="1226">
        <v>10</v>
      </c>
      <c r="BB46" s="1226">
        <v>10.6</v>
      </c>
      <c r="BC46" s="1226">
        <v>10.7</v>
      </c>
      <c r="BD46" s="1226">
        <v>11.2</v>
      </c>
      <c r="BE46" s="1226">
        <v>10.13800697870248</v>
      </c>
      <c r="BF46" s="1222"/>
      <c r="BG46" s="1222"/>
      <c r="BH46" s="1222"/>
      <c r="BI46" s="1222"/>
    </row>
    <row r="47" spans="1:61" ht="18.75" x14ac:dyDescent="0.3">
      <c r="A47" s="1223" t="s">
        <v>947</v>
      </c>
      <c r="B47" s="1224">
        <v>0.50952478864520678</v>
      </c>
      <c r="C47" s="1224">
        <v>0.51040969410895709</v>
      </c>
      <c r="D47" s="1224">
        <v>0.51006029551619902</v>
      </c>
      <c r="E47" s="1224">
        <v>0.498</v>
      </c>
      <c r="F47" s="1224">
        <v>0.49399999999999999</v>
      </c>
      <c r="G47" s="1224">
        <v>0.51184873814634058</v>
      </c>
      <c r="H47" s="1224">
        <v>0.50939829811820359</v>
      </c>
      <c r="I47" s="1224">
        <v>0.52770905139815094</v>
      </c>
      <c r="J47" s="1224">
        <v>0.54460659783228837</v>
      </c>
      <c r="K47" s="1224">
        <v>0.54708430130161723</v>
      </c>
      <c r="L47" s="1224">
        <v>0.54526814766153842</v>
      </c>
      <c r="M47" s="1224">
        <v>0.52500000000000002</v>
      </c>
      <c r="N47" s="1224">
        <v>0.53900000000000003</v>
      </c>
      <c r="O47" s="1224">
        <v>0.50522145235047444</v>
      </c>
      <c r="P47" s="1224">
        <v>0.50218348550998548</v>
      </c>
      <c r="Q47" s="1224">
        <v>0.50218322980033603</v>
      </c>
      <c r="R47" s="1224">
        <v>0.49331822794070151</v>
      </c>
      <c r="S47" s="1224">
        <v>0.50900000000000001</v>
      </c>
      <c r="T47" s="1224">
        <v>0.51500000000000001</v>
      </c>
      <c r="U47" s="1224">
        <v>0.51500000000000001</v>
      </c>
      <c r="V47" s="1225">
        <v>0.48905505739826755</v>
      </c>
      <c r="W47" s="1226">
        <v>40.819364129624233</v>
      </c>
      <c r="X47" s="1226">
        <v>47.565109823874202</v>
      </c>
      <c r="Y47" s="1226">
        <v>48.5</v>
      </c>
      <c r="Z47" s="1226">
        <v>48.8</v>
      </c>
      <c r="AA47" s="1226">
        <v>50.481026933098015</v>
      </c>
      <c r="AB47" s="1226">
        <v>50.593172919148898</v>
      </c>
      <c r="AC47" s="1226">
        <v>52.02247117488821</v>
      </c>
      <c r="AD47" s="1226">
        <v>47.701977264315488</v>
      </c>
      <c r="AE47" s="1226">
        <v>47.259718494279355</v>
      </c>
      <c r="AF47" s="1226">
        <v>49.384036965107889</v>
      </c>
      <c r="AG47" s="1226">
        <v>49.5</v>
      </c>
      <c r="AH47" s="1226">
        <v>49.1</v>
      </c>
      <c r="AI47" s="1226">
        <v>49.5</v>
      </c>
      <c r="AJ47" s="1226">
        <v>49.3</v>
      </c>
      <c r="AK47" s="1226">
        <v>49.4</v>
      </c>
      <c r="AL47" s="1226">
        <v>46.183363113622221</v>
      </c>
      <c r="AM47" s="1226">
        <v>49.336789243473426</v>
      </c>
      <c r="AN47" s="1226">
        <v>48.983199308015877</v>
      </c>
      <c r="AO47" s="1226">
        <v>46.836442615690174</v>
      </c>
      <c r="AP47" s="1226">
        <v>46.220946188143472</v>
      </c>
      <c r="AQ47" s="1226">
        <v>45.389198827768432</v>
      </c>
      <c r="AR47" s="1226">
        <v>46.490869922143979</v>
      </c>
      <c r="AS47" s="1226">
        <v>47.972792092614789</v>
      </c>
      <c r="AT47" s="1226">
        <v>45.596775821482254</v>
      </c>
      <c r="AU47" s="1226">
        <v>51.124253049755438</v>
      </c>
      <c r="AV47" s="1226">
        <v>48.740871409593609</v>
      </c>
      <c r="AW47" s="1226">
        <v>47.6</v>
      </c>
      <c r="AX47" s="1226">
        <v>45.3</v>
      </c>
      <c r="AY47" s="1226">
        <v>47.6</v>
      </c>
      <c r="AZ47" s="1226">
        <v>49.3</v>
      </c>
      <c r="BA47" s="1226">
        <v>49.1</v>
      </c>
      <c r="BB47" s="1226">
        <v>48.8</v>
      </c>
      <c r="BC47" s="1226">
        <v>50</v>
      </c>
      <c r="BD47" s="1226">
        <v>49</v>
      </c>
      <c r="BE47" s="1226">
        <v>49.856878167441572</v>
      </c>
    </row>
    <row r="48" spans="1:61" ht="18" thickBot="1" x14ac:dyDescent="0.35">
      <c r="A48" s="1252"/>
      <c r="B48" s="1253"/>
      <c r="C48" s="1253"/>
      <c r="D48" s="1253"/>
      <c r="E48" s="1253"/>
      <c r="F48" s="1253"/>
      <c r="G48" s="1253"/>
      <c r="H48" s="1253"/>
      <c r="I48" s="1253"/>
      <c r="J48" s="1253"/>
      <c r="K48" s="1253"/>
      <c r="L48" s="1253"/>
      <c r="M48" s="1253"/>
      <c r="N48" s="1253"/>
      <c r="O48" s="1253"/>
      <c r="P48" s="1253"/>
      <c r="Q48" s="1253"/>
      <c r="R48" s="1253"/>
      <c r="S48" s="1253"/>
      <c r="T48" s="1253"/>
      <c r="U48" s="1253"/>
      <c r="V48" s="1254"/>
      <c r="W48" s="1255"/>
      <c r="X48" s="1255"/>
      <c r="Y48" s="1255"/>
      <c r="Z48" s="1255"/>
      <c r="AA48" s="1241"/>
      <c r="AB48" s="1255"/>
      <c r="AC48" s="1255"/>
      <c r="AD48" s="1255"/>
      <c r="AE48" s="1241"/>
      <c r="AF48" s="1241"/>
      <c r="AG48" s="1241"/>
      <c r="AH48" s="1241"/>
      <c r="AI48" s="1241"/>
      <c r="AJ48" s="1241"/>
      <c r="AK48" s="1241"/>
      <c r="AL48" s="1241"/>
      <c r="AM48" s="1241"/>
      <c r="AN48" s="1241"/>
      <c r="AO48" s="1241"/>
      <c r="AP48" s="1241"/>
      <c r="AQ48" s="1241"/>
      <c r="AR48" s="1241"/>
      <c r="AS48" s="1241"/>
      <c r="AT48" s="1241"/>
      <c r="AU48" s="1241"/>
      <c r="AV48" s="1241"/>
      <c r="AW48" s="1241"/>
      <c r="AX48" s="1241"/>
      <c r="AY48" s="1241"/>
      <c r="AZ48" s="1241"/>
      <c r="BA48" s="1241"/>
      <c r="BB48" s="1241"/>
      <c r="BC48" s="1241"/>
      <c r="BD48" s="1241"/>
      <c r="BE48" s="1241"/>
    </row>
    <row r="49" spans="1:57" s="1256" customFormat="1" ht="14.25" customHeight="1" x14ac:dyDescent="0.2">
      <c r="A49" s="3302" t="s">
        <v>948</v>
      </c>
      <c r="B49" s="3302"/>
      <c r="C49" s="3302"/>
      <c r="D49" s="3302"/>
      <c r="E49" s="3302"/>
      <c r="F49" s="3302"/>
      <c r="G49" s="3302"/>
      <c r="H49" s="3302"/>
      <c r="I49" s="3302"/>
      <c r="J49" s="3302"/>
      <c r="K49" s="3302"/>
      <c r="L49" s="3302"/>
      <c r="M49" s="3302"/>
      <c r="N49" s="3302"/>
      <c r="O49" s="3302"/>
      <c r="P49" s="3302"/>
      <c r="Q49" s="3302"/>
      <c r="R49" s="3302"/>
      <c r="S49" s="3302"/>
      <c r="T49" s="3302"/>
      <c r="U49" s="3302"/>
      <c r="V49" s="3302"/>
      <c r="W49" s="3302"/>
      <c r="X49" s="3302"/>
      <c r="Y49" s="3302"/>
      <c r="Z49" s="3302"/>
      <c r="AA49" s="3302"/>
      <c r="AB49" s="3302"/>
      <c r="AC49" s="3302"/>
      <c r="AD49" s="3302"/>
      <c r="AE49" s="3302"/>
      <c r="AF49" s="3302"/>
      <c r="AG49" s="3302"/>
      <c r="AH49" s="3302"/>
      <c r="AI49" s="3302"/>
      <c r="AJ49" s="3302"/>
      <c r="AK49" s="3302"/>
      <c r="AL49" s="3302"/>
      <c r="AM49" s="3302"/>
      <c r="AN49" s="3302"/>
      <c r="AO49" s="3302"/>
      <c r="AP49" s="3302"/>
      <c r="AQ49" s="3302"/>
      <c r="AR49" s="3302"/>
      <c r="AS49" s="3302"/>
      <c r="AT49" s="3302"/>
      <c r="AU49" s="3302"/>
      <c r="AV49" s="3302"/>
      <c r="AW49" s="3302"/>
      <c r="AX49" s="3302"/>
      <c r="AY49" s="3302"/>
      <c r="AZ49" s="3302"/>
      <c r="BA49" s="3302"/>
      <c r="BB49" s="3302"/>
      <c r="BC49" s="3302"/>
      <c r="BD49" s="3302"/>
      <c r="BE49" s="3302"/>
    </row>
    <row r="50" spans="1:57" s="1256" customFormat="1" ht="15.75" x14ac:dyDescent="0.2">
      <c r="A50" s="3302" t="s">
        <v>949</v>
      </c>
      <c r="B50" s="3302"/>
      <c r="C50" s="3302"/>
      <c r="D50" s="3302"/>
      <c r="E50" s="3302"/>
      <c r="F50" s="3302"/>
      <c r="G50" s="3302"/>
      <c r="H50" s="3302"/>
      <c r="I50" s="3302"/>
      <c r="J50" s="3302"/>
      <c r="K50" s="3302"/>
      <c r="L50" s="3302"/>
      <c r="M50" s="3302"/>
      <c r="N50" s="3302"/>
      <c r="O50" s="3302"/>
      <c r="P50" s="3302"/>
      <c r="Q50" s="3302"/>
      <c r="R50" s="3302"/>
      <c r="S50" s="3302"/>
      <c r="T50" s="3302"/>
      <c r="U50" s="3302"/>
      <c r="V50" s="3302"/>
      <c r="W50" s="3302"/>
      <c r="X50" s="3302"/>
      <c r="Y50" s="3302"/>
      <c r="Z50" s="3302"/>
      <c r="AA50" s="3302"/>
      <c r="AB50" s="3302"/>
      <c r="AC50" s="3302"/>
      <c r="AD50" s="3302"/>
      <c r="AE50" s="3302"/>
      <c r="AF50" s="3302"/>
      <c r="AG50" s="3302"/>
      <c r="AH50" s="3302"/>
      <c r="AI50" s="3302"/>
      <c r="AJ50" s="3302"/>
      <c r="AK50" s="3302"/>
      <c r="AL50" s="3302"/>
      <c r="AM50" s="3302"/>
      <c r="AN50" s="3302"/>
      <c r="AO50" s="3302"/>
      <c r="AP50" s="3302"/>
      <c r="AQ50" s="3302"/>
      <c r="AR50" s="3302"/>
      <c r="AS50" s="3302"/>
      <c r="AT50" s="3302"/>
      <c r="AU50" s="3302"/>
      <c r="AV50" s="3302"/>
      <c r="AW50" s="3302"/>
      <c r="AX50" s="3302"/>
      <c r="AY50" s="3302"/>
      <c r="AZ50" s="3302"/>
      <c r="BA50" s="3302"/>
      <c r="BB50" s="3302"/>
      <c r="BC50" s="3302"/>
      <c r="BD50" s="3302"/>
      <c r="BE50" s="3302"/>
    </row>
    <row r="51" spans="1:57" s="1256" customFormat="1" ht="15.75" x14ac:dyDescent="0.2">
      <c r="A51" s="3302" t="s">
        <v>950</v>
      </c>
      <c r="B51" s="3302"/>
      <c r="C51" s="3302"/>
      <c r="D51" s="3302"/>
      <c r="E51" s="3302"/>
      <c r="F51" s="3302"/>
      <c r="G51" s="3302"/>
      <c r="H51" s="3302"/>
      <c r="I51" s="3302"/>
      <c r="J51" s="3302"/>
      <c r="K51" s="3302"/>
      <c r="L51" s="3302"/>
      <c r="M51" s="3302"/>
      <c r="N51" s="3302"/>
      <c r="O51" s="3302"/>
      <c r="P51" s="3302"/>
      <c r="Q51" s="3302"/>
      <c r="R51" s="3302"/>
      <c r="S51" s="3302"/>
      <c r="T51" s="3302"/>
      <c r="U51" s="3302"/>
      <c r="V51" s="3302"/>
      <c r="W51" s="3302"/>
      <c r="X51" s="3302"/>
      <c r="Y51" s="3302"/>
      <c r="Z51" s="3302"/>
      <c r="AA51" s="3302"/>
      <c r="AB51" s="3302"/>
      <c r="AC51" s="3302"/>
      <c r="AD51" s="3302"/>
      <c r="AE51" s="3302"/>
      <c r="AF51" s="3302"/>
      <c r="AG51" s="3302"/>
      <c r="AH51" s="3302"/>
      <c r="AI51" s="3302"/>
      <c r="AJ51" s="3302"/>
      <c r="AK51" s="3302"/>
      <c r="AL51" s="3302"/>
      <c r="AM51" s="3302"/>
      <c r="AN51" s="3302"/>
      <c r="AO51" s="3302"/>
      <c r="AP51" s="3302"/>
      <c r="AQ51" s="3302"/>
      <c r="AR51" s="3302"/>
      <c r="AS51" s="3302"/>
      <c r="AT51" s="3302"/>
      <c r="AU51" s="3302"/>
      <c r="AV51" s="3302"/>
      <c r="AW51" s="3302"/>
      <c r="AX51" s="3302"/>
      <c r="AY51" s="3302"/>
      <c r="AZ51" s="3302"/>
      <c r="BA51" s="3302"/>
      <c r="BB51" s="3302"/>
      <c r="BC51" s="3302"/>
      <c r="BD51" s="3302"/>
      <c r="BE51" s="3302"/>
    </row>
    <row r="52" spans="1:57" s="1256" customFormat="1" ht="15.75" x14ac:dyDescent="0.2">
      <c r="A52" s="3302" t="s">
        <v>951</v>
      </c>
      <c r="B52" s="3302"/>
      <c r="C52" s="3302"/>
      <c r="D52" s="3302"/>
      <c r="E52" s="3302"/>
      <c r="F52" s="3302"/>
      <c r="G52" s="3302"/>
      <c r="H52" s="3302"/>
      <c r="I52" s="3302"/>
      <c r="J52" s="3302"/>
      <c r="K52" s="3302"/>
      <c r="L52" s="3302"/>
      <c r="M52" s="3302"/>
      <c r="N52" s="3302"/>
      <c r="O52" s="3302"/>
      <c r="P52" s="3302"/>
      <c r="Q52" s="3302"/>
      <c r="R52" s="3302"/>
      <c r="S52" s="3302"/>
      <c r="T52" s="3302"/>
      <c r="U52" s="3302"/>
      <c r="V52" s="3302"/>
      <c r="W52" s="3302"/>
      <c r="X52" s="3302"/>
      <c r="Y52" s="3302"/>
      <c r="Z52" s="3302"/>
      <c r="AA52" s="3302"/>
      <c r="AB52" s="3302"/>
      <c r="AC52" s="3302"/>
      <c r="AD52" s="3302"/>
      <c r="AE52" s="3302"/>
      <c r="AF52" s="3302"/>
      <c r="AG52" s="3302"/>
      <c r="AH52" s="3302"/>
      <c r="AI52" s="3302"/>
      <c r="AJ52" s="3302"/>
      <c r="AK52" s="3302"/>
      <c r="AL52" s="3302"/>
      <c r="AM52" s="3302"/>
      <c r="AN52" s="3302"/>
      <c r="AO52" s="3302"/>
      <c r="AP52" s="3302"/>
      <c r="AQ52" s="3302"/>
      <c r="AR52" s="3302"/>
      <c r="AS52" s="3302"/>
      <c r="AT52" s="3302"/>
      <c r="AU52" s="3302"/>
      <c r="AV52" s="3302"/>
      <c r="AW52" s="3302"/>
      <c r="AX52" s="3302"/>
      <c r="AY52" s="3302"/>
      <c r="AZ52" s="3302"/>
      <c r="BA52" s="3302"/>
      <c r="BB52" s="3302"/>
      <c r="BC52" s="3302"/>
      <c r="BD52" s="3302"/>
      <c r="BE52" s="3302"/>
    </row>
    <row r="53" spans="1:57" s="1256" customFormat="1" ht="15.75" x14ac:dyDescent="0.2">
      <c r="A53" s="3302" t="s">
        <v>952</v>
      </c>
      <c r="B53" s="3302"/>
      <c r="C53" s="3302"/>
      <c r="D53" s="3302"/>
      <c r="E53" s="3302"/>
      <c r="F53" s="3302"/>
      <c r="G53" s="3302"/>
      <c r="H53" s="3302"/>
      <c r="I53" s="3302"/>
      <c r="J53" s="3302"/>
      <c r="K53" s="3302"/>
      <c r="L53" s="3302"/>
      <c r="M53" s="3302"/>
      <c r="N53" s="3302"/>
      <c r="O53" s="3302"/>
      <c r="P53" s="3302"/>
      <c r="Q53" s="3302"/>
      <c r="R53" s="3302"/>
      <c r="S53" s="3302"/>
      <c r="T53" s="3302"/>
      <c r="U53" s="3302"/>
      <c r="V53" s="3302"/>
      <c r="W53" s="3302"/>
      <c r="X53" s="3302"/>
      <c r="Y53" s="3302"/>
      <c r="Z53" s="3302"/>
      <c r="AA53" s="3302"/>
      <c r="AB53" s="3302"/>
      <c r="AC53" s="3302"/>
      <c r="AD53" s="3302"/>
      <c r="AE53" s="3302"/>
      <c r="AF53" s="3302"/>
      <c r="AG53" s="3302"/>
      <c r="AH53" s="3302"/>
      <c r="AI53" s="3302"/>
      <c r="AJ53" s="3302"/>
      <c r="AK53" s="3302"/>
      <c r="AL53" s="3302"/>
      <c r="AM53" s="3302"/>
      <c r="AN53" s="3302"/>
      <c r="AO53" s="3302"/>
      <c r="AP53" s="3302"/>
      <c r="AQ53" s="3302"/>
      <c r="AR53" s="3302"/>
      <c r="AS53" s="3302"/>
      <c r="AT53" s="3302"/>
      <c r="AU53" s="3302"/>
      <c r="AV53" s="3302"/>
      <c r="AW53" s="3302"/>
      <c r="AX53" s="3302"/>
      <c r="AY53" s="3302"/>
      <c r="AZ53" s="3302"/>
      <c r="BA53" s="3302"/>
      <c r="BB53" s="3302"/>
      <c r="BC53" s="3302"/>
      <c r="BD53" s="3302"/>
      <c r="BE53" s="3302"/>
    </row>
    <row r="54" spans="1:57" s="1256" customFormat="1" ht="15.75" x14ac:dyDescent="0.2">
      <c r="A54" s="3302" t="s">
        <v>953</v>
      </c>
      <c r="B54" s="3302"/>
      <c r="C54" s="3302"/>
      <c r="D54" s="3302"/>
      <c r="E54" s="3302"/>
      <c r="F54" s="3302"/>
      <c r="G54" s="3302"/>
      <c r="H54" s="3302"/>
      <c r="I54" s="3302"/>
      <c r="J54" s="3302"/>
      <c r="K54" s="3302"/>
      <c r="L54" s="3302"/>
      <c r="M54" s="3302"/>
      <c r="N54" s="3302"/>
      <c r="O54" s="3302"/>
      <c r="P54" s="3302"/>
      <c r="Q54" s="3302"/>
      <c r="R54" s="3302"/>
      <c r="S54" s="3302"/>
      <c r="T54" s="3302"/>
      <c r="U54" s="3302"/>
      <c r="V54" s="3302"/>
      <c r="W54" s="3302"/>
      <c r="X54" s="3302"/>
      <c r="Y54" s="3302"/>
      <c r="Z54" s="3302"/>
      <c r="AA54" s="3302"/>
      <c r="AB54" s="3302"/>
      <c r="AC54" s="3302"/>
      <c r="AD54" s="3302"/>
      <c r="AE54" s="3302"/>
      <c r="AF54" s="3302"/>
      <c r="AG54" s="3302"/>
      <c r="AH54" s="3302"/>
      <c r="AI54" s="3302"/>
      <c r="AJ54" s="3302"/>
      <c r="AK54" s="3302"/>
      <c r="AL54" s="3302"/>
      <c r="AM54" s="3302"/>
      <c r="AN54" s="3302"/>
      <c r="AO54" s="3302"/>
      <c r="AP54" s="3302"/>
      <c r="AQ54" s="3302"/>
      <c r="AR54" s="3302"/>
      <c r="AS54" s="3302"/>
      <c r="AT54" s="3302"/>
      <c r="AU54" s="3302"/>
      <c r="AV54" s="3302"/>
      <c r="AW54" s="3302"/>
      <c r="AX54" s="3302"/>
      <c r="AY54" s="3302"/>
      <c r="AZ54" s="3302"/>
      <c r="BA54" s="3302"/>
      <c r="BB54" s="3302"/>
      <c r="BC54" s="3302"/>
      <c r="BD54" s="3302"/>
      <c r="BE54" s="3302"/>
    </row>
    <row r="55" spans="1:57" s="1256" customFormat="1" ht="15.75" x14ac:dyDescent="0.2">
      <c r="A55" s="3302" t="s">
        <v>954</v>
      </c>
      <c r="B55" s="3302"/>
      <c r="C55" s="3302"/>
      <c r="D55" s="3302"/>
      <c r="E55" s="3302"/>
      <c r="F55" s="3302"/>
      <c r="G55" s="3302"/>
      <c r="H55" s="3302"/>
      <c r="I55" s="3302"/>
      <c r="J55" s="3302"/>
      <c r="K55" s="3302"/>
      <c r="L55" s="3302"/>
      <c r="M55" s="3302"/>
      <c r="N55" s="3302"/>
      <c r="O55" s="3302"/>
      <c r="P55" s="3302"/>
      <c r="Q55" s="3302"/>
      <c r="R55" s="3302"/>
      <c r="S55" s="3302"/>
      <c r="T55" s="3302"/>
      <c r="U55" s="3302"/>
      <c r="V55" s="3302"/>
      <c r="W55" s="3302"/>
      <c r="X55" s="3302"/>
      <c r="Y55" s="3302"/>
      <c r="Z55" s="3302"/>
      <c r="AA55" s="3302"/>
      <c r="AB55" s="3302"/>
      <c r="AC55" s="3302"/>
      <c r="AD55" s="3302"/>
      <c r="AE55" s="3302"/>
      <c r="AF55" s="3302"/>
      <c r="AG55" s="3302"/>
      <c r="AH55" s="3302"/>
      <c r="AI55" s="3302"/>
      <c r="AJ55" s="3302"/>
      <c r="AK55" s="3302"/>
      <c r="AL55" s="3302"/>
      <c r="AM55" s="3302"/>
      <c r="AN55" s="3302"/>
      <c r="AO55" s="3302"/>
      <c r="AP55" s="3302"/>
      <c r="AQ55" s="3302"/>
      <c r="AR55" s="3302"/>
      <c r="AS55" s="3302"/>
      <c r="AT55" s="3302"/>
      <c r="AU55" s="3302"/>
      <c r="AV55" s="3302"/>
      <c r="AW55" s="3302"/>
      <c r="AX55" s="3302"/>
      <c r="AY55" s="3302"/>
      <c r="AZ55" s="3302"/>
      <c r="BA55" s="3302"/>
      <c r="BB55" s="3302"/>
      <c r="BC55" s="3302"/>
      <c r="BD55" s="3302"/>
      <c r="BE55" s="3302"/>
    </row>
    <row r="56" spans="1:57" s="1256" customFormat="1" x14ac:dyDescent="0.2">
      <c r="A56" s="3302" t="s">
        <v>955</v>
      </c>
      <c r="B56" s="3302"/>
      <c r="C56" s="3302"/>
      <c r="D56" s="3302"/>
      <c r="E56" s="3302"/>
      <c r="F56" s="3302"/>
      <c r="G56" s="3302"/>
      <c r="H56" s="3302"/>
      <c r="I56" s="3302"/>
      <c r="J56" s="3302"/>
      <c r="K56" s="3302"/>
      <c r="L56" s="3302"/>
      <c r="M56" s="3302"/>
      <c r="N56" s="3302"/>
      <c r="O56" s="3302"/>
      <c r="P56" s="3302"/>
      <c r="Q56" s="3302"/>
      <c r="R56" s="3302"/>
      <c r="S56" s="3302"/>
      <c r="T56" s="3302"/>
      <c r="U56" s="3302"/>
      <c r="V56" s="3302"/>
      <c r="W56" s="3302"/>
      <c r="X56" s="3302"/>
      <c r="Y56" s="3302"/>
      <c r="Z56" s="3302"/>
      <c r="AA56" s="3302"/>
      <c r="AB56" s="3302"/>
      <c r="AC56" s="3302"/>
      <c r="AD56" s="3302"/>
      <c r="AE56" s="3302"/>
      <c r="AF56" s="3302"/>
      <c r="AG56" s="3302"/>
      <c r="AH56" s="3302"/>
      <c r="AI56" s="3302"/>
      <c r="AJ56" s="3302"/>
      <c r="AK56" s="3302"/>
      <c r="AL56" s="3302"/>
      <c r="AM56" s="3302"/>
      <c r="AN56" s="3302"/>
      <c r="AO56" s="3302"/>
      <c r="AP56" s="3302"/>
      <c r="AQ56" s="3302"/>
      <c r="AR56" s="3302"/>
      <c r="AS56" s="3302"/>
      <c r="AT56" s="3302"/>
      <c r="AU56" s="3302"/>
      <c r="AV56" s="3302"/>
      <c r="AW56" s="3302"/>
      <c r="AX56" s="3302"/>
      <c r="AY56" s="3302"/>
      <c r="AZ56" s="3302"/>
      <c r="BA56" s="3302"/>
      <c r="BB56" s="3302"/>
      <c r="BC56" s="3302"/>
      <c r="BD56" s="3302"/>
    </row>
    <row r="57" spans="1:57" s="1256" customFormat="1" ht="15" customHeight="1" x14ac:dyDescent="0.25">
      <c r="A57" s="3305"/>
      <c r="B57" s="3305"/>
      <c r="C57" s="3305"/>
      <c r="D57" s="3305"/>
      <c r="E57" s="3305"/>
      <c r="F57" s="3305"/>
      <c r="G57" s="3305"/>
      <c r="H57" s="3305"/>
      <c r="I57" s="3305"/>
      <c r="J57" s="3305"/>
      <c r="K57" s="3305"/>
      <c r="L57" s="3305"/>
      <c r="M57" s="3305"/>
      <c r="N57" s="3305"/>
      <c r="O57" s="3305"/>
      <c r="P57" s="3305"/>
      <c r="Q57" s="3305"/>
      <c r="R57" s="3305"/>
      <c r="S57" s="3305"/>
      <c r="T57" s="3305"/>
      <c r="U57" s="3305"/>
      <c r="V57" s="3305"/>
      <c r="W57" s="3305"/>
      <c r="X57" s="3305"/>
      <c r="Y57" s="3305"/>
      <c r="Z57" s="3305"/>
      <c r="AA57" s="3305"/>
      <c r="AB57" s="3305"/>
      <c r="AC57" s="3305"/>
      <c r="AD57" s="3305"/>
      <c r="AE57" s="3305"/>
      <c r="AF57" s="3305"/>
      <c r="AG57" s="3305"/>
      <c r="AH57" s="3305"/>
      <c r="AI57" s="3305"/>
      <c r="AJ57" s="3305"/>
      <c r="AK57" s="3305"/>
      <c r="AL57" s="3305"/>
      <c r="AM57" s="3305"/>
      <c r="AN57" s="3305"/>
      <c r="AO57" s="3305"/>
      <c r="AP57" s="3305"/>
      <c r="AQ57" s="3305"/>
      <c r="AR57" s="3305"/>
      <c r="AS57" s="3305"/>
      <c r="AT57" s="3305"/>
      <c r="AU57" s="3305"/>
      <c r="AV57" s="3305"/>
      <c r="AW57" s="3305"/>
      <c r="AX57" s="3305"/>
      <c r="AY57" s="3305"/>
      <c r="AZ57" s="3305"/>
      <c r="BA57" s="3305"/>
      <c r="BB57" s="3305"/>
      <c r="BC57" s="3305"/>
    </row>
    <row r="58" spans="1:57" s="1256" customFormat="1" x14ac:dyDescent="0.2">
      <c r="A58" s="3302" t="s">
        <v>956</v>
      </c>
      <c r="B58" s="3302"/>
      <c r="C58" s="3302"/>
      <c r="D58" s="3302"/>
      <c r="E58" s="3302"/>
      <c r="F58" s="3302"/>
      <c r="G58" s="3302"/>
      <c r="H58" s="3302"/>
      <c r="I58" s="3302"/>
      <c r="J58" s="3302"/>
      <c r="K58" s="3302"/>
      <c r="L58" s="3302"/>
      <c r="M58" s="3302"/>
      <c r="N58" s="3302"/>
      <c r="O58" s="3302"/>
      <c r="P58" s="3302"/>
      <c r="Q58" s="3302"/>
      <c r="R58" s="3302"/>
      <c r="S58" s="3302"/>
      <c r="T58" s="3302"/>
      <c r="U58" s="3302"/>
      <c r="V58" s="3302"/>
      <c r="W58" s="3302"/>
      <c r="X58" s="3302"/>
      <c r="Y58" s="3302"/>
      <c r="Z58" s="3302"/>
      <c r="AA58" s="3302"/>
      <c r="AB58" s="3302"/>
      <c r="AC58" s="3302"/>
      <c r="AD58" s="3302"/>
      <c r="AE58" s="3302"/>
      <c r="AF58" s="3302"/>
      <c r="AG58" s="3302"/>
      <c r="AH58" s="3302"/>
      <c r="AI58" s="3302"/>
      <c r="AJ58" s="3302"/>
      <c r="AK58" s="3302"/>
      <c r="AL58" s="3302"/>
      <c r="AM58" s="3302"/>
      <c r="AN58" s="3302"/>
      <c r="AO58" s="3302"/>
      <c r="AP58" s="3302"/>
      <c r="AQ58" s="3302"/>
      <c r="AR58" s="3302"/>
      <c r="AS58" s="3302"/>
      <c r="AT58" s="3302"/>
      <c r="AU58" s="3302"/>
      <c r="AV58" s="3302"/>
      <c r="AW58" s="3302"/>
      <c r="AX58" s="3302"/>
      <c r="AY58" s="3302"/>
      <c r="AZ58" s="3302"/>
      <c r="BA58" s="3302"/>
      <c r="BB58" s="3302"/>
      <c r="BC58" s="3302"/>
      <c r="BD58" s="3302"/>
    </row>
    <row r="59" spans="1:57" ht="16.5" x14ac:dyDescent="0.3">
      <c r="A59" s="1257"/>
      <c r="B59" s="1258"/>
      <c r="C59" s="1258"/>
      <c r="D59" s="1258"/>
      <c r="E59" s="1258"/>
      <c r="F59" s="1258"/>
      <c r="G59" s="1258"/>
      <c r="H59" s="1258"/>
      <c r="I59" s="1258"/>
      <c r="J59" s="1258"/>
      <c r="K59" s="1257"/>
      <c r="L59" s="1257"/>
      <c r="M59" s="1257"/>
      <c r="N59" s="1257"/>
      <c r="O59" s="1257"/>
      <c r="P59" s="1257"/>
      <c r="Q59" s="1257"/>
      <c r="R59" s="1257"/>
      <c r="S59" s="1257"/>
      <c r="T59" s="1257"/>
      <c r="U59" s="1259"/>
      <c r="V59" s="1259"/>
      <c r="W59" s="1260"/>
      <c r="X59" s="1261"/>
      <c r="Y59" s="1261"/>
      <c r="Z59" s="1261"/>
      <c r="AA59" s="1261"/>
      <c r="AB59" s="1261"/>
      <c r="AC59" s="1261"/>
      <c r="AD59" s="1261"/>
      <c r="AE59" s="1261"/>
      <c r="AF59" s="1261"/>
      <c r="AG59" s="1261"/>
      <c r="AH59" s="1261"/>
      <c r="AI59" s="1261"/>
      <c r="AJ59" s="1261"/>
      <c r="AK59" s="1261"/>
      <c r="AL59" s="1261"/>
      <c r="AM59" s="1261"/>
      <c r="AN59" s="1261"/>
      <c r="AO59" s="1261"/>
      <c r="AP59" s="1261"/>
      <c r="AQ59" s="1261"/>
      <c r="AR59" s="1261"/>
      <c r="AS59" s="1261"/>
      <c r="AT59" s="1261"/>
      <c r="AU59" s="1261"/>
      <c r="BB59" s="3303"/>
      <c r="BC59" s="3303"/>
    </row>
    <row r="60" spans="1:57" s="1177" customFormat="1" x14ac:dyDescent="0.25"/>
    <row r="61" spans="1:57" s="1177" customFormat="1" x14ac:dyDescent="0.25">
      <c r="BB61" s="3304"/>
      <c r="BC61" s="3304"/>
    </row>
    <row r="62" spans="1:57" ht="16.5" x14ac:dyDescent="0.3">
      <c r="A62" s="1257"/>
      <c r="B62" s="1258"/>
      <c r="C62" s="1258"/>
      <c r="D62" s="1258"/>
      <c r="E62" s="1258"/>
      <c r="F62" s="1258"/>
      <c r="G62" s="1262"/>
      <c r="H62" s="1258"/>
      <c r="I62" s="1258"/>
      <c r="J62" s="1258"/>
      <c r="K62" s="1257"/>
      <c r="L62" s="1257"/>
      <c r="M62" s="1257"/>
      <c r="N62" s="1257"/>
      <c r="O62" s="1257"/>
      <c r="P62" s="1257"/>
      <c r="Q62" s="1257"/>
      <c r="R62" s="1257"/>
      <c r="S62" s="1257"/>
      <c r="T62" s="1257"/>
      <c r="U62" s="1259"/>
      <c r="V62" s="1259"/>
      <c r="W62" s="1260"/>
      <c r="X62" s="1261"/>
      <c r="Y62" s="1261"/>
      <c r="Z62" s="1261"/>
      <c r="AA62" s="1261"/>
      <c r="AB62" s="1261"/>
      <c r="AC62" s="1261"/>
      <c r="AD62" s="1261"/>
      <c r="AE62" s="1261"/>
      <c r="AF62" s="1261"/>
      <c r="AG62" s="1261"/>
      <c r="AH62" s="1261"/>
      <c r="AI62" s="1261"/>
      <c r="AJ62" s="1261"/>
      <c r="AK62" s="1261"/>
      <c r="AL62" s="1261"/>
      <c r="AM62" s="1261"/>
      <c r="AN62" s="1261"/>
      <c r="AO62" s="1261"/>
      <c r="AP62" s="1261"/>
      <c r="AQ62" s="1261"/>
      <c r="AR62" s="1261"/>
      <c r="AS62" s="1261"/>
      <c r="AT62" s="1261"/>
      <c r="AU62" s="1261"/>
    </row>
    <row r="63" spans="1:57" ht="16.5" x14ac:dyDescent="0.3">
      <c r="A63" s="1257"/>
      <c r="B63" s="1258"/>
      <c r="C63" s="1258"/>
      <c r="D63" s="1258"/>
      <c r="E63" s="1258"/>
      <c r="F63" s="1258"/>
      <c r="G63" s="1262"/>
      <c r="H63" s="1258"/>
      <c r="I63" s="1258"/>
      <c r="J63" s="1258"/>
      <c r="K63" s="1257"/>
      <c r="L63" s="1257"/>
      <c r="M63" s="1257"/>
      <c r="N63" s="1257"/>
      <c r="O63" s="1257"/>
      <c r="P63" s="1257"/>
      <c r="Q63" s="1257"/>
      <c r="R63" s="1257"/>
      <c r="S63" s="1257"/>
      <c r="T63" s="1257"/>
      <c r="U63" s="1259"/>
      <c r="V63" s="1259"/>
      <c r="W63" s="1260"/>
      <c r="X63" s="1261"/>
      <c r="Y63" s="1261"/>
      <c r="Z63" s="1261"/>
      <c r="AA63" s="1261"/>
      <c r="AB63" s="1261"/>
      <c r="AC63" s="1261"/>
      <c r="AD63" s="1261"/>
      <c r="AE63" s="1261"/>
      <c r="AF63" s="1261"/>
      <c r="AG63" s="1261"/>
      <c r="AH63" s="1261"/>
      <c r="AI63" s="1261"/>
      <c r="AJ63" s="1261"/>
      <c r="AK63" s="1261"/>
      <c r="AL63" s="1261"/>
      <c r="AM63" s="1261"/>
      <c r="AN63" s="1261"/>
      <c r="AO63" s="1261"/>
      <c r="AP63" s="1261"/>
      <c r="AQ63" s="1261"/>
      <c r="AR63" s="1261"/>
      <c r="AS63" s="1261"/>
      <c r="AT63" s="1261"/>
      <c r="AU63" s="1261"/>
    </row>
    <row r="64" spans="1:57" ht="16.5" x14ac:dyDescent="0.3">
      <c r="A64" s="1257"/>
      <c r="B64" s="1258"/>
      <c r="C64" s="1258"/>
      <c r="D64" s="1258"/>
      <c r="E64" s="1258"/>
      <c r="F64" s="1258"/>
      <c r="G64" s="1262"/>
      <c r="H64" s="1258"/>
      <c r="I64" s="1258"/>
      <c r="J64" s="1258"/>
      <c r="K64" s="1257"/>
      <c r="L64" s="1257"/>
      <c r="M64" s="1257"/>
      <c r="N64" s="1257"/>
      <c r="O64" s="1257"/>
      <c r="P64" s="1257"/>
      <c r="Q64" s="1257"/>
      <c r="R64" s="1257"/>
      <c r="S64" s="1257"/>
      <c r="T64" s="1257"/>
      <c r="U64" s="1259"/>
      <c r="V64" s="1259"/>
      <c r="W64" s="1260"/>
      <c r="X64" s="1261"/>
      <c r="Y64" s="1261"/>
      <c r="Z64" s="1261"/>
      <c r="AA64" s="1261"/>
      <c r="AB64" s="1261"/>
      <c r="AC64" s="1261"/>
      <c r="AD64" s="1261"/>
      <c r="AE64" s="1261"/>
      <c r="AF64" s="1261"/>
      <c r="AG64" s="1261"/>
      <c r="AH64" s="1261"/>
      <c r="AI64" s="1261"/>
      <c r="AJ64" s="1261"/>
      <c r="AK64" s="1261"/>
      <c r="AL64" s="1261"/>
      <c r="AM64" s="1261"/>
      <c r="AN64" s="1261"/>
      <c r="AO64" s="1261"/>
      <c r="AP64" s="1261"/>
      <c r="AQ64" s="1261"/>
      <c r="AR64" s="1261"/>
      <c r="AS64" s="1261"/>
      <c r="AT64" s="1261"/>
      <c r="AU64" s="1261"/>
    </row>
    <row r="65" spans="1:47" ht="16.5" x14ac:dyDescent="0.3">
      <c r="A65" s="1257"/>
      <c r="B65" s="1258"/>
      <c r="C65" s="1258"/>
      <c r="D65" s="1258"/>
      <c r="E65" s="1258"/>
      <c r="F65" s="1258"/>
      <c r="G65" s="1262"/>
      <c r="H65" s="1258"/>
      <c r="I65" s="1258"/>
      <c r="J65" s="1258"/>
      <c r="K65" s="1257"/>
      <c r="L65" s="1257"/>
      <c r="M65" s="1257"/>
      <c r="N65" s="1257"/>
      <c r="O65" s="1257"/>
      <c r="P65" s="1257"/>
      <c r="Q65" s="1257"/>
      <c r="R65" s="1257"/>
      <c r="S65" s="1257"/>
      <c r="T65" s="1257"/>
      <c r="U65" s="1259"/>
      <c r="V65" s="1259"/>
      <c r="W65" s="1260"/>
      <c r="X65" s="1261"/>
      <c r="Y65" s="1261"/>
      <c r="Z65" s="1261"/>
      <c r="AA65" s="1261"/>
      <c r="AB65" s="1261"/>
      <c r="AC65" s="1261"/>
      <c r="AD65" s="1261"/>
      <c r="AE65" s="1261"/>
      <c r="AF65" s="1261"/>
      <c r="AG65" s="1261"/>
      <c r="AH65" s="1261"/>
      <c r="AI65" s="1261"/>
      <c r="AJ65" s="1261"/>
      <c r="AK65" s="1261"/>
      <c r="AL65" s="1261"/>
      <c r="AM65" s="1261"/>
      <c r="AN65" s="1261"/>
      <c r="AO65" s="1261"/>
      <c r="AP65" s="1261"/>
      <c r="AQ65" s="1261"/>
      <c r="AR65" s="1261"/>
      <c r="AS65" s="1261"/>
      <c r="AT65" s="1261"/>
      <c r="AU65" s="1261"/>
    </row>
    <row r="66" spans="1:47" ht="16.5" x14ac:dyDescent="0.3">
      <c r="A66" s="1257"/>
      <c r="B66" s="1258"/>
      <c r="C66" s="1258"/>
      <c r="D66" s="1258"/>
      <c r="E66" s="1258"/>
      <c r="F66" s="1258"/>
      <c r="G66" s="1262"/>
      <c r="H66" s="1258"/>
      <c r="I66" s="1258"/>
      <c r="J66" s="1258"/>
      <c r="K66" s="1257"/>
      <c r="L66" s="1257"/>
      <c r="M66" s="1257"/>
      <c r="N66" s="1257"/>
      <c r="O66" s="1257"/>
      <c r="P66" s="1257"/>
      <c r="Q66" s="1257"/>
      <c r="R66" s="1257"/>
      <c r="S66" s="1257"/>
      <c r="T66" s="1257"/>
      <c r="U66" s="1259"/>
      <c r="V66" s="1259"/>
      <c r="W66" s="1260"/>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row>
    <row r="67" spans="1:47" ht="16.5" x14ac:dyDescent="0.3">
      <c r="A67" s="1257"/>
      <c r="B67" s="1258"/>
      <c r="C67" s="1258"/>
      <c r="D67" s="1258"/>
      <c r="E67" s="1258"/>
      <c r="F67" s="1258"/>
      <c r="G67" s="1262"/>
      <c r="H67" s="1258"/>
      <c r="I67" s="1258"/>
      <c r="J67" s="1258"/>
      <c r="K67" s="1257"/>
      <c r="L67" s="1257"/>
      <c r="M67" s="1257"/>
      <c r="N67" s="1257"/>
      <c r="O67" s="1257"/>
      <c r="P67" s="1257"/>
      <c r="Q67" s="1257"/>
      <c r="R67" s="1257"/>
      <c r="S67" s="1257"/>
      <c r="T67" s="1257"/>
      <c r="U67" s="1259"/>
      <c r="V67" s="1259"/>
      <c r="W67" s="1260"/>
      <c r="X67" s="1261"/>
      <c r="Y67" s="1261"/>
      <c r="Z67" s="1261"/>
      <c r="AA67" s="1261"/>
      <c r="AB67" s="1261"/>
      <c r="AC67" s="1261"/>
      <c r="AD67" s="1261"/>
      <c r="AE67" s="1261"/>
      <c r="AF67" s="1261"/>
      <c r="AG67" s="1261"/>
      <c r="AH67" s="1261"/>
      <c r="AI67" s="1261"/>
      <c r="AJ67" s="1261"/>
      <c r="AK67" s="1261"/>
      <c r="AL67" s="1261"/>
      <c r="AM67" s="1261"/>
      <c r="AN67" s="1261"/>
      <c r="AO67" s="1261"/>
      <c r="AP67" s="1261"/>
      <c r="AQ67" s="1261"/>
      <c r="AR67" s="1261"/>
      <c r="AS67" s="1261"/>
      <c r="AT67" s="1261"/>
      <c r="AU67" s="1261"/>
    </row>
    <row r="68" spans="1:47" ht="16.5" x14ac:dyDescent="0.3">
      <c r="A68" s="1257"/>
      <c r="B68" s="1258"/>
      <c r="C68" s="1258"/>
      <c r="D68" s="1258"/>
      <c r="E68" s="1258"/>
      <c r="F68" s="1258"/>
      <c r="G68" s="1258"/>
      <c r="H68" s="1258"/>
      <c r="I68" s="1258"/>
      <c r="J68" s="1258"/>
      <c r="K68" s="1257"/>
      <c r="L68" s="1257"/>
      <c r="M68" s="1257"/>
      <c r="N68" s="1257"/>
      <c r="O68" s="1257"/>
      <c r="P68" s="1257"/>
      <c r="Q68" s="1257"/>
      <c r="R68" s="1257"/>
      <c r="S68" s="1257"/>
      <c r="T68" s="1257"/>
      <c r="U68" s="1259"/>
      <c r="V68" s="1259"/>
      <c r="W68" s="1260"/>
      <c r="X68" s="1261"/>
      <c r="Y68" s="1261"/>
      <c r="Z68" s="1261"/>
      <c r="AA68" s="1261"/>
      <c r="AB68" s="1261"/>
      <c r="AC68" s="1261"/>
      <c r="AD68" s="1261"/>
      <c r="AE68" s="1261"/>
      <c r="AF68" s="1261"/>
      <c r="AG68" s="1261"/>
      <c r="AH68" s="1261"/>
      <c r="AI68" s="1261"/>
      <c r="AJ68" s="1261"/>
      <c r="AK68" s="1261"/>
      <c r="AL68" s="1261"/>
      <c r="AM68" s="1261"/>
      <c r="AN68" s="1261"/>
      <c r="AO68" s="1261"/>
      <c r="AP68" s="1261"/>
      <c r="AQ68" s="1261"/>
      <c r="AR68" s="1261"/>
      <c r="AS68" s="1261"/>
      <c r="AT68" s="1261"/>
      <c r="AU68" s="1261"/>
    </row>
    <row r="69" spans="1:47" ht="16.5" x14ac:dyDescent="0.3">
      <c r="A69" s="1257"/>
      <c r="B69" s="1258"/>
      <c r="C69" s="1258"/>
      <c r="D69" s="1258"/>
      <c r="E69" s="1258"/>
      <c r="F69" s="1258"/>
      <c r="G69" s="1258"/>
      <c r="H69" s="1258"/>
      <c r="I69" s="1258"/>
      <c r="J69" s="1258"/>
      <c r="K69" s="1257"/>
      <c r="L69" s="1257"/>
      <c r="M69" s="1257"/>
      <c r="N69" s="1257"/>
      <c r="O69" s="1257"/>
      <c r="P69" s="1257"/>
      <c r="Q69" s="1257"/>
      <c r="R69" s="1257"/>
      <c r="S69" s="1257"/>
      <c r="T69" s="1257"/>
      <c r="U69" s="1259"/>
      <c r="V69" s="1259"/>
      <c r="W69" s="1260"/>
      <c r="X69" s="1261"/>
      <c r="Y69" s="1261"/>
      <c r="Z69" s="1261"/>
      <c r="AA69" s="1261"/>
      <c r="AB69" s="1261"/>
      <c r="AC69" s="1261"/>
      <c r="AD69" s="1261"/>
      <c r="AE69" s="1261"/>
      <c r="AF69" s="1261"/>
      <c r="AG69" s="1261"/>
      <c r="AH69" s="1261"/>
      <c r="AI69" s="1261"/>
      <c r="AJ69" s="1261"/>
      <c r="AK69" s="1261"/>
      <c r="AL69" s="1261"/>
      <c r="AM69" s="1261"/>
      <c r="AN69" s="1261"/>
      <c r="AO69" s="1261"/>
      <c r="AP69" s="1261"/>
      <c r="AQ69" s="1261"/>
      <c r="AR69" s="1261"/>
      <c r="AS69" s="1261"/>
      <c r="AT69" s="1261"/>
      <c r="AU69" s="1261"/>
    </row>
    <row r="70" spans="1:47" ht="16.5" x14ac:dyDescent="0.3">
      <c r="A70" s="1257"/>
      <c r="B70" s="1258"/>
      <c r="C70" s="1258"/>
      <c r="D70" s="1258"/>
      <c r="E70" s="1258"/>
      <c r="F70" s="1258"/>
      <c r="G70" s="1258"/>
      <c r="H70" s="1258"/>
      <c r="I70" s="1258"/>
      <c r="J70" s="1258"/>
      <c r="K70" s="1257"/>
      <c r="L70" s="1257"/>
      <c r="M70" s="1257"/>
      <c r="N70" s="1257"/>
      <c r="O70" s="1257"/>
      <c r="P70" s="1257"/>
      <c r="Q70" s="1257"/>
      <c r="R70" s="1257"/>
      <c r="S70" s="1257"/>
      <c r="T70" s="1257"/>
      <c r="U70" s="1259"/>
      <c r="V70" s="1259"/>
      <c r="W70" s="1260"/>
      <c r="X70" s="1261"/>
      <c r="Y70" s="1261"/>
      <c r="Z70" s="1261"/>
      <c r="AA70" s="1261"/>
      <c r="AB70" s="1261"/>
      <c r="AC70" s="1261"/>
      <c r="AD70" s="1261"/>
      <c r="AE70" s="1261"/>
      <c r="AF70" s="1261"/>
      <c r="AG70" s="1261"/>
      <c r="AH70" s="1261"/>
      <c r="AI70" s="1261"/>
      <c r="AJ70" s="1261"/>
      <c r="AK70" s="1261"/>
      <c r="AL70" s="1261"/>
      <c r="AM70" s="1261"/>
      <c r="AN70" s="1261"/>
      <c r="AO70" s="1261"/>
      <c r="AP70" s="1261"/>
      <c r="AQ70" s="1261"/>
      <c r="AR70" s="1261"/>
      <c r="AS70" s="1261"/>
      <c r="AT70" s="1261"/>
      <c r="AU70" s="1261"/>
    </row>
    <row r="71" spans="1:47" ht="16.5" x14ac:dyDescent="0.3">
      <c r="A71" s="1257"/>
      <c r="B71" s="1258"/>
      <c r="C71" s="1258"/>
      <c r="D71" s="1258"/>
      <c r="E71" s="1258"/>
      <c r="F71" s="1258"/>
      <c r="G71" s="1258"/>
      <c r="H71" s="1258"/>
      <c r="I71" s="1258"/>
      <c r="J71" s="1258"/>
      <c r="K71" s="1257"/>
      <c r="L71" s="1257"/>
      <c r="M71" s="1257"/>
      <c r="N71" s="1257"/>
      <c r="O71" s="1257"/>
      <c r="P71" s="1257"/>
      <c r="Q71" s="1257"/>
      <c r="R71" s="1257"/>
      <c r="S71" s="1257"/>
      <c r="T71" s="1257"/>
      <c r="U71" s="1259"/>
      <c r="V71" s="1259"/>
      <c r="W71" s="1260"/>
      <c r="X71" s="1261"/>
      <c r="Y71" s="1261"/>
      <c r="Z71" s="1261"/>
      <c r="AA71" s="1261"/>
      <c r="AB71" s="1261"/>
      <c r="AC71" s="1261"/>
      <c r="AD71" s="1261"/>
      <c r="AE71" s="1261"/>
      <c r="AF71" s="1261"/>
      <c r="AG71" s="1261"/>
      <c r="AH71" s="1261"/>
      <c r="AI71" s="1261"/>
      <c r="AJ71" s="1261"/>
      <c r="AK71" s="1261"/>
      <c r="AL71" s="1261"/>
      <c r="AM71" s="1261"/>
      <c r="AN71" s="1261"/>
      <c r="AO71" s="1261"/>
      <c r="AP71" s="1261"/>
      <c r="AQ71" s="1261"/>
      <c r="AR71" s="1261"/>
      <c r="AS71" s="1261"/>
      <c r="AT71" s="1261"/>
      <c r="AU71" s="1261"/>
    </row>
    <row r="72" spans="1:47" ht="16.5" x14ac:dyDescent="0.3">
      <c r="A72" s="1257"/>
      <c r="B72" s="1258"/>
      <c r="C72" s="1258"/>
      <c r="D72" s="1258"/>
      <c r="E72" s="1258"/>
      <c r="F72" s="1258"/>
      <c r="G72" s="1258"/>
      <c r="H72" s="1258"/>
      <c r="I72" s="1258"/>
      <c r="J72" s="1258"/>
      <c r="K72" s="1257"/>
      <c r="L72" s="1257"/>
      <c r="M72" s="1257"/>
      <c r="N72" s="1257"/>
      <c r="O72" s="1257"/>
      <c r="P72" s="1257"/>
      <c r="Q72" s="1257"/>
      <c r="R72" s="1257"/>
      <c r="S72" s="1257"/>
      <c r="T72" s="1257"/>
      <c r="U72" s="1259"/>
      <c r="V72" s="1259"/>
      <c r="W72" s="1260"/>
      <c r="X72" s="1261"/>
      <c r="Y72" s="1261"/>
      <c r="Z72" s="1261"/>
      <c r="AA72" s="1261"/>
      <c r="AB72" s="1261"/>
      <c r="AC72" s="1261"/>
      <c r="AD72" s="1261"/>
      <c r="AE72" s="1261"/>
      <c r="AF72" s="1261"/>
      <c r="AG72" s="1261"/>
      <c r="AH72" s="1261"/>
      <c r="AI72" s="1261"/>
      <c r="AJ72" s="1261"/>
      <c r="AK72" s="1261"/>
      <c r="AL72" s="1261"/>
      <c r="AM72" s="1261"/>
      <c r="AN72" s="1261"/>
      <c r="AO72" s="1261"/>
      <c r="AP72" s="1261"/>
      <c r="AQ72" s="1261"/>
      <c r="AR72" s="1261"/>
      <c r="AS72" s="1261"/>
      <c r="AT72" s="1261"/>
      <c r="AU72" s="1261"/>
    </row>
    <row r="73" spans="1:47" ht="16.5" x14ac:dyDescent="0.3">
      <c r="A73" s="1257"/>
      <c r="B73" s="1258"/>
      <c r="C73" s="1258"/>
      <c r="D73" s="1258"/>
      <c r="E73" s="1258"/>
      <c r="F73" s="1258"/>
      <c r="G73" s="1258"/>
      <c r="H73" s="1258"/>
      <c r="I73" s="1258"/>
      <c r="J73" s="1258"/>
      <c r="K73" s="1257"/>
      <c r="L73" s="1257"/>
      <c r="M73" s="1257"/>
      <c r="N73" s="1257"/>
      <c r="O73" s="1257"/>
      <c r="P73" s="1257"/>
      <c r="Q73" s="1257"/>
      <c r="R73" s="1257"/>
      <c r="S73" s="1257"/>
      <c r="T73" s="1257"/>
      <c r="U73" s="1259"/>
      <c r="V73" s="1259"/>
      <c r="W73" s="1260"/>
      <c r="X73" s="1261"/>
      <c r="Y73" s="1261"/>
      <c r="Z73" s="1261"/>
      <c r="AA73" s="1261"/>
      <c r="AB73" s="1261"/>
      <c r="AC73" s="1261"/>
      <c r="AD73" s="1261"/>
      <c r="AE73" s="1261"/>
      <c r="AF73" s="1261"/>
      <c r="AG73" s="1261"/>
      <c r="AH73" s="1261"/>
      <c r="AI73" s="1261"/>
      <c r="AJ73" s="1261"/>
      <c r="AK73" s="1261"/>
      <c r="AL73" s="1261"/>
      <c r="AM73" s="1261"/>
      <c r="AN73" s="1261"/>
      <c r="AO73" s="1261"/>
      <c r="AP73" s="1261"/>
      <c r="AQ73" s="1261"/>
      <c r="AR73" s="1261"/>
      <c r="AS73" s="1261"/>
      <c r="AT73" s="1261"/>
      <c r="AU73" s="1261"/>
    </row>
    <row r="74" spans="1:47" ht="16.5" x14ac:dyDescent="0.3">
      <c r="A74" s="1257"/>
      <c r="B74" s="1258"/>
      <c r="C74" s="1258"/>
      <c r="D74" s="1258"/>
      <c r="E74" s="1258"/>
      <c r="F74" s="1258"/>
      <c r="G74" s="1258"/>
      <c r="H74" s="1258"/>
      <c r="I74" s="1258"/>
      <c r="J74" s="1258"/>
      <c r="K74" s="1257"/>
      <c r="L74" s="1257"/>
      <c r="M74" s="1257"/>
      <c r="N74" s="1257"/>
      <c r="O74" s="1257"/>
      <c r="P74" s="1257"/>
      <c r="Q74" s="1257"/>
      <c r="R74" s="1257"/>
      <c r="S74" s="1257"/>
      <c r="T74" s="1257"/>
      <c r="U74" s="1259"/>
      <c r="V74" s="1259"/>
      <c r="W74" s="1260"/>
      <c r="X74" s="1261"/>
      <c r="Y74" s="1261"/>
      <c r="Z74" s="1261"/>
      <c r="AA74" s="1261"/>
      <c r="AB74" s="1261"/>
      <c r="AC74" s="1261"/>
      <c r="AD74" s="1261"/>
      <c r="AE74" s="1261"/>
      <c r="AF74" s="1261"/>
      <c r="AG74" s="1261"/>
      <c r="AH74" s="1261"/>
      <c r="AI74" s="1261"/>
      <c r="AJ74" s="1261"/>
      <c r="AK74" s="1261"/>
      <c r="AL74" s="1261"/>
      <c r="AM74" s="1261"/>
      <c r="AN74" s="1261"/>
      <c r="AO74" s="1261"/>
      <c r="AP74" s="1261"/>
      <c r="AQ74" s="1261"/>
      <c r="AR74" s="1261"/>
      <c r="AS74" s="1261"/>
      <c r="AT74" s="1261"/>
      <c r="AU74" s="1261"/>
    </row>
    <row r="75" spans="1:47" ht="16.5" x14ac:dyDescent="0.3">
      <c r="A75" s="1257"/>
      <c r="B75" s="1258"/>
      <c r="C75" s="1258"/>
      <c r="D75" s="1258"/>
      <c r="E75" s="1258"/>
      <c r="F75" s="1258"/>
      <c r="G75" s="1258"/>
      <c r="H75" s="1258"/>
      <c r="I75" s="1258"/>
      <c r="J75" s="1258"/>
      <c r="K75" s="1257"/>
      <c r="L75" s="1257"/>
      <c r="M75" s="1257"/>
      <c r="N75" s="1257"/>
      <c r="O75" s="1257"/>
      <c r="P75" s="1257"/>
      <c r="Q75" s="1257"/>
      <c r="R75" s="1257"/>
      <c r="S75" s="1257"/>
      <c r="T75" s="1257"/>
      <c r="U75" s="1259"/>
      <c r="V75" s="1259"/>
      <c r="W75" s="1260"/>
      <c r="X75" s="1261"/>
      <c r="Y75" s="1261"/>
      <c r="Z75" s="1261"/>
      <c r="AA75" s="1261"/>
      <c r="AB75" s="1261"/>
      <c r="AC75" s="1261"/>
      <c r="AD75" s="1261"/>
      <c r="AE75" s="1261"/>
      <c r="AF75" s="1261"/>
      <c r="AG75" s="1261"/>
      <c r="AH75" s="1261"/>
      <c r="AI75" s="1261"/>
      <c r="AJ75" s="1261"/>
      <c r="AK75" s="1261"/>
      <c r="AL75" s="1261"/>
      <c r="AM75" s="1261"/>
      <c r="AN75" s="1261"/>
      <c r="AO75" s="1261"/>
      <c r="AP75" s="1261"/>
      <c r="AQ75" s="1261"/>
      <c r="AR75" s="1261"/>
      <c r="AS75" s="1261"/>
      <c r="AT75" s="1261"/>
      <c r="AU75" s="1261"/>
    </row>
    <row r="76" spans="1:47" ht="16.5" x14ac:dyDescent="0.3">
      <c r="A76" s="1257"/>
      <c r="B76" s="1258"/>
      <c r="C76" s="1258"/>
      <c r="D76" s="1258"/>
      <c r="E76" s="1258"/>
      <c r="F76" s="1258"/>
      <c r="G76" s="1258"/>
      <c r="H76" s="1258"/>
      <c r="I76" s="1258"/>
      <c r="J76" s="1258"/>
      <c r="K76" s="1257"/>
      <c r="L76" s="1257"/>
      <c r="M76" s="1257"/>
      <c r="N76" s="1257"/>
      <c r="O76" s="1257"/>
      <c r="P76" s="1257"/>
      <c r="Q76" s="1257"/>
      <c r="R76" s="1257"/>
      <c r="S76" s="1257"/>
      <c r="T76" s="1257"/>
      <c r="U76" s="1259"/>
      <c r="V76" s="1259"/>
      <c r="W76" s="1260"/>
      <c r="X76" s="1261"/>
      <c r="Y76" s="1261"/>
      <c r="Z76" s="1261"/>
      <c r="AA76" s="1261"/>
      <c r="AB76" s="1261"/>
      <c r="AC76" s="1261"/>
      <c r="AD76" s="1261"/>
      <c r="AE76" s="1261"/>
      <c r="AF76" s="1261"/>
      <c r="AG76" s="1261"/>
      <c r="AH76" s="1261"/>
      <c r="AI76" s="1261"/>
      <c r="AJ76" s="1261"/>
      <c r="AK76" s="1261"/>
      <c r="AL76" s="1261"/>
      <c r="AM76" s="1261"/>
      <c r="AN76" s="1261"/>
      <c r="AO76" s="1261"/>
      <c r="AP76" s="1261"/>
      <c r="AQ76" s="1261"/>
      <c r="AR76" s="1261"/>
      <c r="AS76" s="1261"/>
      <c r="AT76" s="1261"/>
      <c r="AU76" s="1261"/>
    </row>
    <row r="77" spans="1:47" ht="16.5" x14ac:dyDescent="0.3">
      <c r="A77" s="1257"/>
      <c r="B77" s="1258"/>
      <c r="C77" s="1258"/>
      <c r="D77" s="1258"/>
      <c r="E77" s="1258"/>
      <c r="F77" s="1258"/>
      <c r="G77" s="1258"/>
      <c r="H77" s="1258"/>
      <c r="I77" s="1258"/>
      <c r="J77" s="1258"/>
      <c r="K77" s="1257"/>
      <c r="L77" s="1257"/>
      <c r="M77" s="1257"/>
      <c r="N77" s="1257"/>
      <c r="O77" s="1257"/>
      <c r="P77" s="1257"/>
      <c r="Q77" s="1257"/>
      <c r="R77" s="1257"/>
      <c r="S77" s="1257"/>
      <c r="T77" s="1257"/>
      <c r="U77" s="1259"/>
      <c r="V77" s="1259"/>
      <c r="W77" s="1260"/>
      <c r="X77" s="1261"/>
      <c r="Y77" s="1261"/>
      <c r="Z77" s="1261"/>
      <c r="AA77" s="1261"/>
      <c r="AB77" s="1261"/>
      <c r="AC77" s="1261"/>
      <c r="AD77" s="1261"/>
      <c r="AE77" s="1261"/>
      <c r="AF77" s="1261"/>
      <c r="AG77" s="1261"/>
      <c r="AH77" s="1261"/>
      <c r="AI77" s="1261"/>
      <c r="AJ77" s="1261"/>
      <c r="AK77" s="1261"/>
      <c r="AL77" s="1261"/>
      <c r="AM77" s="1261"/>
      <c r="AN77" s="1261"/>
      <c r="AO77" s="1261"/>
      <c r="AP77" s="1261"/>
      <c r="AQ77" s="1261"/>
      <c r="AR77" s="1261"/>
      <c r="AS77" s="1261"/>
      <c r="AT77" s="1261"/>
      <c r="AU77" s="1261"/>
    </row>
    <row r="78" spans="1:47" ht="16.5" x14ac:dyDescent="0.3">
      <c r="A78" s="1257"/>
      <c r="B78" s="1258"/>
      <c r="C78" s="1258"/>
      <c r="D78" s="1258"/>
      <c r="E78" s="1258"/>
      <c r="F78" s="1258"/>
      <c r="G78" s="1258"/>
      <c r="H78" s="1258"/>
      <c r="I78" s="1258"/>
      <c r="J78" s="1258"/>
      <c r="K78" s="1257"/>
      <c r="L78" s="1257"/>
      <c r="M78" s="1257"/>
      <c r="N78" s="1257"/>
      <c r="O78" s="1257"/>
      <c r="P78" s="1257"/>
      <c r="Q78" s="1257"/>
      <c r="R78" s="1257"/>
      <c r="S78" s="1257"/>
      <c r="T78" s="1257"/>
      <c r="U78" s="1259"/>
      <c r="V78" s="1259"/>
      <c r="W78" s="1260"/>
      <c r="X78" s="1261"/>
      <c r="Y78" s="1261"/>
      <c r="Z78" s="1261"/>
      <c r="AA78" s="1261"/>
      <c r="AB78" s="1261"/>
      <c r="AC78" s="1261"/>
      <c r="AD78" s="1261"/>
      <c r="AE78" s="1261"/>
      <c r="AF78" s="1261"/>
      <c r="AG78" s="1261"/>
      <c r="AH78" s="1261"/>
      <c r="AI78" s="1261"/>
      <c r="AJ78" s="1261"/>
      <c r="AK78" s="1261"/>
      <c r="AL78" s="1261"/>
      <c r="AM78" s="1261"/>
      <c r="AN78" s="1261"/>
      <c r="AO78" s="1261"/>
      <c r="AP78" s="1261"/>
      <c r="AQ78" s="1261"/>
      <c r="AR78" s="1261"/>
      <c r="AS78" s="1261"/>
      <c r="AT78" s="1261"/>
      <c r="AU78" s="1261"/>
    </row>
    <row r="79" spans="1:47" ht="16.5" x14ac:dyDescent="0.3">
      <c r="A79" s="1257"/>
      <c r="B79" s="1258"/>
      <c r="C79" s="1258"/>
      <c r="D79" s="1258"/>
      <c r="E79" s="1258"/>
      <c r="F79" s="1258"/>
      <c r="G79" s="1258"/>
      <c r="H79" s="1258"/>
      <c r="I79" s="1258"/>
      <c r="J79" s="1258"/>
      <c r="K79" s="1257"/>
      <c r="L79" s="1257"/>
      <c r="M79" s="1257"/>
      <c r="N79" s="1257"/>
      <c r="O79" s="1257"/>
      <c r="P79" s="1257"/>
      <c r="Q79" s="1257"/>
      <c r="R79" s="1257"/>
      <c r="S79" s="1257"/>
      <c r="T79" s="1257"/>
      <c r="U79" s="1259"/>
      <c r="V79" s="1259"/>
      <c r="W79" s="1260"/>
      <c r="X79" s="1261"/>
      <c r="Y79" s="1261"/>
      <c r="Z79" s="1261"/>
      <c r="AA79" s="1261"/>
      <c r="AB79" s="1261"/>
      <c r="AC79" s="1261"/>
      <c r="AD79" s="1261"/>
      <c r="AE79" s="1261"/>
      <c r="AF79" s="1261"/>
      <c r="AG79" s="1261"/>
      <c r="AH79" s="1261"/>
      <c r="AI79" s="1261"/>
      <c r="AJ79" s="1261"/>
      <c r="AK79" s="1261"/>
      <c r="AL79" s="1261"/>
      <c r="AM79" s="1261"/>
      <c r="AN79" s="1261"/>
      <c r="AO79" s="1261"/>
      <c r="AP79" s="1261"/>
      <c r="AQ79" s="1261"/>
      <c r="AR79" s="1261"/>
      <c r="AS79" s="1261"/>
      <c r="AT79" s="1261"/>
      <c r="AU79" s="1261"/>
    </row>
    <row r="80" spans="1:47" ht="16.5" x14ac:dyDescent="0.3">
      <c r="A80" s="1257"/>
      <c r="B80" s="1258"/>
      <c r="C80" s="1258"/>
      <c r="D80" s="1258"/>
      <c r="E80" s="1258"/>
      <c r="F80" s="1258"/>
      <c r="G80" s="1258"/>
      <c r="H80" s="1258"/>
      <c r="I80" s="1258"/>
      <c r="J80" s="1258"/>
      <c r="K80" s="1257"/>
      <c r="L80" s="1257"/>
      <c r="M80" s="1257"/>
      <c r="N80" s="1257"/>
      <c r="O80" s="1257"/>
      <c r="P80" s="1257"/>
      <c r="Q80" s="1257"/>
      <c r="R80" s="1257"/>
      <c r="S80" s="1257"/>
      <c r="T80" s="1257"/>
      <c r="U80" s="1259"/>
      <c r="V80" s="1259"/>
      <c r="W80" s="1260"/>
      <c r="X80" s="1261"/>
      <c r="Y80" s="1261"/>
      <c r="Z80" s="1261"/>
      <c r="AA80" s="1261"/>
      <c r="AB80" s="1261"/>
      <c r="AC80" s="1261"/>
      <c r="AD80" s="1261"/>
      <c r="AE80" s="1261"/>
      <c r="AF80" s="1261"/>
      <c r="AG80" s="1261"/>
      <c r="AH80" s="1261"/>
      <c r="AI80" s="1261"/>
      <c r="AJ80" s="1261"/>
      <c r="AK80" s="1261"/>
      <c r="AL80" s="1261"/>
      <c r="AM80" s="1261"/>
      <c r="AN80" s="1261"/>
      <c r="AO80" s="1261"/>
      <c r="AP80" s="1261"/>
      <c r="AQ80" s="1261"/>
      <c r="AR80" s="1261"/>
      <c r="AS80" s="1261"/>
      <c r="AT80" s="1261"/>
      <c r="AU80" s="1261"/>
    </row>
    <row r="81" spans="1:47" ht="16.5" x14ac:dyDescent="0.3">
      <c r="A81" s="1257"/>
      <c r="B81" s="1258"/>
      <c r="C81" s="1258"/>
      <c r="D81" s="1258"/>
      <c r="E81" s="1258"/>
      <c r="F81" s="1258"/>
      <c r="G81" s="1258"/>
      <c r="H81" s="1258"/>
      <c r="I81" s="1258"/>
      <c r="J81" s="1258"/>
      <c r="K81" s="1257"/>
      <c r="L81" s="1257"/>
      <c r="M81" s="1257"/>
      <c r="N81" s="1257"/>
      <c r="O81" s="1257"/>
      <c r="P81" s="1257"/>
      <c r="Q81" s="1257"/>
      <c r="R81" s="1257"/>
      <c r="S81" s="1257"/>
      <c r="T81" s="1257"/>
      <c r="U81" s="1259"/>
      <c r="V81" s="1259"/>
      <c r="W81" s="1260"/>
      <c r="X81" s="1261"/>
      <c r="Y81" s="1261"/>
      <c r="Z81" s="1261"/>
      <c r="AA81" s="1261"/>
      <c r="AB81" s="1261"/>
      <c r="AC81" s="1261"/>
      <c r="AD81" s="1261"/>
      <c r="AE81" s="1261"/>
      <c r="AF81" s="1261"/>
      <c r="AG81" s="1261"/>
      <c r="AH81" s="1261"/>
      <c r="AI81" s="1261"/>
      <c r="AJ81" s="1261"/>
      <c r="AK81" s="1261"/>
      <c r="AL81" s="1261"/>
      <c r="AM81" s="1261"/>
      <c r="AN81" s="1261"/>
      <c r="AO81" s="1261"/>
      <c r="AP81" s="1261"/>
      <c r="AQ81" s="1261"/>
      <c r="AR81" s="1261"/>
      <c r="AS81" s="1261"/>
      <c r="AT81" s="1261"/>
      <c r="AU81" s="1261"/>
    </row>
    <row r="82" spans="1:47" ht="16.5" x14ac:dyDescent="0.3">
      <c r="A82" s="1257"/>
      <c r="B82" s="1258"/>
      <c r="C82" s="1258"/>
      <c r="D82" s="1258"/>
      <c r="E82" s="1258"/>
      <c r="F82" s="1258"/>
      <c r="G82" s="1258"/>
      <c r="H82" s="1258"/>
      <c r="I82" s="1258"/>
      <c r="J82" s="1258"/>
      <c r="K82" s="1257"/>
      <c r="L82" s="1257"/>
      <c r="M82" s="1257"/>
      <c r="N82" s="1257"/>
      <c r="O82" s="1257"/>
      <c r="P82" s="1257"/>
      <c r="Q82" s="1257"/>
      <c r="R82" s="1257"/>
      <c r="S82" s="1257"/>
      <c r="T82" s="1257"/>
      <c r="U82" s="1259"/>
      <c r="V82" s="1259"/>
      <c r="W82" s="1260"/>
      <c r="X82" s="1261"/>
      <c r="Y82" s="1261"/>
      <c r="Z82" s="1261"/>
      <c r="AA82" s="1261"/>
      <c r="AB82" s="1261"/>
      <c r="AC82" s="1261"/>
      <c r="AD82" s="1261"/>
      <c r="AE82" s="1261"/>
      <c r="AF82" s="1261"/>
      <c r="AG82" s="1261"/>
      <c r="AH82" s="1261"/>
      <c r="AI82" s="1261"/>
      <c r="AJ82" s="1261"/>
      <c r="AK82" s="1261"/>
      <c r="AL82" s="1261"/>
      <c r="AM82" s="1261"/>
      <c r="AN82" s="1261"/>
      <c r="AO82" s="1261"/>
      <c r="AP82" s="1261"/>
      <c r="AQ82" s="1261"/>
      <c r="AR82" s="1261"/>
      <c r="AS82" s="1261"/>
      <c r="AT82" s="1261"/>
      <c r="AU82" s="1261"/>
    </row>
    <row r="83" spans="1:47" ht="16.5" x14ac:dyDescent="0.3">
      <c r="A83" s="1257"/>
      <c r="B83" s="1258"/>
      <c r="C83" s="1258"/>
      <c r="D83" s="1258"/>
      <c r="E83" s="1258"/>
      <c r="F83" s="1258"/>
      <c r="G83" s="1258"/>
      <c r="H83" s="1258"/>
      <c r="I83" s="1258"/>
      <c r="J83" s="1258"/>
      <c r="K83" s="1257"/>
      <c r="L83" s="1257"/>
      <c r="M83" s="1257"/>
      <c r="N83" s="1257"/>
      <c r="O83" s="1257"/>
      <c r="P83" s="1257"/>
      <c r="Q83" s="1257"/>
      <c r="R83" s="1257"/>
      <c r="S83" s="1257"/>
      <c r="T83" s="1257"/>
      <c r="U83" s="1259"/>
      <c r="V83" s="1259"/>
      <c r="W83" s="1260"/>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1261"/>
    </row>
    <row r="84" spans="1:47" ht="16.5" x14ac:dyDescent="0.3">
      <c r="A84" s="1257"/>
      <c r="B84" s="1258"/>
      <c r="C84" s="1258"/>
      <c r="D84" s="1258"/>
      <c r="E84" s="1258"/>
      <c r="F84" s="1258"/>
      <c r="G84" s="1258"/>
      <c r="H84" s="1258"/>
      <c r="I84" s="1258"/>
      <c r="J84" s="1258"/>
      <c r="K84" s="1257"/>
      <c r="L84" s="1257"/>
      <c r="M84" s="1257"/>
      <c r="N84" s="1257"/>
      <c r="O84" s="1257"/>
      <c r="P84" s="1257"/>
      <c r="Q84" s="1257"/>
      <c r="R84" s="1257"/>
      <c r="S84" s="1257"/>
      <c r="T84" s="1257"/>
      <c r="U84" s="1259"/>
      <c r="V84" s="1259"/>
      <c r="W84" s="1260"/>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1261"/>
    </row>
    <row r="85" spans="1:47" ht="16.5" x14ac:dyDescent="0.3">
      <c r="A85" s="1257"/>
      <c r="B85" s="1258"/>
      <c r="C85" s="1258"/>
      <c r="D85" s="1258"/>
      <c r="E85" s="1258"/>
      <c r="F85" s="1258"/>
      <c r="G85" s="1258"/>
      <c r="H85" s="1258"/>
      <c r="I85" s="1258"/>
      <c r="J85" s="1258"/>
      <c r="K85" s="1257"/>
      <c r="L85" s="1257"/>
      <c r="M85" s="1257"/>
      <c r="N85" s="1257"/>
      <c r="O85" s="1257"/>
      <c r="P85" s="1257"/>
      <c r="Q85" s="1257"/>
      <c r="R85" s="1257"/>
      <c r="S85" s="1257"/>
      <c r="T85" s="1257"/>
      <c r="U85" s="1259"/>
      <c r="V85" s="1259"/>
      <c r="W85" s="1260"/>
      <c r="X85" s="1261"/>
      <c r="Y85" s="1261"/>
      <c r="Z85" s="1261"/>
      <c r="AA85" s="1261"/>
      <c r="AB85" s="1261"/>
      <c r="AC85" s="1261"/>
      <c r="AD85" s="1261"/>
      <c r="AE85" s="1261"/>
      <c r="AF85" s="1261"/>
      <c r="AG85" s="1261"/>
      <c r="AH85" s="1261"/>
      <c r="AI85" s="1261"/>
      <c r="AJ85" s="1261"/>
      <c r="AK85" s="1261"/>
      <c r="AL85" s="1261"/>
      <c r="AM85" s="1261"/>
      <c r="AN85" s="1261"/>
      <c r="AO85" s="1261"/>
      <c r="AP85" s="1261"/>
      <c r="AQ85" s="1261"/>
      <c r="AR85" s="1261"/>
      <c r="AS85" s="1261"/>
      <c r="AT85" s="1261"/>
      <c r="AU85" s="1261"/>
    </row>
    <row r="86" spans="1:47" ht="16.5" x14ac:dyDescent="0.3">
      <c r="A86" s="1257"/>
      <c r="B86" s="1258"/>
      <c r="C86" s="1258"/>
      <c r="D86" s="1258"/>
      <c r="E86" s="1258"/>
      <c r="F86" s="1258"/>
      <c r="G86" s="1258"/>
      <c r="H86" s="1258"/>
      <c r="I86" s="1258"/>
      <c r="J86" s="1258"/>
      <c r="K86" s="1257"/>
      <c r="L86" s="1257"/>
      <c r="M86" s="1257"/>
      <c r="N86" s="1257"/>
      <c r="O86" s="1257"/>
      <c r="P86" s="1257"/>
      <c r="Q86" s="1257"/>
      <c r="R86" s="1257"/>
      <c r="S86" s="1257"/>
      <c r="T86" s="1257"/>
      <c r="U86" s="1259"/>
      <c r="V86" s="1259"/>
      <c r="W86" s="1260"/>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1261"/>
    </row>
    <row r="87" spans="1:47" ht="16.5" x14ac:dyDescent="0.3">
      <c r="A87" s="1257"/>
      <c r="B87" s="1258"/>
      <c r="C87" s="1258"/>
      <c r="D87" s="1258"/>
      <c r="E87" s="1258"/>
      <c r="F87" s="1258"/>
      <c r="G87" s="1258"/>
      <c r="H87" s="1258"/>
      <c r="I87" s="1258"/>
      <c r="J87" s="1258"/>
      <c r="K87" s="1257"/>
      <c r="L87" s="1257"/>
      <c r="M87" s="1257"/>
      <c r="N87" s="1257"/>
      <c r="O87" s="1257"/>
      <c r="P87" s="1257"/>
      <c r="Q87" s="1257"/>
      <c r="R87" s="1257"/>
      <c r="S87" s="1257"/>
      <c r="T87" s="1257"/>
      <c r="U87" s="1259"/>
      <c r="V87" s="1259"/>
      <c r="W87" s="1260"/>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1261"/>
    </row>
    <row r="88" spans="1:47" ht="16.5" x14ac:dyDescent="0.3">
      <c r="A88" s="1257"/>
      <c r="B88" s="1258"/>
      <c r="C88" s="1258"/>
      <c r="D88" s="1258"/>
      <c r="E88" s="1258"/>
      <c r="F88" s="1258"/>
      <c r="G88" s="1258"/>
      <c r="H88" s="1258"/>
      <c r="I88" s="1258"/>
      <c r="J88" s="1258"/>
      <c r="K88" s="1257"/>
      <c r="L88" s="1257"/>
      <c r="M88" s="1257"/>
      <c r="N88" s="1257"/>
      <c r="O88" s="1257"/>
      <c r="P88" s="1257"/>
      <c r="Q88" s="1257"/>
      <c r="R88" s="1257"/>
      <c r="S88" s="1257"/>
      <c r="T88" s="1257"/>
      <c r="U88" s="1259"/>
      <c r="V88" s="1259"/>
      <c r="W88" s="1260"/>
      <c r="X88" s="1261"/>
      <c r="Y88" s="1261"/>
      <c r="Z88" s="1261"/>
      <c r="AA88" s="1261"/>
      <c r="AB88" s="1261"/>
      <c r="AC88" s="1261"/>
      <c r="AD88" s="1261"/>
      <c r="AE88" s="1261"/>
      <c r="AF88" s="1261"/>
      <c r="AG88" s="1261"/>
      <c r="AH88" s="1261"/>
      <c r="AI88" s="1261"/>
      <c r="AJ88" s="1261"/>
      <c r="AK88" s="1261"/>
      <c r="AL88" s="1261"/>
      <c r="AM88" s="1261"/>
      <c r="AN88" s="1261"/>
      <c r="AO88" s="1261"/>
      <c r="AP88" s="1261"/>
      <c r="AQ88" s="1261"/>
      <c r="AR88" s="1261"/>
      <c r="AS88" s="1261"/>
      <c r="AT88" s="1261"/>
      <c r="AU88" s="1261"/>
    </row>
    <row r="89" spans="1:47" ht="16.5" x14ac:dyDescent="0.3">
      <c r="A89" s="1257"/>
      <c r="B89" s="1258"/>
      <c r="C89" s="1258"/>
      <c r="D89" s="1258"/>
      <c r="E89" s="1258"/>
      <c r="F89" s="1258"/>
      <c r="G89" s="1258"/>
      <c r="H89" s="1258"/>
      <c r="I89" s="1258"/>
      <c r="J89" s="1258"/>
      <c r="K89" s="1257"/>
      <c r="L89" s="1257"/>
      <c r="M89" s="1257"/>
      <c r="N89" s="1257"/>
      <c r="O89" s="1257"/>
      <c r="P89" s="1257"/>
      <c r="Q89" s="1257"/>
      <c r="R89" s="1257"/>
      <c r="S89" s="1257"/>
      <c r="T89" s="1257"/>
      <c r="U89" s="1259"/>
      <c r="V89" s="1259"/>
      <c r="W89" s="1260"/>
      <c r="X89" s="1261"/>
      <c r="Y89" s="1261"/>
      <c r="Z89" s="1261"/>
      <c r="AA89" s="1261"/>
      <c r="AB89" s="1261"/>
      <c r="AC89" s="1261"/>
      <c r="AD89" s="1261"/>
      <c r="AE89" s="1261"/>
      <c r="AF89" s="1261"/>
      <c r="AG89" s="1261"/>
      <c r="AH89" s="1261"/>
      <c r="AI89" s="1261"/>
      <c r="AJ89" s="1261"/>
      <c r="AK89" s="1261"/>
      <c r="AL89" s="1261"/>
      <c r="AM89" s="1261"/>
      <c r="AN89" s="1261"/>
      <c r="AO89" s="1261"/>
      <c r="AP89" s="1261"/>
      <c r="AQ89" s="1261"/>
      <c r="AR89" s="1261"/>
      <c r="AS89" s="1261"/>
      <c r="AT89" s="1261"/>
      <c r="AU89" s="1261"/>
    </row>
    <row r="90" spans="1:47" ht="16.5" x14ac:dyDescent="0.3">
      <c r="A90" s="1257"/>
      <c r="B90" s="1258"/>
      <c r="C90" s="1258"/>
      <c r="D90" s="1258"/>
      <c r="E90" s="1258"/>
      <c r="F90" s="1258"/>
      <c r="G90" s="1258"/>
      <c r="H90" s="1258"/>
      <c r="I90" s="1258"/>
      <c r="J90" s="1258"/>
      <c r="K90" s="1257"/>
      <c r="L90" s="1257"/>
      <c r="M90" s="1257"/>
      <c r="N90" s="1257"/>
      <c r="O90" s="1257"/>
      <c r="P90" s="1257"/>
      <c r="Q90" s="1257"/>
      <c r="R90" s="1257"/>
      <c r="S90" s="1257"/>
      <c r="T90" s="1257"/>
      <c r="U90" s="1259"/>
      <c r="V90" s="1259"/>
      <c r="W90" s="1260"/>
      <c r="X90" s="1261"/>
      <c r="Y90" s="1261"/>
      <c r="Z90" s="1261"/>
      <c r="AA90" s="1261"/>
      <c r="AB90" s="1261"/>
      <c r="AC90" s="1261"/>
      <c r="AD90" s="1261"/>
      <c r="AE90" s="1261"/>
      <c r="AF90" s="1261"/>
      <c r="AG90" s="1261"/>
      <c r="AH90" s="1261"/>
      <c r="AI90" s="1261"/>
      <c r="AJ90" s="1261"/>
      <c r="AK90" s="1261"/>
      <c r="AL90" s="1261"/>
      <c r="AM90" s="1261"/>
      <c r="AN90" s="1261"/>
      <c r="AO90" s="1261"/>
      <c r="AP90" s="1261"/>
      <c r="AQ90" s="1261"/>
      <c r="AR90" s="1261"/>
      <c r="AS90" s="1261"/>
      <c r="AT90" s="1261"/>
      <c r="AU90" s="1261"/>
    </row>
    <row r="91" spans="1:47" ht="16.5" x14ac:dyDescent="0.3">
      <c r="A91" s="1257"/>
      <c r="B91" s="1258"/>
      <c r="C91" s="1258"/>
      <c r="D91" s="1258"/>
      <c r="E91" s="1258"/>
      <c r="F91" s="1258"/>
      <c r="G91" s="1258"/>
      <c r="H91" s="1258"/>
      <c r="I91" s="1258"/>
      <c r="J91" s="1258"/>
      <c r="K91" s="1257"/>
      <c r="L91" s="1257"/>
      <c r="M91" s="1257"/>
      <c r="N91" s="1257"/>
      <c r="O91" s="1257"/>
      <c r="P91" s="1257"/>
      <c r="Q91" s="1257"/>
      <c r="R91" s="1257"/>
      <c r="S91" s="1257"/>
      <c r="T91" s="1257"/>
      <c r="U91" s="1259"/>
      <c r="V91" s="1259"/>
      <c r="W91" s="1260"/>
      <c r="X91" s="1261"/>
      <c r="Y91" s="1261"/>
      <c r="Z91" s="1261"/>
      <c r="AA91" s="1261"/>
      <c r="AB91" s="1261"/>
      <c r="AC91" s="1261"/>
      <c r="AD91" s="1261"/>
      <c r="AE91" s="1261"/>
      <c r="AF91" s="1261"/>
      <c r="AG91" s="1261"/>
      <c r="AH91" s="1261"/>
      <c r="AI91" s="1261"/>
      <c r="AJ91" s="1261"/>
      <c r="AK91" s="1261"/>
      <c r="AL91" s="1261"/>
      <c r="AM91" s="1261"/>
      <c r="AN91" s="1261"/>
      <c r="AO91" s="1261"/>
      <c r="AP91" s="1261"/>
      <c r="AQ91" s="1261"/>
      <c r="AR91" s="1261"/>
      <c r="AS91" s="1261"/>
      <c r="AT91" s="1261"/>
      <c r="AU91" s="1261"/>
    </row>
    <row r="92" spans="1:47" ht="16.5" x14ac:dyDescent="0.3">
      <c r="A92" s="1257"/>
      <c r="B92" s="1258"/>
      <c r="C92" s="1258"/>
      <c r="D92" s="1258"/>
      <c r="E92" s="1258"/>
      <c r="F92" s="1258"/>
      <c r="G92" s="1258"/>
      <c r="H92" s="1258"/>
      <c r="I92" s="1258"/>
      <c r="J92" s="1258"/>
      <c r="K92" s="1257"/>
      <c r="L92" s="1257"/>
      <c r="M92" s="1257"/>
      <c r="N92" s="1257"/>
      <c r="O92" s="1257"/>
      <c r="P92" s="1257"/>
      <c r="Q92" s="1257"/>
      <c r="R92" s="1257"/>
      <c r="S92" s="1257"/>
      <c r="T92" s="1257"/>
      <c r="U92" s="1259"/>
      <c r="V92" s="1259"/>
      <c r="W92" s="1260"/>
      <c r="X92" s="1261"/>
      <c r="Y92" s="1261"/>
      <c r="Z92" s="1261"/>
      <c r="AA92" s="1261"/>
      <c r="AB92" s="1261"/>
      <c r="AC92" s="1261"/>
      <c r="AD92" s="1261"/>
      <c r="AE92" s="1261"/>
      <c r="AF92" s="1261"/>
      <c r="AG92" s="1261"/>
      <c r="AH92" s="1261"/>
      <c r="AI92" s="1261"/>
      <c r="AJ92" s="1261"/>
      <c r="AK92" s="1261"/>
      <c r="AL92" s="1261"/>
      <c r="AM92" s="1261"/>
      <c r="AN92" s="1261"/>
      <c r="AO92" s="1261"/>
      <c r="AP92" s="1261"/>
      <c r="AQ92" s="1261"/>
      <c r="AR92" s="1261"/>
      <c r="AS92" s="1261"/>
      <c r="AT92" s="1261"/>
      <c r="AU92" s="1261"/>
    </row>
    <row r="93" spans="1:47" ht="16.5" x14ac:dyDescent="0.3">
      <c r="A93" s="1257"/>
      <c r="B93" s="1258"/>
      <c r="C93" s="1258"/>
      <c r="D93" s="1258"/>
      <c r="E93" s="1258"/>
      <c r="F93" s="1258"/>
      <c r="G93" s="1258"/>
      <c r="H93" s="1258"/>
      <c r="I93" s="1258"/>
      <c r="J93" s="1258"/>
      <c r="K93" s="1257"/>
      <c r="L93" s="1257"/>
      <c r="M93" s="1257"/>
      <c r="N93" s="1257"/>
      <c r="O93" s="1257"/>
      <c r="P93" s="1257"/>
      <c r="Q93" s="1257"/>
      <c r="R93" s="1257"/>
      <c r="S93" s="1257"/>
      <c r="T93" s="1257"/>
      <c r="U93" s="1259"/>
      <c r="V93" s="1259"/>
      <c r="W93" s="1260"/>
      <c r="X93" s="1261"/>
      <c r="Y93" s="1261"/>
      <c r="Z93" s="1261"/>
      <c r="AA93" s="1261"/>
      <c r="AB93" s="1261"/>
      <c r="AC93" s="1261"/>
      <c r="AD93" s="1261"/>
      <c r="AE93" s="1261"/>
      <c r="AF93" s="1261"/>
      <c r="AG93" s="1261"/>
      <c r="AH93" s="1261"/>
      <c r="AI93" s="1261"/>
      <c r="AJ93" s="1261"/>
      <c r="AK93" s="1261"/>
      <c r="AL93" s="1261"/>
      <c r="AM93" s="1261"/>
      <c r="AN93" s="1261"/>
      <c r="AO93" s="1261"/>
      <c r="AP93" s="1261"/>
      <c r="AQ93" s="1261"/>
      <c r="AR93" s="1261"/>
      <c r="AS93" s="1261"/>
      <c r="AT93" s="1261"/>
      <c r="AU93" s="1261"/>
    </row>
    <row r="94" spans="1:47" ht="16.5" x14ac:dyDescent="0.3">
      <c r="A94" s="1257"/>
      <c r="B94" s="1258"/>
      <c r="C94" s="1258"/>
      <c r="D94" s="1258"/>
      <c r="E94" s="1258"/>
      <c r="F94" s="1258"/>
      <c r="G94" s="1258"/>
      <c r="H94" s="1258"/>
      <c r="I94" s="1258"/>
      <c r="J94" s="1258"/>
      <c r="K94" s="1257"/>
      <c r="L94" s="1257"/>
      <c r="M94" s="1257"/>
      <c r="N94" s="1257"/>
      <c r="O94" s="1257"/>
      <c r="P94" s="1257"/>
      <c r="Q94" s="1257"/>
      <c r="R94" s="1257"/>
      <c r="S94" s="1257"/>
      <c r="T94" s="1257"/>
      <c r="U94" s="1259"/>
      <c r="V94" s="1259"/>
      <c r="W94" s="1260"/>
      <c r="X94" s="1261"/>
      <c r="Y94" s="1261"/>
      <c r="Z94" s="1261"/>
      <c r="AA94" s="1261"/>
      <c r="AB94" s="1261"/>
      <c r="AC94" s="1261"/>
      <c r="AD94" s="1261"/>
      <c r="AE94" s="1261"/>
      <c r="AF94" s="1261"/>
      <c r="AG94" s="1261"/>
      <c r="AH94" s="1261"/>
      <c r="AI94" s="1261"/>
      <c r="AJ94" s="1261"/>
      <c r="AK94" s="1261"/>
      <c r="AL94" s="1261"/>
      <c r="AM94" s="1261"/>
      <c r="AN94" s="1261"/>
      <c r="AO94" s="1261"/>
      <c r="AP94" s="1261"/>
      <c r="AQ94" s="1261"/>
      <c r="AR94" s="1261"/>
      <c r="AS94" s="1261"/>
      <c r="AT94" s="1261"/>
      <c r="AU94" s="1261"/>
    </row>
    <row r="95" spans="1:47" x14ac:dyDescent="0.2">
      <c r="B95" s="1264"/>
      <c r="C95" s="1264"/>
      <c r="D95" s="1264"/>
      <c r="E95" s="1264"/>
      <c r="F95" s="1264"/>
      <c r="G95" s="1264"/>
      <c r="H95" s="1264"/>
      <c r="I95" s="1264"/>
      <c r="J95" s="1264"/>
    </row>
    <row r="96" spans="1:47" x14ac:dyDescent="0.2">
      <c r="B96" s="1264"/>
      <c r="C96" s="1264"/>
      <c r="D96" s="1264"/>
      <c r="E96" s="1264"/>
      <c r="F96" s="1264"/>
      <c r="G96" s="1264"/>
      <c r="H96" s="1264"/>
      <c r="I96" s="1264"/>
      <c r="J96" s="1264"/>
    </row>
    <row r="97" spans="2:10" x14ac:dyDescent="0.2">
      <c r="B97" s="1264"/>
      <c r="C97" s="1264"/>
      <c r="D97" s="1264"/>
      <c r="E97" s="1264"/>
      <c r="F97" s="1264"/>
      <c r="G97" s="1264"/>
      <c r="H97" s="1264"/>
      <c r="I97" s="1264"/>
      <c r="J97" s="1264"/>
    </row>
    <row r="98" spans="2:10" x14ac:dyDescent="0.2">
      <c r="B98" s="1264"/>
      <c r="C98" s="1264"/>
      <c r="D98" s="1264"/>
      <c r="E98" s="1264"/>
      <c r="F98" s="1264"/>
      <c r="G98" s="1264"/>
      <c r="H98" s="1264"/>
      <c r="I98" s="1264"/>
      <c r="J98" s="1264"/>
    </row>
    <row r="99" spans="2:10" x14ac:dyDescent="0.2">
      <c r="B99" s="1264"/>
      <c r="C99" s="1264"/>
      <c r="D99" s="1264"/>
      <c r="E99" s="1264"/>
      <c r="F99" s="1264"/>
      <c r="G99" s="1264"/>
      <c r="H99" s="1264"/>
      <c r="I99" s="1264"/>
      <c r="J99" s="1264"/>
    </row>
    <row r="100" spans="2:10" x14ac:dyDescent="0.2">
      <c r="B100" s="1264"/>
      <c r="C100" s="1264"/>
      <c r="D100" s="1264"/>
      <c r="E100" s="1264"/>
      <c r="F100" s="1264"/>
      <c r="G100" s="1264"/>
      <c r="H100" s="1264"/>
      <c r="I100" s="1264"/>
      <c r="J100" s="1264"/>
    </row>
    <row r="101" spans="2:10" x14ac:dyDescent="0.2">
      <c r="B101" s="1264"/>
      <c r="C101" s="1264"/>
      <c r="D101" s="1264"/>
      <c r="E101" s="1264"/>
      <c r="F101" s="1264"/>
      <c r="G101" s="1264"/>
      <c r="H101" s="1264"/>
      <c r="I101" s="1264"/>
      <c r="J101" s="1264"/>
    </row>
    <row r="102" spans="2:10" x14ac:dyDescent="0.2">
      <c r="B102" s="1264"/>
      <c r="C102" s="1264"/>
      <c r="D102" s="1264"/>
      <c r="E102" s="1264"/>
      <c r="F102" s="1264"/>
      <c r="G102" s="1264"/>
      <c r="H102" s="1264"/>
      <c r="I102" s="1264"/>
      <c r="J102" s="1264"/>
    </row>
    <row r="103" spans="2:10" x14ac:dyDescent="0.2">
      <c r="B103" s="1264"/>
      <c r="C103" s="1264"/>
      <c r="D103" s="1264"/>
      <c r="E103" s="1264"/>
      <c r="F103" s="1264"/>
      <c r="G103" s="1264"/>
      <c r="H103" s="1264"/>
      <c r="I103" s="1264"/>
      <c r="J103" s="1264"/>
    </row>
    <row r="104" spans="2:10" x14ac:dyDescent="0.2">
      <c r="B104" s="1264"/>
      <c r="C104" s="1264"/>
      <c r="D104" s="1264"/>
      <c r="E104" s="1264"/>
      <c r="F104" s="1264"/>
      <c r="G104" s="1264"/>
      <c r="H104" s="1264"/>
      <c r="I104" s="1264"/>
      <c r="J104" s="1264"/>
    </row>
    <row r="105" spans="2:10" x14ac:dyDescent="0.2">
      <c r="B105" s="1264"/>
      <c r="C105" s="1264"/>
      <c r="D105" s="1264"/>
      <c r="E105" s="1264"/>
      <c r="F105" s="1264"/>
      <c r="G105" s="1264"/>
      <c r="H105" s="1264"/>
      <c r="I105" s="1264"/>
      <c r="J105" s="1264"/>
    </row>
    <row r="106" spans="2:10" x14ac:dyDescent="0.2">
      <c r="B106" s="1264"/>
      <c r="C106" s="1264"/>
      <c r="D106" s="1264"/>
      <c r="E106" s="1264"/>
      <c r="F106" s="1264"/>
      <c r="G106" s="1264"/>
      <c r="H106" s="1264"/>
      <c r="I106" s="1264"/>
      <c r="J106" s="1264"/>
    </row>
    <row r="107" spans="2:10" x14ac:dyDescent="0.2">
      <c r="B107" s="1264"/>
      <c r="C107" s="1264"/>
      <c r="D107" s="1264"/>
      <c r="E107" s="1264"/>
      <c r="F107" s="1264"/>
      <c r="G107" s="1264"/>
      <c r="H107" s="1264"/>
      <c r="I107" s="1264"/>
      <c r="J107" s="1264"/>
    </row>
    <row r="108" spans="2:10" x14ac:dyDescent="0.2">
      <c r="B108" s="1264"/>
      <c r="C108" s="1264"/>
      <c r="D108" s="1264"/>
      <c r="E108" s="1264"/>
      <c r="F108" s="1264"/>
      <c r="G108" s="1264"/>
      <c r="H108" s="1264"/>
      <c r="I108" s="1264"/>
      <c r="J108" s="1264"/>
    </row>
  </sheetData>
  <mergeCells count="50">
    <mergeCell ref="AJ3:AJ4"/>
    <mergeCell ref="AK3:AK4"/>
    <mergeCell ref="AL3:AL4"/>
    <mergeCell ref="A1:AY1"/>
    <mergeCell ref="A3:A4"/>
    <mergeCell ref="V3:V4"/>
    <mergeCell ref="W3:W4"/>
    <mergeCell ref="X3:X4"/>
    <mergeCell ref="Y3:Y4"/>
    <mergeCell ref="Z3:Z4"/>
    <mergeCell ref="AA3:AA4"/>
    <mergeCell ref="AB3:AB4"/>
    <mergeCell ref="AC3:AC4"/>
    <mergeCell ref="A53:BE53"/>
    <mergeCell ref="A54:BE54"/>
    <mergeCell ref="A55:BE55"/>
    <mergeCell ref="BB3:BB4"/>
    <mergeCell ref="BC3:BC4"/>
    <mergeCell ref="BD3:BD4"/>
    <mergeCell ref="AM3:AM4"/>
    <mergeCell ref="AN3:AN4"/>
    <mergeCell ref="AO3:AO4"/>
    <mergeCell ref="AD3:AD4"/>
    <mergeCell ref="AE3:AE4"/>
    <mergeCell ref="AF3:AF4"/>
    <mergeCell ref="AG3:AG4"/>
    <mergeCell ref="AH3:AH4"/>
    <mergeCell ref="AI3:AI4"/>
    <mergeCell ref="AV3:AV4"/>
    <mergeCell ref="A58:BD58"/>
    <mergeCell ref="BB59:BC59"/>
    <mergeCell ref="BB61:BC61"/>
    <mergeCell ref="A56:BD56"/>
    <mergeCell ref="A57:BC57"/>
    <mergeCell ref="BE3:BE4"/>
    <mergeCell ref="A49:BE49"/>
    <mergeCell ref="A50:BE50"/>
    <mergeCell ref="A51:BE51"/>
    <mergeCell ref="A52:BE52"/>
    <mergeCell ref="AW3:AW4"/>
    <mergeCell ref="AX3:AX4"/>
    <mergeCell ref="AY3:AY4"/>
    <mergeCell ref="AZ3:AZ4"/>
    <mergeCell ref="BA3:BA4"/>
    <mergeCell ref="AP3:AP4"/>
    <mergeCell ref="AQ3:AQ4"/>
    <mergeCell ref="AR3:AR4"/>
    <mergeCell ref="AS3:AS4"/>
    <mergeCell ref="AT3:AT4"/>
    <mergeCell ref="AU3:AU4"/>
  </mergeCells>
  <pageMargins left="0.7" right="0.7" top="0.75" bottom="0.25" header="0.3" footer="0.3"/>
  <pageSetup paperSize="9" scale="5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C1554"/>
  <sheetViews>
    <sheetView showGridLines="0" zoomScale="70" zoomScaleNormal="70" zoomScaleSheetLayoutView="85" workbookViewId="0">
      <pane xSplit="1" ySplit="172" topLeftCell="B184" activePane="bottomRight" state="frozen"/>
      <selection activeCell="A38" sqref="A38"/>
      <selection pane="topRight" activeCell="A38" sqref="A38"/>
      <selection pane="bottomLeft" activeCell="A38" sqref="A38"/>
      <selection pane="bottomRight" activeCell="A38" sqref="A38"/>
    </sheetView>
  </sheetViews>
  <sheetFormatPr defaultRowHeight="16.5" x14ac:dyDescent="0.25"/>
  <cols>
    <col min="1" max="1" width="17.5703125" style="1358" customWidth="1"/>
    <col min="2" max="2" width="16.42578125" style="1358" customWidth="1"/>
    <col min="3" max="4" width="9.140625" style="1358" customWidth="1"/>
    <col min="5" max="5" width="12.85546875" style="1358" customWidth="1"/>
    <col min="6" max="6" width="13.28515625" style="1358" customWidth="1"/>
    <col min="7" max="7" width="10.42578125" style="1358" customWidth="1"/>
    <col min="8" max="8" width="13.42578125" style="1358" bestFit="1" customWidth="1"/>
    <col min="9" max="9" width="12" style="1358" customWidth="1"/>
    <col min="10" max="10" width="12.140625" style="1358" bestFit="1" customWidth="1"/>
    <col min="11" max="11" width="18.42578125" style="1358" customWidth="1"/>
    <col min="12" max="12" width="9.85546875" style="1358" customWidth="1"/>
    <col min="13" max="13" width="8.7109375" style="1358" customWidth="1"/>
    <col min="14" max="14" width="9" style="1358" customWidth="1"/>
    <col min="15" max="15" width="8.7109375" style="1358" customWidth="1"/>
    <col min="16" max="16" width="10.42578125" style="1358" customWidth="1"/>
    <col min="17" max="18" width="7.140625" style="1358" customWidth="1"/>
    <col min="19" max="19" width="7.7109375" style="1358" bestFit="1" customWidth="1"/>
    <col min="20" max="23" width="7.140625" style="1358" customWidth="1"/>
    <col min="24" max="24" width="13.85546875" style="1359" customWidth="1"/>
    <col min="25" max="25" width="15.7109375" style="1358" bestFit="1" customWidth="1"/>
    <col min="26" max="26" width="9.140625" style="1275"/>
    <col min="27" max="27" width="19.42578125" style="1275" customWidth="1"/>
    <col min="28" max="28" width="16.42578125" style="1275" bestFit="1" customWidth="1"/>
    <col min="29" max="256" width="9.140625" style="1275"/>
    <col min="257" max="257" width="7.42578125" style="1275" customWidth="1"/>
    <col min="258" max="258" width="11.140625" style="1275" customWidth="1"/>
    <col min="259" max="259" width="7" style="1275" bestFit="1" customWidth="1"/>
    <col min="260" max="260" width="7.5703125" style="1275" bestFit="1" customWidth="1"/>
    <col min="261" max="261" width="7.7109375" style="1275" bestFit="1" customWidth="1"/>
    <col min="262" max="262" width="9.42578125" style="1275" bestFit="1" customWidth="1"/>
    <col min="263" max="263" width="10" style="1275" bestFit="1" customWidth="1"/>
    <col min="264" max="264" width="8.28515625" style="1275" customWidth="1"/>
    <col min="265" max="265" width="7.140625" style="1275" customWidth="1"/>
    <col min="266" max="266" width="10.7109375" style="1275" customWidth="1"/>
    <col min="267" max="267" width="8.5703125" style="1275" customWidth="1"/>
    <col min="268" max="269" width="8.85546875" style="1275" bestFit="1" customWidth="1"/>
    <col min="270" max="270" width="9.42578125" style="1275" customWidth="1"/>
    <col min="271" max="279" width="8.28515625" style="1275" customWidth="1"/>
    <col min="280" max="280" width="8.140625" style="1275" customWidth="1"/>
    <col min="281" max="281" width="10.42578125" style="1275" customWidth="1"/>
    <col min="282" max="282" width="9.140625" style="1275"/>
    <col min="283" max="283" width="19.42578125" style="1275" customWidth="1"/>
    <col min="284" max="284" width="16.42578125" style="1275" bestFit="1" customWidth="1"/>
    <col min="285" max="512" width="9.140625" style="1275"/>
    <col min="513" max="513" width="7.42578125" style="1275" customWidth="1"/>
    <col min="514" max="514" width="11.140625" style="1275" customWidth="1"/>
    <col min="515" max="515" width="7" style="1275" bestFit="1" customWidth="1"/>
    <col min="516" max="516" width="7.5703125" style="1275" bestFit="1" customWidth="1"/>
    <col min="517" max="517" width="7.7109375" style="1275" bestFit="1" customWidth="1"/>
    <col min="518" max="518" width="9.42578125" style="1275" bestFit="1" customWidth="1"/>
    <col min="519" max="519" width="10" style="1275" bestFit="1" customWidth="1"/>
    <col min="520" max="520" width="8.28515625" style="1275" customWidth="1"/>
    <col min="521" max="521" width="7.140625" style="1275" customWidth="1"/>
    <col min="522" max="522" width="10.7109375" style="1275" customWidth="1"/>
    <col min="523" max="523" width="8.5703125" style="1275" customWidth="1"/>
    <col min="524" max="525" width="8.85546875" style="1275" bestFit="1" customWidth="1"/>
    <col min="526" max="526" width="9.42578125" style="1275" customWidth="1"/>
    <col min="527" max="535" width="8.28515625" style="1275" customWidth="1"/>
    <col min="536" max="536" width="8.140625" style="1275" customWidth="1"/>
    <col min="537" max="537" width="10.42578125" style="1275" customWidth="1"/>
    <col min="538" max="538" width="9.140625" style="1275"/>
    <col min="539" max="539" width="19.42578125" style="1275" customWidth="1"/>
    <col min="540" max="540" width="16.42578125" style="1275" bestFit="1" customWidth="1"/>
    <col min="541" max="768" width="9.140625" style="1275"/>
    <col min="769" max="769" width="7.42578125" style="1275" customWidth="1"/>
    <col min="770" max="770" width="11.140625" style="1275" customWidth="1"/>
    <col min="771" max="771" width="7" style="1275" bestFit="1" customWidth="1"/>
    <col min="772" max="772" width="7.5703125" style="1275" bestFit="1" customWidth="1"/>
    <col min="773" max="773" width="7.7109375" style="1275" bestFit="1" customWidth="1"/>
    <col min="774" max="774" width="9.42578125" style="1275" bestFit="1" customWidth="1"/>
    <col min="775" max="775" width="10" style="1275" bestFit="1" customWidth="1"/>
    <col min="776" max="776" width="8.28515625" style="1275" customWidth="1"/>
    <col min="777" max="777" width="7.140625" style="1275" customWidth="1"/>
    <col min="778" max="778" width="10.7109375" style="1275" customWidth="1"/>
    <col min="779" max="779" width="8.5703125" style="1275" customWidth="1"/>
    <col min="780" max="781" width="8.85546875" style="1275" bestFit="1" customWidth="1"/>
    <col min="782" max="782" width="9.42578125" style="1275" customWidth="1"/>
    <col min="783" max="791" width="8.28515625" style="1275" customWidth="1"/>
    <col min="792" max="792" width="8.140625" style="1275" customWidth="1"/>
    <col min="793" max="793" width="10.42578125" style="1275" customWidth="1"/>
    <col min="794" max="794" width="9.140625" style="1275"/>
    <col min="795" max="795" width="19.42578125" style="1275" customWidth="1"/>
    <col min="796" max="796" width="16.42578125" style="1275" bestFit="1" customWidth="1"/>
    <col min="797" max="1024" width="9.140625" style="1275"/>
    <col min="1025" max="1025" width="7.42578125" style="1275" customWidth="1"/>
    <col min="1026" max="1026" width="11.140625" style="1275" customWidth="1"/>
    <col min="1027" max="1027" width="7" style="1275" bestFit="1" customWidth="1"/>
    <col min="1028" max="1028" width="7.5703125" style="1275" bestFit="1" customWidth="1"/>
    <col min="1029" max="1029" width="7.7109375" style="1275" bestFit="1" customWidth="1"/>
    <col min="1030" max="1030" width="9.42578125" style="1275" bestFit="1" customWidth="1"/>
    <col min="1031" max="1031" width="10" style="1275" bestFit="1" customWidth="1"/>
    <col min="1032" max="1032" width="8.28515625" style="1275" customWidth="1"/>
    <col min="1033" max="1033" width="7.140625" style="1275" customWidth="1"/>
    <col min="1034" max="1034" width="10.7109375" style="1275" customWidth="1"/>
    <col min="1035" max="1035" width="8.5703125" style="1275" customWidth="1"/>
    <col min="1036" max="1037" width="8.85546875" style="1275" bestFit="1" customWidth="1"/>
    <col min="1038" max="1038" width="9.42578125" style="1275" customWidth="1"/>
    <col min="1039" max="1047" width="8.28515625" style="1275" customWidth="1"/>
    <col min="1048" max="1048" width="8.140625" style="1275" customWidth="1"/>
    <col min="1049" max="1049" width="10.42578125" style="1275" customWidth="1"/>
    <col min="1050" max="1050" width="9.140625" style="1275"/>
    <col min="1051" max="1051" width="19.42578125" style="1275" customWidth="1"/>
    <col min="1052" max="1052" width="16.42578125" style="1275" bestFit="1" customWidth="1"/>
    <col min="1053" max="1280" width="9.140625" style="1275"/>
    <col min="1281" max="1281" width="7.42578125" style="1275" customWidth="1"/>
    <col min="1282" max="1282" width="11.140625" style="1275" customWidth="1"/>
    <col min="1283" max="1283" width="7" style="1275" bestFit="1" customWidth="1"/>
    <col min="1284" max="1284" width="7.5703125" style="1275" bestFit="1" customWidth="1"/>
    <col min="1285" max="1285" width="7.7109375" style="1275" bestFit="1" customWidth="1"/>
    <col min="1286" max="1286" width="9.42578125" style="1275" bestFit="1" customWidth="1"/>
    <col min="1287" max="1287" width="10" style="1275" bestFit="1" customWidth="1"/>
    <col min="1288" max="1288" width="8.28515625" style="1275" customWidth="1"/>
    <col min="1289" max="1289" width="7.140625" style="1275" customWidth="1"/>
    <col min="1290" max="1290" width="10.7109375" style="1275" customWidth="1"/>
    <col min="1291" max="1291" width="8.5703125" style="1275" customWidth="1"/>
    <col min="1292" max="1293" width="8.85546875" style="1275" bestFit="1" customWidth="1"/>
    <col min="1294" max="1294" width="9.42578125" style="1275" customWidth="1"/>
    <col min="1295" max="1303" width="8.28515625" style="1275" customWidth="1"/>
    <col min="1304" max="1304" width="8.140625" style="1275" customWidth="1"/>
    <col min="1305" max="1305" width="10.42578125" style="1275" customWidth="1"/>
    <col min="1306" max="1306" width="9.140625" style="1275"/>
    <col min="1307" max="1307" width="19.42578125" style="1275" customWidth="1"/>
    <col min="1308" max="1308" width="16.42578125" style="1275" bestFit="1" customWidth="1"/>
    <col min="1309" max="1536" width="9.140625" style="1275"/>
    <col min="1537" max="1537" width="7.42578125" style="1275" customWidth="1"/>
    <col min="1538" max="1538" width="11.140625" style="1275" customWidth="1"/>
    <col min="1539" max="1539" width="7" style="1275" bestFit="1" customWidth="1"/>
    <col min="1540" max="1540" width="7.5703125" style="1275" bestFit="1" customWidth="1"/>
    <col min="1541" max="1541" width="7.7109375" style="1275" bestFit="1" customWidth="1"/>
    <col min="1542" max="1542" width="9.42578125" style="1275" bestFit="1" customWidth="1"/>
    <col min="1543" max="1543" width="10" style="1275" bestFit="1" customWidth="1"/>
    <col min="1544" max="1544" width="8.28515625" style="1275" customWidth="1"/>
    <col min="1545" max="1545" width="7.140625" style="1275" customWidth="1"/>
    <col min="1546" max="1546" width="10.7109375" style="1275" customWidth="1"/>
    <col min="1547" max="1547" width="8.5703125" style="1275" customWidth="1"/>
    <col min="1548" max="1549" width="8.85546875" style="1275" bestFit="1" customWidth="1"/>
    <col min="1550" max="1550" width="9.42578125" style="1275" customWidth="1"/>
    <col min="1551" max="1559" width="8.28515625" style="1275" customWidth="1"/>
    <col min="1560" max="1560" width="8.140625" style="1275" customWidth="1"/>
    <col min="1561" max="1561" width="10.42578125" style="1275" customWidth="1"/>
    <col min="1562" max="1562" width="9.140625" style="1275"/>
    <col min="1563" max="1563" width="19.42578125" style="1275" customWidth="1"/>
    <col min="1564" max="1564" width="16.42578125" style="1275" bestFit="1" customWidth="1"/>
    <col min="1565" max="1792" width="9.140625" style="1275"/>
    <col min="1793" max="1793" width="7.42578125" style="1275" customWidth="1"/>
    <col min="1794" max="1794" width="11.140625" style="1275" customWidth="1"/>
    <col min="1795" max="1795" width="7" style="1275" bestFit="1" customWidth="1"/>
    <col min="1796" max="1796" width="7.5703125" style="1275" bestFit="1" customWidth="1"/>
    <col min="1797" max="1797" width="7.7109375" style="1275" bestFit="1" customWidth="1"/>
    <col min="1798" max="1798" width="9.42578125" style="1275" bestFit="1" customWidth="1"/>
    <col min="1799" max="1799" width="10" style="1275" bestFit="1" customWidth="1"/>
    <col min="1800" max="1800" width="8.28515625" style="1275" customWidth="1"/>
    <col min="1801" max="1801" width="7.140625" style="1275" customWidth="1"/>
    <col min="1802" max="1802" width="10.7109375" style="1275" customWidth="1"/>
    <col min="1803" max="1803" width="8.5703125" style="1275" customWidth="1"/>
    <col min="1804" max="1805" width="8.85546875" style="1275" bestFit="1" customWidth="1"/>
    <col min="1806" max="1806" width="9.42578125" style="1275" customWidth="1"/>
    <col min="1807" max="1815" width="8.28515625" style="1275" customWidth="1"/>
    <col min="1816" max="1816" width="8.140625" style="1275" customWidth="1"/>
    <col min="1817" max="1817" width="10.42578125" style="1275" customWidth="1"/>
    <col min="1818" max="1818" width="9.140625" style="1275"/>
    <col min="1819" max="1819" width="19.42578125" style="1275" customWidth="1"/>
    <col min="1820" max="1820" width="16.42578125" style="1275" bestFit="1" customWidth="1"/>
    <col min="1821" max="2048" width="9.140625" style="1275"/>
    <col min="2049" max="2049" width="7.42578125" style="1275" customWidth="1"/>
    <col min="2050" max="2050" width="11.140625" style="1275" customWidth="1"/>
    <col min="2051" max="2051" width="7" style="1275" bestFit="1" customWidth="1"/>
    <col min="2052" max="2052" width="7.5703125" style="1275" bestFit="1" customWidth="1"/>
    <col min="2053" max="2053" width="7.7109375" style="1275" bestFit="1" customWidth="1"/>
    <col min="2054" max="2054" width="9.42578125" style="1275" bestFit="1" customWidth="1"/>
    <col min="2055" max="2055" width="10" style="1275" bestFit="1" customWidth="1"/>
    <col min="2056" max="2056" width="8.28515625" style="1275" customWidth="1"/>
    <col min="2057" max="2057" width="7.140625" style="1275" customWidth="1"/>
    <col min="2058" max="2058" width="10.7109375" style="1275" customWidth="1"/>
    <col min="2059" max="2059" width="8.5703125" style="1275" customWidth="1"/>
    <col min="2060" max="2061" width="8.85546875" style="1275" bestFit="1" customWidth="1"/>
    <col min="2062" max="2062" width="9.42578125" style="1275" customWidth="1"/>
    <col min="2063" max="2071" width="8.28515625" style="1275" customWidth="1"/>
    <col min="2072" max="2072" width="8.140625" style="1275" customWidth="1"/>
    <col min="2073" max="2073" width="10.42578125" style="1275" customWidth="1"/>
    <col min="2074" max="2074" width="9.140625" style="1275"/>
    <col min="2075" max="2075" width="19.42578125" style="1275" customWidth="1"/>
    <col min="2076" max="2076" width="16.42578125" style="1275" bestFit="1" customWidth="1"/>
    <col min="2077" max="2304" width="9.140625" style="1275"/>
    <col min="2305" max="2305" width="7.42578125" style="1275" customWidth="1"/>
    <col min="2306" max="2306" width="11.140625" style="1275" customWidth="1"/>
    <col min="2307" max="2307" width="7" style="1275" bestFit="1" customWidth="1"/>
    <col min="2308" max="2308" width="7.5703125" style="1275" bestFit="1" customWidth="1"/>
    <col min="2309" max="2309" width="7.7109375" style="1275" bestFit="1" customWidth="1"/>
    <col min="2310" max="2310" width="9.42578125" style="1275" bestFit="1" customWidth="1"/>
    <col min="2311" max="2311" width="10" style="1275" bestFit="1" customWidth="1"/>
    <col min="2312" max="2312" width="8.28515625" style="1275" customWidth="1"/>
    <col min="2313" max="2313" width="7.140625" style="1275" customWidth="1"/>
    <col min="2314" max="2314" width="10.7109375" style="1275" customWidth="1"/>
    <col min="2315" max="2315" width="8.5703125" style="1275" customWidth="1"/>
    <col min="2316" max="2317" width="8.85546875" style="1275" bestFit="1" customWidth="1"/>
    <col min="2318" max="2318" width="9.42578125" style="1275" customWidth="1"/>
    <col min="2319" max="2327" width="8.28515625" style="1275" customWidth="1"/>
    <col min="2328" max="2328" width="8.140625" style="1275" customWidth="1"/>
    <col min="2329" max="2329" width="10.42578125" style="1275" customWidth="1"/>
    <col min="2330" max="2330" width="9.140625" style="1275"/>
    <col min="2331" max="2331" width="19.42578125" style="1275" customWidth="1"/>
    <col min="2332" max="2332" width="16.42578125" style="1275" bestFit="1" customWidth="1"/>
    <col min="2333" max="2560" width="9.140625" style="1275"/>
    <col min="2561" max="2561" width="7.42578125" style="1275" customWidth="1"/>
    <col min="2562" max="2562" width="11.140625" style="1275" customWidth="1"/>
    <col min="2563" max="2563" width="7" style="1275" bestFit="1" customWidth="1"/>
    <col min="2564" max="2564" width="7.5703125" style="1275" bestFit="1" customWidth="1"/>
    <col min="2565" max="2565" width="7.7109375" style="1275" bestFit="1" customWidth="1"/>
    <col min="2566" max="2566" width="9.42578125" style="1275" bestFit="1" customWidth="1"/>
    <col min="2567" max="2567" width="10" style="1275" bestFit="1" customWidth="1"/>
    <col min="2568" max="2568" width="8.28515625" style="1275" customWidth="1"/>
    <col min="2569" max="2569" width="7.140625" style="1275" customWidth="1"/>
    <col min="2570" max="2570" width="10.7109375" style="1275" customWidth="1"/>
    <col min="2571" max="2571" width="8.5703125" style="1275" customWidth="1"/>
    <col min="2572" max="2573" width="8.85546875" style="1275" bestFit="1" customWidth="1"/>
    <col min="2574" max="2574" width="9.42578125" style="1275" customWidth="1"/>
    <col min="2575" max="2583" width="8.28515625" style="1275" customWidth="1"/>
    <col min="2584" max="2584" width="8.140625" style="1275" customWidth="1"/>
    <col min="2585" max="2585" width="10.42578125" style="1275" customWidth="1"/>
    <col min="2586" max="2586" width="9.140625" style="1275"/>
    <col min="2587" max="2587" width="19.42578125" style="1275" customWidth="1"/>
    <col min="2588" max="2588" width="16.42578125" style="1275" bestFit="1" customWidth="1"/>
    <col min="2589" max="2816" width="9.140625" style="1275"/>
    <col min="2817" max="2817" width="7.42578125" style="1275" customWidth="1"/>
    <col min="2818" max="2818" width="11.140625" style="1275" customWidth="1"/>
    <col min="2819" max="2819" width="7" style="1275" bestFit="1" customWidth="1"/>
    <col min="2820" max="2820" width="7.5703125" style="1275" bestFit="1" customWidth="1"/>
    <col min="2821" max="2821" width="7.7109375" style="1275" bestFit="1" customWidth="1"/>
    <col min="2822" max="2822" width="9.42578125" style="1275" bestFit="1" customWidth="1"/>
    <col min="2823" max="2823" width="10" style="1275" bestFit="1" customWidth="1"/>
    <col min="2824" max="2824" width="8.28515625" style="1275" customWidth="1"/>
    <col min="2825" max="2825" width="7.140625" style="1275" customWidth="1"/>
    <col min="2826" max="2826" width="10.7109375" style="1275" customWidth="1"/>
    <col min="2827" max="2827" width="8.5703125" style="1275" customWidth="1"/>
    <col min="2828" max="2829" width="8.85546875" style="1275" bestFit="1" customWidth="1"/>
    <col min="2830" max="2830" width="9.42578125" style="1275" customWidth="1"/>
    <col min="2831" max="2839" width="8.28515625" style="1275" customWidth="1"/>
    <col min="2840" max="2840" width="8.140625" style="1275" customWidth="1"/>
    <col min="2841" max="2841" width="10.42578125" style="1275" customWidth="1"/>
    <col min="2842" max="2842" width="9.140625" style="1275"/>
    <col min="2843" max="2843" width="19.42578125" style="1275" customWidth="1"/>
    <col min="2844" max="2844" width="16.42578125" style="1275" bestFit="1" customWidth="1"/>
    <col min="2845" max="3072" width="9.140625" style="1275"/>
    <col min="3073" max="3073" width="7.42578125" style="1275" customWidth="1"/>
    <col min="3074" max="3074" width="11.140625" style="1275" customWidth="1"/>
    <col min="3075" max="3075" width="7" style="1275" bestFit="1" customWidth="1"/>
    <col min="3076" max="3076" width="7.5703125" style="1275" bestFit="1" customWidth="1"/>
    <col min="3077" max="3077" width="7.7109375" style="1275" bestFit="1" customWidth="1"/>
    <col min="3078" max="3078" width="9.42578125" style="1275" bestFit="1" customWidth="1"/>
    <col min="3079" max="3079" width="10" style="1275" bestFit="1" customWidth="1"/>
    <col min="3080" max="3080" width="8.28515625" style="1275" customWidth="1"/>
    <col min="3081" max="3081" width="7.140625" style="1275" customWidth="1"/>
    <col min="3082" max="3082" width="10.7109375" style="1275" customWidth="1"/>
    <col min="3083" max="3083" width="8.5703125" style="1275" customWidth="1"/>
    <col min="3084" max="3085" width="8.85546875" style="1275" bestFit="1" customWidth="1"/>
    <col min="3086" max="3086" width="9.42578125" style="1275" customWidth="1"/>
    <col min="3087" max="3095" width="8.28515625" style="1275" customWidth="1"/>
    <col min="3096" max="3096" width="8.140625" style="1275" customWidth="1"/>
    <col min="3097" max="3097" width="10.42578125" style="1275" customWidth="1"/>
    <col min="3098" max="3098" width="9.140625" style="1275"/>
    <col min="3099" max="3099" width="19.42578125" style="1275" customWidth="1"/>
    <col min="3100" max="3100" width="16.42578125" style="1275" bestFit="1" customWidth="1"/>
    <col min="3101" max="3328" width="9.140625" style="1275"/>
    <col min="3329" max="3329" width="7.42578125" style="1275" customWidth="1"/>
    <col min="3330" max="3330" width="11.140625" style="1275" customWidth="1"/>
    <col min="3331" max="3331" width="7" style="1275" bestFit="1" customWidth="1"/>
    <col min="3332" max="3332" width="7.5703125" style="1275" bestFit="1" customWidth="1"/>
    <col min="3333" max="3333" width="7.7109375" style="1275" bestFit="1" customWidth="1"/>
    <col min="3334" max="3334" width="9.42578125" style="1275" bestFit="1" customWidth="1"/>
    <col min="3335" max="3335" width="10" style="1275" bestFit="1" customWidth="1"/>
    <col min="3336" max="3336" width="8.28515625" style="1275" customWidth="1"/>
    <col min="3337" max="3337" width="7.140625" style="1275" customWidth="1"/>
    <col min="3338" max="3338" width="10.7109375" style="1275" customWidth="1"/>
    <col min="3339" max="3339" width="8.5703125" style="1275" customWidth="1"/>
    <col min="3340" max="3341" width="8.85546875" style="1275" bestFit="1" customWidth="1"/>
    <col min="3342" max="3342" width="9.42578125" style="1275" customWidth="1"/>
    <col min="3343" max="3351" width="8.28515625" style="1275" customWidth="1"/>
    <col min="3352" max="3352" width="8.140625" style="1275" customWidth="1"/>
    <col min="3353" max="3353" width="10.42578125" style="1275" customWidth="1"/>
    <col min="3354" max="3354" width="9.140625" style="1275"/>
    <col min="3355" max="3355" width="19.42578125" style="1275" customWidth="1"/>
    <col min="3356" max="3356" width="16.42578125" style="1275" bestFit="1" customWidth="1"/>
    <col min="3357" max="3584" width="9.140625" style="1275"/>
    <col min="3585" max="3585" width="7.42578125" style="1275" customWidth="1"/>
    <col min="3586" max="3586" width="11.140625" style="1275" customWidth="1"/>
    <col min="3587" max="3587" width="7" style="1275" bestFit="1" customWidth="1"/>
    <col min="3588" max="3588" width="7.5703125" style="1275" bestFit="1" customWidth="1"/>
    <col min="3589" max="3589" width="7.7109375" style="1275" bestFit="1" customWidth="1"/>
    <col min="3590" max="3590" width="9.42578125" style="1275" bestFit="1" customWidth="1"/>
    <col min="3591" max="3591" width="10" style="1275" bestFit="1" customWidth="1"/>
    <col min="3592" max="3592" width="8.28515625" style="1275" customWidth="1"/>
    <col min="3593" max="3593" width="7.140625" style="1275" customWidth="1"/>
    <col min="3594" max="3594" width="10.7109375" style="1275" customWidth="1"/>
    <col min="3595" max="3595" width="8.5703125" style="1275" customWidth="1"/>
    <col min="3596" max="3597" width="8.85546875" style="1275" bestFit="1" customWidth="1"/>
    <col min="3598" max="3598" width="9.42578125" style="1275" customWidth="1"/>
    <col min="3599" max="3607" width="8.28515625" style="1275" customWidth="1"/>
    <col min="3608" max="3608" width="8.140625" style="1275" customWidth="1"/>
    <col min="3609" max="3609" width="10.42578125" style="1275" customWidth="1"/>
    <col min="3610" max="3610" width="9.140625" style="1275"/>
    <col min="3611" max="3611" width="19.42578125" style="1275" customWidth="1"/>
    <col min="3612" max="3612" width="16.42578125" style="1275" bestFit="1" customWidth="1"/>
    <col min="3613" max="3840" width="9.140625" style="1275"/>
    <col min="3841" max="3841" width="7.42578125" style="1275" customWidth="1"/>
    <col min="3842" max="3842" width="11.140625" style="1275" customWidth="1"/>
    <col min="3843" max="3843" width="7" style="1275" bestFit="1" customWidth="1"/>
    <col min="3844" max="3844" width="7.5703125" style="1275" bestFit="1" customWidth="1"/>
    <col min="3845" max="3845" width="7.7109375" style="1275" bestFit="1" customWidth="1"/>
    <col min="3846" max="3846" width="9.42578125" style="1275" bestFit="1" customWidth="1"/>
    <col min="3847" max="3847" width="10" style="1275" bestFit="1" customWidth="1"/>
    <col min="3848" max="3848" width="8.28515625" style="1275" customWidth="1"/>
    <col min="3849" max="3849" width="7.140625" style="1275" customWidth="1"/>
    <col min="3850" max="3850" width="10.7109375" style="1275" customWidth="1"/>
    <col min="3851" max="3851" width="8.5703125" style="1275" customWidth="1"/>
    <col min="3852" max="3853" width="8.85546875" style="1275" bestFit="1" customWidth="1"/>
    <col min="3854" max="3854" width="9.42578125" style="1275" customWidth="1"/>
    <col min="3855" max="3863" width="8.28515625" style="1275" customWidth="1"/>
    <col min="3864" max="3864" width="8.140625" style="1275" customWidth="1"/>
    <col min="3865" max="3865" width="10.42578125" style="1275" customWidth="1"/>
    <col min="3866" max="3866" width="9.140625" style="1275"/>
    <col min="3867" max="3867" width="19.42578125" style="1275" customWidth="1"/>
    <col min="3868" max="3868" width="16.42578125" style="1275" bestFit="1" customWidth="1"/>
    <col min="3869" max="4096" width="9.140625" style="1275"/>
    <col min="4097" max="4097" width="7.42578125" style="1275" customWidth="1"/>
    <col min="4098" max="4098" width="11.140625" style="1275" customWidth="1"/>
    <col min="4099" max="4099" width="7" style="1275" bestFit="1" customWidth="1"/>
    <col min="4100" max="4100" width="7.5703125" style="1275" bestFit="1" customWidth="1"/>
    <col min="4101" max="4101" width="7.7109375" style="1275" bestFit="1" customWidth="1"/>
    <col min="4102" max="4102" width="9.42578125" style="1275" bestFit="1" customWidth="1"/>
    <col min="4103" max="4103" width="10" style="1275" bestFit="1" customWidth="1"/>
    <col min="4104" max="4104" width="8.28515625" style="1275" customWidth="1"/>
    <col min="4105" max="4105" width="7.140625" style="1275" customWidth="1"/>
    <col min="4106" max="4106" width="10.7109375" style="1275" customWidth="1"/>
    <col min="4107" max="4107" width="8.5703125" style="1275" customWidth="1"/>
    <col min="4108" max="4109" width="8.85546875" style="1275" bestFit="1" customWidth="1"/>
    <col min="4110" max="4110" width="9.42578125" style="1275" customWidth="1"/>
    <col min="4111" max="4119" width="8.28515625" style="1275" customWidth="1"/>
    <col min="4120" max="4120" width="8.140625" style="1275" customWidth="1"/>
    <col min="4121" max="4121" width="10.42578125" style="1275" customWidth="1"/>
    <col min="4122" max="4122" width="9.140625" style="1275"/>
    <col min="4123" max="4123" width="19.42578125" style="1275" customWidth="1"/>
    <col min="4124" max="4124" width="16.42578125" style="1275" bestFit="1" customWidth="1"/>
    <col min="4125" max="4352" width="9.140625" style="1275"/>
    <col min="4353" max="4353" width="7.42578125" style="1275" customWidth="1"/>
    <col min="4354" max="4354" width="11.140625" style="1275" customWidth="1"/>
    <col min="4355" max="4355" width="7" style="1275" bestFit="1" customWidth="1"/>
    <col min="4356" max="4356" width="7.5703125" style="1275" bestFit="1" customWidth="1"/>
    <col min="4357" max="4357" width="7.7109375" style="1275" bestFit="1" customWidth="1"/>
    <col min="4358" max="4358" width="9.42578125" style="1275" bestFit="1" customWidth="1"/>
    <col min="4359" max="4359" width="10" style="1275" bestFit="1" customWidth="1"/>
    <col min="4360" max="4360" width="8.28515625" style="1275" customWidth="1"/>
    <col min="4361" max="4361" width="7.140625" style="1275" customWidth="1"/>
    <col min="4362" max="4362" width="10.7109375" style="1275" customWidth="1"/>
    <col min="4363" max="4363" width="8.5703125" style="1275" customWidth="1"/>
    <col min="4364" max="4365" width="8.85546875" style="1275" bestFit="1" customWidth="1"/>
    <col min="4366" max="4366" width="9.42578125" style="1275" customWidth="1"/>
    <col min="4367" max="4375" width="8.28515625" style="1275" customWidth="1"/>
    <col min="4376" max="4376" width="8.140625" style="1275" customWidth="1"/>
    <col min="4377" max="4377" width="10.42578125" style="1275" customWidth="1"/>
    <col min="4378" max="4378" width="9.140625" style="1275"/>
    <col min="4379" max="4379" width="19.42578125" style="1275" customWidth="1"/>
    <col min="4380" max="4380" width="16.42578125" style="1275" bestFit="1" customWidth="1"/>
    <col min="4381" max="4608" width="9.140625" style="1275"/>
    <col min="4609" max="4609" width="7.42578125" style="1275" customWidth="1"/>
    <col min="4610" max="4610" width="11.140625" style="1275" customWidth="1"/>
    <col min="4611" max="4611" width="7" style="1275" bestFit="1" customWidth="1"/>
    <col min="4612" max="4612" width="7.5703125" style="1275" bestFit="1" customWidth="1"/>
    <col min="4613" max="4613" width="7.7109375" style="1275" bestFit="1" customWidth="1"/>
    <col min="4614" max="4614" width="9.42578125" style="1275" bestFit="1" customWidth="1"/>
    <col min="4615" max="4615" width="10" style="1275" bestFit="1" customWidth="1"/>
    <col min="4616" max="4616" width="8.28515625" style="1275" customWidth="1"/>
    <col min="4617" max="4617" width="7.140625" style="1275" customWidth="1"/>
    <col min="4618" max="4618" width="10.7109375" style="1275" customWidth="1"/>
    <col min="4619" max="4619" width="8.5703125" style="1275" customWidth="1"/>
    <col min="4620" max="4621" width="8.85546875" style="1275" bestFit="1" customWidth="1"/>
    <col min="4622" max="4622" width="9.42578125" style="1275" customWidth="1"/>
    <col min="4623" max="4631" width="8.28515625" style="1275" customWidth="1"/>
    <col min="4632" max="4632" width="8.140625" style="1275" customWidth="1"/>
    <col min="4633" max="4633" width="10.42578125" style="1275" customWidth="1"/>
    <col min="4634" max="4634" width="9.140625" style="1275"/>
    <col min="4635" max="4635" width="19.42578125" style="1275" customWidth="1"/>
    <col min="4636" max="4636" width="16.42578125" style="1275" bestFit="1" customWidth="1"/>
    <col min="4637" max="4864" width="9.140625" style="1275"/>
    <col min="4865" max="4865" width="7.42578125" style="1275" customWidth="1"/>
    <col min="4866" max="4866" width="11.140625" style="1275" customWidth="1"/>
    <col min="4867" max="4867" width="7" style="1275" bestFit="1" customWidth="1"/>
    <col min="4868" max="4868" width="7.5703125" style="1275" bestFit="1" customWidth="1"/>
    <col min="4869" max="4869" width="7.7109375" style="1275" bestFit="1" customWidth="1"/>
    <col min="4870" max="4870" width="9.42578125" style="1275" bestFit="1" customWidth="1"/>
    <col min="4871" max="4871" width="10" style="1275" bestFit="1" customWidth="1"/>
    <col min="4872" max="4872" width="8.28515625" style="1275" customWidth="1"/>
    <col min="4873" max="4873" width="7.140625" style="1275" customWidth="1"/>
    <col min="4874" max="4874" width="10.7109375" style="1275" customWidth="1"/>
    <col min="4875" max="4875" width="8.5703125" style="1275" customWidth="1"/>
    <col min="4876" max="4877" width="8.85546875" style="1275" bestFit="1" customWidth="1"/>
    <col min="4878" max="4878" width="9.42578125" style="1275" customWidth="1"/>
    <col min="4879" max="4887" width="8.28515625" style="1275" customWidth="1"/>
    <col min="4888" max="4888" width="8.140625" style="1275" customWidth="1"/>
    <col min="4889" max="4889" width="10.42578125" style="1275" customWidth="1"/>
    <col min="4890" max="4890" width="9.140625" style="1275"/>
    <col min="4891" max="4891" width="19.42578125" style="1275" customWidth="1"/>
    <col min="4892" max="4892" width="16.42578125" style="1275" bestFit="1" customWidth="1"/>
    <col min="4893" max="5120" width="9.140625" style="1275"/>
    <col min="5121" max="5121" width="7.42578125" style="1275" customWidth="1"/>
    <col min="5122" max="5122" width="11.140625" style="1275" customWidth="1"/>
    <col min="5123" max="5123" width="7" style="1275" bestFit="1" customWidth="1"/>
    <col min="5124" max="5124" width="7.5703125" style="1275" bestFit="1" customWidth="1"/>
    <col min="5125" max="5125" width="7.7109375" style="1275" bestFit="1" customWidth="1"/>
    <col min="5126" max="5126" width="9.42578125" style="1275" bestFit="1" customWidth="1"/>
    <col min="5127" max="5127" width="10" style="1275" bestFit="1" customWidth="1"/>
    <col min="5128" max="5128" width="8.28515625" style="1275" customWidth="1"/>
    <col min="5129" max="5129" width="7.140625" style="1275" customWidth="1"/>
    <col min="5130" max="5130" width="10.7109375" style="1275" customWidth="1"/>
    <col min="5131" max="5131" width="8.5703125" style="1275" customWidth="1"/>
    <col min="5132" max="5133" width="8.85546875" style="1275" bestFit="1" customWidth="1"/>
    <col min="5134" max="5134" width="9.42578125" style="1275" customWidth="1"/>
    <col min="5135" max="5143" width="8.28515625" style="1275" customWidth="1"/>
    <col min="5144" max="5144" width="8.140625" style="1275" customWidth="1"/>
    <col min="5145" max="5145" width="10.42578125" style="1275" customWidth="1"/>
    <col min="5146" max="5146" width="9.140625" style="1275"/>
    <col min="5147" max="5147" width="19.42578125" style="1275" customWidth="1"/>
    <col min="5148" max="5148" width="16.42578125" style="1275" bestFit="1" customWidth="1"/>
    <col min="5149" max="5376" width="9.140625" style="1275"/>
    <col min="5377" max="5377" width="7.42578125" style="1275" customWidth="1"/>
    <col min="5378" max="5378" width="11.140625" style="1275" customWidth="1"/>
    <col min="5379" max="5379" width="7" style="1275" bestFit="1" customWidth="1"/>
    <col min="5380" max="5380" width="7.5703125" style="1275" bestFit="1" customWidth="1"/>
    <col min="5381" max="5381" width="7.7109375" style="1275" bestFit="1" customWidth="1"/>
    <col min="5382" max="5382" width="9.42578125" style="1275" bestFit="1" customWidth="1"/>
    <col min="5383" max="5383" width="10" style="1275" bestFit="1" customWidth="1"/>
    <col min="5384" max="5384" width="8.28515625" style="1275" customWidth="1"/>
    <col min="5385" max="5385" width="7.140625" style="1275" customWidth="1"/>
    <col min="5386" max="5386" width="10.7109375" style="1275" customWidth="1"/>
    <col min="5387" max="5387" width="8.5703125" style="1275" customWidth="1"/>
    <col min="5388" max="5389" width="8.85546875" style="1275" bestFit="1" customWidth="1"/>
    <col min="5390" max="5390" width="9.42578125" style="1275" customWidth="1"/>
    <col min="5391" max="5399" width="8.28515625" style="1275" customWidth="1"/>
    <col min="5400" max="5400" width="8.140625" style="1275" customWidth="1"/>
    <col min="5401" max="5401" width="10.42578125" style="1275" customWidth="1"/>
    <col min="5402" max="5402" width="9.140625" style="1275"/>
    <col min="5403" max="5403" width="19.42578125" style="1275" customWidth="1"/>
    <col min="5404" max="5404" width="16.42578125" style="1275" bestFit="1" customWidth="1"/>
    <col min="5405" max="5632" width="9.140625" style="1275"/>
    <col min="5633" max="5633" width="7.42578125" style="1275" customWidth="1"/>
    <col min="5634" max="5634" width="11.140625" style="1275" customWidth="1"/>
    <col min="5635" max="5635" width="7" style="1275" bestFit="1" customWidth="1"/>
    <col min="5636" max="5636" width="7.5703125" style="1275" bestFit="1" customWidth="1"/>
    <col min="5637" max="5637" width="7.7109375" style="1275" bestFit="1" customWidth="1"/>
    <col min="5638" max="5638" width="9.42578125" style="1275" bestFit="1" customWidth="1"/>
    <col min="5639" max="5639" width="10" style="1275" bestFit="1" customWidth="1"/>
    <col min="5640" max="5640" width="8.28515625" style="1275" customWidth="1"/>
    <col min="5641" max="5641" width="7.140625" style="1275" customWidth="1"/>
    <col min="5642" max="5642" width="10.7109375" style="1275" customWidth="1"/>
    <col min="5643" max="5643" width="8.5703125" style="1275" customWidth="1"/>
    <col min="5644" max="5645" width="8.85546875" style="1275" bestFit="1" customWidth="1"/>
    <col min="5646" max="5646" width="9.42578125" style="1275" customWidth="1"/>
    <col min="5647" max="5655" width="8.28515625" style="1275" customWidth="1"/>
    <col min="5656" max="5656" width="8.140625" style="1275" customWidth="1"/>
    <col min="5657" max="5657" width="10.42578125" style="1275" customWidth="1"/>
    <col min="5658" max="5658" width="9.140625" style="1275"/>
    <col min="5659" max="5659" width="19.42578125" style="1275" customWidth="1"/>
    <col min="5660" max="5660" width="16.42578125" style="1275" bestFit="1" customWidth="1"/>
    <col min="5661" max="5888" width="9.140625" style="1275"/>
    <col min="5889" max="5889" width="7.42578125" style="1275" customWidth="1"/>
    <col min="5890" max="5890" width="11.140625" style="1275" customWidth="1"/>
    <col min="5891" max="5891" width="7" style="1275" bestFit="1" customWidth="1"/>
    <col min="5892" max="5892" width="7.5703125" style="1275" bestFit="1" customWidth="1"/>
    <col min="5893" max="5893" width="7.7109375" style="1275" bestFit="1" customWidth="1"/>
    <col min="5894" max="5894" width="9.42578125" style="1275" bestFit="1" customWidth="1"/>
    <col min="5895" max="5895" width="10" style="1275" bestFit="1" customWidth="1"/>
    <col min="5896" max="5896" width="8.28515625" style="1275" customWidth="1"/>
    <col min="5897" max="5897" width="7.140625" style="1275" customWidth="1"/>
    <col min="5898" max="5898" width="10.7109375" style="1275" customWidth="1"/>
    <col min="5899" max="5899" width="8.5703125" style="1275" customWidth="1"/>
    <col min="5900" max="5901" width="8.85546875" style="1275" bestFit="1" customWidth="1"/>
    <col min="5902" max="5902" width="9.42578125" style="1275" customWidth="1"/>
    <col min="5903" max="5911" width="8.28515625" style="1275" customWidth="1"/>
    <col min="5912" max="5912" width="8.140625" style="1275" customWidth="1"/>
    <col min="5913" max="5913" width="10.42578125" style="1275" customWidth="1"/>
    <col min="5914" max="5914" width="9.140625" style="1275"/>
    <col min="5915" max="5915" width="19.42578125" style="1275" customWidth="1"/>
    <col min="5916" max="5916" width="16.42578125" style="1275" bestFit="1" customWidth="1"/>
    <col min="5917" max="6144" width="9.140625" style="1275"/>
    <col min="6145" max="6145" width="7.42578125" style="1275" customWidth="1"/>
    <col min="6146" max="6146" width="11.140625" style="1275" customWidth="1"/>
    <col min="6147" max="6147" width="7" style="1275" bestFit="1" customWidth="1"/>
    <col min="6148" max="6148" width="7.5703125" style="1275" bestFit="1" customWidth="1"/>
    <col min="6149" max="6149" width="7.7109375" style="1275" bestFit="1" customWidth="1"/>
    <col min="6150" max="6150" width="9.42578125" style="1275" bestFit="1" customWidth="1"/>
    <col min="6151" max="6151" width="10" style="1275" bestFit="1" customWidth="1"/>
    <col min="6152" max="6152" width="8.28515625" style="1275" customWidth="1"/>
    <col min="6153" max="6153" width="7.140625" style="1275" customWidth="1"/>
    <col min="6154" max="6154" width="10.7109375" style="1275" customWidth="1"/>
    <col min="6155" max="6155" width="8.5703125" style="1275" customWidth="1"/>
    <col min="6156" max="6157" width="8.85546875" style="1275" bestFit="1" customWidth="1"/>
    <col min="6158" max="6158" width="9.42578125" style="1275" customWidth="1"/>
    <col min="6159" max="6167" width="8.28515625" style="1275" customWidth="1"/>
    <col min="6168" max="6168" width="8.140625" style="1275" customWidth="1"/>
    <col min="6169" max="6169" width="10.42578125" style="1275" customWidth="1"/>
    <col min="6170" max="6170" width="9.140625" style="1275"/>
    <col min="6171" max="6171" width="19.42578125" style="1275" customWidth="1"/>
    <col min="6172" max="6172" width="16.42578125" style="1275" bestFit="1" customWidth="1"/>
    <col min="6173" max="6400" width="9.140625" style="1275"/>
    <col min="6401" max="6401" width="7.42578125" style="1275" customWidth="1"/>
    <col min="6402" max="6402" width="11.140625" style="1275" customWidth="1"/>
    <col min="6403" max="6403" width="7" style="1275" bestFit="1" customWidth="1"/>
    <col min="6404" max="6404" width="7.5703125" style="1275" bestFit="1" customWidth="1"/>
    <col min="6405" max="6405" width="7.7109375" style="1275" bestFit="1" customWidth="1"/>
    <col min="6406" max="6406" width="9.42578125" style="1275" bestFit="1" customWidth="1"/>
    <col min="6407" max="6407" width="10" style="1275" bestFit="1" customWidth="1"/>
    <col min="6408" max="6408" width="8.28515625" style="1275" customWidth="1"/>
    <col min="6409" max="6409" width="7.140625" style="1275" customWidth="1"/>
    <col min="6410" max="6410" width="10.7109375" style="1275" customWidth="1"/>
    <col min="6411" max="6411" width="8.5703125" style="1275" customWidth="1"/>
    <col min="6412" max="6413" width="8.85546875" style="1275" bestFit="1" customWidth="1"/>
    <col min="6414" max="6414" width="9.42578125" style="1275" customWidth="1"/>
    <col min="6415" max="6423" width="8.28515625" style="1275" customWidth="1"/>
    <col min="6424" max="6424" width="8.140625" style="1275" customWidth="1"/>
    <col min="6425" max="6425" width="10.42578125" style="1275" customWidth="1"/>
    <col min="6426" max="6426" width="9.140625" style="1275"/>
    <col min="6427" max="6427" width="19.42578125" style="1275" customWidth="1"/>
    <col min="6428" max="6428" width="16.42578125" style="1275" bestFit="1" customWidth="1"/>
    <col min="6429" max="6656" width="9.140625" style="1275"/>
    <col min="6657" max="6657" width="7.42578125" style="1275" customWidth="1"/>
    <col min="6658" max="6658" width="11.140625" style="1275" customWidth="1"/>
    <col min="6659" max="6659" width="7" style="1275" bestFit="1" customWidth="1"/>
    <col min="6660" max="6660" width="7.5703125" style="1275" bestFit="1" customWidth="1"/>
    <col min="6661" max="6661" width="7.7109375" style="1275" bestFit="1" customWidth="1"/>
    <col min="6662" max="6662" width="9.42578125" style="1275" bestFit="1" customWidth="1"/>
    <col min="6663" max="6663" width="10" style="1275" bestFit="1" customWidth="1"/>
    <col min="6664" max="6664" width="8.28515625" style="1275" customWidth="1"/>
    <col min="6665" max="6665" width="7.140625" style="1275" customWidth="1"/>
    <col min="6666" max="6666" width="10.7109375" style="1275" customWidth="1"/>
    <col min="6667" max="6667" width="8.5703125" style="1275" customWidth="1"/>
    <col min="6668" max="6669" width="8.85546875" style="1275" bestFit="1" customWidth="1"/>
    <col min="6670" max="6670" width="9.42578125" style="1275" customWidth="1"/>
    <col min="6671" max="6679" width="8.28515625" style="1275" customWidth="1"/>
    <col min="6680" max="6680" width="8.140625" style="1275" customWidth="1"/>
    <col min="6681" max="6681" width="10.42578125" style="1275" customWidth="1"/>
    <col min="6682" max="6682" width="9.140625" style="1275"/>
    <col min="6683" max="6683" width="19.42578125" style="1275" customWidth="1"/>
    <col min="6684" max="6684" width="16.42578125" style="1275" bestFit="1" customWidth="1"/>
    <col min="6685" max="6912" width="9.140625" style="1275"/>
    <col min="6913" max="6913" width="7.42578125" style="1275" customWidth="1"/>
    <col min="6914" max="6914" width="11.140625" style="1275" customWidth="1"/>
    <col min="6915" max="6915" width="7" style="1275" bestFit="1" customWidth="1"/>
    <col min="6916" max="6916" width="7.5703125" style="1275" bestFit="1" customWidth="1"/>
    <col min="6917" max="6917" width="7.7109375" style="1275" bestFit="1" customWidth="1"/>
    <col min="6918" max="6918" width="9.42578125" style="1275" bestFit="1" customWidth="1"/>
    <col min="6919" max="6919" width="10" style="1275" bestFit="1" customWidth="1"/>
    <col min="6920" max="6920" width="8.28515625" style="1275" customWidth="1"/>
    <col min="6921" max="6921" width="7.140625" style="1275" customWidth="1"/>
    <col min="6922" max="6922" width="10.7109375" style="1275" customWidth="1"/>
    <col min="6923" max="6923" width="8.5703125" style="1275" customWidth="1"/>
    <col min="6924" max="6925" width="8.85546875" style="1275" bestFit="1" customWidth="1"/>
    <col min="6926" max="6926" width="9.42578125" style="1275" customWidth="1"/>
    <col min="6927" max="6935" width="8.28515625" style="1275" customWidth="1"/>
    <col min="6936" max="6936" width="8.140625" style="1275" customWidth="1"/>
    <col min="6937" max="6937" width="10.42578125" style="1275" customWidth="1"/>
    <col min="6938" max="6938" width="9.140625" style="1275"/>
    <col min="6939" max="6939" width="19.42578125" style="1275" customWidth="1"/>
    <col min="6940" max="6940" width="16.42578125" style="1275" bestFit="1" customWidth="1"/>
    <col min="6941" max="7168" width="9.140625" style="1275"/>
    <col min="7169" max="7169" width="7.42578125" style="1275" customWidth="1"/>
    <col min="7170" max="7170" width="11.140625" style="1275" customWidth="1"/>
    <col min="7171" max="7171" width="7" style="1275" bestFit="1" customWidth="1"/>
    <col min="7172" max="7172" width="7.5703125" style="1275" bestFit="1" customWidth="1"/>
    <col min="7173" max="7173" width="7.7109375" style="1275" bestFit="1" customWidth="1"/>
    <col min="7174" max="7174" width="9.42578125" style="1275" bestFit="1" customWidth="1"/>
    <col min="7175" max="7175" width="10" style="1275" bestFit="1" customWidth="1"/>
    <col min="7176" max="7176" width="8.28515625" style="1275" customWidth="1"/>
    <col min="7177" max="7177" width="7.140625" style="1275" customWidth="1"/>
    <col min="7178" max="7178" width="10.7109375" style="1275" customWidth="1"/>
    <col min="7179" max="7179" width="8.5703125" style="1275" customWidth="1"/>
    <col min="7180" max="7181" width="8.85546875" style="1275" bestFit="1" customWidth="1"/>
    <col min="7182" max="7182" width="9.42578125" style="1275" customWidth="1"/>
    <col min="7183" max="7191" width="8.28515625" style="1275" customWidth="1"/>
    <col min="7192" max="7192" width="8.140625" style="1275" customWidth="1"/>
    <col min="7193" max="7193" width="10.42578125" style="1275" customWidth="1"/>
    <col min="7194" max="7194" width="9.140625" style="1275"/>
    <col min="7195" max="7195" width="19.42578125" style="1275" customWidth="1"/>
    <col min="7196" max="7196" width="16.42578125" style="1275" bestFit="1" customWidth="1"/>
    <col min="7197" max="7424" width="9.140625" style="1275"/>
    <col min="7425" max="7425" width="7.42578125" style="1275" customWidth="1"/>
    <col min="7426" max="7426" width="11.140625" style="1275" customWidth="1"/>
    <col min="7427" max="7427" width="7" style="1275" bestFit="1" customWidth="1"/>
    <col min="7428" max="7428" width="7.5703125" style="1275" bestFit="1" customWidth="1"/>
    <col min="7429" max="7429" width="7.7109375" style="1275" bestFit="1" customWidth="1"/>
    <col min="7430" max="7430" width="9.42578125" style="1275" bestFit="1" customWidth="1"/>
    <col min="7431" max="7431" width="10" style="1275" bestFit="1" customWidth="1"/>
    <col min="7432" max="7432" width="8.28515625" style="1275" customWidth="1"/>
    <col min="7433" max="7433" width="7.140625" style="1275" customWidth="1"/>
    <col min="7434" max="7434" width="10.7109375" style="1275" customWidth="1"/>
    <col min="7435" max="7435" width="8.5703125" style="1275" customWidth="1"/>
    <col min="7436" max="7437" width="8.85546875" style="1275" bestFit="1" customWidth="1"/>
    <col min="7438" max="7438" width="9.42578125" style="1275" customWidth="1"/>
    <col min="7439" max="7447" width="8.28515625" style="1275" customWidth="1"/>
    <col min="7448" max="7448" width="8.140625" style="1275" customWidth="1"/>
    <col min="7449" max="7449" width="10.42578125" style="1275" customWidth="1"/>
    <col min="7450" max="7450" width="9.140625" style="1275"/>
    <col min="7451" max="7451" width="19.42578125" style="1275" customWidth="1"/>
    <col min="7452" max="7452" width="16.42578125" style="1275" bestFit="1" customWidth="1"/>
    <col min="7453" max="7680" width="9.140625" style="1275"/>
    <col min="7681" max="7681" width="7.42578125" style="1275" customWidth="1"/>
    <col min="7682" max="7682" width="11.140625" style="1275" customWidth="1"/>
    <col min="7683" max="7683" width="7" style="1275" bestFit="1" customWidth="1"/>
    <col min="7684" max="7684" width="7.5703125" style="1275" bestFit="1" customWidth="1"/>
    <col min="7685" max="7685" width="7.7109375" style="1275" bestFit="1" customWidth="1"/>
    <col min="7686" max="7686" width="9.42578125" style="1275" bestFit="1" customWidth="1"/>
    <col min="7687" max="7687" width="10" style="1275" bestFit="1" customWidth="1"/>
    <col min="7688" max="7688" width="8.28515625" style="1275" customWidth="1"/>
    <col min="7689" max="7689" width="7.140625" style="1275" customWidth="1"/>
    <col min="7690" max="7690" width="10.7109375" style="1275" customWidth="1"/>
    <col min="7691" max="7691" width="8.5703125" style="1275" customWidth="1"/>
    <col min="7692" max="7693" width="8.85546875" style="1275" bestFit="1" customWidth="1"/>
    <col min="7694" max="7694" width="9.42578125" style="1275" customWidth="1"/>
    <col min="7695" max="7703" width="8.28515625" style="1275" customWidth="1"/>
    <col min="7704" max="7704" width="8.140625" style="1275" customWidth="1"/>
    <col min="7705" max="7705" width="10.42578125" style="1275" customWidth="1"/>
    <col min="7706" max="7706" width="9.140625" style="1275"/>
    <col min="7707" max="7707" width="19.42578125" style="1275" customWidth="1"/>
    <col min="7708" max="7708" width="16.42578125" style="1275" bestFit="1" customWidth="1"/>
    <col min="7709" max="7936" width="9.140625" style="1275"/>
    <col min="7937" max="7937" width="7.42578125" style="1275" customWidth="1"/>
    <col min="7938" max="7938" width="11.140625" style="1275" customWidth="1"/>
    <col min="7939" max="7939" width="7" style="1275" bestFit="1" customWidth="1"/>
    <col min="7940" max="7940" width="7.5703125" style="1275" bestFit="1" customWidth="1"/>
    <col min="7941" max="7941" width="7.7109375" style="1275" bestFit="1" customWidth="1"/>
    <col min="7942" max="7942" width="9.42578125" style="1275" bestFit="1" customWidth="1"/>
    <col min="7943" max="7943" width="10" style="1275" bestFit="1" customWidth="1"/>
    <col min="7944" max="7944" width="8.28515625" style="1275" customWidth="1"/>
    <col min="7945" max="7945" width="7.140625" style="1275" customWidth="1"/>
    <col min="7946" max="7946" width="10.7109375" style="1275" customWidth="1"/>
    <col min="7947" max="7947" width="8.5703125" style="1275" customWidth="1"/>
    <col min="7948" max="7949" width="8.85546875" style="1275" bestFit="1" customWidth="1"/>
    <col min="7950" max="7950" width="9.42578125" style="1275" customWidth="1"/>
    <col min="7951" max="7959" width="8.28515625" style="1275" customWidth="1"/>
    <col min="7960" max="7960" width="8.140625" style="1275" customWidth="1"/>
    <col min="7961" max="7961" width="10.42578125" style="1275" customWidth="1"/>
    <col min="7962" max="7962" width="9.140625" style="1275"/>
    <col min="7963" max="7963" width="19.42578125" style="1275" customWidth="1"/>
    <col min="7964" max="7964" width="16.42578125" style="1275" bestFit="1" customWidth="1"/>
    <col min="7965" max="8192" width="9.140625" style="1275"/>
    <col min="8193" max="8193" width="7.42578125" style="1275" customWidth="1"/>
    <col min="8194" max="8194" width="11.140625" style="1275" customWidth="1"/>
    <col min="8195" max="8195" width="7" style="1275" bestFit="1" customWidth="1"/>
    <col min="8196" max="8196" width="7.5703125" style="1275" bestFit="1" customWidth="1"/>
    <col min="8197" max="8197" width="7.7109375" style="1275" bestFit="1" customWidth="1"/>
    <col min="8198" max="8198" width="9.42578125" style="1275" bestFit="1" customWidth="1"/>
    <col min="8199" max="8199" width="10" style="1275" bestFit="1" customWidth="1"/>
    <col min="8200" max="8200" width="8.28515625" style="1275" customWidth="1"/>
    <col min="8201" max="8201" width="7.140625" style="1275" customWidth="1"/>
    <col min="8202" max="8202" width="10.7109375" style="1275" customWidth="1"/>
    <col min="8203" max="8203" width="8.5703125" style="1275" customWidth="1"/>
    <col min="8204" max="8205" width="8.85546875" style="1275" bestFit="1" customWidth="1"/>
    <col min="8206" max="8206" width="9.42578125" style="1275" customWidth="1"/>
    <col min="8207" max="8215" width="8.28515625" style="1275" customWidth="1"/>
    <col min="8216" max="8216" width="8.140625" style="1275" customWidth="1"/>
    <col min="8217" max="8217" width="10.42578125" style="1275" customWidth="1"/>
    <col min="8218" max="8218" width="9.140625" style="1275"/>
    <col min="8219" max="8219" width="19.42578125" style="1275" customWidth="1"/>
    <col min="8220" max="8220" width="16.42578125" style="1275" bestFit="1" customWidth="1"/>
    <col min="8221" max="8448" width="9.140625" style="1275"/>
    <col min="8449" max="8449" width="7.42578125" style="1275" customWidth="1"/>
    <col min="8450" max="8450" width="11.140625" style="1275" customWidth="1"/>
    <col min="8451" max="8451" width="7" style="1275" bestFit="1" customWidth="1"/>
    <col min="8452" max="8452" width="7.5703125" style="1275" bestFit="1" customWidth="1"/>
    <col min="8453" max="8453" width="7.7109375" style="1275" bestFit="1" customWidth="1"/>
    <col min="8454" max="8454" width="9.42578125" style="1275" bestFit="1" customWidth="1"/>
    <col min="8455" max="8455" width="10" style="1275" bestFit="1" customWidth="1"/>
    <col min="8456" max="8456" width="8.28515625" style="1275" customWidth="1"/>
    <col min="8457" max="8457" width="7.140625" style="1275" customWidth="1"/>
    <col min="8458" max="8458" width="10.7109375" style="1275" customWidth="1"/>
    <col min="8459" max="8459" width="8.5703125" style="1275" customWidth="1"/>
    <col min="8460" max="8461" width="8.85546875" style="1275" bestFit="1" customWidth="1"/>
    <col min="8462" max="8462" width="9.42578125" style="1275" customWidth="1"/>
    <col min="8463" max="8471" width="8.28515625" style="1275" customWidth="1"/>
    <col min="8472" max="8472" width="8.140625" style="1275" customWidth="1"/>
    <col min="8473" max="8473" width="10.42578125" style="1275" customWidth="1"/>
    <col min="8474" max="8474" width="9.140625" style="1275"/>
    <col min="8475" max="8475" width="19.42578125" style="1275" customWidth="1"/>
    <col min="8476" max="8476" width="16.42578125" style="1275" bestFit="1" customWidth="1"/>
    <col min="8477" max="8704" width="9.140625" style="1275"/>
    <col min="8705" max="8705" width="7.42578125" style="1275" customWidth="1"/>
    <col min="8706" max="8706" width="11.140625" style="1275" customWidth="1"/>
    <col min="8707" max="8707" width="7" style="1275" bestFit="1" customWidth="1"/>
    <col min="8708" max="8708" width="7.5703125" style="1275" bestFit="1" customWidth="1"/>
    <col min="8709" max="8709" width="7.7109375" style="1275" bestFit="1" customWidth="1"/>
    <col min="8710" max="8710" width="9.42578125" style="1275" bestFit="1" customWidth="1"/>
    <col min="8711" max="8711" width="10" style="1275" bestFit="1" customWidth="1"/>
    <col min="8712" max="8712" width="8.28515625" style="1275" customWidth="1"/>
    <col min="8713" max="8713" width="7.140625" style="1275" customWidth="1"/>
    <col min="8714" max="8714" width="10.7109375" style="1275" customWidth="1"/>
    <col min="8715" max="8715" width="8.5703125" style="1275" customWidth="1"/>
    <col min="8716" max="8717" width="8.85546875" style="1275" bestFit="1" customWidth="1"/>
    <col min="8718" max="8718" width="9.42578125" style="1275" customWidth="1"/>
    <col min="8719" max="8727" width="8.28515625" style="1275" customWidth="1"/>
    <col min="8728" max="8728" width="8.140625" style="1275" customWidth="1"/>
    <col min="8729" max="8729" width="10.42578125" style="1275" customWidth="1"/>
    <col min="8730" max="8730" width="9.140625" style="1275"/>
    <col min="8731" max="8731" width="19.42578125" style="1275" customWidth="1"/>
    <col min="8732" max="8732" width="16.42578125" style="1275" bestFit="1" customWidth="1"/>
    <col min="8733" max="8960" width="9.140625" style="1275"/>
    <col min="8961" max="8961" width="7.42578125" style="1275" customWidth="1"/>
    <col min="8962" max="8962" width="11.140625" style="1275" customWidth="1"/>
    <col min="8963" max="8963" width="7" style="1275" bestFit="1" customWidth="1"/>
    <col min="8964" max="8964" width="7.5703125" style="1275" bestFit="1" customWidth="1"/>
    <col min="8965" max="8965" width="7.7109375" style="1275" bestFit="1" customWidth="1"/>
    <col min="8966" max="8966" width="9.42578125" style="1275" bestFit="1" customWidth="1"/>
    <col min="8967" max="8967" width="10" style="1275" bestFit="1" customWidth="1"/>
    <col min="8968" max="8968" width="8.28515625" style="1275" customWidth="1"/>
    <col min="8969" max="8969" width="7.140625" style="1275" customWidth="1"/>
    <col min="8970" max="8970" width="10.7109375" style="1275" customWidth="1"/>
    <col min="8971" max="8971" width="8.5703125" style="1275" customWidth="1"/>
    <col min="8972" max="8973" width="8.85546875" style="1275" bestFit="1" customWidth="1"/>
    <col min="8974" max="8974" width="9.42578125" style="1275" customWidth="1"/>
    <col min="8975" max="8983" width="8.28515625" style="1275" customWidth="1"/>
    <col min="8984" max="8984" width="8.140625" style="1275" customWidth="1"/>
    <col min="8985" max="8985" width="10.42578125" style="1275" customWidth="1"/>
    <col min="8986" max="8986" width="9.140625" style="1275"/>
    <col min="8987" max="8987" width="19.42578125" style="1275" customWidth="1"/>
    <col min="8988" max="8988" width="16.42578125" style="1275" bestFit="1" customWidth="1"/>
    <col min="8989" max="9216" width="9.140625" style="1275"/>
    <col min="9217" max="9217" width="7.42578125" style="1275" customWidth="1"/>
    <col min="9218" max="9218" width="11.140625" style="1275" customWidth="1"/>
    <col min="9219" max="9219" width="7" style="1275" bestFit="1" customWidth="1"/>
    <col min="9220" max="9220" width="7.5703125" style="1275" bestFit="1" customWidth="1"/>
    <col min="9221" max="9221" width="7.7109375" style="1275" bestFit="1" customWidth="1"/>
    <col min="9222" max="9222" width="9.42578125" style="1275" bestFit="1" customWidth="1"/>
    <col min="9223" max="9223" width="10" style="1275" bestFit="1" customWidth="1"/>
    <col min="9224" max="9224" width="8.28515625" style="1275" customWidth="1"/>
    <col min="9225" max="9225" width="7.140625" style="1275" customWidth="1"/>
    <col min="9226" max="9226" width="10.7109375" style="1275" customWidth="1"/>
    <col min="9227" max="9227" width="8.5703125" style="1275" customWidth="1"/>
    <col min="9228" max="9229" width="8.85546875" style="1275" bestFit="1" customWidth="1"/>
    <col min="9230" max="9230" width="9.42578125" style="1275" customWidth="1"/>
    <col min="9231" max="9239" width="8.28515625" style="1275" customWidth="1"/>
    <col min="9240" max="9240" width="8.140625" style="1275" customWidth="1"/>
    <col min="9241" max="9241" width="10.42578125" style="1275" customWidth="1"/>
    <col min="9242" max="9242" width="9.140625" style="1275"/>
    <col min="9243" max="9243" width="19.42578125" style="1275" customWidth="1"/>
    <col min="9244" max="9244" width="16.42578125" style="1275" bestFit="1" customWidth="1"/>
    <col min="9245" max="9472" width="9.140625" style="1275"/>
    <col min="9473" max="9473" width="7.42578125" style="1275" customWidth="1"/>
    <col min="9474" max="9474" width="11.140625" style="1275" customWidth="1"/>
    <col min="9475" max="9475" width="7" style="1275" bestFit="1" customWidth="1"/>
    <col min="9476" max="9476" width="7.5703125" style="1275" bestFit="1" customWidth="1"/>
    <col min="9477" max="9477" width="7.7109375" style="1275" bestFit="1" customWidth="1"/>
    <col min="9478" max="9478" width="9.42578125" style="1275" bestFit="1" customWidth="1"/>
    <col min="9479" max="9479" width="10" style="1275" bestFit="1" customWidth="1"/>
    <col min="9480" max="9480" width="8.28515625" style="1275" customWidth="1"/>
    <col min="9481" max="9481" width="7.140625" style="1275" customWidth="1"/>
    <col min="9482" max="9482" width="10.7109375" style="1275" customWidth="1"/>
    <col min="9483" max="9483" width="8.5703125" style="1275" customWidth="1"/>
    <col min="9484" max="9485" width="8.85546875" style="1275" bestFit="1" customWidth="1"/>
    <col min="9486" max="9486" width="9.42578125" style="1275" customWidth="1"/>
    <col min="9487" max="9495" width="8.28515625" style="1275" customWidth="1"/>
    <col min="9496" max="9496" width="8.140625" style="1275" customWidth="1"/>
    <col min="9497" max="9497" width="10.42578125" style="1275" customWidth="1"/>
    <col min="9498" max="9498" width="9.140625" style="1275"/>
    <col min="9499" max="9499" width="19.42578125" style="1275" customWidth="1"/>
    <col min="9500" max="9500" width="16.42578125" style="1275" bestFit="1" customWidth="1"/>
    <col min="9501" max="9728" width="9.140625" style="1275"/>
    <col min="9729" max="9729" width="7.42578125" style="1275" customWidth="1"/>
    <col min="9730" max="9730" width="11.140625" style="1275" customWidth="1"/>
    <col min="9731" max="9731" width="7" style="1275" bestFit="1" customWidth="1"/>
    <col min="9732" max="9732" width="7.5703125" style="1275" bestFit="1" customWidth="1"/>
    <col min="9733" max="9733" width="7.7109375" style="1275" bestFit="1" customWidth="1"/>
    <col min="9734" max="9734" width="9.42578125" style="1275" bestFit="1" customWidth="1"/>
    <col min="9735" max="9735" width="10" style="1275" bestFit="1" customWidth="1"/>
    <col min="9736" max="9736" width="8.28515625" style="1275" customWidth="1"/>
    <col min="9737" max="9737" width="7.140625" style="1275" customWidth="1"/>
    <col min="9738" max="9738" width="10.7109375" style="1275" customWidth="1"/>
    <col min="9739" max="9739" width="8.5703125" style="1275" customWidth="1"/>
    <col min="9740" max="9741" width="8.85546875" style="1275" bestFit="1" customWidth="1"/>
    <col min="9742" max="9742" width="9.42578125" style="1275" customWidth="1"/>
    <col min="9743" max="9751" width="8.28515625" style="1275" customWidth="1"/>
    <col min="9752" max="9752" width="8.140625" style="1275" customWidth="1"/>
    <col min="9753" max="9753" width="10.42578125" style="1275" customWidth="1"/>
    <col min="9754" max="9754" width="9.140625" style="1275"/>
    <col min="9755" max="9755" width="19.42578125" style="1275" customWidth="1"/>
    <col min="9756" max="9756" width="16.42578125" style="1275" bestFit="1" customWidth="1"/>
    <col min="9757" max="9984" width="9.140625" style="1275"/>
    <col min="9985" max="9985" width="7.42578125" style="1275" customWidth="1"/>
    <col min="9986" max="9986" width="11.140625" style="1275" customWidth="1"/>
    <col min="9987" max="9987" width="7" style="1275" bestFit="1" customWidth="1"/>
    <col min="9988" max="9988" width="7.5703125" style="1275" bestFit="1" customWidth="1"/>
    <col min="9989" max="9989" width="7.7109375" style="1275" bestFit="1" customWidth="1"/>
    <col min="9990" max="9990" width="9.42578125" style="1275" bestFit="1" customWidth="1"/>
    <col min="9991" max="9991" width="10" style="1275" bestFit="1" customWidth="1"/>
    <col min="9992" max="9992" width="8.28515625" style="1275" customWidth="1"/>
    <col min="9993" max="9993" width="7.140625" style="1275" customWidth="1"/>
    <col min="9994" max="9994" width="10.7109375" style="1275" customWidth="1"/>
    <col min="9995" max="9995" width="8.5703125" style="1275" customWidth="1"/>
    <col min="9996" max="9997" width="8.85546875" style="1275" bestFit="1" customWidth="1"/>
    <col min="9998" max="9998" width="9.42578125" style="1275" customWidth="1"/>
    <col min="9999" max="10007" width="8.28515625" style="1275" customWidth="1"/>
    <col min="10008" max="10008" width="8.140625" style="1275" customWidth="1"/>
    <col min="10009" max="10009" width="10.42578125" style="1275" customWidth="1"/>
    <col min="10010" max="10010" width="9.140625" style="1275"/>
    <col min="10011" max="10011" width="19.42578125" style="1275" customWidth="1"/>
    <col min="10012" max="10012" width="16.42578125" style="1275" bestFit="1" customWidth="1"/>
    <col min="10013" max="10240" width="9.140625" style="1275"/>
    <col min="10241" max="10241" width="7.42578125" style="1275" customWidth="1"/>
    <col min="10242" max="10242" width="11.140625" style="1275" customWidth="1"/>
    <col min="10243" max="10243" width="7" style="1275" bestFit="1" customWidth="1"/>
    <col min="10244" max="10244" width="7.5703125" style="1275" bestFit="1" customWidth="1"/>
    <col min="10245" max="10245" width="7.7109375" style="1275" bestFit="1" customWidth="1"/>
    <col min="10246" max="10246" width="9.42578125" style="1275" bestFit="1" customWidth="1"/>
    <col min="10247" max="10247" width="10" style="1275" bestFit="1" customWidth="1"/>
    <col min="10248" max="10248" width="8.28515625" style="1275" customWidth="1"/>
    <col min="10249" max="10249" width="7.140625" style="1275" customWidth="1"/>
    <col min="10250" max="10250" width="10.7109375" style="1275" customWidth="1"/>
    <col min="10251" max="10251" width="8.5703125" style="1275" customWidth="1"/>
    <col min="10252" max="10253" width="8.85546875" style="1275" bestFit="1" customWidth="1"/>
    <col min="10254" max="10254" width="9.42578125" style="1275" customWidth="1"/>
    <col min="10255" max="10263" width="8.28515625" style="1275" customWidth="1"/>
    <col min="10264" max="10264" width="8.140625" style="1275" customWidth="1"/>
    <col min="10265" max="10265" width="10.42578125" style="1275" customWidth="1"/>
    <col min="10266" max="10266" width="9.140625" style="1275"/>
    <col min="10267" max="10267" width="19.42578125" style="1275" customWidth="1"/>
    <col min="10268" max="10268" width="16.42578125" style="1275" bestFit="1" customWidth="1"/>
    <col min="10269" max="10496" width="9.140625" style="1275"/>
    <col min="10497" max="10497" width="7.42578125" style="1275" customWidth="1"/>
    <col min="10498" max="10498" width="11.140625" style="1275" customWidth="1"/>
    <col min="10499" max="10499" width="7" style="1275" bestFit="1" customWidth="1"/>
    <col min="10500" max="10500" width="7.5703125" style="1275" bestFit="1" customWidth="1"/>
    <col min="10501" max="10501" width="7.7109375" style="1275" bestFit="1" customWidth="1"/>
    <col min="10502" max="10502" width="9.42578125" style="1275" bestFit="1" customWidth="1"/>
    <col min="10503" max="10503" width="10" style="1275" bestFit="1" customWidth="1"/>
    <col min="10504" max="10504" width="8.28515625" style="1275" customWidth="1"/>
    <col min="10505" max="10505" width="7.140625" style="1275" customWidth="1"/>
    <col min="10506" max="10506" width="10.7109375" style="1275" customWidth="1"/>
    <col min="10507" max="10507" width="8.5703125" style="1275" customWidth="1"/>
    <col min="10508" max="10509" width="8.85546875" style="1275" bestFit="1" customWidth="1"/>
    <col min="10510" max="10510" width="9.42578125" style="1275" customWidth="1"/>
    <col min="10511" max="10519" width="8.28515625" style="1275" customWidth="1"/>
    <col min="10520" max="10520" width="8.140625" style="1275" customWidth="1"/>
    <col min="10521" max="10521" width="10.42578125" style="1275" customWidth="1"/>
    <col min="10522" max="10522" width="9.140625" style="1275"/>
    <col min="10523" max="10523" width="19.42578125" style="1275" customWidth="1"/>
    <col min="10524" max="10524" width="16.42578125" style="1275" bestFit="1" customWidth="1"/>
    <col min="10525" max="10752" width="9.140625" style="1275"/>
    <col min="10753" max="10753" width="7.42578125" style="1275" customWidth="1"/>
    <col min="10754" max="10754" width="11.140625" style="1275" customWidth="1"/>
    <col min="10755" max="10755" width="7" style="1275" bestFit="1" customWidth="1"/>
    <col min="10756" max="10756" width="7.5703125" style="1275" bestFit="1" customWidth="1"/>
    <col min="10757" max="10757" width="7.7109375" style="1275" bestFit="1" customWidth="1"/>
    <col min="10758" max="10758" width="9.42578125" style="1275" bestFit="1" customWidth="1"/>
    <col min="10759" max="10759" width="10" style="1275" bestFit="1" customWidth="1"/>
    <col min="10760" max="10760" width="8.28515625" style="1275" customWidth="1"/>
    <col min="10761" max="10761" width="7.140625" style="1275" customWidth="1"/>
    <col min="10762" max="10762" width="10.7109375" style="1275" customWidth="1"/>
    <col min="10763" max="10763" width="8.5703125" style="1275" customWidth="1"/>
    <col min="10764" max="10765" width="8.85546875" style="1275" bestFit="1" customWidth="1"/>
    <col min="10766" max="10766" width="9.42578125" style="1275" customWidth="1"/>
    <col min="10767" max="10775" width="8.28515625" style="1275" customWidth="1"/>
    <col min="10776" max="10776" width="8.140625" style="1275" customWidth="1"/>
    <col min="10777" max="10777" width="10.42578125" style="1275" customWidth="1"/>
    <col min="10778" max="10778" width="9.140625" style="1275"/>
    <col min="10779" max="10779" width="19.42578125" style="1275" customWidth="1"/>
    <col min="10780" max="10780" width="16.42578125" style="1275" bestFit="1" customWidth="1"/>
    <col min="10781" max="11008" width="9.140625" style="1275"/>
    <col min="11009" max="11009" width="7.42578125" style="1275" customWidth="1"/>
    <col min="11010" max="11010" width="11.140625" style="1275" customWidth="1"/>
    <col min="11011" max="11011" width="7" style="1275" bestFit="1" customWidth="1"/>
    <col min="11012" max="11012" width="7.5703125" style="1275" bestFit="1" customWidth="1"/>
    <col min="11013" max="11013" width="7.7109375" style="1275" bestFit="1" customWidth="1"/>
    <col min="11014" max="11014" width="9.42578125" style="1275" bestFit="1" customWidth="1"/>
    <col min="11015" max="11015" width="10" style="1275" bestFit="1" customWidth="1"/>
    <col min="11016" max="11016" width="8.28515625" style="1275" customWidth="1"/>
    <col min="11017" max="11017" width="7.140625" style="1275" customWidth="1"/>
    <col min="11018" max="11018" width="10.7109375" style="1275" customWidth="1"/>
    <col min="11019" max="11019" width="8.5703125" style="1275" customWidth="1"/>
    <col min="11020" max="11021" width="8.85546875" style="1275" bestFit="1" customWidth="1"/>
    <col min="11022" max="11022" width="9.42578125" style="1275" customWidth="1"/>
    <col min="11023" max="11031" width="8.28515625" style="1275" customWidth="1"/>
    <col min="11032" max="11032" width="8.140625" style="1275" customWidth="1"/>
    <col min="11033" max="11033" width="10.42578125" style="1275" customWidth="1"/>
    <col min="11034" max="11034" width="9.140625" style="1275"/>
    <col min="11035" max="11035" width="19.42578125" style="1275" customWidth="1"/>
    <col min="11036" max="11036" width="16.42578125" style="1275" bestFit="1" customWidth="1"/>
    <col min="11037" max="11264" width="9.140625" style="1275"/>
    <col min="11265" max="11265" width="7.42578125" style="1275" customWidth="1"/>
    <col min="11266" max="11266" width="11.140625" style="1275" customWidth="1"/>
    <col min="11267" max="11267" width="7" style="1275" bestFit="1" customWidth="1"/>
    <col min="11268" max="11268" width="7.5703125" style="1275" bestFit="1" customWidth="1"/>
    <col min="11269" max="11269" width="7.7109375" style="1275" bestFit="1" customWidth="1"/>
    <col min="11270" max="11270" width="9.42578125" style="1275" bestFit="1" customWidth="1"/>
    <col min="11271" max="11271" width="10" style="1275" bestFit="1" customWidth="1"/>
    <col min="11272" max="11272" width="8.28515625" style="1275" customWidth="1"/>
    <col min="11273" max="11273" width="7.140625" style="1275" customWidth="1"/>
    <col min="11274" max="11274" width="10.7109375" style="1275" customWidth="1"/>
    <col min="11275" max="11275" width="8.5703125" style="1275" customWidth="1"/>
    <col min="11276" max="11277" width="8.85546875" style="1275" bestFit="1" customWidth="1"/>
    <col min="11278" max="11278" width="9.42578125" style="1275" customWidth="1"/>
    <col min="11279" max="11287" width="8.28515625" style="1275" customWidth="1"/>
    <col min="11288" max="11288" width="8.140625" style="1275" customWidth="1"/>
    <col min="11289" max="11289" width="10.42578125" style="1275" customWidth="1"/>
    <col min="11290" max="11290" width="9.140625" style="1275"/>
    <col min="11291" max="11291" width="19.42578125" style="1275" customWidth="1"/>
    <col min="11292" max="11292" width="16.42578125" style="1275" bestFit="1" customWidth="1"/>
    <col min="11293" max="11520" width="9.140625" style="1275"/>
    <col min="11521" max="11521" width="7.42578125" style="1275" customWidth="1"/>
    <col min="11522" max="11522" width="11.140625" style="1275" customWidth="1"/>
    <col min="11523" max="11523" width="7" style="1275" bestFit="1" customWidth="1"/>
    <col min="11524" max="11524" width="7.5703125" style="1275" bestFit="1" customWidth="1"/>
    <col min="11525" max="11525" width="7.7109375" style="1275" bestFit="1" customWidth="1"/>
    <col min="11526" max="11526" width="9.42578125" style="1275" bestFit="1" customWidth="1"/>
    <col min="11527" max="11527" width="10" style="1275" bestFit="1" customWidth="1"/>
    <col min="11528" max="11528" width="8.28515625" style="1275" customWidth="1"/>
    <col min="11529" max="11529" width="7.140625" style="1275" customWidth="1"/>
    <col min="11530" max="11530" width="10.7109375" style="1275" customWidth="1"/>
    <col min="11531" max="11531" width="8.5703125" style="1275" customWidth="1"/>
    <col min="11532" max="11533" width="8.85546875" style="1275" bestFit="1" customWidth="1"/>
    <col min="11534" max="11534" width="9.42578125" style="1275" customWidth="1"/>
    <col min="11535" max="11543" width="8.28515625" style="1275" customWidth="1"/>
    <col min="11544" max="11544" width="8.140625" style="1275" customWidth="1"/>
    <col min="11545" max="11545" width="10.42578125" style="1275" customWidth="1"/>
    <col min="11546" max="11546" width="9.140625" style="1275"/>
    <col min="11547" max="11547" width="19.42578125" style="1275" customWidth="1"/>
    <col min="11548" max="11548" width="16.42578125" style="1275" bestFit="1" customWidth="1"/>
    <col min="11549" max="11776" width="9.140625" style="1275"/>
    <col min="11777" max="11777" width="7.42578125" style="1275" customWidth="1"/>
    <col min="11778" max="11778" width="11.140625" style="1275" customWidth="1"/>
    <col min="11779" max="11779" width="7" style="1275" bestFit="1" customWidth="1"/>
    <col min="11780" max="11780" width="7.5703125" style="1275" bestFit="1" customWidth="1"/>
    <col min="11781" max="11781" width="7.7109375" style="1275" bestFit="1" customWidth="1"/>
    <col min="11782" max="11782" width="9.42578125" style="1275" bestFit="1" customWidth="1"/>
    <col min="11783" max="11783" width="10" style="1275" bestFit="1" customWidth="1"/>
    <col min="11784" max="11784" width="8.28515625" style="1275" customWidth="1"/>
    <col min="11785" max="11785" width="7.140625" style="1275" customWidth="1"/>
    <col min="11786" max="11786" width="10.7109375" style="1275" customWidth="1"/>
    <col min="11787" max="11787" width="8.5703125" style="1275" customWidth="1"/>
    <col min="11788" max="11789" width="8.85546875" style="1275" bestFit="1" customWidth="1"/>
    <col min="11790" max="11790" width="9.42578125" style="1275" customWidth="1"/>
    <col min="11791" max="11799" width="8.28515625" style="1275" customWidth="1"/>
    <col min="11800" max="11800" width="8.140625" style="1275" customWidth="1"/>
    <col min="11801" max="11801" width="10.42578125" style="1275" customWidth="1"/>
    <col min="11802" max="11802" width="9.140625" style="1275"/>
    <col min="11803" max="11803" width="19.42578125" style="1275" customWidth="1"/>
    <col min="11804" max="11804" width="16.42578125" style="1275" bestFit="1" customWidth="1"/>
    <col min="11805" max="12032" width="9.140625" style="1275"/>
    <col min="12033" max="12033" width="7.42578125" style="1275" customWidth="1"/>
    <col min="12034" max="12034" width="11.140625" style="1275" customWidth="1"/>
    <col min="12035" max="12035" width="7" style="1275" bestFit="1" customWidth="1"/>
    <col min="12036" max="12036" width="7.5703125" style="1275" bestFit="1" customWidth="1"/>
    <col min="12037" max="12037" width="7.7109375" style="1275" bestFit="1" customWidth="1"/>
    <col min="12038" max="12038" width="9.42578125" style="1275" bestFit="1" customWidth="1"/>
    <col min="12039" max="12039" width="10" style="1275" bestFit="1" customWidth="1"/>
    <col min="12040" max="12040" width="8.28515625" style="1275" customWidth="1"/>
    <col min="12041" max="12041" width="7.140625" style="1275" customWidth="1"/>
    <col min="12042" max="12042" width="10.7109375" style="1275" customWidth="1"/>
    <col min="12043" max="12043" width="8.5703125" style="1275" customWidth="1"/>
    <col min="12044" max="12045" width="8.85546875" style="1275" bestFit="1" customWidth="1"/>
    <col min="12046" max="12046" width="9.42578125" style="1275" customWidth="1"/>
    <col min="12047" max="12055" width="8.28515625" style="1275" customWidth="1"/>
    <col min="12056" max="12056" width="8.140625" style="1275" customWidth="1"/>
    <col min="12057" max="12057" width="10.42578125" style="1275" customWidth="1"/>
    <col min="12058" max="12058" width="9.140625" style="1275"/>
    <col min="12059" max="12059" width="19.42578125" style="1275" customWidth="1"/>
    <col min="12060" max="12060" width="16.42578125" style="1275" bestFit="1" customWidth="1"/>
    <col min="12061" max="12288" width="9.140625" style="1275"/>
    <col min="12289" max="12289" width="7.42578125" style="1275" customWidth="1"/>
    <col min="12290" max="12290" width="11.140625" style="1275" customWidth="1"/>
    <col min="12291" max="12291" width="7" style="1275" bestFit="1" customWidth="1"/>
    <col min="12292" max="12292" width="7.5703125" style="1275" bestFit="1" customWidth="1"/>
    <col min="12293" max="12293" width="7.7109375" style="1275" bestFit="1" customWidth="1"/>
    <col min="12294" max="12294" width="9.42578125" style="1275" bestFit="1" customWidth="1"/>
    <col min="12295" max="12295" width="10" style="1275" bestFit="1" customWidth="1"/>
    <col min="12296" max="12296" width="8.28515625" style="1275" customWidth="1"/>
    <col min="12297" max="12297" width="7.140625" style="1275" customWidth="1"/>
    <col min="12298" max="12298" width="10.7109375" style="1275" customWidth="1"/>
    <col min="12299" max="12299" width="8.5703125" style="1275" customWidth="1"/>
    <col min="12300" max="12301" width="8.85546875" style="1275" bestFit="1" customWidth="1"/>
    <col min="12302" max="12302" width="9.42578125" style="1275" customWidth="1"/>
    <col min="12303" max="12311" width="8.28515625" style="1275" customWidth="1"/>
    <col min="12312" max="12312" width="8.140625" style="1275" customWidth="1"/>
    <col min="12313" max="12313" width="10.42578125" style="1275" customWidth="1"/>
    <col min="12314" max="12314" width="9.140625" style="1275"/>
    <col min="12315" max="12315" width="19.42578125" style="1275" customWidth="1"/>
    <col min="12316" max="12316" width="16.42578125" style="1275" bestFit="1" customWidth="1"/>
    <col min="12317" max="12544" width="9.140625" style="1275"/>
    <col min="12545" max="12545" width="7.42578125" style="1275" customWidth="1"/>
    <col min="12546" max="12546" width="11.140625" style="1275" customWidth="1"/>
    <col min="12547" max="12547" width="7" style="1275" bestFit="1" customWidth="1"/>
    <col min="12548" max="12548" width="7.5703125" style="1275" bestFit="1" customWidth="1"/>
    <col min="12549" max="12549" width="7.7109375" style="1275" bestFit="1" customWidth="1"/>
    <col min="12550" max="12550" width="9.42578125" style="1275" bestFit="1" customWidth="1"/>
    <col min="12551" max="12551" width="10" style="1275" bestFit="1" customWidth="1"/>
    <col min="12552" max="12552" width="8.28515625" style="1275" customWidth="1"/>
    <col min="12553" max="12553" width="7.140625" style="1275" customWidth="1"/>
    <col min="12554" max="12554" width="10.7109375" style="1275" customWidth="1"/>
    <col min="12555" max="12555" width="8.5703125" style="1275" customWidth="1"/>
    <col min="12556" max="12557" width="8.85546875" style="1275" bestFit="1" customWidth="1"/>
    <col min="12558" max="12558" width="9.42578125" style="1275" customWidth="1"/>
    <col min="12559" max="12567" width="8.28515625" style="1275" customWidth="1"/>
    <col min="12568" max="12568" width="8.140625" style="1275" customWidth="1"/>
    <col min="12569" max="12569" width="10.42578125" style="1275" customWidth="1"/>
    <col min="12570" max="12570" width="9.140625" style="1275"/>
    <col min="12571" max="12571" width="19.42578125" style="1275" customWidth="1"/>
    <col min="12572" max="12572" width="16.42578125" style="1275" bestFit="1" customWidth="1"/>
    <col min="12573" max="12800" width="9.140625" style="1275"/>
    <col min="12801" max="12801" width="7.42578125" style="1275" customWidth="1"/>
    <col min="12802" max="12802" width="11.140625" style="1275" customWidth="1"/>
    <col min="12803" max="12803" width="7" style="1275" bestFit="1" customWidth="1"/>
    <col min="12804" max="12804" width="7.5703125" style="1275" bestFit="1" customWidth="1"/>
    <col min="12805" max="12805" width="7.7109375" style="1275" bestFit="1" customWidth="1"/>
    <col min="12806" max="12806" width="9.42578125" style="1275" bestFit="1" customWidth="1"/>
    <col min="12807" max="12807" width="10" style="1275" bestFit="1" customWidth="1"/>
    <col min="12808" max="12808" width="8.28515625" style="1275" customWidth="1"/>
    <col min="12809" max="12809" width="7.140625" style="1275" customWidth="1"/>
    <col min="12810" max="12810" width="10.7109375" style="1275" customWidth="1"/>
    <col min="12811" max="12811" width="8.5703125" style="1275" customWidth="1"/>
    <col min="12812" max="12813" width="8.85546875" style="1275" bestFit="1" customWidth="1"/>
    <col min="12814" max="12814" width="9.42578125" style="1275" customWidth="1"/>
    <col min="12815" max="12823" width="8.28515625" style="1275" customWidth="1"/>
    <col min="12824" max="12824" width="8.140625" style="1275" customWidth="1"/>
    <col min="12825" max="12825" width="10.42578125" style="1275" customWidth="1"/>
    <col min="12826" max="12826" width="9.140625" style="1275"/>
    <col min="12827" max="12827" width="19.42578125" style="1275" customWidth="1"/>
    <col min="12828" max="12828" width="16.42578125" style="1275" bestFit="1" customWidth="1"/>
    <col min="12829" max="13056" width="9.140625" style="1275"/>
    <col min="13057" max="13057" width="7.42578125" style="1275" customWidth="1"/>
    <col min="13058" max="13058" width="11.140625" style="1275" customWidth="1"/>
    <col min="13059" max="13059" width="7" style="1275" bestFit="1" customWidth="1"/>
    <col min="13060" max="13060" width="7.5703125" style="1275" bestFit="1" customWidth="1"/>
    <col min="13061" max="13061" width="7.7109375" style="1275" bestFit="1" customWidth="1"/>
    <col min="13062" max="13062" width="9.42578125" style="1275" bestFit="1" customWidth="1"/>
    <col min="13063" max="13063" width="10" style="1275" bestFit="1" customWidth="1"/>
    <col min="13064" max="13064" width="8.28515625" style="1275" customWidth="1"/>
    <col min="13065" max="13065" width="7.140625" style="1275" customWidth="1"/>
    <col min="13066" max="13066" width="10.7109375" style="1275" customWidth="1"/>
    <col min="13067" max="13067" width="8.5703125" style="1275" customWidth="1"/>
    <col min="13068" max="13069" width="8.85546875" style="1275" bestFit="1" customWidth="1"/>
    <col min="13070" max="13070" width="9.42578125" style="1275" customWidth="1"/>
    <col min="13071" max="13079" width="8.28515625" style="1275" customWidth="1"/>
    <col min="13080" max="13080" width="8.140625" style="1275" customWidth="1"/>
    <col min="13081" max="13081" width="10.42578125" style="1275" customWidth="1"/>
    <col min="13082" max="13082" width="9.140625" style="1275"/>
    <col min="13083" max="13083" width="19.42578125" style="1275" customWidth="1"/>
    <col min="13084" max="13084" width="16.42578125" style="1275" bestFit="1" customWidth="1"/>
    <col min="13085" max="13312" width="9.140625" style="1275"/>
    <col min="13313" max="13313" width="7.42578125" style="1275" customWidth="1"/>
    <col min="13314" max="13314" width="11.140625" style="1275" customWidth="1"/>
    <col min="13315" max="13315" width="7" style="1275" bestFit="1" customWidth="1"/>
    <col min="13316" max="13316" width="7.5703125" style="1275" bestFit="1" customWidth="1"/>
    <col min="13317" max="13317" width="7.7109375" style="1275" bestFit="1" customWidth="1"/>
    <col min="13318" max="13318" width="9.42578125" style="1275" bestFit="1" customWidth="1"/>
    <col min="13319" max="13319" width="10" style="1275" bestFit="1" customWidth="1"/>
    <col min="13320" max="13320" width="8.28515625" style="1275" customWidth="1"/>
    <col min="13321" max="13321" width="7.140625" style="1275" customWidth="1"/>
    <col min="13322" max="13322" width="10.7109375" style="1275" customWidth="1"/>
    <col min="13323" max="13323" width="8.5703125" style="1275" customWidth="1"/>
    <col min="13324" max="13325" width="8.85546875" style="1275" bestFit="1" customWidth="1"/>
    <col min="13326" max="13326" width="9.42578125" style="1275" customWidth="1"/>
    <col min="13327" max="13335" width="8.28515625" style="1275" customWidth="1"/>
    <col min="13336" max="13336" width="8.140625" style="1275" customWidth="1"/>
    <col min="13337" max="13337" width="10.42578125" style="1275" customWidth="1"/>
    <col min="13338" max="13338" width="9.140625" style="1275"/>
    <col min="13339" max="13339" width="19.42578125" style="1275" customWidth="1"/>
    <col min="13340" max="13340" width="16.42578125" style="1275" bestFit="1" customWidth="1"/>
    <col min="13341" max="13568" width="9.140625" style="1275"/>
    <col min="13569" max="13569" width="7.42578125" style="1275" customWidth="1"/>
    <col min="13570" max="13570" width="11.140625" style="1275" customWidth="1"/>
    <col min="13571" max="13571" width="7" style="1275" bestFit="1" customWidth="1"/>
    <col min="13572" max="13572" width="7.5703125" style="1275" bestFit="1" customWidth="1"/>
    <col min="13573" max="13573" width="7.7109375" style="1275" bestFit="1" customWidth="1"/>
    <col min="13574" max="13574" width="9.42578125" style="1275" bestFit="1" customWidth="1"/>
    <col min="13575" max="13575" width="10" style="1275" bestFit="1" customWidth="1"/>
    <col min="13576" max="13576" width="8.28515625" style="1275" customWidth="1"/>
    <col min="13577" max="13577" width="7.140625" style="1275" customWidth="1"/>
    <col min="13578" max="13578" width="10.7109375" style="1275" customWidth="1"/>
    <col min="13579" max="13579" width="8.5703125" style="1275" customWidth="1"/>
    <col min="13580" max="13581" width="8.85546875" style="1275" bestFit="1" customWidth="1"/>
    <col min="13582" max="13582" width="9.42578125" style="1275" customWidth="1"/>
    <col min="13583" max="13591" width="8.28515625" style="1275" customWidth="1"/>
    <col min="13592" max="13592" width="8.140625" style="1275" customWidth="1"/>
    <col min="13593" max="13593" width="10.42578125" style="1275" customWidth="1"/>
    <col min="13594" max="13594" width="9.140625" style="1275"/>
    <col min="13595" max="13595" width="19.42578125" style="1275" customWidth="1"/>
    <col min="13596" max="13596" width="16.42578125" style="1275" bestFit="1" customWidth="1"/>
    <col min="13597" max="13824" width="9.140625" style="1275"/>
    <col min="13825" max="13825" width="7.42578125" style="1275" customWidth="1"/>
    <col min="13826" max="13826" width="11.140625" style="1275" customWidth="1"/>
    <col min="13827" max="13827" width="7" style="1275" bestFit="1" customWidth="1"/>
    <col min="13828" max="13828" width="7.5703125" style="1275" bestFit="1" customWidth="1"/>
    <col min="13829" max="13829" width="7.7109375" style="1275" bestFit="1" customWidth="1"/>
    <col min="13830" max="13830" width="9.42578125" style="1275" bestFit="1" customWidth="1"/>
    <col min="13831" max="13831" width="10" style="1275" bestFit="1" customWidth="1"/>
    <col min="13832" max="13832" width="8.28515625" style="1275" customWidth="1"/>
    <col min="13833" max="13833" width="7.140625" style="1275" customWidth="1"/>
    <col min="13834" max="13834" width="10.7109375" style="1275" customWidth="1"/>
    <col min="13835" max="13835" width="8.5703125" style="1275" customWidth="1"/>
    <col min="13836" max="13837" width="8.85546875" style="1275" bestFit="1" customWidth="1"/>
    <col min="13838" max="13838" width="9.42578125" style="1275" customWidth="1"/>
    <col min="13839" max="13847" width="8.28515625" style="1275" customWidth="1"/>
    <col min="13848" max="13848" width="8.140625" style="1275" customWidth="1"/>
    <col min="13849" max="13849" width="10.42578125" style="1275" customWidth="1"/>
    <col min="13850" max="13850" width="9.140625" style="1275"/>
    <col min="13851" max="13851" width="19.42578125" style="1275" customWidth="1"/>
    <col min="13852" max="13852" width="16.42578125" style="1275" bestFit="1" customWidth="1"/>
    <col min="13853" max="14080" width="9.140625" style="1275"/>
    <col min="14081" max="14081" width="7.42578125" style="1275" customWidth="1"/>
    <col min="14082" max="14082" width="11.140625" style="1275" customWidth="1"/>
    <col min="14083" max="14083" width="7" style="1275" bestFit="1" customWidth="1"/>
    <col min="14084" max="14084" width="7.5703125" style="1275" bestFit="1" customWidth="1"/>
    <col min="14085" max="14085" width="7.7109375" style="1275" bestFit="1" customWidth="1"/>
    <col min="14086" max="14086" width="9.42578125" style="1275" bestFit="1" customWidth="1"/>
    <col min="14087" max="14087" width="10" style="1275" bestFit="1" customWidth="1"/>
    <col min="14088" max="14088" width="8.28515625" style="1275" customWidth="1"/>
    <col min="14089" max="14089" width="7.140625" style="1275" customWidth="1"/>
    <col min="14090" max="14090" width="10.7109375" style="1275" customWidth="1"/>
    <col min="14091" max="14091" width="8.5703125" style="1275" customWidth="1"/>
    <col min="14092" max="14093" width="8.85546875" style="1275" bestFit="1" customWidth="1"/>
    <col min="14094" max="14094" width="9.42578125" style="1275" customWidth="1"/>
    <col min="14095" max="14103" width="8.28515625" style="1275" customWidth="1"/>
    <col min="14104" max="14104" width="8.140625" style="1275" customWidth="1"/>
    <col min="14105" max="14105" width="10.42578125" style="1275" customWidth="1"/>
    <col min="14106" max="14106" width="9.140625" style="1275"/>
    <col min="14107" max="14107" width="19.42578125" style="1275" customWidth="1"/>
    <col min="14108" max="14108" width="16.42578125" style="1275" bestFit="1" customWidth="1"/>
    <col min="14109" max="14336" width="9.140625" style="1275"/>
    <col min="14337" max="14337" width="7.42578125" style="1275" customWidth="1"/>
    <col min="14338" max="14338" width="11.140625" style="1275" customWidth="1"/>
    <col min="14339" max="14339" width="7" style="1275" bestFit="1" customWidth="1"/>
    <col min="14340" max="14340" width="7.5703125" style="1275" bestFit="1" customWidth="1"/>
    <col min="14341" max="14341" width="7.7109375" style="1275" bestFit="1" customWidth="1"/>
    <col min="14342" max="14342" width="9.42578125" style="1275" bestFit="1" customWidth="1"/>
    <col min="14343" max="14343" width="10" style="1275" bestFit="1" customWidth="1"/>
    <col min="14344" max="14344" width="8.28515625" style="1275" customWidth="1"/>
    <col min="14345" max="14345" width="7.140625" style="1275" customWidth="1"/>
    <col min="14346" max="14346" width="10.7109375" style="1275" customWidth="1"/>
    <col min="14347" max="14347" width="8.5703125" style="1275" customWidth="1"/>
    <col min="14348" max="14349" width="8.85546875" style="1275" bestFit="1" customWidth="1"/>
    <col min="14350" max="14350" width="9.42578125" style="1275" customWidth="1"/>
    <col min="14351" max="14359" width="8.28515625" style="1275" customWidth="1"/>
    <col min="14360" max="14360" width="8.140625" style="1275" customWidth="1"/>
    <col min="14361" max="14361" width="10.42578125" style="1275" customWidth="1"/>
    <col min="14362" max="14362" width="9.140625" style="1275"/>
    <col min="14363" max="14363" width="19.42578125" style="1275" customWidth="1"/>
    <col min="14364" max="14364" width="16.42578125" style="1275" bestFit="1" customWidth="1"/>
    <col min="14365" max="14592" width="9.140625" style="1275"/>
    <col min="14593" max="14593" width="7.42578125" style="1275" customWidth="1"/>
    <col min="14594" max="14594" width="11.140625" style="1275" customWidth="1"/>
    <col min="14595" max="14595" width="7" style="1275" bestFit="1" customWidth="1"/>
    <col min="14596" max="14596" width="7.5703125" style="1275" bestFit="1" customWidth="1"/>
    <col min="14597" max="14597" width="7.7109375" style="1275" bestFit="1" customWidth="1"/>
    <col min="14598" max="14598" width="9.42578125" style="1275" bestFit="1" customWidth="1"/>
    <col min="14599" max="14599" width="10" style="1275" bestFit="1" customWidth="1"/>
    <col min="14600" max="14600" width="8.28515625" style="1275" customWidth="1"/>
    <col min="14601" max="14601" width="7.140625" style="1275" customWidth="1"/>
    <col min="14602" max="14602" width="10.7109375" style="1275" customWidth="1"/>
    <col min="14603" max="14603" width="8.5703125" style="1275" customWidth="1"/>
    <col min="14604" max="14605" width="8.85546875" style="1275" bestFit="1" customWidth="1"/>
    <col min="14606" max="14606" width="9.42578125" style="1275" customWidth="1"/>
    <col min="14607" max="14615" width="8.28515625" style="1275" customWidth="1"/>
    <col min="14616" max="14616" width="8.140625" style="1275" customWidth="1"/>
    <col min="14617" max="14617" width="10.42578125" style="1275" customWidth="1"/>
    <col min="14618" max="14618" width="9.140625" style="1275"/>
    <col min="14619" max="14619" width="19.42578125" style="1275" customWidth="1"/>
    <col min="14620" max="14620" width="16.42578125" style="1275" bestFit="1" customWidth="1"/>
    <col min="14621" max="14848" width="9.140625" style="1275"/>
    <col min="14849" max="14849" width="7.42578125" style="1275" customWidth="1"/>
    <col min="14850" max="14850" width="11.140625" style="1275" customWidth="1"/>
    <col min="14851" max="14851" width="7" style="1275" bestFit="1" customWidth="1"/>
    <col min="14852" max="14852" width="7.5703125" style="1275" bestFit="1" customWidth="1"/>
    <col min="14853" max="14853" width="7.7109375" style="1275" bestFit="1" customWidth="1"/>
    <col min="14854" max="14854" width="9.42578125" style="1275" bestFit="1" customWidth="1"/>
    <col min="14855" max="14855" width="10" style="1275" bestFit="1" customWidth="1"/>
    <col min="14856" max="14856" width="8.28515625" style="1275" customWidth="1"/>
    <col min="14857" max="14857" width="7.140625" style="1275" customWidth="1"/>
    <col min="14858" max="14858" width="10.7109375" style="1275" customWidth="1"/>
    <col min="14859" max="14859" width="8.5703125" style="1275" customWidth="1"/>
    <col min="14860" max="14861" width="8.85546875" style="1275" bestFit="1" customWidth="1"/>
    <col min="14862" max="14862" width="9.42578125" style="1275" customWidth="1"/>
    <col min="14863" max="14871" width="8.28515625" style="1275" customWidth="1"/>
    <col min="14872" max="14872" width="8.140625" style="1275" customWidth="1"/>
    <col min="14873" max="14873" width="10.42578125" style="1275" customWidth="1"/>
    <col min="14874" max="14874" width="9.140625" style="1275"/>
    <col min="14875" max="14875" width="19.42578125" style="1275" customWidth="1"/>
    <col min="14876" max="14876" width="16.42578125" style="1275" bestFit="1" customWidth="1"/>
    <col min="14877" max="15104" width="9.140625" style="1275"/>
    <col min="15105" max="15105" width="7.42578125" style="1275" customWidth="1"/>
    <col min="15106" max="15106" width="11.140625" style="1275" customWidth="1"/>
    <col min="15107" max="15107" width="7" style="1275" bestFit="1" customWidth="1"/>
    <col min="15108" max="15108" width="7.5703125" style="1275" bestFit="1" customWidth="1"/>
    <col min="15109" max="15109" width="7.7109375" style="1275" bestFit="1" customWidth="1"/>
    <col min="15110" max="15110" width="9.42578125" style="1275" bestFit="1" customWidth="1"/>
    <col min="15111" max="15111" width="10" style="1275" bestFit="1" customWidth="1"/>
    <col min="15112" max="15112" width="8.28515625" style="1275" customWidth="1"/>
    <col min="15113" max="15113" width="7.140625" style="1275" customWidth="1"/>
    <col min="15114" max="15114" width="10.7109375" style="1275" customWidth="1"/>
    <col min="15115" max="15115" width="8.5703125" style="1275" customWidth="1"/>
    <col min="15116" max="15117" width="8.85546875" style="1275" bestFit="1" customWidth="1"/>
    <col min="15118" max="15118" width="9.42578125" style="1275" customWidth="1"/>
    <col min="15119" max="15127" width="8.28515625" style="1275" customWidth="1"/>
    <col min="15128" max="15128" width="8.140625" style="1275" customWidth="1"/>
    <col min="15129" max="15129" width="10.42578125" style="1275" customWidth="1"/>
    <col min="15130" max="15130" width="9.140625" style="1275"/>
    <col min="15131" max="15131" width="19.42578125" style="1275" customWidth="1"/>
    <col min="15132" max="15132" width="16.42578125" style="1275" bestFit="1" customWidth="1"/>
    <col min="15133" max="15360" width="9.140625" style="1275"/>
    <col min="15361" max="15361" width="7.42578125" style="1275" customWidth="1"/>
    <col min="15362" max="15362" width="11.140625" style="1275" customWidth="1"/>
    <col min="15363" max="15363" width="7" style="1275" bestFit="1" customWidth="1"/>
    <col min="15364" max="15364" width="7.5703125" style="1275" bestFit="1" customWidth="1"/>
    <col min="15365" max="15365" width="7.7109375" style="1275" bestFit="1" customWidth="1"/>
    <col min="15366" max="15366" width="9.42578125" style="1275" bestFit="1" customWidth="1"/>
    <col min="15367" max="15367" width="10" style="1275" bestFit="1" customWidth="1"/>
    <col min="15368" max="15368" width="8.28515625" style="1275" customWidth="1"/>
    <col min="15369" max="15369" width="7.140625" style="1275" customWidth="1"/>
    <col min="15370" max="15370" width="10.7109375" style="1275" customWidth="1"/>
    <col min="15371" max="15371" width="8.5703125" style="1275" customWidth="1"/>
    <col min="15372" max="15373" width="8.85546875" style="1275" bestFit="1" customWidth="1"/>
    <col min="15374" max="15374" width="9.42578125" style="1275" customWidth="1"/>
    <col min="15375" max="15383" width="8.28515625" style="1275" customWidth="1"/>
    <col min="15384" max="15384" width="8.140625" style="1275" customWidth="1"/>
    <col min="15385" max="15385" width="10.42578125" style="1275" customWidth="1"/>
    <col min="15386" max="15386" width="9.140625" style="1275"/>
    <col min="15387" max="15387" width="19.42578125" style="1275" customWidth="1"/>
    <col min="15388" max="15388" width="16.42578125" style="1275" bestFit="1" customWidth="1"/>
    <col min="15389" max="15616" width="9.140625" style="1275"/>
    <col min="15617" max="15617" width="7.42578125" style="1275" customWidth="1"/>
    <col min="15618" max="15618" width="11.140625" style="1275" customWidth="1"/>
    <col min="15619" max="15619" width="7" style="1275" bestFit="1" customWidth="1"/>
    <col min="15620" max="15620" width="7.5703125" style="1275" bestFit="1" customWidth="1"/>
    <col min="15621" max="15621" width="7.7109375" style="1275" bestFit="1" customWidth="1"/>
    <col min="15622" max="15622" width="9.42578125" style="1275" bestFit="1" customWidth="1"/>
    <col min="15623" max="15623" width="10" style="1275" bestFit="1" customWidth="1"/>
    <col min="15624" max="15624" width="8.28515625" style="1275" customWidth="1"/>
    <col min="15625" max="15625" width="7.140625" style="1275" customWidth="1"/>
    <col min="15626" max="15626" width="10.7109375" style="1275" customWidth="1"/>
    <col min="15627" max="15627" width="8.5703125" style="1275" customWidth="1"/>
    <col min="15628" max="15629" width="8.85546875" style="1275" bestFit="1" customWidth="1"/>
    <col min="15630" max="15630" width="9.42578125" style="1275" customWidth="1"/>
    <col min="15631" max="15639" width="8.28515625" style="1275" customWidth="1"/>
    <col min="15640" max="15640" width="8.140625" style="1275" customWidth="1"/>
    <col min="15641" max="15641" width="10.42578125" style="1275" customWidth="1"/>
    <col min="15642" max="15642" width="9.140625" style="1275"/>
    <col min="15643" max="15643" width="19.42578125" style="1275" customWidth="1"/>
    <col min="15644" max="15644" width="16.42578125" style="1275" bestFit="1" customWidth="1"/>
    <col min="15645" max="15872" width="9.140625" style="1275"/>
    <col min="15873" max="15873" width="7.42578125" style="1275" customWidth="1"/>
    <col min="15874" max="15874" width="11.140625" style="1275" customWidth="1"/>
    <col min="15875" max="15875" width="7" style="1275" bestFit="1" customWidth="1"/>
    <col min="15876" max="15876" width="7.5703125" style="1275" bestFit="1" customWidth="1"/>
    <col min="15877" max="15877" width="7.7109375" style="1275" bestFit="1" customWidth="1"/>
    <col min="15878" max="15878" width="9.42578125" style="1275" bestFit="1" customWidth="1"/>
    <col min="15879" max="15879" width="10" style="1275" bestFit="1" customWidth="1"/>
    <col min="15880" max="15880" width="8.28515625" style="1275" customWidth="1"/>
    <col min="15881" max="15881" width="7.140625" style="1275" customWidth="1"/>
    <col min="15882" max="15882" width="10.7109375" style="1275" customWidth="1"/>
    <col min="15883" max="15883" width="8.5703125" style="1275" customWidth="1"/>
    <col min="15884" max="15885" width="8.85546875" style="1275" bestFit="1" customWidth="1"/>
    <col min="15886" max="15886" width="9.42578125" style="1275" customWidth="1"/>
    <col min="15887" max="15895" width="8.28515625" style="1275" customWidth="1"/>
    <col min="15896" max="15896" width="8.140625" style="1275" customWidth="1"/>
    <col min="15897" max="15897" width="10.42578125" style="1275" customWidth="1"/>
    <col min="15898" max="15898" width="9.140625" style="1275"/>
    <col min="15899" max="15899" width="19.42578125" style="1275" customWidth="1"/>
    <col min="15900" max="15900" width="16.42578125" style="1275" bestFit="1" customWidth="1"/>
    <col min="15901" max="16128" width="9.140625" style="1275"/>
    <col min="16129" max="16129" width="7.42578125" style="1275" customWidth="1"/>
    <col min="16130" max="16130" width="11.140625" style="1275" customWidth="1"/>
    <col min="16131" max="16131" width="7" style="1275" bestFit="1" customWidth="1"/>
    <col min="16132" max="16132" width="7.5703125" style="1275" bestFit="1" customWidth="1"/>
    <col min="16133" max="16133" width="7.7109375" style="1275" bestFit="1" customWidth="1"/>
    <col min="16134" max="16134" width="9.42578125" style="1275" bestFit="1" customWidth="1"/>
    <col min="16135" max="16135" width="10" style="1275" bestFit="1" customWidth="1"/>
    <col min="16136" max="16136" width="8.28515625" style="1275" customWidth="1"/>
    <col min="16137" max="16137" width="7.140625" style="1275" customWidth="1"/>
    <col min="16138" max="16138" width="10.7109375" style="1275" customWidth="1"/>
    <col min="16139" max="16139" width="8.5703125" style="1275" customWidth="1"/>
    <col min="16140" max="16141" width="8.85546875" style="1275" bestFit="1" customWidth="1"/>
    <col min="16142" max="16142" width="9.42578125" style="1275" customWidth="1"/>
    <col min="16143" max="16151" width="8.28515625" style="1275" customWidth="1"/>
    <col min="16152" max="16152" width="8.140625" style="1275" customWidth="1"/>
    <col min="16153" max="16153" width="10.42578125" style="1275" customWidth="1"/>
    <col min="16154" max="16154" width="9.140625" style="1275"/>
    <col min="16155" max="16155" width="19.42578125" style="1275" customWidth="1"/>
    <col min="16156" max="16156" width="16.42578125" style="1275" bestFit="1" customWidth="1"/>
    <col min="16157" max="16384" width="9.140625" style="1275"/>
  </cols>
  <sheetData>
    <row r="1" spans="1:29" ht="20.25" x14ac:dyDescent="0.25">
      <c r="A1" s="3307" t="s">
        <v>957</v>
      </c>
      <c r="B1" s="3307"/>
      <c r="C1" s="3307"/>
      <c r="D1" s="3307"/>
      <c r="E1" s="3307"/>
      <c r="F1" s="3307"/>
      <c r="G1" s="3307"/>
      <c r="H1" s="3307"/>
      <c r="I1" s="3307"/>
      <c r="J1" s="1269"/>
      <c r="K1" s="1269"/>
      <c r="L1" s="1270"/>
      <c r="M1" s="1270"/>
      <c r="N1" s="1270"/>
      <c r="O1" s="1270"/>
      <c r="P1" s="1270"/>
      <c r="Q1" s="1270"/>
      <c r="R1" s="1270"/>
      <c r="S1" s="1271"/>
      <c r="T1" s="1270"/>
      <c r="U1" s="1270"/>
      <c r="V1" s="1270"/>
      <c r="W1" s="1270"/>
      <c r="X1" s="1269"/>
      <c r="Y1" s="1272"/>
      <c r="Z1" s="1273"/>
      <c r="AA1" s="1274"/>
    </row>
    <row r="2" spans="1:29" ht="16.5" customHeight="1" thickBot="1" x14ac:dyDescent="0.4">
      <c r="A2" s="1269"/>
      <c r="B2" s="1270"/>
      <c r="C2" s="1270"/>
      <c r="D2" s="1276"/>
      <c r="E2" s="1270"/>
      <c r="F2" s="1270"/>
      <c r="G2" s="1270"/>
      <c r="H2" s="1269"/>
      <c r="I2" s="1269"/>
      <c r="J2" s="1269"/>
      <c r="K2" s="1269"/>
      <c r="L2" s="1270"/>
      <c r="M2" s="1270"/>
      <c r="N2" s="1270"/>
      <c r="O2" s="1270"/>
      <c r="P2" s="1270"/>
      <c r="Q2" s="1270"/>
      <c r="R2" s="1270"/>
      <c r="S2" s="1271"/>
      <c r="T2" s="1270"/>
      <c r="U2" s="1270"/>
      <c r="V2" s="1270"/>
      <c r="W2" s="1270"/>
      <c r="X2" s="1269"/>
      <c r="Y2" s="1277" t="s">
        <v>281</v>
      </c>
      <c r="Z2" s="1273"/>
      <c r="AA2" s="1274"/>
    </row>
    <row r="3" spans="1:29" ht="30.75" customHeight="1" thickTop="1" thickBot="1" x14ac:dyDescent="0.3">
      <c r="A3" s="3312" t="s">
        <v>958</v>
      </c>
      <c r="B3" s="3314" t="s">
        <v>959</v>
      </c>
      <c r="C3" s="3314"/>
      <c r="D3" s="3314"/>
      <c r="E3" s="3314"/>
      <c r="F3" s="3314"/>
      <c r="G3" s="3314"/>
      <c r="H3" s="3314"/>
      <c r="I3" s="3314"/>
      <c r="J3" s="1278"/>
      <c r="K3" s="3315" t="s">
        <v>960</v>
      </c>
      <c r="L3" s="3315"/>
      <c r="M3" s="3315"/>
      <c r="N3" s="3315"/>
      <c r="O3" s="3315"/>
      <c r="P3" s="3315"/>
      <c r="Q3" s="3315"/>
      <c r="R3" s="3315"/>
      <c r="S3" s="3315"/>
      <c r="T3" s="3315"/>
      <c r="U3" s="3315"/>
      <c r="V3" s="3315"/>
      <c r="W3" s="3315"/>
      <c r="X3" s="1278"/>
      <c r="Y3" s="1279" t="s">
        <v>387</v>
      </c>
      <c r="Z3" s="1280"/>
    </row>
    <row r="4" spans="1:29" x14ac:dyDescent="0.25">
      <c r="A4" s="3313"/>
      <c r="B4" s="1281" t="s">
        <v>961</v>
      </c>
      <c r="C4" s="1282"/>
      <c r="D4" s="1282"/>
      <c r="E4" s="1283"/>
      <c r="F4" s="1282"/>
      <c r="G4" s="1282"/>
      <c r="H4" s="1282"/>
      <c r="I4" s="1282"/>
      <c r="J4" s="1284"/>
      <c r="K4" s="3316" t="s">
        <v>962</v>
      </c>
      <c r="L4" s="1282" t="s">
        <v>963</v>
      </c>
      <c r="M4" s="1282"/>
      <c r="N4" s="1282"/>
      <c r="O4" s="1282"/>
      <c r="P4" s="1282"/>
      <c r="Q4" s="1282"/>
      <c r="R4" s="1282"/>
      <c r="S4" s="1282"/>
      <c r="T4" s="1282"/>
      <c r="U4" s="1282"/>
      <c r="V4" s="1282"/>
      <c r="W4" s="1282"/>
      <c r="X4" s="1284"/>
      <c r="Y4" s="1285" t="s">
        <v>964</v>
      </c>
      <c r="Z4" s="1280"/>
    </row>
    <row r="5" spans="1:29" x14ac:dyDescent="0.25">
      <c r="A5" s="3313"/>
      <c r="B5" s="1286" t="s">
        <v>965</v>
      </c>
      <c r="C5" s="1287" t="s">
        <v>966</v>
      </c>
      <c r="D5" s="1287" t="s">
        <v>967</v>
      </c>
      <c r="E5" s="1288" t="s">
        <v>968</v>
      </c>
      <c r="F5" s="1287" t="s">
        <v>969</v>
      </c>
      <c r="G5" s="1287" t="s">
        <v>970</v>
      </c>
      <c r="H5" s="1287" t="s">
        <v>971</v>
      </c>
      <c r="I5" s="1287" t="s">
        <v>972</v>
      </c>
      <c r="J5" s="1289" t="s">
        <v>176</v>
      </c>
      <c r="K5" s="3313"/>
      <c r="L5" s="1287" t="s">
        <v>973</v>
      </c>
      <c r="M5" s="1287" t="s">
        <v>974</v>
      </c>
      <c r="N5" s="1287" t="s">
        <v>975</v>
      </c>
      <c r="O5" s="1287" t="s">
        <v>976</v>
      </c>
      <c r="P5" s="1287" t="s">
        <v>977</v>
      </c>
      <c r="Q5" s="1287" t="s">
        <v>978</v>
      </c>
      <c r="R5" s="1287" t="s">
        <v>979</v>
      </c>
      <c r="S5" s="1287" t="s">
        <v>980</v>
      </c>
      <c r="T5" s="1287" t="s">
        <v>981</v>
      </c>
      <c r="U5" s="1287" t="s">
        <v>982</v>
      </c>
      <c r="V5" s="1287" t="s">
        <v>983</v>
      </c>
      <c r="W5" s="1287" t="s">
        <v>984</v>
      </c>
      <c r="X5" s="1289" t="s">
        <v>176</v>
      </c>
      <c r="Y5" s="1285" t="s">
        <v>985</v>
      </c>
      <c r="Z5" s="1280"/>
    </row>
    <row r="6" spans="1:29" ht="17.25" thickBot="1" x14ac:dyDescent="0.3">
      <c r="A6" s="1290"/>
      <c r="B6" s="1291" t="s">
        <v>986</v>
      </c>
      <c r="C6" s="1292"/>
      <c r="D6" s="1292"/>
      <c r="E6" s="1293"/>
      <c r="F6" s="1292"/>
      <c r="G6" s="1292"/>
      <c r="H6" s="1292"/>
      <c r="I6" s="1292"/>
      <c r="J6" s="1294"/>
      <c r="K6" s="1295" t="s">
        <v>987</v>
      </c>
      <c r="L6" s="1292" t="s">
        <v>987</v>
      </c>
      <c r="M6" s="1292"/>
      <c r="N6" s="1292"/>
      <c r="O6" s="1292"/>
      <c r="P6" s="1292"/>
      <c r="Q6" s="1292"/>
      <c r="R6" s="1292"/>
      <c r="S6" s="1292"/>
      <c r="T6" s="1292" t="s">
        <v>988</v>
      </c>
      <c r="U6" s="1292"/>
      <c r="V6" s="1292"/>
      <c r="W6" s="1292"/>
      <c r="X6" s="1294"/>
      <c r="Y6" s="1296" t="s">
        <v>960</v>
      </c>
      <c r="Z6" s="1280"/>
    </row>
    <row r="7" spans="1:29" ht="3.75" hidden="1" customHeight="1" thickBot="1" x14ac:dyDescent="0.3">
      <c r="A7" s="1297"/>
      <c r="B7" s="1298"/>
      <c r="C7" s="1299"/>
      <c r="D7" s="1299"/>
      <c r="E7" s="1300"/>
      <c r="F7" s="1299"/>
      <c r="G7" s="1299"/>
      <c r="H7" s="1299"/>
      <c r="I7" s="1299"/>
      <c r="J7" s="1301"/>
      <c r="K7" s="1298"/>
      <c r="L7" s="1302"/>
      <c r="M7" s="1302"/>
      <c r="N7" s="1302"/>
      <c r="O7" s="1302"/>
      <c r="P7" s="1302"/>
      <c r="Q7" s="1302"/>
      <c r="R7" s="1302"/>
      <c r="S7" s="1302"/>
      <c r="T7" s="1302"/>
      <c r="U7" s="1302"/>
      <c r="V7" s="1299"/>
      <c r="W7" s="1299"/>
      <c r="X7" s="1301"/>
      <c r="Y7" s="1303"/>
      <c r="Z7" s="1280"/>
    </row>
    <row r="8" spans="1:29" ht="28.5" hidden="1" customHeight="1" x14ac:dyDescent="0.25">
      <c r="A8" s="1304">
        <v>35947</v>
      </c>
      <c r="B8" s="1305">
        <v>21.8</v>
      </c>
      <c r="C8" s="1306">
        <v>0</v>
      </c>
      <c r="D8" s="1306">
        <v>179.5</v>
      </c>
      <c r="E8" s="1306">
        <v>846</v>
      </c>
      <c r="F8" s="1306">
        <v>860.5</v>
      </c>
      <c r="G8" s="1306">
        <v>1426.8</v>
      </c>
      <c r="H8" s="1306">
        <v>2330.3000000000002</v>
      </c>
      <c r="I8" s="1306">
        <v>0</v>
      </c>
      <c r="J8" s="1307">
        <v>5835.4929099999999</v>
      </c>
      <c r="K8" s="1305">
        <v>6.6</v>
      </c>
      <c r="L8" s="1306">
        <v>11.7</v>
      </c>
      <c r="M8" s="1306"/>
      <c r="N8" s="1306">
        <v>17.8</v>
      </c>
      <c r="O8" s="1306">
        <v>53.5</v>
      </c>
      <c r="P8" s="1306">
        <v>66.3</v>
      </c>
      <c r="Q8" s="1306">
        <v>15.1</v>
      </c>
      <c r="R8" s="1306">
        <v>6.5</v>
      </c>
      <c r="S8" s="1306">
        <v>15.7</v>
      </c>
      <c r="T8" s="1306">
        <v>2.5</v>
      </c>
      <c r="U8" s="1306">
        <v>3.7</v>
      </c>
      <c r="V8" s="1306">
        <v>0.3</v>
      </c>
      <c r="W8" s="1306">
        <v>0.2</v>
      </c>
      <c r="X8" s="1307">
        <v>199.9</v>
      </c>
      <c r="Y8" s="1308">
        <v>6035.3929099999996</v>
      </c>
      <c r="Z8" s="1309"/>
    </row>
    <row r="9" spans="1:29" ht="28.5" hidden="1" customHeight="1" x14ac:dyDescent="0.25">
      <c r="A9" s="1304">
        <v>36039</v>
      </c>
      <c r="B9" s="1305">
        <v>21.7</v>
      </c>
      <c r="C9" s="1306">
        <v>0</v>
      </c>
      <c r="D9" s="1306">
        <v>184.7</v>
      </c>
      <c r="E9" s="1306">
        <v>877.3</v>
      </c>
      <c r="F9" s="1306">
        <v>933</v>
      </c>
      <c r="G9" s="1306">
        <v>1518.8</v>
      </c>
      <c r="H9" s="1306">
        <v>2356.9</v>
      </c>
      <c r="I9" s="1306">
        <v>0</v>
      </c>
      <c r="J9" s="1307">
        <v>6056.2</v>
      </c>
      <c r="K9" s="1305">
        <v>6.6</v>
      </c>
      <c r="L9" s="1306">
        <v>11.7</v>
      </c>
      <c r="M9" s="1306"/>
      <c r="N9" s="1306">
        <v>26.9</v>
      </c>
      <c r="O9" s="1306">
        <v>55.2</v>
      </c>
      <c r="P9" s="1306">
        <v>66.8</v>
      </c>
      <c r="Q9" s="1306">
        <v>15.5</v>
      </c>
      <c r="R9" s="1306">
        <v>6.4</v>
      </c>
      <c r="S9" s="1306">
        <v>16.100000000000001</v>
      </c>
      <c r="T9" s="1306">
        <v>2.5</v>
      </c>
      <c r="U9" s="1306">
        <v>3.8</v>
      </c>
      <c r="V9" s="1306">
        <v>0.3</v>
      </c>
      <c r="W9" s="1306">
        <v>0.2</v>
      </c>
      <c r="X9" s="1307">
        <v>212.1</v>
      </c>
      <c r="Y9" s="1308">
        <v>6268.3</v>
      </c>
      <c r="Z9" s="1280"/>
    </row>
    <row r="10" spans="1:29" ht="28.5" hidden="1" customHeight="1" x14ac:dyDescent="0.25">
      <c r="A10" s="1304">
        <v>36130</v>
      </c>
      <c r="B10" s="1305">
        <v>21.6</v>
      </c>
      <c r="C10" s="1306">
        <v>21.6</v>
      </c>
      <c r="D10" s="1306">
        <v>208.5</v>
      </c>
      <c r="E10" s="1306">
        <v>1063.0999999999999</v>
      </c>
      <c r="F10" s="1306">
        <v>1173.4000000000001</v>
      </c>
      <c r="G10" s="1306">
        <v>1841.1</v>
      </c>
      <c r="H10" s="1306">
        <v>3145.8</v>
      </c>
      <c r="I10" s="1306">
        <v>196.1</v>
      </c>
      <c r="J10" s="1307">
        <v>7814.4</v>
      </c>
      <c r="K10" s="1305">
        <v>6.6</v>
      </c>
      <c r="L10" s="1306">
        <v>11.8</v>
      </c>
      <c r="M10" s="1306"/>
      <c r="N10" s="1306">
        <v>51.8</v>
      </c>
      <c r="O10" s="1306">
        <v>58.9</v>
      </c>
      <c r="P10" s="1306">
        <v>69.3</v>
      </c>
      <c r="Q10" s="1306">
        <v>15.9</v>
      </c>
      <c r="R10" s="1306">
        <v>6.4</v>
      </c>
      <c r="S10" s="1306">
        <v>16.600000000000001</v>
      </c>
      <c r="T10" s="1306">
        <v>2.5</v>
      </c>
      <c r="U10" s="1306">
        <v>3.9</v>
      </c>
      <c r="V10" s="1306">
        <v>0.3</v>
      </c>
      <c r="W10" s="1306">
        <v>0.2</v>
      </c>
      <c r="X10" s="1307">
        <v>244.3</v>
      </c>
      <c r="Y10" s="1308">
        <v>8058.7</v>
      </c>
      <c r="Z10" s="1309"/>
    </row>
    <row r="11" spans="1:29" ht="28.5" hidden="1" customHeight="1" x14ac:dyDescent="0.25">
      <c r="A11" s="1304">
        <v>36220</v>
      </c>
      <c r="B11" s="1305">
        <v>21.6</v>
      </c>
      <c r="C11" s="1306">
        <v>23.5</v>
      </c>
      <c r="D11" s="1306">
        <v>185</v>
      </c>
      <c r="E11" s="1306">
        <v>906.5</v>
      </c>
      <c r="F11" s="1306">
        <v>1022.4</v>
      </c>
      <c r="G11" s="1306">
        <v>1441.8</v>
      </c>
      <c r="H11" s="1306"/>
      <c r="I11" s="1306">
        <v>213.9</v>
      </c>
      <c r="J11" s="1307">
        <v>6498.1</v>
      </c>
      <c r="K11" s="1305">
        <v>6.7</v>
      </c>
      <c r="L11" s="1306">
        <v>12</v>
      </c>
      <c r="M11" s="1306"/>
      <c r="N11" s="1306">
        <v>64.599999999999994</v>
      </c>
      <c r="O11" s="1306">
        <v>55.3</v>
      </c>
      <c r="P11" s="1306">
        <v>68.8</v>
      </c>
      <c r="Q11" s="1306">
        <v>16.100000000000001</v>
      </c>
      <c r="R11" s="1306">
        <v>6.4</v>
      </c>
      <c r="S11" s="1306">
        <v>16.899999999999999</v>
      </c>
      <c r="T11" s="1306">
        <v>2.4</v>
      </c>
      <c r="U11" s="1306">
        <v>3.9</v>
      </c>
      <c r="V11" s="1306">
        <v>0.3</v>
      </c>
      <c r="W11" s="1306">
        <v>0.2</v>
      </c>
      <c r="X11" s="1307">
        <v>253.6</v>
      </c>
      <c r="Y11" s="1308">
        <v>6751.7</v>
      </c>
      <c r="Z11" s="1309"/>
    </row>
    <row r="12" spans="1:29" ht="28.5" hidden="1" customHeight="1" x14ac:dyDescent="0.25">
      <c r="A12" s="1304">
        <v>39448</v>
      </c>
      <c r="B12" s="1305">
        <v>228.1</v>
      </c>
      <c r="C12" s="1306">
        <v>166.9</v>
      </c>
      <c r="D12" s="1306">
        <v>231.3</v>
      </c>
      <c r="E12" s="1306">
        <v>923.4</v>
      </c>
      <c r="F12" s="1306">
        <v>1294.4000000000001</v>
      </c>
      <c r="G12" s="1306">
        <v>2078.1999999999998</v>
      </c>
      <c r="H12" s="1310"/>
      <c r="I12" s="1306">
        <v>724.3</v>
      </c>
      <c r="J12" s="1307">
        <v>15436.616595</v>
      </c>
      <c r="K12" s="1305">
        <v>7</v>
      </c>
      <c r="L12" s="1306">
        <v>12.8</v>
      </c>
      <c r="M12" s="1306">
        <v>4.0999999999999996</v>
      </c>
      <c r="N12" s="1306">
        <v>203.6</v>
      </c>
      <c r="O12" s="1306">
        <v>86.2</v>
      </c>
      <c r="P12" s="1306">
        <v>103.3</v>
      </c>
      <c r="Q12" s="1306">
        <v>24.5</v>
      </c>
      <c r="R12" s="1306">
        <v>6.4</v>
      </c>
      <c r="S12" s="1306">
        <v>31</v>
      </c>
      <c r="T12" s="1306">
        <v>2.4</v>
      </c>
      <c r="U12" s="1306">
        <v>7.1</v>
      </c>
      <c r="V12" s="1306">
        <v>0.3</v>
      </c>
      <c r="W12" s="1306">
        <v>0.2</v>
      </c>
      <c r="X12" s="1307">
        <v>488.9</v>
      </c>
      <c r="Y12" s="1308">
        <v>15925.516594999999</v>
      </c>
      <c r="Z12" s="1309"/>
      <c r="AA12" s="1311"/>
      <c r="AB12" s="1311"/>
      <c r="AC12" s="1311"/>
    </row>
    <row r="13" spans="1:29" ht="28.5" hidden="1" customHeight="1" x14ac:dyDescent="0.25">
      <c r="A13" s="1304">
        <v>39479</v>
      </c>
      <c r="B13" s="1305">
        <v>228.09999999999854</v>
      </c>
      <c r="C13" s="1306">
        <v>162.30000000000001</v>
      </c>
      <c r="D13" s="1306">
        <v>225.4</v>
      </c>
      <c r="E13" s="1306">
        <v>913.2</v>
      </c>
      <c r="F13" s="1306">
        <v>1229.7</v>
      </c>
      <c r="G13" s="1306">
        <v>1964.2</v>
      </c>
      <c r="H13" s="1306"/>
      <c r="I13" s="1306">
        <v>703.6</v>
      </c>
      <c r="J13" s="1307">
        <v>14964.575835</v>
      </c>
      <c r="K13" s="1305">
        <v>7</v>
      </c>
      <c r="L13" s="1306">
        <v>12.8</v>
      </c>
      <c r="M13" s="1306">
        <v>8.8000000000000007</v>
      </c>
      <c r="N13" s="1306">
        <v>203.4</v>
      </c>
      <c r="O13" s="1306">
        <v>86.3</v>
      </c>
      <c r="P13" s="1306">
        <v>104</v>
      </c>
      <c r="Q13" s="1306">
        <v>24.6</v>
      </c>
      <c r="R13" s="1306">
        <v>6.4</v>
      </c>
      <c r="S13" s="1306">
        <v>31.1</v>
      </c>
      <c r="T13" s="1306">
        <v>2.4</v>
      </c>
      <c r="U13" s="1306">
        <v>7.2</v>
      </c>
      <c r="V13" s="1306">
        <v>0.3</v>
      </c>
      <c r="W13" s="1306">
        <v>0.2</v>
      </c>
      <c r="X13" s="1307">
        <v>494.5</v>
      </c>
      <c r="Y13" s="1308">
        <v>15458.975834999999</v>
      </c>
      <c r="Z13" s="1309"/>
      <c r="AA13" s="1311"/>
      <c r="AB13" s="1311"/>
      <c r="AC13" s="1311"/>
    </row>
    <row r="14" spans="1:29" ht="28.5" hidden="1" customHeight="1" x14ac:dyDescent="0.25">
      <c r="A14" s="1304">
        <v>39508</v>
      </c>
      <c r="B14" s="1305">
        <v>228</v>
      </c>
      <c r="C14" s="1306">
        <v>155.6</v>
      </c>
      <c r="D14" s="1306">
        <v>224.1</v>
      </c>
      <c r="E14" s="1306">
        <v>885.2</v>
      </c>
      <c r="F14" s="1306">
        <v>1220.4000000000001</v>
      </c>
      <c r="G14" s="1306">
        <v>1878.9</v>
      </c>
      <c r="H14" s="1306">
        <v>9399.7999999999993</v>
      </c>
      <c r="I14" s="1306">
        <v>693.3</v>
      </c>
      <c r="J14" s="1307">
        <v>14685.322885</v>
      </c>
      <c r="K14" s="1305">
        <v>7</v>
      </c>
      <c r="L14" s="1306">
        <v>12.8</v>
      </c>
      <c r="M14" s="1306">
        <v>13.47024</v>
      </c>
      <c r="N14" s="1306">
        <v>203.34013999999999</v>
      </c>
      <c r="O14" s="1306">
        <v>86.178015000000002</v>
      </c>
      <c r="P14" s="1306">
        <v>104.259045</v>
      </c>
      <c r="Q14" s="1306">
        <v>24.6116755</v>
      </c>
      <c r="R14" s="1306">
        <v>6.3554042500000003</v>
      </c>
      <c r="S14" s="1306">
        <v>31.303156600000001</v>
      </c>
      <c r="T14" s="1306">
        <v>2.4</v>
      </c>
      <c r="U14" s="1306">
        <v>7.2</v>
      </c>
      <c r="V14" s="1306">
        <v>0.3</v>
      </c>
      <c r="W14" s="1306">
        <v>0.2</v>
      </c>
      <c r="X14" s="1307">
        <v>499.51767634999999</v>
      </c>
      <c r="Y14" s="1308">
        <v>15184.84056135</v>
      </c>
      <c r="Z14" s="1309"/>
      <c r="AA14" s="1311"/>
      <c r="AB14" s="1311"/>
      <c r="AC14" s="1311"/>
    </row>
    <row r="15" spans="1:29" ht="28.5" hidden="1" customHeight="1" x14ac:dyDescent="0.25">
      <c r="A15" s="1304">
        <v>39539</v>
      </c>
      <c r="B15" s="1305">
        <v>228</v>
      </c>
      <c r="C15" s="1306">
        <v>150.5</v>
      </c>
      <c r="D15" s="1306">
        <v>224.1</v>
      </c>
      <c r="E15" s="1306">
        <v>899.9</v>
      </c>
      <c r="F15" s="1306">
        <v>1213.2</v>
      </c>
      <c r="G15" s="1306">
        <v>1911.1</v>
      </c>
      <c r="H15" s="1306">
        <v>9330.1</v>
      </c>
      <c r="I15" s="1306">
        <v>733.2</v>
      </c>
      <c r="J15" s="1307">
        <v>14690.1</v>
      </c>
      <c r="K15" s="1305">
        <v>7</v>
      </c>
      <c r="L15" s="1306">
        <v>12.8</v>
      </c>
      <c r="M15" s="1306">
        <v>21</v>
      </c>
      <c r="N15" s="1306">
        <v>201.7</v>
      </c>
      <c r="O15" s="1306">
        <v>85.9</v>
      </c>
      <c r="P15" s="1306">
        <v>104.7</v>
      </c>
      <c r="Q15" s="1306">
        <v>24.6</v>
      </c>
      <c r="R15" s="1306">
        <v>6.4</v>
      </c>
      <c r="S15" s="1306">
        <v>31.3</v>
      </c>
      <c r="T15" s="1306">
        <v>2.4</v>
      </c>
      <c r="U15" s="1306">
        <v>7.3</v>
      </c>
      <c r="V15" s="1306">
        <v>0.3</v>
      </c>
      <c r="W15" s="1306">
        <v>0.2</v>
      </c>
      <c r="X15" s="1307">
        <v>505.6</v>
      </c>
      <c r="Y15" s="1308">
        <v>15195.7</v>
      </c>
      <c r="Z15" s="1309"/>
      <c r="AA15" s="1311"/>
      <c r="AB15" s="1311"/>
      <c r="AC15" s="1311"/>
    </row>
    <row r="16" spans="1:29" ht="28.5" hidden="1" customHeight="1" x14ac:dyDescent="0.25">
      <c r="A16" s="1304">
        <v>39569</v>
      </c>
      <c r="B16" s="1305">
        <v>228.1</v>
      </c>
      <c r="C16" s="1306">
        <v>145.9</v>
      </c>
      <c r="D16" s="1306">
        <v>223.7</v>
      </c>
      <c r="E16" s="1306">
        <v>875.2</v>
      </c>
      <c r="F16" s="1306">
        <v>1216.2</v>
      </c>
      <c r="G16" s="1306">
        <v>1857.7</v>
      </c>
      <c r="H16" s="1306">
        <v>9339</v>
      </c>
      <c r="I16" s="1306">
        <v>746.8</v>
      </c>
      <c r="J16" s="1307">
        <v>14632.557210000001</v>
      </c>
      <c r="K16" s="1305">
        <v>7</v>
      </c>
      <c r="L16" s="1306">
        <v>12.8</v>
      </c>
      <c r="M16" s="1306">
        <v>27.58</v>
      </c>
      <c r="N16" s="1306">
        <v>201.1</v>
      </c>
      <c r="O16" s="1306">
        <v>85.8</v>
      </c>
      <c r="P16" s="1306">
        <v>105</v>
      </c>
      <c r="Q16" s="1306">
        <v>24.7</v>
      </c>
      <c r="R16" s="1306">
        <v>6.4</v>
      </c>
      <c r="S16" s="1306">
        <v>31.4</v>
      </c>
      <c r="T16" s="1306">
        <v>2.4</v>
      </c>
      <c r="U16" s="1306">
        <v>7.3</v>
      </c>
      <c r="V16" s="1306">
        <v>0.3</v>
      </c>
      <c r="W16" s="1306">
        <v>0.2</v>
      </c>
      <c r="X16" s="1307">
        <v>511.98</v>
      </c>
      <c r="Y16" s="1308">
        <v>15144.53721</v>
      </c>
      <c r="Z16" s="1309"/>
      <c r="AA16" s="1311"/>
      <c r="AB16" s="1311"/>
      <c r="AC16" s="1311"/>
    </row>
    <row r="17" spans="1:29" ht="28.5" hidden="1" customHeight="1" x14ac:dyDescent="0.25">
      <c r="A17" s="1304">
        <v>39600</v>
      </c>
      <c r="B17" s="1305">
        <v>227.70000000000073</v>
      </c>
      <c r="C17" s="1306">
        <v>141.6</v>
      </c>
      <c r="D17" s="1306">
        <v>222.5</v>
      </c>
      <c r="E17" s="1306">
        <v>867.9</v>
      </c>
      <c r="F17" s="1306">
        <v>1198.5999999999999</v>
      </c>
      <c r="G17" s="1306">
        <v>1875.2</v>
      </c>
      <c r="H17" s="1306">
        <v>9259.2999999999993</v>
      </c>
      <c r="I17" s="1306">
        <v>776.1</v>
      </c>
      <c r="J17" s="1307">
        <v>14568.9</v>
      </c>
      <c r="K17" s="1305">
        <v>7.056</v>
      </c>
      <c r="L17" s="1306">
        <v>12.8</v>
      </c>
      <c r="M17" s="1306">
        <v>34.090000000000003</v>
      </c>
      <c r="N17" s="1306">
        <v>200.8</v>
      </c>
      <c r="O17" s="1306">
        <v>85.6</v>
      </c>
      <c r="P17" s="1306">
        <v>105.4</v>
      </c>
      <c r="Q17" s="1306">
        <v>24.86</v>
      </c>
      <c r="R17" s="1306">
        <v>6.3498999999999999</v>
      </c>
      <c r="S17" s="1306">
        <v>31.54</v>
      </c>
      <c r="T17" s="1306">
        <v>2.4302999999999999</v>
      </c>
      <c r="U17" s="1306">
        <v>7.39</v>
      </c>
      <c r="V17" s="1306">
        <v>0.33</v>
      </c>
      <c r="W17" s="1306">
        <v>0.22</v>
      </c>
      <c r="X17" s="1307">
        <v>518.79999999999995</v>
      </c>
      <c r="Y17" s="1308">
        <v>15087.699999999999</v>
      </c>
      <c r="Z17" s="1309"/>
      <c r="AA17" s="1311"/>
      <c r="AB17" s="1311"/>
      <c r="AC17" s="1311"/>
    </row>
    <row r="18" spans="1:29" ht="28.5" hidden="1" customHeight="1" x14ac:dyDescent="0.25">
      <c r="A18" s="1304">
        <v>39630</v>
      </c>
      <c r="B18" s="1305">
        <v>227.29999999999927</v>
      </c>
      <c r="C18" s="1306">
        <v>139.5</v>
      </c>
      <c r="D18" s="1306">
        <v>226</v>
      </c>
      <c r="E18" s="1306">
        <v>879.6</v>
      </c>
      <c r="F18" s="1306">
        <v>1238</v>
      </c>
      <c r="G18" s="1306">
        <v>1944</v>
      </c>
      <c r="H18" s="1306">
        <v>9572</v>
      </c>
      <c r="I18" s="1306">
        <v>865.7</v>
      </c>
      <c r="J18" s="1307">
        <v>15092.113185</v>
      </c>
      <c r="K18" s="1305">
        <v>7.1</v>
      </c>
      <c r="L18" s="1306">
        <v>12.8</v>
      </c>
      <c r="M18" s="1306">
        <v>40.47</v>
      </c>
      <c r="N18" s="1306">
        <v>200.6</v>
      </c>
      <c r="O18" s="1306">
        <v>85.7</v>
      </c>
      <c r="P18" s="1306">
        <v>105.7</v>
      </c>
      <c r="Q18" s="1306">
        <v>25</v>
      </c>
      <c r="R18" s="1306">
        <v>6.3</v>
      </c>
      <c r="S18" s="1306">
        <v>31.8</v>
      </c>
      <c r="T18" s="1306">
        <v>2.4</v>
      </c>
      <c r="U18" s="1306">
        <v>7.5</v>
      </c>
      <c r="V18" s="1306">
        <v>0.3</v>
      </c>
      <c r="W18" s="1306">
        <v>0.2</v>
      </c>
      <c r="X18" s="1307">
        <v>525.87</v>
      </c>
      <c r="Y18" s="1308">
        <v>15617.983185000001</v>
      </c>
      <c r="Z18" s="1309"/>
      <c r="AA18" s="1311"/>
      <c r="AB18" s="1311"/>
      <c r="AC18" s="1311"/>
    </row>
    <row r="19" spans="1:29" ht="28.5" hidden="1" customHeight="1" x14ac:dyDescent="0.25">
      <c r="A19" s="1304">
        <v>39661</v>
      </c>
      <c r="B19" s="1305">
        <v>227.18999999999869</v>
      </c>
      <c r="C19" s="1306">
        <v>138.6</v>
      </c>
      <c r="D19" s="1306">
        <v>232.2</v>
      </c>
      <c r="E19" s="1306">
        <v>898.1</v>
      </c>
      <c r="F19" s="1306">
        <v>1234.3</v>
      </c>
      <c r="G19" s="1306">
        <v>1932.9</v>
      </c>
      <c r="H19" s="1306">
        <v>9622.1</v>
      </c>
      <c r="I19" s="1306">
        <v>921.01</v>
      </c>
      <c r="J19" s="1307">
        <v>15206.3951</v>
      </c>
      <c r="K19" s="1305">
        <v>7.0739999999999998</v>
      </c>
      <c r="L19" s="1306">
        <v>12.831</v>
      </c>
      <c r="M19" s="1306">
        <v>47.2</v>
      </c>
      <c r="N19" s="1306">
        <v>200.4</v>
      </c>
      <c r="O19" s="1306">
        <v>85.8</v>
      </c>
      <c r="P19" s="1306">
        <v>106</v>
      </c>
      <c r="Q19" s="1306">
        <v>25.1</v>
      </c>
      <c r="R19" s="1306">
        <v>6.3</v>
      </c>
      <c r="S19" s="1306">
        <v>32</v>
      </c>
      <c r="T19" s="1306">
        <v>2.4</v>
      </c>
      <c r="U19" s="1306">
        <v>7.5</v>
      </c>
      <c r="V19" s="1306">
        <v>0.3</v>
      </c>
      <c r="W19" s="1306">
        <v>0.2</v>
      </c>
      <c r="X19" s="1307">
        <v>533.20500000000004</v>
      </c>
      <c r="Y19" s="1308">
        <v>15739.6001</v>
      </c>
      <c r="Z19" s="1309"/>
      <c r="AA19" s="1311"/>
      <c r="AB19" s="1311"/>
      <c r="AC19" s="1311"/>
    </row>
    <row r="20" spans="1:29" ht="28.5" hidden="1" customHeight="1" x14ac:dyDescent="0.25">
      <c r="A20" s="1304">
        <v>39692</v>
      </c>
      <c r="B20" s="1305">
        <v>226.59999999999854</v>
      </c>
      <c r="C20" s="1306">
        <v>140.1</v>
      </c>
      <c r="D20" s="1306">
        <v>240.3</v>
      </c>
      <c r="E20" s="1306">
        <v>892.4</v>
      </c>
      <c r="F20" s="1306">
        <v>1250.7</v>
      </c>
      <c r="G20" s="1306">
        <v>1966.4</v>
      </c>
      <c r="H20" s="1306">
        <v>9647.7000000000007</v>
      </c>
      <c r="I20" s="1306">
        <v>951.6</v>
      </c>
      <c r="J20" s="1307">
        <v>15315.8</v>
      </c>
      <c r="K20" s="1305">
        <v>8</v>
      </c>
      <c r="L20" s="1306">
        <v>12.831</v>
      </c>
      <c r="M20" s="1306">
        <v>56.2</v>
      </c>
      <c r="N20" s="1306">
        <v>203.8</v>
      </c>
      <c r="O20" s="1306">
        <v>86.3</v>
      </c>
      <c r="P20" s="1306">
        <v>106.2</v>
      </c>
      <c r="Q20" s="1306">
        <v>25.3</v>
      </c>
      <c r="R20" s="1306">
        <v>6.3</v>
      </c>
      <c r="S20" s="1306">
        <v>32.200000000000003</v>
      </c>
      <c r="T20" s="1306">
        <v>2.4</v>
      </c>
      <c r="U20" s="1306">
        <v>7.6</v>
      </c>
      <c r="V20" s="1306">
        <v>0.3</v>
      </c>
      <c r="W20" s="1306">
        <v>0.2</v>
      </c>
      <c r="X20" s="1307">
        <v>547.70000000000005</v>
      </c>
      <c r="Y20" s="1308">
        <v>15863.5</v>
      </c>
      <c r="Z20" s="1309"/>
      <c r="AA20" s="1311"/>
      <c r="AB20" s="1311"/>
      <c r="AC20" s="1311"/>
    </row>
    <row r="21" spans="1:29" ht="28.5" hidden="1" customHeight="1" x14ac:dyDescent="0.25">
      <c r="A21" s="1304">
        <v>39722</v>
      </c>
      <c r="B21" s="1305">
        <v>226.6</v>
      </c>
      <c r="C21" s="1306">
        <v>145.19999999999999</v>
      </c>
      <c r="D21" s="1306">
        <v>227</v>
      </c>
      <c r="E21" s="1306">
        <v>913.5</v>
      </c>
      <c r="F21" s="1306">
        <v>1271.7</v>
      </c>
      <c r="G21" s="1306">
        <v>1996.8</v>
      </c>
      <c r="H21" s="1306">
        <v>9826.2999999999993</v>
      </c>
      <c r="I21" s="1306">
        <v>1016.8</v>
      </c>
      <c r="J21" s="1307">
        <v>15623.885180000001</v>
      </c>
      <c r="K21" s="1305">
        <v>8.0610079700000004</v>
      </c>
      <c r="L21" s="1306">
        <v>12.827</v>
      </c>
      <c r="M21" s="1306">
        <v>65.2</v>
      </c>
      <c r="N21" s="1306">
        <v>206.2</v>
      </c>
      <c r="O21" s="1306">
        <v>87.1</v>
      </c>
      <c r="P21" s="1306">
        <v>106.2</v>
      </c>
      <c r="Q21" s="1306">
        <v>25.4</v>
      </c>
      <c r="R21" s="1306">
        <v>6.3</v>
      </c>
      <c r="S21" s="1306">
        <v>32.4</v>
      </c>
      <c r="T21" s="1306">
        <v>2.4</v>
      </c>
      <c r="U21" s="1306">
        <v>7.6</v>
      </c>
      <c r="V21" s="1306">
        <v>0.3</v>
      </c>
      <c r="W21" s="1306">
        <v>0.2</v>
      </c>
      <c r="X21" s="1307">
        <v>560.18800796999994</v>
      </c>
      <c r="Y21" s="1308">
        <v>16184.073187970002</v>
      </c>
      <c r="Z21" s="1309"/>
      <c r="AA21" s="1311"/>
      <c r="AB21" s="1311"/>
      <c r="AC21" s="1311"/>
    </row>
    <row r="22" spans="1:29" ht="28.5" hidden="1" customHeight="1" x14ac:dyDescent="0.25">
      <c r="A22" s="1304">
        <v>39753</v>
      </c>
      <c r="B22" s="1305">
        <v>226.6</v>
      </c>
      <c r="C22" s="1306">
        <v>146.19999999999999</v>
      </c>
      <c r="D22" s="1306">
        <v>220.6</v>
      </c>
      <c r="E22" s="1306">
        <v>913</v>
      </c>
      <c r="F22" s="1306">
        <v>1281.3</v>
      </c>
      <c r="G22" s="1306">
        <v>2053.8000000000002</v>
      </c>
      <c r="H22" s="1306">
        <v>10084.6</v>
      </c>
      <c r="I22" s="1306">
        <v>1052.9000000000001</v>
      </c>
      <c r="J22" s="1307">
        <v>15979</v>
      </c>
      <c r="K22" s="1305">
        <v>8.0632180000000009</v>
      </c>
      <c r="L22" s="1306">
        <v>12.839</v>
      </c>
      <c r="M22" s="1306">
        <v>72.73</v>
      </c>
      <c r="N22" s="1306">
        <v>208.4</v>
      </c>
      <c r="O22" s="1306">
        <v>87.7</v>
      </c>
      <c r="P22" s="1306">
        <v>106.5</v>
      </c>
      <c r="Q22" s="1306">
        <v>25.5</v>
      </c>
      <c r="R22" s="1306">
        <v>6.3</v>
      </c>
      <c r="S22" s="1306">
        <v>32.6</v>
      </c>
      <c r="T22" s="1306">
        <v>2.4</v>
      </c>
      <c r="U22" s="1306">
        <v>7.7</v>
      </c>
      <c r="V22" s="1306">
        <v>0.3</v>
      </c>
      <c r="W22" s="1306">
        <v>0.2</v>
      </c>
      <c r="X22" s="1307">
        <v>571.33221800000001</v>
      </c>
      <c r="Y22" s="1308">
        <v>16550.332218</v>
      </c>
      <c r="Z22" s="1309"/>
      <c r="AA22" s="1311"/>
      <c r="AB22" s="1311"/>
      <c r="AC22" s="1311"/>
    </row>
    <row r="23" spans="1:29" ht="28.5" hidden="1" customHeight="1" x14ac:dyDescent="0.25">
      <c r="A23" s="1304">
        <v>39783</v>
      </c>
      <c r="B23" s="1305">
        <v>226.59999999999854</v>
      </c>
      <c r="C23" s="1306">
        <v>165.5</v>
      </c>
      <c r="D23" s="1306">
        <v>229</v>
      </c>
      <c r="E23" s="1306">
        <v>1113</v>
      </c>
      <c r="F23" s="1306">
        <v>1573.8</v>
      </c>
      <c r="G23" s="1306">
        <v>2547.3000000000002</v>
      </c>
      <c r="H23" s="1306">
        <v>12585.3</v>
      </c>
      <c r="I23" s="1306">
        <v>1155.3</v>
      </c>
      <c r="J23" s="1307">
        <v>19595.8</v>
      </c>
      <c r="K23" s="1305">
        <v>8.0632180000000009</v>
      </c>
      <c r="L23" s="1306">
        <v>12.9</v>
      </c>
      <c r="M23" s="1306">
        <v>86.8</v>
      </c>
      <c r="N23" s="1306">
        <v>213.1</v>
      </c>
      <c r="O23" s="1306">
        <v>89.2</v>
      </c>
      <c r="P23" s="1306">
        <v>109</v>
      </c>
      <c r="Q23" s="1306">
        <v>26</v>
      </c>
      <c r="R23" s="1306">
        <v>6.3</v>
      </c>
      <c r="S23" s="1306">
        <v>32.9</v>
      </c>
      <c r="T23" s="1306">
        <v>2.4</v>
      </c>
      <c r="U23" s="1306">
        <v>7.7</v>
      </c>
      <c r="V23" s="1306">
        <v>0.3</v>
      </c>
      <c r="W23" s="1306">
        <v>0.2</v>
      </c>
      <c r="X23" s="1307">
        <v>595</v>
      </c>
      <c r="Y23" s="1308">
        <v>20190.8</v>
      </c>
      <c r="Z23" s="1309"/>
      <c r="AA23" s="1311"/>
      <c r="AB23" s="1311"/>
      <c r="AC23" s="1311"/>
    </row>
    <row r="24" spans="1:29" ht="28.5" hidden="1" customHeight="1" x14ac:dyDescent="0.25">
      <c r="A24" s="1304">
        <v>39814</v>
      </c>
      <c r="B24" s="1305">
        <v>226.60000000000218</v>
      </c>
      <c r="C24" s="1306">
        <v>166.6</v>
      </c>
      <c r="D24" s="1306">
        <v>226.2</v>
      </c>
      <c r="E24" s="1306">
        <v>990.3</v>
      </c>
      <c r="F24" s="1306">
        <v>1352.6</v>
      </c>
      <c r="G24" s="1306">
        <v>2162.3000000000002</v>
      </c>
      <c r="H24" s="1306">
        <v>11224.3</v>
      </c>
      <c r="I24" s="1306">
        <v>1116.8</v>
      </c>
      <c r="J24" s="1307">
        <v>17465.7</v>
      </c>
      <c r="K24" s="1305">
        <v>8.1</v>
      </c>
      <c r="L24" s="1306">
        <v>12.9</v>
      </c>
      <c r="M24" s="1306">
        <v>89.4</v>
      </c>
      <c r="N24" s="1306">
        <v>213.5</v>
      </c>
      <c r="O24" s="1306">
        <v>89.3</v>
      </c>
      <c r="P24" s="1306">
        <v>109.2</v>
      </c>
      <c r="Q24" s="1306">
        <v>26.1</v>
      </c>
      <c r="R24" s="1306">
        <v>6.3</v>
      </c>
      <c r="S24" s="1306">
        <v>33</v>
      </c>
      <c r="T24" s="1306">
        <v>2.4</v>
      </c>
      <c r="U24" s="1306">
        <v>7.8</v>
      </c>
      <c r="V24" s="1306">
        <v>0.3</v>
      </c>
      <c r="W24" s="1306">
        <v>0.2</v>
      </c>
      <c r="X24" s="1307">
        <v>598.4</v>
      </c>
      <c r="Y24" s="1308">
        <v>18064.2</v>
      </c>
      <c r="Z24" s="1309"/>
      <c r="AA24" s="1311"/>
      <c r="AB24" s="1311"/>
      <c r="AC24" s="1311"/>
    </row>
    <row r="25" spans="1:29" ht="28.5" hidden="1" customHeight="1" x14ac:dyDescent="0.25">
      <c r="A25" s="1304">
        <v>39845</v>
      </c>
      <c r="B25" s="1305">
        <v>225.5</v>
      </c>
      <c r="C25" s="1306">
        <v>161.69999999999999</v>
      </c>
      <c r="D25" s="1306">
        <v>219.1</v>
      </c>
      <c r="E25" s="1306">
        <v>979.6</v>
      </c>
      <c r="F25" s="1306">
        <v>1315</v>
      </c>
      <c r="G25" s="1306">
        <v>2087.9</v>
      </c>
      <c r="H25" s="1306">
        <v>10977.6</v>
      </c>
      <c r="I25" s="1306">
        <v>1089.0999999999999</v>
      </c>
      <c r="J25" s="1307">
        <v>17055.5</v>
      </c>
      <c r="K25" s="1305">
        <v>8.1</v>
      </c>
      <c r="L25" s="1306">
        <v>12.9</v>
      </c>
      <c r="M25" s="1306">
        <v>90.1</v>
      </c>
      <c r="N25" s="1306">
        <v>213</v>
      </c>
      <c r="O25" s="1306">
        <v>89.3</v>
      </c>
      <c r="P25" s="1306">
        <v>109.3</v>
      </c>
      <c r="Q25" s="1306">
        <v>26.1</v>
      </c>
      <c r="R25" s="1306">
        <v>6.3</v>
      </c>
      <c r="S25" s="1306">
        <v>33.200000000000003</v>
      </c>
      <c r="T25" s="1306">
        <v>2.4</v>
      </c>
      <c r="U25" s="1306">
        <v>7.8</v>
      </c>
      <c r="V25" s="1306">
        <v>0.3</v>
      </c>
      <c r="W25" s="1306">
        <v>0.2</v>
      </c>
      <c r="X25" s="1307">
        <v>599.1</v>
      </c>
      <c r="Y25" s="1308">
        <v>17654.7</v>
      </c>
      <c r="Z25" s="1309"/>
      <c r="AA25" s="1311"/>
      <c r="AB25" s="1311"/>
      <c r="AC25" s="1311"/>
    </row>
    <row r="26" spans="1:29" ht="28.5" hidden="1" customHeight="1" x14ac:dyDescent="0.25">
      <c r="A26" s="1304">
        <v>39873</v>
      </c>
      <c r="B26" s="1305">
        <v>225.10000000000218</v>
      </c>
      <c r="C26" s="1306">
        <v>157.9</v>
      </c>
      <c r="D26" s="1306">
        <v>217.8</v>
      </c>
      <c r="E26" s="1306">
        <v>936.1</v>
      </c>
      <c r="F26" s="1306">
        <v>1294</v>
      </c>
      <c r="G26" s="1306">
        <v>2027.5</v>
      </c>
      <c r="H26" s="1306">
        <v>10783.8</v>
      </c>
      <c r="I26" s="1306">
        <v>1069</v>
      </c>
      <c r="J26" s="1307">
        <v>16711.2</v>
      </c>
      <c r="K26" s="1305">
        <v>8.1</v>
      </c>
      <c r="L26" s="1306">
        <v>12.9</v>
      </c>
      <c r="M26" s="1306">
        <v>91.1</v>
      </c>
      <c r="N26" s="1306">
        <v>212.3</v>
      </c>
      <c r="O26" s="1306">
        <v>89.2</v>
      </c>
      <c r="P26" s="1306">
        <v>110.2</v>
      </c>
      <c r="Q26" s="1306">
        <v>26.2</v>
      </c>
      <c r="R26" s="1306">
        <v>6.3</v>
      </c>
      <c r="S26" s="1306">
        <v>33.299999999999997</v>
      </c>
      <c r="T26" s="1306">
        <v>2.4</v>
      </c>
      <c r="U26" s="1306">
        <v>7.9</v>
      </c>
      <c r="V26" s="1306">
        <v>0.3</v>
      </c>
      <c r="W26" s="1306">
        <v>0.2</v>
      </c>
      <c r="X26" s="1307">
        <v>600.5</v>
      </c>
      <c r="Y26" s="1308">
        <v>17311.599999999999</v>
      </c>
      <c r="Z26" s="1309"/>
      <c r="AA26" s="1311"/>
      <c r="AB26" s="1311"/>
      <c r="AC26" s="1311"/>
    </row>
    <row r="27" spans="1:29" ht="28.5" hidden="1" customHeight="1" x14ac:dyDescent="0.25">
      <c r="A27" s="1304">
        <v>39904</v>
      </c>
      <c r="B27" s="1305">
        <v>225.09999999999854</v>
      </c>
      <c r="C27" s="1306">
        <v>154.30000000000001</v>
      </c>
      <c r="D27" s="1306">
        <v>213.1</v>
      </c>
      <c r="E27" s="1306">
        <v>929.7</v>
      </c>
      <c r="F27" s="1306">
        <v>1292.2</v>
      </c>
      <c r="G27" s="1306">
        <v>2044.1</v>
      </c>
      <c r="H27" s="1306">
        <v>10979.6</v>
      </c>
      <c r="I27" s="1306">
        <v>1064.2</v>
      </c>
      <c r="J27" s="1307">
        <v>16902.316824999998</v>
      </c>
      <c r="K27" s="1305">
        <v>8.1</v>
      </c>
      <c r="L27" s="1306">
        <v>12.9</v>
      </c>
      <c r="M27" s="1306">
        <v>93.9</v>
      </c>
      <c r="N27" s="1306">
        <v>210.6</v>
      </c>
      <c r="O27" s="1306">
        <v>89</v>
      </c>
      <c r="P27" s="1306">
        <v>110.6</v>
      </c>
      <c r="Q27" s="1306">
        <v>26.2</v>
      </c>
      <c r="R27" s="1306">
        <v>6.3</v>
      </c>
      <c r="S27" s="1306">
        <v>33.340000000000003</v>
      </c>
      <c r="T27" s="1306">
        <v>2.4</v>
      </c>
      <c r="U27" s="1306">
        <v>7.9</v>
      </c>
      <c r="V27" s="1306">
        <v>0.3</v>
      </c>
      <c r="W27" s="1306">
        <v>0.2</v>
      </c>
      <c r="X27" s="1307">
        <v>601.74</v>
      </c>
      <c r="Y27" s="1308">
        <v>17504</v>
      </c>
      <c r="Z27" s="1309"/>
      <c r="AA27" s="1311"/>
      <c r="AB27" s="1311"/>
      <c r="AC27" s="1311"/>
    </row>
    <row r="28" spans="1:29" ht="28.5" hidden="1" customHeight="1" x14ac:dyDescent="0.25">
      <c r="A28" s="1304">
        <v>39934</v>
      </c>
      <c r="B28" s="1305">
        <v>224.90000000000146</v>
      </c>
      <c r="C28" s="1306">
        <v>149.5</v>
      </c>
      <c r="D28" s="1306">
        <v>208.1</v>
      </c>
      <c r="E28" s="1306">
        <v>930.1</v>
      </c>
      <c r="F28" s="1306">
        <v>1251.9000000000001</v>
      </c>
      <c r="G28" s="1306">
        <v>2038.3</v>
      </c>
      <c r="H28" s="1306">
        <v>10857.6</v>
      </c>
      <c r="I28" s="1306">
        <v>1074.8</v>
      </c>
      <c r="J28" s="1307">
        <v>16735.169044999999</v>
      </c>
      <c r="K28" s="1305">
        <v>8.1</v>
      </c>
      <c r="L28" s="1306">
        <v>12.9</v>
      </c>
      <c r="M28" s="1306">
        <v>94.8</v>
      </c>
      <c r="N28" s="1306">
        <v>209.1</v>
      </c>
      <c r="O28" s="1306">
        <v>89.12</v>
      </c>
      <c r="P28" s="1306">
        <v>110.7</v>
      </c>
      <c r="Q28" s="1306">
        <v>26.16</v>
      </c>
      <c r="R28" s="1306">
        <v>6.3</v>
      </c>
      <c r="S28" s="1306">
        <v>33.53</v>
      </c>
      <c r="T28" s="1306">
        <v>2.4288059999999998</v>
      </c>
      <c r="U28" s="1306">
        <v>7.9450000000000003</v>
      </c>
      <c r="V28" s="1306">
        <v>0.33050000000000002</v>
      </c>
      <c r="W28" s="1306">
        <v>0.222</v>
      </c>
      <c r="X28" s="1307">
        <v>601.68630600000006</v>
      </c>
      <c r="Y28" s="1308">
        <v>17336.855350999998</v>
      </c>
      <c r="Z28" s="1309"/>
      <c r="AA28" s="1311"/>
      <c r="AB28" s="1311"/>
      <c r="AC28" s="1311"/>
    </row>
    <row r="29" spans="1:29" ht="28.5" hidden="1" customHeight="1" x14ac:dyDescent="0.25">
      <c r="A29" s="1304">
        <v>39965</v>
      </c>
      <c r="B29" s="1305">
        <v>223.8600000000024</v>
      </c>
      <c r="C29" s="1306">
        <v>144.30000000000001</v>
      </c>
      <c r="D29" s="1306">
        <v>203.24</v>
      </c>
      <c r="E29" s="1306">
        <v>928.1</v>
      </c>
      <c r="F29" s="1306">
        <v>1243.5</v>
      </c>
      <c r="G29" s="1306">
        <v>1990.7</v>
      </c>
      <c r="H29" s="1306">
        <v>10762.8</v>
      </c>
      <c r="I29" s="1306">
        <v>1086.4000000000001</v>
      </c>
      <c r="J29" s="1307">
        <v>16582.900000000001</v>
      </c>
      <c r="K29" s="1305">
        <v>8.1</v>
      </c>
      <c r="L29" s="1306">
        <v>12.9</v>
      </c>
      <c r="M29" s="1306">
        <v>95.2</v>
      </c>
      <c r="N29" s="1306">
        <v>209</v>
      </c>
      <c r="O29" s="1306">
        <v>89.1</v>
      </c>
      <c r="P29" s="1306">
        <v>110.8</v>
      </c>
      <c r="Q29" s="1306">
        <v>26.2</v>
      </c>
      <c r="R29" s="1306">
        <v>6.3</v>
      </c>
      <c r="S29" s="1306">
        <v>33.56</v>
      </c>
      <c r="T29" s="1306">
        <v>2.4</v>
      </c>
      <c r="U29" s="1306">
        <v>8</v>
      </c>
      <c r="V29" s="1306">
        <v>0.3</v>
      </c>
      <c r="W29" s="1306">
        <v>0.2</v>
      </c>
      <c r="X29" s="1307">
        <v>602.16</v>
      </c>
      <c r="Y29" s="1308">
        <v>17185.060000000001</v>
      </c>
      <c r="Z29" s="1309"/>
      <c r="AA29" s="1311"/>
      <c r="AB29" s="1311"/>
      <c r="AC29" s="1311"/>
    </row>
    <row r="30" spans="1:29" ht="28.5" hidden="1" customHeight="1" x14ac:dyDescent="0.25">
      <c r="A30" s="1304">
        <v>39995</v>
      </c>
      <c r="B30" s="1305">
        <v>224</v>
      </c>
      <c r="C30" s="1306">
        <v>142.69999999999999</v>
      </c>
      <c r="D30" s="1306">
        <v>202.2</v>
      </c>
      <c r="E30" s="1306">
        <v>922.7</v>
      </c>
      <c r="F30" s="1306">
        <v>1283.3</v>
      </c>
      <c r="G30" s="1306">
        <v>2090.8000000000002</v>
      </c>
      <c r="H30" s="1306">
        <v>11081.6</v>
      </c>
      <c r="I30" s="1306">
        <v>1112.2</v>
      </c>
      <c r="J30" s="1307">
        <v>17059.5</v>
      </c>
      <c r="K30" s="1305">
        <v>8.1</v>
      </c>
      <c r="L30" s="1306">
        <v>12.9</v>
      </c>
      <c r="M30" s="1306">
        <v>100.5</v>
      </c>
      <c r="N30" s="1306">
        <v>209.2</v>
      </c>
      <c r="O30" s="1306">
        <v>89.1</v>
      </c>
      <c r="P30" s="1306">
        <v>110.9</v>
      </c>
      <c r="Q30" s="1306">
        <v>26.3</v>
      </c>
      <c r="R30" s="1306">
        <v>6.3</v>
      </c>
      <c r="S30" s="1306">
        <v>33.56</v>
      </c>
      <c r="T30" s="1306">
        <v>2.4</v>
      </c>
      <c r="U30" s="1306">
        <v>8</v>
      </c>
      <c r="V30" s="1306">
        <v>0.3</v>
      </c>
      <c r="W30" s="1306">
        <v>0.2</v>
      </c>
      <c r="X30" s="1307">
        <v>607.8599999999999</v>
      </c>
      <c r="Y30" s="1308">
        <v>17667.36</v>
      </c>
      <c r="Z30" s="1309"/>
      <c r="AA30" s="1311"/>
      <c r="AB30" s="1311"/>
      <c r="AC30" s="1311"/>
    </row>
    <row r="31" spans="1:29" ht="28.5" hidden="1" customHeight="1" x14ac:dyDescent="0.25">
      <c r="A31" s="1304">
        <v>40026</v>
      </c>
      <c r="B31" s="1305">
        <v>223.9</v>
      </c>
      <c r="C31" s="1306">
        <v>142.69999999999999</v>
      </c>
      <c r="D31" s="1306">
        <v>201.1</v>
      </c>
      <c r="E31" s="1306">
        <v>931.1</v>
      </c>
      <c r="F31" s="1306">
        <v>1288.4000000000001</v>
      </c>
      <c r="G31" s="1306">
        <v>2081.8000000000002</v>
      </c>
      <c r="H31" s="1306">
        <v>11138.7</v>
      </c>
      <c r="I31" s="1306">
        <v>1113.7</v>
      </c>
      <c r="J31" s="1307">
        <v>17121.400000000001</v>
      </c>
      <c r="K31" s="1305">
        <v>8.1</v>
      </c>
      <c r="L31" s="1306">
        <v>12.9</v>
      </c>
      <c r="M31" s="1306">
        <v>107.3</v>
      </c>
      <c r="N31" s="1306">
        <v>209</v>
      </c>
      <c r="O31" s="1306">
        <v>89.2</v>
      </c>
      <c r="P31" s="1306">
        <v>111.1</v>
      </c>
      <c r="Q31" s="1306">
        <v>26.5</v>
      </c>
      <c r="R31" s="1306">
        <v>6.3</v>
      </c>
      <c r="S31" s="1306">
        <v>33.700000000000003</v>
      </c>
      <c r="T31" s="1306">
        <v>2.4</v>
      </c>
      <c r="U31" s="1306">
        <v>8</v>
      </c>
      <c r="V31" s="1306">
        <v>0.3</v>
      </c>
      <c r="W31" s="1306">
        <v>0.2</v>
      </c>
      <c r="X31" s="1307">
        <v>615.1</v>
      </c>
      <c r="Y31" s="1308">
        <v>17736.5</v>
      </c>
      <c r="Z31" s="1309"/>
      <c r="AA31" s="1311"/>
      <c r="AB31" s="1311"/>
      <c r="AC31" s="1311"/>
    </row>
    <row r="32" spans="1:29" ht="28.5" hidden="1" customHeight="1" x14ac:dyDescent="0.25">
      <c r="A32" s="1304">
        <v>40057</v>
      </c>
      <c r="B32" s="1305">
        <v>223.8</v>
      </c>
      <c r="C32" s="1306">
        <v>148.5</v>
      </c>
      <c r="D32" s="1306">
        <v>200.5</v>
      </c>
      <c r="E32" s="1306">
        <v>939.9</v>
      </c>
      <c r="F32" s="1306">
        <v>1303.0999999999999</v>
      </c>
      <c r="G32" s="1306">
        <v>2058.9</v>
      </c>
      <c r="H32" s="1306">
        <v>10927.5</v>
      </c>
      <c r="I32" s="1306">
        <v>1104.5</v>
      </c>
      <c r="J32" s="1307">
        <v>16906.7</v>
      </c>
      <c r="K32" s="1305">
        <v>8.1</v>
      </c>
      <c r="L32" s="1306">
        <v>12.9</v>
      </c>
      <c r="M32" s="1306">
        <v>113.8</v>
      </c>
      <c r="N32" s="1306">
        <v>209.3</v>
      </c>
      <c r="O32" s="1306">
        <v>89.2</v>
      </c>
      <c r="P32" s="1306">
        <v>111.7</v>
      </c>
      <c r="Q32" s="1306">
        <v>26.6</v>
      </c>
      <c r="R32" s="1306">
        <v>6.3</v>
      </c>
      <c r="S32" s="1306">
        <v>34</v>
      </c>
      <c r="T32" s="1306">
        <v>2.4</v>
      </c>
      <c r="U32" s="1306">
        <v>8.1</v>
      </c>
      <c r="V32" s="1306">
        <v>0.3</v>
      </c>
      <c r="W32" s="1306">
        <v>0.2</v>
      </c>
      <c r="X32" s="1307">
        <v>623.04499999999996</v>
      </c>
      <c r="Y32" s="1308">
        <v>17529.7</v>
      </c>
      <c r="Z32" s="1309"/>
      <c r="AA32" s="1311"/>
      <c r="AB32" s="1311"/>
      <c r="AC32" s="1311"/>
    </row>
    <row r="33" spans="1:29" ht="28.5" hidden="1" customHeight="1" x14ac:dyDescent="0.25">
      <c r="A33" s="1304">
        <v>40087</v>
      </c>
      <c r="B33" s="1305">
        <v>223.65862500000003</v>
      </c>
      <c r="C33" s="1306">
        <v>154.61484999999999</v>
      </c>
      <c r="D33" s="1306">
        <v>199.25479999999999</v>
      </c>
      <c r="E33" s="1306">
        <v>951.44920000000002</v>
      </c>
      <c r="F33" s="1306">
        <v>1307.9898000000001</v>
      </c>
      <c r="G33" s="1306">
        <v>2127.0259999999998</v>
      </c>
      <c r="H33" s="1306">
        <v>11263.867</v>
      </c>
      <c r="I33" s="1306">
        <v>1113.374</v>
      </c>
      <c r="J33" s="1307">
        <v>17341.234274999999</v>
      </c>
      <c r="K33" s="1305">
        <v>8.1999999999999993</v>
      </c>
      <c r="L33" s="1306">
        <v>12.9</v>
      </c>
      <c r="M33" s="1306">
        <v>118.3</v>
      </c>
      <c r="N33" s="1306">
        <v>209.3</v>
      </c>
      <c r="O33" s="1306">
        <v>89.27</v>
      </c>
      <c r="P33" s="1306">
        <v>112</v>
      </c>
      <c r="Q33" s="1306">
        <v>26.71</v>
      </c>
      <c r="R33" s="1306">
        <v>6.3</v>
      </c>
      <c r="S33" s="1306">
        <v>34.25</v>
      </c>
      <c r="T33" s="1306">
        <v>2.4</v>
      </c>
      <c r="U33" s="1306">
        <v>8.1</v>
      </c>
      <c r="V33" s="1306">
        <v>0.3</v>
      </c>
      <c r="W33" s="1306">
        <v>0.2</v>
      </c>
      <c r="X33" s="1307">
        <v>628.33000000000004</v>
      </c>
      <c r="Y33" s="1308">
        <v>17969.564275000001</v>
      </c>
      <c r="Z33" s="1309"/>
      <c r="AA33" s="1311"/>
      <c r="AB33" s="1311"/>
      <c r="AC33" s="1311"/>
    </row>
    <row r="34" spans="1:29" ht="28.5" hidden="1" customHeight="1" x14ac:dyDescent="0.25">
      <c r="A34" s="1304">
        <v>40118</v>
      </c>
      <c r="B34" s="1305">
        <v>223.6</v>
      </c>
      <c r="C34" s="1306">
        <v>153.30000000000001</v>
      </c>
      <c r="D34" s="1306">
        <v>197.7</v>
      </c>
      <c r="E34" s="1306">
        <v>964.86</v>
      </c>
      <c r="F34" s="1306">
        <v>1333.5</v>
      </c>
      <c r="G34" s="1306">
        <v>2126.8000000000002</v>
      </c>
      <c r="H34" s="1306">
        <v>11465</v>
      </c>
      <c r="I34" s="1306">
        <v>1107.7</v>
      </c>
      <c r="J34" s="1307">
        <v>17572.460000000003</v>
      </c>
      <c r="K34" s="1305">
        <v>8.5</v>
      </c>
      <c r="L34" s="1306">
        <v>13</v>
      </c>
      <c r="M34" s="1306">
        <v>122.9</v>
      </c>
      <c r="N34" s="1306">
        <v>210.9</v>
      </c>
      <c r="O34" s="1306">
        <v>89.7</v>
      </c>
      <c r="P34" s="1306">
        <v>113.2</v>
      </c>
      <c r="Q34" s="1306">
        <v>27.2</v>
      </c>
      <c r="R34" s="1306">
        <v>6.3</v>
      </c>
      <c r="S34" s="1306">
        <v>34.5</v>
      </c>
      <c r="T34" s="1306">
        <v>2.4</v>
      </c>
      <c r="U34" s="1306">
        <v>8.1999999999999993</v>
      </c>
      <c r="V34" s="1306">
        <v>0.3</v>
      </c>
      <c r="W34" s="1306">
        <v>0.2</v>
      </c>
      <c r="X34" s="1307">
        <v>637.30000000000007</v>
      </c>
      <c r="Y34" s="1308">
        <v>18209.760000000002</v>
      </c>
      <c r="Z34" s="1309"/>
      <c r="AA34" s="1311"/>
      <c r="AB34" s="1311"/>
      <c r="AC34" s="1311"/>
    </row>
    <row r="35" spans="1:29" ht="28.5" hidden="1" customHeight="1" x14ac:dyDescent="0.25">
      <c r="A35" s="1304">
        <v>40148</v>
      </c>
      <c r="B35" s="1305">
        <v>223.5</v>
      </c>
      <c r="C35" s="1306">
        <v>157.11632499999999</v>
      </c>
      <c r="D35" s="1306">
        <v>207.54839999999999</v>
      </c>
      <c r="E35" s="1306">
        <v>1103.7596000000001</v>
      </c>
      <c r="F35" s="1306">
        <v>1611.6784</v>
      </c>
      <c r="G35" s="1306">
        <v>2578.212</v>
      </c>
      <c r="H35" s="1306">
        <v>13609.625</v>
      </c>
      <c r="I35" s="1306">
        <v>1163.1199999999999</v>
      </c>
      <c r="J35" s="1307">
        <v>20654.559724999999</v>
      </c>
      <c r="K35" s="1305">
        <v>8.5850000000000009</v>
      </c>
      <c r="L35" s="1306">
        <v>12.955</v>
      </c>
      <c r="M35" s="1306">
        <v>133.39807999999999</v>
      </c>
      <c r="N35" s="1306">
        <v>216.40622999999999</v>
      </c>
      <c r="O35" s="1312">
        <v>93.355885000000001</v>
      </c>
      <c r="P35" s="1312">
        <v>114.90643</v>
      </c>
      <c r="Q35" s="1306">
        <v>27.515757000000001</v>
      </c>
      <c r="R35" s="1306">
        <v>6.3474992500000003</v>
      </c>
      <c r="S35" s="1306">
        <v>34.670226199999995</v>
      </c>
      <c r="T35" s="1306">
        <v>2.4285654999999999</v>
      </c>
      <c r="U35" s="1306">
        <v>8.2286047</v>
      </c>
      <c r="V35" s="1306">
        <v>0.33051676000000002</v>
      </c>
      <c r="W35" s="1306">
        <v>0.22206902000000001</v>
      </c>
      <c r="X35" s="1307">
        <v>659.34986343000003</v>
      </c>
      <c r="Y35" s="1308">
        <v>21313.90958843</v>
      </c>
      <c r="Z35" s="1309"/>
      <c r="AA35" s="1311"/>
      <c r="AB35" s="1311"/>
      <c r="AC35" s="1311"/>
    </row>
    <row r="36" spans="1:29" ht="28.5" hidden="1" customHeight="1" x14ac:dyDescent="0.25">
      <c r="A36" s="1304">
        <v>40179</v>
      </c>
      <c r="B36" s="1305">
        <v>223.4</v>
      </c>
      <c r="C36" s="1306">
        <v>163.1</v>
      </c>
      <c r="D36" s="1306">
        <v>206.7</v>
      </c>
      <c r="E36" s="1306">
        <v>1000.4</v>
      </c>
      <c r="F36" s="1306">
        <v>1380.6</v>
      </c>
      <c r="G36" s="1306">
        <v>2232</v>
      </c>
      <c r="H36" s="1306">
        <v>12193.1</v>
      </c>
      <c r="I36" s="1306">
        <v>1132</v>
      </c>
      <c r="J36" s="1307">
        <v>18531.3</v>
      </c>
      <c r="K36" s="1305">
        <v>8.6</v>
      </c>
      <c r="L36" s="1306">
        <v>12.9621</v>
      </c>
      <c r="M36" s="1306">
        <v>136.4</v>
      </c>
      <c r="N36" s="1306">
        <v>218.57</v>
      </c>
      <c r="O36" s="1312">
        <v>93.36</v>
      </c>
      <c r="P36" s="1312">
        <v>116.24</v>
      </c>
      <c r="Q36" s="1306">
        <v>27.76</v>
      </c>
      <c r="R36" s="1306">
        <v>6.3474992500000003</v>
      </c>
      <c r="S36" s="1306">
        <v>34.700000000000003</v>
      </c>
      <c r="T36" s="1306">
        <v>2.4</v>
      </c>
      <c r="U36" s="1306">
        <v>8.1999999999999993</v>
      </c>
      <c r="V36" s="1306">
        <v>0.3</v>
      </c>
      <c r="W36" s="1306">
        <v>0.2</v>
      </c>
      <c r="X36" s="1307">
        <v>666.03959925000015</v>
      </c>
      <c r="Y36" s="1308">
        <v>19197.339599250001</v>
      </c>
      <c r="Z36" s="1309"/>
      <c r="AA36" s="1311"/>
      <c r="AB36" s="1311"/>
      <c r="AC36" s="1311"/>
    </row>
    <row r="37" spans="1:29" ht="28.5" hidden="1" customHeight="1" x14ac:dyDescent="0.25">
      <c r="A37" s="1304">
        <v>40210</v>
      </c>
      <c r="B37" s="1305">
        <v>223.3</v>
      </c>
      <c r="C37" s="1306">
        <v>161.252725</v>
      </c>
      <c r="D37" s="1306">
        <v>206.64425</v>
      </c>
      <c r="E37" s="1306">
        <v>979.74149999999997</v>
      </c>
      <c r="F37" s="1306">
        <v>1375.3363999999999</v>
      </c>
      <c r="G37" s="1306">
        <v>2160.5745000000002</v>
      </c>
      <c r="H37" s="1306">
        <v>11993.867</v>
      </c>
      <c r="I37" s="1306">
        <v>1119.5519999999999</v>
      </c>
      <c r="J37" s="1307">
        <v>18220.268375</v>
      </c>
      <c r="K37" s="1305">
        <v>8.6</v>
      </c>
      <c r="L37" s="1306">
        <v>13</v>
      </c>
      <c r="M37" s="1306">
        <v>134.91</v>
      </c>
      <c r="N37" s="1306">
        <v>218.6</v>
      </c>
      <c r="O37" s="1312">
        <v>93.4</v>
      </c>
      <c r="P37" s="1312">
        <v>116.99</v>
      </c>
      <c r="Q37" s="1306">
        <v>27.76</v>
      </c>
      <c r="R37" s="1306">
        <v>6.3474992500000003</v>
      </c>
      <c r="S37" s="1306">
        <v>34.799999999999997</v>
      </c>
      <c r="T37" s="1306">
        <v>2.4</v>
      </c>
      <c r="U37" s="1306">
        <v>8.25</v>
      </c>
      <c r="V37" s="1306">
        <v>0.33</v>
      </c>
      <c r="W37" s="1306">
        <v>0.2</v>
      </c>
      <c r="X37" s="1307">
        <v>665.59</v>
      </c>
      <c r="Y37" s="1308">
        <v>18885.858375</v>
      </c>
      <c r="Z37" s="1309"/>
      <c r="AA37" s="1311"/>
      <c r="AB37" s="1311"/>
      <c r="AC37" s="1311"/>
    </row>
    <row r="38" spans="1:29" ht="28.5" hidden="1" customHeight="1" x14ac:dyDescent="0.25">
      <c r="A38" s="1304">
        <v>40238</v>
      </c>
      <c r="B38" s="1305">
        <v>223.3</v>
      </c>
      <c r="C38" s="1306">
        <v>162.4</v>
      </c>
      <c r="D38" s="1306">
        <v>203.1</v>
      </c>
      <c r="E38" s="1306">
        <v>980.83</v>
      </c>
      <c r="F38" s="1306">
        <v>1372.3</v>
      </c>
      <c r="G38" s="1306">
        <v>2229.5</v>
      </c>
      <c r="H38" s="1306">
        <v>12056.4</v>
      </c>
      <c r="I38" s="1306">
        <v>1097.7</v>
      </c>
      <c r="J38" s="1307">
        <v>18325.53</v>
      </c>
      <c r="K38" s="1305">
        <v>8.61</v>
      </c>
      <c r="L38" s="1306">
        <v>12.967000000000001</v>
      </c>
      <c r="M38" s="1306">
        <v>130.96</v>
      </c>
      <c r="N38" s="1306">
        <v>218.20168000000001</v>
      </c>
      <c r="O38" s="1312">
        <v>94.12</v>
      </c>
      <c r="P38" s="1312">
        <v>117.398</v>
      </c>
      <c r="Q38" s="1306">
        <v>27.76</v>
      </c>
      <c r="R38" s="1306">
        <v>6.3470000000000004</v>
      </c>
      <c r="S38" s="1306">
        <v>35.049999999999997</v>
      </c>
      <c r="T38" s="1306">
        <v>2.4300000000000002</v>
      </c>
      <c r="U38" s="1306">
        <v>8.2606000000000002</v>
      </c>
      <c r="V38" s="1306">
        <v>0.33</v>
      </c>
      <c r="W38" s="1306">
        <v>0.2</v>
      </c>
      <c r="X38" s="1307">
        <v>662.63427999999999</v>
      </c>
      <c r="Y38" s="1308">
        <v>18988.164280000001</v>
      </c>
      <c r="Z38" s="1309"/>
      <c r="AA38" s="1311"/>
      <c r="AB38" s="1311"/>
      <c r="AC38" s="1311"/>
    </row>
    <row r="39" spans="1:29" ht="28.5" hidden="1" customHeight="1" x14ac:dyDescent="0.25">
      <c r="A39" s="1304">
        <v>40269</v>
      </c>
      <c r="B39" s="1305">
        <v>223.2</v>
      </c>
      <c r="C39" s="1306">
        <v>170.58</v>
      </c>
      <c r="D39" s="1306">
        <v>220.6797</v>
      </c>
      <c r="E39" s="1306">
        <v>970.68</v>
      </c>
      <c r="F39" s="1306">
        <v>1337.58</v>
      </c>
      <c r="G39" s="1306">
        <v>2183.1799999999998</v>
      </c>
      <c r="H39" s="1306">
        <v>12143.69</v>
      </c>
      <c r="I39" s="1306">
        <v>1082.3499999999999</v>
      </c>
      <c r="J39" s="1307">
        <v>18331.939699999999</v>
      </c>
      <c r="K39" s="1305">
        <v>8.6</v>
      </c>
      <c r="L39" s="1306">
        <v>12.97</v>
      </c>
      <c r="M39" s="1306">
        <v>131.37</v>
      </c>
      <c r="N39" s="1306">
        <v>218.35</v>
      </c>
      <c r="O39" s="1312">
        <v>95.01</v>
      </c>
      <c r="P39" s="1312">
        <v>117.64</v>
      </c>
      <c r="Q39" s="1306">
        <v>27.75</v>
      </c>
      <c r="R39" s="1306">
        <v>6.34</v>
      </c>
      <c r="S39" s="1306">
        <v>35.17</v>
      </c>
      <c r="T39" s="1306">
        <v>2.42</v>
      </c>
      <c r="U39" s="1306">
        <v>8.26</v>
      </c>
      <c r="V39" s="1306">
        <v>0.33</v>
      </c>
      <c r="W39" s="1306">
        <v>0.22</v>
      </c>
      <c r="X39" s="1307">
        <v>664.43</v>
      </c>
      <c r="Y39" s="1308">
        <v>18996.369699999999</v>
      </c>
      <c r="Z39" s="1309"/>
      <c r="AA39" s="1311"/>
      <c r="AB39" s="1311"/>
      <c r="AC39" s="1311"/>
    </row>
    <row r="40" spans="1:29" ht="28.5" hidden="1" customHeight="1" x14ac:dyDescent="0.25">
      <c r="A40" s="1304">
        <v>40299</v>
      </c>
      <c r="B40" s="1305">
        <v>219.7</v>
      </c>
      <c r="C40" s="1306">
        <v>173.1</v>
      </c>
      <c r="D40" s="1306">
        <v>233</v>
      </c>
      <c r="E40" s="1306">
        <v>978.9</v>
      </c>
      <c r="F40" s="1306">
        <v>1364.79</v>
      </c>
      <c r="G40" s="1306">
        <v>2189.9</v>
      </c>
      <c r="H40" s="1306">
        <v>12249.4</v>
      </c>
      <c r="I40" s="1306">
        <v>1080.0999999999999</v>
      </c>
      <c r="J40" s="1307">
        <v>18488.89</v>
      </c>
      <c r="K40" s="1305">
        <v>8.6</v>
      </c>
      <c r="L40" s="1306">
        <v>12.98</v>
      </c>
      <c r="M40" s="1306">
        <v>129.77000000000001</v>
      </c>
      <c r="N40" s="1313">
        <v>218.63</v>
      </c>
      <c r="O40" s="1313">
        <v>95.18</v>
      </c>
      <c r="P40" s="1313">
        <v>117.85</v>
      </c>
      <c r="Q40" s="1313">
        <v>27.8</v>
      </c>
      <c r="R40" s="1306">
        <v>6.3</v>
      </c>
      <c r="S40" s="1306">
        <v>35.25</v>
      </c>
      <c r="T40" s="1306">
        <v>2.4300000000000002</v>
      </c>
      <c r="U40" s="1306">
        <v>8.33</v>
      </c>
      <c r="V40" s="1306">
        <v>0.33</v>
      </c>
      <c r="W40" s="1306">
        <v>0.22</v>
      </c>
      <c r="X40" s="1307">
        <v>663.67</v>
      </c>
      <c r="Y40" s="1308">
        <v>19152.559999999998</v>
      </c>
      <c r="Z40" s="1309"/>
      <c r="AA40" s="1311"/>
      <c r="AB40" s="1311"/>
      <c r="AC40" s="1311"/>
    </row>
    <row r="41" spans="1:29" ht="28.5" hidden="1" customHeight="1" x14ac:dyDescent="0.25">
      <c r="A41" s="1304">
        <v>40330</v>
      </c>
      <c r="B41" s="1305">
        <v>219.6</v>
      </c>
      <c r="C41" s="1306">
        <v>174.9</v>
      </c>
      <c r="D41" s="1306">
        <v>236.9</v>
      </c>
      <c r="E41" s="1306">
        <v>957.7</v>
      </c>
      <c r="F41" s="1306">
        <v>1316</v>
      </c>
      <c r="G41" s="1306">
        <v>2155.4</v>
      </c>
      <c r="H41" s="1306">
        <v>12099.4</v>
      </c>
      <c r="I41" s="1306">
        <v>1068.5</v>
      </c>
      <c r="J41" s="1307">
        <v>18228.400000000001</v>
      </c>
      <c r="K41" s="1305">
        <v>8.6</v>
      </c>
      <c r="L41" s="1306">
        <v>12.98</v>
      </c>
      <c r="M41" s="1306">
        <v>128.6</v>
      </c>
      <c r="N41" s="1313">
        <v>217.07</v>
      </c>
      <c r="O41" s="1313">
        <v>95.27</v>
      </c>
      <c r="P41" s="1313">
        <v>118.08</v>
      </c>
      <c r="Q41" s="1313">
        <v>27.83</v>
      </c>
      <c r="R41" s="1306">
        <v>6.3</v>
      </c>
      <c r="S41" s="1306">
        <v>35.54</v>
      </c>
      <c r="T41" s="1306">
        <v>2.4300000000000002</v>
      </c>
      <c r="U41" s="1306">
        <v>8.41</v>
      </c>
      <c r="V41" s="1306">
        <v>0.33</v>
      </c>
      <c r="W41" s="1306">
        <v>0.22</v>
      </c>
      <c r="X41" s="1307">
        <v>661.66</v>
      </c>
      <c r="Y41" s="1308">
        <v>18890.060000000001</v>
      </c>
      <c r="Z41" s="1309"/>
      <c r="AA41" s="1311"/>
      <c r="AB41" s="1311"/>
      <c r="AC41" s="1311"/>
    </row>
    <row r="42" spans="1:29" ht="28.5" hidden="1" customHeight="1" x14ac:dyDescent="0.25">
      <c r="A42" s="1304">
        <v>40360</v>
      </c>
      <c r="B42" s="1305">
        <v>219.56</v>
      </c>
      <c r="C42" s="1306">
        <v>175.46</v>
      </c>
      <c r="D42" s="1306">
        <v>242.4</v>
      </c>
      <c r="E42" s="1306">
        <v>973.4</v>
      </c>
      <c r="F42" s="1306">
        <v>1327</v>
      </c>
      <c r="G42" s="1306">
        <v>2207</v>
      </c>
      <c r="H42" s="1306">
        <v>12337.3</v>
      </c>
      <c r="I42" s="1306">
        <v>1059.5999999999999</v>
      </c>
      <c r="J42" s="1307">
        <v>18541.72</v>
      </c>
      <c r="K42" s="1305">
        <v>8.6</v>
      </c>
      <c r="L42" s="1306">
        <v>12.98</v>
      </c>
      <c r="M42" s="1306">
        <v>126.51</v>
      </c>
      <c r="N42" s="1313">
        <v>215.95</v>
      </c>
      <c r="O42" s="1313">
        <v>95.09</v>
      </c>
      <c r="P42" s="1313">
        <v>118.4</v>
      </c>
      <c r="Q42" s="1313">
        <v>27.9</v>
      </c>
      <c r="R42" s="1306">
        <v>6.3460000000000001</v>
      </c>
      <c r="S42" s="1306">
        <v>35.64</v>
      </c>
      <c r="T42" s="1306">
        <v>2.4300000000000002</v>
      </c>
      <c r="U42" s="1306">
        <v>8.4600000000000009</v>
      </c>
      <c r="V42" s="1306">
        <v>0.33</v>
      </c>
      <c r="W42" s="1306">
        <v>0.22</v>
      </c>
      <c r="X42" s="1307">
        <v>658.85599999999999</v>
      </c>
      <c r="Y42" s="1308">
        <v>19200.575999999997</v>
      </c>
      <c r="Z42" s="1309"/>
      <c r="AA42" s="1311"/>
      <c r="AB42" s="1311"/>
      <c r="AC42" s="1311"/>
    </row>
    <row r="43" spans="1:29" ht="28.5" hidden="1" customHeight="1" x14ac:dyDescent="0.25">
      <c r="A43" s="1304">
        <v>40391</v>
      </c>
      <c r="B43" s="1305">
        <v>219.5</v>
      </c>
      <c r="C43" s="1306">
        <v>179.6</v>
      </c>
      <c r="D43" s="1306">
        <v>251.75</v>
      </c>
      <c r="E43" s="1306">
        <v>972.95</v>
      </c>
      <c r="F43" s="1306">
        <v>1361.1</v>
      </c>
      <c r="G43" s="1306">
        <v>2211.4899999999998</v>
      </c>
      <c r="H43" s="1306">
        <v>12434.69</v>
      </c>
      <c r="I43" s="1306">
        <v>1049.9000000000001</v>
      </c>
      <c r="J43" s="1307">
        <v>18680.98</v>
      </c>
      <c r="K43" s="1305">
        <v>8.6300000000000008</v>
      </c>
      <c r="L43" s="1306">
        <v>12.99</v>
      </c>
      <c r="M43" s="1306">
        <v>126.58</v>
      </c>
      <c r="N43" s="1313">
        <v>215.91</v>
      </c>
      <c r="O43" s="1313">
        <v>95.42</v>
      </c>
      <c r="P43" s="1313">
        <v>118.66</v>
      </c>
      <c r="Q43" s="1313">
        <v>28</v>
      </c>
      <c r="R43" s="1306">
        <v>6.3460000000000001</v>
      </c>
      <c r="S43" s="1306">
        <v>35.89</v>
      </c>
      <c r="T43" s="1306">
        <v>2.4</v>
      </c>
      <c r="U43" s="1306">
        <v>8.5030000000000001</v>
      </c>
      <c r="V43" s="1306">
        <v>0.33</v>
      </c>
      <c r="W43" s="1306">
        <v>0.22</v>
      </c>
      <c r="X43" s="1307">
        <v>659.87900000000013</v>
      </c>
      <c r="Y43" s="1308">
        <v>19340.859000000004</v>
      </c>
      <c r="Z43" s="1309"/>
      <c r="AA43" s="1311"/>
      <c r="AB43" s="1311"/>
      <c r="AC43" s="1311"/>
    </row>
    <row r="44" spans="1:29" ht="28.5" hidden="1" customHeight="1" x14ac:dyDescent="0.25">
      <c r="A44" s="1304">
        <v>40422</v>
      </c>
      <c r="B44" s="1305">
        <v>219.44</v>
      </c>
      <c r="C44" s="1306">
        <v>182.4</v>
      </c>
      <c r="D44" s="1306">
        <v>255.9</v>
      </c>
      <c r="E44" s="1306">
        <v>1013.9</v>
      </c>
      <c r="F44" s="1306">
        <v>1350.8</v>
      </c>
      <c r="G44" s="1306">
        <v>2246.6999999999998</v>
      </c>
      <c r="H44" s="1306">
        <v>12363.3</v>
      </c>
      <c r="I44" s="1306">
        <v>1044.5999999999999</v>
      </c>
      <c r="J44" s="1307">
        <v>18677.039999999997</v>
      </c>
      <c r="K44" s="1305">
        <v>8.6</v>
      </c>
      <c r="L44" s="1306">
        <v>12.99</v>
      </c>
      <c r="M44" s="1306">
        <v>126.69</v>
      </c>
      <c r="N44" s="1313">
        <v>215.62</v>
      </c>
      <c r="O44" s="1313">
        <v>95.63</v>
      </c>
      <c r="P44" s="1313">
        <v>118.81</v>
      </c>
      <c r="Q44" s="1313">
        <v>28.06</v>
      </c>
      <c r="R44" s="1306">
        <v>6.3</v>
      </c>
      <c r="S44" s="1306">
        <v>35.93</v>
      </c>
      <c r="T44" s="1306">
        <v>2.4300000000000002</v>
      </c>
      <c r="U44" s="1306">
        <v>8.5500000000000007</v>
      </c>
      <c r="V44" s="1306">
        <v>0.33</v>
      </c>
      <c r="W44" s="1306">
        <v>0.2</v>
      </c>
      <c r="X44" s="1307">
        <v>660.14999999999975</v>
      </c>
      <c r="Y44" s="1308">
        <v>19337.189999999999</v>
      </c>
      <c r="Z44" s="1309"/>
      <c r="AA44" s="1311"/>
      <c r="AB44" s="1311"/>
      <c r="AC44" s="1311"/>
    </row>
    <row r="45" spans="1:29" ht="28.5" hidden="1" customHeight="1" x14ac:dyDescent="0.25">
      <c r="A45" s="1304">
        <v>40452</v>
      </c>
      <c r="B45" s="1305">
        <v>219.39</v>
      </c>
      <c r="C45" s="1306">
        <v>180.07</v>
      </c>
      <c r="D45" s="1306">
        <v>252.2</v>
      </c>
      <c r="E45" s="1306">
        <v>1009.1</v>
      </c>
      <c r="F45" s="1306">
        <v>1357.59</v>
      </c>
      <c r="G45" s="1306">
        <v>2233.25</v>
      </c>
      <c r="H45" s="1306">
        <v>12536.1</v>
      </c>
      <c r="I45" s="1306">
        <v>1034.5999999999999</v>
      </c>
      <c r="J45" s="1307">
        <v>18822.3</v>
      </c>
      <c r="K45" s="1305">
        <v>8.6</v>
      </c>
      <c r="L45" s="1306">
        <v>12.996</v>
      </c>
      <c r="M45" s="1306">
        <v>127.81</v>
      </c>
      <c r="N45" s="1313">
        <v>216.33</v>
      </c>
      <c r="O45" s="1313">
        <v>95.79</v>
      </c>
      <c r="P45" s="1313">
        <v>119.03</v>
      </c>
      <c r="Q45" s="1313">
        <v>28.06</v>
      </c>
      <c r="R45" s="1306">
        <v>6.3460000000000001</v>
      </c>
      <c r="S45" s="1306">
        <v>35.9</v>
      </c>
      <c r="T45" s="1306">
        <v>2.4300000000000002</v>
      </c>
      <c r="U45" s="1306">
        <v>8.59</v>
      </c>
      <c r="V45" s="1306">
        <v>0.33</v>
      </c>
      <c r="W45" s="1306">
        <v>0.22</v>
      </c>
      <c r="X45" s="1307">
        <v>662.43200000000002</v>
      </c>
      <c r="Y45" s="1308">
        <v>19484.732</v>
      </c>
      <c r="Z45" s="1309"/>
      <c r="AA45" s="1311"/>
      <c r="AB45" s="1311"/>
      <c r="AC45" s="1311"/>
    </row>
    <row r="46" spans="1:29" ht="28.5" hidden="1" customHeight="1" x14ac:dyDescent="0.25">
      <c r="A46" s="1304">
        <v>40483</v>
      </c>
      <c r="B46" s="1305">
        <v>219.3</v>
      </c>
      <c r="C46" s="1306">
        <v>179.85</v>
      </c>
      <c r="D46" s="1306">
        <v>260.08</v>
      </c>
      <c r="E46" s="1306">
        <v>1018.2</v>
      </c>
      <c r="F46" s="1306">
        <v>1363</v>
      </c>
      <c r="G46" s="1306">
        <v>2250.25</v>
      </c>
      <c r="H46" s="1306">
        <v>12720.4</v>
      </c>
      <c r="I46" s="1306">
        <v>1079.26</v>
      </c>
      <c r="J46" s="1307">
        <v>19090.34</v>
      </c>
      <c r="K46" s="1305">
        <v>8.6</v>
      </c>
      <c r="L46" s="1306">
        <v>13.003</v>
      </c>
      <c r="M46" s="1306">
        <v>128.13</v>
      </c>
      <c r="N46" s="1306">
        <v>217.26</v>
      </c>
      <c r="O46" s="1306">
        <v>96.89</v>
      </c>
      <c r="P46" s="1306">
        <v>119.64</v>
      </c>
      <c r="Q46" s="1306">
        <v>28.09</v>
      </c>
      <c r="R46" s="1306">
        <v>6.3460000000000001</v>
      </c>
      <c r="S46" s="1306">
        <v>36.25</v>
      </c>
      <c r="T46" s="1306">
        <v>2.4300000000000002</v>
      </c>
      <c r="U46" s="1306">
        <v>8.64</v>
      </c>
      <c r="V46" s="1306">
        <v>0.33</v>
      </c>
      <c r="W46" s="1306">
        <v>0.22</v>
      </c>
      <c r="X46" s="1307">
        <v>665.82900000000006</v>
      </c>
      <c r="Y46" s="1308">
        <v>19756.169000000002</v>
      </c>
      <c r="Z46" s="1309"/>
      <c r="AA46" s="1311"/>
      <c r="AB46" s="1311"/>
      <c r="AC46" s="1311"/>
    </row>
    <row r="47" spans="1:29" ht="28.5" hidden="1" customHeight="1" x14ac:dyDescent="0.25">
      <c r="A47" s="1304">
        <v>40513</v>
      </c>
      <c r="B47" s="1305">
        <v>219.26900000000001</v>
      </c>
      <c r="C47" s="1306">
        <v>196.5</v>
      </c>
      <c r="D47" s="1306">
        <v>289.39999999999998</v>
      </c>
      <c r="E47" s="1306">
        <v>1112.6300000000001</v>
      </c>
      <c r="F47" s="1306">
        <v>1563.9</v>
      </c>
      <c r="G47" s="1306">
        <v>2688.13</v>
      </c>
      <c r="H47" s="1306">
        <v>14930.42</v>
      </c>
      <c r="I47" s="1306">
        <v>1154.04</v>
      </c>
      <c r="J47" s="1307">
        <v>22154.289000000001</v>
      </c>
      <c r="K47" s="1305">
        <v>8.82</v>
      </c>
      <c r="L47" s="1306">
        <v>13.009</v>
      </c>
      <c r="M47" s="1306">
        <v>131.69999999999999</v>
      </c>
      <c r="N47" s="1306">
        <v>221.75</v>
      </c>
      <c r="O47" s="1306">
        <v>99.16</v>
      </c>
      <c r="P47" s="1306">
        <v>121.23</v>
      </c>
      <c r="Q47" s="1306">
        <v>28.18</v>
      </c>
      <c r="R47" s="1306">
        <v>6.3460000000000001</v>
      </c>
      <c r="S47" s="1306">
        <v>36.700000000000003</v>
      </c>
      <c r="T47" s="1306">
        <v>2.4300000000000002</v>
      </c>
      <c r="U47" s="1306">
        <v>8.7200000000000006</v>
      </c>
      <c r="V47" s="1306">
        <v>0.33</v>
      </c>
      <c r="W47" s="1306">
        <v>0.22</v>
      </c>
      <c r="X47" s="1307">
        <v>678.59500000000003</v>
      </c>
      <c r="Y47" s="1308">
        <v>22832.884000000002</v>
      </c>
      <c r="Z47" s="1309"/>
      <c r="AA47" s="1311"/>
      <c r="AB47" s="1311"/>
      <c r="AC47" s="1311"/>
    </row>
    <row r="48" spans="1:29" ht="28.5" hidden="1" customHeight="1" x14ac:dyDescent="0.25">
      <c r="A48" s="1304">
        <v>40544</v>
      </c>
      <c r="B48" s="1305">
        <v>219.2</v>
      </c>
      <c r="C48" s="1306">
        <v>189.8</v>
      </c>
      <c r="D48" s="1306">
        <v>275</v>
      </c>
      <c r="E48" s="1306">
        <v>1033.4000000000001</v>
      </c>
      <c r="F48" s="1306">
        <v>1434.5</v>
      </c>
      <c r="G48" s="1306">
        <v>2496.1999999999998</v>
      </c>
      <c r="H48" s="1306">
        <v>14004.6</v>
      </c>
      <c r="I48" s="1306">
        <v>1129.5999999999999</v>
      </c>
      <c r="J48" s="1307">
        <v>20782.3</v>
      </c>
      <c r="K48" s="1305">
        <v>8.82</v>
      </c>
      <c r="L48" s="1306">
        <v>13</v>
      </c>
      <c r="M48" s="1306">
        <v>131.9</v>
      </c>
      <c r="N48" s="1306">
        <v>223.65</v>
      </c>
      <c r="O48" s="1306">
        <v>100.82</v>
      </c>
      <c r="P48" s="1306">
        <v>122.25</v>
      </c>
      <c r="Q48" s="1306">
        <v>28.28</v>
      </c>
      <c r="R48" s="1306">
        <v>6.3460000000000001</v>
      </c>
      <c r="S48" s="1306">
        <v>36.880000000000003</v>
      </c>
      <c r="T48" s="1306">
        <v>2.4300000000000002</v>
      </c>
      <c r="U48" s="1306">
        <v>8.76</v>
      </c>
      <c r="V48" s="1306">
        <v>0.33</v>
      </c>
      <c r="W48" s="1306">
        <v>0.2</v>
      </c>
      <c r="X48" s="1307">
        <v>683.66600000000005</v>
      </c>
      <c r="Y48" s="1308">
        <v>21466.016</v>
      </c>
      <c r="Z48" s="1309"/>
      <c r="AA48" s="1311"/>
      <c r="AB48" s="1311"/>
      <c r="AC48" s="1311"/>
    </row>
    <row r="49" spans="1:29" ht="28.5" hidden="1" customHeight="1" x14ac:dyDescent="0.25">
      <c r="A49" s="1304">
        <v>40575</v>
      </c>
      <c r="B49" s="1305">
        <v>219.2</v>
      </c>
      <c r="C49" s="1306">
        <v>178.8</v>
      </c>
      <c r="D49" s="1306">
        <v>260.92</v>
      </c>
      <c r="E49" s="1306">
        <v>1008.72</v>
      </c>
      <c r="F49" s="1306">
        <v>1393.11</v>
      </c>
      <c r="G49" s="1306">
        <v>2357.5</v>
      </c>
      <c r="H49" s="1306">
        <v>13570.2</v>
      </c>
      <c r="I49" s="1306">
        <v>1107</v>
      </c>
      <c r="J49" s="1307">
        <v>20095.45</v>
      </c>
      <c r="K49" s="1305">
        <v>8.83</v>
      </c>
      <c r="L49" s="1306">
        <v>13.015000000000001</v>
      </c>
      <c r="M49" s="1306">
        <v>131.87</v>
      </c>
      <c r="N49" s="1306">
        <v>223.57</v>
      </c>
      <c r="O49" s="1306">
        <v>101.03</v>
      </c>
      <c r="P49" s="1306">
        <v>122.74</v>
      </c>
      <c r="Q49" s="1306">
        <v>28.32</v>
      </c>
      <c r="R49" s="1306">
        <v>6.3</v>
      </c>
      <c r="S49" s="1306">
        <v>37</v>
      </c>
      <c r="T49" s="1306">
        <v>2.4</v>
      </c>
      <c r="U49" s="1306">
        <v>8.7799999999999994</v>
      </c>
      <c r="V49" s="1306">
        <v>0.33</v>
      </c>
      <c r="W49" s="1306">
        <v>0.22</v>
      </c>
      <c r="X49" s="1307">
        <v>684.40499999999997</v>
      </c>
      <c r="Y49" s="1308">
        <v>20779.855</v>
      </c>
      <c r="Z49" s="1309"/>
      <c r="AA49" s="1311"/>
      <c r="AB49" s="1314"/>
      <c r="AC49" s="1311"/>
    </row>
    <row r="50" spans="1:29" ht="28.5" hidden="1" customHeight="1" x14ac:dyDescent="0.25">
      <c r="A50" s="1304">
        <v>40603</v>
      </c>
      <c r="B50" s="1305">
        <v>219.1</v>
      </c>
      <c r="C50" s="1306">
        <v>175.44</v>
      </c>
      <c r="D50" s="1306">
        <v>257.2</v>
      </c>
      <c r="E50" s="1306">
        <v>1024</v>
      </c>
      <c r="F50" s="1306">
        <v>1410.8</v>
      </c>
      <c r="G50" s="1306">
        <v>2354.1999999999998</v>
      </c>
      <c r="H50" s="1306">
        <v>13547.2</v>
      </c>
      <c r="I50" s="1306">
        <v>1123.7</v>
      </c>
      <c r="J50" s="1307">
        <v>20111.64</v>
      </c>
      <c r="K50" s="1305">
        <v>8.8000000000000007</v>
      </c>
      <c r="L50" s="1306">
        <v>13.021000000000001</v>
      </c>
      <c r="M50" s="1306">
        <v>131.93</v>
      </c>
      <c r="N50" s="1306">
        <v>223.68</v>
      </c>
      <c r="O50" s="1306">
        <v>101.09</v>
      </c>
      <c r="P50" s="1306">
        <v>123.83</v>
      </c>
      <c r="Q50" s="1306">
        <v>28.5</v>
      </c>
      <c r="R50" s="1306">
        <v>6.3460000000000001</v>
      </c>
      <c r="S50" s="1306">
        <v>37.229999999999997</v>
      </c>
      <c r="T50" s="1306">
        <v>2.4300000000000002</v>
      </c>
      <c r="U50" s="1306">
        <v>8.85</v>
      </c>
      <c r="V50" s="1306">
        <v>0.33</v>
      </c>
      <c r="W50" s="1306">
        <v>0.22</v>
      </c>
      <c r="X50" s="1307">
        <v>686.25700000000018</v>
      </c>
      <c r="Y50" s="1308">
        <v>20797.897000000004</v>
      </c>
      <c r="Z50" s="1309"/>
      <c r="AB50" s="1314"/>
      <c r="AC50" s="1311"/>
    </row>
    <row r="51" spans="1:29" ht="28.5" hidden="1" customHeight="1" x14ac:dyDescent="0.25">
      <c r="A51" s="1304">
        <v>40634</v>
      </c>
      <c r="B51" s="1305">
        <v>219.06</v>
      </c>
      <c r="C51" s="1306">
        <v>172.1</v>
      </c>
      <c r="D51" s="1306">
        <v>253.6</v>
      </c>
      <c r="E51" s="1306">
        <v>1007.86</v>
      </c>
      <c r="F51" s="1306">
        <v>1364.3</v>
      </c>
      <c r="G51" s="1306">
        <v>2308</v>
      </c>
      <c r="H51" s="1306">
        <v>13462.2</v>
      </c>
      <c r="I51" s="1306">
        <v>1120</v>
      </c>
      <c r="J51" s="1307">
        <v>19907.12</v>
      </c>
      <c r="K51" s="1305">
        <v>8.84</v>
      </c>
      <c r="L51" s="1306">
        <v>13</v>
      </c>
      <c r="M51" s="1306">
        <v>132.1</v>
      </c>
      <c r="N51" s="1306">
        <v>223.71</v>
      </c>
      <c r="O51" s="1306">
        <v>100.77</v>
      </c>
      <c r="P51" s="1306">
        <v>124.1</v>
      </c>
      <c r="Q51" s="1306">
        <v>28.65</v>
      </c>
      <c r="R51" s="1306">
        <v>6.34</v>
      </c>
      <c r="S51" s="1306">
        <v>37.270000000000003</v>
      </c>
      <c r="T51" s="1306">
        <v>2.4300000000000002</v>
      </c>
      <c r="U51" s="1306">
        <v>8.8699999999999992</v>
      </c>
      <c r="V51" s="1306">
        <v>0.33</v>
      </c>
      <c r="W51" s="1306">
        <v>0.22</v>
      </c>
      <c r="X51" s="1307">
        <v>686.63</v>
      </c>
      <c r="Y51" s="1308">
        <v>20593.75</v>
      </c>
      <c r="Z51" s="1309"/>
      <c r="AA51" s="1311"/>
      <c r="AB51" s="1314"/>
      <c r="AC51" s="1311"/>
    </row>
    <row r="52" spans="1:29" ht="28.5" hidden="1" customHeight="1" x14ac:dyDescent="0.25">
      <c r="A52" s="1304">
        <v>40664</v>
      </c>
      <c r="B52" s="1305">
        <v>219</v>
      </c>
      <c r="C52" s="1306">
        <v>172.35</v>
      </c>
      <c r="D52" s="1306">
        <v>253.16</v>
      </c>
      <c r="E52" s="1306">
        <v>989.89</v>
      </c>
      <c r="F52" s="1306">
        <v>1360.39</v>
      </c>
      <c r="G52" s="1306">
        <v>2339.66</v>
      </c>
      <c r="H52" s="1306">
        <v>13699.36</v>
      </c>
      <c r="I52" s="1306">
        <v>1115.7</v>
      </c>
      <c r="J52" s="1307">
        <v>20149.509999999998</v>
      </c>
      <c r="K52" s="1305">
        <v>8.8000000000000007</v>
      </c>
      <c r="L52" s="1306">
        <v>13</v>
      </c>
      <c r="M52" s="1306">
        <v>131.5</v>
      </c>
      <c r="N52" s="1306">
        <v>223.8</v>
      </c>
      <c r="O52" s="1306">
        <v>100.61</v>
      </c>
      <c r="P52" s="1306">
        <v>124.5</v>
      </c>
      <c r="Q52" s="1306">
        <v>28.84</v>
      </c>
      <c r="R52" s="1306">
        <v>6.3460000000000001</v>
      </c>
      <c r="S52" s="1306">
        <v>37.4</v>
      </c>
      <c r="T52" s="1306">
        <v>2.4300000000000002</v>
      </c>
      <c r="U52" s="1306">
        <v>8.91</v>
      </c>
      <c r="V52" s="1306">
        <v>0.33</v>
      </c>
      <c r="W52" s="1306">
        <v>0.22</v>
      </c>
      <c r="X52" s="1307">
        <v>686.68600000000004</v>
      </c>
      <c r="Y52" s="1308">
        <v>20836.196000000004</v>
      </c>
      <c r="Z52" s="1309"/>
      <c r="AA52" s="1315"/>
      <c r="AB52" s="1314"/>
      <c r="AC52" s="1311"/>
    </row>
    <row r="53" spans="1:29" ht="28.5" hidden="1" customHeight="1" x14ac:dyDescent="0.25">
      <c r="A53" s="1304">
        <v>40695</v>
      </c>
      <c r="B53" s="1305">
        <v>218.97</v>
      </c>
      <c r="C53" s="1306">
        <v>169.75</v>
      </c>
      <c r="D53" s="1306">
        <v>246.4</v>
      </c>
      <c r="E53" s="1306">
        <v>1009.8</v>
      </c>
      <c r="F53" s="1306">
        <v>1367.5</v>
      </c>
      <c r="G53" s="1306">
        <v>2285.1</v>
      </c>
      <c r="H53" s="1306">
        <v>13573.6</v>
      </c>
      <c r="I53" s="1306">
        <v>1136.5</v>
      </c>
      <c r="J53" s="1307">
        <v>20007.620000000003</v>
      </c>
      <c r="K53" s="1305">
        <v>8.8699999999999992</v>
      </c>
      <c r="L53" s="1306">
        <v>13.037000000000001</v>
      </c>
      <c r="M53" s="1306">
        <v>131.57</v>
      </c>
      <c r="N53" s="1306">
        <v>223.79</v>
      </c>
      <c r="O53" s="1306">
        <v>100.63</v>
      </c>
      <c r="P53" s="1306">
        <v>124.68</v>
      </c>
      <c r="Q53" s="1306">
        <v>28.9</v>
      </c>
      <c r="R53" s="1306">
        <v>6.3440000000000003</v>
      </c>
      <c r="S53" s="1306">
        <v>37.43</v>
      </c>
      <c r="T53" s="1306">
        <v>2.4</v>
      </c>
      <c r="U53" s="1306">
        <v>8.94</v>
      </c>
      <c r="V53" s="1306">
        <v>0.3</v>
      </c>
      <c r="W53" s="1306">
        <v>0.22</v>
      </c>
      <c r="X53" s="1307">
        <v>687.11099999999999</v>
      </c>
      <c r="Y53" s="1308">
        <v>20694.731000000003</v>
      </c>
      <c r="Z53" s="1309"/>
      <c r="AA53" s="1311"/>
      <c r="AB53" s="1314"/>
      <c r="AC53" s="1311"/>
    </row>
    <row r="54" spans="1:29" ht="28.5" hidden="1" customHeight="1" x14ac:dyDescent="0.25">
      <c r="A54" s="1304">
        <v>40725</v>
      </c>
      <c r="B54" s="1305">
        <v>218.94</v>
      </c>
      <c r="C54" s="1306">
        <v>167.62</v>
      </c>
      <c r="D54" s="1306">
        <v>243</v>
      </c>
      <c r="E54" s="1306">
        <v>1019.7</v>
      </c>
      <c r="F54" s="1306">
        <v>1377.32</v>
      </c>
      <c r="G54" s="1306">
        <v>2376.34</v>
      </c>
      <c r="H54" s="1306">
        <v>13889.93</v>
      </c>
      <c r="I54" s="1306">
        <v>1164.0999999999999</v>
      </c>
      <c r="J54" s="1307">
        <v>20456.949999999997</v>
      </c>
      <c r="K54" s="1305">
        <v>8.9</v>
      </c>
      <c r="L54" s="1306">
        <v>13.04</v>
      </c>
      <c r="M54" s="1306">
        <v>132.18</v>
      </c>
      <c r="N54" s="1306">
        <v>224.36</v>
      </c>
      <c r="O54" s="1306">
        <v>101.29</v>
      </c>
      <c r="P54" s="1306">
        <v>125.03</v>
      </c>
      <c r="Q54" s="1306">
        <v>29</v>
      </c>
      <c r="R54" s="1306">
        <v>6.34</v>
      </c>
      <c r="S54" s="1306">
        <v>37.51</v>
      </c>
      <c r="T54" s="1306">
        <v>2.4300000000000002</v>
      </c>
      <c r="U54" s="1306">
        <v>9</v>
      </c>
      <c r="V54" s="1306">
        <v>0.33</v>
      </c>
      <c r="W54" s="1306">
        <v>0.22</v>
      </c>
      <c r="X54" s="1307">
        <v>689.63000000000011</v>
      </c>
      <c r="Y54" s="1308">
        <v>21146.579999999998</v>
      </c>
      <c r="Z54" s="1309"/>
      <c r="AA54" s="1311"/>
      <c r="AB54" s="1314"/>
      <c r="AC54" s="1311"/>
    </row>
    <row r="55" spans="1:29" ht="28.5" hidden="1" customHeight="1" x14ac:dyDescent="0.25">
      <c r="A55" s="1304">
        <v>40756</v>
      </c>
      <c r="B55" s="1305">
        <v>218.9</v>
      </c>
      <c r="C55" s="1306">
        <v>172.7</v>
      </c>
      <c r="D55" s="1306">
        <v>249.2</v>
      </c>
      <c r="E55" s="1306">
        <v>1035.5999999999999</v>
      </c>
      <c r="F55" s="1306">
        <v>1424.9</v>
      </c>
      <c r="G55" s="1306">
        <v>2468.1</v>
      </c>
      <c r="H55" s="1306">
        <v>14458.4</v>
      </c>
      <c r="I55" s="1306">
        <v>1160.0999999999999</v>
      </c>
      <c r="J55" s="1307">
        <v>21187.9</v>
      </c>
      <c r="K55" s="1305">
        <v>8.89</v>
      </c>
      <c r="L55" s="1306">
        <v>13.04</v>
      </c>
      <c r="M55" s="1306">
        <v>137.16</v>
      </c>
      <c r="N55" s="1306">
        <v>227.17</v>
      </c>
      <c r="O55" s="1306">
        <v>101.93</v>
      </c>
      <c r="P55" s="1306">
        <v>125.26</v>
      </c>
      <c r="Q55" s="1306">
        <v>29.03</v>
      </c>
      <c r="R55" s="1306">
        <v>6.34</v>
      </c>
      <c r="S55" s="1306">
        <v>37.58</v>
      </c>
      <c r="T55" s="1306">
        <v>2.4300000000000002</v>
      </c>
      <c r="U55" s="1306">
        <v>8.98</v>
      </c>
      <c r="V55" s="1306">
        <v>0.33</v>
      </c>
      <c r="W55" s="1306">
        <v>0.22</v>
      </c>
      <c r="X55" s="1307">
        <v>698.36000000000013</v>
      </c>
      <c r="Y55" s="1308">
        <v>21886.260000000002</v>
      </c>
      <c r="Z55" s="1309"/>
      <c r="AA55" s="1311"/>
      <c r="AB55" s="1314"/>
      <c r="AC55" s="1311"/>
    </row>
    <row r="56" spans="1:29" ht="28.5" hidden="1" customHeight="1" x14ac:dyDescent="0.25">
      <c r="A56" s="1304">
        <v>40787</v>
      </c>
      <c r="B56" s="1305">
        <v>218.8</v>
      </c>
      <c r="C56" s="1306">
        <v>172.3</v>
      </c>
      <c r="D56" s="1306">
        <v>248.8</v>
      </c>
      <c r="E56" s="1306">
        <v>1029.3</v>
      </c>
      <c r="F56" s="1306">
        <v>1425.3</v>
      </c>
      <c r="G56" s="1306">
        <v>2392.4</v>
      </c>
      <c r="H56" s="1306">
        <v>13982.3</v>
      </c>
      <c r="I56" s="1306">
        <v>1222.4000000000001</v>
      </c>
      <c r="J56" s="1307">
        <v>20691.599999999999</v>
      </c>
      <c r="K56" s="1305">
        <v>8.89</v>
      </c>
      <c r="L56" s="1306">
        <v>13</v>
      </c>
      <c r="M56" s="1306">
        <v>141.16</v>
      </c>
      <c r="N56" s="1306">
        <v>229.9</v>
      </c>
      <c r="O56" s="1306">
        <v>102.1</v>
      </c>
      <c r="P56" s="1306">
        <v>125.6</v>
      </c>
      <c r="Q56" s="1306">
        <v>29.09</v>
      </c>
      <c r="R56" s="1306">
        <v>6.3</v>
      </c>
      <c r="S56" s="1306">
        <v>37.6</v>
      </c>
      <c r="T56" s="1306">
        <v>2.4</v>
      </c>
      <c r="U56" s="1306">
        <v>9</v>
      </c>
      <c r="V56" s="1306">
        <v>0.3</v>
      </c>
      <c r="W56" s="1306">
        <v>0.2</v>
      </c>
      <c r="X56" s="1307">
        <v>705.95</v>
      </c>
      <c r="Y56" s="1308">
        <v>21397.55</v>
      </c>
      <c r="Z56" s="1309"/>
      <c r="AA56" s="1311"/>
      <c r="AB56" s="1314"/>
      <c r="AC56" s="1311"/>
    </row>
    <row r="57" spans="1:29" ht="28.5" hidden="1" customHeight="1" x14ac:dyDescent="0.25">
      <c r="A57" s="1304">
        <v>40817</v>
      </c>
      <c r="B57" s="1305">
        <v>218.8</v>
      </c>
      <c r="C57" s="1306">
        <v>173.4</v>
      </c>
      <c r="D57" s="1306">
        <v>247.7</v>
      </c>
      <c r="E57" s="1306">
        <v>1062.0999999999999</v>
      </c>
      <c r="F57" s="1306">
        <v>1507.1</v>
      </c>
      <c r="G57" s="1306">
        <v>2517.1</v>
      </c>
      <c r="H57" s="1306">
        <v>14456.7</v>
      </c>
      <c r="I57" s="1306">
        <v>1182.2</v>
      </c>
      <c r="J57" s="1307">
        <v>21365.1</v>
      </c>
      <c r="K57" s="1305">
        <v>8.9</v>
      </c>
      <c r="L57" s="1306">
        <v>13</v>
      </c>
      <c r="M57" s="1306">
        <v>145.9</v>
      </c>
      <c r="N57" s="1306">
        <v>231.6</v>
      </c>
      <c r="O57" s="1306">
        <v>102.6</v>
      </c>
      <c r="P57" s="1306">
        <v>126.29</v>
      </c>
      <c r="Q57" s="1306">
        <v>29.19</v>
      </c>
      <c r="R57" s="1306">
        <v>6.34</v>
      </c>
      <c r="S57" s="1306">
        <v>37.82</v>
      </c>
      <c r="T57" s="1306">
        <v>2.4300000000000002</v>
      </c>
      <c r="U57" s="1306">
        <v>9.0500000000000007</v>
      </c>
      <c r="V57" s="1306">
        <v>0.33</v>
      </c>
      <c r="W57" s="1306">
        <v>0.22</v>
      </c>
      <c r="X57" s="1307">
        <v>713.74</v>
      </c>
      <c r="Y57" s="1308">
        <v>22078.880000000001</v>
      </c>
      <c r="Z57" s="1309"/>
      <c r="AA57" s="1316"/>
      <c r="AB57" s="1314"/>
      <c r="AC57" s="1311"/>
    </row>
    <row r="58" spans="1:29" ht="28.5" hidden="1" customHeight="1" x14ac:dyDescent="0.25">
      <c r="A58" s="1304">
        <v>40848</v>
      </c>
      <c r="B58" s="1305">
        <v>218.636</v>
      </c>
      <c r="C58" s="1306">
        <v>174.2</v>
      </c>
      <c r="D58" s="1306">
        <v>247</v>
      </c>
      <c r="E58" s="1306">
        <v>1046.0999999999999</v>
      </c>
      <c r="F58" s="1306">
        <v>1454.2</v>
      </c>
      <c r="G58" s="1306">
        <v>2421.4</v>
      </c>
      <c r="H58" s="1306">
        <v>14170.8</v>
      </c>
      <c r="I58" s="1306">
        <v>1200.5999999999999</v>
      </c>
      <c r="J58" s="1307">
        <v>20932.900000000001</v>
      </c>
      <c r="K58" s="1305">
        <v>8.9</v>
      </c>
      <c r="L58" s="1306">
        <v>13.067</v>
      </c>
      <c r="M58" s="1306">
        <v>150.71</v>
      </c>
      <c r="N58" s="1306">
        <v>233.7</v>
      </c>
      <c r="O58" s="1306">
        <v>102.9</v>
      </c>
      <c r="P58" s="1306">
        <v>127.5</v>
      </c>
      <c r="Q58" s="1306">
        <v>29.4</v>
      </c>
      <c r="R58" s="1306">
        <v>6.34</v>
      </c>
      <c r="S58" s="1306">
        <v>38.07</v>
      </c>
      <c r="T58" s="1306">
        <v>2.4300000000000002</v>
      </c>
      <c r="U58" s="1306">
        <v>9.1</v>
      </c>
      <c r="V58" s="1306">
        <v>0.33</v>
      </c>
      <c r="W58" s="1306">
        <v>0.22</v>
      </c>
      <c r="X58" s="1307">
        <v>722.7</v>
      </c>
      <c r="Y58" s="1308">
        <v>21655.599999999999</v>
      </c>
      <c r="Z58" s="1309"/>
      <c r="AA58" s="1311"/>
      <c r="AB58" s="1314"/>
      <c r="AC58" s="1311"/>
    </row>
    <row r="59" spans="1:29" ht="28.5" hidden="1" customHeight="1" x14ac:dyDescent="0.25">
      <c r="A59" s="1304">
        <v>40878</v>
      </c>
      <c r="B59" s="1305">
        <v>218.59</v>
      </c>
      <c r="C59" s="1306">
        <v>183.45</v>
      </c>
      <c r="D59" s="1306">
        <v>275.99</v>
      </c>
      <c r="E59" s="1306">
        <v>1125.3</v>
      </c>
      <c r="F59" s="1306">
        <v>1675.97</v>
      </c>
      <c r="G59" s="1306">
        <v>2849.27</v>
      </c>
      <c r="H59" s="1306">
        <v>16484.45</v>
      </c>
      <c r="I59" s="1306">
        <v>1163.2</v>
      </c>
      <c r="J59" s="1307">
        <v>23976.22</v>
      </c>
      <c r="K59" s="1305">
        <v>9</v>
      </c>
      <c r="L59" s="1306">
        <v>13.08</v>
      </c>
      <c r="M59" s="1306">
        <v>156.13999999999999</v>
      </c>
      <c r="N59" s="1306">
        <v>236.47</v>
      </c>
      <c r="O59" s="1306">
        <v>104.04</v>
      </c>
      <c r="P59" s="1306">
        <v>128.97999999999999</v>
      </c>
      <c r="Q59" s="1306">
        <v>29.53</v>
      </c>
      <c r="R59" s="1306">
        <v>6.3419999999999996</v>
      </c>
      <c r="S59" s="1306">
        <v>38.43</v>
      </c>
      <c r="T59" s="1306">
        <v>2.4300000000000002</v>
      </c>
      <c r="U59" s="1306">
        <v>9.19</v>
      </c>
      <c r="V59" s="1306">
        <v>0.33</v>
      </c>
      <c r="W59" s="1306">
        <v>0.22</v>
      </c>
      <c r="X59" s="1307">
        <v>734.1819999999999</v>
      </c>
      <c r="Y59" s="1308">
        <v>24710.402000000002</v>
      </c>
      <c r="Z59" s="1309"/>
      <c r="AA59" s="1311"/>
      <c r="AB59" s="1314"/>
      <c r="AC59" s="1311"/>
    </row>
    <row r="60" spans="1:29" ht="28.5" hidden="1" customHeight="1" x14ac:dyDescent="0.25">
      <c r="A60" s="1304">
        <v>40909</v>
      </c>
      <c r="B60" s="1305">
        <v>218.56</v>
      </c>
      <c r="C60" s="1306">
        <v>180.8</v>
      </c>
      <c r="D60" s="1306">
        <v>268.7</v>
      </c>
      <c r="E60" s="1306">
        <v>1057.3900000000001</v>
      </c>
      <c r="F60" s="1306">
        <v>1551.45</v>
      </c>
      <c r="G60" s="1306">
        <v>2575.5</v>
      </c>
      <c r="H60" s="1306">
        <v>15069.3</v>
      </c>
      <c r="I60" s="1306">
        <v>1171.0999999999999</v>
      </c>
      <c r="J60" s="1307">
        <v>22092.799999999996</v>
      </c>
      <c r="K60" s="1305">
        <v>8.9749999999999996</v>
      </c>
      <c r="L60" s="1306">
        <v>13.083</v>
      </c>
      <c r="M60" s="1306">
        <v>156.6</v>
      </c>
      <c r="N60" s="1306">
        <v>237.54</v>
      </c>
      <c r="O60" s="1306">
        <v>104.11</v>
      </c>
      <c r="P60" s="1306">
        <v>129.03</v>
      </c>
      <c r="Q60" s="1306">
        <v>29.56</v>
      </c>
      <c r="R60" s="1306">
        <v>6.34</v>
      </c>
      <c r="S60" s="1306">
        <v>38.5</v>
      </c>
      <c r="T60" s="1306">
        <v>2.4300000000000002</v>
      </c>
      <c r="U60" s="1306">
        <v>9.1999999999999993</v>
      </c>
      <c r="V60" s="1306">
        <v>0.3</v>
      </c>
      <c r="W60" s="1306">
        <v>0.2</v>
      </c>
      <c r="X60" s="1307">
        <v>735.86799999999994</v>
      </c>
      <c r="Y60" s="1308">
        <v>22828.7</v>
      </c>
      <c r="Z60" s="1309"/>
      <c r="AA60" s="1311"/>
      <c r="AB60" s="1314"/>
      <c r="AC60" s="1311"/>
    </row>
    <row r="61" spans="1:29" ht="28.5" hidden="1" customHeight="1" x14ac:dyDescent="0.25">
      <c r="A61" s="1304">
        <v>40940</v>
      </c>
      <c r="B61" s="1305">
        <v>218.48</v>
      </c>
      <c r="C61" s="1306">
        <v>177.5</v>
      </c>
      <c r="D61" s="1306">
        <v>263.3</v>
      </c>
      <c r="E61" s="1306">
        <v>1046.0999999999999</v>
      </c>
      <c r="F61" s="1306">
        <v>1474.1</v>
      </c>
      <c r="G61" s="1306">
        <v>2504.8000000000002</v>
      </c>
      <c r="H61" s="1306">
        <v>14837.2</v>
      </c>
      <c r="I61" s="1306">
        <v>1159.4000000000001</v>
      </c>
      <c r="J61" s="1307">
        <v>21680.9</v>
      </c>
      <c r="K61" s="1305">
        <v>8.98</v>
      </c>
      <c r="L61" s="1306">
        <v>13.08</v>
      </c>
      <c r="M61" s="1306">
        <v>151.87</v>
      </c>
      <c r="N61" s="1306">
        <v>237.04</v>
      </c>
      <c r="O61" s="1306">
        <v>104.13</v>
      </c>
      <c r="P61" s="1306">
        <v>129.08000000000001</v>
      </c>
      <c r="Q61" s="1306">
        <v>29.61</v>
      </c>
      <c r="R61" s="1306">
        <v>6.34</v>
      </c>
      <c r="S61" s="1306">
        <v>38.57</v>
      </c>
      <c r="T61" s="1306">
        <v>2.4</v>
      </c>
      <c r="U61" s="1306">
        <v>9.1999999999999993</v>
      </c>
      <c r="V61" s="1306">
        <v>0.33</v>
      </c>
      <c r="W61" s="1306">
        <v>0.22</v>
      </c>
      <c r="X61" s="1307">
        <v>730.9</v>
      </c>
      <c r="Y61" s="1308">
        <v>22411.8</v>
      </c>
      <c r="Z61" s="1309"/>
      <c r="AA61" s="1311"/>
      <c r="AB61" s="1314"/>
      <c r="AC61" s="1311"/>
    </row>
    <row r="62" spans="1:29" ht="28.5" hidden="1" customHeight="1" x14ac:dyDescent="0.25">
      <c r="A62" s="1304">
        <v>40969</v>
      </c>
      <c r="B62" s="1305">
        <v>218.44</v>
      </c>
      <c r="C62" s="1306">
        <v>176.9</v>
      </c>
      <c r="D62" s="1306">
        <v>262.43</v>
      </c>
      <c r="E62" s="1306">
        <v>1034.5</v>
      </c>
      <c r="F62" s="1306">
        <v>1453.9</v>
      </c>
      <c r="G62" s="1306">
        <v>2412.9</v>
      </c>
      <c r="H62" s="1306">
        <v>14691.1</v>
      </c>
      <c r="I62" s="1306">
        <v>1123.4000000000001</v>
      </c>
      <c r="J62" s="1307">
        <v>21373.55</v>
      </c>
      <c r="K62" s="1305">
        <v>9</v>
      </c>
      <c r="L62" s="1306">
        <v>13.086</v>
      </c>
      <c r="M62" s="1306">
        <v>149.37</v>
      </c>
      <c r="N62" s="1306">
        <v>237.2</v>
      </c>
      <c r="O62" s="1306">
        <v>104.13</v>
      </c>
      <c r="P62" s="1306">
        <v>129.15</v>
      </c>
      <c r="Q62" s="1306">
        <v>29.861000000000001</v>
      </c>
      <c r="R62" s="1306">
        <v>6.3419999999999996</v>
      </c>
      <c r="S62" s="1306">
        <v>38.68</v>
      </c>
      <c r="T62" s="1306">
        <v>2.4300000000000002</v>
      </c>
      <c r="U62" s="1306">
        <v>9.2330000000000005</v>
      </c>
      <c r="V62" s="1306">
        <v>0.33</v>
      </c>
      <c r="W62" s="1306">
        <v>0.22</v>
      </c>
      <c r="X62" s="1307">
        <v>729.03199999999993</v>
      </c>
      <c r="Y62" s="1308">
        <v>22102.581999999999</v>
      </c>
      <c r="Z62" s="1309"/>
      <c r="AA62" s="1311"/>
      <c r="AB62" s="1314"/>
      <c r="AC62" s="1311"/>
    </row>
    <row r="63" spans="1:29" ht="28.5" hidden="1" customHeight="1" x14ac:dyDescent="0.25">
      <c r="A63" s="1304">
        <v>41000</v>
      </c>
      <c r="B63" s="1305">
        <v>218.4</v>
      </c>
      <c r="C63" s="1306">
        <v>175.53</v>
      </c>
      <c r="D63" s="1306">
        <v>261.39</v>
      </c>
      <c r="E63" s="1306">
        <v>1000.98</v>
      </c>
      <c r="F63" s="1306">
        <v>1462.26</v>
      </c>
      <c r="G63" s="1306">
        <v>2422.4</v>
      </c>
      <c r="H63" s="1306">
        <v>14778.4</v>
      </c>
      <c r="I63" s="1306">
        <v>1131.8</v>
      </c>
      <c r="J63" s="1307">
        <v>21451.16</v>
      </c>
      <c r="K63" s="1305">
        <v>9</v>
      </c>
      <c r="L63" s="1306">
        <v>13.1</v>
      </c>
      <c r="M63" s="1306">
        <v>148.83000000000001</v>
      </c>
      <c r="N63" s="1306">
        <v>237.2</v>
      </c>
      <c r="O63" s="1306">
        <v>104.1</v>
      </c>
      <c r="P63" s="1306">
        <v>129.16</v>
      </c>
      <c r="Q63" s="1306">
        <v>30.01</v>
      </c>
      <c r="R63" s="1306">
        <v>6.3</v>
      </c>
      <c r="S63" s="1306">
        <v>38.79</v>
      </c>
      <c r="T63" s="1306">
        <v>2.4300000000000002</v>
      </c>
      <c r="U63" s="1306">
        <v>9.24</v>
      </c>
      <c r="V63" s="1306">
        <v>0.33</v>
      </c>
      <c r="W63" s="1306">
        <v>0.2</v>
      </c>
      <c r="X63" s="1307">
        <v>728.69</v>
      </c>
      <c r="Y63" s="1308">
        <v>22179.85</v>
      </c>
      <c r="Z63" s="1309"/>
      <c r="AA63" s="1311"/>
      <c r="AB63" s="1314"/>
      <c r="AC63" s="1311"/>
    </row>
    <row r="64" spans="1:29" ht="28.5" hidden="1" customHeight="1" x14ac:dyDescent="0.25">
      <c r="A64" s="1304">
        <v>41030</v>
      </c>
      <c r="B64" s="1305">
        <v>218.25</v>
      </c>
      <c r="C64" s="1306">
        <v>175.9</v>
      </c>
      <c r="D64" s="1306">
        <v>259.77999999999997</v>
      </c>
      <c r="E64" s="1306">
        <v>996.6</v>
      </c>
      <c r="F64" s="1306">
        <v>1464.59</v>
      </c>
      <c r="G64" s="1306">
        <v>2443.9</v>
      </c>
      <c r="H64" s="1306">
        <v>14911.7</v>
      </c>
      <c r="I64" s="1306">
        <v>1126.4000000000001</v>
      </c>
      <c r="J64" s="1307">
        <v>21597.09</v>
      </c>
      <c r="K64" s="1305">
        <v>9</v>
      </c>
      <c r="L64" s="1306">
        <v>13.1</v>
      </c>
      <c r="M64" s="1306">
        <v>146.6</v>
      </c>
      <c r="N64" s="1306">
        <v>235.8</v>
      </c>
      <c r="O64" s="1306">
        <v>104.14</v>
      </c>
      <c r="P64" s="1306">
        <v>129.21</v>
      </c>
      <c r="Q64" s="1306">
        <v>30.09</v>
      </c>
      <c r="R64" s="1306">
        <v>6.34</v>
      </c>
      <c r="S64" s="1306">
        <v>38.9</v>
      </c>
      <c r="T64" s="1306">
        <v>2.4</v>
      </c>
      <c r="U64" s="1306">
        <v>9.25</v>
      </c>
      <c r="V64" s="1306">
        <v>0.33</v>
      </c>
      <c r="W64" s="1306">
        <v>0.2</v>
      </c>
      <c r="X64" s="1307">
        <v>725.36000000000013</v>
      </c>
      <c r="Y64" s="1308">
        <v>22322.45</v>
      </c>
      <c r="Z64" s="1309"/>
      <c r="AA64" s="1311"/>
      <c r="AB64" s="1314"/>
      <c r="AC64" s="1311"/>
    </row>
    <row r="65" spans="1:29" ht="28.5" hidden="1" customHeight="1" x14ac:dyDescent="0.25">
      <c r="A65" s="1304">
        <v>41061</v>
      </c>
      <c r="B65" s="1305">
        <v>218.22</v>
      </c>
      <c r="C65" s="1306">
        <v>176.76</v>
      </c>
      <c r="D65" s="1306">
        <v>258.8</v>
      </c>
      <c r="E65" s="1306">
        <v>996.95</v>
      </c>
      <c r="F65" s="1306">
        <v>1446.05</v>
      </c>
      <c r="G65" s="1306">
        <v>2381.3000000000002</v>
      </c>
      <c r="H65" s="1306">
        <v>14668.3</v>
      </c>
      <c r="I65" s="1306">
        <v>1113.0899999999999</v>
      </c>
      <c r="J65" s="1307">
        <v>21259.47</v>
      </c>
      <c r="K65" s="1305">
        <v>9</v>
      </c>
      <c r="L65" s="1306">
        <v>13.1</v>
      </c>
      <c r="M65" s="1306">
        <v>147.6</v>
      </c>
      <c r="N65" s="1306">
        <v>235.82</v>
      </c>
      <c r="O65" s="1306">
        <v>104.13</v>
      </c>
      <c r="P65" s="1306">
        <v>129.15</v>
      </c>
      <c r="Q65" s="1306">
        <v>30.2</v>
      </c>
      <c r="R65" s="1306">
        <v>6.34</v>
      </c>
      <c r="S65" s="1306">
        <v>38.94</v>
      </c>
      <c r="T65" s="1306">
        <v>2.4300000000000002</v>
      </c>
      <c r="U65" s="1306">
        <v>9.25</v>
      </c>
      <c r="V65" s="1306">
        <v>0.3</v>
      </c>
      <c r="W65" s="1306">
        <v>0.2</v>
      </c>
      <c r="X65" s="1307">
        <v>726.45999999999992</v>
      </c>
      <c r="Y65" s="1308">
        <v>21985.93</v>
      </c>
      <c r="Z65" s="1309"/>
      <c r="AA65" s="1311"/>
      <c r="AB65" s="1314"/>
      <c r="AC65" s="1311"/>
    </row>
    <row r="66" spans="1:29" ht="28.5" hidden="1" customHeight="1" x14ac:dyDescent="0.25">
      <c r="A66" s="1304">
        <v>41091</v>
      </c>
      <c r="B66" s="1305">
        <v>217.9</v>
      </c>
      <c r="C66" s="1306">
        <v>177.9</v>
      </c>
      <c r="D66" s="1306">
        <v>259.82</v>
      </c>
      <c r="E66" s="1306">
        <v>1005.9</v>
      </c>
      <c r="F66" s="1306">
        <v>1430.6</v>
      </c>
      <c r="G66" s="1306">
        <v>2469.42</v>
      </c>
      <c r="H66" s="1306">
        <v>14993.64</v>
      </c>
      <c r="I66" s="1306">
        <v>1105.24</v>
      </c>
      <c r="J66" s="1307">
        <v>21660.400000000001</v>
      </c>
      <c r="K66" s="1305">
        <v>8.99</v>
      </c>
      <c r="L66" s="1306">
        <v>13.1</v>
      </c>
      <c r="M66" s="1306">
        <v>150.05000000000001</v>
      </c>
      <c r="N66" s="1306">
        <v>235.9</v>
      </c>
      <c r="O66" s="1306">
        <v>104.14</v>
      </c>
      <c r="P66" s="1306">
        <v>129.19999999999999</v>
      </c>
      <c r="Q66" s="1306">
        <v>30.41</v>
      </c>
      <c r="R66" s="1306">
        <v>6.34</v>
      </c>
      <c r="S66" s="1306">
        <v>38.97</v>
      </c>
      <c r="T66" s="1306">
        <v>2.4300000000000002</v>
      </c>
      <c r="U66" s="1306">
        <v>9.3000000000000007</v>
      </c>
      <c r="V66" s="1306">
        <v>0.3</v>
      </c>
      <c r="W66" s="1306">
        <v>0.2</v>
      </c>
      <c r="X66" s="1307">
        <v>729.3</v>
      </c>
      <c r="Y66" s="1308">
        <v>22389.7</v>
      </c>
      <c r="Z66" s="1309"/>
      <c r="AA66" s="1311"/>
      <c r="AB66" s="1314"/>
      <c r="AC66" s="1311"/>
    </row>
    <row r="67" spans="1:29" ht="28.5" hidden="1" customHeight="1" x14ac:dyDescent="0.25">
      <c r="A67" s="1304">
        <v>41122</v>
      </c>
      <c r="B67" s="1305">
        <v>217.76</v>
      </c>
      <c r="C67" s="1306">
        <v>183.5</v>
      </c>
      <c r="D67" s="1306">
        <v>266.66000000000003</v>
      </c>
      <c r="E67" s="1306">
        <v>1021.68</v>
      </c>
      <c r="F67" s="1306">
        <v>1446.14</v>
      </c>
      <c r="G67" s="1306">
        <v>2482.6</v>
      </c>
      <c r="H67" s="1306">
        <v>15152.7</v>
      </c>
      <c r="I67" s="1306">
        <v>1304.97</v>
      </c>
      <c r="J67" s="1307">
        <v>22076.010000000002</v>
      </c>
      <c r="K67" s="1305">
        <v>8.99</v>
      </c>
      <c r="L67" s="1306">
        <v>13.1</v>
      </c>
      <c r="M67" s="1306">
        <v>154.34</v>
      </c>
      <c r="N67" s="1306">
        <v>238.45</v>
      </c>
      <c r="O67" s="1306">
        <v>104.26</v>
      </c>
      <c r="P67" s="1306">
        <v>129.19999999999999</v>
      </c>
      <c r="Q67" s="1306">
        <v>30.51</v>
      </c>
      <c r="R67" s="1306">
        <v>6.34</v>
      </c>
      <c r="S67" s="1306">
        <v>38.99</v>
      </c>
      <c r="T67" s="1306">
        <v>2.4300000000000002</v>
      </c>
      <c r="U67" s="1306">
        <v>9.3000000000000007</v>
      </c>
      <c r="V67" s="1306">
        <v>0.33</v>
      </c>
      <c r="W67" s="1306">
        <v>0.2</v>
      </c>
      <c r="X67" s="1307">
        <v>736.4</v>
      </c>
      <c r="Y67" s="1308">
        <v>22812.410000000003</v>
      </c>
      <c r="Z67" s="1309"/>
      <c r="AA67" s="1311"/>
      <c r="AB67" s="1314"/>
      <c r="AC67" s="1311"/>
    </row>
    <row r="68" spans="1:29" ht="28.5" hidden="1" customHeight="1" x14ac:dyDescent="0.25">
      <c r="A68" s="1304">
        <v>41153</v>
      </c>
      <c r="B68" s="1305">
        <v>217.63</v>
      </c>
      <c r="C68" s="1306">
        <v>183.4</v>
      </c>
      <c r="D68" s="1306">
        <v>268.3</v>
      </c>
      <c r="E68" s="1306">
        <v>1047</v>
      </c>
      <c r="F68" s="1306">
        <v>1444.9</v>
      </c>
      <c r="G68" s="1306">
        <v>2460.04</v>
      </c>
      <c r="H68" s="1306">
        <v>14838.55</v>
      </c>
      <c r="I68" s="1306">
        <v>1495.14</v>
      </c>
      <c r="J68" s="1307">
        <v>21954.959999999999</v>
      </c>
      <c r="K68" s="1305">
        <v>8.99</v>
      </c>
      <c r="L68" s="1306">
        <v>13.1</v>
      </c>
      <c r="M68" s="1306">
        <v>154.88</v>
      </c>
      <c r="N68" s="1306">
        <v>239</v>
      </c>
      <c r="O68" s="1306">
        <v>104.3</v>
      </c>
      <c r="P68" s="1306">
        <v>129.19999999999999</v>
      </c>
      <c r="Q68" s="1306">
        <v>30.55</v>
      </c>
      <c r="R68" s="1306">
        <v>6.34</v>
      </c>
      <c r="S68" s="1306">
        <v>39</v>
      </c>
      <c r="T68" s="1306">
        <v>2.42</v>
      </c>
      <c r="U68" s="1306">
        <v>9.3000000000000007</v>
      </c>
      <c r="V68" s="1306">
        <v>0.33</v>
      </c>
      <c r="W68" s="1306">
        <v>0.22</v>
      </c>
      <c r="X68" s="1307">
        <v>737.63</v>
      </c>
      <c r="Y68" s="1308">
        <v>22692.59</v>
      </c>
      <c r="Z68" s="1309"/>
      <c r="AA68" s="1311"/>
      <c r="AB68" s="1314"/>
      <c r="AC68" s="1311"/>
    </row>
    <row r="69" spans="1:29" ht="28.5" hidden="1" customHeight="1" x14ac:dyDescent="0.25">
      <c r="A69" s="1304">
        <v>41183</v>
      </c>
      <c r="B69" s="1305">
        <v>217.49</v>
      </c>
      <c r="C69" s="1306">
        <v>195.87</v>
      </c>
      <c r="D69" s="1306">
        <v>314.95999999999998</v>
      </c>
      <c r="E69" s="1306">
        <v>1059.5</v>
      </c>
      <c r="F69" s="1306">
        <v>1415.9</v>
      </c>
      <c r="G69" s="1306">
        <v>2464.96</v>
      </c>
      <c r="H69" s="1306">
        <v>15104.4</v>
      </c>
      <c r="I69" s="1306">
        <v>1759.53</v>
      </c>
      <c r="J69" s="1307">
        <v>22532.61</v>
      </c>
      <c r="K69" s="1305">
        <v>8.99</v>
      </c>
      <c r="L69" s="1306">
        <v>13.1</v>
      </c>
      <c r="M69" s="1306">
        <v>156.93</v>
      </c>
      <c r="N69" s="1306">
        <v>238.97</v>
      </c>
      <c r="O69" s="1306">
        <v>104.24</v>
      </c>
      <c r="P69" s="1306">
        <v>129.5</v>
      </c>
      <c r="Q69" s="1306">
        <v>30.61</v>
      </c>
      <c r="R69" s="1306">
        <v>6.34</v>
      </c>
      <c r="S69" s="1306">
        <v>39.06</v>
      </c>
      <c r="T69" s="1306">
        <v>2.42</v>
      </c>
      <c r="U69" s="1306">
        <v>9.2799999999999994</v>
      </c>
      <c r="V69" s="1306">
        <v>0.33</v>
      </c>
      <c r="W69" s="1306">
        <v>0.22</v>
      </c>
      <c r="X69" s="1307">
        <v>739.99</v>
      </c>
      <c r="Y69" s="1308">
        <v>23272.600000000002</v>
      </c>
      <c r="Z69" s="1309"/>
      <c r="AA69" s="1311"/>
      <c r="AB69" s="1314"/>
      <c r="AC69" s="1311"/>
    </row>
    <row r="70" spans="1:29" ht="26.25" hidden="1" customHeight="1" x14ac:dyDescent="0.25">
      <c r="A70" s="1304">
        <v>41214</v>
      </c>
      <c r="B70" s="1305">
        <v>217.45</v>
      </c>
      <c r="C70" s="1306">
        <v>193.43</v>
      </c>
      <c r="D70" s="1306">
        <v>310.89999999999998</v>
      </c>
      <c r="E70" s="1306">
        <v>1115.9100000000001</v>
      </c>
      <c r="F70" s="1306">
        <v>1394.5</v>
      </c>
      <c r="G70" s="1306">
        <v>2489.6</v>
      </c>
      <c r="H70" s="1306">
        <v>15041</v>
      </c>
      <c r="I70" s="1306">
        <v>1945.3</v>
      </c>
      <c r="J70" s="1307">
        <v>22708.09</v>
      </c>
      <c r="K70" s="1305">
        <v>9.0009829999999997</v>
      </c>
      <c r="L70" s="1306">
        <v>13.1</v>
      </c>
      <c r="M70" s="1306">
        <v>159.49</v>
      </c>
      <c r="N70" s="1306">
        <v>241.42</v>
      </c>
      <c r="O70" s="1306">
        <v>105.42</v>
      </c>
      <c r="P70" s="1306">
        <v>130.72</v>
      </c>
      <c r="Q70" s="1306">
        <v>30.63</v>
      </c>
      <c r="R70" s="1306">
        <v>6.3390000000000004</v>
      </c>
      <c r="S70" s="1306">
        <v>39.31</v>
      </c>
      <c r="T70" s="1306">
        <v>2.42</v>
      </c>
      <c r="U70" s="1306">
        <v>9.34</v>
      </c>
      <c r="V70" s="1306">
        <v>0.33</v>
      </c>
      <c r="W70" s="1306">
        <v>0.22</v>
      </c>
      <c r="X70" s="1307">
        <v>747.73998300000005</v>
      </c>
      <c r="Y70" s="1308">
        <v>23455.829983</v>
      </c>
      <c r="Z70" s="1309"/>
      <c r="AA70" s="1311"/>
      <c r="AB70" s="1314"/>
      <c r="AC70" s="1311"/>
    </row>
    <row r="71" spans="1:29" ht="28.5" hidden="1" customHeight="1" x14ac:dyDescent="0.25">
      <c r="A71" s="1304">
        <v>41244</v>
      </c>
      <c r="B71" s="1305">
        <v>217.39</v>
      </c>
      <c r="C71" s="1306">
        <v>194.03</v>
      </c>
      <c r="D71" s="1306">
        <v>306.7</v>
      </c>
      <c r="E71" s="1306">
        <v>1284.2</v>
      </c>
      <c r="F71" s="1306">
        <v>1559.5</v>
      </c>
      <c r="G71" s="1306">
        <v>2948.7</v>
      </c>
      <c r="H71" s="1306">
        <v>17722.5</v>
      </c>
      <c r="I71" s="1306">
        <v>2206.34</v>
      </c>
      <c r="J71" s="1307">
        <v>26439.360000000001</v>
      </c>
      <c r="K71" s="1305">
        <v>9</v>
      </c>
      <c r="L71" s="1306">
        <v>13.1</v>
      </c>
      <c r="M71" s="1306">
        <v>165.54</v>
      </c>
      <c r="N71" s="1306">
        <v>245.15</v>
      </c>
      <c r="O71" s="1306">
        <v>107.89</v>
      </c>
      <c r="P71" s="1306">
        <v>131.78</v>
      </c>
      <c r="Q71" s="1306">
        <v>30.89</v>
      </c>
      <c r="R71" s="1306">
        <v>6.33</v>
      </c>
      <c r="S71" s="1306">
        <v>39.54</v>
      </c>
      <c r="T71" s="1306">
        <v>2.42</v>
      </c>
      <c r="U71" s="1306">
        <v>9.3699999999999992</v>
      </c>
      <c r="V71" s="1306">
        <v>0.33</v>
      </c>
      <c r="W71" s="1306">
        <v>0.22</v>
      </c>
      <c r="X71" s="1307">
        <v>761.56</v>
      </c>
      <c r="Y71" s="1308">
        <v>27200.920000000002</v>
      </c>
      <c r="Z71" s="1309"/>
      <c r="AA71" s="1311"/>
      <c r="AB71" s="1314"/>
      <c r="AC71" s="1311"/>
    </row>
    <row r="72" spans="1:29" ht="28.5" hidden="1" customHeight="1" x14ac:dyDescent="0.25">
      <c r="A72" s="1304">
        <v>41275</v>
      </c>
      <c r="B72" s="1305">
        <v>217.32</v>
      </c>
      <c r="C72" s="1306">
        <v>190.4</v>
      </c>
      <c r="D72" s="1306">
        <v>293.81</v>
      </c>
      <c r="E72" s="1306">
        <v>1151.3</v>
      </c>
      <c r="F72" s="1306">
        <v>1448</v>
      </c>
      <c r="G72" s="1306">
        <v>2664.6</v>
      </c>
      <c r="H72" s="1306">
        <v>16403.5</v>
      </c>
      <c r="I72" s="1306">
        <v>2264</v>
      </c>
      <c r="J72" s="1307">
        <v>24632.93</v>
      </c>
      <c r="K72" s="1305">
        <v>9</v>
      </c>
      <c r="L72" s="1306">
        <v>13.1</v>
      </c>
      <c r="M72" s="1306">
        <v>168.79</v>
      </c>
      <c r="N72" s="1306">
        <v>247.32</v>
      </c>
      <c r="O72" s="1306">
        <v>109.34</v>
      </c>
      <c r="P72" s="1306">
        <v>132.81</v>
      </c>
      <c r="Q72" s="1306">
        <v>30.96</v>
      </c>
      <c r="R72" s="1306">
        <v>6.34</v>
      </c>
      <c r="S72" s="1306">
        <v>39.71</v>
      </c>
      <c r="T72" s="1306">
        <v>2.42</v>
      </c>
      <c r="U72" s="1306">
        <v>9.39</v>
      </c>
      <c r="V72" s="1306">
        <v>0.33</v>
      </c>
      <c r="W72" s="1306">
        <v>0.2</v>
      </c>
      <c r="X72" s="1307">
        <v>769.71</v>
      </c>
      <c r="Y72" s="1308">
        <v>25402.639999999999</v>
      </c>
      <c r="Z72" s="1309"/>
      <c r="AA72" s="1311"/>
      <c r="AB72" s="1314"/>
      <c r="AC72" s="1311"/>
    </row>
    <row r="73" spans="1:29" ht="28.5" hidden="1" customHeight="1" x14ac:dyDescent="0.25">
      <c r="A73" s="1304">
        <v>41306</v>
      </c>
      <c r="B73" s="1305">
        <v>217.19</v>
      </c>
      <c r="C73" s="1306">
        <v>187.92</v>
      </c>
      <c r="D73" s="1306">
        <v>288.66000000000003</v>
      </c>
      <c r="E73" s="1306">
        <v>1168.05</v>
      </c>
      <c r="F73" s="1306">
        <v>1391.75</v>
      </c>
      <c r="G73" s="1306">
        <v>2511.4899999999998</v>
      </c>
      <c r="H73" s="1306">
        <v>15837.7</v>
      </c>
      <c r="I73" s="1306">
        <v>2361.6999999999998</v>
      </c>
      <c r="J73" s="1307">
        <v>23964.460000000003</v>
      </c>
      <c r="K73" s="1305">
        <v>9</v>
      </c>
      <c r="L73" s="1306">
        <v>13.1</v>
      </c>
      <c r="M73" s="1306">
        <v>170.14</v>
      </c>
      <c r="N73" s="1306">
        <v>247.42500000000001</v>
      </c>
      <c r="O73" s="1306">
        <v>110.86499999999999</v>
      </c>
      <c r="P73" s="1306">
        <v>133.58000000000001</v>
      </c>
      <c r="Q73" s="1306">
        <v>31.02</v>
      </c>
      <c r="R73" s="1306">
        <v>6.3390000000000004</v>
      </c>
      <c r="S73" s="1306">
        <v>39.85</v>
      </c>
      <c r="T73" s="1306">
        <v>2.42</v>
      </c>
      <c r="U73" s="1306">
        <v>9.41</v>
      </c>
      <c r="V73" s="1306">
        <v>0.33</v>
      </c>
      <c r="W73" s="1306">
        <v>0.22</v>
      </c>
      <c r="X73" s="1307">
        <v>773.69900000000007</v>
      </c>
      <c r="Y73" s="1308">
        <v>24738.159000000003</v>
      </c>
      <c r="Z73" s="1309"/>
      <c r="AA73" s="1314"/>
      <c r="AB73" s="1314"/>
      <c r="AC73" s="1311"/>
    </row>
    <row r="74" spans="1:29" ht="28.5" hidden="1" customHeight="1" x14ac:dyDescent="0.25">
      <c r="A74" s="1304">
        <v>41334</v>
      </c>
      <c r="B74" s="1305">
        <v>217.14</v>
      </c>
      <c r="C74" s="1306">
        <v>188.9</v>
      </c>
      <c r="D74" s="1306">
        <v>287.89999999999998</v>
      </c>
      <c r="E74" s="1306">
        <v>1159.3</v>
      </c>
      <c r="F74" s="1306">
        <v>1383.7</v>
      </c>
      <c r="G74" s="1306">
        <v>2528.1</v>
      </c>
      <c r="H74" s="1306">
        <v>16082.1</v>
      </c>
      <c r="I74" s="1306">
        <v>2572.8000000000002</v>
      </c>
      <c r="J74" s="1307">
        <v>24419.94</v>
      </c>
      <c r="K74" s="1305">
        <v>9</v>
      </c>
      <c r="L74" s="1306">
        <v>13.1</v>
      </c>
      <c r="M74" s="1306">
        <v>169.59</v>
      </c>
      <c r="N74" s="1306">
        <v>247.14</v>
      </c>
      <c r="O74" s="1306">
        <v>111.5</v>
      </c>
      <c r="P74" s="1306">
        <v>134.4</v>
      </c>
      <c r="Q74" s="1306">
        <v>31.03</v>
      </c>
      <c r="R74" s="1306">
        <v>6.3390000000000004</v>
      </c>
      <c r="S74" s="1306">
        <v>39.97</v>
      </c>
      <c r="T74" s="1306">
        <v>2.42</v>
      </c>
      <c r="U74" s="1306">
        <v>9.4499999999999993</v>
      </c>
      <c r="V74" s="1306">
        <v>0.33</v>
      </c>
      <c r="W74" s="1306">
        <v>0.22</v>
      </c>
      <c r="X74" s="1307">
        <v>774.48900000000003</v>
      </c>
      <c r="Y74" s="1308">
        <v>25194.429</v>
      </c>
      <c r="Z74" s="1309"/>
      <c r="AA74" s="1311"/>
      <c r="AB74" s="1314"/>
      <c r="AC74" s="1311"/>
    </row>
    <row r="75" spans="1:29" ht="28.5" hidden="1" customHeight="1" x14ac:dyDescent="0.25">
      <c r="A75" s="1304">
        <v>41365</v>
      </c>
      <c r="B75" s="1305">
        <v>217.04</v>
      </c>
      <c r="C75" s="1306">
        <v>188.8</v>
      </c>
      <c r="D75" s="1306">
        <v>286.5</v>
      </c>
      <c r="E75" s="1306">
        <v>1132.3</v>
      </c>
      <c r="F75" s="1306">
        <v>1370.4</v>
      </c>
      <c r="G75" s="1306">
        <v>2529.9</v>
      </c>
      <c r="H75" s="1306">
        <v>15968.7</v>
      </c>
      <c r="I75" s="1306">
        <v>2683.2</v>
      </c>
      <c r="J75" s="1307">
        <v>24376.84</v>
      </c>
      <c r="K75" s="1305">
        <v>9</v>
      </c>
      <c r="L75" s="1306">
        <v>13.1</v>
      </c>
      <c r="M75" s="1306">
        <v>174.18</v>
      </c>
      <c r="N75" s="1306">
        <v>249.04</v>
      </c>
      <c r="O75" s="1306">
        <v>111.62</v>
      </c>
      <c r="P75" s="1306">
        <v>135.13999999999999</v>
      </c>
      <c r="Q75" s="1306">
        <v>31.04</v>
      </c>
      <c r="R75" s="1306">
        <v>6.34</v>
      </c>
      <c r="S75" s="1306">
        <v>40.119999999999997</v>
      </c>
      <c r="T75" s="1306">
        <v>2.4</v>
      </c>
      <c r="U75" s="1306">
        <v>9.4700000000000006</v>
      </c>
      <c r="V75" s="1306">
        <v>0.33</v>
      </c>
      <c r="W75" s="1306">
        <v>0.22</v>
      </c>
      <c r="X75" s="1307">
        <v>782.00000000000011</v>
      </c>
      <c r="Y75" s="1308">
        <v>25158.84</v>
      </c>
      <c r="Z75" s="1309"/>
      <c r="AA75" s="1311"/>
      <c r="AB75" s="1314"/>
      <c r="AC75" s="1311"/>
    </row>
    <row r="76" spans="1:29" ht="28.5" hidden="1" customHeight="1" x14ac:dyDescent="0.25">
      <c r="A76" s="1304">
        <v>41395</v>
      </c>
      <c r="B76" s="1305">
        <v>217</v>
      </c>
      <c r="C76" s="1306">
        <v>187.1</v>
      </c>
      <c r="D76" s="1306">
        <v>273</v>
      </c>
      <c r="E76" s="1306">
        <v>1155.7</v>
      </c>
      <c r="F76" s="1306">
        <v>1279.6600000000001</v>
      </c>
      <c r="G76" s="1306">
        <v>2435.8000000000002</v>
      </c>
      <c r="H76" s="1306">
        <v>15705.8</v>
      </c>
      <c r="I76" s="1306">
        <v>2788.04</v>
      </c>
      <c r="J76" s="1307">
        <v>24042.1</v>
      </c>
      <c r="K76" s="1305">
        <v>9</v>
      </c>
      <c r="L76" s="1306">
        <v>13.12</v>
      </c>
      <c r="M76" s="1306">
        <v>175.44</v>
      </c>
      <c r="N76" s="1306">
        <v>249.35</v>
      </c>
      <c r="O76" s="1306">
        <v>112.4</v>
      </c>
      <c r="P76" s="1306">
        <v>135.77000000000001</v>
      </c>
      <c r="Q76" s="1306">
        <v>31.04</v>
      </c>
      <c r="R76" s="1306">
        <v>6.33</v>
      </c>
      <c r="S76" s="1306">
        <v>40.270000000000003</v>
      </c>
      <c r="T76" s="1306">
        <v>2.42</v>
      </c>
      <c r="U76" s="1306">
        <v>9.49</v>
      </c>
      <c r="V76" s="1306">
        <v>0.33</v>
      </c>
      <c r="W76" s="1306">
        <v>0.2</v>
      </c>
      <c r="X76" s="1307">
        <v>785.16</v>
      </c>
      <c r="Y76" s="1308">
        <v>24827.26</v>
      </c>
      <c r="Z76" s="1309"/>
      <c r="AA76" s="1311"/>
      <c r="AB76" s="1314"/>
      <c r="AC76" s="1311"/>
    </row>
    <row r="77" spans="1:29" ht="28.5" hidden="1" customHeight="1" x14ac:dyDescent="0.25">
      <c r="A77" s="1304">
        <v>41426</v>
      </c>
      <c r="B77" s="1305">
        <v>216.73</v>
      </c>
      <c r="C77" s="1306">
        <v>185.3</v>
      </c>
      <c r="D77" s="1306">
        <v>275.7</v>
      </c>
      <c r="E77" s="1306">
        <v>1119.3</v>
      </c>
      <c r="F77" s="1306">
        <v>1241.4000000000001</v>
      </c>
      <c r="G77" s="1306">
        <v>2417.9</v>
      </c>
      <c r="H77" s="1306">
        <v>15537.8</v>
      </c>
      <c r="I77" s="1306">
        <v>2861.2</v>
      </c>
      <c r="J77" s="1307">
        <v>23855.329999999998</v>
      </c>
      <c r="K77" s="1305">
        <v>9</v>
      </c>
      <c r="L77" s="1306">
        <v>13.1</v>
      </c>
      <c r="M77" s="1306">
        <v>177.63</v>
      </c>
      <c r="N77" s="1306">
        <v>249.49</v>
      </c>
      <c r="O77" s="1306">
        <v>112.83</v>
      </c>
      <c r="P77" s="1306">
        <v>136.38999999999999</v>
      </c>
      <c r="Q77" s="1306">
        <v>31.06</v>
      </c>
      <c r="R77" s="1306">
        <v>6.33</v>
      </c>
      <c r="S77" s="1306">
        <v>40.4</v>
      </c>
      <c r="T77" s="1306">
        <v>2.4</v>
      </c>
      <c r="U77" s="1306">
        <v>9.5</v>
      </c>
      <c r="V77" s="1306">
        <v>0.3</v>
      </c>
      <c r="W77" s="1306">
        <v>0.22</v>
      </c>
      <c r="X77" s="1307">
        <v>788.65</v>
      </c>
      <c r="Y77" s="1308">
        <v>24643.98</v>
      </c>
      <c r="Z77" s="1309"/>
      <c r="AA77" s="1311"/>
      <c r="AB77" s="1314"/>
      <c r="AC77" s="1311"/>
    </row>
    <row r="78" spans="1:29" ht="28.5" hidden="1" customHeight="1" x14ac:dyDescent="0.25">
      <c r="A78" s="1304">
        <v>41456</v>
      </c>
      <c r="B78" s="1305">
        <v>216.7</v>
      </c>
      <c r="C78" s="1306">
        <v>184.3</v>
      </c>
      <c r="D78" s="1306">
        <v>285.8</v>
      </c>
      <c r="E78" s="1306">
        <v>1182.2</v>
      </c>
      <c r="F78" s="1306">
        <v>1248.74</v>
      </c>
      <c r="G78" s="1306">
        <v>2543.02</v>
      </c>
      <c r="H78" s="1306">
        <v>16147.8</v>
      </c>
      <c r="I78" s="1306">
        <v>2858.21</v>
      </c>
      <c r="J78" s="1307">
        <v>24666.769999999997</v>
      </c>
      <c r="K78" s="1305">
        <v>9</v>
      </c>
      <c r="L78" s="1306">
        <v>13.1</v>
      </c>
      <c r="M78" s="1306">
        <v>180.1</v>
      </c>
      <c r="N78" s="1306">
        <v>249.92</v>
      </c>
      <c r="O78" s="1306">
        <v>113</v>
      </c>
      <c r="P78" s="1306">
        <v>137.30000000000001</v>
      </c>
      <c r="Q78" s="1306">
        <v>31.07</v>
      </c>
      <c r="R78" s="1306">
        <v>6.33</v>
      </c>
      <c r="S78" s="1306">
        <v>40.630000000000003</v>
      </c>
      <c r="T78" s="1306">
        <v>2.4</v>
      </c>
      <c r="U78" s="1306">
        <v>9.5500000000000007</v>
      </c>
      <c r="V78" s="1306">
        <v>0.3</v>
      </c>
      <c r="W78" s="1306">
        <v>0.22</v>
      </c>
      <c r="X78" s="1307">
        <v>792.92000000000007</v>
      </c>
      <c r="Y78" s="1308">
        <v>25459.689999999995</v>
      </c>
      <c r="Z78" s="1309"/>
      <c r="AA78" s="1311"/>
      <c r="AB78" s="1314"/>
      <c r="AC78" s="1311"/>
    </row>
    <row r="79" spans="1:29" ht="28.5" hidden="1" customHeight="1" x14ac:dyDescent="0.25">
      <c r="A79" s="1304">
        <v>41487</v>
      </c>
      <c r="B79" s="1305">
        <v>216.7</v>
      </c>
      <c r="C79" s="1306">
        <v>187.18</v>
      </c>
      <c r="D79" s="1306">
        <v>297.89999999999998</v>
      </c>
      <c r="E79" s="1306">
        <v>1198</v>
      </c>
      <c r="F79" s="1306">
        <v>1344.75</v>
      </c>
      <c r="G79" s="1306">
        <v>2691.3</v>
      </c>
      <c r="H79" s="1306">
        <v>15862.32</v>
      </c>
      <c r="I79" s="1306">
        <v>2956.46</v>
      </c>
      <c r="J79" s="1307">
        <v>24754.61</v>
      </c>
      <c r="K79" s="1305">
        <v>9</v>
      </c>
      <c r="L79" s="1306">
        <v>13.13</v>
      </c>
      <c r="M79" s="1306">
        <v>185.49</v>
      </c>
      <c r="N79" s="1306">
        <v>252.23</v>
      </c>
      <c r="O79" s="1306">
        <v>113.3</v>
      </c>
      <c r="P79" s="1306">
        <v>137.69</v>
      </c>
      <c r="Q79" s="1306">
        <v>31.09</v>
      </c>
      <c r="R79" s="1306">
        <v>6.33</v>
      </c>
      <c r="S79" s="1306">
        <v>40.770000000000003</v>
      </c>
      <c r="T79" s="1306">
        <v>2.42</v>
      </c>
      <c r="U79" s="1306">
        <v>9.58</v>
      </c>
      <c r="V79" s="1306">
        <v>0.33</v>
      </c>
      <c r="W79" s="1306">
        <v>0.2</v>
      </c>
      <c r="X79" s="1307">
        <v>801.56000000000006</v>
      </c>
      <c r="Y79" s="1308">
        <v>25556.170000000002</v>
      </c>
      <c r="Z79" s="1309"/>
      <c r="AA79" s="1311"/>
      <c r="AB79" s="1314"/>
      <c r="AC79" s="1311"/>
    </row>
    <row r="80" spans="1:29" ht="28.5" hidden="1" customHeight="1" x14ac:dyDescent="0.25">
      <c r="A80" s="1304">
        <v>41518</v>
      </c>
      <c r="B80" s="1305">
        <v>216.6</v>
      </c>
      <c r="C80" s="1306">
        <v>191.66</v>
      </c>
      <c r="D80" s="1306">
        <v>301.35000000000002</v>
      </c>
      <c r="E80" s="1306">
        <v>1171</v>
      </c>
      <c r="F80" s="1306">
        <v>1301.67</v>
      </c>
      <c r="G80" s="1306">
        <v>2676.1</v>
      </c>
      <c r="H80" s="1306">
        <v>15481.5</v>
      </c>
      <c r="I80" s="1306">
        <v>3000.4</v>
      </c>
      <c r="J80" s="1307">
        <v>24340.280000000002</v>
      </c>
      <c r="K80" s="1305">
        <v>9</v>
      </c>
      <c r="L80" s="1306">
        <v>13.1</v>
      </c>
      <c r="M80" s="1306">
        <v>185.8</v>
      </c>
      <c r="N80" s="1306">
        <v>254.6</v>
      </c>
      <c r="O80" s="1306">
        <v>113.43</v>
      </c>
      <c r="P80" s="1306">
        <v>137.9</v>
      </c>
      <c r="Q80" s="1306">
        <v>31.2</v>
      </c>
      <c r="R80" s="1306">
        <v>6.3</v>
      </c>
      <c r="S80" s="1306">
        <v>40.97</v>
      </c>
      <c r="T80" s="1306">
        <v>2.4</v>
      </c>
      <c r="U80" s="1306">
        <v>9.6199999999999992</v>
      </c>
      <c r="V80" s="1306">
        <v>0.33</v>
      </c>
      <c r="W80" s="1306">
        <v>0.22</v>
      </c>
      <c r="X80" s="1307">
        <v>804.87000000000012</v>
      </c>
      <c r="Y80" s="1308">
        <v>25145.15</v>
      </c>
      <c r="Z80" s="1309"/>
      <c r="AA80" s="1311"/>
      <c r="AB80" s="1314"/>
      <c r="AC80" s="1311"/>
    </row>
    <row r="81" spans="1:29" ht="28.5" hidden="1" customHeight="1" x14ac:dyDescent="0.25">
      <c r="A81" s="1304">
        <v>41548</v>
      </c>
      <c r="B81" s="1305">
        <v>216.59</v>
      </c>
      <c r="C81" s="1306">
        <v>200.39</v>
      </c>
      <c r="D81" s="1306">
        <v>303.49</v>
      </c>
      <c r="E81" s="1306">
        <v>1232.4000000000001</v>
      </c>
      <c r="F81" s="1306">
        <v>1295.586</v>
      </c>
      <c r="G81" s="1306">
        <v>2784.4</v>
      </c>
      <c r="H81" s="1306">
        <v>15740.6</v>
      </c>
      <c r="I81" s="1306">
        <v>3172.1</v>
      </c>
      <c r="J81" s="1307">
        <v>24945.555999999997</v>
      </c>
      <c r="K81" s="1305">
        <v>9</v>
      </c>
      <c r="L81" s="1306">
        <v>13.13</v>
      </c>
      <c r="M81" s="1306">
        <v>186.82</v>
      </c>
      <c r="N81" s="1306">
        <v>254.99</v>
      </c>
      <c r="O81" s="1306">
        <v>113.76</v>
      </c>
      <c r="P81" s="1306">
        <v>139.25</v>
      </c>
      <c r="Q81" s="1306">
        <v>31.17</v>
      </c>
      <c r="R81" s="1306">
        <v>6.3319999999999999</v>
      </c>
      <c r="S81" s="1306">
        <v>41.17</v>
      </c>
      <c r="T81" s="1306">
        <v>2.4</v>
      </c>
      <c r="U81" s="1306">
        <v>9.66</v>
      </c>
      <c r="V81" s="1306">
        <v>0.33</v>
      </c>
      <c r="W81" s="1306">
        <v>0.22</v>
      </c>
      <c r="X81" s="1307">
        <v>808.23199999999997</v>
      </c>
      <c r="Y81" s="1308">
        <v>25753.787999999997</v>
      </c>
      <c r="Z81" s="1309"/>
      <c r="AA81" s="1311"/>
      <c r="AB81" s="1314"/>
      <c r="AC81" s="1311"/>
    </row>
    <row r="82" spans="1:29" ht="28.5" hidden="1" customHeight="1" x14ac:dyDescent="0.25">
      <c r="A82" s="1304">
        <v>41579</v>
      </c>
      <c r="B82" s="1305">
        <v>216.54</v>
      </c>
      <c r="C82" s="1306">
        <v>207.7</v>
      </c>
      <c r="D82" s="1306">
        <v>302.2</v>
      </c>
      <c r="E82" s="1306">
        <v>1211.0999999999999</v>
      </c>
      <c r="F82" s="1306">
        <v>1310.2</v>
      </c>
      <c r="G82" s="1306">
        <v>2846.9</v>
      </c>
      <c r="H82" s="1306">
        <v>15425.9</v>
      </c>
      <c r="I82" s="1306">
        <v>3258.4</v>
      </c>
      <c r="J82" s="1307">
        <v>24778.940000000002</v>
      </c>
      <c r="K82" s="1305">
        <v>9.0079999999999991</v>
      </c>
      <c r="L82" s="1306">
        <v>13.13</v>
      </c>
      <c r="M82" s="1306">
        <v>188.9</v>
      </c>
      <c r="N82" s="1306">
        <v>257.10000000000002</v>
      </c>
      <c r="O82" s="1306">
        <v>115.03</v>
      </c>
      <c r="P82" s="1306">
        <v>140.91</v>
      </c>
      <c r="Q82" s="1306">
        <v>31.47</v>
      </c>
      <c r="R82" s="1306">
        <v>6.33</v>
      </c>
      <c r="S82" s="1306">
        <v>41.4</v>
      </c>
      <c r="T82" s="1306">
        <v>2.42</v>
      </c>
      <c r="U82" s="1306">
        <v>9.7100000000000009</v>
      </c>
      <c r="V82" s="1306">
        <v>0.3</v>
      </c>
      <c r="W82" s="1306">
        <v>0.2</v>
      </c>
      <c r="X82" s="1307">
        <v>815.90800000000002</v>
      </c>
      <c r="Y82" s="1308">
        <v>25594.848000000002</v>
      </c>
      <c r="Z82" s="1309"/>
      <c r="AA82" s="1311"/>
      <c r="AB82" s="1314"/>
      <c r="AC82" s="1311"/>
    </row>
    <row r="83" spans="1:29" ht="28.5" hidden="1" customHeight="1" x14ac:dyDescent="0.25">
      <c r="A83" s="1304">
        <v>41609</v>
      </c>
      <c r="B83" s="1305">
        <v>216.5</v>
      </c>
      <c r="C83" s="1306">
        <v>225.7</v>
      </c>
      <c r="D83" s="1306">
        <v>331.6</v>
      </c>
      <c r="E83" s="1306">
        <v>1373.1</v>
      </c>
      <c r="F83" s="1306">
        <v>1596</v>
      </c>
      <c r="G83" s="1306">
        <v>3535</v>
      </c>
      <c r="H83" s="1306">
        <v>18480.2</v>
      </c>
      <c r="I83" s="1306">
        <v>3778.6</v>
      </c>
      <c r="J83" s="1307">
        <v>29536.699999999997</v>
      </c>
      <c r="K83" s="1305">
        <v>9</v>
      </c>
      <c r="L83" s="1306">
        <v>13.13</v>
      </c>
      <c r="M83" s="1306">
        <v>195.7</v>
      </c>
      <c r="N83" s="1306">
        <v>260.76</v>
      </c>
      <c r="O83" s="1306">
        <v>116.66</v>
      </c>
      <c r="P83" s="1306">
        <v>142.16999999999999</v>
      </c>
      <c r="Q83" s="1306">
        <v>31.7</v>
      </c>
      <c r="R83" s="1306">
        <v>6.3</v>
      </c>
      <c r="S83" s="1306">
        <v>41.6</v>
      </c>
      <c r="T83" s="1306">
        <v>2.4</v>
      </c>
      <c r="U83" s="1306">
        <v>9.8000000000000007</v>
      </c>
      <c r="V83" s="1306">
        <v>0.3</v>
      </c>
      <c r="W83" s="1306">
        <v>0.2</v>
      </c>
      <c r="X83" s="1307">
        <v>829.71999999999991</v>
      </c>
      <c r="Y83" s="1308">
        <v>30366.42</v>
      </c>
      <c r="Z83" s="1309"/>
      <c r="AA83" s="1311"/>
      <c r="AB83" s="1314"/>
      <c r="AC83" s="1311"/>
    </row>
    <row r="84" spans="1:29" ht="28.5" hidden="1" customHeight="1" x14ac:dyDescent="0.25">
      <c r="A84" s="1304">
        <v>41640</v>
      </c>
      <c r="B84" s="1305">
        <v>216.49</v>
      </c>
      <c r="C84" s="1306">
        <v>222.4</v>
      </c>
      <c r="D84" s="1306">
        <v>322.3</v>
      </c>
      <c r="E84" s="1306">
        <v>1255.5</v>
      </c>
      <c r="F84" s="1306">
        <v>1353.2</v>
      </c>
      <c r="G84" s="1306">
        <v>2984.3</v>
      </c>
      <c r="H84" s="1306">
        <v>16470.3</v>
      </c>
      <c r="I84" s="1306">
        <v>3915.1</v>
      </c>
      <c r="J84" s="1307">
        <v>26739.589999999997</v>
      </c>
      <c r="K84" s="1305">
        <v>9.02</v>
      </c>
      <c r="L84" s="1306">
        <v>13.1</v>
      </c>
      <c r="M84" s="1306">
        <v>197.81</v>
      </c>
      <c r="N84" s="1306">
        <v>263.2</v>
      </c>
      <c r="O84" s="1306">
        <v>116.7</v>
      </c>
      <c r="P84" s="1306">
        <v>142.54</v>
      </c>
      <c r="Q84" s="1306">
        <v>31.82</v>
      </c>
      <c r="R84" s="1306">
        <v>6.33</v>
      </c>
      <c r="S84" s="1306">
        <v>41.73</v>
      </c>
      <c r="T84" s="1306">
        <v>2.42</v>
      </c>
      <c r="U84" s="1306">
        <v>9.77</v>
      </c>
      <c r="V84" s="1306">
        <v>0.3</v>
      </c>
      <c r="W84" s="1306">
        <v>0.2</v>
      </c>
      <c r="X84" s="1307">
        <v>834.94</v>
      </c>
      <c r="Y84" s="1308">
        <v>27574.529999999995</v>
      </c>
      <c r="Z84" s="1309"/>
      <c r="AA84" s="1311"/>
      <c r="AB84" s="1314"/>
      <c r="AC84" s="1311"/>
    </row>
    <row r="85" spans="1:29" ht="28.5" hidden="1" customHeight="1" x14ac:dyDescent="0.25">
      <c r="A85" s="1304">
        <v>41671</v>
      </c>
      <c r="B85" s="1305">
        <v>216.47</v>
      </c>
      <c r="C85" s="1306">
        <v>221.1</v>
      </c>
      <c r="D85" s="1306">
        <v>321.39999999999998</v>
      </c>
      <c r="E85" s="1306">
        <v>1268.8</v>
      </c>
      <c r="F85" s="1306">
        <v>1350.3</v>
      </c>
      <c r="G85" s="1306">
        <v>2963.5</v>
      </c>
      <c r="H85" s="1306">
        <v>15923.1</v>
      </c>
      <c r="I85" s="1306">
        <v>4074.2</v>
      </c>
      <c r="J85" s="1307">
        <v>26338.87</v>
      </c>
      <c r="K85" s="1305">
        <v>9.02</v>
      </c>
      <c r="L85" s="1306">
        <v>13.14</v>
      </c>
      <c r="M85" s="1306">
        <v>198.45</v>
      </c>
      <c r="N85" s="1306">
        <v>263.13</v>
      </c>
      <c r="O85" s="1306">
        <v>117.6</v>
      </c>
      <c r="P85" s="1306">
        <v>143.19999999999999</v>
      </c>
      <c r="Q85" s="1306">
        <v>31.92</v>
      </c>
      <c r="R85" s="1306">
        <v>6.33</v>
      </c>
      <c r="S85" s="1306">
        <v>41.83</v>
      </c>
      <c r="T85" s="1306">
        <v>2.42</v>
      </c>
      <c r="U85" s="1306">
        <v>9.8000000000000007</v>
      </c>
      <c r="V85" s="1306">
        <v>0.33</v>
      </c>
      <c r="W85" s="1306">
        <v>0.22</v>
      </c>
      <c r="X85" s="1307">
        <v>837.39</v>
      </c>
      <c r="Y85" s="1308">
        <v>27176.26</v>
      </c>
      <c r="Z85" s="1309"/>
      <c r="AA85" s="1314"/>
      <c r="AB85" s="1314"/>
      <c r="AC85" s="1311"/>
    </row>
    <row r="86" spans="1:29" ht="28.5" hidden="1" customHeight="1" x14ac:dyDescent="0.25">
      <c r="A86" s="1304">
        <v>41699</v>
      </c>
      <c r="B86" s="1305">
        <v>216.4</v>
      </c>
      <c r="C86" s="1306">
        <v>221.1</v>
      </c>
      <c r="D86" s="1306">
        <v>317.66000000000003</v>
      </c>
      <c r="E86" s="1306">
        <v>1249.8499999999999</v>
      </c>
      <c r="F86" s="1306">
        <v>1345</v>
      </c>
      <c r="G86" s="1306">
        <v>2928.45</v>
      </c>
      <c r="H86" s="1306">
        <v>15660.1</v>
      </c>
      <c r="I86" s="1306">
        <v>4229.26</v>
      </c>
      <c r="J86" s="1307">
        <v>26167.82</v>
      </c>
      <c r="K86" s="1305">
        <v>9.02</v>
      </c>
      <c r="L86" s="1306">
        <v>13.14</v>
      </c>
      <c r="M86" s="1306">
        <v>199.7</v>
      </c>
      <c r="N86" s="1306">
        <v>263.33</v>
      </c>
      <c r="O86" s="1306">
        <v>117.73</v>
      </c>
      <c r="P86" s="1306">
        <v>143.87</v>
      </c>
      <c r="Q86" s="1306">
        <v>32.020000000000003</v>
      </c>
      <c r="R86" s="1306">
        <v>6.33</v>
      </c>
      <c r="S86" s="1306">
        <v>41.95</v>
      </c>
      <c r="T86" s="1306">
        <v>2.42</v>
      </c>
      <c r="U86" s="1306">
        <v>9.82</v>
      </c>
      <c r="V86" s="1306">
        <v>0.33</v>
      </c>
      <c r="W86" s="1306">
        <v>0.2</v>
      </c>
      <c r="X86" s="1307">
        <v>839.86000000000013</v>
      </c>
      <c r="Y86" s="1308">
        <v>27007.68</v>
      </c>
      <c r="Z86" s="1309"/>
      <c r="AA86" s="1314"/>
      <c r="AB86" s="1314"/>
      <c r="AC86" s="1311"/>
    </row>
    <row r="87" spans="1:29" ht="28.5" hidden="1" customHeight="1" x14ac:dyDescent="0.25">
      <c r="A87" s="1304">
        <v>41730</v>
      </c>
      <c r="B87" s="1305">
        <v>216.36</v>
      </c>
      <c r="C87" s="1306">
        <v>219.9</v>
      </c>
      <c r="D87" s="1306">
        <v>313.60000000000002</v>
      </c>
      <c r="E87" s="1306">
        <v>1251.98</v>
      </c>
      <c r="F87" s="1306">
        <v>1325.4</v>
      </c>
      <c r="G87" s="1306">
        <v>2877.1</v>
      </c>
      <c r="H87" s="1306">
        <v>15524.2</v>
      </c>
      <c r="I87" s="1306">
        <v>4389.1000000000004</v>
      </c>
      <c r="J87" s="1307">
        <v>26117.64</v>
      </c>
      <c r="K87" s="1305">
        <v>9</v>
      </c>
      <c r="L87" s="1306">
        <v>13.1</v>
      </c>
      <c r="M87" s="1306">
        <v>199.9</v>
      </c>
      <c r="N87" s="1306">
        <v>263.89999999999998</v>
      </c>
      <c r="O87" s="1306">
        <v>118.4</v>
      </c>
      <c r="P87" s="1306">
        <v>144.5</v>
      </c>
      <c r="Q87" s="1306">
        <v>32.200000000000003</v>
      </c>
      <c r="R87" s="1306">
        <v>6.33</v>
      </c>
      <c r="S87" s="1306">
        <v>42.03</v>
      </c>
      <c r="T87" s="1306">
        <v>2.42</v>
      </c>
      <c r="U87" s="1306">
        <v>9.86</v>
      </c>
      <c r="V87" s="1306">
        <v>0.33</v>
      </c>
      <c r="W87" s="1306">
        <v>0.2</v>
      </c>
      <c r="X87" s="1307">
        <v>842.17000000000007</v>
      </c>
      <c r="Y87" s="1308">
        <v>26959.809999999998</v>
      </c>
      <c r="Z87" s="1309"/>
      <c r="AA87" s="1314"/>
      <c r="AB87" s="1314"/>
      <c r="AC87" s="1311"/>
    </row>
    <row r="88" spans="1:29" ht="28.5" hidden="1" customHeight="1" x14ac:dyDescent="0.25">
      <c r="A88" s="1304">
        <v>41760</v>
      </c>
      <c r="B88" s="1305">
        <v>216.3</v>
      </c>
      <c r="C88" s="1306">
        <v>217.9</v>
      </c>
      <c r="D88" s="1306">
        <v>311.89999999999998</v>
      </c>
      <c r="E88" s="1306">
        <v>1213.92</v>
      </c>
      <c r="F88" s="1306">
        <v>1268.71</v>
      </c>
      <c r="G88" s="1306">
        <v>2866.19</v>
      </c>
      <c r="H88" s="1306">
        <v>14803.5</v>
      </c>
      <c r="I88" s="1306">
        <v>4518</v>
      </c>
      <c r="J88" s="1307">
        <v>25416.42</v>
      </c>
      <c r="K88" s="1305">
        <v>9.0229999999999997</v>
      </c>
      <c r="L88" s="1306">
        <v>13.14</v>
      </c>
      <c r="M88" s="1306">
        <v>200.2</v>
      </c>
      <c r="N88" s="1306">
        <v>265.02999999999997</v>
      </c>
      <c r="O88" s="1306">
        <v>118.7</v>
      </c>
      <c r="P88" s="1306">
        <v>144.9</v>
      </c>
      <c r="Q88" s="1306">
        <v>32.299999999999997</v>
      </c>
      <c r="R88" s="1306">
        <v>6.33</v>
      </c>
      <c r="S88" s="1306">
        <v>42</v>
      </c>
      <c r="T88" s="1306">
        <v>2.42</v>
      </c>
      <c r="U88" s="1306">
        <v>9.9</v>
      </c>
      <c r="V88" s="1306">
        <v>0.33</v>
      </c>
      <c r="W88" s="1306">
        <v>0.22</v>
      </c>
      <c r="X88" s="1307">
        <v>844.49299999999994</v>
      </c>
      <c r="Y88" s="1308">
        <v>26260.912999999997</v>
      </c>
      <c r="Z88" s="1309"/>
      <c r="AA88" s="1314"/>
      <c r="AB88" s="1314"/>
      <c r="AC88" s="1311"/>
    </row>
    <row r="89" spans="1:29" ht="28.5" hidden="1" customHeight="1" x14ac:dyDescent="0.25">
      <c r="A89" s="1304">
        <v>41791</v>
      </c>
      <c r="B89" s="1305">
        <v>216.26</v>
      </c>
      <c r="C89" s="1306">
        <v>218.5</v>
      </c>
      <c r="D89" s="1306">
        <v>314.39999999999998</v>
      </c>
      <c r="E89" s="1306">
        <v>1236.5999999999999</v>
      </c>
      <c r="F89" s="1306">
        <v>1282.9000000000001</v>
      </c>
      <c r="G89" s="1306">
        <v>2870.9</v>
      </c>
      <c r="H89" s="1306">
        <v>15064.12</v>
      </c>
      <c r="I89" s="1306">
        <v>4532</v>
      </c>
      <c r="J89" s="1307">
        <v>25735.68</v>
      </c>
      <c r="K89" s="1305">
        <v>9.0239999999999991</v>
      </c>
      <c r="L89" s="1306">
        <v>13.14</v>
      </c>
      <c r="M89" s="1306">
        <v>201</v>
      </c>
      <c r="N89" s="1306">
        <v>266.10000000000002</v>
      </c>
      <c r="O89" s="1306">
        <v>119.4</v>
      </c>
      <c r="P89" s="1306">
        <v>145.4</v>
      </c>
      <c r="Q89" s="1306">
        <v>32.4</v>
      </c>
      <c r="R89" s="1306">
        <v>6.33</v>
      </c>
      <c r="S89" s="1306">
        <v>42.15</v>
      </c>
      <c r="T89" s="1306">
        <v>2.4</v>
      </c>
      <c r="U89" s="1306">
        <v>9.9</v>
      </c>
      <c r="V89" s="1306">
        <v>0.3</v>
      </c>
      <c r="W89" s="1306">
        <v>0.22</v>
      </c>
      <c r="X89" s="1307">
        <v>847.7639999999999</v>
      </c>
      <c r="Y89" s="1308">
        <v>26583.444</v>
      </c>
      <c r="Z89" s="1309"/>
      <c r="AA89" s="1314"/>
      <c r="AB89" s="1314"/>
      <c r="AC89" s="1311"/>
    </row>
    <row r="90" spans="1:29" ht="28.5" hidden="1" customHeight="1" x14ac:dyDescent="0.25">
      <c r="A90" s="1304">
        <v>41821</v>
      </c>
      <c r="B90" s="1305">
        <v>216.25</v>
      </c>
      <c r="C90" s="1306">
        <v>223.36</v>
      </c>
      <c r="D90" s="1306">
        <v>321.7</v>
      </c>
      <c r="E90" s="1306">
        <v>1267.75</v>
      </c>
      <c r="F90" s="1306">
        <v>1342.8</v>
      </c>
      <c r="G90" s="1306">
        <v>2978.2</v>
      </c>
      <c r="H90" s="1306">
        <v>15851</v>
      </c>
      <c r="I90" s="1306">
        <v>4526.1000000000004</v>
      </c>
      <c r="J90" s="1307">
        <v>26727.159999999996</v>
      </c>
      <c r="K90" s="1305">
        <v>9.0239999999999991</v>
      </c>
      <c r="L90" s="1306">
        <v>13.14</v>
      </c>
      <c r="M90" s="1306">
        <v>201.4</v>
      </c>
      <c r="N90" s="1306">
        <v>266.62</v>
      </c>
      <c r="O90" s="1306">
        <v>119.89</v>
      </c>
      <c r="P90" s="1306">
        <v>145.87</v>
      </c>
      <c r="Q90" s="1306">
        <v>32.549999999999997</v>
      </c>
      <c r="R90" s="1306">
        <v>6.3319999999999999</v>
      </c>
      <c r="S90" s="1306">
        <v>42.38</v>
      </c>
      <c r="T90" s="1306">
        <v>2.42</v>
      </c>
      <c r="U90" s="1306">
        <v>9.9499999999999993</v>
      </c>
      <c r="V90" s="1306">
        <v>0.33</v>
      </c>
      <c r="W90" s="1306">
        <v>0.22</v>
      </c>
      <c r="X90" s="1307">
        <v>850.12600000000009</v>
      </c>
      <c r="Y90" s="1308">
        <v>27577.285999999996</v>
      </c>
      <c r="Z90" s="1309"/>
      <c r="AA90" s="1314"/>
      <c r="AB90" s="1314"/>
      <c r="AC90" s="1311"/>
    </row>
    <row r="91" spans="1:29" ht="28.5" hidden="1" customHeight="1" x14ac:dyDescent="0.25">
      <c r="A91" s="1304">
        <v>41852</v>
      </c>
      <c r="B91" s="1305">
        <v>216.16</v>
      </c>
      <c r="C91" s="1306">
        <v>224.6</v>
      </c>
      <c r="D91" s="1306">
        <v>322.8</v>
      </c>
      <c r="E91" s="1306">
        <v>1282.0999999999999</v>
      </c>
      <c r="F91" s="1306">
        <v>1320.78</v>
      </c>
      <c r="G91" s="1306">
        <v>2971.4</v>
      </c>
      <c r="H91" s="1306">
        <v>15351.9</v>
      </c>
      <c r="I91" s="1306">
        <v>4675.2</v>
      </c>
      <c r="J91" s="1307">
        <v>26364.94</v>
      </c>
      <c r="K91" s="1305">
        <v>9</v>
      </c>
      <c r="L91" s="1306">
        <v>13.1</v>
      </c>
      <c r="M91" s="1306">
        <v>201.7</v>
      </c>
      <c r="N91" s="1306">
        <v>268.60000000000002</v>
      </c>
      <c r="O91" s="1306">
        <v>120.26</v>
      </c>
      <c r="P91" s="1306">
        <v>146.5</v>
      </c>
      <c r="Q91" s="1306">
        <v>32.69</v>
      </c>
      <c r="R91" s="1306">
        <v>6.33</v>
      </c>
      <c r="S91" s="1306">
        <v>42.57</v>
      </c>
      <c r="T91" s="1306">
        <v>2.42</v>
      </c>
      <c r="U91" s="1306">
        <v>10</v>
      </c>
      <c r="V91" s="1306">
        <v>0.33</v>
      </c>
      <c r="W91" s="1306">
        <v>0.22</v>
      </c>
      <c r="X91" s="1307">
        <v>853.72</v>
      </c>
      <c r="Y91" s="1308">
        <v>27218.66</v>
      </c>
      <c r="Z91" s="1309"/>
      <c r="AA91" s="1314"/>
      <c r="AB91" s="1314"/>
      <c r="AC91" s="1311"/>
    </row>
    <row r="92" spans="1:29" ht="28.5" hidden="1" customHeight="1" x14ac:dyDescent="0.25">
      <c r="A92" s="1304">
        <v>41883</v>
      </c>
      <c r="B92" s="1305">
        <v>216.13</v>
      </c>
      <c r="C92" s="1306">
        <v>224.86</v>
      </c>
      <c r="D92" s="1306">
        <v>321.60000000000002</v>
      </c>
      <c r="E92" s="1306">
        <v>1271.0999999999999</v>
      </c>
      <c r="F92" s="1306">
        <v>1287.3800000000001</v>
      </c>
      <c r="G92" s="1306">
        <v>2907.6</v>
      </c>
      <c r="H92" s="1306">
        <v>14951.9</v>
      </c>
      <c r="I92" s="1306">
        <v>4771</v>
      </c>
      <c r="J92" s="1307">
        <v>25951.57</v>
      </c>
      <c r="K92" s="1305">
        <v>9.0280000000000005</v>
      </c>
      <c r="L92" s="1306">
        <v>13.15</v>
      </c>
      <c r="M92" s="1306">
        <v>201.9</v>
      </c>
      <c r="N92" s="1306">
        <v>271.05</v>
      </c>
      <c r="O92" s="1306">
        <v>120.68</v>
      </c>
      <c r="P92" s="1306">
        <v>147.1</v>
      </c>
      <c r="Q92" s="1306">
        <v>32.81</v>
      </c>
      <c r="R92" s="1306">
        <v>6.3310000000000004</v>
      </c>
      <c r="S92" s="1306">
        <v>42.74</v>
      </c>
      <c r="T92" s="1306">
        <v>2.4</v>
      </c>
      <c r="U92" s="1306">
        <v>10.02</v>
      </c>
      <c r="V92" s="1306">
        <v>0.33</v>
      </c>
      <c r="W92" s="1306">
        <v>0.2</v>
      </c>
      <c r="X92" s="1307">
        <v>857.73900000000015</v>
      </c>
      <c r="Y92" s="1308">
        <v>26809.309000000001</v>
      </c>
      <c r="Z92" s="1309"/>
      <c r="AA92" s="1314"/>
      <c r="AB92" s="1314"/>
      <c r="AC92" s="1311"/>
    </row>
    <row r="93" spans="1:29" ht="28.5" hidden="1" customHeight="1" x14ac:dyDescent="0.25">
      <c r="A93" s="1304">
        <v>41913</v>
      </c>
      <c r="B93" s="1305">
        <v>216.06</v>
      </c>
      <c r="C93" s="1306">
        <v>224.3</v>
      </c>
      <c r="D93" s="1306">
        <v>324.7</v>
      </c>
      <c r="E93" s="1306">
        <v>1247.7</v>
      </c>
      <c r="F93" s="1306">
        <v>1345.6</v>
      </c>
      <c r="G93" s="1306">
        <v>2995.9</v>
      </c>
      <c r="H93" s="1306">
        <v>14860.54</v>
      </c>
      <c r="I93" s="1306">
        <v>4759.3999999999996</v>
      </c>
      <c r="J93" s="1307">
        <v>25974.200000000004</v>
      </c>
      <c r="K93" s="1305">
        <v>9</v>
      </c>
      <c r="L93" s="1306">
        <v>13.15</v>
      </c>
      <c r="M93" s="1306">
        <v>201.91</v>
      </c>
      <c r="N93" s="1306">
        <v>271.5</v>
      </c>
      <c r="O93" s="1306">
        <v>121.5</v>
      </c>
      <c r="P93" s="1306">
        <v>147.80000000000001</v>
      </c>
      <c r="Q93" s="1306">
        <v>33.04</v>
      </c>
      <c r="R93" s="1306">
        <v>6.3</v>
      </c>
      <c r="S93" s="1306">
        <v>43.03</v>
      </c>
      <c r="T93" s="1306">
        <v>2.4</v>
      </c>
      <c r="U93" s="1306">
        <v>10</v>
      </c>
      <c r="V93" s="1306">
        <v>0.33</v>
      </c>
      <c r="W93" s="1306">
        <v>0.22</v>
      </c>
      <c r="X93" s="1307">
        <v>860.17999999999984</v>
      </c>
      <c r="Y93" s="1308">
        <v>26834.380000000005</v>
      </c>
      <c r="Z93" s="1309"/>
      <c r="AA93" s="1314"/>
      <c r="AB93" s="1314"/>
      <c r="AC93" s="1311"/>
    </row>
    <row r="94" spans="1:29" ht="28.5" hidden="1" customHeight="1" x14ac:dyDescent="0.25">
      <c r="A94" s="1304">
        <v>41944</v>
      </c>
      <c r="B94" s="1305">
        <v>216.04</v>
      </c>
      <c r="C94" s="1306">
        <v>225.24</v>
      </c>
      <c r="D94" s="1306">
        <v>328.6</v>
      </c>
      <c r="E94" s="1306">
        <v>1295.4000000000001</v>
      </c>
      <c r="F94" s="1306">
        <v>1361.3</v>
      </c>
      <c r="G94" s="1306">
        <v>2954.6</v>
      </c>
      <c r="H94" s="1306">
        <v>15290.52</v>
      </c>
      <c r="I94" s="1306">
        <v>4934.2</v>
      </c>
      <c r="J94" s="1307">
        <v>26605.9</v>
      </c>
      <c r="K94" s="1305">
        <v>9</v>
      </c>
      <c r="L94" s="1306">
        <v>13.16</v>
      </c>
      <c r="M94" s="1306">
        <v>202</v>
      </c>
      <c r="N94" s="1306">
        <v>273.3</v>
      </c>
      <c r="O94" s="1306">
        <v>122.14</v>
      </c>
      <c r="P94" s="1306">
        <v>149</v>
      </c>
      <c r="Q94" s="1306">
        <v>33.229999999999997</v>
      </c>
      <c r="R94" s="1306">
        <v>6.3</v>
      </c>
      <c r="S94" s="1306">
        <v>43.24</v>
      </c>
      <c r="T94" s="1306">
        <v>2.4</v>
      </c>
      <c r="U94" s="1306">
        <v>10.119999999999999</v>
      </c>
      <c r="V94" s="1306">
        <v>0.3</v>
      </c>
      <c r="W94" s="1306">
        <v>0.2</v>
      </c>
      <c r="X94" s="1307">
        <v>864.39</v>
      </c>
      <c r="Y94" s="1308">
        <v>27470.29</v>
      </c>
      <c r="Z94" s="1309"/>
      <c r="AA94" s="1314"/>
      <c r="AB94" s="1314"/>
      <c r="AC94" s="1311"/>
    </row>
    <row r="95" spans="1:29" ht="28.5" hidden="1" customHeight="1" x14ac:dyDescent="0.25">
      <c r="A95" s="1304">
        <v>41974</v>
      </c>
      <c r="B95" s="1305">
        <v>216</v>
      </c>
      <c r="C95" s="1306">
        <v>240.88</v>
      </c>
      <c r="D95" s="1306">
        <v>347.45</v>
      </c>
      <c r="E95" s="1306">
        <v>1485.8</v>
      </c>
      <c r="F95" s="1306">
        <v>1647</v>
      </c>
      <c r="G95" s="1306">
        <v>3745.43</v>
      </c>
      <c r="H95" s="1306">
        <v>18829.7</v>
      </c>
      <c r="I95" s="1306">
        <v>5385</v>
      </c>
      <c r="J95" s="1307">
        <v>31897.260000000002</v>
      </c>
      <c r="K95" s="1305">
        <v>9</v>
      </c>
      <c r="L95" s="1306">
        <v>13.16</v>
      </c>
      <c r="M95" s="1306">
        <v>203.1</v>
      </c>
      <c r="N95" s="1306">
        <v>277.3</v>
      </c>
      <c r="O95" s="1306">
        <v>123.26</v>
      </c>
      <c r="P95" s="1306">
        <v>149.97</v>
      </c>
      <c r="Q95" s="1306">
        <v>33.380000000000003</v>
      </c>
      <c r="R95" s="1306">
        <v>6.33</v>
      </c>
      <c r="S95" s="1306">
        <v>43.4</v>
      </c>
      <c r="T95" s="1306">
        <v>2.4</v>
      </c>
      <c r="U95" s="1306">
        <v>10.15</v>
      </c>
      <c r="V95" s="1306">
        <v>0.3</v>
      </c>
      <c r="W95" s="1306">
        <v>0.22</v>
      </c>
      <c r="X95" s="1307">
        <v>871.97</v>
      </c>
      <c r="Y95" s="1308">
        <v>32769.230000000003</v>
      </c>
      <c r="Z95" s="1309"/>
      <c r="AA95" s="1314"/>
      <c r="AB95" s="1314"/>
      <c r="AC95" s="1311"/>
    </row>
    <row r="96" spans="1:29" ht="28.5" hidden="1" customHeight="1" x14ac:dyDescent="0.25">
      <c r="A96" s="1304">
        <v>42005</v>
      </c>
      <c r="B96" s="1305">
        <v>215.9</v>
      </c>
      <c r="C96" s="1306">
        <v>240.8</v>
      </c>
      <c r="D96" s="1306">
        <v>346.8</v>
      </c>
      <c r="E96" s="1306">
        <v>1403.2</v>
      </c>
      <c r="F96" s="1306">
        <v>1482.7</v>
      </c>
      <c r="G96" s="1306">
        <v>3148.18</v>
      </c>
      <c r="H96" s="1306">
        <v>16294.91</v>
      </c>
      <c r="I96" s="1306">
        <v>4918.5600000000004</v>
      </c>
      <c r="J96" s="1307">
        <v>28051.05</v>
      </c>
      <c r="K96" s="1305">
        <v>9</v>
      </c>
      <c r="L96" s="1306">
        <v>13.16</v>
      </c>
      <c r="M96" s="1306">
        <v>203.22</v>
      </c>
      <c r="N96" s="1306">
        <v>281.89999999999998</v>
      </c>
      <c r="O96" s="1306">
        <v>125.6</v>
      </c>
      <c r="P96" s="1306">
        <v>151.4</v>
      </c>
      <c r="Q96" s="1306">
        <v>33.5</v>
      </c>
      <c r="R96" s="1306">
        <v>6.33</v>
      </c>
      <c r="S96" s="1306">
        <v>43.5</v>
      </c>
      <c r="T96" s="1306">
        <v>2.42</v>
      </c>
      <c r="U96" s="1306">
        <v>10.199999999999999</v>
      </c>
      <c r="V96" s="1306">
        <v>0.33</v>
      </c>
      <c r="W96" s="1306">
        <v>0.22</v>
      </c>
      <c r="X96" s="1307">
        <v>880.78000000000009</v>
      </c>
      <c r="Y96" s="1308">
        <v>28931.829999999998</v>
      </c>
      <c r="Z96" s="1309"/>
      <c r="AA96" s="1314"/>
      <c r="AB96" s="1314"/>
      <c r="AC96" s="1311"/>
    </row>
    <row r="97" spans="1:29" ht="28.5" hidden="1" customHeight="1" x14ac:dyDescent="0.25">
      <c r="A97" s="1304">
        <v>42036</v>
      </c>
      <c r="B97" s="1305">
        <v>215.84</v>
      </c>
      <c r="C97" s="1306">
        <v>239.92</v>
      </c>
      <c r="D97" s="1306">
        <v>346</v>
      </c>
      <c r="E97" s="1306">
        <v>1379.7</v>
      </c>
      <c r="F97" s="1306">
        <v>1439.7</v>
      </c>
      <c r="G97" s="1306">
        <v>3206.2</v>
      </c>
      <c r="H97" s="1306">
        <v>16165</v>
      </c>
      <c r="I97" s="1306">
        <v>4901</v>
      </c>
      <c r="J97" s="1307">
        <v>27893.360000000001</v>
      </c>
      <c r="K97" s="1305">
        <v>9.0500000000000007</v>
      </c>
      <c r="L97" s="1306">
        <v>13.2</v>
      </c>
      <c r="M97" s="1306">
        <v>203.21</v>
      </c>
      <c r="N97" s="1306">
        <v>282</v>
      </c>
      <c r="O97" s="1306">
        <v>126.1</v>
      </c>
      <c r="P97" s="1306">
        <v>151.80000000000001</v>
      </c>
      <c r="Q97" s="1306">
        <v>33.64</v>
      </c>
      <c r="R97" s="1306">
        <v>6.3</v>
      </c>
      <c r="S97" s="1306">
        <v>43.7</v>
      </c>
      <c r="T97" s="1306">
        <v>2.4</v>
      </c>
      <c r="U97" s="1306">
        <v>10.199999999999999</v>
      </c>
      <c r="V97" s="1306">
        <v>0.3</v>
      </c>
      <c r="W97" s="1306">
        <v>0.2</v>
      </c>
      <c r="X97" s="1307">
        <v>882.10000000000014</v>
      </c>
      <c r="Y97" s="1308">
        <v>28775.46</v>
      </c>
      <c r="Z97" s="1309"/>
      <c r="AA97" s="1314"/>
      <c r="AB97" s="1314"/>
      <c r="AC97" s="1311"/>
    </row>
    <row r="98" spans="1:29" ht="28.5" hidden="1" customHeight="1" x14ac:dyDescent="0.25">
      <c r="A98" s="1304">
        <v>42064</v>
      </c>
      <c r="B98" s="1305">
        <v>215.84</v>
      </c>
      <c r="C98" s="1306">
        <v>236.6</v>
      </c>
      <c r="D98" s="1306">
        <v>344.05</v>
      </c>
      <c r="E98" s="1306">
        <v>1358.2</v>
      </c>
      <c r="F98" s="1306">
        <v>1387.65</v>
      </c>
      <c r="G98" s="1306">
        <v>3199.3</v>
      </c>
      <c r="H98" s="1306">
        <v>15847.75</v>
      </c>
      <c r="I98" s="1306">
        <v>5000.46</v>
      </c>
      <c r="J98" s="1307">
        <v>27589.85</v>
      </c>
      <c r="K98" s="1305">
        <v>9.1</v>
      </c>
      <c r="L98" s="1306">
        <v>13.2</v>
      </c>
      <c r="M98" s="1306">
        <v>203.21</v>
      </c>
      <c r="N98" s="1306">
        <v>282.5</v>
      </c>
      <c r="O98" s="1306">
        <v>126.6</v>
      </c>
      <c r="P98" s="1306">
        <v>152.35</v>
      </c>
      <c r="Q98" s="1306">
        <v>33.799999999999997</v>
      </c>
      <c r="R98" s="1306">
        <v>6.3</v>
      </c>
      <c r="S98" s="1306">
        <v>43.8</v>
      </c>
      <c r="T98" s="1306">
        <v>2.4</v>
      </c>
      <c r="U98" s="1306">
        <v>10.3</v>
      </c>
      <c r="V98" s="1306">
        <v>0.3</v>
      </c>
      <c r="W98" s="1306">
        <v>0.2</v>
      </c>
      <c r="X98" s="1307">
        <v>884.05999999999983</v>
      </c>
      <c r="Y98" s="1308">
        <v>28473.91</v>
      </c>
      <c r="Z98" s="1309"/>
      <c r="AA98" s="1314"/>
      <c r="AB98" s="1314"/>
      <c r="AC98" s="1311"/>
    </row>
    <row r="99" spans="1:29" ht="28.5" hidden="1" customHeight="1" x14ac:dyDescent="0.25">
      <c r="A99" s="1304">
        <v>42095</v>
      </c>
      <c r="B99" s="1305">
        <v>215.76</v>
      </c>
      <c r="C99" s="1306">
        <v>240.4</v>
      </c>
      <c r="D99" s="1306">
        <v>345.55</v>
      </c>
      <c r="E99" s="1306">
        <v>1343.56</v>
      </c>
      <c r="F99" s="1306">
        <v>1438.8</v>
      </c>
      <c r="G99" s="1306">
        <v>3251.4</v>
      </c>
      <c r="H99" s="1306">
        <v>16328.9</v>
      </c>
      <c r="I99" s="1306">
        <v>5078.8</v>
      </c>
      <c r="J99" s="1307">
        <v>28243.17</v>
      </c>
      <c r="K99" s="1305">
        <v>9.06</v>
      </c>
      <c r="L99" s="1306">
        <v>13.2</v>
      </c>
      <c r="M99" s="1306">
        <v>203.3</v>
      </c>
      <c r="N99" s="1306">
        <v>283.10000000000002</v>
      </c>
      <c r="O99" s="1306">
        <v>127.1</v>
      </c>
      <c r="P99" s="1306">
        <v>153.30000000000001</v>
      </c>
      <c r="Q99" s="1306">
        <v>33.96</v>
      </c>
      <c r="R99" s="1306">
        <v>6.3</v>
      </c>
      <c r="S99" s="1306">
        <v>44</v>
      </c>
      <c r="T99" s="1306">
        <v>2.4</v>
      </c>
      <c r="U99" s="1306">
        <v>10.28</v>
      </c>
      <c r="V99" s="1306">
        <v>0.33</v>
      </c>
      <c r="W99" s="1306">
        <v>0.22</v>
      </c>
      <c r="X99" s="1307">
        <v>886.55</v>
      </c>
      <c r="Y99" s="1308">
        <v>29129.719999999998</v>
      </c>
      <c r="Z99" s="1309"/>
      <c r="AA99" s="1314"/>
      <c r="AB99" s="1314"/>
      <c r="AC99" s="1311"/>
    </row>
    <row r="100" spans="1:29" ht="28.5" hidden="1" customHeight="1" x14ac:dyDescent="0.25">
      <c r="A100" s="1304">
        <v>42125</v>
      </c>
      <c r="B100" s="1305">
        <v>215.7</v>
      </c>
      <c r="C100" s="1306">
        <v>240.5</v>
      </c>
      <c r="D100" s="1306">
        <v>346.1</v>
      </c>
      <c r="E100" s="1306">
        <v>1302.2</v>
      </c>
      <c r="F100" s="1306">
        <v>1403.8</v>
      </c>
      <c r="G100" s="1306">
        <v>3195.7</v>
      </c>
      <c r="H100" s="1306">
        <v>15871.8</v>
      </c>
      <c r="I100" s="1306">
        <v>5157.3</v>
      </c>
      <c r="J100" s="1307">
        <v>27733.1</v>
      </c>
      <c r="K100" s="1305">
        <v>9.1</v>
      </c>
      <c r="L100" s="1306">
        <v>13.18</v>
      </c>
      <c r="M100" s="1306">
        <v>201.45</v>
      </c>
      <c r="N100" s="1306">
        <v>283.5</v>
      </c>
      <c r="O100" s="1306">
        <v>127.7</v>
      </c>
      <c r="P100" s="1306">
        <v>153.80000000000001</v>
      </c>
      <c r="Q100" s="1306">
        <v>34.200000000000003</v>
      </c>
      <c r="R100" s="1306">
        <v>6.3</v>
      </c>
      <c r="S100" s="1306">
        <v>44.16</v>
      </c>
      <c r="T100" s="1306">
        <v>2.4</v>
      </c>
      <c r="U100" s="1306">
        <v>10.3</v>
      </c>
      <c r="V100" s="1306">
        <v>0.3</v>
      </c>
      <c r="W100" s="1306">
        <v>0.2</v>
      </c>
      <c r="X100" s="1307">
        <v>886.58999999999992</v>
      </c>
      <c r="Y100" s="1308">
        <v>28619.69</v>
      </c>
      <c r="Z100" s="1309"/>
      <c r="AA100" s="1314"/>
      <c r="AB100" s="1314"/>
      <c r="AC100" s="1311"/>
    </row>
    <row r="101" spans="1:29" ht="28.5" hidden="1" customHeight="1" x14ac:dyDescent="0.25">
      <c r="A101" s="1304">
        <v>42156</v>
      </c>
      <c r="B101" s="1305">
        <v>215.7</v>
      </c>
      <c r="C101" s="1306">
        <v>242.18</v>
      </c>
      <c r="D101" s="1306">
        <v>345.26</v>
      </c>
      <c r="E101" s="1306">
        <v>1304.3499999999999</v>
      </c>
      <c r="F101" s="1306">
        <v>1384.85</v>
      </c>
      <c r="G101" s="1306">
        <v>3211.89</v>
      </c>
      <c r="H101" s="1306">
        <v>15797.78</v>
      </c>
      <c r="I101" s="1306">
        <v>5248.58</v>
      </c>
      <c r="J101" s="1307">
        <v>27750.590000000004</v>
      </c>
      <c r="K101" s="1305">
        <v>9.08</v>
      </c>
      <c r="L101" s="1306">
        <v>13.18</v>
      </c>
      <c r="M101" s="1306">
        <v>201.5</v>
      </c>
      <c r="N101" s="1306">
        <v>284.08999999999997</v>
      </c>
      <c r="O101" s="1306">
        <v>128.47</v>
      </c>
      <c r="P101" s="1306">
        <v>154.08000000000001</v>
      </c>
      <c r="Q101" s="1306">
        <v>34.32</v>
      </c>
      <c r="R101" s="1306">
        <v>6.33</v>
      </c>
      <c r="S101" s="1306">
        <v>44.27</v>
      </c>
      <c r="T101" s="1306">
        <v>2.4</v>
      </c>
      <c r="U101" s="1306">
        <v>10.34</v>
      </c>
      <c r="V101" s="1306">
        <v>0.3</v>
      </c>
      <c r="W101" s="1306">
        <v>0.2</v>
      </c>
      <c r="X101" s="1307">
        <v>888.56000000000006</v>
      </c>
      <c r="Y101" s="1308">
        <v>28639.150000000005</v>
      </c>
      <c r="Z101" s="1309"/>
      <c r="AA101" s="1314"/>
      <c r="AB101" s="1314"/>
      <c r="AC101" s="1311"/>
    </row>
    <row r="102" spans="1:29" ht="28.5" hidden="1" customHeight="1" x14ac:dyDescent="0.25">
      <c r="A102" s="1304">
        <v>42186</v>
      </c>
      <c r="B102" s="1305">
        <v>215.7</v>
      </c>
      <c r="C102" s="1306">
        <v>240.78</v>
      </c>
      <c r="D102" s="1306">
        <v>347.65</v>
      </c>
      <c r="E102" s="1306">
        <v>1324.2</v>
      </c>
      <c r="F102" s="1306">
        <v>1415.8</v>
      </c>
      <c r="G102" s="1306">
        <v>3174.9</v>
      </c>
      <c r="H102" s="1306">
        <v>16374.4</v>
      </c>
      <c r="I102" s="1306">
        <v>5336.9</v>
      </c>
      <c r="J102" s="1307">
        <v>28430.33</v>
      </c>
      <c r="K102" s="1305">
        <v>9.1</v>
      </c>
      <c r="L102" s="1306">
        <v>13.2</v>
      </c>
      <c r="M102" s="1306">
        <v>201.76</v>
      </c>
      <c r="N102" s="1306">
        <v>286.3</v>
      </c>
      <c r="O102" s="1306">
        <v>128.80000000000001</v>
      </c>
      <c r="P102" s="1306">
        <v>154.6</v>
      </c>
      <c r="Q102" s="1306">
        <v>34.4</v>
      </c>
      <c r="R102" s="1306">
        <v>6.3</v>
      </c>
      <c r="S102" s="1306">
        <v>44.5</v>
      </c>
      <c r="T102" s="1306">
        <v>2.4</v>
      </c>
      <c r="U102" s="1306">
        <v>10.4</v>
      </c>
      <c r="V102" s="1306">
        <v>0.3</v>
      </c>
      <c r="W102" s="1306">
        <v>0.2</v>
      </c>
      <c r="X102" s="1307">
        <v>892.26</v>
      </c>
      <c r="Y102" s="1308">
        <v>29322.59</v>
      </c>
      <c r="Z102" s="1309"/>
      <c r="AA102" s="1314"/>
      <c r="AB102" s="1314"/>
      <c r="AC102" s="1311"/>
    </row>
    <row r="103" spans="1:29" ht="28.5" hidden="1" customHeight="1" x14ac:dyDescent="0.25">
      <c r="A103" s="1317">
        <v>42217</v>
      </c>
      <c r="B103" s="1305">
        <v>215.6</v>
      </c>
      <c r="C103" s="1306">
        <v>236.9</v>
      </c>
      <c r="D103" s="1306">
        <v>346.2</v>
      </c>
      <c r="E103" s="1306">
        <v>1313.77</v>
      </c>
      <c r="F103" s="1306">
        <v>1413.02</v>
      </c>
      <c r="G103" s="1306">
        <v>3175.24</v>
      </c>
      <c r="H103" s="1306">
        <v>16183.7</v>
      </c>
      <c r="I103" s="1306">
        <v>5247.6</v>
      </c>
      <c r="J103" s="1307">
        <v>28132.03</v>
      </c>
      <c r="K103" s="1305">
        <v>9.1</v>
      </c>
      <c r="L103" s="1306">
        <v>13.19</v>
      </c>
      <c r="M103" s="1306">
        <v>201.8</v>
      </c>
      <c r="N103" s="1306">
        <v>286.82</v>
      </c>
      <c r="O103" s="1306">
        <v>129.41999999999999</v>
      </c>
      <c r="P103" s="1306">
        <v>155.33000000000001</v>
      </c>
      <c r="Q103" s="1306">
        <v>34.64</v>
      </c>
      <c r="R103" s="1306">
        <v>6.33</v>
      </c>
      <c r="S103" s="1306">
        <v>44.68</v>
      </c>
      <c r="T103" s="1306">
        <v>2.42</v>
      </c>
      <c r="U103" s="1306">
        <v>10.4</v>
      </c>
      <c r="V103" s="1306">
        <v>0.3</v>
      </c>
      <c r="W103" s="1306">
        <v>0.2</v>
      </c>
      <c r="X103" s="1307">
        <v>894.62999999999988</v>
      </c>
      <c r="Y103" s="1308">
        <v>29026.66</v>
      </c>
      <c r="Z103" s="1309"/>
      <c r="AA103" s="1314"/>
      <c r="AB103" s="1314"/>
      <c r="AC103" s="1311"/>
    </row>
    <row r="104" spans="1:29" ht="28.5" hidden="1" customHeight="1" x14ac:dyDescent="0.25">
      <c r="A104" s="1317">
        <v>42248</v>
      </c>
      <c r="B104" s="1305">
        <v>215.5</v>
      </c>
      <c r="C104" s="1306">
        <v>235.3</v>
      </c>
      <c r="D104" s="1306">
        <v>344.78</v>
      </c>
      <c r="E104" s="1306">
        <v>1332.98</v>
      </c>
      <c r="F104" s="1306">
        <v>1401.7</v>
      </c>
      <c r="G104" s="1306">
        <v>3165.8</v>
      </c>
      <c r="H104" s="1306">
        <v>16217.4</v>
      </c>
      <c r="I104" s="1306">
        <v>5242.6000000000004</v>
      </c>
      <c r="J104" s="1307">
        <v>28156.059999999998</v>
      </c>
      <c r="K104" s="1305">
        <v>9.1</v>
      </c>
      <c r="L104" s="1306">
        <v>13.2</v>
      </c>
      <c r="M104" s="1306">
        <v>201.9</v>
      </c>
      <c r="N104" s="1306">
        <v>289.14</v>
      </c>
      <c r="O104" s="1306">
        <v>129.9</v>
      </c>
      <c r="P104" s="1306">
        <v>155.63999999999999</v>
      </c>
      <c r="Q104" s="1306">
        <v>34.799999999999997</v>
      </c>
      <c r="R104" s="1306">
        <v>6.33</v>
      </c>
      <c r="S104" s="1306">
        <v>44.81</v>
      </c>
      <c r="T104" s="1306">
        <v>2.42</v>
      </c>
      <c r="U104" s="1306">
        <v>10.44</v>
      </c>
      <c r="V104" s="1306">
        <v>0.3</v>
      </c>
      <c r="W104" s="1306">
        <v>0.2</v>
      </c>
      <c r="X104" s="1307">
        <v>898.18</v>
      </c>
      <c r="Y104" s="1308">
        <v>29054.239999999998</v>
      </c>
      <c r="Z104" s="1309"/>
      <c r="AA104" s="1314"/>
      <c r="AB104" s="1314"/>
      <c r="AC104" s="1311"/>
    </row>
    <row r="105" spans="1:29" ht="28.5" hidden="1" customHeight="1" x14ac:dyDescent="0.25">
      <c r="A105" s="1317">
        <v>42278</v>
      </c>
      <c r="B105" s="1305">
        <v>215.52</v>
      </c>
      <c r="C105" s="1306">
        <v>236.13</v>
      </c>
      <c r="D105" s="1306">
        <v>346.1</v>
      </c>
      <c r="E105" s="1306">
        <v>1331.84</v>
      </c>
      <c r="F105" s="1306">
        <v>1460.47</v>
      </c>
      <c r="G105" s="1306">
        <v>3266.11</v>
      </c>
      <c r="H105" s="1306">
        <v>16330.53</v>
      </c>
      <c r="I105" s="1306">
        <v>5283.81</v>
      </c>
      <c r="J105" s="1307">
        <v>28470.510000000002</v>
      </c>
      <c r="K105" s="1305">
        <v>9.1</v>
      </c>
      <c r="L105" s="1306">
        <v>13.2</v>
      </c>
      <c r="M105" s="1306">
        <v>201.7</v>
      </c>
      <c r="N105" s="1306">
        <v>291.26</v>
      </c>
      <c r="O105" s="1306">
        <v>130.19999999999999</v>
      </c>
      <c r="P105" s="1306">
        <v>156.30000000000001</v>
      </c>
      <c r="Q105" s="1306">
        <v>34.89</v>
      </c>
      <c r="R105" s="1306">
        <v>6.33</v>
      </c>
      <c r="S105" s="1306">
        <v>45.1</v>
      </c>
      <c r="T105" s="1306">
        <v>2.4</v>
      </c>
      <c r="U105" s="1306">
        <v>10.5</v>
      </c>
      <c r="V105" s="1306">
        <v>0.33</v>
      </c>
      <c r="W105" s="1306">
        <v>0.2</v>
      </c>
      <c r="X105" s="1307">
        <v>901.5100000000001</v>
      </c>
      <c r="Y105" s="1308">
        <v>29372.02</v>
      </c>
      <c r="Z105" s="1309"/>
      <c r="AA105" s="1314"/>
      <c r="AB105" s="1314"/>
      <c r="AC105" s="1311"/>
    </row>
    <row r="106" spans="1:29" ht="28.5" hidden="1" customHeight="1" x14ac:dyDescent="0.25">
      <c r="A106" s="1317">
        <v>42309</v>
      </c>
      <c r="B106" s="1305">
        <v>215.4</v>
      </c>
      <c r="C106" s="1306">
        <v>239.9</v>
      </c>
      <c r="D106" s="1306">
        <v>350.26</v>
      </c>
      <c r="E106" s="1306">
        <v>1351.9</v>
      </c>
      <c r="F106" s="1306">
        <v>1422.5</v>
      </c>
      <c r="G106" s="1306">
        <v>3224</v>
      </c>
      <c r="H106" s="1306">
        <v>16437.09</v>
      </c>
      <c r="I106" s="1306">
        <v>5228.28</v>
      </c>
      <c r="J106" s="1307">
        <v>28469.329999999998</v>
      </c>
      <c r="K106" s="1305">
        <v>9.11</v>
      </c>
      <c r="L106" s="1306">
        <v>13.2</v>
      </c>
      <c r="M106" s="1306">
        <v>203.2</v>
      </c>
      <c r="N106" s="1306">
        <v>292.60000000000002</v>
      </c>
      <c r="O106" s="1306">
        <v>131.1</v>
      </c>
      <c r="P106" s="1306">
        <v>157.43</v>
      </c>
      <c r="Q106" s="1306">
        <v>35.159999999999997</v>
      </c>
      <c r="R106" s="1306">
        <v>6.33</v>
      </c>
      <c r="S106" s="1306">
        <v>45.3</v>
      </c>
      <c r="T106" s="1306">
        <v>2.4</v>
      </c>
      <c r="U106" s="1306">
        <v>10.5</v>
      </c>
      <c r="V106" s="1306">
        <v>0.3</v>
      </c>
      <c r="W106" s="1306">
        <v>0.2</v>
      </c>
      <c r="X106" s="1307">
        <v>906.83</v>
      </c>
      <c r="Y106" s="1308">
        <v>29376.16</v>
      </c>
      <c r="Z106" s="1309"/>
      <c r="AA106" s="1314"/>
      <c r="AB106" s="1314"/>
      <c r="AC106" s="1311"/>
    </row>
    <row r="107" spans="1:29" ht="28.5" hidden="1" customHeight="1" x14ac:dyDescent="0.25">
      <c r="A107" s="1318">
        <v>42339</v>
      </c>
      <c r="B107" s="1305">
        <v>215.33</v>
      </c>
      <c r="C107" s="1306">
        <v>251.9</v>
      </c>
      <c r="D107" s="1306">
        <v>366.14</v>
      </c>
      <c r="E107" s="1306">
        <v>1534.49</v>
      </c>
      <c r="F107" s="1306">
        <v>1652.34</v>
      </c>
      <c r="G107" s="1306">
        <v>3715.88</v>
      </c>
      <c r="H107" s="1306">
        <v>19704.7</v>
      </c>
      <c r="I107" s="1306">
        <v>5215.8999999999996</v>
      </c>
      <c r="J107" s="1307">
        <v>32656.68</v>
      </c>
      <c r="K107" s="1305">
        <v>9.11</v>
      </c>
      <c r="L107" s="1306">
        <v>13.2</v>
      </c>
      <c r="M107" s="1306">
        <v>205.94</v>
      </c>
      <c r="N107" s="1306">
        <v>296.88</v>
      </c>
      <c r="O107" s="1306">
        <v>132.91</v>
      </c>
      <c r="P107" s="1306">
        <v>159.41999999999999</v>
      </c>
      <c r="Q107" s="1306">
        <v>35.54</v>
      </c>
      <c r="R107" s="1306">
        <v>6.33</v>
      </c>
      <c r="S107" s="1306">
        <v>45.53</v>
      </c>
      <c r="T107" s="1306">
        <v>2.42</v>
      </c>
      <c r="U107" s="1306">
        <v>10.59</v>
      </c>
      <c r="V107" s="1306">
        <v>0.3</v>
      </c>
      <c r="W107" s="1306">
        <v>0.2</v>
      </c>
      <c r="X107" s="1307">
        <v>918.36999999999989</v>
      </c>
      <c r="Y107" s="1308">
        <v>33575.050000000003</v>
      </c>
      <c r="Z107" s="1309"/>
      <c r="AA107" s="1314"/>
      <c r="AB107" s="1314"/>
      <c r="AC107" s="1311"/>
    </row>
    <row r="108" spans="1:29" ht="28.5" hidden="1" customHeight="1" x14ac:dyDescent="0.25">
      <c r="A108" s="1318">
        <v>42370</v>
      </c>
      <c r="B108" s="1305">
        <v>215.29</v>
      </c>
      <c r="C108" s="1306">
        <v>252.1</v>
      </c>
      <c r="D108" s="1306">
        <v>363.8</v>
      </c>
      <c r="E108" s="1306">
        <v>1487.87</v>
      </c>
      <c r="F108" s="1306">
        <v>1573.59</v>
      </c>
      <c r="G108" s="1306">
        <v>3406.55</v>
      </c>
      <c r="H108" s="1306">
        <v>18266.5</v>
      </c>
      <c r="I108" s="1306">
        <v>4919.8</v>
      </c>
      <c r="J108" s="1307">
        <v>30485.5</v>
      </c>
      <c r="K108" s="1305">
        <v>9.1</v>
      </c>
      <c r="L108" s="1306">
        <v>13.2</v>
      </c>
      <c r="M108" s="1306">
        <v>206.62</v>
      </c>
      <c r="N108" s="1306">
        <v>297.22000000000003</v>
      </c>
      <c r="O108" s="1306">
        <v>135.5</v>
      </c>
      <c r="P108" s="1306">
        <v>160.30000000000001</v>
      </c>
      <c r="Q108" s="1306">
        <v>35.619999999999997</v>
      </c>
      <c r="R108" s="1306">
        <v>6.33</v>
      </c>
      <c r="S108" s="1306">
        <v>45.7</v>
      </c>
      <c r="T108" s="1306">
        <v>2.42</v>
      </c>
      <c r="U108" s="1306">
        <v>10.63</v>
      </c>
      <c r="V108" s="1306">
        <v>0.33</v>
      </c>
      <c r="W108" s="1306">
        <v>0.2</v>
      </c>
      <c r="X108" s="1307">
        <v>923.17000000000019</v>
      </c>
      <c r="Y108" s="1308">
        <v>31408.670000000002</v>
      </c>
      <c r="Z108" s="1309"/>
      <c r="AA108" s="1314"/>
      <c r="AB108" s="1314"/>
      <c r="AC108" s="1311"/>
    </row>
    <row r="109" spans="1:29" ht="28.5" hidden="1" customHeight="1" x14ac:dyDescent="0.25">
      <c r="A109" s="1318">
        <v>42401</v>
      </c>
      <c r="B109" s="1305">
        <v>215.24</v>
      </c>
      <c r="C109" s="1306">
        <v>249.2</v>
      </c>
      <c r="D109" s="1306">
        <v>358.84</v>
      </c>
      <c r="E109" s="1306">
        <v>1467.98</v>
      </c>
      <c r="F109" s="1306">
        <v>1487.6</v>
      </c>
      <c r="G109" s="1306">
        <v>3295.6</v>
      </c>
      <c r="H109" s="1306">
        <v>18021.400000000001</v>
      </c>
      <c r="I109" s="1306">
        <v>4864.8999999999996</v>
      </c>
      <c r="J109" s="1307">
        <v>29960.760000000002</v>
      </c>
      <c r="K109" s="1305">
        <v>9.1</v>
      </c>
      <c r="L109" s="1306">
        <v>13.21</v>
      </c>
      <c r="M109" s="1306">
        <v>206.6</v>
      </c>
      <c r="N109" s="1306">
        <v>296.89999999999998</v>
      </c>
      <c r="O109" s="1306">
        <v>135.69999999999999</v>
      </c>
      <c r="P109" s="1306">
        <v>161</v>
      </c>
      <c r="Q109" s="1306">
        <v>35.72</v>
      </c>
      <c r="R109" s="1306">
        <v>6.33</v>
      </c>
      <c r="S109" s="1306">
        <v>45.9</v>
      </c>
      <c r="T109" s="1306">
        <v>2.42</v>
      </c>
      <c r="U109" s="1306">
        <v>10.7</v>
      </c>
      <c r="V109" s="1306">
        <v>0.33</v>
      </c>
      <c r="W109" s="1306">
        <v>0.2</v>
      </c>
      <c r="X109" s="1307">
        <v>924.11000000000013</v>
      </c>
      <c r="Y109" s="1308">
        <v>30884.870000000003</v>
      </c>
      <c r="Z109" s="1309"/>
      <c r="AA109" s="1314"/>
      <c r="AB109" s="1314"/>
      <c r="AC109" s="1311"/>
    </row>
    <row r="110" spans="1:29" ht="28.5" hidden="1" customHeight="1" x14ac:dyDescent="0.25">
      <c r="A110" s="1318">
        <v>42430</v>
      </c>
      <c r="B110" s="1305">
        <v>215.22</v>
      </c>
      <c r="C110" s="1306">
        <v>249.4</v>
      </c>
      <c r="D110" s="1306">
        <v>358.12</v>
      </c>
      <c r="E110" s="1306">
        <v>1457.2</v>
      </c>
      <c r="F110" s="1306">
        <v>1469.86</v>
      </c>
      <c r="G110" s="1306">
        <v>3285.38</v>
      </c>
      <c r="H110" s="1306">
        <v>18182.560000000001</v>
      </c>
      <c r="I110" s="1306">
        <v>4837.1400000000003</v>
      </c>
      <c r="J110" s="1307">
        <v>30054.880000000001</v>
      </c>
      <c r="K110" s="1305">
        <v>9.1</v>
      </c>
      <c r="L110" s="1306">
        <v>13.21</v>
      </c>
      <c r="M110" s="1306">
        <v>206.6</v>
      </c>
      <c r="N110" s="1306">
        <v>297.04000000000002</v>
      </c>
      <c r="O110" s="1306">
        <v>136.83000000000001</v>
      </c>
      <c r="P110" s="1306">
        <v>161.5</v>
      </c>
      <c r="Q110" s="1306">
        <v>35.9</v>
      </c>
      <c r="R110" s="1306">
        <v>6.3</v>
      </c>
      <c r="S110" s="1306">
        <v>45.99</v>
      </c>
      <c r="T110" s="1306">
        <v>2.42</v>
      </c>
      <c r="U110" s="1306">
        <v>10.7</v>
      </c>
      <c r="V110" s="1306">
        <v>0.3</v>
      </c>
      <c r="W110" s="1306">
        <v>0.2</v>
      </c>
      <c r="X110" s="1307">
        <v>926.09</v>
      </c>
      <c r="Y110" s="1308">
        <v>30980.97</v>
      </c>
      <c r="Z110" s="1309"/>
      <c r="AA110" s="1314"/>
      <c r="AB110" s="1314"/>
      <c r="AC110" s="1311"/>
    </row>
    <row r="111" spans="1:29" ht="28.5" hidden="1" customHeight="1" x14ac:dyDescent="0.25">
      <c r="A111" s="1318">
        <v>42461</v>
      </c>
      <c r="B111" s="1305">
        <v>215.2</v>
      </c>
      <c r="C111" s="1306">
        <v>247.1</v>
      </c>
      <c r="D111" s="1306">
        <v>357.49</v>
      </c>
      <c r="E111" s="1306">
        <v>1439.78</v>
      </c>
      <c r="F111" s="1306">
        <v>1456.86</v>
      </c>
      <c r="G111" s="1306">
        <v>3352</v>
      </c>
      <c r="H111" s="1306">
        <v>17859.599999999999</v>
      </c>
      <c r="I111" s="1306">
        <v>4829.9799999999996</v>
      </c>
      <c r="J111" s="1307">
        <v>29758.01</v>
      </c>
      <c r="K111" s="1305">
        <v>9.11</v>
      </c>
      <c r="L111" s="1306">
        <v>13.2</v>
      </c>
      <c r="M111" s="1306">
        <v>206.7</v>
      </c>
      <c r="N111" s="1306">
        <v>297.08</v>
      </c>
      <c r="O111" s="1306">
        <v>136.96</v>
      </c>
      <c r="P111" s="1306">
        <v>161.94999999999999</v>
      </c>
      <c r="Q111" s="1306">
        <v>36</v>
      </c>
      <c r="R111" s="1306">
        <v>6.33</v>
      </c>
      <c r="S111" s="1306">
        <v>46.2</v>
      </c>
      <c r="T111" s="1306">
        <v>2.42</v>
      </c>
      <c r="U111" s="1306">
        <v>10.74</v>
      </c>
      <c r="V111" s="1306">
        <v>0.33</v>
      </c>
      <c r="W111" s="1306">
        <v>0.22</v>
      </c>
      <c r="X111" s="1307">
        <v>927.24000000000012</v>
      </c>
      <c r="Y111" s="1308">
        <v>30685.25</v>
      </c>
      <c r="Z111" s="1309"/>
      <c r="AA111" s="1314"/>
      <c r="AB111" s="1314"/>
      <c r="AC111" s="1311"/>
    </row>
    <row r="112" spans="1:29" ht="28.5" hidden="1" customHeight="1" x14ac:dyDescent="0.25">
      <c r="A112" s="1318">
        <v>42491</v>
      </c>
      <c r="B112" s="1305">
        <v>215.17</v>
      </c>
      <c r="C112" s="1306">
        <v>250.1</v>
      </c>
      <c r="D112" s="1306">
        <v>361.58</v>
      </c>
      <c r="E112" s="1306">
        <v>1458.49</v>
      </c>
      <c r="F112" s="1306">
        <v>1479.06</v>
      </c>
      <c r="G112" s="1306">
        <v>3332.3</v>
      </c>
      <c r="H112" s="1306">
        <v>18021.349999999999</v>
      </c>
      <c r="I112" s="1306">
        <v>4761.8599999999997</v>
      </c>
      <c r="J112" s="1307">
        <v>29879.91</v>
      </c>
      <c r="K112" s="1305">
        <v>9.11</v>
      </c>
      <c r="L112" s="1306">
        <v>13.2</v>
      </c>
      <c r="M112" s="1306">
        <v>206.7</v>
      </c>
      <c r="N112" s="1306">
        <v>297.3</v>
      </c>
      <c r="O112" s="1306">
        <v>137.77000000000001</v>
      </c>
      <c r="P112" s="1306">
        <v>162.75</v>
      </c>
      <c r="Q112" s="1306">
        <v>36.07</v>
      </c>
      <c r="R112" s="1306">
        <v>6.3</v>
      </c>
      <c r="S112" s="1306">
        <v>46.3</v>
      </c>
      <c r="T112" s="1306">
        <v>2.4</v>
      </c>
      <c r="U112" s="1306">
        <v>10.8</v>
      </c>
      <c r="V112" s="1306">
        <v>0.33</v>
      </c>
      <c r="W112" s="1306">
        <v>0.22</v>
      </c>
      <c r="X112" s="1307">
        <v>929.24999999999989</v>
      </c>
      <c r="Y112" s="1308">
        <v>30809.16</v>
      </c>
      <c r="Z112" s="1309"/>
      <c r="AA112" s="1314"/>
      <c r="AB112" s="1314"/>
      <c r="AC112" s="1311"/>
    </row>
    <row r="113" spans="1:29" ht="28.5" hidden="1" customHeight="1" x14ac:dyDescent="0.25">
      <c r="A113" s="1318">
        <v>42522</v>
      </c>
      <c r="B113" s="1305">
        <v>215.01</v>
      </c>
      <c r="C113" s="1306">
        <v>248.35</v>
      </c>
      <c r="D113" s="1306">
        <v>358.24</v>
      </c>
      <c r="E113" s="1306">
        <v>1499.3</v>
      </c>
      <c r="F113" s="1306">
        <v>1463.1</v>
      </c>
      <c r="G113" s="1306">
        <v>3304.2</v>
      </c>
      <c r="H113" s="1306">
        <v>18070.599999999999</v>
      </c>
      <c r="I113" s="1306">
        <v>4728.7</v>
      </c>
      <c r="J113" s="1307">
        <v>29887.5</v>
      </c>
      <c r="K113" s="1305">
        <v>9.11</v>
      </c>
      <c r="L113" s="1306">
        <v>13.22</v>
      </c>
      <c r="M113" s="1306">
        <v>206.7</v>
      </c>
      <c r="N113" s="1306">
        <v>297.42</v>
      </c>
      <c r="O113" s="1306">
        <v>138.34</v>
      </c>
      <c r="P113" s="1306">
        <v>163.30000000000001</v>
      </c>
      <c r="Q113" s="1306">
        <v>36.32</v>
      </c>
      <c r="R113" s="1306">
        <v>6.33</v>
      </c>
      <c r="S113" s="1306">
        <v>46.43</v>
      </c>
      <c r="T113" s="1306">
        <v>2.4</v>
      </c>
      <c r="U113" s="1306">
        <v>10.8</v>
      </c>
      <c r="V113" s="1306">
        <v>0.3</v>
      </c>
      <c r="W113" s="1306">
        <v>0.2</v>
      </c>
      <c r="X113" s="1307">
        <v>930.87000000000012</v>
      </c>
      <c r="Y113" s="1308">
        <v>30818.37</v>
      </c>
      <c r="Z113" s="1309"/>
      <c r="AA113" s="1314"/>
      <c r="AB113" s="1314"/>
      <c r="AC113" s="1311"/>
    </row>
    <row r="114" spans="1:29" ht="28.5" hidden="1" customHeight="1" x14ac:dyDescent="0.25">
      <c r="A114" s="1318">
        <v>42552</v>
      </c>
      <c r="B114" s="1305">
        <v>214.94</v>
      </c>
      <c r="C114" s="1306">
        <v>251.39</v>
      </c>
      <c r="D114" s="1306">
        <v>361.96</v>
      </c>
      <c r="E114" s="1306">
        <v>1536.08</v>
      </c>
      <c r="F114" s="1306">
        <v>1471.99</v>
      </c>
      <c r="G114" s="1306">
        <v>3452.8</v>
      </c>
      <c r="H114" s="1306">
        <v>18305.3</v>
      </c>
      <c r="I114" s="1306">
        <v>4734.2</v>
      </c>
      <c r="J114" s="1307">
        <v>30328.66</v>
      </c>
      <c r="K114" s="1305">
        <v>9.1</v>
      </c>
      <c r="L114" s="1306">
        <v>13.2</v>
      </c>
      <c r="M114" s="1306">
        <v>206.7</v>
      </c>
      <c r="N114" s="1306">
        <v>297.73</v>
      </c>
      <c r="O114" s="1306">
        <v>138.4</v>
      </c>
      <c r="P114" s="1306">
        <v>163.6</v>
      </c>
      <c r="Q114" s="1306">
        <v>36.380000000000003</v>
      </c>
      <c r="R114" s="1306">
        <v>6.33</v>
      </c>
      <c r="S114" s="1306">
        <v>46.6</v>
      </c>
      <c r="T114" s="1306">
        <v>2.4</v>
      </c>
      <c r="U114" s="1306">
        <v>10.85</v>
      </c>
      <c r="V114" s="1306">
        <v>0.3</v>
      </c>
      <c r="W114" s="1306">
        <v>0.2</v>
      </c>
      <c r="X114" s="1307">
        <v>931.79000000000008</v>
      </c>
      <c r="Y114" s="1308">
        <v>31260.45</v>
      </c>
      <c r="Z114" s="1309"/>
      <c r="AA114" s="1314"/>
      <c r="AB114" s="1314"/>
      <c r="AC114" s="1311"/>
    </row>
    <row r="115" spans="1:29" ht="28.5" hidden="1" customHeight="1" x14ac:dyDescent="0.25">
      <c r="A115" s="1318">
        <v>42583</v>
      </c>
      <c r="B115" s="1305">
        <v>214.94</v>
      </c>
      <c r="C115" s="1306">
        <v>252.5</v>
      </c>
      <c r="D115" s="1306">
        <v>364.67</v>
      </c>
      <c r="E115" s="1306">
        <v>1578.8</v>
      </c>
      <c r="F115" s="1306">
        <v>1460.26</v>
      </c>
      <c r="G115" s="1306">
        <v>3356.2</v>
      </c>
      <c r="H115" s="1306">
        <v>18547.28</v>
      </c>
      <c r="I115" s="1306">
        <v>4682.88</v>
      </c>
      <c r="J115" s="1307">
        <v>30457.53</v>
      </c>
      <c r="K115" s="1305">
        <v>9.11</v>
      </c>
      <c r="L115" s="1306">
        <v>13.23</v>
      </c>
      <c r="M115" s="1306">
        <v>206.95</v>
      </c>
      <c r="N115" s="1306">
        <v>298.3</v>
      </c>
      <c r="O115" s="1306">
        <v>139.6</v>
      </c>
      <c r="P115" s="1306">
        <v>164.1</v>
      </c>
      <c r="Q115" s="1306">
        <v>36.6</v>
      </c>
      <c r="R115" s="1306">
        <v>6.3</v>
      </c>
      <c r="S115" s="1306">
        <v>46.8</v>
      </c>
      <c r="T115" s="1306">
        <v>2.4</v>
      </c>
      <c r="U115" s="1306">
        <v>10.9</v>
      </c>
      <c r="V115" s="1306">
        <v>0.33</v>
      </c>
      <c r="W115" s="1306">
        <v>0.2</v>
      </c>
      <c r="X115" s="1307">
        <v>934.82</v>
      </c>
      <c r="Y115" s="1308">
        <v>31392.35</v>
      </c>
      <c r="Z115" s="1309"/>
      <c r="AA115" s="1314"/>
      <c r="AB115" s="1314"/>
      <c r="AC115" s="1311"/>
    </row>
    <row r="116" spans="1:29" ht="28.5" hidden="1" customHeight="1" x14ac:dyDescent="0.25">
      <c r="A116" s="1318">
        <v>42614</v>
      </c>
      <c r="B116" s="1305">
        <v>214.9</v>
      </c>
      <c r="C116" s="1306">
        <v>255.2</v>
      </c>
      <c r="D116" s="1306">
        <v>364.4</v>
      </c>
      <c r="E116" s="1306">
        <v>1554.6</v>
      </c>
      <c r="F116" s="1306">
        <v>1514.8</v>
      </c>
      <c r="G116" s="1306">
        <v>3441.5</v>
      </c>
      <c r="H116" s="1306">
        <v>18727.400000000001</v>
      </c>
      <c r="I116" s="1306">
        <v>4638.7</v>
      </c>
      <c r="J116" s="1307">
        <v>30711.500000000004</v>
      </c>
      <c r="K116" s="1305">
        <v>9.11</v>
      </c>
      <c r="L116" s="1306">
        <v>13.23</v>
      </c>
      <c r="M116" s="1306">
        <v>208.7</v>
      </c>
      <c r="N116" s="1306">
        <v>298.5</v>
      </c>
      <c r="O116" s="1306">
        <v>140.13999999999999</v>
      </c>
      <c r="P116" s="1306">
        <v>164.75</v>
      </c>
      <c r="Q116" s="1306">
        <v>36.700000000000003</v>
      </c>
      <c r="R116" s="1306">
        <v>6.3</v>
      </c>
      <c r="S116" s="1306">
        <v>46.9</v>
      </c>
      <c r="T116" s="1306">
        <v>2.4</v>
      </c>
      <c r="U116" s="1306">
        <v>10.94</v>
      </c>
      <c r="V116" s="1306">
        <v>0.33</v>
      </c>
      <c r="W116" s="1306">
        <v>0.22</v>
      </c>
      <c r="X116" s="1307">
        <v>938.22</v>
      </c>
      <c r="Y116" s="1308">
        <v>31649.720000000005</v>
      </c>
      <c r="Z116" s="1309"/>
      <c r="AA116" s="1314"/>
      <c r="AB116" s="1314"/>
      <c r="AC116" s="1311"/>
    </row>
    <row r="117" spans="1:29" ht="28.5" hidden="1" customHeight="1" x14ac:dyDescent="0.25">
      <c r="A117" s="1318">
        <v>42644</v>
      </c>
      <c r="B117" s="1305">
        <v>214.94</v>
      </c>
      <c r="C117" s="1306">
        <v>255.1</v>
      </c>
      <c r="D117" s="1306">
        <v>370.64</v>
      </c>
      <c r="E117" s="1306">
        <v>1533.6</v>
      </c>
      <c r="F117" s="1306">
        <v>1579.7</v>
      </c>
      <c r="G117" s="1306">
        <v>3478.99</v>
      </c>
      <c r="H117" s="1306">
        <v>19039.55</v>
      </c>
      <c r="I117" s="1306">
        <v>4633.79</v>
      </c>
      <c r="J117" s="1307">
        <v>31106.309999999998</v>
      </c>
      <c r="K117" s="1305">
        <v>9.11</v>
      </c>
      <c r="L117" s="1306">
        <v>13.23</v>
      </c>
      <c r="M117" s="1306">
        <v>210.01</v>
      </c>
      <c r="N117" s="1306">
        <v>302.04000000000002</v>
      </c>
      <c r="O117" s="1306">
        <v>140.80000000000001</v>
      </c>
      <c r="P117" s="1306">
        <v>165.62</v>
      </c>
      <c r="Q117" s="1306">
        <v>36.909999999999997</v>
      </c>
      <c r="R117" s="1306">
        <v>6.3</v>
      </c>
      <c r="S117" s="1306">
        <v>47.1</v>
      </c>
      <c r="T117" s="1306">
        <v>2.42</v>
      </c>
      <c r="U117" s="1306">
        <v>10.987</v>
      </c>
      <c r="V117" s="1306">
        <v>0.33</v>
      </c>
      <c r="W117" s="1306">
        <v>0.22</v>
      </c>
      <c r="X117" s="1307">
        <v>945.077</v>
      </c>
      <c r="Y117" s="1308">
        <v>32051.386999999999</v>
      </c>
      <c r="Z117" s="1309"/>
      <c r="AA117" s="1314"/>
      <c r="AB117" s="1314"/>
      <c r="AC117" s="1311"/>
    </row>
    <row r="118" spans="1:29" ht="28.5" hidden="1" customHeight="1" x14ac:dyDescent="0.25">
      <c r="A118" s="1318">
        <v>42675</v>
      </c>
      <c r="B118" s="1305">
        <v>214.9</v>
      </c>
      <c r="C118" s="1306">
        <v>255.56</v>
      </c>
      <c r="D118" s="1306">
        <v>372.2</v>
      </c>
      <c r="E118" s="1306">
        <v>1600.7</v>
      </c>
      <c r="F118" s="1306">
        <v>1630.15</v>
      </c>
      <c r="G118" s="1306">
        <v>3502.39</v>
      </c>
      <c r="H118" s="1306">
        <v>19022.7</v>
      </c>
      <c r="I118" s="1306">
        <v>4680.49</v>
      </c>
      <c r="J118" s="1307">
        <v>31279.089999999997</v>
      </c>
      <c r="K118" s="1305">
        <v>9.1</v>
      </c>
      <c r="L118" s="1306">
        <v>13.24</v>
      </c>
      <c r="M118" s="1306">
        <v>210.04</v>
      </c>
      <c r="N118" s="1306">
        <v>305.10000000000002</v>
      </c>
      <c r="O118" s="1306">
        <v>141.5</v>
      </c>
      <c r="P118" s="1306">
        <v>166.74</v>
      </c>
      <c r="Q118" s="1306">
        <v>37.06</v>
      </c>
      <c r="R118" s="1306">
        <v>6.33</v>
      </c>
      <c r="S118" s="1306">
        <v>47.32</v>
      </c>
      <c r="T118" s="1306">
        <v>2.42</v>
      </c>
      <c r="U118" s="1306">
        <v>11.06</v>
      </c>
      <c r="V118" s="1306">
        <v>0.33</v>
      </c>
      <c r="W118" s="1306">
        <v>0.22</v>
      </c>
      <c r="X118" s="1307">
        <v>950.46</v>
      </c>
      <c r="Y118" s="1308">
        <v>32229.549999999996</v>
      </c>
      <c r="Z118" s="1309"/>
      <c r="AA118" s="1314"/>
      <c r="AB118" s="1311"/>
      <c r="AC118" s="1311"/>
    </row>
    <row r="119" spans="1:29" ht="28.5" hidden="1" customHeight="1" x14ac:dyDescent="0.25">
      <c r="A119" s="1318">
        <v>42705</v>
      </c>
      <c r="B119" s="1305">
        <v>214.8</v>
      </c>
      <c r="C119" s="1306">
        <v>264.39999999999998</v>
      </c>
      <c r="D119" s="1306">
        <v>384.4</v>
      </c>
      <c r="E119" s="1306">
        <v>1765.2</v>
      </c>
      <c r="F119" s="1306">
        <v>1815.98</v>
      </c>
      <c r="G119" s="1306">
        <v>4186.63</v>
      </c>
      <c r="H119" s="1306">
        <v>21514.34</v>
      </c>
      <c r="I119" s="1306">
        <v>5045.3599999999997</v>
      </c>
      <c r="J119" s="1307">
        <v>35191.11</v>
      </c>
      <c r="K119" s="1305">
        <v>9.1</v>
      </c>
      <c r="L119" s="1306">
        <v>13.24</v>
      </c>
      <c r="M119" s="1306">
        <v>211.4</v>
      </c>
      <c r="N119" s="1306">
        <v>314</v>
      </c>
      <c r="O119" s="1306">
        <v>143.1</v>
      </c>
      <c r="P119" s="1306">
        <v>168.8</v>
      </c>
      <c r="Q119" s="1306">
        <v>37.299999999999997</v>
      </c>
      <c r="R119" s="1306">
        <v>6.3</v>
      </c>
      <c r="S119" s="1306">
        <v>47.5</v>
      </c>
      <c r="T119" s="1306">
        <v>2.4</v>
      </c>
      <c r="U119" s="1306">
        <v>11.1</v>
      </c>
      <c r="V119" s="1306">
        <v>0.33</v>
      </c>
      <c r="W119" s="1306">
        <v>0.22</v>
      </c>
      <c r="X119" s="1307">
        <v>964.79000000000008</v>
      </c>
      <c r="Y119" s="1308">
        <v>36155.9</v>
      </c>
      <c r="Z119" s="1309"/>
      <c r="AA119" s="1314"/>
      <c r="AB119" s="1311"/>
      <c r="AC119" s="1311"/>
    </row>
    <row r="120" spans="1:29" ht="28.5" hidden="1" customHeight="1" x14ac:dyDescent="0.25">
      <c r="A120" s="1318">
        <v>42736</v>
      </c>
      <c r="B120" s="1305">
        <v>214.8</v>
      </c>
      <c r="C120" s="1306">
        <v>262.67</v>
      </c>
      <c r="D120" s="1306">
        <v>385.17</v>
      </c>
      <c r="E120" s="1306">
        <v>1775.1</v>
      </c>
      <c r="F120" s="1306">
        <v>1661.87</v>
      </c>
      <c r="G120" s="1306">
        <v>3935.9</v>
      </c>
      <c r="H120" s="1306">
        <v>20376.400000000001</v>
      </c>
      <c r="I120" s="1306">
        <v>4679.6000000000004</v>
      </c>
      <c r="J120" s="1307">
        <v>33291.51</v>
      </c>
      <c r="K120" s="1305">
        <v>9.1</v>
      </c>
      <c r="L120" s="1306">
        <v>13.23</v>
      </c>
      <c r="M120" s="1306">
        <v>211.6</v>
      </c>
      <c r="N120" s="1306">
        <v>315.3</v>
      </c>
      <c r="O120" s="1306">
        <v>143.19999999999999</v>
      </c>
      <c r="P120" s="1306">
        <v>169.8</v>
      </c>
      <c r="Q120" s="1306">
        <v>37.5</v>
      </c>
      <c r="R120" s="1306">
        <v>6.33</v>
      </c>
      <c r="S120" s="1306">
        <v>47.65</v>
      </c>
      <c r="T120" s="1306">
        <v>2.4</v>
      </c>
      <c r="U120" s="1306">
        <v>11.2</v>
      </c>
      <c r="V120" s="1306">
        <v>0.3</v>
      </c>
      <c r="W120" s="1306">
        <v>0.2</v>
      </c>
      <c r="X120" s="1307">
        <v>967.81000000000006</v>
      </c>
      <c r="Y120" s="1308">
        <v>34259.32</v>
      </c>
      <c r="Z120" s="1309"/>
      <c r="AA120" s="1314"/>
      <c r="AB120" s="1314"/>
      <c r="AC120" s="1311"/>
    </row>
    <row r="121" spans="1:29" ht="28.5" hidden="1" customHeight="1" x14ac:dyDescent="0.25">
      <c r="A121" s="1318">
        <v>42767</v>
      </c>
      <c r="B121" s="1305">
        <v>214.8</v>
      </c>
      <c r="C121" s="1306">
        <v>262.2</v>
      </c>
      <c r="D121" s="1306">
        <v>375.8</v>
      </c>
      <c r="E121" s="1306">
        <v>1655.07</v>
      </c>
      <c r="F121" s="1306">
        <v>1614.5</v>
      </c>
      <c r="G121" s="1306">
        <v>3820.6</v>
      </c>
      <c r="H121" s="1306">
        <v>20141.95</v>
      </c>
      <c r="I121" s="1306">
        <v>4624.7</v>
      </c>
      <c r="J121" s="1307">
        <v>32709.62</v>
      </c>
      <c r="K121" s="1305">
        <v>9.1</v>
      </c>
      <c r="L121" s="1306">
        <v>13.24</v>
      </c>
      <c r="M121" s="1306">
        <v>211.6</v>
      </c>
      <c r="N121" s="1306">
        <v>315.3</v>
      </c>
      <c r="O121" s="1306">
        <v>143.24</v>
      </c>
      <c r="P121" s="1306">
        <v>170.1</v>
      </c>
      <c r="Q121" s="1306">
        <v>37.56</v>
      </c>
      <c r="R121" s="1306">
        <v>6.3</v>
      </c>
      <c r="S121" s="1306">
        <v>47.8</v>
      </c>
      <c r="T121" s="1306">
        <v>2.4</v>
      </c>
      <c r="U121" s="1306">
        <v>11.2</v>
      </c>
      <c r="V121" s="1306">
        <v>0.3</v>
      </c>
      <c r="W121" s="1306">
        <v>0.22</v>
      </c>
      <c r="X121" s="1307">
        <v>968.36</v>
      </c>
      <c r="Y121" s="1308">
        <v>33677.979999999996</v>
      </c>
      <c r="Z121" s="1309"/>
      <c r="AA121" s="1314"/>
      <c r="AB121" s="1314"/>
      <c r="AC121" s="1311"/>
    </row>
    <row r="122" spans="1:29" ht="28.5" hidden="1" customHeight="1" x14ac:dyDescent="0.25">
      <c r="A122" s="1318">
        <v>42795</v>
      </c>
      <c r="B122" s="1305">
        <v>214.64</v>
      </c>
      <c r="C122" s="1306">
        <v>264.60000000000002</v>
      </c>
      <c r="D122" s="1306">
        <v>378.3</v>
      </c>
      <c r="E122" s="1306">
        <v>1691.5</v>
      </c>
      <c r="F122" s="1306">
        <v>1587.39</v>
      </c>
      <c r="G122" s="1306">
        <v>3599.9</v>
      </c>
      <c r="H122" s="1306">
        <v>20603.900000000001</v>
      </c>
      <c r="I122" s="1306">
        <v>4566.97</v>
      </c>
      <c r="J122" s="1307">
        <v>32907.200000000004</v>
      </c>
      <c r="K122" s="1305">
        <v>9.1</v>
      </c>
      <c r="L122" s="1306">
        <v>13.24</v>
      </c>
      <c r="M122" s="1306">
        <v>211.6</v>
      </c>
      <c r="N122" s="1306">
        <v>315.83999999999997</v>
      </c>
      <c r="O122" s="1306">
        <v>143.4</v>
      </c>
      <c r="P122" s="1306">
        <v>171.15</v>
      </c>
      <c r="Q122" s="1306">
        <v>37.700000000000003</v>
      </c>
      <c r="R122" s="1306">
        <v>6.33</v>
      </c>
      <c r="S122" s="1306">
        <v>47.93</v>
      </c>
      <c r="T122" s="1306">
        <v>2.4</v>
      </c>
      <c r="U122" s="1306">
        <v>11.23</v>
      </c>
      <c r="V122" s="1306">
        <v>0.33</v>
      </c>
      <c r="W122" s="1306">
        <v>0.22</v>
      </c>
      <c r="X122" s="1307">
        <v>970.47</v>
      </c>
      <c r="Y122" s="1308">
        <v>33877.670000000006</v>
      </c>
      <c r="Z122" s="1309"/>
      <c r="AA122" s="1314"/>
      <c r="AB122" s="1314"/>
      <c r="AC122" s="1311"/>
    </row>
    <row r="123" spans="1:29" ht="28.5" hidden="1" customHeight="1" x14ac:dyDescent="0.25">
      <c r="A123" s="1318">
        <v>42826</v>
      </c>
      <c r="B123" s="1305">
        <v>214.64</v>
      </c>
      <c r="C123" s="1306">
        <v>262.5</v>
      </c>
      <c r="D123" s="1306">
        <v>383</v>
      </c>
      <c r="E123" s="1306">
        <v>1683.1</v>
      </c>
      <c r="F123" s="1306">
        <v>1582</v>
      </c>
      <c r="G123" s="1306">
        <v>3658.3</v>
      </c>
      <c r="H123" s="1306">
        <v>20118.900000000001</v>
      </c>
      <c r="I123" s="1306">
        <v>4546.2</v>
      </c>
      <c r="J123" s="1307">
        <v>32448.640000000003</v>
      </c>
      <c r="K123" s="1305">
        <v>9.1</v>
      </c>
      <c r="L123" s="1306">
        <v>13.25</v>
      </c>
      <c r="M123" s="1306">
        <v>211.5</v>
      </c>
      <c r="N123" s="1306">
        <v>316.39999999999998</v>
      </c>
      <c r="O123" s="1306">
        <v>143.77000000000001</v>
      </c>
      <c r="P123" s="1306">
        <v>171.8</v>
      </c>
      <c r="Q123" s="1306">
        <v>37.9</v>
      </c>
      <c r="R123" s="1306">
        <v>6.3</v>
      </c>
      <c r="S123" s="1306">
        <v>48.1</v>
      </c>
      <c r="T123" s="1306">
        <v>2.4</v>
      </c>
      <c r="U123" s="1306">
        <v>11.3</v>
      </c>
      <c r="V123" s="1306">
        <v>0.3</v>
      </c>
      <c r="W123" s="1306">
        <v>0.2</v>
      </c>
      <c r="X123" s="1307">
        <v>972.31999999999982</v>
      </c>
      <c r="Y123" s="1308">
        <v>33420.960000000006</v>
      </c>
      <c r="Z123" s="1309"/>
      <c r="AA123" s="1314"/>
      <c r="AB123" s="1314"/>
      <c r="AC123" s="1311"/>
    </row>
    <row r="124" spans="1:29" ht="28.5" hidden="1" customHeight="1" x14ac:dyDescent="0.25">
      <c r="A124" s="1318">
        <v>42856</v>
      </c>
      <c r="B124" s="1305">
        <v>214.57</v>
      </c>
      <c r="C124" s="1306">
        <v>263.8</v>
      </c>
      <c r="D124" s="1306">
        <v>376.6</v>
      </c>
      <c r="E124" s="1306">
        <v>1653.4</v>
      </c>
      <c r="F124" s="1306">
        <v>1629.96</v>
      </c>
      <c r="G124" s="1306">
        <v>3572.39</v>
      </c>
      <c r="H124" s="1306">
        <v>19587.560000000001</v>
      </c>
      <c r="I124" s="1306">
        <v>4520.5</v>
      </c>
      <c r="J124" s="1307">
        <v>31818.78</v>
      </c>
      <c r="K124" s="1305">
        <v>9.1</v>
      </c>
      <c r="L124" s="1306">
        <v>13.25</v>
      </c>
      <c r="M124" s="1306">
        <v>211.52</v>
      </c>
      <c r="N124" s="1306">
        <v>318.11</v>
      </c>
      <c r="O124" s="1306">
        <v>144.34</v>
      </c>
      <c r="P124" s="1306">
        <v>172.7</v>
      </c>
      <c r="Q124" s="1306">
        <v>38.01</v>
      </c>
      <c r="R124" s="1306">
        <v>6.33</v>
      </c>
      <c r="S124" s="1306">
        <v>48.3</v>
      </c>
      <c r="T124" s="1306">
        <v>2.42</v>
      </c>
      <c r="U124" s="1306">
        <v>11.33</v>
      </c>
      <c r="V124" s="1306">
        <v>0.33</v>
      </c>
      <c r="W124" s="1306">
        <v>0.22</v>
      </c>
      <c r="X124" s="1307">
        <v>975.96</v>
      </c>
      <c r="Y124" s="1308">
        <v>32794.74</v>
      </c>
      <c r="Z124" s="1309"/>
      <c r="AA124" s="1314"/>
      <c r="AB124" s="1314"/>
      <c r="AC124" s="1311"/>
    </row>
    <row r="125" spans="1:29" ht="28.5" hidden="1" customHeight="1" x14ac:dyDescent="0.25">
      <c r="A125" s="1318">
        <v>42887</v>
      </c>
      <c r="B125" s="1305">
        <v>214.55</v>
      </c>
      <c r="C125" s="1306">
        <v>265.73</v>
      </c>
      <c r="D125" s="1306">
        <v>372.59</v>
      </c>
      <c r="E125" s="1306">
        <v>1661.7</v>
      </c>
      <c r="F125" s="1306">
        <v>1627.66</v>
      </c>
      <c r="G125" s="1306">
        <v>3759.4</v>
      </c>
      <c r="H125" s="1306">
        <v>20439.5</v>
      </c>
      <c r="I125" s="1306">
        <v>4480.97</v>
      </c>
      <c r="J125" s="1307">
        <v>32822.1</v>
      </c>
      <c r="K125" s="1305">
        <v>9.1</v>
      </c>
      <c r="L125" s="1306">
        <v>13.25</v>
      </c>
      <c r="M125" s="1306">
        <v>211.5</v>
      </c>
      <c r="N125" s="1306">
        <v>319.8</v>
      </c>
      <c r="O125" s="1306">
        <v>144.69999999999999</v>
      </c>
      <c r="P125" s="1306">
        <v>173.3</v>
      </c>
      <c r="Q125" s="1306">
        <v>38.14</v>
      </c>
      <c r="R125" s="1306">
        <v>6.3</v>
      </c>
      <c r="S125" s="1306">
        <v>48.5</v>
      </c>
      <c r="T125" s="1306">
        <v>2.4</v>
      </c>
      <c r="U125" s="1306">
        <v>11.4</v>
      </c>
      <c r="V125" s="1306">
        <v>0.33</v>
      </c>
      <c r="W125" s="1306">
        <v>0.2</v>
      </c>
      <c r="X125" s="1307">
        <v>978.91999999999985</v>
      </c>
      <c r="Y125" s="1308">
        <v>33801.019999999997</v>
      </c>
      <c r="Z125" s="1309"/>
      <c r="AA125" s="1314"/>
      <c r="AB125" s="1314"/>
      <c r="AC125" s="1311"/>
    </row>
    <row r="126" spans="1:29" ht="28.5" hidden="1" customHeight="1" x14ac:dyDescent="0.25">
      <c r="A126" s="1318">
        <v>42917</v>
      </c>
      <c r="B126" s="1305">
        <v>214.54</v>
      </c>
      <c r="C126" s="1306">
        <v>259.63</v>
      </c>
      <c r="D126" s="1306">
        <v>370.54</v>
      </c>
      <c r="E126" s="1306">
        <v>1622.1</v>
      </c>
      <c r="F126" s="1306">
        <v>1584.6</v>
      </c>
      <c r="G126" s="1306">
        <v>3642.7</v>
      </c>
      <c r="H126" s="1306">
        <v>20437.900000000001</v>
      </c>
      <c r="I126" s="1306">
        <v>4471.93</v>
      </c>
      <c r="J126" s="1307">
        <v>32603.940000000002</v>
      </c>
      <c r="K126" s="1305">
        <v>9.1</v>
      </c>
      <c r="L126" s="1306">
        <v>13.3</v>
      </c>
      <c r="M126" s="1306">
        <v>212.13</v>
      </c>
      <c r="N126" s="1306">
        <v>321.5</v>
      </c>
      <c r="O126" s="1306">
        <v>145.30000000000001</v>
      </c>
      <c r="P126" s="1306">
        <v>174.4</v>
      </c>
      <c r="Q126" s="1306">
        <v>38.4</v>
      </c>
      <c r="R126" s="1306">
        <v>6.33</v>
      </c>
      <c r="S126" s="1306">
        <v>48.6</v>
      </c>
      <c r="T126" s="1306">
        <v>2.4</v>
      </c>
      <c r="U126" s="1306">
        <v>11.4</v>
      </c>
      <c r="V126" s="1306">
        <v>0.3</v>
      </c>
      <c r="W126" s="1306">
        <v>0.2</v>
      </c>
      <c r="X126" s="1307">
        <v>983.3599999999999</v>
      </c>
      <c r="Y126" s="1308">
        <v>33587.300000000003</v>
      </c>
      <c r="Z126" s="1309"/>
      <c r="AA126" s="1314"/>
      <c r="AB126" s="1314"/>
      <c r="AC126" s="1311"/>
    </row>
    <row r="127" spans="1:29" ht="28.5" hidden="1" customHeight="1" x14ac:dyDescent="0.25">
      <c r="A127" s="1318">
        <v>42948</v>
      </c>
      <c r="B127" s="1305">
        <v>214.54</v>
      </c>
      <c r="C127" s="1306">
        <v>258.52999999999997</v>
      </c>
      <c r="D127" s="1306">
        <v>367.1</v>
      </c>
      <c r="E127" s="1306">
        <v>1468.81</v>
      </c>
      <c r="F127" s="1306">
        <v>1606.31</v>
      </c>
      <c r="G127" s="1306">
        <v>3710.62</v>
      </c>
      <c r="H127" s="1306">
        <v>20079.18</v>
      </c>
      <c r="I127" s="1306">
        <v>4468.84</v>
      </c>
      <c r="J127" s="1307">
        <v>32173.93</v>
      </c>
      <c r="K127" s="1305">
        <v>9.1</v>
      </c>
      <c r="L127" s="1306">
        <v>13.25</v>
      </c>
      <c r="M127" s="1306">
        <v>212.7</v>
      </c>
      <c r="N127" s="1306">
        <v>323.7</v>
      </c>
      <c r="O127" s="1306">
        <v>146.38999999999999</v>
      </c>
      <c r="P127" s="1306">
        <v>175.48</v>
      </c>
      <c r="Q127" s="1306">
        <v>38.5</v>
      </c>
      <c r="R127" s="1306">
        <v>6.3</v>
      </c>
      <c r="S127" s="1306">
        <v>48.78</v>
      </c>
      <c r="T127" s="1306">
        <v>2.4</v>
      </c>
      <c r="U127" s="1306">
        <v>11.5</v>
      </c>
      <c r="V127" s="1306">
        <v>0.3</v>
      </c>
      <c r="W127" s="1306">
        <v>0.2</v>
      </c>
      <c r="X127" s="1307">
        <v>988.59999999999991</v>
      </c>
      <c r="Y127" s="1308">
        <v>33162.53</v>
      </c>
      <c r="Z127" s="1309"/>
      <c r="AA127" s="1314"/>
      <c r="AB127" s="1314"/>
      <c r="AC127" s="1311"/>
    </row>
    <row r="128" spans="1:29" ht="28.5" hidden="1" customHeight="1" x14ac:dyDescent="0.25">
      <c r="A128" s="1318">
        <v>42979</v>
      </c>
      <c r="B128" s="1305">
        <v>214.5</v>
      </c>
      <c r="C128" s="1306">
        <v>260.60000000000002</v>
      </c>
      <c r="D128" s="1306">
        <v>368</v>
      </c>
      <c r="E128" s="1306">
        <v>1463.66</v>
      </c>
      <c r="F128" s="1306">
        <v>1594.8</v>
      </c>
      <c r="G128" s="1306">
        <v>3723.6</v>
      </c>
      <c r="H128" s="1306">
        <v>20349.27</v>
      </c>
      <c r="I128" s="1306">
        <v>4464.7700000000004</v>
      </c>
      <c r="J128" s="1307">
        <v>32439.200000000001</v>
      </c>
      <c r="K128" s="1305">
        <v>9.1</v>
      </c>
      <c r="L128" s="1306">
        <v>13.3</v>
      </c>
      <c r="M128" s="1306">
        <v>213.3</v>
      </c>
      <c r="N128" s="1306">
        <v>325.39999999999998</v>
      </c>
      <c r="O128" s="1306">
        <v>147.30000000000001</v>
      </c>
      <c r="P128" s="1306">
        <v>176.35</v>
      </c>
      <c r="Q128" s="1306">
        <v>38.6</v>
      </c>
      <c r="R128" s="1306">
        <v>6.3</v>
      </c>
      <c r="S128" s="1306">
        <v>48.96</v>
      </c>
      <c r="T128" s="1306">
        <v>2.4</v>
      </c>
      <c r="U128" s="1306">
        <v>11.5</v>
      </c>
      <c r="V128" s="1306">
        <v>0.3</v>
      </c>
      <c r="W128" s="1306">
        <v>0.2</v>
      </c>
      <c r="X128" s="1307">
        <v>993.0100000000001</v>
      </c>
      <c r="Y128" s="1308">
        <v>33432.21</v>
      </c>
      <c r="Z128" s="1309"/>
      <c r="AA128" s="1314"/>
      <c r="AB128" s="1314"/>
      <c r="AC128" s="1311"/>
    </row>
    <row r="129" spans="1:29" ht="28.5" hidden="1" customHeight="1" x14ac:dyDescent="0.25">
      <c r="A129" s="1318">
        <v>43009</v>
      </c>
      <c r="B129" s="1305">
        <v>214.46</v>
      </c>
      <c r="C129" s="1306">
        <v>266.47000000000003</v>
      </c>
      <c r="D129" s="1306">
        <v>369.04</v>
      </c>
      <c r="E129" s="1306">
        <v>1565.95</v>
      </c>
      <c r="F129" s="1306">
        <v>1700.72</v>
      </c>
      <c r="G129" s="1306">
        <v>3949.78</v>
      </c>
      <c r="H129" s="1306">
        <v>21478.47</v>
      </c>
      <c r="I129" s="1306">
        <v>4490.2299999999996</v>
      </c>
      <c r="J129" s="1307">
        <v>34035.119999999995</v>
      </c>
      <c r="K129" s="1305">
        <v>9.1199999999999992</v>
      </c>
      <c r="L129" s="1306">
        <v>13.26</v>
      </c>
      <c r="M129" s="1306">
        <v>215.27</v>
      </c>
      <c r="N129" s="1306">
        <v>329.18</v>
      </c>
      <c r="O129" s="1306">
        <v>149.44</v>
      </c>
      <c r="P129" s="1306">
        <v>177.45</v>
      </c>
      <c r="Q129" s="1306">
        <v>38.799999999999997</v>
      </c>
      <c r="R129" s="1306">
        <v>6.33</v>
      </c>
      <c r="S129" s="1306">
        <v>49.15</v>
      </c>
      <c r="T129" s="1306">
        <v>2.42</v>
      </c>
      <c r="U129" s="1306">
        <v>11.57</v>
      </c>
      <c r="V129" s="1306">
        <v>0.33</v>
      </c>
      <c r="W129" s="1306">
        <v>0.22</v>
      </c>
      <c r="X129" s="1307">
        <v>1002.5400000000001</v>
      </c>
      <c r="Y129" s="1308">
        <v>35037.659999999996</v>
      </c>
      <c r="Z129" s="1309"/>
      <c r="AA129" s="1314"/>
      <c r="AB129" s="1314"/>
      <c r="AC129" s="1311"/>
    </row>
    <row r="130" spans="1:29" ht="28.5" hidden="1" customHeight="1" x14ac:dyDescent="0.25">
      <c r="A130" s="1319">
        <v>43040</v>
      </c>
      <c r="B130" s="1305">
        <v>214.45</v>
      </c>
      <c r="C130" s="1306">
        <v>271.43</v>
      </c>
      <c r="D130" s="1306">
        <v>374.04</v>
      </c>
      <c r="E130" s="1306">
        <v>1633.38</v>
      </c>
      <c r="F130" s="1306">
        <v>1725.08</v>
      </c>
      <c r="G130" s="1306">
        <v>4036.37</v>
      </c>
      <c r="H130" s="1306">
        <v>21068.39</v>
      </c>
      <c r="I130" s="1306">
        <v>4507.92</v>
      </c>
      <c r="J130" s="1307">
        <v>33831.06</v>
      </c>
      <c r="K130" s="1305">
        <v>9.25</v>
      </c>
      <c r="L130" s="1306">
        <v>13.26</v>
      </c>
      <c r="M130" s="1306">
        <v>215.7</v>
      </c>
      <c r="N130" s="1306">
        <v>334.02</v>
      </c>
      <c r="O130" s="1306">
        <v>152.87</v>
      </c>
      <c r="P130" s="1306">
        <v>179.65</v>
      </c>
      <c r="Q130" s="1306">
        <v>39.159999999999997</v>
      </c>
      <c r="R130" s="1306">
        <v>6.33</v>
      </c>
      <c r="S130" s="1306">
        <v>49.52</v>
      </c>
      <c r="T130" s="1306">
        <v>2.42</v>
      </c>
      <c r="U130" s="1306">
        <v>11.65</v>
      </c>
      <c r="V130" s="1306">
        <v>0.33</v>
      </c>
      <c r="W130" s="1306">
        <v>0.22</v>
      </c>
      <c r="X130" s="1307">
        <v>1014.38</v>
      </c>
      <c r="Y130" s="1308">
        <v>34845.439999999995</v>
      </c>
      <c r="Z130" s="1309"/>
      <c r="AA130" s="1314"/>
      <c r="AB130" s="1314"/>
      <c r="AC130" s="1311"/>
    </row>
    <row r="131" spans="1:29" ht="28.5" hidden="1" customHeight="1" x14ac:dyDescent="0.25">
      <c r="A131" s="1319">
        <v>43070</v>
      </c>
      <c r="B131" s="1305">
        <v>214.44</v>
      </c>
      <c r="C131" s="1306">
        <v>278.51</v>
      </c>
      <c r="D131" s="1306">
        <v>385.23</v>
      </c>
      <c r="E131" s="1306">
        <v>1873.72</v>
      </c>
      <c r="F131" s="1306">
        <v>1961.04</v>
      </c>
      <c r="G131" s="1306">
        <v>4642.82</v>
      </c>
      <c r="H131" s="1306">
        <v>23731.43</v>
      </c>
      <c r="I131" s="1306">
        <v>4836.1040000000003</v>
      </c>
      <c r="J131" s="1307">
        <v>37923.294000000002</v>
      </c>
      <c r="K131" s="1305">
        <v>9.27</v>
      </c>
      <c r="L131" s="1306">
        <v>13.26</v>
      </c>
      <c r="M131" s="1306">
        <v>217.55</v>
      </c>
      <c r="N131" s="1306">
        <v>339.69</v>
      </c>
      <c r="O131" s="1306">
        <v>154.51</v>
      </c>
      <c r="P131" s="1306">
        <v>181.03</v>
      </c>
      <c r="Q131" s="1306">
        <v>39.369999999999997</v>
      </c>
      <c r="R131" s="1306">
        <v>6.33</v>
      </c>
      <c r="S131" s="1306">
        <v>49.65</v>
      </c>
      <c r="T131" s="1306">
        <v>2.42</v>
      </c>
      <c r="U131" s="1306">
        <v>11.7</v>
      </c>
      <c r="V131" s="1306">
        <v>0.33</v>
      </c>
      <c r="W131" s="1306">
        <v>0.23</v>
      </c>
      <c r="X131" s="1307">
        <v>1025.3399999999999</v>
      </c>
      <c r="Y131" s="1308">
        <v>38948.633999999998</v>
      </c>
      <c r="Z131" s="1309"/>
      <c r="AA131" s="1314"/>
      <c r="AB131" s="1314"/>
      <c r="AC131" s="1311"/>
    </row>
    <row r="132" spans="1:29" ht="28.5" hidden="1" customHeight="1" x14ac:dyDescent="0.25">
      <c r="A132" s="1319">
        <v>43101</v>
      </c>
      <c r="B132" s="1305">
        <v>214.42</v>
      </c>
      <c r="C132" s="1306">
        <v>276.26</v>
      </c>
      <c r="D132" s="1306">
        <v>377.22</v>
      </c>
      <c r="E132" s="1306">
        <v>1935.67</v>
      </c>
      <c r="F132" s="1306">
        <v>1808.41</v>
      </c>
      <c r="G132" s="1306">
        <v>4252.1000000000004</v>
      </c>
      <c r="H132" s="1306">
        <v>22847.94</v>
      </c>
      <c r="I132" s="1306">
        <v>4627.71</v>
      </c>
      <c r="J132" s="1307">
        <v>36339.730000000003</v>
      </c>
      <c r="K132" s="1305">
        <v>9.2799999999999994</v>
      </c>
      <c r="L132" s="1306">
        <v>13.26</v>
      </c>
      <c r="M132" s="1306">
        <v>219.65</v>
      </c>
      <c r="N132" s="1306">
        <v>342.85</v>
      </c>
      <c r="O132" s="1306">
        <v>155.78958499999999</v>
      </c>
      <c r="P132" s="1306">
        <v>182.32</v>
      </c>
      <c r="Q132" s="1306">
        <v>39.520000000000003</v>
      </c>
      <c r="R132" s="1306">
        <v>6.33</v>
      </c>
      <c r="S132" s="1306">
        <v>49.79</v>
      </c>
      <c r="T132" s="1306">
        <v>2.42</v>
      </c>
      <c r="U132" s="1306">
        <v>11.73</v>
      </c>
      <c r="V132" s="1306">
        <v>0.33</v>
      </c>
      <c r="W132" s="1306">
        <v>0.22</v>
      </c>
      <c r="X132" s="1307">
        <v>1033.4895849999998</v>
      </c>
      <c r="Y132" s="1308">
        <v>37373.219585000006</v>
      </c>
      <c r="Z132" s="1309"/>
      <c r="AA132" s="1314"/>
      <c r="AB132" s="1314"/>
      <c r="AC132" s="1311"/>
    </row>
    <row r="133" spans="1:29" ht="28.5" hidden="1" customHeight="1" x14ac:dyDescent="0.25">
      <c r="A133" s="1319">
        <v>43132</v>
      </c>
      <c r="B133" s="1305">
        <v>214.35</v>
      </c>
      <c r="C133" s="1306">
        <v>276.61</v>
      </c>
      <c r="D133" s="1306">
        <v>375.74</v>
      </c>
      <c r="E133" s="1306">
        <v>1875.84</v>
      </c>
      <c r="F133" s="1306">
        <v>1746.78</v>
      </c>
      <c r="G133" s="1306">
        <v>4126.79</v>
      </c>
      <c r="H133" s="1306">
        <v>22153.919999999998</v>
      </c>
      <c r="I133" s="1306">
        <v>4584.1000000000004</v>
      </c>
      <c r="J133" s="1307">
        <v>35354.120000000003</v>
      </c>
      <c r="K133" s="1305">
        <v>9.2899999999999991</v>
      </c>
      <c r="L133" s="1306">
        <v>13.26</v>
      </c>
      <c r="M133" s="1306">
        <v>219.65</v>
      </c>
      <c r="N133" s="1306">
        <v>343.23</v>
      </c>
      <c r="O133" s="1306">
        <v>156.26</v>
      </c>
      <c r="P133" s="1306">
        <v>183.12</v>
      </c>
      <c r="Q133" s="1306">
        <v>39.67</v>
      </c>
      <c r="R133" s="1306">
        <v>6.33</v>
      </c>
      <c r="S133" s="1306">
        <v>49.89</v>
      </c>
      <c r="T133" s="1306">
        <v>2.42</v>
      </c>
      <c r="U133" s="1306">
        <v>11.77</v>
      </c>
      <c r="V133" s="1306">
        <v>0.33</v>
      </c>
      <c r="W133" s="1306">
        <v>0.22</v>
      </c>
      <c r="X133" s="1307">
        <v>1035.42</v>
      </c>
      <c r="Y133" s="1308">
        <v>36389.54</v>
      </c>
      <c r="Z133" s="1309"/>
      <c r="AA133" s="1314"/>
      <c r="AB133" s="1314"/>
      <c r="AC133" s="1311"/>
    </row>
    <row r="134" spans="1:29" ht="28.5" hidden="1" customHeight="1" x14ac:dyDescent="0.25">
      <c r="A134" s="1319">
        <v>43160</v>
      </c>
      <c r="B134" s="1305">
        <v>214.3</v>
      </c>
      <c r="C134" s="1306">
        <v>273.75</v>
      </c>
      <c r="D134" s="1306">
        <v>372.92</v>
      </c>
      <c r="E134" s="1306">
        <v>1870.75</v>
      </c>
      <c r="F134" s="1306">
        <v>1755.38</v>
      </c>
      <c r="G134" s="1306">
        <v>4190.67</v>
      </c>
      <c r="H134" s="1306">
        <v>21462.3</v>
      </c>
      <c r="I134" s="1306">
        <v>4209.68</v>
      </c>
      <c r="J134" s="1307">
        <v>34349.760000000002</v>
      </c>
      <c r="K134" s="1305">
        <v>9.3000000000000007</v>
      </c>
      <c r="L134" s="1306">
        <v>13.27</v>
      </c>
      <c r="M134" s="1306">
        <v>219.57</v>
      </c>
      <c r="N134" s="1306">
        <v>344.83</v>
      </c>
      <c r="O134" s="1306">
        <v>157</v>
      </c>
      <c r="P134" s="1306">
        <v>184.07</v>
      </c>
      <c r="Q134" s="1306">
        <v>39.85</v>
      </c>
      <c r="R134" s="1306">
        <v>6.33</v>
      </c>
      <c r="S134" s="1306">
        <v>50.06</v>
      </c>
      <c r="T134" s="1306">
        <v>2.42</v>
      </c>
      <c r="U134" s="1306">
        <v>11.82</v>
      </c>
      <c r="V134" s="1306">
        <v>0.33</v>
      </c>
      <c r="W134" s="1306">
        <v>0.22</v>
      </c>
      <c r="X134" s="1307">
        <v>1039.05</v>
      </c>
      <c r="Y134" s="1308">
        <v>35388.810000000005</v>
      </c>
      <c r="Z134" s="1309"/>
      <c r="AA134" s="1314"/>
      <c r="AB134" s="1314"/>
      <c r="AC134" s="1311"/>
    </row>
    <row r="135" spans="1:29" ht="28.5" hidden="1" customHeight="1" x14ac:dyDescent="0.25">
      <c r="A135" s="1319">
        <v>43191</v>
      </c>
      <c r="B135" s="1305">
        <v>214.29</v>
      </c>
      <c r="C135" s="1306">
        <v>274.95</v>
      </c>
      <c r="D135" s="1306">
        <v>374.99</v>
      </c>
      <c r="E135" s="1306">
        <v>1752.41</v>
      </c>
      <c r="F135" s="1306">
        <v>1772.29</v>
      </c>
      <c r="G135" s="1306">
        <v>4191.26</v>
      </c>
      <c r="H135" s="1306">
        <v>21082.61</v>
      </c>
      <c r="I135" s="1306">
        <v>3996.52</v>
      </c>
      <c r="J135" s="1307">
        <v>33659.32</v>
      </c>
      <c r="K135" s="1305">
        <v>9.31</v>
      </c>
      <c r="L135" s="1306">
        <v>13.27</v>
      </c>
      <c r="M135" s="1306">
        <v>219.57</v>
      </c>
      <c r="N135" s="1306">
        <v>346.98</v>
      </c>
      <c r="O135" s="1306">
        <v>158.08000000000001</v>
      </c>
      <c r="P135" s="1306">
        <v>184.97</v>
      </c>
      <c r="Q135" s="1306">
        <v>39.979999999999997</v>
      </c>
      <c r="R135" s="1306">
        <v>6.33</v>
      </c>
      <c r="S135" s="1306">
        <v>50.21</v>
      </c>
      <c r="T135" s="1306">
        <v>2.42</v>
      </c>
      <c r="U135" s="1306">
        <v>11.86</v>
      </c>
      <c r="V135" s="1306">
        <v>0.33</v>
      </c>
      <c r="W135" s="1306">
        <v>0.22</v>
      </c>
      <c r="X135" s="1307">
        <v>1043.53</v>
      </c>
      <c r="Y135" s="1308">
        <v>34702.85</v>
      </c>
      <c r="Z135" s="1309"/>
      <c r="AA135" s="1314"/>
      <c r="AB135" s="1314"/>
      <c r="AC135" s="1311"/>
    </row>
    <row r="136" spans="1:29" ht="28.5" hidden="1" customHeight="1" x14ac:dyDescent="0.25">
      <c r="A136" s="1319">
        <v>43221</v>
      </c>
      <c r="B136" s="1305">
        <v>214.28</v>
      </c>
      <c r="C136" s="1306">
        <v>277.44</v>
      </c>
      <c r="D136" s="1306">
        <v>366.81</v>
      </c>
      <c r="E136" s="1306">
        <v>1601.52</v>
      </c>
      <c r="F136" s="1306">
        <v>1781.39</v>
      </c>
      <c r="G136" s="1306">
        <v>4347.75</v>
      </c>
      <c r="H136" s="1306">
        <v>21094.58</v>
      </c>
      <c r="I136" s="1306">
        <v>3715.16</v>
      </c>
      <c r="J136" s="1307">
        <v>33398.93</v>
      </c>
      <c r="K136" s="1305">
        <v>9.32</v>
      </c>
      <c r="L136" s="1306">
        <v>13.27</v>
      </c>
      <c r="M136" s="1306">
        <v>219.65</v>
      </c>
      <c r="N136" s="1306">
        <v>348.96</v>
      </c>
      <c r="O136" s="1306">
        <v>158.6</v>
      </c>
      <c r="P136" s="1306">
        <v>185.86</v>
      </c>
      <c r="Q136" s="1306">
        <v>40.06</v>
      </c>
      <c r="R136" s="1306">
        <v>6.33</v>
      </c>
      <c r="S136" s="1306">
        <v>50.4</v>
      </c>
      <c r="T136" s="1306">
        <v>2.42</v>
      </c>
      <c r="U136" s="1306">
        <v>11.92</v>
      </c>
      <c r="V136" s="1306">
        <v>0.33</v>
      </c>
      <c r="W136" s="1306">
        <v>0.22</v>
      </c>
      <c r="X136" s="1307">
        <v>1047.31</v>
      </c>
      <c r="Y136" s="1308">
        <v>34446.239999999998</v>
      </c>
      <c r="Z136" s="1309"/>
      <c r="AA136" s="1314"/>
      <c r="AB136" s="1314"/>
      <c r="AC136" s="1311"/>
    </row>
    <row r="137" spans="1:29" ht="28.5" hidden="1" customHeight="1" x14ac:dyDescent="0.25">
      <c r="A137" s="1319">
        <v>43252</v>
      </c>
      <c r="B137" s="1305">
        <v>214.25</v>
      </c>
      <c r="C137" s="1306">
        <v>274.69</v>
      </c>
      <c r="D137" s="1306">
        <v>369.1</v>
      </c>
      <c r="E137" s="1306">
        <v>1607.92</v>
      </c>
      <c r="F137" s="1306">
        <v>1764.1</v>
      </c>
      <c r="G137" s="1306">
        <v>4185.4799999999996</v>
      </c>
      <c r="H137" s="1306">
        <v>21257.03</v>
      </c>
      <c r="I137" s="1306">
        <v>3354.72</v>
      </c>
      <c r="J137" s="1307">
        <v>33027.29</v>
      </c>
      <c r="K137" s="1305">
        <v>9.33</v>
      </c>
      <c r="L137" s="1306">
        <v>13.27</v>
      </c>
      <c r="M137" s="1306">
        <v>220.04</v>
      </c>
      <c r="N137" s="1306">
        <v>350.32</v>
      </c>
      <c r="O137" s="1306">
        <v>159.08000000000001</v>
      </c>
      <c r="P137" s="1306">
        <v>186.55</v>
      </c>
      <c r="Q137" s="1306">
        <v>40.24</v>
      </c>
      <c r="R137" s="1306">
        <v>6.33</v>
      </c>
      <c r="S137" s="1306">
        <v>50.52</v>
      </c>
      <c r="T137" s="1306">
        <v>2.42</v>
      </c>
      <c r="U137" s="1306">
        <v>11.95</v>
      </c>
      <c r="V137" s="1306">
        <v>0.33</v>
      </c>
      <c r="W137" s="1306">
        <v>0.22</v>
      </c>
      <c r="X137" s="1307">
        <v>1050.5999999999999</v>
      </c>
      <c r="Y137" s="1308">
        <v>34077.89</v>
      </c>
      <c r="Z137" s="1309"/>
      <c r="AA137" s="1314"/>
      <c r="AB137" s="1314"/>
      <c r="AC137" s="1311"/>
    </row>
    <row r="138" spans="1:29" ht="28.5" hidden="1" customHeight="1" x14ac:dyDescent="0.25">
      <c r="A138" s="1319">
        <v>43282</v>
      </c>
      <c r="B138" s="1305">
        <v>214.22126499999999</v>
      </c>
      <c r="C138" s="1306">
        <v>276.63985000000002</v>
      </c>
      <c r="D138" s="1306">
        <v>372.44574999999998</v>
      </c>
      <c r="E138" s="1306">
        <v>1629.6733999999999</v>
      </c>
      <c r="F138" s="1306">
        <v>1751.1032</v>
      </c>
      <c r="G138" s="1306">
        <v>4246.5349999999999</v>
      </c>
      <c r="H138" s="1306">
        <v>21907.183000000001</v>
      </c>
      <c r="I138" s="1306">
        <v>3140.424</v>
      </c>
      <c r="J138" s="1307">
        <v>33538.222629999997</v>
      </c>
      <c r="K138" s="1305">
        <v>9.3358029700000014</v>
      </c>
      <c r="L138" s="1306">
        <v>13.27145</v>
      </c>
      <c r="M138" s="1306">
        <v>220.19556</v>
      </c>
      <c r="N138" s="1306">
        <v>351.12866000000002</v>
      </c>
      <c r="O138" s="1306">
        <v>159.79719</v>
      </c>
      <c r="P138" s="1306">
        <v>187.173621</v>
      </c>
      <c r="Q138" s="1306">
        <v>40.312226000000003</v>
      </c>
      <c r="R138" s="1306">
        <v>6.3278425</v>
      </c>
      <c r="S138" s="1306">
        <v>50.634455200000005</v>
      </c>
      <c r="T138" s="1306">
        <v>2.4173482000000002</v>
      </c>
      <c r="U138" s="1306">
        <v>12.004533999999998</v>
      </c>
      <c r="V138" s="1306">
        <v>0.33024841999999999</v>
      </c>
      <c r="W138" s="1306">
        <v>0.22299389999999999</v>
      </c>
      <c r="X138" s="1307">
        <v>1053.1359321899999</v>
      </c>
      <c r="Y138" s="1308">
        <v>34591.358562189998</v>
      </c>
      <c r="Z138" s="1309"/>
      <c r="AA138" s="1314"/>
      <c r="AB138" s="1314"/>
      <c r="AC138" s="1311"/>
    </row>
    <row r="139" spans="1:29" ht="28.5" hidden="1" customHeight="1" x14ac:dyDescent="0.25">
      <c r="A139" s="1319">
        <v>43313</v>
      </c>
      <c r="B139" s="1305">
        <v>214.17701500000001</v>
      </c>
      <c r="C139" s="1306">
        <v>274.09665000000001</v>
      </c>
      <c r="D139" s="1306">
        <v>369.44184999999999</v>
      </c>
      <c r="E139" s="1306">
        <v>1645.5145</v>
      </c>
      <c r="F139" s="1306">
        <v>1757.3594000000001</v>
      </c>
      <c r="G139" s="1306">
        <v>4224.2335000000003</v>
      </c>
      <c r="H139" s="1306">
        <v>21750.552</v>
      </c>
      <c r="I139" s="1306">
        <v>2928.14</v>
      </c>
      <c r="J139" s="1307">
        <v>33163.51208</v>
      </c>
      <c r="K139" s="1305">
        <v>9.3394029700000001</v>
      </c>
      <c r="L139" s="1306">
        <v>13.27145</v>
      </c>
      <c r="M139" s="1306">
        <v>220.19685999999999</v>
      </c>
      <c r="N139" s="1306">
        <v>351.72935000000001</v>
      </c>
      <c r="O139" s="1306">
        <v>160.34976</v>
      </c>
      <c r="P139" s="1306">
        <v>187.64644699999999</v>
      </c>
      <c r="Q139" s="1306">
        <v>40.374104000000003</v>
      </c>
      <c r="R139" s="1306">
        <v>6.3278425</v>
      </c>
      <c r="S139" s="1306">
        <v>50.772178200000006</v>
      </c>
      <c r="T139" s="1306">
        <v>2.4173482000000002</v>
      </c>
      <c r="U139" s="1306">
        <v>12.033887899999998</v>
      </c>
      <c r="V139" s="1306">
        <v>0.33024841999999999</v>
      </c>
      <c r="W139" s="1306">
        <v>0.22299237000000002</v>
      </c>
      <c r="X139" s="1307">
        <v>1054.9958715599998</v>
      </c>
      <c r="Y139" s="1308">
        <v>34218.507951560001</v>
      </c>
      <c r="Z139" s="1309"/>
      <c r="AA139" s="1314"/>
      <c r="AB139" s="1314"/>
      <c r="AC139" s="1311"/>
    </row>
    <row r="140" spans="1:29" ht="28.5" hidden="1" customHeight="1" x14ac:dyDescent="0.25">
      <c r="A140" s="1319">
        <v>43344</v>
      </c>
      <c r="B140" s="1305">
        <v>214.17</v>
      </c>
      <c r="C140" s="1306">
        <v>276.91000000000003</v>
      </c>
      <c r="D140" s="1306">
        <v>374.62</v>
      </c>
      <c r="E140" s="1306">
        <v>1645.35</v>
      </c>
      <c r="F140" s="1306">
        <v>1721.32</v>
      </c>
      <c r="G140" s="1306">
        <v>4165.91</v>
      </c>
      <c r="H140" s="1306">
        <v>21513.42</v>
      </c>
      <c r="I140" s="1306">
        <v>2754.06</v>
      </c>
      <c r="J140" s="1307">
        <v>32665.759999999998</v>
      </c>
      <c r="K140" s="1305">
        <v>9.3439999999999994</v>
      </c>
      <c r="L140" s="1306">
        <v>13.27</v>
      </c>
      <c r="M140" s="1306">
        <v>222.17</v>
      </c>
      <c r="N140" s="1306">
        <v>353.83</v>
      </c>
      <c r="O140" s="1306">
        <v>161.30000000000001</v>
      </c>
      <c r="P140" s="1306">
        <v>188.32</v>
      </c>
      <c r="Q140" s="1306">
        <v>40.58</v>
      </c>
      <c r="R140" s="1306">
        <v>6.33</v>
      </c>
      <c r="S140" s="1306">
        <v>50.94</v>
      </c>
      <c r="T140" s="1306">
        <v>2.42</v>
      </c>
      <c r="U140" s="1306">
        <v>12.08</v>
      </c>
      <c r="V140" s="1306">
        <v>0.33</v>
      </c>
      <c r="W140" s="1306">
        <v>0.22</v>
      </c>
      <c r="X140" s="1307">
        <v>1061.1099999999999</v>
      </c>
      <c r="Y140" s="1308">
        <v>33726.869999999995</v>
      </c>
      <c r="Z140" s="1309"/>
      <c r="AA140" s="1314"/>
      <c r="AB140" s="1314"/>
      <c r="AC140" s="1311"/>
    </row>
    <row r="141" spans="1:29" ht="28.5" hidden="1" customHeight="1" x14ac:dyDescent="0.25">
      <c r="A141" s="1319">
        <v>43374</v>
      </c>
      <c r="B141" s="1305">
        <v>214.14735999999999</v>
      </c>
      <c r="C141" s="1306">
        <v>279.56740000000002</v>
      </c>
      <c r="D141" s="1306">
        <v>380.13560000000001</v>
      </c>
      <c r="E141" s="1306">
        <v>1675.5032000000001</v>
      </c>
      <c r="F141" s="1306">
        <v>1762.2106000000001</v>
      </c>
      <c r="G141" s="1306">
        <v>4373.2475000000004</v>
      </c>
      <c r="H141" s="1306">
        <v>22448.415000000001</v>
      </c>
      <c r="I141" s="1306">
        <v>2548.7979999999998</v>
      </c>
      <c r="J141" s="1307">
        <v>33682.021825000003</v>
      </c>
      <c r="K141" s="1305">
        <v>9.3567629700000001</v>
      </c>
      <c r="L141" s="1306">
        <v>13.272449999999999</v>
      </c>
      <c r="M141" s="1306">
        <v>224.74124</v>
      </c>
      <c r="N141" s="1306">
        <v>356.56486999999998</v>
      </c>
      <c r="O141" s="1306">
        <v>161.99993000000001</v>
      </c>
      <c r="P141" s="1306">
        <v>189.12840800000001</v>
      </c>
      <c r="Q141" s="1306">
        <v>40.778562000000001</v>
      </c>
      <c r="R141" s="1306">
        <v>6.3277894999999997</v>
      </c>
      <c r="S141" s="1306">
        <v>51.165770199999997</v>
      </c>
      <c r="T141" s="1306">
        <v>2.4173482000000002</v>
      </c>
      <c r="U141" s="1306">
        <v>12.148010599999999</v>
      </c>
      <c r="V141" s="1306">
        <v>0.33024841999999999</v>
      </c>
      <c r="W141" s="1306">
        <v>0.22298654999999998</v>
      </c>
      <c r="X141" s="1307">
        <v>1068.43837644</v>
      </c>
      <c r="Y141" s="1308">
        <v>34750.460201440001</v>
      </c>
      <c r="Z141" s="1309"/>
      <c r="AA141" s="1314"/>
      <c r="AB141" s="1314"/>
      <c r="AC141" s="1311"/>
    </row>
    <row r="142" spans="1:29" ht="28.5" hidden="1" customHeight="1" x14ac:dyDescent="0.25">
      <c r="A142" s="1319">
        <v>43405</v>
      </c>
      <c r="B142" s="1305">
        <v>214.09714500000001</v>
      </c>
      <c r="C142" s="1306">
        <v>278.513125</v>
      </c>
      <c r="D142" s="1306">
        <v>382.88099999999997</v>
      </c>
      <c r="E142" s="1306">
        <v>1745.0399</v>
      </c>
      <c r="F142" s="1306">
        <v>1841.0214000000001</v>
      </c>
      <c r="G142" s="1306">
        <v>4336.0860000000002</v>
      </c>
      <c r="H142" s="1306">
        <v>22656.263999999999</v>
      </c>
      <c r="I142" s="1306">
        <v>2457.058</v>
      </c>
      <c r="J142" s="1307">
        <v>33910.957535000001</v>
      </c>
      <c r="K142" s="1305">
        <v>9.3797629699999998</v>
      </c>
      <c r="L142" s="1306">
        <v>13.277950000000001</v>
      </c>
      <c r="M142" s="1306">
        <v>225.70208</v>
      </c>
      <c r="N142" s="1306">
        <v>359.78699</v>
      </c>
      <c r="O142" s="1306">
        <v>162.95586</v>
      </c>
      <c r="P142" s="1306">
        <v>190.52471399999999</v>
      </c>
      <c r="Q142" s="1306">
        <v>41.053680999999997</v>
      </c>
      <c r="R142" s="1306">
        <v>6.3275494999999999</v>
      </c>
      <c r="S142" s="1306">
        <v>51.368138200000004</v>
      </c>
      <c r="T142" s="1306">
        <v>2.4172192999999997</v>
      </c>
      <c r="U142" s="1306">
        <v>12.208329000000001</v>
      </c>
      <c r="V142" s="1306">
        <v>0.33023241999999997</v>
      </c>
      <c r="W142" s="1306">
        <v>0.22298026999999998</v>
      </c>
      <c r="X142" s="1307">
        <v>1075.5414866600001</v>
      </c>
      <c r="Y142" s="1308">
        <v>34986.499021659998</v>
      </c>
      <c r="Z142" s="1309"/>
      <c r="AA142" s="1314"/>
      <c r="AB142" s="1314"/>
      <c r="AC142" s="1311"/>
    </row>
    <row r="143" spans="1:29" ht="28.5" hidden="1" customHeight="1" x14ac:dyDescent="0.25">
      <c r="A143" s="1319">
        <v>43435</v>
      </c>
      <c r="B143" s="1305">
        <v>214.05</v>
      </c>
      <c r="C143" s="1306">
        <v>280.01</v>
      </c>
      <c r="D143" s="1306">
        <v>395.75</v>
      </c>
      <c r="E143" s="1306">
        <v>1953.95</v>
      </c>
      <c r="F143" s="1306">
        <v>2135.34</v>
      </c>
      <c r="G143" s="1306">
        <v>5088.43</v>
      </c>
      <c r="H143" s="1306">
        <v>25852.797999999999</v>
      </c>
      <c r="I143" s="1306">
        <v>2568.5</v>
      </c>
      <c r="J143" s="1307">
        <v>38488.83</v>
      </c>
      <c r="K143" s="1305">
        <v>9.3800000000000008</v>
      </c>
      <c r="L143" s="1306">
        <v>13.28</v>
      </c>
      <c r="M143" s="1306">
        <v>228.66</v>
      </c>
      <c r="N143" s="1306">
        <v>365.28</v>
      </c>
      <c r="O143" s="1306">
        <v>164.93</v>
      </c>
      <c r="P143" s="1306">
        <v>192.39</v>
      </c>
      <c r="Q143" s="1306">
        <v>41.36</v>
      </c>
      <c r="R143" s="1306">
        <v>6.33</v>
      </c>
      <c r="S143" s="1306">
        <v>51.58</v>
      </c>
      <c r="T143" s="1306">
        <v>2.42</v>
      </c>
      <c r="U143" s="1306">
        <v>12.26</v>
      </c>
      <c r="V143" s="1306">
        <v>0.33</v>
      </c>
      <c r="W143" s="1306">
        <v>0.22</v>
      </c>
      <c r="X143" s="1307">
        <v>1088.4000000000001</v>
      </c>
      <c r="Y143" s="1308">
        <v>39577.230000000003</v>
      </c>
      <c r="Z143" s="1309"/>
      <c r="AA143" s="1314"/>
      <c r="AB143" s="1314"/>
      <c r="AC143" s="1311"/>
    </row>
    <row r="144" spans="1:29" ht="26.25" hidden="1" customHeight="1" x14ac:dyDescent="0.25">
      <c r="A144" s="1319">
        <v>43466</v>
      </c>
      <c r="B144" s="1305">
        <v>214.01464999999999</v>
      </c>
      <c r="C144" s="1306">
        <v>277.73374999999999</v>
      </c>
      <c r="D144" s="1306">
        <v>398.97059999999999</v>
      </c>
      <c r="E144" s="1306">
        <v>1741.7492999999999</v>
      </c>
      <c r="F144" s="1306">
        <v>1859.7031999999999</v>
      </c>
      <c r="G144" s="1306">
        <v>4994.7115000000003</v>
      </c>
      <c r="H144" s="1306">
        <v>24515.992999999999</v>
      </c>
      <c r="I144" s="1306">
        <v>2386.3679999999999</v>
      </c>
      <c r="J144" s="1307">
        <v>36389.240425000004</v>
      </c>
      <c r="K144" s="1305">
        <v>9.3841479700000008</v>
      </c>
      <c r="L144" s="1306">
        <v>13.279949999999999</v>
      </c>
      <c r="M144" s="1306">
        <v>230.66746000000001</v>
      </c>
      <c r="N144" s="1306">
        <v>367.17757</v>
      </c>
      <c r="O144" s="1306">
        <v>166.61261999999999</v>
      </c>
      <c r="P144" s="1306">
        <v>193.92340100000001</v>
      </c>
      <c r="Q144" s="1306">
        <v>41.588541999999997</v>
      </c>
      <c r="R144" s="1306">
        <v>6.3275494999999999</v>
      </c>
      <c r="S144" s="1306">
        <v>51.744230999999999</v>
      </c>
      <c r="T144" s="1306">
        <v>2.4171974999999999</v>
      </c>
      <c r="U144" s="1306">
        <v>12.3107992</v>
      </c>
      <c r="V144" s="1306">
        <v>0.33023241999999997</v>
      </c>
      <c r="W144" s="1306">
        <v>0.22298045000000002</v>
      </c>
      <c r="X144" s="1307">
        <v>1095.97268104</v>
      </c>
      <c r="Y144" s="1308">
        <v>37485.213106040006</v>
      </c>
      <c r="Z144" s="1309"/>
      <c r="AA144" s="1314"/>
      <c r="AB144" s="1314"/>
      <c r="AC144" s="1311"/>
    </row>
    <row r="145" spans="1:29" ht="26.25" hidden="1" customHeight="1" x14ac:dyDescent="0.25">
      <c r="A145" s="1319">
        <v>43497</v>
      </c>
      <c r="B145" s="1305">
        <v>589.56190000000004</v>
      </c>
      <c r="C145" s="1306">
        <v>276.65204999999997</v>
      </c>
      <c r="D145" s="1306">
        <v>395.19495000000001</v>
      </c>
      <c r="E145" s="1306">
        <v>1626.7475999999999</v>
      </c>
      <c r="F145" s="1306">
        <v>1755.0935999999999</v>
      </c>
      <c r="G145" s="1306">
        <v>4779.6004999999996</v>
      </c>
      <c r="H145" s="1306">
        <v>23431.074000000001</v>
      </c>
      <c r="I145" s="1306">
        <v>1953.7819999999999</v>
      </c>
      <c r="J145" s="1307">
        <v>34807.706599999998</v>
      </c>
      <c r="K145" s="1305">
        <v>9.3889129699999998</v>
      </c>
      <c r="L145" s="1306">
        <v>13.281700000000001</v>
      </c>
      <c r="M145" s="1306">
        <v>231.3972</v>
      </c>
      <c r="N145" s="1306">
        <v>367.94166000000001</v>
      </c>
      <c r="O145" s="1306">
        <v>167.04433499999999</v>
      </c>
      <c r="P145" s="1306">
        <v>194.59473299999999</v>
      </c>
      <c r="Q145" s="1306">
        <v>41.643496499999998</v>
      </c>
      <c r="R145" s="1306">
        <v>6.3275432499999997</v>
      </c>
      <c r="S145" s="1306">
        <v>51.866202600000001</v>
      </c>
      <c r="T145" s="1306">
        <v>2.4171961</v>
      </c>
      <c r="U145" s="1306">
        <v>12.346193900000001</v>
      </c>
      <c r="V145" s="1306">
        <v>0.33023217999999999</v>
      </c>
      <c r="W145" s="1306">
        <v>0.22297677999999999</v>
      </c>
      <c r="X145" s="1307">
        <v>1098.78838228</v>
      </c>
      <c r="Y145" s="1308">
        <v>35906.494982279997</v>
      </c>
      <c r="Z145" s="1309"/>
      <c r="AA145" s="1314"/>
      <c r="AB145" s="1314"/>
      <c r="AC145" s="1311"/>
    </row>
    <row r="146" spans="1:29" ht="26.25" hidden="1" customHeight="1" x14ac:dyDescent="0.25">
      <c r="A146" s="1319">
        <v>43525</v>
      </c>
      <c r="B146" s="1305">
        <v>545.06064000000003</v>
      </c>
      <c r="C146" s="1306">
        <v>276.73989999999998</v>
      </c>
      <c r="D146" s="1306">
        <v>398.50869999999998</v>
      </c>
      <c r="E146" s="1306">
        <v>1680.6206999999999</v>
      </c>
      <c r="F146" s="1306">
        <v>1859.183</v>
      </c>
      <c r="G146" s="1306">
        <v>5051.1424999999999</v>
      </c>
      <c r="H146" s="1306">
        <v>23309.506000000001</v>
      </c>
      <c r="I146" s="1306">
        <v>2186.232</v>
      </c>
      <c r="J146" s="1307">
        <v>35306.993439999998</v>
      </c>
      <c r="K146" s="1305">
        <v>9.3901129700000006</v>
      </c>
      <c r="L146" s="1306">
        <v>13.282450000000001</v>
      </c>
      <c r="M146" s="1306">
        <v>233.98944</v>
      </c>
      <c r="N146" s="1306">
        <v>369.39692000000002</v>
      </c>
      <c r="O146" s="1306">
        <v>168.20524</v>
      </c>
      <c r="P146" s="1306">
        <v>195.49792199999999</v>
      </c>
      <c r="Q146" s="1306">
        <v>41.733426999999999</v>
      </c>
      <c r="R146" s="1306">
        <v>6.3274600000000003</v>
      </c>
      <c r="S146" s="1306">
        <v>52.042528199999992</v>
      </c>
      <c r="T146" s="1306">
        <v>2.4171572000000001</v>
      </c>
      <c r="U146" s="1306">
        <v>12.3907904</v>
      </c>
      <c r="V146" s="1306">
        <v>0.33022955999999998</v>
      </c>
      <c r="W146" s="1306">
        <v>0.22297549999999999</v>
      </c>
      <c r="X146" s="1307">
        <v>1105.21265283</v>
      </c>
      <c r="Y146" s="1308">
        <v>36412.206092829998</v>
      </c>
      <c r="Z146" s="1309"/>
      <c r="AA146" s="1314"/>
      <c r="AB146" s="1314"/>
      <c r="AC146" s="1311"/>
    </row>
    <row r="147" spans="1:29" ht="26.25" hidden="1" customHeight="1" x14ac:dyDescent="0.25">
      <c r="A147" s="1319">
        <v>43556</v>
      </c>
      <c r="B147" s="1305">
        <v>545.06064000000003</v>
      </c>
      <c r="C147" s="1306">
        <v>275.08452499999999</v>
      </c>
      <c r="D147" s="1306">
        <v>397.21974999999998</v>
      </c>
      <c r="E147" s="1306">
        <v>1669.2381</v>
      </c>
      <c r="F147" s="1306">
        <v>1940.2828</v>
      </c>
      <c r="G147" s="1306">
        <v>5033.3604999999998</v>
      </c>
      <c r="H147" s="1306">
        <v>23144.633999999998</v>
      </c>
      <c r="I147" s="1306">
        <v>2477.9340000000002</v>
      </c>
      <c r="J147" s="1307">
        <v>35456.966829999998</v>
      </c>
      <c r="K147" s="1305">
        <v>9.394512970000001</v>
      </c>
      <c r="L147" s="1306">
        <v>13.2842</v>
      </c>
      <c r="M147" s="1306">
        <v>237.99198000000001</v>
      </c>
      <c r="N147" s="1306">
        <v>371.3802</v>
      </c>
      <c r="O147" s="1306">
        <v>169.18971500000001</v>
      </c>
      <c r="P147" s="1306">
        <v>196.27344400000001</v>
      </c>
      <c r="Q147" s="1306">
        <v>41.961350000000003</v>
      </c>
      <c r="R147" s="1306">
        <v>6.3274600000000003</v>
      </c>
      <c r="S147" s="1306">
        <v>52.1931206</v>
      </c>
      <c r="T147" s="1306">
        <v>2.4171537999999999</v>
      </c>
      <c r="U147" s="1306">
        <v>12.4478882</v>
      </c>
      <c r="V147" s="1306">
        <v>0.33022873999999997</v>
      </c>
      <c r="W147" s="1306">
        <v>0.22297001</v>
      </c>
      <c r="X147" s="1307">
        <v>1113.4002233199999</v>
      </c>
      <c r="Y147" s="1308">
        <v>36570.367053319998</v>
      </c>
      <c r="Z147" s="1309"/>
      <c r="AA147" s="1314"/>
      <c r="AB147" s="1314"/>
      <c r="AC147" s="1311"/>
    </row>
    <row r="148" spans="1:29" ht="26.25" hidden="1" customHeight="1" x14ac:dyDescent="0.25">
      <c r="A148" s="1319">
        <v>43586</v>
      </c>
      <c r="B148" s="1305">
        <v>506.95</v>
      </c>
      <c r="C148" s="1306">
        <v>275.04000000000002</v>
      </c>
      <c r="D148" s="1306">
        <v>400.9</v>
      </c>
      <c r="E148" s="1306">
        <v>1668.9981</v>
      </c>
      <c r="F148" s="1306">
        <v>1948.76</v>
      </c>
      <c r="G148" s="1306">
        <v>4814.0259999999998</v>
      </c>
      <c r="H148" s="1306">
        <v>23201.82</v>
      </c>
      <c r="I148" s="1306">
        <v>2923.35</v>
      </c>
      <c r="J148" s="1307">
        <v>35739.839999999997</v>
      </c>
      <c r="K148" s="1305">
        <v>9.4</v>
      </c>
      <c r="L148" s="1306">
        <v>13.29</v>
      </c>
      <c r="M148" s="1306">
        <v>241.79</v>
      </c>
      <c r="N148" s="1306">
        <v>372.64</v>
      </c>
      <c r="O148" s="1306">
        <v>169.58</v>
      </c>
      <c r="P148" s="1306">
        <v>197.12</v>
      </c>
      <c r="Q148" s="1306">
        <v>42.09</v>
      </c>
      <c r="R148" s="1306">
        <v>6.33</v>
      </c>
      <c r="S148" s="1306">
        <v>52.36</v>
      </c>
      <c r="T148" s="1306">
        <v>2.42</v>
      </c>
      <c r="U148" s="1306">
        <v>12.49</v>
      </c>
      <c r="V148" s="1306">
        <v>0.33</v>
      </c>
      <c r="W148" s="1306">
        <v>0.23</v>
      </c>
      <c r="X148" s="1307">
        <v>1120.07</v>
      </c>
      <c r="Y148" s="1308">
        <v>36859.909999999996</v>
      </c>
      <c r="Z148" s="1309"/>
      <c r="AA148" s="1314"/>
      <c r="AB148" s="1314"/>
      <c r="AC148" s="1311"/>
    </row>
    <row r="149" spans="1:29" ht="26.25" hidden="1" customHeight="1" x14ac:dyDescent="0.25">
      <c r="A149" s="1319">
        <v>43617</v>
      </c>
      <c r="B149" s="1305">
        <v>499.24250999999998</v>
      </c>
      <c r="C149" s="1306">
        <v>273.30155000000002</v>
      </c>
      <c r="D149" s="1306">
        <v>400.62205</v>
      </c>
      <c r="E149" s="1306">
        <v>1687.1664000000001</v>
      </c>
      <c r="F149" s="1306">
        <v>1884.6592000000001</v>
      </c>
      <c r="G149" s="1306">
        <v>4703.8725000000004</v>
      </c>
      <c r="H149" s="1306">
        <v>22927.987000000001</v>
      </c>
      <c r="I149" s="1306">
        <v>2914.8119999999999</v>
      </c>
      <c r="J149" s="1307">
        <v>35291.663209999999</v>
      </c>
      <c r="K149" s="1305">
        <v>9.4036029700000014</v>
      </c>
      <c r="L149" s="1306">
        <v>13.285450000000001</v>
      </c>
      <c r="M149" s="1306">
        <v>243.03798</v>
      </c>
      <c r="N149" s="1306">
        <v>373.71109000000001</v>
      </c>
      <c r="O149" s="1306">
        <v>170.24180999999999</v>
      </c>
      <c r="P149" s="1306">
        <v>197.821752</v>
      </c>
      <c r="Q149" s="1306">
        <v>42.260398000000002</v>
      </c>
      <c r="R149" s="1306">
        <v>6.3273574999999997</v>
      </c>
      <c r="S149" s="1306">
        <v>52.490580000000001</v>
      </c>
      <c r="T149" s="1306">
        <v>2.4171537999999999</v>
      </c>
      <c r="U149" s="1306">
        <v>12.531803799999999</v>
      </c>
      <c r="V149" s="1306">
        <v>0.33022861999999997</v>
      </c>
      <c r="W149" s="1306">
        <v>0.22296549000000002</v>
      </c>
      <c r="X149" s="1307">
        <v>1124.0681721800001</v>
      </c>
      <c r="Y149" s="1308">
        <v>36415.731382179998</v>
      </c>
      <c r="Z149" s="1309"/>
      <c r="AA149" s="1314"/>
      <c r="AB149" s="1314"/>
      <c r="AC149" s="1311"/>
    </row>
    <row r="150" spans="1:29" ht="26.25" hidden="1" customHeight="1" x14ac:dyDescent="0.25">
      <c r="A150" s="1319">
        <v>43647</v>
      </c>
      <c r="B150" s="1305">
        <v>488.22701000000001</v>
      </c>
      <c r="C150" s="1306">
        <v>273.2817</v>
      </c>
      <c r="D150" s="1306">
        <v>399.8349</v>
      </c>
      <c r="E150" s="1306">
        <v>1704.7736</v>
      </c>
      <c r="F150" s="1306">
        <v>1921.242</v>
      </c>
      <c r="G150" s="1306">
        <v>4743.0910000000003</v>
      </c>
      <c r="H150" s="1306">
        <v>23374.159</v>
      </c>
      <c r="I150" s="1306">
        <v>2930.0479999999998</v>
      </c>
      <c r="J150" s="1307">
        <v>35834.657209999998</v>
      </c>
      <c r="K150" s="1305">
        <v>9.4056229700000014</v>
      </c>
      <c r="L150" s="1306">
        <v>13.2867</v>
      </c>
      <c r="M150" s="1306">
        <v>244.67486</v>
      </c>
      <c r="N150" s="1306">
        <v>375.23442</v>
      </c>
      <c r="O150" s="1306">
        <v>171.34587500000001</v>
      </c>
      <c r="P150" s="1306">
        <v>198.41181</v>
      </c>
      <c r="Q150" s="1306">
        <v>42.388714499999999</v>
      </c>
      <c r="R150" s="1306">
        <v>6.3273574999999997</v>
      </c>
      <c r="S150" s="1306">
        <v>52.652392200000001</v>
      </c>
      <c r="T150" s="1306">
        <v>2.4171537999999999</v>
      </c>
      <c r="U150" s="1306">
        <v>12.580463</v>
      </c>
      <c r="V150" s="1306">
        <v>0.33022861999999997</v>
      </c>
      <c r="W150" s="1306">
        <v>0.22296078</v>
      </c>
      <c r="X150" s="1307">
        <v>1129.2645583699998</v>
      </c>
      <c r="Y150" s="1308">
        <v>36963.921768369997</v>
      </c>
      <c r="Z150" s="1309"/>
      <c r="AA150" s="1314"/>
      <c r="AB150" s="1314"/>
      <c r="AC150" s="1311"/>
    </row>
    <row r="151" spans="1:29" ht="26.25" hidden="1" customHeight="1" x14ac:dyDescent="0.25">
      <c r="A151" s="1319">
        <v>43678</v>
      </c>
      <c r="B151" s="1305">
        <v>482.01630499999999</v>
      </c>
      <c r="C151" s="1306">
        <v>269.85095000000001</v>
      </c>
      <c r="D151" s="1306">
        <v>399.03154999999998</v>
      </c>
      <c r="E151" s="1306">
        <v>1700.3497</v>
      </c>
      <c r="F151" s="1306">
        <v>1828.8653999999999</v>
      </c>
      <c r="G151" s="1306">
        <v>4782.7524999999996</v>
      </c>
      <c r="H151" s="1306">
        <v>23320.870999999999</v>
      </c>
      <c r="I151" s="1306">
        <v>3064.0059999999999</v>
      </c>
      <c r="J151" s="1307">
        <v>35847.743405000001</v>
      </c>
      <c r="K151" s="1305">
        <v>9.4140379700000008</v>
      </c>
      <c r="L151" s="1306">
        <v>13.287699999999999</v>
      </c>
      <c r="M151" s="1306">
        <v>246.61358000000001</v>
      </c>
      <c r="N151" s="1306">
        <v>375.92225999999999</v>
      </c>
      <c r="O151" s="1306">
        <v>171.61705000000001</v>
      </c>
      <c r="P151" s="1306">
        <v>198.93368799999999</v>
      </c>
      <c r="Q151" s="1306">
        <v>42.490621500000003</v>
      </c>
      <c r="R151" s="1306">
        <v>6.3272712499999999</v>
      </c>
      <c r="S151" s="1306">
        <v>52.775196799999996</v>
      </c>
      <c r="T151" s="1306">
        <v>2.4171098999999998</v>
      </c>
      <c r="U151" s="1306">
        <v>12.613603099999999</v>
      </c>
      <c r="V151" s="1306">
        <v>0.33022861999999997</v>
      </c>
      <c r="W151" s="1306">
        <v>0.22295954999999998</v>
      </c>
      <c r="X151" s="1307">
        <v>1132.9523066900001</v>
      </c>
      <c r="Y151" s="1308">
        <v>36980.695711690001</v>
      </c>
      <c r="Z151" s="1309"/>
      <c r="AA151" s="1314"/>
      <c r="AB151" s="1314"/>
      <c r="AC151" s="1311"/>
    </row>
    <row r="152" spans="1:29" ht="26.25" hidden="1" customHeight="1" x14ac:dyDescent="0.25">
      <c r="A152" s="1319">
        <v>43709</v>
      </c>
      <c r="B152" s="1305">
        <v>475.33053999999998</v>
      </c>
      <c r="C152" s="1306">
        <v>269.06807500000002</v>
      </c>
      <c r="D152" s="1306">
        <v>400.13965000000002</v>
      </c>
      <c r="E152" s="1306">
        <v>1648.7862</v>
      </c>
      <c r="F152" s="1306">
        <v>1812.0788</v>
      </c>
      <c r="G152" s="1306">
        <v>4706.9539999999997</v>
      </c>
      <c r="H152" s="1306">
        <v>22734.566999999999</v>
      </c>
      <c r="I152" s="1306">
        <v>3179.7640000000001</v>
      </c>
      <c r="J152" s="1307">
        <v>35226.688264999997</v>
      </c>
      <c r="K152" s="1305">
        <v>9.4140379700000008</v>
      </c>
      <c r="L152" s="1306">
        <v>13.289199999999999</v>
      </c>
      <c r="M152" s="1306">
        <v>251.72855999999999</v>
      </c>
      <c r="N152" s="1306">
        <v>377.79223999999999</v>
      </c>
      <c r="O152" s="1306">
        <v>172.18616</v>
      </c>
      <c r="P152" s="1306">
        <v>199.90545399999999</v>
      </c>
      <c r="Q152" s="1306">
        <v>42.617626999999999</v>
      </c>
      <c r="R152" s="1306">
        <v>6.3272517500000003</v>
      </c>
      <c r="S152" s="1306">
        <v>52.948314400000008</v>
      </c>
      <c r="T152" s="1306">
        <v>2.4171098999999998</v>
      </c>
      <c r="U152" s="1306">
        <v>12.667341200000001</v>
      </c>
      <c r="V152" s="1306">
        <v>0.33022861999999997</v>
      </c>
      <c r="W152" s="1306">
        <v>0.22296057000000002</v>
      </c>
      <c r="X152" s="1307">
        <v>1141.83548541</v>
      </c>
      <c r="Y152" s="1308">
        <v>36368.523750410001</v>
      </c>
      <c r="Z152" s="1309"/>
      <c r="AA152" s="1314"/>
      <c r="AB152" s="1314"/>
      <c r="AC152" s="1311"/>
    </row>
    <row r="153" spans="1:29" ht="26.25" hidden="1" customHeight="1" x14ac:dyDescent="0.25">
      <c r="A153" s="1319">
        <v>43739</v>
      </c>
      <c r="B153" s="1305">
        <v>469.42712</v>
      </c>
      <c r="C153" s="1306">
        <v>268.61085000000003</v>
      </c>
      <c r="D153" s="1306">
        <v>410.09465</v>
      </c>
      <c r="E153" s="1306">
        <v>1708.3385000000001</v>
      </c>
      <c r="F153" s="1306">
        <v>1924.4872</v>
      </c>
      <c r="G153" s="1306">
        <v>4934.3869999999997</v>
      </c>
      <c r="H153" s="1306">
        <v>24215.231</v>
      </c>
      <c r="I153" s="1306">
        <v>3305.0120000000002</v>
      </c>
      <c r="J153" s="1307">
        <v>37235.588320000003</v>
      </c>
      <c r="K153" s="1305">
        <v>9.4200979700000005</v>
      </c>
      <c r="L153" s="1306">
        <v>13.291700000000001</v>
      </c>
      <c r="M153" s="1306">
        <v>255.66213999999999</v>
      </c>
      <c r="N153" s="1306">
        <v>379.52976999999998</v>
      </c>
      <c r="O153" s="1306">
        <v>172.867715</v>
      </c>
      <c r="P153" s="1306">
        <v>200.572844</v>
      </c>
      <c r="Q153" s="1306">
        <v>42.7895495</v>
      </c>
      <c r="R153" s="1306">
        <v>6.32721775</v>
      </c>
      <c r="S153" s="1306">
        <v>53.110289000000002</v>
      </c>
      <c r="T153" s="1306">
        <v>2.4169451</v>
      </c>
      <c r="U153" s="1306">
        <v>12.709757400000001</v>
      </c>
      <c r="V153" s="1306">
        <v>0.33022861999999997</v>
      </c>
      <c r="W153" s="1306">
        <v>0.22296028000000001</v>
      </c>
      <c r="X153" s="1307">
        <v>1149.2412146199999</v>
      </c>
      <c r="Y153" s="1308">
        <v>38384.829534620003</v>
      </c>
      <c r="Z153" s="1309"/>
      <c r="AA153" s="1314"/>
      <c r="AB153" s="1314"/>
      <c r="AC153" s="1311"/>
    </row>
    <row r="154" spans="1:29" ht="26.25" hidden="1" customHeight="1" x14ac:dyDescent="0.25">
      <c r="A154" s="1319">
        <v>43770</v>
      </c>
      <c r="B154" s="1305">
        <v>465.16061000000002</v>
      </c>
      <c r="C154" s="1306">
        <v>267.15177499999999</v>
      </c>
      <c r="D154" s="1306">
        <v>415.27679999999998</v>
      </c>
      <c r="E154" s="1306">
        <v>1718.8235</v>
      </c>
      <c r="F154" s="1306">
        <v>1875.4767999999999</v>
      </c>
      <c r="G154" s="1306">
        <v>4869.7929999999997</v>
      </c>
      <c r="H154" s="1306">
        <v>23865.637999999999</v>
      </c>
      <c r="I154" s="1306">
        <v>3343.0639999999999</v>
      </c>
      <c r="J154" s="1307">
        <v>36820.384485000002</v>
      </c>
      <c r="K154" s="1305">
        <v>9.4217179700000013</v>
      </c>
      <c r="L154" s="1306">
        <v>13.292199999999999</v>
      </c>
      <c r="M154" s="1306">
        <v>261.43072000000001</v>
      </c>
      <c r="N154" s="1306">
        <v>384.01783</v>
      </c>
      <c r="O154" s="1306">
        <v>173.38079500000001</v>
      </c>
      <c r="P154" s="1306">
        <v>201.75920600000001</v>
      </c>
      <c r="Q154" s="1306">
        <v>42.922517999999997</v>
      </c>
      <c r="R154" s="1306">
        <v>6.32721775</v>
      </c>
      <c r="S154" s="1306">
        <v>53.266120799999996</v>
      </c>
      <c r="T154" s="1306">
        <v>2.4168801000000002</v>
      </c>
      <c r="U154" s="1306">
        <v>12.767947099999999</v>
      </c>
      <c r="V154" s="1306">
        <v>0.33022861999999997</v>
      </c>
      <c r="W154" s="1306">
        <v>0.22296032000000002</v>
      </c>
      <c r="X154" s="1307">
        <v>1161.55634166</v>
      </c>
      <c r="Y154" s="1308">
        <v>37981.94082666</v>
      </c>
      <c r="Z154" s="1309"/>
      <c r="AA154" s="1314"/>
      <c r="AB154" s="1314"/>
      <c r="AC154" s="1311"/>
    </row>
    <row r="155" spans="1:29" ht="26.25" hidden="1" customHeight="1" x14ac:dyDescent="0.25">
      <c r="A155" s="1319">
        <v>43800</v>
      </c>
      <c r="B155" s="1305">
        <v>460.84383500000001</v>
      </c>
      <c r="C155" s="1306">
        <v>267.42380000000003</v>
      </c>
      <c r="D155" s="1306">
        <v>429.09519999999998</v>
      </c>
      <c r="E155" s="1306">
        <v>1885.3357000000001</v>
      </c>
      <c r="F155" s="1306">
        <v>2174.6783999999998</v>
      </c>
      <c r="G155" s="1306">
        <v>5548.2</v>
      </c>
      <c r="H155" s="1306">
        <v>27703.547999999999</v>
      </c>
      <c r="I155" s="1306">
        <v>3754.7759999999998</v>
      </c>
      <c r="J155" s="1307">
        <v>42223.900934999998</v>
      </c>
      <c r="K155" s="1305">
        <v>9.4302779700000006</v>
      </c>
      <c r="L155" s="1306">
        <v>13.293699999999999</v>
      </c>
      <c r="M155" s="1306">
        <v>267.63763999999998</v>
      </c>
      <c r="N155" s="1306">
        <v>388.64452</v>
      </c>
      <c r="O155" s="1306">
        <v>174.93935500000001</v>
      </c>
      <c r="P155" s="1306">
        <v>203.36048199999999</v>
      </c>
      <c r="Q155" s="1306">
        <v>43.078006999999999</v>
      </c>
      <c r="R155" s="1306">
        <v>6.3271237500000002</v>
      </c>
      <c r="S155" s="1306">
        <v>53.500916400000001</v>
      </c>
      <c r="T155" s="1306">
        <v>2.4168161000000001</v>
      </c>
      <c r="U155" s="1306">
        <v>12.8261226</v>
      </c>
      <c r="V155" s="1306">
        <v>0.33022861999999997</v>
      </c>
      <c r="W155" s="1306">
        <v>0.22295981000000001</v>
      </c>
      <c r="X155" s="1307">
        <v>1175.9981492500001</v>
      </c>
      <c r="Y155" s="1308">
        <v>43399.899084249999</v>
      </c>
      <c r="Z155" s="1309"/>
      <c r="AA155" s="1314"/>
      <c r="AB155" s="1314"/>
      <c r="AC155" s="1311"/>
    </row>
    <row r="156" spans="1:29" ht="26.25" hidden="1" customHeight="1" x14ac:dyDescent="0.25">
      <c r="A156" s="1319">
        <v>43831</v>
      </c>
      <c r="B156" s="1305">
        <v>454.05225000000002</v>
      </c>
      <c r="C156" s="1306">
        <v>264.66070000000002</v>
      </c>
      <c r="D156" s="1306">
        <v>426.32690000000002</v>
      </c>
      <c r="E156" s="1306">
        <v>1739.2230999999999</v>
      </c>
      <c r="F156" s="1306">
        <v>2008.1176</v>
      </c>
      <c r="G156" s="1306">
        <v>5122.9624999999996</v>
      </c>
      <c r="H156" s="1306">
        <v>25480.876</v>
      </c>
      <c r="I156" s="1306">
        <v>3711.1439999999998</v>
      </c>
      <c r="J156" s="1307">
        <v>39207.36305</v>
      </c>
      <c r="K156" s="1305">
        <v>9.4334779700000002</v>
      </c>
      <c r="L156" s="1306">
        <v>13.2942</v>
      </c>
      <c r="M156" s="1306">
        <v>271.26852000000002</v>
      </c>
      <c r="N156" s="1306">
        <v>393.43360000000001</v>
      </c>
      <c r="O156" s="1306">
        <v>176.092375</v>
      </c>
      <c r="P156" s="1306">
        <v>204.709755</v>
      </c>
      <c r="Q156" s="1306">
        <v>43.302875</v>
      </c>
      <c r="R156" s="1306">
        <v>6.3270935000000001</v>
      </c>
      <c r="S156" s="1306">
        <v>53.672901200000005</v>
      </c>
      <c r="T156" s="1306">
        <v>2.4167982000000001</v>
      </c>
      <c r="U156" s="1306">
        <v>12.871310250000001</v>
      </c>
      <c r="V156" s="1306">
        <v>0.33022841999999997</v>
      </c>
      <c r="W156" s="1306">
        <v>0.22300891</v>
      </c>
      <c r="X156" s="1307">
        <v>1187.36614345</v>
      </c>
      <c r="Y156" s="1308">
        <v>40394.729193450003</v>
      </c>
      <c r="Z156" s="1309"/>
      <c r="AA156" s="1314"/>
      <c r="AB156" s="1314"/>
      <c r="AC156" s="1311"/>
    </row>
    <row r="157" spans="1:29" ht="26.25" hidden="1" customHeight="1" x14ac:dyDescent="0.25">
      <c r="A157" s="1319">
        <v>43862</v>
      </c>
      <c r="B157" s="1305">
        <v>451.64557500000001</v>
      </c>
      <c r="C157" s="1306">
        <v>265.02674999999999</v>
      </c>
      <c r="D157" s="1306">
        <v>425.51909999999998</v>
      </c>
      <c r="E157" s="1306">
        <v>1700.5112999999999</v>
      </c>
      <c r="F157" s="1306">
        <v>1961.4114</v>
      </c>
      <c r="G157" s="1306">
        <v>5132.5349999999999</v>
      </c>
      <c r="H157" s="1306">
        <v>24986.244999999999</v>
      </c>
      <c r="I157" s="1306">
        <v>3750.33</v>
      </c>
      <c r="J157" s="1307">
        <v>38673.224125000001</v>
      </c>
      <c r="K157" s="1305">
        <v>9.43972297</v>
      </c>
      <c r="L157" s="1306">
        <v>13.294700000000001</v>
      </c>
      <c r="M157" s="1306">
        <v>272.07458000000003</v>
      </c>
      <c r="N157" s="1306">
        <v>396.02852999999999</v>
      </c>
      <c r="O157" s="1306">
        <v>176.97744499999999</v>
      </c>
      <c r="P157" s="1306">
        <v>205.63541000000001</v>
      </c>
      <c r="Q157" s="1306">
        <v>43.405832500000002</v>
      </c>
      <c r="R157" s="1306">
        <v>6.3269460000000004</v>
      </c>
      <c r="S157" s="1306">
        <v>53.794892400000002</v>
      </c>
      <c r="T157" s="1306">
        <v>2.4167603</v>
      </c>
      <c r="U157" s="1306">
        <v>12.914703599999998</v>
      </c>
      <c r="V157" s="1306">
        <v>0.33022841999999997</v>
      </c>
      <c r="W157" s="1306">
        <v>0.22300956</v>
      </c>
      <c r="X157" s="1307">
        <v>1192.85276075</v>
      </c>
      <c r="Y157" s="1308">
        <v>39866.076885750001</v>
      </c>
      <c r="Z157" s="1309"/>
      <c r="AA157" s="1314"/>
      <c r="AB157" s="1314"/>
      <c r="AC157" s="1311"/>
    </row>
    <row r="158" spans="1:29" ht="26.25" hidden="1" customHeight="1" x14ac:dyDescent="0.25">
      <c r="A158" s="1319">
        <v>43891</v>
      </c>
      <c r="B158" s="1305">
        <v>450.55069500000002</v>
      </c>
      <c r="C158" s="1306">
        <v>266.54804999999999</v>
      </c>
      <c r="D158" s="1306">
        <v>418.9812</v>
      </c>
      <c r="E158" s="1306">
        <v>1762.8403000000001</v>
      </c>
      <c r="F158" s="1306">
        <v>2015.2542000000001</v>
      </c>
      <c r="G158" s="1306">
        <v>5224.7825000000003</v>
      </c>
      <c r="H158" s="1306">
        <v>25767.312999999998</v>
      </c>
      <c r="I158" s="1306">
        <v>3909.2759999999998</v>
      </c>
      <c r="J158" s="1307">
        <v>39814.959094999998</v>
      </c>
      <c r="K158" s="1305">
        <v>9.43972297</v>
      </c>
      <c r="L158" s="1306">
        <v>13.294700000000001</v>
      </c>
      <c r="M158" s="1306">
        <v>273.10721999999998</v>
      </c>
      <c r="N158" s="1306">
        <v>397.38634000000002</v>
      </c>
      <c r="O158" s="1306">
        <v>177.16726</v>
      </c>
      <c r="P158" s="1306">
        <v>206.37669600000001</v>
      </c>
      <c r="Q158" s="1306">
        <v>43.556817000000002</v>
      </c>
      <c r="R158" s="1306">
        <v>6.3269060000000001</v>
      </c>
      <c r="S158" s="1306">
        <v>53.875869799999997</v>
      </c>
      <c r="T158" s="1306">
        <v>2.4167269</v>
      </c>
      <c r="U158" s="1306">
        <v>12.948290649999999</v>
      </c>
      <c r="V158" s="1306">
        <v>0.33022841999999997</v>
      </c>
      <c r="W158" s="1306">
        <v>0.22300914000000002</v>
      </c>
      <c r="X158" s="1307">
        <v>1196.4397868800002</v>
      </c>
      <c r="Y158" s="1308">
        <v>41011.398881879999</v>
      </c>
      <c r="Z158" s="1309"/>
      <c r="AA158" s="1314"/>
      <c r="AB158" s="1314"/>
      <c r="AC158" s="1311"/>
    </row>
    <row r="159" spans="1:29" ht="26.25" hidden="1" customHeight="1" x14ac:dyDescent="0.25">
      <c r="A159" s="1319">
        <v>43922</v>
      </c>
      <c r="B159" s="1305">
        <v>449.92184500000002</v>
      </c>
      <c r="C159" s="1306">
        <v>267.57102500000002</v>
      </c>
      <c r="D159" s="1306">
        <v>423.88380000000001</v>
      </c>
      <c r="E159" s="1306">
        <v>1845.9331</v>
      </c>
      <c r="F159" s="1306">
        <v>2084.1496000000002</v>
      </c>
      <c r="G159" s="1306">
        <v>5516.6859999999997</v>
      </c>
      <c r="H159" s="1306">
        <v>27189.506000000001</v>
      </c>
      <c r="I159" s="1306">
        <v>3875.2539999999999</v>
      </c>
      <c r="J159" s="1307">
        <v>41652.90537</v>
      </c>
      <c r="K159" s="1305">
        <v>9.43972297</v>
      </c>
      <c r="L159" s="1306">
        <v>13.294700000000001</v>
      </c>
      <c r="M159" s="1306">
        <v>274.86786000000001</v>
      </c>
      <c r="N159" s="1306">
        <v>397.55641000000003</v>
      </c>
      <c r="O159" s="1306">
        <v>177.382755</v>
      </c>
      <c r="P159" s="1306">
        <v>206.65251599999999</v>
      </c>
      <c r="Q159" s="1306">
        <v>43.5633135</v>
      </c>
      <c r="R159" s="1306">
        <v>6.3269060000000001</v>
      </c>
      <c r="S159" s="1306">
        <v>53.896467600000001</v>
      </c>
      <c r="T159" s="1306">
        <v>2.4167269</v>
      </c>
      <c r="U159" s="1306">
        <v>12.953390599999999</v>
      </c>
      <c r="V159" s="1306">
        <v>0.33022841999999997</v>
      </c>
      <c r="W159" s="1306">
        <v>0.22300851000000002</v>
      </c>
      <c r="X159" s="1307">
        <v>1198.8940055</v>
      </c>
      <c r="Y159" s="1308">
        <v>42851.799375499999</v>
      </c>
      <c r="Z159" s="1309"/>
      <c r="AA159" s="1314"/>
      <c r="AB159" s="1314"/>
      <c r="AC159" s="1311"/>
    </row>
    <row r="160" spans="1:29" ht="26.25" hidden="1" customHeight="1" x14ac:dyDescent="0.25">
      <c r="A160" s="1319">
        <v>43952</v>
      </c>
      <c r="B160" s="1305">
        <v>449.88984499999998</v>
      </c>
      <c r="C160" s="1306">
        <v>266.96702499999998</v>
      </c>
      <c r="D160" s="1306">
        <v>423.23025000000001</v>
      </c>
      <c r="E160" s="1306">
        <v>1879.7402</v>
      </c>
      <c r="F160" s="1306">
        <v>2073.6417999999999</v>
      </c>
      <c r="G160" s="1306">
        <v>5599.7725</v>
      </c>
      <c r="H160" s="1306">
        <v>27256.722000000002</v>
      </c>
      <c r="I160" s="1306">
        <v>3880.364</v>
      </c>
      <c r="J160" s="1307">
        <v>41830.327619999996</v>
      </c>
      <c r="K160" s="1305">
        <v>9.43972297</v>
      </c>
      <c r="L160" s="1306">
        <v>13.294700000000001</v>
      </c>
      <c r="M160" s="1306">
        <v>275.42633999999998</v>
      </c>
      <c r="N160" s="1306">
        <v>398.61900000000003</v>
      </c>
      <c r="O160" s="1306">
        <v>177.993165</v>
      </c>
      <c r="P160" s="1306">
        <v>207.109556</v>
      </c>
      <c r="Q160" s="1306">
        <v>43.639270000000003</v>
      </c>
      <c r="R160" s="1306">
        <v>6.3269060000000001</v>
      </c>
      <c r="S160" s="1306">
        <v>53.947662000000001</v>
      </c>
      <c r="T160" s="1306">
        <v>2.4167269</v>
      </c>
      <c r="U160" s="1306">
        <v>12.968840550000001</v>
      </c>
      <c r="V160" s="1306">
        <v>0.33022841999999997</v>
      </c>
      <c r="W160" s="1306">
        <v>0.22300755</v>
      </c>
      <c r="X160" s="1307">
        <v>1201.7251253900001</v>
      </c>
      <c r="Y160" s="1308">
        <v>43032.052745389999</v>
      </c>
      <c r="Z160" s="1309"/>
      <c r="AA160" s="1314"/>
      <c r="AB160" s="1314"/>
      <c r="AC160" s="1311"/>
    </row>
    <row r="161" spans="1:29" ht="26.25" hidden="1" customHeight="1" x14ac:dyDescent="0.25">
      <c r="A161" s="1319">
        <v>43983</v>
      </c>
      <c r="B161" s="1305">
        <v>446.24662999999998</v>
      </c>
      <c r="C161" s="1306">
        <v>264.69274999999999</v>
      </c>
      <c r="D161" s="1306">
        <v>411.8476</v>
      </c>
      <c r="E161" s="1306">
        <v>1805.9627</v>
      </c>
      <c r="F161" s="1306">
        <v>2021.1496</v>
      </c>
      <c r="G161" s="1306">
        <v>5365.5645000000004</v>
      </c>
      <c r="H161" s="1306">
        <v>27105.902999999998</v>
      </c>
      <c r="I161" s="1306">
        <v>3705.01</v>
      </c>
      <c r="J161" s="1307">
        <v>41126.376779999999</v>
      </c>
      <c r="K161" s="1305">
        <v>9.4425429699999999</v>
      </c>
      <c r="L161" s="1306">
        <v>13.2957</v>
      </c>
      <c r="M161" s="1306">
        <v>277.6891</v>
      </c>
      <c r="N161" s="1306">
        <v>399.1814</v>
      </c>
      <c r="O161" s="1306">
        <v>178.096025</v>
      </c>
      <c r="P161" s="1306">
        <v>207.71552</v>
      </c>
      <c r="Q161" s="1306">
        <v>43.643756500000002</v>
      </c>
      <c r="R161" s="1306">
        <v>6.3267067499999996</v>
      </c>
      <c r="S161" s="1306">
        <v>54.028697000000001</v>
      </c>
      <c r="T161" s="1306">
        <v>2.4167033999999998</v>
      </c>
      <c r="U161" s="1306">
        <v>12.989683449999999</v>
      </c>
      <c r="V161" s="1306">
        <v>0.33021341999999998</v>
      </c>
      <c r="W161" s="1306">
        <v>0.22300829999999999</v>
      </c>
      <c r="X161" s="1307">
        <v>1205.3690567900001</v>
      </c>
      <c r="Y161" s="1308">
        <v>42331.745836789996</v>
      </c>
      <c r="Z161" s="1309"/>
      <c r="AA161" s="1314"/>
      <c r="AB161" s="1314"/>
      <c r="AC161" s="1311"/>
    </row>
    <row r="162" spans="1:29" ht="26.25" hidden="1" customHeight="1" x14ac:dyDescent="0.25">
      <c r="A162" s="1319">
        <v>44013</v>
      </c>
      <c r="B162" s="1305">
        <v>443.624165</v>
      </c>
      <c r="C162" s="1306">
        <v>265.61397499999998</v>
      </c>
      <c r="D162" s="1306">
        <v>413.24284999999998</v>
      </c>
      <c r="E162" s="1306">
        <v>1776.8151</v>
      </c>
      <c r="F162" s="1306">
        <v>2012.4313999999999</v>
      </c>
      <c r="G162" s="1306">
        <v>5393.4735000000001</v>
      </c>
      <c r="H162" s="1306">
        <v>27328.543000000001</v>
      </c>
      <c r="I162" s="1306">
        <v>3747.2739999999999</v>
      </c>
      <c r="J162" s="1307">
        <v>41381.01799</v>
      </c>
      <c r="K162" s="1305">
        <v>9.4459429700000008</v>
      </c>
      <c r="L162" s="1306">
        <v>13.296200000000001</v>
      </c>
      <c r="M162" s="1306">
        <v>280.05772000000002</v>
      </c>
      <c r="N162" s="1306">
        <v>399.93637999999999</v>
      </c>
      <c r="O162" s="1306">
        <v>178.22309000000001</v>
      </c>
      <c r="P162" s="1306">
        <v>208.00498899999999</v>
      </c>
      <c r="Q162" s="1306">
        <v>43.697123499999996</v>
      </c>
      <c r="R162" s="1306">
        <v>6.3267067499999996</v>
      </c>
      <c r="S162" s="1306">
        <v>54.121015</v>
      </c>
      <c r="T162" s="1306">
        <v>2.4167033999999998</v>
      </c>
      <c r="U162" s="1306">
        <v>13.0202206</v>
      </c>
      <c r="V162" s="1306">
        <v>0.33021341999999998</v>
      </c>
      <c r="W162" s="1306">
        <v>0.22300702999999999</v>
      </c>
      <c r="X162" s="1307">
        <v>1209.0893116700001</v>
      </c>
      <c r="Y162" s="1308">
        <v>42590.107301670003</v>
      </c>
      <c r="Z162" s="1309"/>
      <c r="AA162" s="1314"/>
      <c r="AB162" s="1314"/>
      <c r="AC162" s="1311"/>
    </row>
    <row r="163" spans="1:29" ht="26.25" hidden="1" customHeight="1" x14ac:dyDescent="0.25">
      <c r="A163" s="1319">
        <v>44044</v>
      </c>
      <c r="B163" s="1305">
        <v>441.69484499999999</v>
      </c>
      <c r="C163" s="1306">
        <v>264.48865000000001</v>
      </c>
      <c r="D163" s="1306">
        <v>411.74984999999998</v>
      </c>
      <c r="E163" s="1306">
        <v>1798.6666</v>
      </c>
      <c r="F163" s="1306">
        <v>1987.277</v>
      </c>
      <c r="G163" s="1306">
        <v>5257.4754999999996</v>
      </c>
      <c r="H163" s="1306">
        <v>26928.668000000001</v>
      </c>
      <c r="I163" s="1306">
        <v>3754.9520000000002</v>
      </c>
      <c r="J163" s="1307">
        <v>40844.972444999999</v>
      </c>
      <c r="K163" s="1305">
        <v>9.4562429699999999</v>
      </c>
      <c r="L163" s="1306">
        <v>13.2912</v>
      </c>
      <c r="M163" s="1306">
        <v>279.79827999999998</v>
      </c>
      <c r="N163" s="1306">
        <v>397.62560000000002</v>
      </c>
      <c r="O163" s="1306">
        <v>178.335725</v>
      </c>
      <c r="P163" s="1306">
        <v>208.20871</v>
      </c>
      <c r="Q163" s="1306">
        <v>43.7881255</v>
      </c>
      <c r="R163" s="1306">
        <v>6.3259530000000002</v>
      </c>
      <c r="S163" s="1306">
        <v>54.240259799999997</v>
      </c>
      <c r="T163" s="1306">
        <v>2.4163916000000003</v>
      </c>
      <c r="U163" s="1306">
        <v>13.046870800000001</v>
      </c>
      <c r="V163" s="1306">
        <v>0.33018197999999999</v>
      </c>
      <c r="W163" s="1306">
        <v>0.22300326000000001</v>
      </c>
      <c r="X163" s="1307">
        <v>1207.0835439100001</v>
      </c>
      <c r="Y163" s="1308">
        <v>42052.055988909997</v>
      </c>
      <c r="Z163" s="1309"/>
      <c r="AA163" s="1314"/>
      <c r="AB163" s="1314"/>
      <c r="AC163" s="1311"/>
    </row>
    <row r="164" spans="1:29" ht="26.25" hidden="1" customHeight="1" x14ac:dyDescent="0.25">
      <c r="A164" s="1319">
        <v>44075</v>
      </c>
      <c r="B164" s="1305">
        <v>439.70673499999998</v>
      </c>
      <c r="C164" s="1306">
        <v>263.04885000000002</v>
      </c>
      <c r="D164" s="1306">
        <v>409.60415</v>
      </c>
      <c r="E164" s="1306">
        <v>1782.4603999999999</v>
      </c>
      <c r="F164" s="1306">
        <v>1944.4831999999999</v>
      </c>
      <c r="G164" s="1306">
        <v>5328.7250000000004</v>
      </c>
      <c r="H164" s="1306">
        <v>27031.597000000002</v>
      </c>
      <c r="I164" s="1306">
        <v>3832.06</v>
      </c>
      <c r="J164" s="1307">
        <v>41031.685335000002</v>
      </c>
      <c r="K164" s="1305">
        <v>9.4629429700000003</v>
      </c>
      <c r="L164" s="1306">
        <v>13.2912</v>
      </c>
      <c r="M164" s="1306">
        <v>279.77803999999998</v>
      </c>
      <c r="N164" s="1306">
        <v>395.86836</v>
      </c>
      <c r="O164" s="1306">
        <v>177.78685999999999</v>
      </c>
      <c r="P164" s="1306">
        <v>208.20863299999999</v>
      </c>
      <c r="Q164" s="1306">
        <v>43.778219499999999</v>
      </c>
      <c r="R164" s="1306">
        <v>6.3255272500000004</v>
      </c>
      <c r="S164" s="1306">
        <v>54.237295599999996</v>
      </c>
      <c r="T164" s="1306">
        <v>2.4161116000000002</v>
      </c>
      <c r="U164" s="1306">
        <v>13.054523699999999</v>
      </c>
      <c r="V164" s="1306">
        <v>0.3301615</v>
      </c>
      <c r="W164" s="1306">
        <v>0.22299505999999997</v>
      </c>
      <c r="X164" s="1307">
        <v>1204.7578701800001</v>
      </c>
      <c r="Y164" s="1308">
        <v>42236.443205180003</v>
      </c>
      <c r="Z164" s="1309"/>
      <c r="AA164" s="1314"/>
      <c r="AB164" s="1314"/>
      <c r="AC164" s="1311"/>
    </row>
    <row r="165" spans="1:29" ht="26.25" hidden="1" customHeight="1" x14ac:dyDescent="0.25">
      <c r="A165" s="1319">
        <v>44105</v>
      </c>
      <c r="B165" s="1305">
        <v>438.19234999999998</v>
      </c>
      <c r="C165" s="1306">
        <v>262.80459999999999</v>
      </c>
      <c r="D165" s="1306">
        <v>411.36385000000001</v>
      </c>
      <c r="E165" s="1306">
        <v>1751.2882999999999</v>
      </c>
      <c r="F165" s="1306">
        <v>1949.6918000000001</v>
      </c>
      <c r="G165" s="1306">
        <v>5249.8055000000004</v>
      </c>
      <c r="H165" s="1306">
        <v>27396.088</v>
      </c>
      <c r="I165" s="1306">
        <v>3902.89</v>
      </c>
      <c r="J165" s="1307">
        <v>41362.124400000001</v>
      </c>
      <c r="K165" s="1305">
        <v>9.4629429700000003</v>
      </c>
      <c r="L165" s="1306">
        <v>13.2912</v>
      </c>
      <c r="M165" s="1306">
        <v>279.27875999999998</v>
      </c>
      <c r="N165" s="1306">
        <v>397.99392999999998</v>
      </c>
      <c r="O165" s="1306">
        <v>177.993415</v>
      </c>
      <c r="P165" s="1306">
        <v>208.61995400000001</v>
      </c>
      <c r="Q165" s="1306">
        <v>43.864180500000003</v>
      </c>
      <c r="R165" s="1306">
        <v>6.3253180000000002</v>
      </c>
      <c r="S165" s="1306">
        <v>54.290485400000001</v>
      </c>
      <c r="T165" s="1306">
        <v>2.4156575</v>
      </c>
      <c r="U165" s="1306">
        <v>13.06881415</v>
      </c>
      <c r="V165" s="1306">
        <v>0.3301499</v>
      </c>
      <c r="W165" s="1306">
        <v>0.22299379999999999</v>
      </c>
      <c r="X165" s="1307">
        <v>1207.1548012200001</v>
      </c>
      <c r="Y165" s="1308">
        <v>42569.279201220001</v>
      </c>
      <c r="Z165" s="1309"/>
      <c r="AA165" s="1314"/>
      <c r="AB165" s="1314"/>
      <c r="AC165" s="1311"/>
    </row>
    <row r="166" spans="1:29" ht="26.25" hidden="1" customHeight="1" x14ac:dyDescent="0.25">
      <c r="A166" s="1319">
        <v>44136</v>
      </c>
      <c r="B166" s="1305">
        <v>436.87684999999999</v>
      </c>
      <c r="C166" s="1306">
        <v>263.3175</v>
      </c>
      <c r="D166" s="1306">
        <v>413.27249999999998</v>
      </c>
      <c r="E166" s="1306">
        <v>1761.5893000000001</v>
      </c>
      <c r="F166" s="1306">
        <v>1971.4318000000001</v>
      </c>
      <c r="G166" s="1306">
        <v>5478.6890000000003</v>
      </c>
      <c r="H166" s="1306">
        <v>27285.065999999999</v>
      </c>
      <c r="I166" s="1306">
        <v>3953.556</v>
      </c>
      <c r="J166" s="1307">
        <v>41563.798949999997</v>
      </c>
      <c r="K166" s="1305">
        <v>9.4797429700000002</v>
      </c>
      <c r="L166" s="1306">
        <v>13.292450000000001</v>
      </c>
      <c r="M166" s="1306">
        <v>281.77679999999998</v>
      </c>
      <c r="N166" s="1306">
        <v>395.26062999999999</v>
      </c>
      <c r="O166" s="1306">
        <v>176.23309</v>
      </c>
      <c r="P166" s="1306">
        <v>208.21257199999999</v>
      </c>
      <c r="Q166" s="1306">
        <v>43.845710500000003</v>
      </c>
      <c r="R166" s="1306">
        <v>6.3250960000000003</v>
      </c>
      <c r="S166" s="1306">
        <v>54.314111400000009</v>
      </c>
      <c r="T166" s="1306">
        <v>2.4155682999999999</v>
      </c>
      <c r="U166" s="1306">
        <v>13.08550825</v>
      </c>
      <c r="V166" s="1306">
        <v>0.33014085999999998</v>
      </c>
      <c r="W166" s="1306">
        <v>0.22299285999999999</v>
      </c>
      <c r="X166" s="1307">
        <v>1204.79141314</v>
      </c>
      <c r="Y166" s="1308">
        <f>X166+J166</f>
        <v>42768.59036314</v>
      </c>
      <c r="Z166" s="1309"/>
      <c r="AA166" s="1314"/>
      <c r="AB166" s="1314"/>
      <c r="AC166" s="1311"/>
    </row>
    <row r="167" spans="1:29" ht="26.25" hidden="1" customHeight="1" x14ac:dyDescent="0.25">
      <c r="A167" s="1319">
        <v>44166</v>
      </c>
      <c r="B167" s="1305">
        <v>435.454925</v>
      </c>
      <c r="C167" s="1306">
        <v>263.87635</v>
      </c>
      <c r="D167" s="1306">
        <v>417.82074999999998</v>
      </c>
      <c r="E167" s="1306">
        <v>1985.4139</v>
      </c>
      <c r="F167" s="1306">
        <v>2296.77</v>
      </c>
      <c r="G167" s="1306">
        <v>6741.9714999999997</v>
      </c>
      <c r="H167" s="1306">
        <v>29128.797999999999</v>
      </c>
      <c r="I167" s="1306">
        <v>4528.2579999999998</v>
      </c>
      <c r="J167" s="1307">
        <v>45798.363425000003</v>
      </c>
      <c r="K167" s="1305">
        <v>9.4838629700000006</v>
      </c>
      <c r="L167" s="1306">
        <v>13.293200000000001</v>
      </c>
      <c r="M167" s="1306">
        <v>290.33825999999999</v>
      </c>
      <c r="N167" s="1306">
        <v>400.80342999999999</v>
      </c>
      <c r="O167" s="1306">
        <v>178.140005</v>
      </c>
      <c r="P167" s="1306">
        <v>209.199817</v>
      </c>
      <c r="Q167" s="1306">
        <v>43.904316000000001</v>
      </c>
      <c r="R167" s="1306">
        <v>6.3241420000000002</v>
      </c>
      <c r="S167" s="1306">
        <v>54.421084799999996</v>
      </c>
      <c r="T167" s="1306">
        <v>2.4154073999999999</v>
      </c>
      <c r="U167" s="1306">
        <v>13.119683849999999</v>
      </c>
      <c r="V167" s="1306">
        <v>0.33014072</v>
      </c>
      <c r="W167" s="1306">
        <v>0.22299195999999999</v>
      </c>
      <c r="X167" s="1307">
        <v>1221.9933417</v>
      </c>
      <c r="Y167" s="1308">
        <f>X167+J167</f>
        <v>47020.356766700002</v>
      </c>
      <c r="Z167" s="1309"/>
      <c r="AA167" s="1314"/>
      <c r="AB167" s="1314"/>
      <c r="AC167" s="1311"/>
    </row>
    <row r="168" spans="1:29" ht="26.25" hidden="1" customHeight="1" x14ac:dyDescent="0.25">
      <c r="A168" s="1319">
        <v>44197</v>
      </c>
      <c r="B168" s="1305">
        <v>434.04275999999999</v>
      </c>
      <c r="C168" s="1306">
        <v>260.93209999999999</v>
      </c>
      <c r="D168" s="1306">
        <v>417.03095000000002</v>
      </c>
      <c r="E168" s="1306">
        <v>1825.9766</v>
      </c>
      <c r="F168" s="1306">
        <v>2047.4495999999999</v>
      </c>
      <c r="G168" s="1306">
        <v>6173.4684999999999</v>
      </c>
      <c r="H168" s="1306">
        <v>28185.749</v>
      </c>
      <c r="I168" s="1306">
        <v>4393.4480000000003</v>
      </c>
      <c r="J168" s="1307">
        <v>43738.09751</v>
      </c>
      <c r="K168" s="1305">
        <v>9.4840629700000001</v>
      </c>
      <c r="L168" s="1306">
        <v>13.293200000000001</v>
      </c>
      <c r="M168" s="1306">
        <v>292.60296</v>
      </c>
      <c r="N168" s="1306">
        <v>403.36025000000001</v>
      </c>
      <c r="O168" s="1306">
        <v>179.16710499999999</v>
      </c>
      <c r="P168" s="1306">
        <v>209.81726900000001</v>
      </c>
      <c r="Q168" s="1306">
        <v>44.0040865</v>
      </c>
      <c r="R168" s="1306">
        <v>6.3241420000000002</v>
      </c>
      <c r="S168" s="1306">
        <v>54.465453799999999</v>
      </c>
      <c r="T168" s="1306">
        <v>2.4154073999999999</v>
      </c>
      <c r="U168" s="1306">
        <v>13.141474199999999</v>
      </c>
      <c r="V168" s="1306">
        <v>0.33014072</v>
      </c>
      <c r="W168" s="1306">
        <v>0.22299204</v>
      </c>
      <c r="X168" s="1307">
        <v>1228.62554363</v>
      </c>
      <c r="Y168" s="1308">
        <f>X168+J168</f>
        <v>44966.723053629998</v>
      </c>
      <c r="Z168" s="1309"/>
      <c r="AA168" s="1314"/>
      <c r="AB168" s="1314"/>
      <c r="AC168" s="1311"/>
    </row>
    <row r="169" spans="1:29" ht="26.25" hidden="1" customHeight="1" x14ac:dyDescent="0.25">
      <c r="A169" s="1319">
        <v>44228</v>
      </c>
      <c r="B169" s="1305">
        <v>433.07594499999999</v>
      </c>
      <c r="C169" s="1306">
        <v>259.61599999999999</v>
      </c>
      <c r="D169" s="1306">
        <v>414.2201</v>
      </c>
      <c r="E169" s="1306">
        <v>1779.6907000000001</v>
      </c>
      <c r="F169" s="1306">
        <v>1965.1596</v>
      </c>
      <c r="G169" s="1306">
        <v>5793.5550000000003</v>
      </c>
      <c r="H169" s="1306">
        <v>27739.055</v>
      </c>
      <c r="I169" s="1306">
        <v>4413.71</v>
      </c>
      <c r="J169" s="1307">
        <v>42798.082345000003</v>
      </c>
      <c r="K169" s="1305">
        <v>9.4842629700000014</v>
      </c>
      <c r="L169" s="1306">
        <v>13.293699999999999</v>
      </c>
      <c r="M169" s="1306">
        <v>291.65848</v>
      </c>
      <c r="N169" s="1306">
        <v>403.90663999999998</v>
      </c>
      <c r="O169" s="1306">
        <v>179.58129</v>
      </c>
      <c r="P169" s="1306">
        <v>210.13382200000001</v>
      </c>
      <c r="Q169" s="1306">
        <v>44.003413999999999</v>
      </c>
      <c r="R169" s="1306">
        <v>6.3241242499999997</v>
      </c>
      <c r="S169" s="1306">
        <v>54.546619999999997</v>
      </c>
      <c r="T169" s="1306">
        <v>2.4153737999999998</v>
      </c>
      <c r="U169" s="1306">
        <v>13.171817449999999</v>
      </c>
      <c r="V169" s="1306">
        <v>0.33013882</v>
      </c>
      <c r="W169" s="1306">
        <v>0.22299119000000001</v>
      </c>
      <c r="X169" s="1307">
        <v>1229.06967448</v>
      </c>
      <c r="Y169" s="1308">
        <f>X169+J169</f>
        <v>44027.152019480003</v>
      </c>
      <c r="Z169" s="1309"/>
      <c r="AA169" s="1314"/>
      <c r="AB169" s="1314"/>
      <c r="AC169" s="1311"/>
    </row>
    <row r="170" spans="1:29" ht="26.25" hidden="1" customHeight="1" x14ac:dyDescent="0.25">
      <c r="A170" s="1319">
        <v>44317</v>
      </c>
      <c r="B170" s="1305">
        <v>430.82370500000002</v>
      </c>
      <c r="C170" s="1306">
        <v>259.04627499999998</v>
      </c>
      <c r="D170" s="1306">
        <v>415.88319999999999</v>
      </c>
      <c r="E170" s="1306">
        <v>1908.2189000000001</v>
      </c>
      <c r="F170" s="1306">
        <v>2072.8804</v>
      </c>
      <c r="G170" s="1306">
        <v>6277.9260000000004</v>
      </c>
      <c r="H170" s="1306">
        <v>28973.958999999999</v>
      </c>
      <c r="I170" s="1306">
        <v>4519.9539999999997</v>
      </c>
      <c r="J170" s="1307">
        <v>44858.691480000001</v>
      </c>
      <c r="K170" s="1305">
        <v>9.4846629700000005</v>
      </c>
      <c r="L170" s="1306">
        <v>13.29495</v>
      </c>
      <c r="M170" s="1306">
        <v>301.68943999999999</v>
      </c>
      <c r="N170" s="1306">
        <v>408.54171000000002</v>
      </c>
      <c r="O170" s="1306">
        <v>180.69890000000001</v>
      </c>
      <c r="P170" s="1306">
        <v>212.507901</v>
      </c>
      <c r="Q170" s="1306">
        <v>44.305038500000002</v>
      </c>
      <c r="R170" s="1306">
        <v>6.3238297499999998</v>
      </c>
      <c r="S170" s="1306">
        <v>54.803671999999999</v>
      </c>
      <c r="T170" s="1306">
        <v>2.4151734</v>
      </c>
      <c r="U170" s="1306">
        <v>13.259598449999999</v>
      </c>
      <c r="V170" s="1306">
        <v>0.33013762000000002</v>
      </c>
      <c r="W170" s="1306">
        <v>0.22298817000000001</v>
      </c>
      <c r="X170" s="1307">
        <v>1247.8750018599999</v>
      </c>
      <c r="Y170" s="1308">
        <v>46106.566481859998</v>
      </c>
      <c r="Z170" s="1309"/>
      <c r="AA170" s="1314"/>
      <c r="AB170" s="1314"/>
      <c r="AC170" s="1311"/>
    </row>
    <row r="171" spans="1:29" hidden="1" x14ac:dyDescent="0.25">
      <c r="A171" s="1319">
        <v>44440</v>
      </c>
      <c r="B171" s="1305">
        <v>426.6</v>
      </c>
      <c r="C171" s="1306">
        <v>253</v>
      </c>
      <c r="D171" s="1306">
        <v>408.8</v>
      </c>
      <c r="E171" s="1306">
        <v>1825.9</v>
      </c>
      <c r="F171" s="1306">
        <v>1952.3</v>
      </c>
      <c r="G171" s="1306">
        <v>5877.8</v>
      </c>
      <c r="H171" s="1306">
        <v>28865.3</v>
      </c>
      <c r="I171" s="1306">
        <v>4772.7</v>
      </c>
      <c r="J171" s="1307">
        <v>44382.5</v>
      </c>
      <c r="K171" s="1305">
        <v>9.5</v>
      </c>
      <c r="L171" s="1306">
        <v>13.3</v>
      </c>
      <c r="M171" s="1306">
        <v>316.39999999999998</v>
      </c>
      <c r="N171" s="1306">
        <v>413.1</v>
      </c>
      <c r="O171" s="1306">
        <v>181.6</v>
      </c>
      <c r="P171" s="1306">
        <v>214.7</v>
      </c>
      <c r="Q171" s="1306">
        <v>44.8</v>
      </c>
      <c r="R171" s="1306">
        <v>6.3</v>
      </c>
      <c r="S171" s="1306">
        <v>55.3</v>
      </c>
      <c r="T171" s="1306">
        <v>2.4</v>
      </c>
      <c r="U171" s="1306">
        <v>13.4</v>
      </c>
      <c r="V171" s="1306">
        <v>0.3</v>
      </c>
      <c r="W171" s="1306">
        <v>0.2</v>
      </c>
      <c r="X171" s="1307">
        <v>1271.4000000000001</v>
      </c>
      <c r="Y171" s="1308">
        <f>J171+X171</f>
        <v>45653.9</v>
      </c>
      <c r="Z171" s="1309"/>
      <c r="AA171" s="1314"/>
      <c r="AB171" s="1314"/>
      <c r="AC171" s="1311"/>
    </row>
    <row r="172" spans="1:29" ht="20.100000000000001" hidden="1" customHeight="1" x14ac:dyDescent="0.25">
      <c r="A172" s="1320">
        <v>44470</v>
      </c>
      <c r="B172" s="1321">
        <v>425.66</v>
      </c>
      <c r="C172" s="1322">
        <v>252.8</v>
      </c>
      <c r="D172" s="1323">
        <v>409.1</v>
      </c>
      <c r="E172" s="1323">
        <v>1896.03</v>
      </c>
      <c r="F172" s="1306">
        <v>2039.42</v>
      </c>
      <c r="G172" s="1306">
        <v>5909.17</v>
      </c>
      <c r="H172" s="1306">
        <v>29957.39</v>
      </c>
      <c r="I172" s="1306">
        <v>4880.54</v>
      </c>
      <c r="J172" s="1307">
        <v>45770.11</v>
      </c>
      <c r="K172" s="1324">
        <v>9.5</v>
      </c>
      <c r="L172" s="1323">
        <v>13.3</v>
      </c>
      <c r="M172" s="1306">
        <v>321.75</v>
      </c>
      <c r="N172" s="1306">
        <v>415.8</v>
      </c>
      <c r="O172" s="1306">
        <v>181.88</v>
      </c>
      <c r="P172" s="1306">
        <v>215.77</v>
      </c>
      <c r="Q172" s="1306">
        <v>44.9</v>
      </c>
      <c r="R172" s="1306">
        <v>6.3</v>
      </c>
      <c r="S172" s="1306">
        <v>55.4</v>
      </c>
      <c r="T172" s="1306">
        <v>2.4</v>
      </c>
      <c r="U172" s="1306">
        <v>13.5</v>
      </c>
      <c r="V172" s="1306">
        <v>0.3</v>
      </c>
      <c r="W172" s="1306">
        <v>0.2</v>
      </c>
      <c r="X172" s="1307">
        <v>1281.0000000000002</v>
      </c>
      <c r="Y172" s="1308">
        <v>47051.11</v>
      </c>
      <c r="Z172" s="1309"/>
      <c r="AA172" s="1314"/>
      <c r="AB172" s="1314"/>
      <c r="AC172" s="1311"/>
    </row>
    <row r="173" spans="1:29" ht="20.100000000000001" hidden="1" customHeight="1" x14ac:dyDescent="0.25">
      <c r="A173" s="1325">
        <v>44501</v>
      </c>
      <c r="B173" s="1323">
        <v>424.4</v>
      </c>
      <c r="C173" s="1322">
        <v>263</v>
      </c>
      <c r="D173" s="1323">
        <v>426.4</v>
      </c>
      <c r="E173" s="1323">
        <v>1900.9</v>
      </c>
      <c r="F173" s="1306">
        <v>2073.1999999999998</v>
      </c>
      <c r="G173" s="1306">
        <v>5969.5</v>
      </c>
      <c r="H173" s="1306">
        <v>29904.400000000001</v>
      </c>
      <c r="I173" s="1306">
        <v>5000</v>
      </c>
      <c r="J173" s="1307">
        <v>45961.8</v>
      </c>
      <c r="K173" s="1324">
        <v>9.5</v>
      </c>
      <c r="L173" s="1323">
        <v>13.3</v>
      </c>
      <c r="M173" s="1306">
        <v>327.39999999999998</v>
      </c>
      <c r="N173" s="1306">
        <v>419.1</v>
      </c>
      <c r="O173" s="1306">
        <v>184.1</v>
      </c>
      <c r="P173" s="1306">
        <v>217.1</v>
      </c>
      <c r="Q173" s="1306">
        <v>45.1</v>
      </c>
      <c r="R173" s="1306">
        <v>6.3</v>
      </c>
      <c r="S173" s="1306">
        <v>55.5</v>
      </c>
      <c r="T173" s="1306">
        <v>2.4</v>
      </c>
      <c r="U173" s="1306">
        <v>13.5</v>
      </c>
      <c r="V173" s="1306">
        <v>0.3</v>
      </c>
      <c r="W173" s="1306">
        <v>0.2</v>
      </c>
      <c r="X173" s="1307">
        <v>1293.8</v>
      </c>
      <c r="Y173" s="1308">
        <v>47255.600000000006</v>
      </c>
      <c r="Z173" s="1309"/>
      <c r="AA173" s="1314"/>
      <c r="AB173" s="1314"/>
      <c r="AC173" s="1311"/>
    </row>
    <row r="174" spans="1:29" ht="20.100000000000001" hidden="1" customHeight="1" x14ac:dyDescent="0.25">
      <c r="A174" s="1325">
        <v>44531</v>
      </c>
      <c r="B174" s="1323">
        <v>422.7</v>
      </c>
      <c r="C174" s="1322">
        <v>273.39999999999998</v>
      </c>
      <c r="D174" s="1323">
        <v>442.2</v>
      </c>
      <c r="E174" s="1323">
        <v>2000.6</v>
      </c>
      <c r="F174" s="1306">
        <v>2340.5</v>
      </c>
      <c r="G174" s="1306">
        <v>6708.7</v>
      </c>
      <c r="H174" s="1306">
        <v>31973.8</v>
      </c>
      <c r="I174" s="1306">
        <v>5172.2</v>
      </c>
      <c r="J174" s="1307">
        <v>49334.099999999991</v>
      </c>
      <c r="K174" s="1324">
        <v>9.5</v>
      </c>
      <c r="L174" s="1323">
        <v>13.3</v>
      </c>
      <c r="M174" s="1306">
        <v>334.9</v>
      </c>
      <c r="N174" s="1306">
        <v>425.8</v>
      </c>
      <c r="O174" s="1306">
        <v>186.3</v>
      </c>
      <c r="P174" s="1306">
        <v>218.9</v>
      </c>
      <c r="Q174" s="1306">
        <v>45.3</v>
      </c>
      <c r="R174" s="1306">
        <v>6.3</v>
      </c>
      <c r="S174" s="1306">
        <v>55.7</v>
      </c>
      <c r="T174" s="1306">
        <v>2.4</v>
      </c>
      <c r="U174" s="1306">
        <v>13.6</v>
      </c>
      <c r="V174" s="1306">
        <v>0.3</v>
      </c>
      <c r="W174" s="1306">
        <v>0.2</v>
      </c>
      <c r="X174" s="1307">
        <v>1312.5</v>
      </c>
      <c r="Y174" s="1308">
        <v>50646.599999999991</v>
      </c>
      <c r="Z174" s="1309"/>
      <c r="AA174" s="1314"/>
      <c r="AB174" s="1314"/>
      <c r="AC174" s="1311"/>
    </row>
    <row r="175" spans="1:29" ht="20.100000000000001" hidden="1" customHeight="1" x14ac:dyDescent="0.25">
      <c r="A175" s="1325">
        <v>44562</v>
      </c>
      <c r="B175" s="1323">
        <v>421.7</v>
      </c>
      <c r="C175" s="1322">
        <v>275.7</v>
      </c>
      <c r="D175" s="1323">
        <v>441.8</v>
      </c>
      <c r="E175" s="1323">
        <v>1949.8</v>
      </c>
      <c r="F175" s="1306">
        <v>2137.3000000000002</v>
      </c>
      <c r="G175" s="1306">
        <v>6371.5</v>
      </c>
      <c r="H175" s="1306">
        <v>30979.8</v>
      </c>
      <c r="I175" s="1306">
        <v>5188.3999999999996</v>
      </c>
      <c r="J175" s="1307">
        <v>47766</v>
      </c>
      <c r="K175" s="1324">
        <v>9.5</v>
      </c>
      <c r="L175" s="1323">
        <v>13.3</v>
      </c>
      <c r="M175" s="1306">
        <v>337</v>
      </c>
      <c r="N175" s="1306">
        <v>428.3</v>
      </c>
      <c r="O175" s="1306">
        <v>187</v>
      </c>
      <c r="P175" s="1306">
        <v>219.7</v>
      </c>
      <c r="Q175" s="1306">
        <v>45.4</v>
      </c>
      <c r="R175" s="1306">
        <v>6.3</v>
      </c>
      <c r="S175" s="1306">
        <v>55.8</v>
      </c>
      <c r="T175" s="1306">
        <v>2.4</v>
      </c>
      <c r="U175" s="1306">
        <v>13.6</v>
      </c>
      <c r="V175" s="1306">
        <v>0.3</v>
      </c>
      <c r="W175" s="1306">
        <v>0.2</v>
      </c>
      <c r="X175" s="1307">
        <v>1318.8</v>
      </c>
      <c r="Y175" s="1308">
        <v>49084.800000000003</v>
      </c>
      <c r="Z175" s="1309"/>
      <c r="AA175" s="1314"/>
      <c r="AB175" s="1314"/>
      <c r="AC175" s="1311"/>
    </row>
    <row r="176" spans="1:29" ht="20.100000000000001" hidden="1" customHeight="1" x14ac:dyDescent="0.25">
      <c r="A176" s="1325">
        <v>44593</v>
      </c>
      <c r="B176" s="1323">
        <v>420.5</v>
      </c>
      <c r="C176" s="1322">
        <v>276.7</v>
      </c>
      <c r="D176" s="1323">
        <v>441.4</v>
      </c>
      <c r="E176" s="1323">
        <v>1901.8</v>
      </c>
      <c r="F176" s="1306">
        <v>2111.4</v>
      </c>
      <c r="G176" s="1306">
        <v>6223.3</v>
      </c>
      <c r="H176" s="1306">
        <v>31089.7</v>
      </c>
      <c r="I176" s="1306">
        <v>5268.9</v>
      </c>
      <c r="J176" s="1307">
        <v>47733.700000000004</v>
      </c>
      <c r="K176" s="1324">
        <v>9.5</v>
      </c>
      <c r="L176" s="1323">
        <v>13.3</v>
      </c>
      <c r="M176" s="1306">
        <v>337</v>
      </c>
      <c r="N176" s="1306">
        <v>429.3</v>
      </c>
      <c r="O176" s="1306">
        <v>187</v>
      </c>
      <c r="P176" s="1306">
        <v>219.9</v>
      </c>
      <c r="Q176" s="1306">
        <v>45.6</v>
      </c>
      <c r="R176" s="1306">
        <v>6.3</v>
      </c>
      <c r="S176" s="1306">
        <v>56</v>
      </c>
      <c r="T176" s="1306">
        <v>2.4</v>
      </c>
      <c r="U176" s="1306">
        <v>13.6</v>
      </c>
      <c r="V176" s="1306">
        <v>0.3</v>
      </c>
      <c r="W176" s="1306">
        <v>0.2</v>
      </c>
      <c r="X176" s="1307">
        <v>1321.4</v>
      </c>
      <c r="Y176" s="1308">
        <v>49055.100000000006</v>
      </c>
      <c r="Z176" s="1309"/>
      <c r="AA176" s="1314"/>
      <c r="AB176" s="1314"/>
      <c r="AC176" s="1311"/>
    </row>
    <row r="177" spans="1:29" ht="20.100000000000001" hidden="1" customHeight="1" x14ac:dyDescent="0.25">
      <c r="A177" s="1325">
        <v>44621</v>
      </c>
      <c r="B177" s="1323">
        <v>419.3</v>
      </c>
      <c r="C177" s="1322">
        <v>278.10000000000002</v>
      </c>
      <c r="D177" s="1323">
        <v>436.6</v>
      </c>
      <c r="E177" s="1323">
        <v>1904</v>
      </c>
      <c r="F177" s="1306">
        <v>2163.4</v>
      </c>
      <c r="G177" s="1306">
        <v>6248.5</v>
      </c>
      <c r="H177" s="1306">
        <v>30838.3</v>
      </c>
      <c r="I177" s="1306">
        <v>5373.1</v>
      </c>
      <c r="J177" s="1307">
        <v>47661.299999999996</v>
      </c>
      <c r="K177" s="1324">
        <v>9.5</v>
      </c>
      <c r="L177" s="1323">
        <v>13.3</v>
      </c>
      <c r="M177" s="1306">
        <v>338.4</v>
      </c>
      <c r="N177" s="1306">
        <v>429.5</v>
      </c>
      <c r="O177" s="1306">
        <v>187.5</v>
      </c>
      <c r="P177" s="1306">
        <v>220</v>
      </c>
      <c r="Q177" s="1306">
        <v>45.9</v>
      </c>
      <c r="R177" s="1306">
        <v>6.3</v>
      </c>
      <c r="S177" s="1306">
        <v>56</v>
      </c>
      <c r="T177" s="1306">
        <v>2.5</v>
      </c>
      <c r="U177" s="1306">
        <v>13.7</v>
      </c>
      <c r="V177" s="1306">
        <v>0.3</v>
      </c>
      <c r="W177" s="1306">
        <v>0.2</v>
      </c>
      <c r="X177" s="1307">
        <v>1323.1000000000001</v>
      </c>
      <c r="Y177" s="1308">
        <v>48984.399999999994</v>
      </c>
      <c r="Z177" s="1309"/>
      <c r="AA177" s="1314"/>
      <c r="AB177" s="1314"/>
      <c r="AC177" s="1311"/>
    </row>
    <row r="178" spans="1:29" ht="20.100000000000001" hidden="1" customHeight="1" x14ac:dyDescent="0.25">
      <c r="A178" s="1325">
        <v>44652</v>
      </c>
      <c r="B178" s="1323">
        <v>417.5</v>
      </c>
      <c r="C178" s="1322">
        <v>280.60000000000002</v>
      </c>
      <c r="D178" s="1323">
        <v>438.8</v>
      </c>
      <c r="E178" s="1323">
        <v>1923.9</v>
      </c>
      <c r="F178" s="1306">
        <v>2107.6999999999998</v>
      </c>
      <c r="G178" s="1306">
        <v>6268.8</v>
      </c>
      <c r="H178" s="1306">
        <v>30954.6</v>
      </c>
      <c r="I178" s="1306">
        <v>5408.6</v>
      </c>
      <c r="J178" s="1307">
        <v>47800.499999999993</v>
      </c>
      <c r="K178" s="1324">
        <v>9.5</v>
      </c>
      <c r="L178" s="1323">
        <v>13.3</v>
      </c>
      <c r="M178" s="1306">
        <v>339.7</v>
      </c>
      <c r="N178" s="1306">
        <v>432.2</v>
      </c>
      <c r="O178" s="1306">
        <v>188.3</v>
      </c>
      <c r="P178" s="1306">
        <v>221.6</v>
      </c>
      <c r="Q178" s="1306">
        <v>45.9</v>
      </c>
      <c r="R178" s="1306">
        <v>6.3</v>
      </c>
      <c r="S178" s="1306">
        <v>56.1</v>
      </c>
      <c r="T178" s="1306">
        <v>2.5</v>
      </c>
      <c r="U178" s="1306">
        <v>13.7</v>
      </c>
      <c r="V178" s="1306">
        <v>0.3</v>
      </c>
      <c r="W178" s="1306">
        <v>0.2</v>
      </c>
      <c r="X178" s="1307">
        <v>1329.6</v>
      </c>
      <c r="Y178" s="1308">
        <v>49130.099999999991</v>
      </c>
      <c r="Z178" s="1280"/>
      <c r="AA178" s="1314"/>
      <c r="AB178" s="1311"/>
      <c r="AC178" s="1311"/>
    </row>
    <row r="179" spans="1:29" ht="20.100000000000001" hidden="1" customHeight="1" x14ac:dyDescent="0.25">
      <c r="A179" s="1325">
        <v>44682</v>
      </c>
      <c r="B179" s="1323">
        <v>416.26</v>
      </c>
      <c r="C179" s="1322">
        <v>282.10000000000002</v>
      </c>
      <c r="D179" s="1323">
        <v>438.95</v>
      </c>
      <c r="E179" s="1323">
        <v>1952.09</v>
      </c>
      <c r="F179" s="1306">
        <v>2129.7199999999998</v>
      </c>
      <c r="G179" s="1306">
        <v>6237.6</v>
      </c>
      <c r="H179" s="1306">
        <v>30984.560000000001</v>
      </c>
      <c r="I179" s="1306">
        <v>5494.2</v>
      </c>
      <c r="J179" s="1307">
        <v>47935.479999999996</v>
      </c>
      <c r="K179" s="1324">
        <v>9.57</v>
      </c>
      <c r="L179" s="1323">
        <v>13.3</v>
      </c>
      <c r="M179" s="1306">
        <v>340.85</v>
      </c>
      <c r="N179" s="1306">
        <v>434.1</v>
      </c>
      <c r="O179" s="1306">
        <v>189.66</v>
      </c>
      <c r="P179" s="1306">
        <v>222.52</v>
      </c>
      <c r="Q179" s="1306">
        <v>46.03</v>
      </c>
      <c r="R179" s="1306">
        <v>6.32</v>
      </c>
      <c r="S179" s="1306">
        <v>56.25</v>
      </c>
      <c r="T179" s="1306">
        <v>2.41</v>
      </c>
      <c r="U179" s="1306">
        <v>13.73</v>
      </c>
      <c r="V179" s="1306">
        <v>0.3</v>
      </c>
      <c r="W179" s="1306">
        <v>0.22</v>
      </c>
      <c r="X179" s="1307">
        <v>1335.26</v>
      </c>
      <c r="Y179" s="1308">
        <v>49270.74</v>
      </c>
      <c r="Z179" s="1280"/>
      <c r="AA179" s="1314"/>
      <c r="AB179" s="1311"/>
      <c r="AC179" s="1311"/>
    </row>
    <row r="180" spans="1:29" ht="20.100000000000001" hidden="1" customHeight="1" x14ac:dyDescent="0.25">
      <c r="A180" s="1325">
        <v>44743</v>
      </c>
      <c r="B180" s="1323">
        <v>411.2</v>
      </c>
      <c r="C180" s="1322">
        <v>284.7</v>
      </c>
      <c r="D180" s="1323">
        <v>438.4</v>
      </c>
      <c r="E180" s="1323">
        <v>1924.3</v>
      </c>
      <c r="F180" s="1306">
        <v>2105.6</v>
      </c>
      <c r="G180" s="1306">
        <v>6049.5</v>
      </c>
      <c r="H180" s="1306">
        <v>31285.200000000001</v>
      </c>
      <c r="I180" s="1306">
        <v>5607</v>
      </c>
      <c r="J180" s="1307">
        <v>48105.9</v>
      </c>
      <c r="K180" s="1306">
        <v>9.5</v>
      </c>
      <c r="L180" s="1306">
        <v>13.3</v>
      </c>
      <c r="M180" s="1306">
        <v>344.5</v>
      </c>
      <c r="N180" s="1306">
        <v>435.8</v>
      </c>
      <c r="O180" s="1306">
        <v>191.7</v>
      </c>
      <c r="P180" s="1306">
        <v>224.5</v>
      </c>
      <c r="Q180" s="1306">
        <v>46.3</v>
      </c>
      <c r="R180" s="1306">
        <v>6.3</v>
      </c>
      <c r="S180" s="1306">
        <v>56.5</v>
      </c>
      <c r="T180" s="1306">
        <v>2.4</v>
      </c>
      <c r="U180" s="1306">
        <v>13.8</v>
      </c>
      <c r="V180" s="1306">
        <v>0.3</v>
      </c>
      <c r="W180" s="1306">
        <v>0.2</v>
      </c>
      <c r="X180" s="1307">
        <v>1345.1</v>
      </c>
      <c r="Y180" s="1308">
        <v>49451</v>
      </c>
      <c r="Z180" s="1280"/>
      <c r="AA180" s="1314"/>
      <c r="AB180" s="1311"/>
      <c r="AC180" s="1311"/>
    </row>
    <row r="181" spans="1:29" ht="30" customHeight="1" x14ac:dyDescent="0.25">
      <c r="A181" s="1325">
        <v>44774</v>
      </c>
      <c r="B181" s="1323">
        <v>409.9</v>
      </c>
      <c r="C181" s="1322">
        <v>287</v>
      </c>
      <c r="D181" s="1323">
        <v>440.2</v>
      </c>
      <c r="E181" s="1323">
        <v>1901.7</v>
      </c>
      <c r="F181" s="1306">
        <v>2109.3000000000002</v>
      </c>
      <c r="G181" s="1306">
        <v>6325.9</v>
      </c>
      <c r="H181" s="1306">
        <v>31177.200000000001</v>
      </c>
      <c r="I181" s="1306">
        <v>5713.2</v>
      </c>
      <c r="J181" s="1307">
        <v>48364.399999999994</v>
      </c>
      <c r="K181" s="1306">
        <v>9.6</v>
      </c>
      <c r="L181" s="1306">
        <v>13.3</v>
      </c>
      <c r="M181" s="1306">
        <v>345.6</v>
      </c>
      <c r="N181" s="1306">
        <v>440</v>
      </c>
      <c r="O181" s="1306">
        <v>193.2</v>
      </c>
      <c r="P181" s="1306">
        <v>225.9</v>
      </c>
      <c r="Q181" s="1306">
        <v>46.4</v>
      </c>
      <c r="R181" s="1306">
        <v>6.3</v>
      </c>
      <c r="S181" s="1306">
        <v>56.6</v>
      </c>
      <c r="T181" s="1306">
        <v>2.4</v>
      </c>
      <c r="U181" s="1306">
        <v>13.9</v>
      </c>
      <c r="V181" s="1306">
        <v>0.3</v>
      </c>
      <c r="W181" s="1306">
        <v>0.2</v>
      </c>
      <c r="X181" s="1307">
        <v>1353.7000000000003</v>
      </c>
      <c r="Y181" s="1308">
        <v>49718.099999999991</v>
      </c>
      <c r="Z181" s="1280"/>
      <c r="AA181" s="1314"/>
      <c r="AB181" s="1311"/>
      <c r="AC181" s="1311"/>
    </row>
    <row r="182" spans="1:29" ht="30" customHeight="1" x14ac:dyDescent="0.25">
      <c r="A182" s="1325">
        <v>44805</v>
      </c>
      <c r="B182" s="1323">
        <v>408.2</v>
      </c>
      <c r="C182" s="1322">
        <v>289.8</v>
      </c>
      <c r="D182" s="1323">
        <v>442.5</v>
      </c>
      <c r="E182" s="1323">
        <v>1924.3</v>
      </c>
      <c r="F182" s="1306">
        <v>2118.5</v>
      </c>
      <c r="G182" s="1306">
        <v>6452.5</v>
      </c>
      <c r="H182" s="1306">
        <v>30913.5</v>
      </c>
      <c r="I182" s="1306">
        <v>5779.8</v>
      </c>
      <c r="J182" s="1307">
        <v>48329.100000000006</v>
      </c>
      <c r="K182" s="1306">
        <v>9.6</v>
      </c>
      <c r="L182" s="1306">
        <v>13.3</v>
      </c>
      <c r="M182" s="1306">
        <v>348.9</v>
      </c>
      <c r="N182" s="1306">
        <v>443.2</v>
      </c>
      <c r="O182" s="1306">
        <v>194.1</v>
      </c>
      <c r="P182" s="1306">
        <v>227.2</v>
      </c>
      <c r="Q182" s="1306">
        <v>46.6</v>
      </c>
      <c r="R182" s="1306">
        <v>6.3</v>
      </c>
      <c r="S182" s="1306">
        <v>56.7</v>
      </c>
      <c r="T182" s="1306">
        <v>2.4</v>
      </c>
      <c r="U182" s="1306">
        <v>13.9</v>
      </c>
      <c r="V182" s="1306">
        <v>0.3</v>
      </c>
      <c r="W182" s="1306">
        <v>0.2</v>
      </c>
      <c r="X182" s="1307">
        <v>1362.7</v>
      </c>
      <c r="Y182" s="1308">
        <v>49691.8</v>
      </c>
      <c r="Z182" s="1280"/>
      <c r="AA182" s="1314"/>
      <c r="AB182" s="1311"/>
      <c r="AC182" s="1311"/>
    </row>
    <row r="183" spans="1:29" ht="30" customHeight="1" x14ac:dyDescent="0.25">
      <c r="A183" s="1325">
        <v>44835</v>
      </c>
      <c r="B183" s="1323">
        <v>406.95</v>
      </c>
      <c r="C183" s="1322">
        <v>292.39999999999998</v>
      </c>
      <c r="D183" s="1323">
        <v>447.5</v>
      </c>
      <c r="E183" s="1323">
        <v>1938.2</v>
      </c>
      <c r="F183" s="1306">
        <v>2213.8000000000002</v>
      </c>
      <c r="G183" s="1306">
        <v>6451</v>
      </c>
      <c r="H183" s="1306">
        <v>31079.7</v>
      </c>
      <c r="I183" s="1306">
        <v>5829.3</v>
      </c>
      <c r="J183" s="1307">
        <v>48658.850000000006</v>
      </c>
      <c r="K183" s="1306">
        <v>9.57</v>
      </c>
      <c r="L183" s="1306">
        <v>13.3</v>
      </c>
      <c r="M183" s="1326">
        <v>355.4</v>
      </c>
      <c r="N183" s="1306">
        <v>448.5</v>
      </c>
      <c r="O183" s="1306">
        <v>195.4</v>
      </c>
      <c r="P183" s="1306">
        <v>228.5</v>
      </c>
      <c r="Q183" s="1306">
        <v>46.7</v>
      </c>
      <c r="R183" s="1306">
        <v>6.3</v>
      </c>
      <c r="S183" s="1306">
        <v>57</v>
      </c>
      <c r="T183" s="1306">
        <v>2.4</v>
      </c>
      <c r="U183" s="1306">
        <v>14</v>
      </c>
      <c r="V183" s="1306">
        <v>0.3</v>
      </c>
      <c r="W183" s="1306">
        <v>0.2</v>
      </c>
      <c r="X183" s="1307">
        <v>1377.5700000000002</v>
      </c>
      <c r="Y183" s="1308">
        <v>50036.420000000006</v>
      </c>
      <c r="Z183" s="1280"/>
      <c r="AA183" s="1314"/>
      <c r="AB183" s="1311"/>
      <c r="AC183" s="1311"/>
    </row>
    <row r="184" spans="1:29" ht="30" customHeight="1" x14ac:dyDescent="0.25">
      <c r="A184" s="1325">
        <v>44866</v>
      </c>
      <c r="B184" s="1323">
        <v>405.7</v>
      </c>
      <c r="C184" s="1322">
        <v>295.5</v>
      </c>
      <c r="D184" s="1323">
        <v>446.1</v>
      </c>
      <c r="E184" s="1323">
        <v>1991.5</v>
      </c>
      <c r="F184" s="1306">
        <v>2062.3000000000002</v>
      </c>
      <c r="G184" s="1306">
        <v>6488.8</v>
      </c>
      <c r="H184" s="1306">
        <v>31140.1</v>
      </c>
      <c r="I184" s="1306">
        <v>5885</v>
      </c>
      <c r="J184" s="1307">
        <v>48715</v>
      </c>
      <c r="K184" s="1306">
        <v>9.6</v>
      </c>
      <c r="L184" s="1306">
        <v>13.3</v>
      </c>
      <c r="M184" s="1326">
        <v>357.8</v>
      </c>
      <c r="N184" s="1306">
        <v>451.6</v>
      </c>
      <c r="O184" s="1306">
        <v>196.7</v>
      </c>
      <c r="P184" s="1306">
        <v>229.5</v>
      </c>
      <c r="Q184" s="1306">
        <v>46.8</v>
      </c>
      <c r="R184" s="1306">
        <v>6.3</v>
      </c>
      <c r="S184" s="1306">
        <v>57.1</v>
      </c>
      <c r="T184" s="1306">
        <v>2.4</v>
      </c>
      <c r="U184" s="1306">
        <v>14</v>
      </c>
      <c r="V184" s="1306">
        <v>0.3</v>
      </c>
      <c r="W184" s="1306">
        <v>0.2</v>
      </c>
      <c r="X184" s="1307">
        <v>1385.6</v>
      </c>
      <c r="Y184" s="1308">
        <v>50100.6</v>
      </c>
      <c r="Z184" s="1280"/>
      <c r="AA184" s="1314"/>
      <c r="AB184" s="1311"/>
      <c r="AC184" s="1311"/>
    </row>
    <row r="185" spans="1:29" ht="30" customHeight="1" x14ac:dyDescent="0.25">
      <c r="A185" s="1325">
        <v>44896</v>
      </c>
      <c r="B185" s="1323">
        <v>404.9</v>
      </c>
      <c r="C185" s="1322">
        <v>307.7</v>
      </c>
      <c r="D185" s="1323">
        <v>462.6</v>
      </c>
      <c r="E185" s="1323">
        <v>2156.1999999999998</v>
      </c>
      <c r="F185" s="1306">
        <v>2351.9</v>
      </c>
      <c r="G185" s="1306">
        <v>8021.6</v>
      </c>
      <c r="H185" s="1306">
        <v>33917.1</v>
      </c>
      <c r="I185" s="1306">
        <v>6048.6</v>
      </c>
      <c r="J185" s="1307">
        <v>53670.6</v>
      </c>
      <c r="K185" s="1306">
        <v>9.6</v>
      </c>
      <c r="L185" s="1306">
        <v>13.3</v>
      </c>
      <c r="M185" s="1326">
        <v>363</v>
      </c>
      <c r="N185" s="1306">
        <v>456.8</v>
      </c>
      <c r="O185" s="1306">
        <v>198.8</v>
      </c>
      <c r="P185" s="1306">
        <v>230.9</v>
      </c>
      <c r="Q185" s="1306">
        <v>47</v>
      </c>
      <c r="R185" s="1306">
        <v>6.3</v>
      </c>
      <c r="S185" s="1306">
        <v>57.2</v>
      </c>
      <c r="T185" s="1306">
        <v>2.4</v>
      </c>
      <c r="U185" s="1306">
        <v>14.1</v>
      </c>
      <c r="V185" s="1306">
        <v>0.3</v>
      </c>
      <c r="W185" s="1306">
        <v>0.2</v>
      </c>
      <c r="X185" s="1307">
        <v>1399.8</v>
      </c>
      <c r="Y185" s="1308">
        <v>55070.400000000001</v>
      </c>
      <c r="Z185" s="1280"/>
      <c r="AA185" s="1314"/>
      <c r="AB185" s="1311"/>
      <c r="AC185" s="1311"/>
    </row>
    <row r="186" spans="1:29" ht="30" customHeight="1" x14ac:dyDescent="0.25">
      <c r="A186" s="1325">
        <v>44927</v>
      </c>
      <c r="B186" s="1323">
        <v>404.2</v>
      </c>
      <c r="C186" s="1322">
        <v>309.39999999999998</v>
      </c>
      <c r="D186" s="1323">
        <v>457.9</v>
      </c>
      <c r="E186" s="1323">
        <v>2050.9</v>
      </c>
      <c r="F186" s="1306">
        <v>2132.8000000000002</v>
      </c>
      <c r="G186" s="1306">
        <v>7133.3</v>
      </c>
      <c r="H186" s="1306">
        <v>33266</v>
      </c>
      <c r="I186" s="1306">
        <v>5927.6</v>
      </c>
      <c r="J186" s="1307">
        <f t="shared" ref="J186:J190" si="0">SUM(B186:I186)</f>
        <v>51682.1</v>
      </c>
      <c r="K186" s="1306">
        <v>9.6</v>
      </c>
      <c r="L186" s="1306">
        <v>13.3</v>
      </c>
      <c r="M186" s="1326">
        <v>363.5</v>
      </c>
      <c r="N186" s="1306">
        <v>460.9</v>
      </c>
      <c r="O186" s="1306">
        <v>199.2</v>
      </c>
      <c r="P186" s="1306">
        <v>232.2</v>
      </c>
      <c r="Q186" s="1306">
        <v>47.1</v>
      </c>
      <c r="R186" s="1306">
        <v>6.3</v>
      </c>
      <c r="S186" s="1306">
        <v>57.3</v>
      </c>
      <c r="T186" s="1306">
        <v>2.4</v>
      </c>
      <c r="U186" s="1306">
        <v>14.1</v>
      </c>
      <c r="V186" s="1306">
        <v>0.3</v>
      </c>
      <c r="W186" s="1306">
        <v>0.2</v>
      </c>
      <c r="X186" s="1307">
        <v>1406.4</v>
      </c>
      <c r="Y186" s="1308">
        <f>SUM(J186+X186)</f>
        <v>53088.5</v>
      </c>
      <c r="Z186" s="1280"/>
      <c r="AA186" s="1314"/>
      <c r="AB186" s="1311"/>
      <c r="AC186" s="1311"/>
    </row>
    <row r="187" spans="1:29" ht="30" customHeight="1" x14ac:dyDescent="0.25">
      <c r="A187" s="1325">
        <v>44958</v>
      </c>
      <c r="B187" s="1323">
        <v>403.4</v>
      </c>
      <c r="C187" s="1322">
        <v>310</v>
      </c>
      <c r="D187" s="1323">
        <v>458.6</v>
      </c>
      <c r="E187" s="1323">
        <v>2048.4</v>
      </c>
      <c r="F187" s="1306">
        <v>2122.9</v>
      </c>
      <c r="G187" s="1306">
        <v>6984.7</v>
      </c>
      <c r="H187" s="1306">
        <v>33326.5</v>
      </c>
      <c r="I187" s="1306">
        <v>5805.5</v>
      </c>
      <c r="J187" s="1307">
        <f t="shared" si="0"/>
        <v>51460</v>
      </c>
      <c r="K187" s="1306">
        <v>9.6</v>
      </c>
      <c r="L187" s="1306">
        <v>13.3</v>
      </c>
      <c r="M187" s="1326">
        <v>364.5</v>
      </c>
      <c r="N187" s="1306">
        <v>462.5</v>
      </c>
      <c r="O187" s="1306">
        <v>199.4</v>
      </c>
      <c r="P187" s="1306">
        <v>233.3</v>
      </c>
      <c r="Q187" s="1306">
        <v>47.2</v>
      </c>
      <c r="R187" s="1306">
        <v>6.3</v>
      </c>
      <c r="S187" s="1306">
        <v>57.4</v>
      </c>
      <c r="T187" s="1306">
        <v>2.4</v>
      </c>
      <c r="U187" s="1306">
        <v>14.1</v>
      </c>
      <c r="V187" s="1306">
        <v>0.3</v>
      </c>
      <c r="W187" s="1306">
        <v>0.2</v>
      </c>
      <c r="X187" s="1307">
        <f>SUM(K187:W187)</f>
        <v>1410.5</v>
      </c>
      <c r="Y187" s="1308">
        <f t="shared" ref="Y187:Y189" si="1">SUM(J187+X187)</f>
        <v>52870.5</v>
      </c>
      <c r="Z187" s="1280"/>
      <c r="AA187" s="1327"/>
      <c r="AB187" s="1311"/>
      <c r="AC187" s="1311"/>
    </row>
    <row r="188" spans="1:29" ht="30" customHeight="1" x14ac:dyDescent="0.25">
      <c r="A188" s="1325">
        <v>44986</v>
      </c>
      <c r="B188" s="1323">
        <v>402.5</v>
      </c>
      <c r="C188" s="1322">
        <v>311</v>
      </c>
      <c r="D188" s="1323">
        <v>456.9</v>
      </c>
      <c r="E188" s="1323">
        <v>2005</v>
      </c>
      <c r="F188" s="1306">
        <v>2136.8000000000002</v>
      </c>
      <c r="G188" s="1306">
        <v>6844.7</v>
      </c>
      <c r="H188" s="1306">
        <v>33391.1</v>
      </c>
      <c r="I188" s="1306">
        <v>5833.6</v>
      </c>
      <c r="J188" s="1307">
        <f t="shared" si="0"/>
        <v>51381.599999999999</v>
      </c>
      <c r="K188" s="1306">
        <v>9.6</v>
      </c>
      <c r="L188" s="1306">
        <v>13.3</v>
      </c>
      <c r="M188" s="1326">
        <v>364.6</v>
      </c>
      <c r="N188" s="1306">
        <v>463.1</v>
      </c>
      <c r="O188" s="1306">
        <v>199.5</v>
      </c>
      <c r="P188" s="1306">
        <v>234.4</v>
      </c>
      <c r="Q188" s="1306">
        <v>47.4</v>
      </c>
      <c r="R188" s="1306">
        <v>6.3</v>
      </c>
      <c r="S188" s="1306">
        <v>57.5</v>
      </c>
      <c r="T188" s="1306">
        <v>2.4</v>
      </c>
      <c r="U188" s="1306">
        <v>14.2</v>
      </c>
      <c r="V188" s="1306">
        <v>0.3</v>
      </c>
      <c r="W188" s="1306">
        <v>0.2</v>
      </c>
      <c r="X188" s="1328">
        <f>SUM(K188:W188)</f>
        <v>1412.8000000000002</v>
      </c>
      <c r="Y188" s="1308">
        <f t="shared" si="1"/>
        <v>52794.400000000001</v>
      </c>
      <c r="Z188" s="1280"/>
      <c r="AA188" s="1327"/>
      <c r="AB188" s="1311"/>
      <c r="AC188" s="1311"/>
    </row>
    <row r="189" spans="1:29" ht="30" customHeight="1" x14ac:dyDescent="0.25">
      <c r="A189" s="1325">
        <v>45017</v>
      </c>
      <c r="B189" s="1323">
        <v>401.7</v>
      </c>
      <c r="C189" s="1322">
        <v>310.89999999999998</v>
      </c>
      <c r="D189" s="1323">
        <v>451.3</v>
      </c>
      <c r="E189" s="1323">
        <v>2015.5</v>
      </c>
      <c r="F189" s="1306">
        <v>2157.1</v>
      </c>
      <c r="G189" s="1306">
        <v>6785.4</v>
      </c>
      <c r="H189" s="1306">
        <v>33533.1</v>
      </c>
      <c r="I189" s="1306">
        <v>5734.5</v>
      </c>
      <c r="J189" s="1307">
        <f t="shared" si="0"/>
        <v>51389.5</v>
      </c>
      <c r="K189" s="1306">
        <v>9.6</v>
      </c>
      <c r="L189" s="1306">
        <v>13.3</v>
      </c>
      <c r="M189" s="1326">
        <v>364.8</v>
      </c>
      <c r="N189" s="1306">
        <v>464.4</v>
      </c>
      <c r="O189" s="1306">
        <v>199.7</v>
      </c>
      <c r="P189" s="1306">
        <v>235.4</v>
      </c>
      <c r="Q189" s="1306">
        <v>47.6</v>
      </c>
      <c r="R189" s="1306">
        <v>6.3</v>
      </c>
      <c r="S189" s="1306">
        <v>57.6</v>
      </c>
      <c r="T189" s="1306">
        <v>2.4</v>
      </c>
      <c r="U189" s="1306">
        <v>14.2</v>
      </c>
      <c r="V189" s="1306">
        <v>0.3</v>
      </c>
      <c r="W189" s="1306">
        <v>0.2</v>
      </c>
      <c r="X189" s="1328">
        <f>SUM(K189:W189)</f>
        <v>1415.8</v>
      </c>
      <c r="Y189" s="1308">
        <f t="shared" si="1"/>
        <v>52805.3</v>
      </c>
      <c r="Z189" s="1280"/>
      <c r="AA189" s="1327"/>
      <c r="AB189" s="1311"/>
      <c r="AC189" s="1311"/>
    </row>
    <row r="190" spans="1:29" ht="30" customHeight="1" x14ac:dyDescent="0.25">
      <c r="A190" s="1325">
        <v>45047</v>
      </c>
      <c r="B190" s="1323">
        <v>400.3</v>
      </c>
      <c r="C190" s="1322">
        <v>312.2</v>
      </c>
      <c r="D190" s="1323">
        <v>450</v>
      </c>
      <c r="E190" s="1323">
        <v>1972.3</v>
      </c>
      <c r="F190" s="1306">
        <v>2133.1999999999998</v>
      </c>
      <c r="G190" s="1306">
        <v>6681.2</v>
      </c>
      <c r="H190" s="1306">
        <v>33475.199999999997</v>
      </c>
      <c r="I190" s="1306">
        <v>5848</v>
      </c>
      <c r="J190" s="1307">
        <f t="shared" si="0"/>
        <v>51272.399999999994</v>
      </c>
      <c r="K190" s="1306">
        <v>9.6</v>
      </c>
      <c r="L190" s="1306">
        <v>13.3</v>
      </c>
      <c r="M190" s="1326">
        <v>367.7</v>
      </c>
      <c r="N190" s="1306">
        <v>467</v>
      </c>
      <c r="O190" s="1306">
        <v>200</v>
      </c>
      <c r="P190" s="1306">
        <v>236</v>
      </c>
      <c r="Q190" s="1306">
        <v>47.6</v>
      </c>
      <c r="R190" s="1306">
        <v>6.3</v>
      </c>
      <c r="S190" s="1306">
        <v>57.7</v>
      </c>
      <c r="T190" s="1306">
        <v>2.4</v>
      </c>
      <c r="U190" s="1306">
        <v>14.2</v>
      </c>
      <c r="V190" s="1306">
        <v>0.3</v>
      </c>
      <c r="W190" s="1306">
        <v>0.2</v>
      </c>
      <c r="X190" s="1307">
        <v>1423.1</v>
      </c>
      <c r="Y190" s="1308">
        <f>SUM(J190+X190)</f>
        <v>52695.499999999993</v>
      </c>
      <c r="Z190" s="1280"/>
      <c r="AA190" s="1327"/>
      <c r="AB190" s="1311"/>
      <c r="AC190" s="1311"/>
    </row>
    <row r="191" spans="1:29" ht="30" customHeight="1" x14ac:dyDescent="0.25">
      <c r="A191" s="1325">
        <v>45078</v>
      </c>
      <c r="B191" s="1323">
        <v>399.3</v>
      </c>
      <c r="C191" s="1322">
        <v>315.60000000000002</v>
      </c>
      <c r="D191" s="1323">
        <v>454.1</v>
      </c>
      <c r="E191" s="1323">
        <v>1906.7</v>
      </c>
      <c r="F191" s="1306">
        <v>2123.3000000000002</v>
      </c>
      <c r="G191" s="1306">
        <v>6754</v>
      </c>
      <c r="H191" s="1306">
        <v>33327.300000000003</v>
      </c>
      <c r="I191" s="1306">
        <v>5941.7</v>
      </c>
      <c r="J191" s="1307">
        <f t="shared" ref="J191:J194" si="2">SUM(B191:I191)</f>
        <v>51222</v>
      </c>
      <c r="K191" s="1306">
        <v>9.6</v>
      </c>
      <c r="L191" s="1306">
        <v>13.3</v>
      </c>
      <c r="M191" s="1326">
        <v>369.8</v>
      </c>
      <c r="N191" s="1306">
        <v>468.6</v>
      </c>
      <c r="O191" s="1306">
        <v>200.1</v>
      </c>
      <c r="P191" s="1306">
        <v>237.5</v>
      </c>
      <c r="Q191" s="1306">
        <v>47.7</v>
      </c>
      <c r="R191" s="1306">
        <v>6.3</v>
      </c>
      <c r="S191" s="1306">
        <v>57.7</v>
      </c>
      <c r="T191" s="1306">
        <v>2.4</v>
      </c>
      <c r="U191" s="1306">
        <v>14.2</v>
      </c>
      <c r="V191" s="1306">
        <v>0.3</v>
      </c>
      <c r="W191" s="1306">
        <v>0.2</v>
      </c>
      <c r="X191" s="1307">
        <f>SUM(K191:W191)</f>
        <v>1427.7</v>
      </c>
      <c r="Y191" s="1308">
        <f>SUM(J191+X191)</f>
        <v>52649.7</v>
      </c>
      <c r="Z191" s="1280"/>
      <c r="AA191" s="1327"/>
      <c r="AB191" s="1311"/>
      <c r="AC191" s="1311"/>
    </row>
    <row r="192" spans="1:29" ht="30" customHeight="1" x14ac:dyDescent="0.25">
      <c r="A192" s="1325">
        <v>45108</v>
      </c>
      <c r="B192" s="1323">
        <v>398.4</v>
      </c>
      <c r="C192" s="1322">
        <v>318.5</v>
      </c>
      <c r="D192" s="1323">
        <v>457.5</v>
      </c>
      <c r="E192" s="1323">
        <v>1895.2</v>
      </c>
      <c r="F192" s="1306">
        <v>2144.4</v>
      </c>
      <c r="G192" s="1306">
        <v>6693.7</v>
      </c>
      <c r="H192" s="1306">
        <v>33360</v>
      </c>
      <c r="I192" s="1306">
        <v>6094.7</v>
      </c>
      <c r="J192" s="1307">
        <f t="shared" si="2"/>
        <v>51362.399999999994</v>
      </c>
      <c r="K192" s="1306">
        <v>9.6</v>
      </c>
      <c r="L192" s="1306">
        <v>13.3</v>
      </c>
      <c r="M192" s="1326">
        <v>370</v>
      </c>
      <c r="N192" s="1306">
        <v>468.8</v>
      </c>
      <c r="O192" s="1306">
        <v>201.5</v>
      </c>
      <c r="P192" s="1306">
        <v>238</v>
      </c>
      <c r="Q192" s="1306">
        <v>47.7</v>
      </c>
      <c r="R192" s="1306">
        <v>6.3</v>
      </c>
      <c r="S192" s="1306">
        <v>57.7</v>
      </c>
      <c r="T192" s="1306">
        <v>2.4</v>
      </c>
      <c r="U192" s="1306">
        <v>14.2</v>
      </c>
      <c r="V192" s="1306">
        <v>0.3</v>
      </c>
      <c r="W192" s="1306">
        <v>0.2</v>
      </c>
      <c r="X192" s="1307">
        <f>SUM(K192:W192)</f>
        <v>1430.0000000000002</v>
      </c>
      <c r="Y192" s="1308">
        <f>SUM(J192+X192)</f>
        <v>52792.399999999994</v>
      </c>
      <c r="Z192" s="1280"/>
      <c r="AA192" s="1327"/>
      <c r="AB192" s="1311"/>
      <c r="AC192" s="1311"/>
    </row>
    <row r="193" spans="1:29" ht="30" customHeight="1" x14ac:dyDescent="0.25">
      <c r="A193" s="1325">
        <v>45139</v>
      </c>
      <c r="B193" s="1323">
        <v>397.6</v>
      </c>
      <c r="C193" s="1322">
        <v>320.89999999999998</v>
      </c>
      <c r="D193" s="1323">
        <v>459.7</v>
      </c>
      <c r="E193" s="1323">
        <v>1933.9</v>
      </c>
      <c r="F193" s="1306">
        <v>2156</v>
      </c>
      <c r="G193" s="1306">
        <v>6761.1</v>
      </c>
      <c r="H193" s="1306">
        <v>33573.4</v>
      </c>
      <c r="I193" s="1306">
        <v>6184</v>
      </c>
      <c r="J193" s="1307">
        <f t="shared" si="2"/>
        <v>51786.600000000006</v>
      </c>
      <c r="K193" s="1306">
        <v>9.6</v>
      </c>
      <c r="L193" s="1306">
        <v>13.3</v>
      </c>
      <c r="M193" s="1326">
        <v>373.4</v>
      </c>
      <c r="N193" s="1306">
        <v>471.5</v>
      </c>
      <c r="O193" s="1306">
        <v>203</v>
      </c>
      <c r="P193" s="1306">
        <v>238.9</v>
      </c>
      <c r="Q193" s="1306">
        <v>47.8</v>
      </c>
      <c r="R193" s="1306">
        <v>6.3</v>
      </c>
      <c r="S193" s="1306">
        <v>57.9</v>
      </c>
      <c r="T193" s="1306">
        <v>2.4</v>
      </c>
      <c r="U193" s="1306">
        <v>14.3</v>
      </c>
      <c r="V193" s="1306">
        <v>0.3</v>
      </c>
      <c r="W193" s="1306">
        <v>0.2</v>
      </c>
      <c r="X193" s="1307">
        <f>SUM(K193:W193)</f>
        <v>1438.9</v>
      </c>
      <c r="Y193" s="1308">
        <f>SUM(J193+X193)</f>
        <v>53225.500000000007</v>
      </c>
      <c r="Z193" s="1280"/>
      <c r="AA193" s="1327"/>
      <c r="AB193" s="1311"/>
      <c r="AC193" s="1311"/>
    </row>
    <row r="194" spans="1:29" ht="30" customHeight="1" thickBot="1" x14ac:dyDescent="0.3">
      <c r="A194" s="1329">
        <v>45170</v>
      </c>
      <c r="B194" s="1330">
        <v>396.7</v>
      </c>
      <c r="C194" s="1331">
        <v>322.7</v>
      </c>
      <c r="D194" s="1330">
        <v>462.7</v>
      </c>
      <c r="E194" s="1330">
        <v>1976.8</v>
      </c>
      <c r="F194" s="1332">
        <v>2119.6</v>
      </c>
      <c r="G194" s="1332">
        <v>6717.8</v>
      </c>
      <c r="H194" s="1332">
        <v>33663.5</v>
      </c>
      <c r="I194" s="1332">
        <v>6281.4</v>
      </c>
      <c r="J194" s="1333">
        <f t="shared" si="2"/>
        <v>51941.200000000004</v>
      </c>
      <c r="K194" s="1332">
        <v>9.6</v>
      </c>
      <c r="L194" s="1332">
        <v>13.3</v>
      </c>
      <c r="M194" s="1334">
        <v>377.5</v>
      </c>
      <c r="N194" s="1332">
        <v>474.2</v>
      </c>
      <c r="O194" s="1332">
        <v>204</v>
      </c>
      <c r="P194" s="1332">
        <v>239.7</v>
      </c>
      <c r="Q194" s="1332">
        <v>48</v>
      </c>
      <c r="R194" s="1332">
        <v>6.3</v>
      </c>
      <c r="S194" s="1332">
        <v>58</v>
      </c>
      <c r="T194" s="1332">
        <v>2.4</v>
      </c>
      <c r="U194" s="1332">
        <v>14.3</v>
      </c>
      <c r="V194" s="1332">
        <v>0.3</v>
      </c>
      <c r="W194" s="1332">
        <v>0.2</v>
      </c>
      <c r="X194" s="1333">
        <f>SUM(K194:W194)</f>
        <v>1447.8</v>
      </c>
      <c r="Y194" s="1335">
        <f>SUM(J194+X194)</f>
        <v>53389.000000000007</v>
      </c>
      <c r="Z194" s="1280"/>
      <c r="AA194" s="1314"/>
      <c r="AB194" s="1311"/>
      <c r="AC194" s="1311"/>
    </row>
    <row r="195" spans="1:29" s="1338" customFormat="1" ht="24" customHeight="1" thickTop="1" x14ac:dyDescent="0.25">
      <c r="A195" s="3250" t="s">
        <v>173</v>
      </c>
      <c r="B195" s="3250"/>
      <c r="C195" s="3250"/>
      <c r="D195" s="3250"/>
      <c r="E195" s="3250"/>
      <c r="F195" s="3250"/>
      <c r="G195" s="3250"/>
      <c r="H195" s="3250"/>
      <c r="I195" s="3250"/>
      <c r="J195" s="3250"/>
      <c r="K195" s="1336"/>
      <c r="L195" s="1336"/>
      <c r="M195" s="1336"/>
      <c r="N195" s="1336"/>
      <c r="O195" s="1336"/>
      <c r="P195" s="1336"/>
      <c r="Q195" s="1336"/>
      <c r="R195" s="1336"/>
      <c r="S195" s="1336"/>
      <c r="T195" s="1336"/>
      <c r="U195" s="1336"/>
      <c r="V195" s="1336"/>
      <c r="W195" s="1336"/>
      <c r="X195" s="1337"/>
      <c r="Y195" s="1337"/>
      <c r="AA195" s="1339"/>
      <c r="AB195" s="1339"/>
      <c r="AC195" s="1339"/>
    </row>
    <row r="196" spans="1:29" s="1347" customFormat="1" ht="25.5" customHeight="1" x14ac:dyDescent="0.25">
      <c r="A196" s="3250" t="s">
        <v>989</v>
      </c>
      <c r="B196" s="3250"/>
      <c r="C196" s="3250"/>
      <c r="D196" s="3250"/>
      <c r="E196" s="3250"/>
      <c r="F196" s="3250"/>
      <c r="G196" s="3250"/>
      <c r="H196" s="3250"/>
      <c r="I196" s="3250"/>
      <c r="J196" s="3250"/>
      <c r="K196" s="1340"/>
      <c r="L196" s="1341"/>
      <c r="M196" s="1342"/>
      <c r="N196" s="1341"/>
      <c r="O196" s="1341"/>
      <c r="P196" s="1341"/>
      <c r="Q196" s="1340"/>
      <c r="R196" s="1341"/>
      <c r="S196" s="1343"/>
      <c r="T196" s="1344"/>
      <c r="U196" s="1342"/>
      <c r="V196" s="1342"/>
      <c r="W196" s="1341"/>
      <c r="X196" s="1345"/>
      <c r="Y196" s="1346"/>
      <c r="AA196" s="1348"/>
      <c r="AB196" s="1348"/>
      <c r="AC196" s="1348"/>
    </row>
    <row r="197" spans="1:29" ht="20.25" x14ac:dyDescent="0.25">
      <c r="A197" s="1272"/>
      <c r="B197" s="1272"/>
      <c r="C197" s="1272"/>
      <c r="D197" s="1272"/>
      <c r="E197" s="1272"/>
      <c r="F197" s="1349"/>
      <c r="G197" s="1272"/>
      <c r="H197" s="1272"/>
      <c r="I197" s="1272"/>
      <c r="J197" s="1350"/>
      <c r="K197" s="1272"/>
      <c r="L197" s="1272"/>
      <c r="M197" s="1351"/>
      <c r="N197" s="1272"/>
      <c r="O197" s="1350"/>
      <c r="P197" s="1352"/>
      <c r="Q197" s="1272"/>
      <c r="R197" s="1353"/>
      <c r="S197" s="1353"/>
      <c r="T197" s="1353"/>
      <c r="U197" s="1353"/>
      <c r="V197" s="1354"/>
      <c r="W197" s="1354"/>
      <c r="X197" s="1352"/>
      <c r="Y197" s="1352"/>
      <c r="Z197" s="1274"/>
      <c r="AA197" s="1355"/>
      <c r="AB197" s="1311"/>
      <c r="AC197" s="1311"/>
    </row>
    <row r="198" spans="1:29" ht="20.25" x14ac:dyDescent="0.25">
      <c r="A198" s="1272"/>
      <c r="B198" s="1272"/>
      <c r="C198" s="1272"/>
      <c r="D198" s="1353"/>
      <c r="E198" s="1353"/>
      <c r="F198" s="1353"/>
      <c r="G198" s="1353"/>
      <c r="H198" s="1353"/>
      <c r="I198" s="1353"/>
      <c r="J198" s="1354"/>
      <c r="K198" s="1272"/>
      <c r="L198" s="1272"/>
      <c r="M198" s="1272"/>
      <c r="N198" s="1272"/>
      <c r="O198" s="1354"/>
      <c r="P198" s="1272"/>
      <c r="Q198" s="1354"/>
      <c r="R198" s="1272"/>
      <c r="S198" s="1353"/>
      <c r="T198" s="1272"/>
      <c r="U198" s="1272"/>
      <c r="V198" s="1272"/>
      <c r="W198" s="1272"/>
      <c r="X198" s="1356"/>
      <c r="Y198" s="1272"/>
      <c r="Z198" s="1274"/>
      <c r="AA198" s="1355"/>
      <c r="AB198" s="1311"/>
      <c r="AC198" s="1311"/>
    </row>
    <row r="199" spans="1:29" ht="20.25" x14ac:dyDescent="0.25">
      <c r="A199" s="1272"/>
      <c r="B199" s="1272"/>
      <c r="C199" s="1272"/>
      <c r="D199" s="1272"/>
      <c r="E199" s="1272"/>
      <c r="F199" s="1272"/>
      <c r="G199" s="1272"/>
      <c r="H199" s="1272"/>
      <c r="I199" s="1272"/>
      <c r="J199" s="1350"/>
      <c r="K199" s="1350"/>
      <c r="L199" s="1350"/>
      <c r="M199" s="1350"/>
      <c r="N199" s="1350"/>
      <c r="O199" s="1350"/>
      <c r="P199" s="1350"/>
      <c r="Q199" s="1350"/>
      <c r="R199" s="1350"/>
      <c r="S199" s="1350"/>
      <c r="T199" s="1350"/>
      <c r="U199" s="1350"/>
      <c r="V199" s="1350"/>
      <c r="W199" s="1272"/>
      <c r="X199" s="1357"/>
      <c r="Y199" s="1272"/>
      <c r="Z199" s="1274"/>
      <c r="AA199" s="1355"/>
      <c r="AB199" s="1311"/>
      <c r="AC199" s="1311"/>
    </row>
    <row r="200" spans="1:29" x14ac:dyDescent="0.25">
      <c r="AA200" s="1311"/>
    </row>
    <row r="201" spans="1:29" x14ac:dyDescent="0.25">
      <c r="AA201" s="1311"/>
    </row>
    <row r="202" spans="1:29" x14ac:dyDescent="0.25">
      <c r="AA202" s="1311"/>
    </row>
    <row r="203" spans="1:29" x14ac:dyDescent="0.25">
      <c r="AA203" s="1311"/>
    </row>
    <row r="204" spans="1:29" x14ac:dyDescent="0.25">
      <c r="AA204" s="1311"/>
    </row>
    <row r="205" spans="1:29" x14ac:dyDescent="0.25">
      <c r="AA205" s="1311"/>
    </row>
    <row r="206" spans="1:29" x14ac:dyDescent="0.25">
      <c r="AA206" s="1311"/>
    </row>
    <row r="207" spans="1:29" x14ac:dyDescent="0.25">
      <c r="AA207" s="1311"/>
    </row>
    <row r="208" spans="1:29" x14ac:dyDescent="0.25">
      <c r="AA208" s="1311"/>
    </row>
    <row r="209" spans="27:27" x14ac:dyDescent="0.25">
      <c r="AA209" s="1311"/>
    </row>
    <row r="210" spans="27:27" x14ac:dyDescent="0.25">
      <c r="AA210" s="1311"/>
    </row>
    <row r="211" spans="27:27" x14ac:dyDescent="0.25">
      <c r="AA211" s="1311"/>
    </row>
    <row r="212" spans="27:27" x14ac:dyDescent="0.25">
      <c r="AA212" s="1311"/>
    </row>
    <row r="213" spans="27:27" x14ac:dyDescent="0.25">
      <c r="AA213" s="1311"/>
    </row>
    <row r="214" spans="27:27" x14ac:dyDescent="0.25">
      <c r="AA214" s="1311"/>
    </row>
    <row r="215" spans="27:27" x14ac:dyDescent="0.25">
      <c r="AA215" s="1311"/>
    </row>
    <row r="216" spans="27:27" x14ac:dyDescent="0.25">
      <c r="AA216" s="1311"/>
    </row>
    <row r="217" spans="27:27" x14ac:dyDescent="0.25">
      <c r="AA217" s="1311"/>
    </row>
    <row r="218" spans="27:27" x14ac:dyDescent="0.25">
      <c r="AA218" s="1311"/>
    </row>
    <row r="219" spans="27:27" x14ac:dyDescent="0.25">
      <c r="AA219" s="1311"/>
    </row>
    <row r="220" spans="27:27" x14ac:dyDescent="0.25">
      <c r="AA220" s="1311"/>
    </row>
    <row r="221" spans="27:27" x14ac:dyDescent="0.25">
      <c r="AA221" s="1311"/>
    </row>
    <row r="222" spans="27:27" x14ac:dyDescent="0.25">
      <c r="AA222" s="1311"/>
    </row>
    <row r="223" spans="27:27" x14ac:dyDescent="0.25">
      <c r="AA223" s="1311"/>
    </row>
    <row r="224" spans="27:27" x14ac:dyDescent="0.25">
      <c r="AA224" s="1311"/>
    </row>
    <row r="225" spans="27:27" x14ac:dyDescent="0.25">
      <c r="AA225" s="1311"/>
    </row>
    <row r="226" spans="27:27" x14ac:dyDescent="0.25">
      <c r="AA226" s="1311"/>
    </row>
    <row r="227" spans="27:27" x14ac:dyDescent="0.25">
      <c r="AA227" s="1311"/>
    </row>
    <row r="228" spans="27:27" x14ac:dyDescent="0.25">
      <c r="AA228" s="1311"/>
    </row>
    <row r="229" spans="27:27" x14ac:dyDescent="0.25">
      <c r="AA229" s="1311"/>
    </row>
    <row r="230" spans="27:27" x14ac:dyDescent="0.25">
      <c r="AA230" s="1311"/>
    </row>
    <row r="231" spans="27:27" x14ac:dyDescent="0.25">
      <c r="AA231" s="1311"/>
    </row>
    <row r="232" spans="27:27" x14ac:dyDescent="0.25">
      <c r="AA232" s="1311"/>
    </row>
    <row r="233" spans="27:27" x14ac:dyDescent="0.25">
      <c r="AA233" s="1311"/>
    </row>
    <row r="234" spans="27:27" x14ac:dyDescent="0.25">
      <c r="AA234" s="1311"/>
    </row>
    <row r="235" spans="27:27" x14ac:dyDescent="0.25">
      <c r="AA235" s="1311"/>
    </row>
    <row r="236" spans="27:27" x14ac:dyDescent="0.25">
      <c r="AA236" s="1311"/>
    </row>
    <row r="237" spans="27:27" x14ac:dyDescent="0.25">
      <c r="AA237" s="1311"/>
    </row>
    <row r="238" spans="27:27" x14ac:dyDescent="0.25">
      <c r="AA238" s="1311"/>
    </row>
    <row r="239" spans="27:27" x14ac:dyDescent="0.25">
      <c r="AA239" s="1311"/>
    </row>
    <row r="240" spans="27:27" x14ac:dyDescent="0.25">
      <c r="AA240" s="1311"/>
    </row>
    <row r="241" spans="27:27" x14ac:dyDescent="0.25">
      <c r="AA241" s="1311"/>
    </row>
    <row r="242" spans="27:27" x14ac:dyDescent="0.25">
      <c r="AA242" s="1311"/>
    </row>
    <row r="243" spans="27:27" x14ac:dyDescent="0.25">
      <c r="AA243" s="1311"/>
    </row>
    <row r="244" spans="27:27" x14ac:dyDescent="0.25">
      <c r="AA244" s="1311"/>
    </row>
    <row r="245" spans="27:27" x14ac:dyDescent="0.25">
      <c r="AA245" s="1311"/>
    </row>
    <row r="246" spans="27:27" x14ac:dyDescent="0.25">
      <c r="AA246" s="1311"/>
    </row>
    <row r="247" spans="27:27" x14ac:dyDescent="0.25">
      <c r="AA247" s="1311"/>
    </row>
    <row r="248" spans="27:27" x14ac:dyDescent="0.25">
      <c r="AA248" s="1311"/>
    </row>
    <row r="249" spans="27:27" x14ac:dyDescent="0.25">
      <c r="AA249" s="1311"/>
    </row>
    <row r="250" spans="27:27" x14ac:dyDescent="0.25">
      <c r="AA250" s="1311"/>
    </row>
    <row r="251" spans="27:27" x14ac:dyDescent="0.25">
      <c r="AA251" s="1311"/>
    </row>
    <row r="252" spans="27:27" x14ac:dyDescent="0.25">
      <c r="AA252" s="1311"/>
    </row>
    <row r="253" spans="27:27" x14ac:dyDescent="0.25">
      <c r="AA253" s="1311"/>
    </row>
    <row r="254" spans="27:27" x14ac:dyDescent="0.25">
      <c r="AA254" s="1311"/>
    </row>
    <row r="255" spans="27:27" x14ac:dyDescent="0.25">
      <c r="AA255" s="1311"/>
    </row>
    <row r="256" spans="27:27" x14ac:dyDescent="0.25">
      <c r="AA256" s="1311"/>
    </row>
    <row r="257" spans="27:27" x14ac:dyDescent="0.25">
      <c r="AA257" s="1311"/>
    </row>
    <row r="258" spans="27:27" x14ac:dyDescent="0.25">
      <c r="AA258" s="1311"/>
    </row>
    <row r="259" spans="27:27" x14ac:dyDescent="0.25">
      <c r="AA259" s="1311"/>
    </row>
    <row r="260" spans="27:27" x14ac:dyDescent="0.25">
      <c r="AA260" s="1311"/>
    </row>
    <row r="261" spans="27:27" x14ac:dyDescent="0.25">
      <c r="AA261" s="1311"/>
    </row>
    <row r="262" spans="27:27" x14ac:dyDescent="0.25">
      <c r="AA262" s="1311"/>
    </row>
    <row r="263" spans="27:27" x14ac:dyDescent="0.25">
      <c r="AA263" s="1311"/>
    </row>
    <row r="264" spans="27:27" x14ac:dyDescent="0.25">
      <c r="AA264" s="1311"/>
    </row>
    <row r="265" spans="27:27" x14ac:dyDescent="0.25">
      <c r="AA265" s="1311"/>
    </row>
    <row r="266" spans="27:27" x14ac:dyDescent="0.25">
      <c r="AA266" s="1311"/>
    </row>
    <row r="267" spans="27:27" x14ac:dyDescent="0.25">
      <c r="AA267" s="1311"/>
    </row>
    <row r="268" spans="27:27" x14ac:dyDescent="0.25">
      <c r="AA268" s="1311"/>
    </row>
    <row r="269" spans="27:27" x14ac:dyDescent="0.25">
      <c r="AA269" s="1311"/>
    </row>
    <row r="270" spans="27:27" x14ac:dyDescent="0.25">
      <c r="AA270" s="1311"/>
    </row>
    <row r="271" spans="27:27" x14ac:dyDescent="0.25">
      <c r="AA271" s="1311"/>
    </row>
    <row r="272" spans="27:27" x14ac:dyDescent="0.25">
      <c r="AA272" s="1311"/>
    </row>
    <row r="273" spans="27:27" x14ac:dyDescent="0.25">
      <c r="AA273" s="1311"/>
    </row>
    <row r="274" spans="27:27" x14ac:dyDescent="0.25">
      <c r="AA274" s="1311"/>
    </row>
    <row r="275" spans="27:27" x14ac:dyDescent="0.25">
      <c r="AA275" s="1311"/>
    </row>
    <row r="276" spans="27:27" x14ac:dyDescent="0.25">
      <c r="AA276" s="1311"/>
    </row>
    <row r="277" spans="27:27" x14ac:dyDescent="0.25">
      <c r="AA277" s="1311"/>
    </row>
    <row r="278" spans="27:27" x14ac:dyDescent="0.25">
      <c r="AA278" s="1311"/>
    </row>
    <row r="279" spans="27:27" x14ac:dyDescent="0.25">
      <c r="AA279" s="1311"/>
    </row>
    <row r="280" spans="27:27" x14ac:dyDescent="0.25">
      <c r="AA280" s="1311"/>
    </row>
    <row r="281" spans="27:27" x14ac:dyDescent="0.25">
      <c r="AA281" s="1311"/>
    </row>
    <row r="282" spans="27:27" x14ac:dyDescent="0.25">
      <c r="AA282" s="1311"/>
    </row>
    <row r="283" spans="27:27" x14ac:dyDescent="0.25">
      <c r="AA283" s="1311"/>
    </row>
    <row r="284" spans="27:27" x14ac:dyDescent="0.25">
      <c r="AA284" s="1311"/>
    </row>
    <row r="285" spans="27:27" x14ac:dyDescent="0.25">
      <c r="AA285" s="1311"/>
    </row>
    <row r="286" spans="27:27" x14ac:dyDescent="0.25">
      <c r="AA286" s="1311"/>
    </row>
    <row r="287" spans="27:27" x14ac:dyDescent="0.25">
      <c r="AA287" s="1311"/>
    </row>
    <row r="288" spans="27:27" x14ac:dyDescent="0.25">
      <c r="AA288" s="1311"/>
    </row>
    <row r="289" spans="27:27" x14ac:dyDescent="0.25">
      <c r="AA289" s="1311"/>
    </row>
    <row r="290" spans="27:27" x14ac:dyDescent="0.25">
      <c r="AA290" s="1311"/>
    </row>
    <row r="291" spans="27:27" x14ac:dyDescent="0.25">
      <c r="AA291" s="1311"/>
    </row>
    <row r="292" spans="27:27" x14ac:dyDescent="0.25">
      <c r="AA292" s="1311"/>
    </row>
    <row r="293" spans="27:27" x14ac:dyDescent="0.25">
      <c r="AA293" s="1311"/>
    </row>
    <row r="294" spans="27:27" x14ac:dyDescent="0.25">
      <c r="AA294" s="1311"/>
    </row>
    <row r="295" spans="27:27" x14ac:dyDescent="0.25">
      <c r="AA295" s="1311"/>
    </row>
    <row r="296" spans="27:27" x14ac:dyDescent="0.25">
      <c r="AA296" s="1311"/>
    </row>
    <row r="297" spans="27:27" x14ac:dyDescent="0.25">
      <c r="AA297" s="1311"/>
    </row>
    <row r="298" spans="27:27" x14ac:dyDescent="0.25">
      <c r="AA298" s="1311"/>
    </row>
    <row r="299" spans="27:27" x14ac:dyDescent="0.25">
      <c r="AA299" s="1311"/>
    </row>
    <row r="300" spans="27:27" x14ac:dyDescent="0.25">
      <c r="AA300" s="1311"/>
    </row>
    <row r="301" spans="27:27" x14ac:dyDescent="0.25">
      <c r="AA301" s="1311"/>
    </row>
    <row r="302" spans="27:27" x14ac:dyDescent="0.25">
      <c r="AA302" s="1311"/>
    </row>
    <row r="303" spans="27:27" x14ac:dyDescent="0.25">
      <c r="AA303" s="1311"/>
    </row>
    <row r="304" spans="27:27" x14ac:dyDescent="0.25">
      <c r="AA304" s="1311"/>
    </row>
    <row r="305" spans="27:27" x14ac:dyDescent="0.25">
      <c r="AA305" s="1311"/>
    </row>
    <row r="306" spans="27:27" x14ac:dyDescent="0.25">
      <c r="AA306" s="1311"/>
    </row>
    <row r="307" spans="27:27" x14ac:dyDescent="0.25">
      <c r="AA307" s="1311"/>
    </row>
    <row r="308" spans="27:27" x14ac:dyDescent="0.25">
      <c r="AA308" s="1311"/>
    </row>
    <row r="309" spans="27:27" x14ac:dyDescent="0.25">
      <c r="AA309" s="1311"/>
    </row>
    <row r="310" spans="27:27" x14ac:dyDescent="0.25">
      <c r="AA310" s="1311"/>
    </row>
    <row r="311" spans="27:27" x14ac:dyDescent="0.25">
      <c r="AA311" s="1311"/>
    </row>
    <row r="312" spans="27:27" x14ac:dyDescent="0.25">
      <c r="AA312" s="1311"/>
    </row>
    <row r="313" spans="27:27" x14ac:dyDescent="0.25">
      <c r="AA313" s="1311"/>
    </row>
    <row r="314" spans="27:27" x14ac:dyDescent="0.25">
      <c r="AA314" s="1311"/>
    </row>
    <row r="315" spans="27:27" x14ac:dyDescent="0.25">
      <c r="AA315" s="1311"/>
    </row>
    <row r="316" spans="27:27" x14ac:dyDescent="0.25">
      <c r="AA316" s="1311"/>
    </row>
    <row r="317" spans="27:27" x14ac:dyDescent="0.25">
      <c r="AA317" s="1311"/>
    </row>
    <row r="318" spans="27:27" x14ac:dyDescent="0.25">
      <c r="AA318" s="1311"/>
    </row>
    <row r="319" spans="27:27" x14ac:dyDescent="0.25">
      <c r="AA319" s="1311"/>
    </row>
    <row r="320" spans="27:27" x14ac:dyDescent="0.25">
      <c r="AA320" s="1311"/>
    </row>
    <row r="321" spans="27:27" x14ac:dyDescent="0.25">
      <c r="AA321" s="1311"/>
    </row>
    <row r="322" spans="27:27" x14ac:dyDescent="0.25">
      <c r="AA322" s="1311"/>
    </row>
    <row r="323" spans="27:27" x14ac:dyDescent="0.25">
      <c r="AA323" s="1311"/>
    </row>
    <row r="324" spans="27:27" x14ac:dyDescent="0.25">
      <c r="AA324" s="1311"/>
    </row>
    <row r="325" spans="27:27" x14ac:dyDescent="0.25">
      <c r="AA325" s="1311"/>
    </row>
    <row r="326" spans="27:27" x14ac:dyDescent="0.25">
      <c r="AA326" s="1311"/>
    </row>
    <row r="327" spans="27:27" x14ac:dyDescent="0.25">
      <c r="AA327" s="1311"/>
    </row>
    <row r="328" spans="27:27" x14ac:dyDescent="0.25">
      <c r="AA328" s="1311"/>
    </row>
    <row r="329" spans="27:27" x14ac:dyDescent="0.25">
      <c r="AA329" s="1311"/>
    </row>
    <row r="330" spans="27:27" x14ac:dyDescent="0.25">
      <c r="AA330" s="1311"/>
    </row>
    <row r="331" spans="27:27" x14ac:dyDescent="0.25">
      <c r="AA331" s="1311"/>
    </row>
    <row r="332" spans="27:27" x14ac:dyDescent="0.25">
      <c r="AA332" s="1311"/>
    </row>
    <row r="333" spans="27:27" x14ac:dyDescent="0.25">
      <c r="AA333" s="1311"/>
    </row>
    <row r="334" spans="27:27" x14ac:dyDescent="0.25">
      <c r="AA334" s="1311"/>
    </row>
    <row r="335" spans="27:27" x14ac:dyDescent="0.25">
      <c r="AA335" s="1311"/>
    </row>
    <row r="336" spans="27:27" x14ac:dyDescent="0.25">
      <c r="AA336" s="1311"/>
    </row>
    <row r="337" spans="27:27" x14ac:dyDescent="0.25">
      <c r="AA337" s="1311"/>
    </row>
    <row r="338" spans="27:27" x14ac:dyDescent="0.25">
      <c r="AA338" s="1311"/>
    </row>
    <row r="339" spans="27:27" x14ac:dyDescent="0.25">
      <c r="AA339" s="1311"/>
    </row>
    <row r="340" spans="27:27" x14ac:dyDescent="0.25">
      <c r="AA340" s="1311"/>
    </row>
    <row r="341" spans="27:27" x14ac:dyDescent="0.25">
      <c r="AA341" s="1311"/>
    </row>
    <row r="342" spans="27:27" x14ac:dyDescent="0.25">
      <c r="AA342" s="1311"/>
    </row>
    <row r="343" spans="27:27" x14ac:dyDescent="0.25">
      <c r="AA343" s="1311"/>
    </row>
    <row r="344" spans="27:27" x14ac:dyDescent="0.25">
      <c r="AA344" s="1311"/>
    </row>
    <row r="345" spans="27:27" x14ac:dyDescent="0.25">
      <c r="AA345" s="1311"/>
    </row>
    <row r="346" spans="27:27" x14ac:dyDescent="0.25">
      <c r="AA346" s="1311"/>
    </row>
    <row r="347" spans="27:27" x14ac:dyDescent="0.25">
      <c r="AA347" s="1311"/>
    </row>
    <row r="348" spans="27:27" x14ac:dyDescent="0.25">
      <c r="AA348" s="1311"/>
    </row>
    <row r="349" spans="27:27" x14ac:dyDescent="0.25">
      <c r="AA349" s="1311"/>
    </row>
    <row r="350" spans="27:27" x14ac:dyDescent="0.25">
      <c r="AA350" s="1311"/>
    </row>
    <row r="351" spans="27:27" x14ac:dyDescent="0.25">
      <c r="AA351" s="1311"/>
    </row>
    <row r="352" spans="27:27" x14ac:dyDescent="0.25">
      <c r="AA352" s="1311"/>
    </row>
    <row r="353" spans="27:27" x14ac:dyDescent="0.25">
      <c r="AA353" s="1311"/>
    </row>
    <row r="354" spans="27:27" x14ac:dyDescent="0.25">
      <c r="AA354" s="1311"/>
    </row>
    <row r="355" spans="27:27" x14ac:dyDescent="0.25">
      <c r="AA355" s="1311"/>
    </row>
    <row r="356" spans="27:27" x14ac:dyDescent="0.25">
      <c r="AA356" s="1311"/>
    </row>
    <row r="357" spans="27:27" x14ac:dyDescent="0.25">
      <c r="AA357" s="1311"/>
    </row>
    <row r="358" spans="27:27" x14ac:dyDescent="0.25">
      <c r="AA358" s="1311"/>
    </row>
    <row r="359" spans="27:27" x14ac:dyDescent="0.25">
      <c r="AA359" s="1311"/>
    </row>
    <row r="360" spans="27:27" x14ac:dyDescent="0.25">
      <c r="AA360" s="1311"/>
    </row>
    <row r="361" spans="27:27" x14ac:dyDescent="0.25">
      <c r="AA361" s="1311"/>
    </row>
    <row r="362" spans="27:27" x14ac:dyDescent="0.25">
      <c r="AA362" s="1311"/>
    </row>
    <row r="363" spans="27:27" x14ac:dyDescent="0.25">
      <c r="AA363" s="1311"/>
    </row>
    <row r="364" spans="27:27" x14ac:dyDescent="0.25">
      <c r="AA364" s="1311"/>
    </row>
    <row r="365" spans="27:27" x14ac:dyDescent="0.25">
      <c r="AA365" s="1311"/>
    </row>
    <row r="366" spans="27:27" x14ac:dyDescent="0.25">
      <c r="AA366" s="1311"/>
    </row>
    <row r="367" spans="27:27" x14ac:dyDescent="0.25">
      <c r="AA367" s="1311"/>
    </row>
    <row r="368" spans="27:27" x14ac:dyDescent="0.25">
      <c r="AA368" s="1311"/>
    </row>
    <row r="369" spans="27:27" x14ac:dyDescent="0.25">
      <c r="AA369" s="1311"/>
    </row>
    <row r="370" spans="27:27" x14ac:dyDescent="0.25">
      <c r="AA370" s="1311"/>
    </row>
    <row r="371" spans="27:27" x14ac:dyDescent="0.25">
      <c r="AA371" s="1311"/>
    </row>
    <row r="372" spans="27:27" x14ac:dyDescent="0.25">
      <c r="AA372" s="1311"/>
    </row>
    <row r="373" spans="27:27" x14ac:dyDescent="0.25">
      <c r="AA373" s="1311"/>
    </row>
    <row r="374" spans="27:27" x14ac:dyDescent="0.25">
      <c r="AA374" s="1311"/>
    </row>
    <row r="375" spans="27:27" x14ac:dyDescent="0.25">
      <c r="AA375" s="1311"/>
    </row>
    <row r="376" spans="27:27" x14ac:dyDescent="0.25">
      <c r="AA376" s="1311"/>
    </row>
    <row r="377" spans="27:27" x14ac:dyDescent="0.25">
      <c r="AA377" s="1311"/>
    </row>
    <row r="378" spans="27:27" x14ac:dyDescent="0.25">
      <c r="AA378" s="1311"/>
    </row>
    <row r="379" spans="27:27" x14ac:dyDescent="0.25">
      <c r="AA379" s="1311"/>
    </row>
    <row r="380" spans="27:27" x14ac:dyDescent="0.25">
      <c r="AA380" s="1311"/>
    </row>
    <row r="381" spans="27:27" x14ac:dyDescent="0.25">
      <c r="AA381" s="1311"/>
    </row>
    <row r="382" spans="27:27" x14ac:dyDescent="0.25">
      <c r="AA382" s="1311"/>
    </row>
    <row r="383" spans="27:27" x14ac:dyDescent="0.25">
      <c r="AA383" s="1311"/>
    </row>
    <row r="384" spans="27:27" x14ac:dyDescent="0.25">
      <c r="AA384" s="1311"/>
    </row>
    <row r="385" spans="27:27" x14ac:dyDescent="0.25">
      <c r="AA385" s="1311"/>
    </row>
    <row r="386" spans="27:27" x14ac:dyDescent="0.25">
      <c r="AA386" s="1311"/>
    </row>
    <row r="387" spans="27:27" x14ac:dyDescent="0.25">
      <c r="AA387" s="1311"/>
    </row>
    <row r="388" spans="27:27" x14ac:dyDescent="0.25">
      <c r="AA388" s="1311"/>
    </row>
    <row r="389" spans="27:27" x14ac:dyDescent="0.25">
      <c r="AA389" s="1311"/>
    </row>
    <row r="390" spans="27:27" x14ac:dyDescent="0.25">
      <c r="AA390" s="1311"/>
    </row>
    <row r="391" spans="27:27" x14ac:dyDescent="0.25">
      <c r="AA391" s="1311"/>
    </row>
    <row r="392" spans="27:27" x14ac:dyDescent="0.25">
      <c r="AA392" s="1311"/>
    </row>
    <row r="393" spans="27:27" x14ac:dyDescent="0.25">
      <c r="AA393" s="1311"/>
    </row>
    <row r="394" spans="27:27" x14ac:dyDescent="0.25">
      <c r="AA394" s="1311"/>
    </row>
    <row r="395" spans="27:27" x14ac:dyDescent="0.25">
      <c r="AA395" s="1311"/>
    </row>
    <row r="396" spans="27:27" x14ac:dyDescent="0.25">
      <c r="AA396" s="1311"/>
    </row>
    <row r="397" spans="27:27" x14ac:dyDescent="0.25">
      <c r="AA397" s="1311"/>
    </row>
    <row r="398" spans="27:27" x14ac:dyDescent="0.25">
      <c r="AA398" s="1311"/>
    </row>
    <row r="399" spans="27:27" x14ac:dyDescent="0.25">
      <c r="AA399" s="1311"/>
    </row>
    <row r="400" spans="27:27" x14ac:dyDescent="0.25">
      <c r="AA400" s="1311"/>
    </row>
    <row r="401" spans="27:27" x14ac:dyDescent="0.25">
      <c r="AA401" s="1311"/>
    </row>
    <row r="402" spans="27:27" x14ac:dyDescent="0.25">
      <c r="AA402" s="1311"/>
    </row>
    <row r="403" spans="27:27" x14ac:dyDescent="0.25">
      <c r="AA403" s="1311"/>
    </row>
    <row r="404" spans="27:27" x14ac:dyDescent="0.25">
      <c r="AA404" s="1311"/>
    </row>
    <row r="405" spans="27:27" x14ac:dyDescent="0.25">
      <c r="AA405" s="1311"/>
    </row>
    <row r="406" spans="27:27" x14ac:dyDescent="0.25">
      <c r="AA406" s="1311"/>
    </row>
    <row r="407" spans="27:27" x14ac:dyDescent="0.25">
      <c r="AA407" s="1311"/>
    </row>
    <row r="408" spans="27:27" x14ac:dyDescent="0.25">
      <c r="AA408" s="1311"/>
    </row>
    <row r="409" spans="27:27" x14ac:dyDescent="0.25">
      <c r="AA409" s="1311"/>
    </row>
    <row r="410" spans="27:27" x14ac:dyDescent="0.25">
      <c r="AA410" s="1311"/>
    </row>
    <row r="411" spans="27:27" x14ac:dyDescent="0.25">
      <c r="AA411" s="1311"/>
    </row>
    <row r="412" spans="27:27" x14ac:dyDescent="0.25">
      <c r="AA412" s="1311"/>
    </row>
    <row r="413" spans="27:27" x14ac:dyDescent="0.25">
      <c r="AA413" s="1311"/>
    </row>
    <row r="414" spans="27:27" x14ac:dyDescent="0.25">
      <c r="AA414" s="1311"/>
    </row>
    <row r="415" spans="27:27" x14ac:dyDescent="0.25">
      <c r="AA415" s="1311"/>
    </row>
    <row r="416" spans="27:27" x14ac:dyDescent="0.25">
      <c r="AA416" s="1311"/>
    </row>
    <row r="417" spans="27:27" x14ac:dyDescent="0.25">
      <c r="AA417" s="1311"/>
    </row>
    <row r="418" spans="27:27" x14ac:dyDescent="0.25">
      <c r="AA418" s="1311"/>
    </row>
    <row r="419" spans="27:27" x14ac:dyDescent="0.25">
      <c r="AA419" s="1311"/>
    </row>
    <row r="420" spans="27:27" x14ac:dyDescent="0.25">
      <c r="AA420" s="1311"/>
    </row>
    <row r="421" spans="27:27" x14ac:dyDescent="0.25">
      <c r="AA421" s="1311"/>
    </row>
    <row r="422" spans="27:27" x14ac:dyDescent="0.25">
      <c r="AA422" s="1311"/>
    </row>
    <row r="423" spans="27:27" x14ac:dyDescent="0.25">
      <c r="AA423" s="1311"/>
    </row>
    <row r="424" spans="27:27" x14ac:dyDescent="0.25">
      <c r="AA424" s="1311"/>
    </row>
    <row r="425" spans="27:27" x14ac:dyDescent="0.25">
      <c r="AA425" s="1311"/>
    </row>
    <row r="426" spans="27:27" x14ac:dyDescent="0.25">
      <c r="AA426" s="1311"/>
    </row>
    <row r="427" spans="27:27" x14ac:dyDescent="0.25">
      <c r="AA427" s="1311"/>
    </row>
    <row r="428" spans="27:27" x14ac:dyDescent="0.25">
      <c r="AA428" s="1311"/>
    </row>
    <row r="429" spans="27:27" x14ac:dyDescent="0.25">
      <c r="AA429" s="1311"/>
    </row>
    <row r="430" spans="27:27" x14ac:dyDescent="0.25">
      <c r="AA430" s="1311"/>
    </row>
    <row r="431" spans="27:27" x14ac:dyDescent="0.25">
      <c r="AA431" s="1311"/>
    </row>
    <row r="432" spans="27:27" x14ac:dyDescent="0.25">
      <c r="AA432" s="1311"/>
    </row>
    <row r="433" spans="27:27" x14ac:dyDescent="0.25">
      <c r="AA433" s="1311"/>
    </row>
    <row r="434" spans="27:27" x14ac:dyDescent="0.25">
      <c r="AA434" s="1311"/>
    </row>
    <row r="435" spans="27:27" x14ac:dyDescent="0.25">
      <c r="AA435" s="1311"/>
    </row>
    <row r="436" spans="27:27" x14ac:dyDescent="0.25">
      <c r="AA436" s="1311"/>
    </row>
    <row r="437" spans="27:27" x14ac:dyDescent="0.25">
      <c r="AA437" s="1311"/>
    </row>
    <row r="438" spans="27:27" x14ac:dyDescent="0.25">
      <c r="AA438" s="1311"/>
    </row>
    <row r="439" spans="27:27" x14ac:dyDescent="0.25">
      <c r="AA439" s="1311"/>
    </row>
    <row r="440" spans="27:27" x14ac:dyDescent="0.25">
      <c r="AA440" s="1311"/>
    </row>
    <row r="441" spans="27:27" x14ac:dyDescent="0.25">
      <c r="AA441" s="1311"/>
    </row>
    <row r="442" spans="27:27" x14ac:dyDescent="0.25">
      <c r="AA442" s="1311"/>
    </row>
    <row r="443" spans="27:27" x14ac:dyDescent="0.25">
      <c r="AA443" s="1311"/>
    </row>
    <row r="444" spans="27:27" x14ac:dyDescent="0.25">
      <c r="AA444" s="1311"/>
    </row>
    <row r="445" spans="27:27" x14ac:dyDescent="0.25">
      <c r="AA445" s="1311"/>
    </row>
    <row r="446" spans="27:27" x14ac:dyDescent="0.25">
      <c r="AA446" s="1311"/>
    </row>
    <row r="447" spans="27:27" x14ac:dyDescent="0.25">
      <c r="AA447" s="1311"/>
    </row>
    <row r="448" spans="27:27" x14ac:dyDescent="0.25">
      <c r="AA448" s="1311"/>
    </row>
    <row r="449" spans="27:27" x14ac:dyDescent="0.25">
      <c r="AA449" s="1311"/>
    </row>
    <row r="450" spans="27:27" x14ac:dyDescent="0.25">
      <c r="AA450" s="1311"/>
    </row>
    <row r="451" spans="27:27" x14ac:dyDescent="0.25">
      <c r="AA451" s="1311"/>
    </row>
    <row r="452" spans="27:27" x14ac:dyDescent="0.25">
      <c r="AA452" s="1311"/>
    </row>
    <row r="453" spans="27:27" x14ac:dyDescent="0.25">
      <c r="AA453" s="1311"/>
    </row>
    <row r="454" spans="27:27" x14ac:dyDescent="0.25">
      <c r="AA454" s="1311"/>
    </row>
    <row r="455" spans="27:27" x14ac:dyDescent="0.25">
      <c r="AA455" s="1311"/>
    </row>
    <row r="456" spans="27:27" x14ac:dyDescent="0.25">
      <c r="AA456" s="1311"/>
    </row>
    <row r="457" spans="27:27" x14ac:dyDescent="0.25">
      <c r="AA457" s="1311"/>
    </row>
    <row r="458" spans="27:27" x14ac:dyDescent="0.25">
      <c r="AA458" s="1311"/>
    </row>
    <row r="459" spans="27:27" x14ac:dyDescent="0.25">
      <c r="AA459" s="1311"/>
    </row>
    <row r="460" spans="27:27" x14ac:dyDescent="0.25">
      <c r="AA460" s="1311"/>
    </row>
    <row r="461" spans="27:27" x14ac:dyDescent="0.25">
      <c r="AA461" s="1311"/>
    </row>
    <row r="462" spans="27:27" x14ac:dyDescent="0.25">
      <c r="AA462" s="1311"/>
    </row>
    <row r="463" spans="27:27" x14ac:dyDescent="0.25">
      <c r="AA463" s="1311"/>
    </row>
    <row r="464" spans="27:27" x14ac:dyDescent="0.25">
      <c r="AA464" s="1311"/>
    </row>
    <row r="465" spans="27:27" x14ac:dyDescent="0.25">
      <c r="AA465" s="1311"/>
    </row>
    <row r="466" spans="27:27" x14ac:dyDescent="0.25">
      <c r="AA466" s="1311"/>
    </row>
    <row r="467" spans="27:27" x14ac:dyDescent="0.25">
      <c r="AA467" s="1311"/>
    </row>
    <row r="468" spans="27:27" x14ac:dyDescent="0.25">
      <c r="AA468" s="1311"/>
    </row>
    <row r="469" spans="27:27" x14ac:dyDescent="0.25">
      <c r="AA469" s="1311"/>
    </row>
    <row r="470" spans="27:27" x14ac:dyDescent="0.25">
      <c r="AA470" s="1311"/>
    </row>
    <row r="471" spans="27:27" x14ac:dyDescent="0.25">
      <c r="AA471" s="1311"/>
    </row>
    <row r="472" spans="27:27" x14ac:dyDescent="0.25">
      <c r="AA472" s="1311"/>
    </row>
    <row r="473" spans="27:27" x14ac:dyDescent="0.25">
      <c r="AA473" s="1311"/>
    </row>
    <row r="474" spans="27:27" x14ac:dyDescent="0.25">
      <c r="AA474" s="1311"/>
    </row>
    <row r="475" spans="27:27" x14ac:dyDescent="0.25">
      <c r="AA475" s="1311"/>
    </row>
    <row r="476" spans="27:27" x14ac:dyDescent="0.25">
      <c r="AA476" s="1311"/>
    </row>
    <row r="477" spans="27:27" x14ac:dyDescent="0.25">
      <c r="AA477" s="1311"/>
    </row>
    <row r="478" spans="27:27" x14ac:dyDescent="0.25">
      <c r="AA478" s="1311"/>
    </row>
    <row r="479" spans="27:27" x14ac:dyDescent="0.25">
      <c r="AA479" s="1311"/>
    </row>
    <row r="480" spans="27:27" x14ac:dyDescent="0.25">
      <c r="AA480" s="1311"/>
    </row>
    <row r="481" spans="27:27" x14ac:dyDescent="0.25">
      <c r="AA481" s="1311"/>
    </row>
    <row r="482" spans="27:27" x14ac:dyDescent="0.25">
      <c r="AA482" s="1311"/>
    </row>
    <row r="483" spans="27:27" x14ac:dyDescent="0.25">
      <c r="AA483" s="1311"/>
    </row>
    <row r="484" spans="27:27" x14ac:dyDescent="0.25">
      <c r="AA484" s="1311"/>
    </row>
    <row r="485" spans="27:27" x14ac:dyDescent="0.25">
      <c r="AA485" s="1311"/>
    </row>
    <row r="486" spans="27:27" x14ac:dyDescent="0.25">
      <c r="AA486" s="1311"/>
    </row>
    <row r="487" spans="27:27" x14ac:dyDescent="0.25">
      <c r="AA487" s="1311"/>
    </row>
    <row r="488" spans="27:27" x14ac:dyDescent="0.25">
      <c r="AA488" s="1311"/>
    </row>
    <row r="489" spans="27:27" x14ac:dyDescent="0.25">
      <c r="AA489" s="1311"/>
    </row>
    <row r="490" spans="27:27" x14ac:dyDescent="0.25">
      <c r="AA490" s="1311"/>
    </row>
    <row r="491" spans="27:27" x14ac:dyDescent="0.25">
      <c r="AA491" s="1311"/>
    </row>
    <row r="492" spans="27:27" x14ac:dyDescent="0.25">
      <c r="AA492" s="1311"/>
    </row>
    <row r="493" spans="27:27" x14ac:dyDescent="0.25">
      <c r="AA493" s="1311"/>
    </row>
    <row r="494" spans="27:27" x14ac:dyDescent="0.25">
      <c r="AA494" s="1311"/>
    </row>
    <row r="495" spans="27:27" x14ac:dyDescent="0.25">
      <c r="AA495" s="1311"/>
    </row>
    <row r="496" spans="27:27" x14ac:dyDescent="0.25">
      <c r="AA496" s="1311"/>
    </row>
    <row r="497" spans="27:27" x14ac:dyDescent="0.25">
      <c r="AA497" s="1311"/>
    </row>
    <row r="498" spans="27:27" x14ac:dyDescent="0.25">
      <c r="AA498" s="1311"/>
    </row>
    <row r="499" spans="27:27" x14ac:dyDescent="0.25">
      <c r="AA499" s="1311"/>
    </row>
    <row r="500" spans="27:27" x14ac:dyDescent="0.25">
      <c r="AA500" s="1311"/>
    </row>
    <row r="501" spans="27:27" x14ac:dyDescent="0.25">
      <c r="AA501" s="1311"/>
    </row>
    <row r="502" spans="27:27" x14ac:dyDescent="0.25">
      <c r="AA502" s="1311"/>
    </row>
    <row r="503" spans="27:27" x14ac:dyDescent="0.25">
      <c r="AA503" s="1311"/>
    </row>
    <row r="504" spans="27:27" x14ac:dyDescent="0.25">
      <c r="AA504" s="1311"/>
    </row>
    <row r="505" spans="27:27" x14ac:dyDescent="0.25">
      <c r="AA505" s="1311"/>
    </row>
    <row r="506" spans="27:27" x14ac:dyDescent="0.25">
      <c r="AA506" s="1311"/>
    </row>
    <row r="507" spans="27:27" x14ac:dyDescent="0.25">
      <c r="AA507" s="1311"/>
    </row>
    <row r="508" spans="27:27" x14ac:dyDescent="0.25">
      <c r="AA508" s="1311"/>
    </row>
    <row r="509" spans="27:27" x14ac:dyDescent="0.25">
      <c r="AA509" s="1311"/>
    </row>
    <row r="510" spans="27:27" x14ac:dyDescent="0.25">
      <c r="AA510" s="1311"/>
    </row>
    <row r="511" spans="27:27" x14ac:dyDescent="0.25">
      <c r="AA511" s="1311"/>
    </row>
    <row r="512" spans="27:27" x14ac:dyDescent="0.25">
      <c r="AA512" s="1311"/>
    </row>
    <row r="513" spans="27:27" x14ac:dyDescent="0.25">
      <c r="AA513" s="1311"/>
    </row>
    <row r="514" spans="27:27" x14ac:dyDescent="0.25">
      <c r="AA514" s="1311"/>
    </row>
    <row r="515" spans="27:27" x14ac:dyDescent="0.25">
      <c r="AA515" s="1311"/>
    </row>
    <row r="516" spans="27:27" x14ac:dyDescent="0.25">
      <c r="AA516" s="1311"/>
    </row>
    <row r="517" spans="27:27" x14ac:dyDescent="0.25">
      <c r="AA517" s="1311"/>
    </row>
    <row r="518" spans="27:27" x14ac:dyDescent="0.25">
      <c r="AA518" s="1311"/>
    </row>
    <row r="519" spans="27:27" x14ac:dyDescent="0.25">
      <c r="AA519" s="1311"/>
    </row>
    <row r="520" spans="27:27" x14ac:dyDescent="0.25">
      <c r="AA520" s="1311"/>
    </row>
    <row r="521" spans="27:27" x14ac:dyDescent="0.25">
      <c r="AA521" s="1311"/>
    </row>
    <row r="522" spans="27:27" x14ac:dyDescent="0.25">
      <c r="AA522" s="1311"/>
    </row>
    <row r="523" spans="27:27" x14ac:dyDescent="0.25">
      <c r="AA523" s="1311"/>
    </row>
    <row r="524" spans="27:27" x14ac:dyDescent="0.25">
      <c r="AA524" s="1311"/>
    </row>
    <row r="525" spans="27:27" x14ac:dyDescent="0.25">
      <c r="AA525" s="1311"/>
    </row>
    <row r="526" spans="27:27" x14ac:dyDescent="0.25">
      <c r="AA526" s="1311"/>
    </row>
    <row r="527" spans="27:27" x14ac:dyDescent="0.25">
      <c r="AA527" s="1311"/>
    </row>
    <row r="528" spans="27:27" x14ac:dyDescent="0.25">
      <c r="AA528" s="1311"/>
    </row>
    <row r="529" spans="27:27" x14ac:dyDescent="0.25">
      <c r="AA529" s="1311"/>
    </row>
    <row r="530" spans="27:27" x14ac:dyDescent="0.25">
      <c r="AA530" s="1311"/>
    </row>
    <row r="531" spans="27:27" x14ac:dyDescent="0.25">
      <c r="AA531" s="1311"/>
    </row>
    <row r="532" spans="27:27" x14ac:dyDescent="0.25">
      <c r="AA532" s="1311"/>
    </row>
    <row r="533" spans="27:27" x14ac:dyDescent="0.25">
      <c r="AA533" s="1311"/>
    </row>
    <row r="534" spans="27:27" x14ac:dyDescent="0.25">
      <c r="AA534" s="1311"/>
    </row>
    <row r="535" spans="27:27" x14ac:dyDescent="0.25">
      <c r="AA535" s="1311"/>
    </row>
    <row r="536" spans="27:27" x14ac:dyDescent="0.25">
      <c r="AA536" s="1311"/>
    </row>
    <row r="537" spans="27:27" x14ac:dyDescent="0.25">
      <c r="AA537" s="1311"/>
    </row>
    <row r="538" spans="27:27" x14ac:dyDescent="0.25">
      <c r="AA538" s="1311"/>
    </row>
    <row r="539" spans="27:27" x14ac:dyDescent="0.25">
      <c r="AA539" s="1311"/>
    </row>
    <row r="540" spans="27:27" x14ac:dyDescent="0.25">
      <c r="AA540" s="1311"/>
    </row>
    <row r="541" spans="27:27" x14ac:dyDescent="0.25">
      <c r="AA541" s="1311"/>
    </row>
    <row r="542" spans="27:27" x14ac:dyDescent="0.25">
      <c r="AA542" s="1311"/>
    </row>
    <row r="543" spans="27:27" x14ac:dyDescent="0.25">
      <c r="AA543" s="1311"/>
    </row>
    <row r="544" spans="27:27" x14ac:dyDescent="0.25">
      <c r="AA544" s="1311"/>
    </row>
    <row r="545" spans="27:27" x14ac:dyDescent="0.25">
      <c r="AA545" s="1311"/>
    </row>
    <row r="546" spans="27:27" x14ac:dyDescent="0.25">
      <c r="AA546" s="1311"/>
    </row>
    <row r="547" spans="27:27" x14ac:dyDescent="0.25">
      <c r="AA547" s="1311"/>
    </row>
    <row r="548" spans="27:27" x14ac:dyDescent="0.25">
      <c r="AA548" s="1311"/>
    </row>
    <row r="549" spans="27:27" x14ac:dyDescent="0.25">
      <c r="AA549" s="1311"/>
    </row>
    <row r="550" spans="27:27" x14ac:dyDescent="0.25">
      <c r="AA550" s="1311"/>
    </row>
    <row r="551" spans="27:27" x14ac:dyDescent="0.25">
      <c r="AA551" s="1311"/>
    </row>
    <row r="552" spans="27:27" x14ac:dyDescent="0.25">
      <c r="AA552" s="1311"/>
    </row>
    <row r="553" spans="27:27" x14ac:dyDescent="0.25">
      <c r="AA553" s="1311"/>
    </row>
    <row r="554" spans="27:27" x14ac:dyDescent="0.25">
      <c r="AA554" s="1311"/>
    </row>
    <row r="555" spans="27:27" x14ac:dyDescent="0.25">
      <c r="AA555" s="1311"/>
    </row>
    <row r="556" spans="27:27" x14ac:dyDescent="0.25">
      <c r="AA556" s="1311"/>
    </row>
    <row r="557" spans="27:27" x14ac:dyDescent="0.25">
      <c r="AA557" s="1311"/>
    </row>
    <row r="558" spans="27:27" x14ac:dyDescent="0.25">
      <c r="AA558" s="1311"/>
    </row>
    <row r="559" spans="27:27" x14ac:dyDescent="0.25">
      <c r="AA559" s="1311"/>
    </row>
    <row r="560" spans="27:27" x14ac:dyDescent="0.25">
      <c r="AA560" s="1311"/>
    </row>
    <row r="561" spans="27:27" x14ac:dyDescent="0.25">
      <c r="AA561" s="1311"/>
    </row>
    <row r="562" spans="27:27" x14ac:dyDescent="0.25">
      <c r="AA562" s="1311"/>
    </row>
    <row r="563" spans="27:27" x14ac:dyDescent="0.25">
      <c r="AA563" s="1311"/>
    </row>
    <row r="564" spans="27:27" x14ac:dyDescent="0.25">
      <c r="AA564" s="1311"/>
    </row>
    <row r="565" spans="27:27" x14ac:dyDescent="0.25">
      <c r="AA565" s="1311"/>
    </row>
    <row r="566" spans="27:27" x14ac:dyDescent="0.25">
      <c r="AA566" s="1311"/>
    </row>
    <row r="567" spans="27:27" x14ac:dyDescent="0.25">
      <c r="AA567" s="1311"/>
    </row>
    <row r="568" spans="27:27" x14ac:dyDescent="0.25">
      <c r="AA568" s="1311"/>
    </row>
    <row r="569" spans="27:27" x14ac:dyDescent="0.25">
      <c r="AA569" s="1311"/>
    </row>
    <row r="570" spans="27:27" x14ac:dyDescent="0.25">
      <c r="AA570" s="1311"/>
    </row>
    <row r="571" spans="27:27" x14ac:dyDescent="0.25">
      <c r="AA571" s="1311"/>
    </row>
    <row r="572" spans="27:27" x14ac:dyDescent="0.25">
      <c r="AA572" s="1311"/>
    </row>
    <row r="573" spans="27:27" x14ac:dyDescent="0.25">
      <c r="AA573" s="1311"/>
    </row>
    <row r="574" spans="27:27" x14ac:dyDescent="0.25">
      <c r="AA574" s="1311"/>
    </row>
    <row r="575" spans="27:27" x14ac:dyDescent="0.25">
      <c r="AA575" s="1311"/>
    </row>
    <row r="576" spans="27:27" x14ac:dyDescent="0.25">
      <c r="AA576" s="1311"/>
    </row>
    <row r="577" spans="27:27" x14ac:dyDescent="0.25">
      <c r="AA577" s="1311"/>
    </row>
    <row r="578" spans="27:27" x14ac:dyDescent="0.25">
      <c r="AA578" s="1311"/>
    </row>
    <row r="579" spans="27:27" x14ac:dyDescent="0.25">
      <c r="AA579" s="1311"/>
    </row>
    <row r="580" spans="27:27" x14ac:dyDescent="0.25">
      <c r="AA580" s="1311"/>
    </row>
    <row r="581" spans="27:27" x14ac:dyDescent="0.25">
      <c r="AA581" s="1311"/>
    </row>
    <row r="582" spans="27:27" x14ac:dyDescent="0.25">
      <c r="AA582" s="1311"/>
    </row>
    <row r="583" spans="27:27" x14ac:dyDescent="0.25">
      <c r="AA583" s="1311"/>
    </row>
    <row r="584" spans="27:27" x14ac:dyDescent="0.25">
      <c r="AA584" s="1311"/>
    </row>
    <row r="585" spans="27:27" x14ac:dyDescent="0.25">
      <c r="AA585" s="1311"/>
    </row>
    <row r="586" spans="27:27" x14ac:dyDescent="0.25">
      <c r="AA586" s="1311"/>
    </row>
    <row r="587" spans="27:27" x14ac:dyDescent="0.25">
      <c r="AA587" s="1311"/>
    </row>
    <row r="588" spans="27:27" x14ac:dyDescent="0.25">
      <c r="AA588" s="1311"/>
    </row>
    <row r="589" spans="27:27" x14ac:dyDescent="0.25">
      <c r="AA589" s="1311"/>
    </row>
    <row r="590" spans="27:27" x14ac:dyDescent="0.25">
      <c r="AA590" s="1311"/>
    </row>
    <row r="591" spans="27:27" x14ac:dyDescent="0.25">
      <c r="AA591" s="1311"/>
    </row>
    <row r="592" spans="27:27" x14ac:dyDescent="0.25">
      <c r="AA592" s="1311"/>
    </row>
    <row r="593" spans="27:27" x14ac:dyDescent="0.25">
      <c r="AA593" s="1311"/>
    </row>
    <row r="594" spans="27:27" x14ac:dyDescent="0.25">
      <c r="AA594" s="1311"/>
    </row>
    <row r="595" spans="27:27" x14ac:dyDescent="0.25">
      <c r="AA595" s="1311"/>
    </row>
    <row r="596" spans="27:27" x14ac:dyDescent="0.25">
      <c r="AA596" s="1311"/>
    </row>
    <row r="597" spans="27:27" x14ac:dyDescent="0.25">
      <c r="AA597" s="1311"/>
    </row>
    <row r="598" spans="27:27" x14ac:dyDescent="0.25">
      <c r="AA598" s="1311"/>
    </row>
    <row r="599" spans="27:27" x14ac:dyDescent="0.25">
      <c r="AA599" s="1311"/>
    </row>
    <row r="600" spans="27:27" x14ac:dyDescent="0.25">
      <c r="AA600" s="1311"/>
    </row>
    <row r="601" spans="27:27" x14ac:dyDescent="0.25">
      <c r="AA601" s="1311"/>
    </row>
    <row r="602" spans="27:27" x14ac:dyDescent="0.25">
      <c r="AA602" s="1311"/>
    </row>
    <row r="603" spans="27:27" x14ac:dyDescent="0.25">
      <c r="AA603" s="1311"/>
    </row>
    <row r="604" spans="27:27" x14ac:dyDescent="0.25">
      <c r="AA604" s="1311"/>
    </row>
    <row r="605" spans="27:27" x14ac:dyDescent="0.25">
      <c r="AA605" s="1311"/>
    </row>
    <row r="606" spans="27:27" x14ac:dyDescent="0.25">
      <c r="AA606" s="1311"/>
    </row>
    <row r="607" spans="27:27" x14ac:dyDescent="0.25">
      <c r="AA607" s="1311"/>
    </row>
    <row r="608" spans="27:27" x14ac:dyDescent="0.25">
      <c r="AA608" s="1311"/>
    </row>
    <row r="609" spans="27:27" x14ac:dyDescent="0.25">
      <c r="AA609" s="1311"/>
    </row>
    <row r="610" spans="27:27" x14ac:dyDescent="0.25">
      <c r="AA610" s="1311"/>
    </row>
    <row r="611" spans="27:27" x14ac:dyDescent="0.25">
      <c r="AA611" s="1311"/>
    </row>
    <row r="612" spans="27:27" x14ac:dyDescent="0.25">
      <c r="AA612" s="1311"/>
    </row>
    <row r="613" spans="27:27" x14ac:dyDescent="0.25">
      <c r="AA613" s="1311"/>
    </row>
    <row r="614" spans="27:27" x14ac:dyDescent="0.25">
      <c r="AA614" s="1311"/>
    </row>
    <row r="615" spans="27:27" x14ac:dyDescent="0.25">
      <c r="AA615" s="1311"/>
    </row>
    <row r="616" spans="27:27" x14ac:dyDescent="0.25">
      <c r="AA616" s="1311"/>
    </row>
    <row r="617" spans="27:27" x14ac:dyDescent="0.25">
      <c r="AA617" s="1311"/>
    </row>
    <row r="618" spans="27:27" x14ac:dyDescent="0.25">
      <c r="AA618" s="1311"/>
    </row>
    <row r="619" spans="27:27" x14ac:dyDescent="0.25">
      <c r="AA619" s="1311"/>
    </row>
    <row r="620" spans="27:27" x14ac:dyDescent="0.25">
      <c r="AA620" s="1311"/>
    </row>
    <row r="621" spans="27:27" x14ac:dyDescent="0.25">
      <c r="AA621" s="1311"/>
    </row>
    <row r="622" spans="27:27" x14ac:dyDescent="0.25">
      <c r="AA622" s="1311"/>
    </row>
    <row r="623" spans="27:27" x14ac:dyDescent="0.25">
      <c r="AA623" s="1311"/>
    </row>
    <row r="624" spans="27:27" x14ac:dyDescent="0.25">
      <c r="AA624" s="1311"/>
    </row>
    <row r="625" spans="27:27" x14ac:dyDescent="0.25">
      <c r="AA625" s="1311"/>
    </row>
    <row r="626" spans="27:27" x14ac:dyDescent="0.25">
      <c r="AA626" s="1311"/>
    </row>
    <row r="627" spans="27:27" x14ac:dyDescent="0.25">
      <c r="AA627" s="1311"/>
    </row>
    <row r="628" spans="27:27" x14ac:dyDescent="0.25">
      <c r="AA628" s="1311"/>
    </row>
    <row r="629" spans="27:27" x14ac:dyDescent="0.25">
      <c r="AA629" s="1311"/>
    </row>
    <row r="630" spans="27:27" x14ac:dyDescent="0.25">
      <c r="AA630" s="1311"/>
    </row>
    <row r="631" spans="27:27" x14ac:dyDescent="0.25">
      <c r="AA631" s="1311"/>
    </row>
    <row r="632" spans="27:27" x14ac:dyDescent="0.25">
      <c r="AA632" s="1311"/>
    </row>
    <row r="633" spans="27:27" x14ac:dyDescent="0.25">
      <c r="AA633" s="1311"/>
    </row>
    <row r="634" spans="27:27" x14ac:dyDescent="0.25">
      <c r="AA634" s="1311"/>
    </row>
    <row r="635" spans="27:27" x14ac:dyDescent="0.25">
      <c r="AA635" s="1311"/>
    </row>
    <row r="636" spans="27:27" x14ac:dyDescent="0.25">
      <c r="AA636" s="1311"/>
    </row>
    <row r="637" spans="27:27" x14ac:dyDescent="0.25">
      <c r="AA637" s="1311"/>
    </row>
    <row r="638" spans="27:27" x14ac:dyDescent="0.25">
      <c r="AA638" s="1311"/>
    </row>
    <row r="639" spans="27:27" x14ac:dyDescent="0.25">
      <c r="AA639" s="1311"/>
    </row>
    <row r="640" spans="27:27" x14ac:dyDescent="0.25">
      <c r="AA640" s="1311"/>
    </row>
    <row r="641" spans="27:27" x14ac:dyDescent="0.25">
      <c r="AA641" s="1311"/>
    </row>
    <row r="642" spans="27:27" x14ac:dyDescent="0.25">
      <c r="AA642" s="1311"/>
    </row>
    <row r="643" spans="27:27" x14ac:dyDescent="0.25">
      <c r="AA643" s="1311"/>
    </row>
    <row r="644" spans="27:27" x14ac:dyDescent="0.25">
      <c r="AA644" s="1311"/>
    </row>
    <row r="645" spans="27:27" x14ac:dyDescent="0.25">
      <c r="AA645" s="1311"/>
    </row>
    <row r="646" spans="27:27" x14ac:dyDescent="0.25">
      <c r="AA646" s="1311"/>
    </row>
    <row r="647" spans="27:27" x14ac:dyDescent="0.25">
      <c r="AA647" s="1311"/>
    </row>
    <row r="648" spans="27:27" x14ac:dyDescent="0.25">
      <c r="AA648" s="1311"/>
    </row>
    <row r="649" spans="27:27" x14ac:dyDescent="0.25">
      <c r="AA649" s="1311"/>
    </row>
    <row r="650" spans="27:27" x14ac:dyDescent="0.25">
      <c r="AA650" s="1311"/>
    </row>
    <row r="651" spans="27:27" x14ac:dyDescent="0.25">
      <c r="AA651" s="1311"/>
    </row>
    <row r="652" spans="27:27" x14ac:dyDescent="0.25">
      <c r="AA652" s="1311"/>
    </row>
    <row r="653" spans="27:27" x14ac:dyDescent="0.25">
      <c r="AA653" s="1311"/>
    </row>
    <row r="654" spans="27:27" x14ac:dyDescent="0.25">
      <c r="AA654" s="1311"/>
    </row>
    <row r="655" spans="27:27" x14ac:dyDescent="0.25">
      <c r="AA655" s="1311"/>
    </row>
    <row r="656" spans="27:27" x14ac:dyDescent="0.25">
      <c r="AA656" s="1311"/>
    </row>
    <row r="657" spans="27:27" x14ac:dyDescent="0.25">
      <c r="AA657" s="1311"/>
    </row>
    <row r="658" spans="27:27" x14ac:dyDescent="0.25">
      <c r="AA658" s="1311"/>
    </row>
    <row r="659" spans="27:27" x14ac:dyDescent="0.25">
      <c r="AA659" s="1311"/>
    </row>
    <row r="660" spans="27:27" x14ac:dyDescent="0.25">
      <c r="AA660" s="1311"/>
    </row>
    <row r="661" spans="27:27" x14ac:dyDescent="0.25">
      <c r="AA661" s="1311"/>
    </row>
    <row r="662" spans="27:27" x14ac:dyDescent="0.25">
      <c r="AA662" s="1311"/>
    </row>
    <row r="663" spans="27:27" x14ac:dyDescent="0.25">
      <c r="AA663" s="1311"/>
    </row>
    <row r="664" spans="27:27" x14ac:dyDescent="0.25">
      <c r="AA664" s="1311"/>
    </row>
    <row r="665" spans="27:27" x14ac:dyDescent="0.25">
      <c r="AA665" s="1311"/>
    </row>
    <row r="666" spans="27:27" x14ac:dyDescent="0.25">
      <c r="AA666" s="1311"/>
    </row>
    <row r="667" spans="27:27" x14ac:dyDescent="0.25">
      <c r="AA667" s="1311"/>
    </row>
    <row r="668" spans="27:27" x14ac:dyDescent="0.25">
      <c r="AA668" s="1311"/>
    </row>
    <row r="669" spans="27:27" x14ac:dyDescent="0.25">
      <c r="AA669" s="1311"/>
    </row>
    <row r="670" spans="27:27" x14ac:dyDescent="0.25">
      <c r="AA670" s="1311"/>
    </row>
    <row r="671" spans="27:27" x14ac:dyDescent="0.25">
      <c r="AA671" s="1311"/>
    </row>
    <row r="672" spans="27:27" x14ac:dyDescent="0.25">
      <c r="AA672" s="1311"/>
    </row>
    <row r="673" spans="27:27" x14ac:dyDescent="0.25">
      <c r="AA673" s="1311"/>
    </row>
    <row r="674" spans="27:27" x14ac:dyDescent="0.25">
      <c r="AA674" s="1311"/>
    </row>
    <row r="675" spans="27:27" x14ac:dyDescent="0.25">
      <c r="AA675" s="1311"/>
    </row>
    <row r="676" spans="27:27" x14ac:dyDescent="0.25">
      <c r="AA676" s="1311"/>
    </row>
    <row r="677" spans="27:27" x14ac:dyDescent="0.25">
      <c r="AA677" s="1311"/>
    </row>
    <row r="678" spans="27:27" x14ac:dyDescent="0.25">
      <c r="AA678" s="1311"/>
    </row>
    <row r="679" spans="27:27" x14ac:dyDescent="0.25">
      <c r="AA679" s="1311"/>
    </row>
    <row r="680" spans="27:27" x14ac:dyDescent="0.25">
      <c r="AA680" s="1311"/>
    </row>
    <row r="681" spans="27:27" x14ac:dyDescent="0.25">
      <c r="AA681" s="1311"/>
    </row>
    <row r="682" spans="27:27" x14ac:dyDescent="0.25">
      <c r="AA682" s="1311"/>
    </row>
    <row r="683" spans="27:27" x14ac:dyDescent="0.25">
      <c r="AA683" s="1311"/>
    </row>
    <row r="684" spans="27:27" x14ac:dyDescent="0.25">
      <c r="AA684" s="1311"/>
    </row>
    <row r="685" spans="27:27" x14ac:dyDescent="0.25">
      <c r="AA685" s="1311"/>
    </row>
    <row r="686" spans="27:27" x14ac:dyDescent="0.25">
      <c r="AA686" s="1311"/>
    </row>
    <row r="687" spans="27:27" x14ac:dyDescent="0.25">
      <c r="AA687" s="1311"/>
    </row>
    <row r="688" spans="27:27" x14ac:dyDescent="0.25">
      <c r="AA688" s="1311"/>
    </row>
    <row r="689" spans="27:27" x14ac:dyDescent="0.25">
      <c r="AA689" s="1311"/>
    </row>
    <row r="690" spans="27:27" x14ac:dyDescent="0.25">
      <c r="AA690" s="1311"/>
    </row>
    <row r="691" spans="27:27" x14ac:dyDescent="0.25">
      <c r="AA691" s="1311"/>
    </row>
    <row r="692" spans="27:27" x14ac:dyDescent="0.25">
      <c r="AA692" s="1311"/>
    </row>
    <row r="693" spans="27:27" x14ac:dyDescent="0.25">
      <c r="AA693" s="1311"/>
    </row>
    <row r="694" spans="27:27" x14ac:dyDescent="0.25">
      <c r="AA694" s="1311"/>
    </row>
    <row r="695" spans="27:27" x14ac:dyDescent="0.25">
      <c r="AA695" s="1311"/>
    </row>
    <row r="696" spans="27:27" x14ac:dyDescent="0.25">
      <c r="AA696" s="1311"/>
    </row>
    <row r="697" spans="27:27" x14ac:dyDescent="0.25">
      <c r="AA697" s="1311"/>
    </row>
    <row r="698" spans="27:27" x14ac:dyDescent="0.25">
      <c r="AA698" s="1311"/>
    </row>
    <row r="699" spans="27:27" x14ac:dyDescent="0.25">
      <c r="AA699" s="1311"/>
    </row>
    <row r="700" spans="27:27" x14ac:dyDescent="0.25">
      <c r="AA700" s="1311"/>
    </row>
    <row r="701" spans="27:27" x14ac:dyDescent="0.25">
      <c r="AA701" s="1311"/>
    </row>
    <row r="702" spans="27:27" x14ac:dyDescent="0.25">
      <c r="AA702" s="1311"/>
    </row>
    <row r="703" spans="27:27" x14ac:dyDescent="0.25">
      <c r="AA703" s="1311"/>
    </row>
    <row r="704" spans="27:27" x14ac:dyDescent="0.25">
      <c r="AA704" s="1311"/>
    </row>
    <row r="705" spans="27:27" x14ac:dyDescent="0.25">
      <c r="AA705" s="1311"/>
    </row>
    <row r="706" spans="27:27" x14ac:dyDescent="0.25">
      <c r="AA706" s="1311"/>
    </row>
    <row r="707" spans="27:27" x14ac:dyDescent="0.25">
      <c r="AA707" s="1311"/>
    </row>
    <row r="708" spans="27:27" x14ac:dyDescent="0.25">
      <c r="AA708" s="1311"/>
    </row>
    <row r="709" spans="27:27" x14ac:dyDescent="0.25">
      <c r="AA709" s="1311"/>
    </row>
    <row r="710" spans="27:27" x14ac:dyDescent="0.25">
      <c r="AA710" s="1311"/>
    </row>
    <row r="711" spans="27:27" x14ac:dyDescent="0.25">
      <c r="AA711" s="1311"/>
    </row>
    <row r="712" spans="27:27" x14ac:dyDescent="0.25">
      <c r="AA712" s="1311"/>
    </row>
    <row r="713" spans="27:27" x14ac:dyDescent="0.25">
      <c r="AA713" s="1311"/>
    </row>
    <row r="714" spans="27:27" x14ac:dyDescent="0.25">
      <c r="AA714" s="1311"/>
    </row>
    <row r="715" spans="27:27" x14ac:dyDescent="0.25">
      <c r="AA715" s="1311"/>
    </row>
    <row r="716" spans="27:27" x14ac:dyDescent="0.25">
      <c r="AA716" s="1311"/>
    </row>
    <row r="717" spans="27:27" x14ac:dyDescent="0.25">
      <c r="AA717" s="1311"/>
    </row>
    <row r="718" spans="27:27" x14ac:dyDescent="0.25">
      <c r="AA718" s="1311"/>
    </row>
    <row r="719" spans="27:27" x14ac:dyDescent="0.25">
      <c r="AA719" s="1311"/>
    </row>
    <row r="720" spans="27:27" x14ac:dyDescent="0.25">
      <c r="AA720" s="1311"/>
    </row>
    <row r="721" spans="27:27" x14ac:dyDescent="0.25">
      <c r="AA721" s="1311"/>
    </row>
    <row r="722" spans="27:27" x14ac:dyDescent="0.25">
      <c r="AA722" s="1311"/>
    </row>
    <row r="723" spans="27:27" x14ac:dyDescent="0.25">
      <c r="AA723" s="1311"/>
    </row>
    <row r="724" spans="27:27" x14ac:dyDescent="0.25">
      <c r="AA724" s="1311"/>
    </row>
    <row r="725" spans="27:27" x14ac:dyDescent="0.25">
      <c r="AA725" s="1311"/>
    </row>
    <row r="726" spans="27:27" x14ac:dyDescent="0.25">
      <c r="AA726" s="1311"/>
    </row>
    <row r="727" spans="27:27" x14ac:dyDescent="0.25">
      <c r="AA727" s="1311"/>
    </row>
    <row r="728" spans="27:27" x14ac:dyDescent="0.25">
      <c r="AA728" s="1311"/>
    </row>
    <row r="729" spans="27:27" x14ac:dyDescent="0.25">
      <c r="AA729" s="1311"/>
    </row>
    <row r="730" spans="27:27" x14ac:dyDescent="0.25">
      <c r="AA730" s="1311"/>
    </row>
    <row r="731" spans="27:27" x14ac:dyDescent="0.25">
      <c r="AA731" s="1311"/>
    </row>
    <row r="732" spans="27:27" x14ac:dyDescent="0.25">
      <c r="AA732" s="1311"/>
    </row>
    <row r="733" spans="27:27" x14ac:dyDescent="0.25">
      <c r="AA733" s="1311"/>
    </row>
    <row r="734" spans="27:27" x14ac:dyDescent="0.25">
      <c r="AA734" s="1311"/>
    </row>
    <row r="735" spans="27:27" x14ac:dyDescent="0.25">
      <c r="AA735" s="1311"/>
    </row>
    <row r="736" spans="27:27" x14ac:dyDescent="0.25">
      <c r="AA736" s="1311"/>
    </row>
    <row r="737" spans="27:27" x14ac:dyDescent="0.25">
      <c r="AA737" s="1311"/>
    </row>
    <row r="738" spans="27:27" x14ac:dyDescent="0.25">
      <c r="AA738" s="1311"/>
    </row>
    <row r="739" spans="27:27" x14ac:dyDescent="0.25">
      <c r="AA739" s="1311"/>
    </row>
    <row r="740" spans="27:27" x14ac:dyDescent="0.25">
      <c r="AA740" s="1311"/>
    </row>
    <row r="741" spans="27:27" x14ac:dyDescent="0.25">
      <c r="AA741" s="1311"/>
    </row>
    <row r="742" spans="27:27" x14ac:dyDescent="0.25">
      <c r="AA742" s="1311"/>
    </row>
    <row r="743" spans="27:27" x14ac:dyDescent="0.25">
      <c r="AA743" s="1311"/>
    </row>
    <row r="744" spans="27:27" x14ac:dyDescent="0.25">
      <c r="AA744" s="1311"/>
    </row>
    <row r="745" spans="27:27" x14ac:dyDescent="0.25">
      <c r="AA745" s="1311"/>
    </row>
    <row r="746" spans="27:27" x14ac:dyDescent="0.25">
      <c r="AA746" s="1311"/>
    </row>
    <row r="747" spans="27:27" x14ac:dyDescent="0.25">
      <c r="AA747" s="1311"/>
    </row>
    <row r="748" spans="27:27" x14ac:dyDescent="0.25">
      <c r="AA748" s="1311"/>
    </row>
    <row r="749" spans="27:27" x14ac:dyDescent="0.25">
      <c r="AA749" s="1311"/>
    </row>
    <row r="750" spans="27:27" x14ac:dyDescent="0.25">
      <c r="AA750" s="1311"/>
    </row>
    <row r="751" spans="27:27" x14ac:dyDescent="0.25">
      <c r="AA751" s="1311"/>
    </row>
    <row r="752" spans="27:27" x14ac:dyDescent="0.25">
      <c r="AA752" s="1311"/>
    </row>
    <row r="753" spans="27:27" x14ac:dyDescent="0.25">
      <c r="AA753" s="1311"/>
    </row>
    <row r="754" spans="27:27" x14ac:dyDescent="0.25">
      <c r="AA754" s="1311"/>
    </row>
    <row r="755" spans="27:27" x14ac:dyDescent="0.25">
      <c r="AA755" s="1311"/>
    </row>
    <row r="756" spans="27:27" x14ac:dyDescent="0.25">
      <c r="AA756" s="1311"/>
    </row>
    <row r="757" spans="27:27" x14ac:dyDescent="0.25">
      <c r="AA757" s="1311"/>
    </row>
    <row r="758" spans="27:27" x14ac:dyDescent="0.25">
      <c r="AA758" s="1311"/>
    </row>
    <row r="759" spans="27:27" x14ac:dyDescent="0.25">
      <c r="AA759" s="1311"/>
    </row>
    <row r="760" spans="27:27" x14ac:dyDescent="0.25">
      <c r="AA760" s="1311"/>
    </row>
    <row r="761" spans="27:27" x14ac:dyDescent="0.25">
      <c r="AA761" s="1311"/>
    </row>
    <row r="762" spans="27:27" x14ac:dyDescent="0.25">
      <c r="AA762" s="1311"/>
    </row>
    <row r="763" spans="27:27" x14ac:dyDescent="0.25">
      <c r="AA763" s="1311"/>
    </row>
    <row r="764" spans="27:27" x14ac:dyDescent="0.25">
      <c r="AA764" s="1311"/>
    </row>
    <row r="765" spans="27:27" x14ac:dyDescent="0.25">
      <c r="AA765" s="1311"/>
    </row>
    <row r="766" spans="27:27" x14ac:dyDescent="0.25">
      <c r="AA766" s="1311"/>
    </row>
    <row r="767" spans="27:27" x14ac:dyDescent="0.25">
      <c r="AA767" s="1311"/>
    </row>
    <row r="768" spans="27:27" x14ac:dyDescent="0.25">
      <c r="AA768" s="1311"/>
    </row>
    <row r="769" spans="27:27" x14ac:dyDescent="0.25">
      <c r="AA769" s="1311"/>
    </row>
    <row r="770" spans="27:27" x14ac:dyDescent="0.25">
      <c r="AA770" s="1311"/>
    </row>
    <row r="771" spans="27:27" x14ac:dyDescent="0.25">
      <c r="AA771" s="1311"/>
    </row>
    <row r="772" spans="27:27" x14ac:dyDescent="0.25">
      <c r="AA772" s="1311"/>
    </row>
    <row r="773" spans="27:27" x14ac:dyDescent="0.25">
      <c r="AA773" s="1311"/>
    </row>
    <row r="774" spans="27:27" x14ac:dyDescent="0.25">
      <c r="AA774" s="1311"/>
    </row>
    <row r="775" spans="27:27" x14ac:dyDescent="0.25">
      <c r="AA775" s="1311"/>
    </row>
    <row r="776" spans="27:27" x14ac:dyDescent="0.25">
      <c r="AA776" s="1311"/>
    </row>
    <row r="777" spans="27:27" x14ac:dyDescent="0.25">
      <c r="AA777" s="1311"/>
    </row>
    <row r="778" spans="27:27" x14ac:dyDescent="0.25">
      <c r="AA778" s="1311"/>
    </row>
    <row r="779" spans="27:27" x14ac:dyDescent="0.25">
      <c r="AA779" s="1311"/>
    </row>
    <row r="780" spans="27:27" x14ac:dyDescent="0.25">
      <c r="AA780" s="1311"/>
    </row>
    <row r="781" spans="27:27" x14ac:dyDescent="0.25">
      <c r="AA781" s="1311"/>
    </row>
    <row r="782" spans="27:27" x14ac:dyDescent="0.25">
      <c r="AA782" s="1311"/>
    </row>
    <row r="783" spans="27:27" x14ac:dyDescent="0.25">
      <c r="AA783" s="1311"/>
    </row>
    <row r="784" spans="27:27" x14ac:dyDescent="0.25">
      <c r="AA784" s="1311"/>
    </row>
    <row r="785" spans="27:27" x14ac:dyDescent="0.25">
      <c r="AA785" s="1311"/>
    </row>
    <row r="786" spans="27:27" x14ac:dyDescent="0.25">
      <c r="AA786" s="1311"/>
    </row>
    <row r="787" spans="27:27" x14ac:dyDescent="0.25">
      <c r="AA787" s="1311"/>
    </row>
    <row r="788" spans="27:27" x14ac:dyDescent="0.25">
      <c r="AA788" s="1311"/>
    </row>
    <row r="789" spans="27:27" x14ac:dyDescent="0.25">
      <c r="AA789" s="1311"/>
    </row>
    <row r="790" spans="27:27" x14ac:dyDescent="0.25">
      <c r="AA790" s="1311"/>
    </row>
    <row r="791" spans="27:27" x14ac:dyDescent="0.25">
      <c r="AA791" s="1311"/>
    </row>
    <row r="792" spans="27:27" x14ac:dyDescent="0.25">
      <c r="AA792" s="1311"/>
    </row>
    <row r="793" spans="27:27" x14ac:dyDescent="0.25">
      <c r="AA793" s="1311"/>
    </row>
    <row r="794" spans="27:27" x14ac:dyDescent="0.25">
      <c r="AA794" s="1311"/>
    </row>
    <row r="795" spans="27:27" x14ac:dyDescent="0.25">
      <c r="AA795" s="1311"/>
    </row>
    <row r="796" spans="27:27" x14ac:dyDescent="0.25">
      <c r="AA796" s="1311"/>
    </row>
    <row r="797" spans="27:27" x14ac:dyDescent="0.25">
      <c r="AA797" s="1311"/>
    </row>
    <row r="798" spans="27:27" x14ac:dyDescent="0.25">
      <c r="AA798" s="1311"/>
    </row>
    <row r="799" spans="27:27" x14ac:dyDescent="0.25">
      <c r="AA799" s="1311"/>
    </row>
    <row r="800" spans="27:27" x14ac:dyDescent="0.25">
      <c r="AA800" s="1311"/>
    </row>
    <row r="801" spans="27:27" x14ac:dyDescent="0.25">
      <c r="AA801" s="1311"/>
    </row>
    <row r="802" spans="27:27" x14ac:dyDescent="0.25">
      <c r="AA802" s="1311"/>
    </row>
    <row r="803" spans="27:27" x14ac:dyDescent="0.25">
      <c r="AA803" s="1311"/>
    </row>
    <row r="804" spans="27:27" x14ac:dyDescent="0.25">
      <c r="AA804" s="1311"/>
    </row>
    <row r="805" spans="27:27" x14ac:dyDescent="0.25">
      <c r="AA805" s="1311"/>
    </row>
    <row r="806" spans="27:27" x14ac:dyDescent="0.25">
      <c r="AA806" s="1311"/>
    </row>
    <row r="807" spans="27:27" x14ac:dyDescent="0.25">
      <c r="AA807" s="1311"/>
    </row>
    <row r="808" spans="27:27" x14ac:dyDescent="0.25">
      <c r="AA808" s="1311"/>
    </row>
    <row r="809" spans="27:27" x14ac:dyDescent="0.25">
      <c r="AA809" s="1311"/>
    </row>
    <row r="810" spans="27:27" x14ac:dyDescent="0.25">
      <c r="AA810" s="1311"/>
    </row>
    <row r="811" spans="27:27" x14ac:dyDescent="0.25">
      <c r="AA811" s="1311"/>
    </row>
    <row r="812" spans="27:27" x14ac:dyDescent="0.25">
      <c r="AA812" s="1311"/>
    </row>
    <row r="813" spans="27:27" x14ac:dyDescent="0.25">
      <c r="AA813" s="1311"/>
    </row>
    <row r="814" spans="27:27" x14ac:dyDescent="0.25">
      <c r="AA814" s="1311"/>
    </row>
    <row r="815" spans="27:27" x14ac:dyDescent="0.25">
      <c r="AA815" s="1311"/>
    </row>
    <row r="816" spans="27:27" x14ac:dyDescent="0.25">
      <c r="AA816" s="1311"/>
    </row>
    <row r="817" spans="27:27" x14ac:dyDescent="0.25">
      <c r="AA817" s="1311"/>
    </row>
    <row r="818" spans="27:27" x14ac:dyDescent="0.25">
      <c r="AA818" s="1311"/>
    </row>
    <row r="819" spans="27:27" x14ac:dyDescent="0.25">
      <c r="AA819" s="1311"/>
    </row>
    <row r="820" spans="27:27" x14ac:dyDescent="0.25">
      <c r="AA820" s="1311"/>
    </row>
    <row r="821" spans="27:27" x14ac:dyDescent="0.25">
      <c r="AA821" s="1311"/>
    </row>
    <row r="822" spans="27:27" x14ac:dyDescent="0.25">
      <c r="AA822" s="1311"/>
    </row>
    <row r="823" spans="27:27" x14ac:dyDescent="0.25">
      <c r="AA823" s="1311"/>
    </row>
    <row r="824" spans="27:27" x14ac:dyDescent="0.25">
      <c r="AA824" s="1311"/>
    </row>
    <row r="825" spans="27:27" x14ac:dyDescent="0.25">
      <c r="AA825" s="1311"/>
    </row>
    <row r="826" spans="27:27" x14ac:dyDescent="0.25">
      <c r="AA826" s="1311"/>
    </row>
    <row r="827" spans="27:27" x14ac:dyDescent="0.25">
      <c r="AA827" s="1311"/>
    </row>
    <row r="828" spans="27:27" x14ac:dyDescent="0.25">
      <c r="AA828" s="1311"/>
    </row>
    <row r="829" spans="27:27" x14ac:dyDescent="0.25">
      <c r="AA829" s="1311"/>
    </row>
    <row r="830" spans="27:27" x14ac:dyDescent="0.25">
      <c r="AA830" s="1311"/>
    </row>
    <row r="831" spans="27:27" x14ac:dyDescent="0.25">
      <c r="AA831" s="1311"/>
    </row>
    <row r="832" spans="27:27" x14ac:dyDescent="0.25">
      <c r="AA832" s="1311"/>
    </row>
    <row r="833" spans="27:27" x14ac:dyDescent="0.25">
      <c r="AA833" s="1311"/>
    </row>
    <row r="834" spans="27:27" x14ac:dyDescent="0.25">
      <c r="AA834" s="1311"/>
    </row>
    <row r="835" spans="27:27" x14ac:dyDescent="0.25">
      <c r="AA835" s="1311"/>
    </row>
    <row r="836" spans="27:27" x14ac:dyDescent="0.25">
      <c r="AA836" s="1311"/>
    </row>
    <row r="837" spans="27:27" x14ac:dyDescent="0.25">
      <c r="AA837" s="1311"/>
    </row>
    <row r="838" spans="27:27" x14ac:dyDescent="0.25">
      <c r="AA838" s="1311"/>
    </row>
    <row r="839" spans="27:27" x14ac:dyDescent="0.25">
      <c r="AA839" s="1311"/>
    </row>
    <row r="840" spans="27:27" x14ac:dyDescent="0.25">
      <c r="AA840" s="1311"/>
    </row>
    <row r="841" spans="27:27" x14ac:dyDescent="0.25">
      <c r="AA841" s="1311"/>
    </row>
    <row r="842" spans="27:27" x14ac:dyDescent="0.25">
      <c r="AA842" s="1311"/>
    </row>
    <row r="843" spans="27:27" x14ac:dyDescent="0.25">
      <c r="AA843" s="1311"/>
    </row>
    <row r="844" spans="27:27" x14ac:dyDescent="0.25">
      <c r="AA844" s="1311"/>
    </row>
    <row r="845" spans="27:27" x14ac:dyDescent="0.25">
      <c r="AA845" s="1311"/>
    </row>
    <row r="846" spans="27:27" x14ac:dyDescent="0.25">
      <c r="AA846" s="1311"/>
    </row>
    <row r="847" spans="27:27" x14ac:dyDescent="0.25">
      <c r="AA847" s="1311"/>
    </row>
    <row r="848" spans="27:27" x14ac:dyDescent="0.25">
      <c r="AA848" s="1311"/>
    </row>
    <row r="849" spans="27:27" x14ac:dyDescent="0.25">
      <c r="AA849" s="1311"/>
    </row>
    <row r="850" spans="27:27" x14ac:dyDescent="0.25">
      <c r="AA850" s="1311"/>
    </row>
    <row r="851" spans="27:27" x14ac:dyDescent="0.25">
      <c r="AA851" s="1311"/>
    </row>
    <row r="852" spans="27:27" x14ac:dyDescent="0.25">
      <c r="AA852" s="1311"/>
    </row>
    <row r="853" spans="27:27" x14ac:dyDescent="0.25">
      <c r="AA853" s="1311"/>
    </row>
    <row r="854" spans="27:27" x14ac:dyDescent="0.25">
      <c r="AA854" s="1311"/>
    </row>
    <row r="855" spans="27:27" x14ac:dyDescent="0.25">
      <c r="AA855" s="1311"/>
    </row>
    <row r="856" spans="27:27" x14ac:dyDescent="0.25">
      <c r="AA856" s="1311"/>
    </row>
    <row r="857" spans="27:27" x14ac:dyDescent="0.25">
      <c r="AA857" s="1311"/>
    </row>
    <row r="858" spans="27:27" x14ac:dyDescent="0.25">
      <c r="AA858" s="1311"/>
    </row>
    <row r="859" spans="27:27" x14ac:dyDescent="0.25">
      <c r="AA859" s="1311"/>
    </row>
    <row r="860" spans="27:27" x14ac:dyDescent="0.25">
      <c r="AA860" s="1311"/>
    </row>
    <row r="861" spans="27:27" x14ac:dyDescent="0.25">
      <c r="AA861" s="1311"/>
    </row>
    <row r="862" spans="27:27" x14ac:dyDescent="0.25">
      <c r="AA862" s="1311"/>
    </row>
    <row r="863" spans="27:27" x14ac:dyDescent="0.25">
      <c r="AA863" s="1311"/>
    </row>
    <row r="864" spans="27:27" x14ac:dyDescent="0.25">
      <c r="AA864" s="1311"/>
    </row>
    <row r="865" spans="27:27" x14ac:dyDescent="0.25">
      <c r="AA865" s="1311"/>
    </row>
    <row r="866" spans="27:27" x14ac:dyDescent="0.25">
      <c r="AA866" s="1311"/>
    </row>
    <row r="867" spans="27:27" x14ac:dyDescent="0.25">
      <c r="AA867" s="1311"/>
    </row>
    <row r="868" spans="27:27" x14ac:dyDescent="0.25">
      <c r="AA868" s="1311"/>
    </row>
    <row r="869" spans="27:27" x14ac:dyDescent="0.25">
      <c r="AA869" s="1311"/>
    </row>
    <row r="870" spans="27:27" x14ac:dyDescent="0.25">
      <c r="AA870" s="1311"/>
    </row>
    <row r="871" spans="27:27" x14ac:dyDescent="0.25">
      <c r="AA871" s="1311"/>
    </row>
    <row r="872" spans="27:27" x14ac:dyDescent="0.25">
      <c r="AA872" s="1311"/>
    </row>
    <row r="873" spans="27:27" x14ac:dyDescent="0.25">
      <c r="AA873" s="1311"/>
    </row>
    <row r="874" spans="27:27" x14ac:dyDescent="0.25">
      <c r="AA874" s="1311"/>
    </row>
    <row r="875" spans="27:27" x14ac:dyDescent="0.25">
      <c r="AA875" s="1311"/>
    </row>
    <row r="876" spans="27:27" x14ac:dyDescent="0.25">
      <c r="AA876" s="1311"/>
    </row>
    <row r="877" spans="27:27" x14ac:dyDescent="0.25">
      <c r="AA877" s="1311"/>
    </row>
    <row r="878" spans="27:27" x14ac:dyDescent="0.25">
      <c r="AA878" s="1311"/>
    </row>
    <row r="879" spans="27:27" x14ac:dyDescent="0.25">
      <c r="AA879" s="1311"/>
    </row>
    <row r="880" spans="27:27" x14ac:dyDescent="0.25">
      <c r="AA880" s="1311"/>
    </row>
    <row r="881" spans="27:27" x14ac:dyDescent="0.25">
      <c r="AA881" s="1311"/>
    </row>
    <row r="882" spans="27:27" x14ac:dyDescent="0.25">
      <c r="AA882" s="1311"/>
    </row>
    <row r="883" spans="27:27" x14ac:dyDescent="0.25">
      <c r="AA883" s="1311"/>
    </row>
    <row r="884" spans="27:27" x14ac:dyDescent="0.25">
      <c r="AA884" s="1311"/>
    </row>
    <row r="885" spans="27:27" x14ac:dyDescent="0.25">
      <c r="AA885" s="1311"/>
    </row>
    <row r="886" spans="27:27" x14ac:dyDescent="0.25">
      <c r="AA886" s="1311"/>
    </row>
    <row r="887" spans="27:27" x14ac:dyDescent="0.25">
      <c r="AA887" s="1311"/>
    </row>
    <row r="888" spans="27:27" x14ac:dyDescent="0.25">
      <c r="AA888" s="1311"/>
    </row>
    <row r="889" spans="27:27" x14ac:dyDescent="0.25">
      <c r="AA889" s="1311"/>
    </row>
    <row r="890" spans="27:27" x14ac:dyDescent="0.25">
      <c r="AA890" s="1311"/>
    </row>
    <row r="891" spans="27:27" x14ac:dyDescent="0.25">
      <c r="AA891" s="1311"/>
    </row>
    <row r="892" spans="27:27" x14ac:dyDescent="0.25">
      <c r="AA892" s="1311"/>
    </row>
    <row r="893" spans="27:27" x14ac:dyDescent="0.25">
      <c r="AA893" s="1311"/>
    </row>
    <row r="894" spans="27:27" x14ac:dyDescent="0.25">
      <c r="AA894" s="1311"/>
    </row>
    <row r="895" spans="27:27" x14ac:dyDescent="0.25">
      <c r="AA895" s="1311"/>
    </row>
    <row r="896" spans="27:27" x14ac:dyDescent="0.25">
      <c r="AA896" s="1311"/>
    </row>
    <row r="897" spans="27:27" x14ac:dyDescent="0.25">
      <c r="AA897" s="1311"/>
    </row>
    <row r="898" spans="27:27" x14ac:dyDescent="0.25">
      <c r="AA898" s="1311"/>
    </row>
    <row r="899" spans="27:27" x14ac:dyDescent="0.25">
      <c r="AA899" s="1311"/>
    </row>
    <row r="900" spans="27:27" x14ac:dyDescent="0.25">
      <c r="AA900" s="1311"/>
    </row>
    <row r="901" spans="27:27" x14ac:dyDescent="0.25">
      <c r="AA901" s="1311"/>
    </row>
    <row r="902" spans="27:27" x14ac:dyDescent="0.25">
      <c r="AA902" s="1311"/>
    </row>
    <row r="903" spans="27:27" x14ac:dyDescent="0.25">
      <c r="AA903" s="1311"/>
    </row>
    <row r="904" spans="27:27" x14ac:dyDescent="0.25">
      <c r="AA904" s="1311"/>
    </row>
    <row r="905" spans="27:27" x14ac:dyDescent="0.25">
      <c r="AA905" s="1311"/>
    </row>
    <row r="906" spans="27:27" x14ac:dyDescent="0.25">
      <c r="AA906" s="1311"/>
    </row>
    <row r="907" spans="27:27" x14ac:dyDescent="0.25">
      <c r="AA907" s="1311"/>
    </row>
    <row r="908" spans="27:27" x14ac:dyDescent="0.25">
      <c r="AA908" s="1311"/>
    </row>
    <row r="909" spans="27:27" x14ac:dyDescent="0.25">
      <c r="AA909" s="1311"/>
    </row>
    <row r="910" spans="27:27" x14ac:dyDescent="0.25">
      <c r="AA910" s="1311"/>
    </row>
    <row r="911" spans="27:27" x14ac:dyDescent="0.25">
      <c r="AA911" s="1311"/>
    </row>
    <row r="912" spans="27:27" x14ac:dyDescent="0.25">
      <c r="AA912" s="1311"/>
    </row>
    <row r="913" spans="27:27" x14ac:dyDescent="0.25">
      <c r="AA913" s="1311"/>
    </row>
    <row r="914" spans="27:27" x14ac:dyDescent="0.25">
      <c r="AA914" s="1311"/>
    </row>
    <row r="915" spans="27:27" x14ac:dyDescent="0.25">
      <c r="AA915" s="1311"/>
    </row>
    <row r="916" spans="27:27" x14ac:dyDescent="0.25">
      <c r="AA916" s="1311"/>
    </row>
    <row r="917" spans="27:27" x14ac:dyDescent="0.25">
      <c r="AA917" s="1311"/>
    </row>
    <row r="918" spans="27:27" x14ac:dyDescent="0.25">
      <c r="AA918" s="1311"/>
    </row>
    <row r="919" spans="27:27" x14ac:dyDescent="0.25">
      <c r="AA919" s="1311"/>
    </row>
    <row r="920" spans="27:27" x14ac:dyDescent="0.25">
      <c r="AA920" s="1311"/>
    </row>
    <row r="921" spans="27:27" x14ac:dyDescent="0.25">
      <c r="AA921" s="1311"/>
    </row>
    <row r="922" spans="27:27" x14ac:dyDescent="0.25">
      <c r="AA922" s="1311"/>
    </row>
    <row r="923" spans="27:27" x14ac:dyDescent="0.25">
      <c r="AA923" s="1311"/>
    </row>
    <row r="924" spans="27:27" x14ac:dyDescent="0.25">
      <c r="AA924" s="1311"/>
    </row>
    <row r="925" spans="27:27" x14ac:dyDescent="0.25">
      <c r="AA925" s="1311"/>
    </row>
    <row r="926" spans="27:27" x14ac:dyDescent="0.25">
      <c r="AA926" s="1311"/>
    </row>
    <row r="927" spans="27:27" x14ac:dyDescent="0.25">
      <c r="AA927" s="1311"/>
    </row>
    <row r="928" spans="27:27" x14ac:dyDescent="0.25">
      <c r="AA928" s="1311"/>
    </row>
    <row r="929" spans="27:27" x14ac:dyDescent="0.25">
      <c r="AA929" s="1311"/>
    </row>
    <row r="930" spans="27:27" x14ac:dyDescent="0.25">
      <c r="AA930" s="1311"/>
    </row>
    <row r="931" spans="27:27" x14ac:dyDescent="0.25">
      <c r="AA931" s="1311"/>
    </row>
    <row r="932" spans="27:27" x14ac:dyDescent="0.25">
      <c r="AA932" s="1311"/>
    </row>
    <row r="933" spans="27:27" x14ac:dyDescent="0.25">
      <c r="AA933" s="1311"/>
    </row>
    <row r="934" spans="27:27" x14ac:dyDescent="0.25">
      <c r="AA934" s="1311"/>
    </row>
    <row r="935" spans="27:27" x14ac:dyDescent="0.25">
      <c r="AA935" s="1311"/>
    </row>
    <row r="936" spans="27:27" x14ac:dyDescent="0.25">
      <c r="AA936" s="1311"/>
    </row>
    <row r="937" spans="27:27" x14ac:dyDescent="0.25">
      <c r="AA937" s="1311"/>
    </row>
    <row r="938" spans="27:27" x14ac:dyDescent="0.25">
      <c r="AA938" s="1311"/>
    </row>
    <row r="939" spans="27:27" x14ac:dyDescent="0.25">
      <c r="AA939" s="1311"/>
    </row>
    <row r="940" spans="27:27" x14ac:dyDescent="0.25">
      <c r="AA940" s="1311"/>
    </row>
    <row r="941" spans="27:27" x14ac:dyDescent="0.25">
      <c r="AA941" s="1311"/>
    </row>
    <row r="942" spans="27:27" x14ac:dyDescent="0.25">
      <c r="AA942" s="1311"/>
    </row>
    <row r="943" spans="27:27" x14ac:dyDescent="0.25">
      <c r="AA943" s="1311"/>
    </row>
    <row r="944" spans="27:27" x14ac:dyDescent="0.25">
      <c r="AA944" s="1311"/>
    </row>
    <row r="945" spans="27:27" x14ac:dyDescent="0.25">
      <c r="AA945" s="1311"/>
    </row>
    <row r="946" spans="27:27" x14ac:dyDescent="0.25">
      <c r="AA946" s="1311"/>
    </row>
    <row r="947" spans="27:27" x14ac:dyDescent="0.25">
      <c r="AA947" s="1311"/>
    </row>
    <row r="948" spans="27:27" x14ac:dyDescent="0.25">
      <c r="AA948" s="1311"/>
    </row>
    <row r="949" spans="27:27" x14ac:dyDescent="0.25">
      <c r="AA949" s="1311"/>
    </row>
    <row r="950" spans="27:27" x14ac:dyDescent="0.25">
      <c r="AA950" s="1311"/>
    </row>
    <row r="951" spans="27:27" x14ac:dyDescent="0.25">
      <c r="AA951" s="1311"/>
    </row>
    <row r="952" spans="27:27" x14ac:dyDescent="0.25">
      <c r="AA952" s="1311"/>
    </row>
    <row r="953" spans="27:27" x14ac:dyDescent="0.25">
      <c r="AA953" s="1311"/>
    </row>
    <row r="954" spans="27:27" x14ac:dyDescent="0.25">
      <c r="AA954" s="1311"/>
    </row>
    <row r="955" spans="27:27" x14ac:dyDescent="0.25">
      <c r="AA955" s="1311"/>
    </row>
    <row r="956" spans="27:27" x14ac:dyDescent="0.25">
      <c r="AA956" s="1311"/>
    </row>
    <row r="957" spans="27:27" x14ac:dyDescent="0.25">
      <c r="AA957" s="1311"/>
    </row>
    <row r="958" spans="27:27" x14ac:dyDescent="0.25">
      <c r="AA958" s="1311"/>
    </row>
    <row r="959" spans="27:27" x14ac:dyDescent="0.25">
      <c r="AA959" s="1311"/>
    </row>
    <row r="960" spans="27:27" x14ac:dyDescent="0.25">
      <c r="AA960" s="1311"/>
    </row>
    <row r="961" spans="27:27" x14ac:dyDescent="0.25">
      <c r="AA961" s="1311"/>
    </row>
    <row r="962" spans="27:27" x14ac:dyDescent="0.25">
      <c r="AA962" s="1311"/>
    </row>
    <row r="963" spans="27:27" x14ac:dyDescent="0.25">
      <c r="AA963" s="1311"/>
    </row>
    <row r="964" spans="27:27" x14ac:dyDescent="0.25">
      <c r="AA964" s="1311"/>
    </row>
    <row r="965" spans="27:27" x14ac:dyDescent="0.25">
      <c r="AA965" s="1311"/>
    </row>
    <row r="966" spans="27:27" x14ac:dyDescent="0.25">
      <c r="AA966" s="1311"/>
    </row>
    <row r="967" spans="27:27" x14ac:dyDescent="0.25">
      <c r="AA967" s="1311"/>
    </row>
    <row r="968" spans="27:27" x14ac:dyDescent="0.25">
      <c r="AA968" s="1311"/>
    </row>
    <row r="969" spans="27:27" x14ac:dyDescent="0.25">
      <c r="AA969" s="1311"/>
    </row>
    <row r="970" spans="27:27" x14ac:dyDescent="0.25">
      <c r="AA970" s="1311"/>
    </row>
    <row r="971" spans="27:27" x14ac:dyDescent="0.25">
      <c r="AA971" s="1311"/>
    </row>
    <row r="972" spans="27:27" x14ac:dyDescent="0.25">
      <c r="AA972" s="1311"/>
    </row>
    <row r="973" spans="27:27" x14ac:dyDescent="0.25">
      <c r="AA973" s="1311"/>
    </row>
    <row r="974" spans="27:27" x14ac:dyDescent="0.25">
      <c r="AA974" s="1311"/>
    </row>
    <row r="975" spans="27:27" x14ac:dyDescent="0.25">
      <c r="AA975" s="1311"/>
    </row>
    <row r="976" spans="27:27" x14ac:dyDescent="0.25">
      <c r="AA976" s="1311"/>
    </row>
    <row r="977" spans="27:27" x14ac:dyDescent="0.25">
      <c r="AA977" s="1311"/>
    </row>
    <row r="978" spans="27:27" x14ac:dyDescent="0.25">
      <c r="AA978" s="1311"/>
    </row>
    <row r="979" spans="27:27" x14ac:dyDescent="0.25">
      <c r="AA979" s="1311"/>
    </row>
    <row r="980" spans="27:27" x14ac:dyDescent="0.25">
      <c r="AA980" s="1311"/>
    </row>
    <row r="981" spans="27:27" x14ac:dyDescent="0.25">
      <c r="AA981" s="1311"/>
    </row>
    <row r="982" spans="27:27" x14ac:dyDescent="0.25">
      <c r="AA982" s="1311"/>
    </row>
    <row r="983" spans="27:27" x14ac:dyDescent="0.25">
      <c r="AA983" s="1311"/>
    </row>
    <row r="984" spans="27:27" x14ac:dyDescent="0.25">
      <c r="AA984" s="1311"/>
    </row>
    <row r="985" spans="27:27" x14ac:dyDescent="0.25">
      <c r="AA985" s="1311"/>
    </row>
    <row r="986" spans="27:27" x14ac:dyDescent="0.25">
      <c r="AA986" s="1311"/>
    </row>
    <row r="987" spans="27:27" x14ac:dyDescent="0.25">
      <c r="AA987" s="1311"/>
    </row>
    <row r="988" spans="27:27" x14ac:dyDescent="0.25">
      <c r="AA988" s="1311"/>
    </row>
    <row r="989" spans="27:27" x14ac:dyDescent="0.25">
      <c r="AA989" s="1311"/>
    </row>
    <row r="990" spans="27:27" x14ac:dyDescent="0.25">
      <c r="AA990" s="1311"/>
    </row>
    <row r="991" spans="27:27" x14ac:dyDescent="0.25">
      <c r="AA991" s="1311"/>
    </row>
    <row r="992" spans="27:27" x14ac:dyDescent="0.25">
      <c r="AA992" s="1311"/>
    </row>
    <row r="993" spans="27:27" x14ac:dyDescent="0.25">
      <c r="AA993" s="1311"/>
    </row>
    <row r="994" spans="27:27" x14ac:dyDescent="0.25">
      <c r="AA994" s="1311"/>
    </row>
    <row r="995" spans="27:27" x14ac:dyDescent="0.25">
      <c r="AA995" s="1311"/>
    </row>
    <row r="996" spans="27:27" x14ac:dyDescent="0.25">
      <c r="AA996" s="1311"/>
    </row>
    <row r="997" spans="27:27" x14ac:dyDescent="0.25">
      <c r="AA997" s="1311"/>
    </row>
    <row r="998" spans="27:27" x14ac:dyDescent="0.25">
      <c r="AA998" s="1311"/>
    </row>
    <row r="999" spans="27:27" x14ac:dyDescent="0.25">
      <c r="AA999" s="1311"/>
    </row>
    <row r="1000" spans="27:27" x14ac:dyDescent="0.25">
      <c r="AA1000" s="1311"/>
    </row>
    <row r="1001" spans="27:27" x14ac:dyDescent="0.25">
      <c r="AA1001" s="1311"/>
    </row>
    <row r="1002" spans="27:27" x14ac:dyDescent="0.25">
      <c r="AA1002" s="1311"/>
    </row>
    <row r="1003" spans="27:27" x14ac:dyDescent="0.25">
      <c r="AA1003" s="1311"/>
    </row>
    <row r="1004" spans="27:27" x14ac:dyDescent="0.25">
      <c r="AA1004" s="1311"/>
    </row>
    <row r="1005" spans="27:27" x14ac:dyDescent="0.25">
      <c r="AA1005" s="1311"/>
    </row>
    <row r="1006" spans="27:27" x14ac:dyDescent="0.25">
      <c r="AA1006" s="1311"/>
    </row>
    <row r="1007" spans="27:27" x14ac:dyDescent="0.25">
      <c r="AA1007" s="1311"/>
    </row>
    <row r="1008" spans="27:27" x14ac:dyDescent="0.25">
      <c r="AA1008" s="1311"/>
    </row>
    <row r="1009" spans="27:27" x14ac:dyDescent="0.25">
      <c r="AA1009" s="1311"/>
    </row>
    <row r="1010" spans="27:27" x14ac:dyDescent="0.25">
      <c r="AA1010" s="1311"/>
    </row>
    <row r="1011" spans="27:27" x14ac:dyDescent="0.25">
      <c r="AA1011" s="1311"/>
    </row>
    <row r="1012" spans="27:27" x14ac:dyDescent="0.25">
      <c r="AA1012" s="1311"/>
    </row>
    <row r="1013" spans="27:27" x14ac:dyDescent="0.25">
      <c r="AA1013" s="1311"/>
    </row>
    <row r="1014" spans="27:27" x14ac:dyDescent="0.25">
      <c r="AA1014" s="1311"/>
    </row>
    <row r="1015" spans="27:27" x14ac:dyDescent="0.25">
      <c r="AA1015" s="1311"/>
    </row>
    <row r="1016" spans="27:27" x14ac:dyDescent="0.25">
      <c r="AA1016" s="1311"/>
    </row>
    <row r="1017" spans="27:27" x14ac:dyDescent="0.25">
      <c r="AA1017" s="1311"/>
    </row>
    <row r="1018" spans="27:27" x14ac:dyDescent="0.25">
      <c r="AA1018" s="1311"/>
    </row>
    <row r="1019" spans="27:27" x14ac:dyDescent="0.25">
      <c r="AA1019" s="1311"/>
    </row>
    <row r="1020" spans="27:27" x14ac:dyDescent="0.25">
      <c r="AA1020" s="1311"/>
    </row>
    <row r="1021" spans="27:27" x14ac:dyDescent="0.25">
      <c r="AA1021" s="1311"/>
    </row>
    <row r="1022" spans="27:27" x14ac:dyDescent="0.25">
      <c r="AA1022" s="1311"/>
    </row>
    <row r="1023" spans="27:27" x14ac:dyDescent="0.25">
      <c r="AA1023" s="1311"/>
    </row>
    <row r="1024" spans="27:27" x14ac:dyDescent="0.25">
      <c r="AA1024" s="1311"/>
    </row>
    <row r="1025" spans="27:27" x14ac:dyDescent="0.25">
      <c r="AA1025" s="1311"/>
    </row>
    <row r="1026" spans="27:27" x14ac:dyDescent="0.25">
      <c r="AA1026" s="1311"/>
    </row>
    <row r="1027" spans="27:27" x14ac:dyDescent="0.25">
      <c r="AA1027" s="1311"/>
    </row>
    <row r="1028" spans="27:27" x14ac:dyDescent="0.25">
      <c r="AA1028" s="1311"/>
    </row>
    <row r="1029" spans="27:27" x14ac:dyDescent="0.25">
      <c r="AA1029" s="1311"/>
    </row>
    <row r="1030" spans="27:27" x14ac:dyDescent="0.25">
      <c r="AA1030" s="1311"/>
    </row>
    <row r="1031" spans="27:27" x14ac:dyDescent="0.25">
      <c r="AA1031" s="1311"/>
    </row>
    <row r="1032" spans="27:27" x14ac:dyDescent="0.25">
      <c r="AA1032" s="1311"/>
    </row>
    <row r="1033" spans="27:27" x14ac:dyDescent="0.25">
      <c r="AA1033" s="1311"/>
    </row>
    <row r="1034" spans="27:27" x14ac:dyDescent="0.25">
      <c r="AA1034" s="1311"/>
    </row>
    <row r="1035" spans="27:27" x14ac:dyDescent="0.25">
      <c r="AA1035" s="1311"/>
    </row>
    <row r="1036" spans="27:27" x14ac:dyDescent="0.25">
      <c r="AA1036" s="1311"/>
    </row>
    <row r="1037" spans="27:27" x14ac:dyDescent="0.25">
      <c r="AA1037" s="1311"/>
    </row>
    <row r="1038" spans="27:27" x14ac:dyDescent="0.25">
      <c r="AA1038" s="1311"/>
    </row>
    <row r="1039" spans="27:27" x14ac:dyDescent="0.25">
      <c r="AA1039" s="1311"/>
    </row>
    <row r="1040" spans="27:27" x14ac:dyDescent="0.25">
      <c r="AA1040" s="1311"/>
    </row>
    <row r="1041" spans="27:27" x14ac:dyDescent="0.25">
      <c r="AA1041" s="1311"/>
    </row>
    <row r="1042" spans="27:27" x14ac:dyDescent="0.25">
      <c r="AA1042" s="1311"/>
    </row>
    <row r="1043" spans="27:27" x14ac:dyDescent="0.25">
      <c r="AA1043" s="1311"/>
    </row>
    <row r="1044" spans="27:27" x14ac:dyDescent="0.25">
      <c r="AA1044" s="1311"/>
    </row>
    <row r="1045" spans="27:27" x14ac:dyDescent="0.25">
      <c r="AA1045" s="1311"/>
    </row>
    <row r="1046" spans="27:27" x14ac:dyDescent="0.25">
      <c r="AA1046" s="1311"/>
    </row>
    <row r="1047" spans="27:27" x14ac:dyDescent="0.25">
      <c r="AA1047" s="1311"/>
    </row>
    <row r="1048" spans="27:27" x14ac:dyDescent="0.25">
      <c r="AA1048" s="1311"/>
    </row>
    <row r="1049" spans="27:27" x14ac:dyDescent="0.25">
      <c r="AA1049" s="1311"/>
    </row>
    <row r="1050" spans="27:27" x14ac:dyDescent="0.25">
      <c r="AA1050" s="1311"/>
    </row>
    <row r="1051" spans="27:27" x14ac:dyDescent="0.25">
      <c r="AA1051" s="1311"/>
    </row>
    <row r="1052" spans="27:27" x14ac:dyDescent="0.25">
      <c r="AA1052" s="1311"/>
    </row>
    <row r="1053" spans="27:27" x14ac:dyDescent="0.25">
      <c r="AA1053" s="1311"/>
    </row>
    <row r="1054" spans="27:27" x14ac:dyDescent="0.25">
      <c r="AA1054" s="1311"/>
    </row>
    <row r="1055" spans="27:27" x14ac:dyDescent="0.25">
      <c r="AA1055" s="1311"/>
    </row>
    <row r="1056" spans="27:27" x14ac:dyDescent="0.25">
      <c r="AA1056" s="1311"/>
    </row>
    <row r="1057" spans="27:27" x14ac:dyDescent="0.25">
      <c r="AA1057" s="1311"/>
    </row>
    <row r="1058" spans="27:27" x14ac:dyDescent="0.25">
      <c r="AA1058" s="1311"/>
    </row>
    <row r="1059" spans="27:27" x14ac:dyDescent="0.25">
      <c r="AA1059" s="1311"/>
    </row>
    <row r="1060" spans="27:27" x14ac:dyDescent="0.25">
      <c r="AA1060" s="1311"/>
    </row>
    <row r="1061" spans="27:27" x14ac:dyDescent="0.25">
      <c r="AA1061" s="1311"/>
    </row>
    <row r="1062" spans="27:27" x14ac:dyDescent="0.25">
      <c r="AA1062" s="1311"/>
    </row>
    <row r="1063" spans="27:27" x14ac:dyDescent="0.25">
      <c r="AA1063" s="1311"/>
    </row>
    <row r="1064" spans="27:27" x14ac:dyDescent="0.25">
      <c r="AA1064" s="1311"/>
    </row>
    <row r="1065" spans="27:27" x14ac:dyDescent="0.25">
      <c r="AA1065" s="1311"/>
    </row>
    <row r="1066" spans="27:27" x14ac:dyDescent="0.25">
      <c r="AA1066" s="1311"/>
    </row>
    <row r="1067" spans="27:27" x14ac:dyDescent="0.25">
      <c r="AA1067" s="1311"/>
    </row>
    <row r="1068" spans="27:27" x14ac:dyDescent="0.25">
      <c r="AA1068" s="1311"/>
    </row>
    <row r="1069" spans="27:27" x14ac:dyDescent="0.25">
      <c r="AA1069" s="1311"/>
    </row>
    <row r="1070" spans="27:27" x14ac:dyDescent="0.25">
      <c r="AA1070" s="1311"/>
    </row>
    <row r="1071" spans="27:27" x14ac:dyDescent="0.25">
      <c r="AA1071" s="1311"/>
    </row>
    <row r="1072" spans="27:27" x14ac:dyDescent="0.25">
      <c r="AA1072" s="1311"/>
    </row>
    <row r="1073" spans="27:27" x14ac:dyDescent="0.25">
      <c r="AA1073" s="1311"/>
    </row>
    <row r="1074" spans="27:27" x14ac:dyDescent="0.25">
      <c r="AA1074" s="1311"/>
    </row>
    <row r="1075" spans="27:27" x14ac:dyDescent="0.25">
      <c r="AA1075" s="1311"/>
    </row>
    <row r="1076" spans="27:27" x14ac:dyDescent="0.25">
      <c r="AA1076" s="1311"/>
    </row>
    <row r="1077" spans="27:27" x14ac:dyDescent="0.25">
      <c r="AA1077" s="1311"/>
    </row>
    <row r="1078" spans="27:27" x14ac:dyDescent="0.25">
      <c r="AA1078" s="1311"/>
    </row>
    <row r="1079" spans="27:27" x14ac:dyDescent="0.25">
      <c r="AA1079" s="1311"/>
    </row>
    <row r="1080" spans="27:27" x14ac:dyDescent="0.25">
      <c r="AA1080" s="1311"/>
    </row>
    <row r="1081" spans="27:27" x14ac:dyDescent="0.25">
      <c r="AA1081" s="1311"/>
    </row>
    <row r="1082" spans="27:27" x14ac:dyDescent="0.25">
      <c r="AA1082" s="1311"/>
    </row>
    <row r="1083" spans="27:27" x14ac:dyDescent="0.25">
      <c r="AA1083" s="1311"/>
    </row>
    <row r="1084" spans="27:27" x14ac:dyDescent="0.25">
      <c r="AA1084" s="1311"/>
    </row>
    <row r="1085" spans="27:27" x14ac:dyDescent="0.25">
      <c r="AA1085" s="1311"/>
    </row>
    <row r="1086" spans="27:27" x14ac:dyDescent="0.25">
      <c r="AA1086" s="1311"/>
    </row>
    <row r="1087" spans="27:27" x14ac:dyDescent="0.25">
      <c r="AA1087" s="1311"/>
    </row>
    <row r="1088" spans="27:27" x14ac:dyDescent="0.25">
      <c r="AA1088" s="1311"/>
    </row>
    <row r="1089" spans="27:27" x14ac:dyDescent="0.25">
      <c r="AA1089" s="1311"/>
    </row>
    <row r="1090" spans="27:27" x14ac:dyDescent="0.25">
      <c r="AA1090" s="1311"/>
    </row>
    <row r="1091" spans="27:27" x14ac:dyDescent="0.25">
      <c r="AA1091" s="1311"/>
    </row>
    <row r="1092" spans="27:27" x14ac:dyDescent="0.25">
      <c r="AA1092" s="1311"/>
    </row>
    <row r="1093" spans="27:27" x14ac:dyDescent="0.25">
      <c r="AA1093" s="1311"/>
    </row>
    <row r="1094" spans="27:27" x14ac:dyDescent="0.25">
      <c r="AA1094" s="1311"/>
    </row>
    <row r="1095" spans="27:27" x14ac:dyDescent="0.25">
      <c r="AA1095" s="1311"/>
    </row>
    <row r="1096" spans="27:27" x14ac:dyDescent="0.25">
      <c r="AA1096" s="1311"/>
    </row>
    <row r="1097" spans="27:27" x14ac:dyDescent="0.25">
      <c r="AA1097" s="1311"/>
    </row>
    <row r="1098" spans="27:27" x14ac:dyDescent="0.25">
      <c r="AA1098" s="1311"/>
    </row>
    <row r="1099" spans="27:27" x14ac:dyDescent="0.25">
      <c r="AA1099" s="1311"/>
    </row>
    <row r="1100" spans="27:27" x14ac:dyDescent="0.25">
      <c r="AA1100" s="1311"/>
    </row>
    <row r="1101" spans="27:27" x14ac:dyDescent="0.25">
      <c r="AA1101" s="1311"/>
    </row>
    <row r="1102" spans="27:27" x14ac:dyDescent="0.25">
      <c r="AA1102" s="1311"/>
    </row>
    <row r="1103" spans="27:27" x14ac:dyDescent="0.25">
      <c r="AA1103" s="1311"/>
    </row>
    <row r="1104" spans="27:27" x14ac:dyDescent="0.25">
      <c r="AA1104" s="1311"/>
    </row>
    <row r="1105" spans="27:27" x14ac:dyDescent="0.25">
      <c r="AA1105" s="1311"/>
    </row>
    <row r="1106" spans="27:27" x14ac:dyDescent="0.25">
      <c r="AA1106" s="1311"/>
    </row>
    <row r="1107" spans="27:27" x14ac:dyDescent="0.25">
      <c r="AA1107" s="1311"/>
    </row>
    <row r="1108" spans="27:27" x14ac:dyDescent="0.25">
      <c r="AA1108" s="1311"/>
    </row>
    <row r="1109" spans="27:27" x14ac:dyDescent="0.25">
      <c r="AA1109" s="1311"/>
    </row>
    <row r="1110" spans="27:27" x14ac:dyDescent="0.25">
      <c r="AA1110" s="1311"/>
    </row>
    <row r="1111" spans="27:27" x14ac:dyDescent="0.25">
      <c r="AA1111" s="1311"/>
    </row>
    <row r="1112" spans="27:27" x14ac:dyDescent="0.25">
      <c r="AA1112" s="1311"/>
    </row>
    <row r="1113" spans="27:27" x14ac:dyDescent="0.25">
      <c r="AA1113" s="1311"/>
    </row>
    <row r="1114" spans="27:27" x14ac:dyDescent="0.25">
      <c r="AA1114" s="1311"/>
    </row>
    <row r="1115" spans="27:27" x14ac:dyDescent="0.25">
      <c r="AA1115" s="1311"/>
    </row>
    <row r="1116" spans="27:27" x14ac:dyDescent="0.25">
      <c r="AA1116" s="1311"/>
    </row>
    <row r="1117" spans="27:27" x14ac:dyDescent="0.25">
      <c r="AA1117" s="1311"/>
    </row>
    <row r="1118" spans="27:27" x14ac:dyDescent="0.25">
      <c r="AA1118" s="1311"/>
    </row>
    <row r="1119" spans="27:27" x14ac:dyDescent="0.25">
      <c r="AA1119" s="1311"/>
    </row>
    <row r="1120" spans="27:27" x14ac:dyDescent="0.25">
      <c r="AA1120" s="1311"/>
    </row>
    <row r="1121" spans="27:27" x14ac:dyDescent="0.25">
      <c r="AA1121" s="1311"/>
    </row>
    <row r="1122" spans="27:27" x14ac:dyDescent="0.25">
      <c r="AA1122" s="1311"/>
    </row>
    <row r="1123" spans="27:27" x14ac:dyDescent="0.25">
      <c r="AA1123" s="1311"/>
    </row>
    <row r="1124" spans="27:27" x14ac:dyDescent="0.25">
      <c r="AA1124" s="1311"/>
    </row>
    <row r="1125" spans="27:27" x14ac:dyDescent="0.25">
      <c r="AA1125" s="1311"/>
    </row>
    <row r="1126" spans="27:27" x14ac:dyDescent="0.25">
      <c r="AA1126" s="1311"/>
    </row>
    <row r="1127" spans="27:27" x14ac:dyDescent="0.25">
      <c r="AA1127" s="1311"/>
    </row>
    <row r="1128" spans="27:27" x14ac:dyDescent="0.25">
      <c r="AA1128" s="1311"/>
    </row>
    <row r="1129" spans="27:27" x14ac:dyDescent="0.25">
      <c r="AA1129" s="1311"/>
    </row>
    <row r="1130" spans="27:27" x14ac:dyDescent="0.25">
      <c r="AA1130" s="1311"/>
    </row>
    <row r="1131" spans="27:27" x14ac:dyDescent="0.25">
      <c r="AA1131" s="1311"/>
    </row>
    <row r="1132" spans="27:27" x14ac:dyDescent="0.25">
      <c r="AA1132" s="1311"/>
    </row>
    <row r="1133" spans="27:27" x14ac:dyDescent="0.25">
      <c r="AA1133" s="1311"/>
    </row>
    <row r="1134" spans="27:27" x14ac:dyDescent="0.25">
      <c r="AA1134" s="1311"/>
    </row>
    <row r="1135" spans="27:27" x14ac:dyDescent="0.25">
      <c r="AA1135" s="1311"/>
    </row>
    <row r="1136" spans="27:27" x14ac:dyDescent="0.25">
      <c r="AA1136" s="1311"/>
    </row>
    <row r="1137" spans="27:27" x14ac:dyDescent="0.25">
      <c r="AA1137" s="1311"/>
    </row>
    <row r="1138" spans="27:27" x14ac:dyDescent="0.25">
      <c r="AA1138" s="1311"/>
    </row>
    <row r="1139" spans="27:27" x14ac:dyDescent="0.25">
      <c r="AA1139" s="1311"/>
    </row>
    <row r="1140" spans="27:27" x14ac:dyDescent="0.25">
      <c r="AA1140" s="1311"/>
    </row>
    <row r="1141" spans="27:27" x14ac:dyDescent="0.25">
      <c r="AA1141" s="1311"/>
    </row>
    <row r="1142" spans="27:27" x14ac:dyDescent="0.25">
      <c r="AA1142" s="1311"/>
    </row>
    <row r="1143" spans="27:27" x14ac:dyDescent="0.25">
      <c r="AA1143" s="1311"/>
    </row>
    <row r="1144" spans="27:27" x14ac:dyDescent="0.25">
      <c r="AA1144" s="1311"/>
    </row>
    <row r="1145" spans="27:27" x14ac:dyDescent="0.25">
      <c r="AA1145" s="1311"/>
    </row>
    <row r="1146" spans="27:27" x14ac:dyDescent="0.25">
      <c r="AA1146" s="1311"/>
    </row>
    <row r="1147" spans="27:27" x14ac:dyDescent="0.25">
      <c r="AA1147" s="1311"/>
    </row>
    <row r="1148" spans="27:27" x14ac:dyDescent="0.25">
      <c r="AA1148" s="1311"/>
    </row>
    <row r="1149" spans="27:27" x14ac:dyDescent="0.25">
      <c r="AA1149" s="1311"/>
    </row>
    <row r="1150" spans="27:27" x14ac:dyDescent="0.25">
      <c r="AA1150" s="1311"/>
    </row>
    <row r="1151" spans="27:27" x14ac:dyDescent="0.25">
      <c r="AA1151" s="1311"/>
    </row>
    <row r="1152" spans="27:27" x14ac:dyDescent="0.25">
      <c r="AA1152" s="1311"/>
    </row>
    <row r="1153" spans="27:27" x14ac:dyDescent="0.25">
      <c r="AA1153" s="1311"/>
    </row>
    <row r="1154" spans="27:27" x14ac:dyDescent="0.25">
      <c r="AA1154" s="1311"/>
    </row>
    <row r="1155" spans="27:27" x14ac:dyDescent="0.25">
      <c r="AA1155" s="1311"/>
    </row>
    <row r="1156" spans="27:27" x14ac:dyDescent="0.25">
      <c r="AA1156" s="1311"/>
    </row>
    <row r="1157" spans="27:27" x14ac:dyDescent="0.25">
      <c r="AA1157" s="1311"/>
    </row>
    <row r="1158" spans="27:27" x14ac:dyDescent="0.25">
      <c r="AA1158" s="1311"/>
    </row>
    <row r="1159" spans="27:27" x14ac:dyDescent="0.25">
      <c r="AA1159" s="1311"/>
    </row>
    <row r="1160" spans="27:27" x14ac:dyDescent="0.25">
      <c r="AA1160" s="1311"/>
    </row>
    <row r="1161" spans="27:27" x14ac:dyDescent="0.25">
      <c r="AA1161" s="1311"/>
    </row>
    <row r="1162" spans="27:27" x14ac:dyDescent="0.25">
      <c r="AA1162" s="1311"/>
    </row>
    <row r="1163" spans="27:27" x14ac:dyDescent="0.25">
      <c r="AA1163" s="1311"/>
    </row>
    <row r="1164" spans="27:27" x14ac:dyDescent="0.25">
      <c r="AA1164" s="1311"/>
    </row>
    <row r="1165" spans="27:27" x14ac:dyDescent="0.25">
      <c r="AA1165" s="1311"/>
    </row>
    <row r="1166" spans="27:27" x14ac:dyDescent="0.25">
      <c r="AA1166" s="1311"/>
    </row>
    <row r="1167" spans="27:27" x14ac:dyDescent="0.25">
      <c r="AA1167" s="1311"/>
    </row>
    <row r="1168" spans="27:27" x14ac:dyDescent="0.25">
      <c r="AA1168" s="1311"/>
    </row>
    <row r="1169" spans="27:27" x14ac:dyDescent="0.25">
      <c r="AA1169" s="1311"/>
    </row>
    <row r="1170" spans="27:27" x14ac:dyDescent="0.25">
      <c r="AA1170" s="1311"/>
    </row>
    <row r="1171" spans="27:27" x14ac:dyDescent="0.25">
      <c r="AA1171" s="1311"/>
    </row>
    <row r="1172" spans="27:27" x14ac:dyDescent="0.25">
      <c r="AA1172" s="1311"/>
    </row>
    <row r="1173" spans="27:27" x14ac:dyDescent="0.25">
      <c r="AA1173" s="1311"/>
    </row>
    <row r="1174" spans="27:27" x14ac:dyDescent="0.25">
      <c r="AA1174" s="1311"/>
    </row>
    <row r="1175" spans="27:27" x14ac:dyDescent="0.25">
      <c r="AA1175" s="1311"/>
    </row>
    <row r="1176" spans="27:27" x14ac:dyDescent="0.25">
      <c r="AA1176" s="1311"/>
    </row>
    <row r="1177" spans="27:27" x14ac:dyDescent="0.25">
      <c r="AA1177" s="1311"/>
    </row>
    <row r="1178" spans="27:27" x14ac:dyDescent="0.25">
      <c r="AA1178" s="1311"/>
    </row>
    <row r="1179" spans="27:27" x14ac:dyDescent="0.25">
      <c r="AA1179" s="1311"/>
    </row>
    <row r="1180" spans="27:27" x14ac:dyDescent="0.25">
      <c r="AA1180" s="1311"/>
    </row>
    <row r="1181" spans="27:27" x14ac:dyDescent="0.25">
      <c r="AA1181" s="1311"/>
    </row>
    <row r="1182" spans="27:27" x14ac:dyDescent="0.25">
      <c r="AA1182" s="1311"/>
    </row>
    <row r="1183" spans="27:27" x14ac:dyDescent="0.25">
      <c r="AA1183" s="1311"/>
    </row>
    <row r="1184" spans="27:27" x14ac:dyDescent="0.25">
      <c r="AA1184" s="1311"/>
    </row>
    <row r="1185" spans="27:27" x14ac:dyDescent="0.25">
      <c r="AA1185" s="1311"/>
    </row>
    <row r="1186" spans="27:27" x14ac:dyDescent="0.25">
      <c r="AA1186" s="1311"/>
    </row>
    <row r="1187" spans="27:27" x14ac:dyDescent="0.25">
      <c r="AA1187" s="1311"/>
    </row>
    <row r="1188" spans="27:27" x14ac:dyDescent="0.25">
      <c r="AA1188" s="1311"/>
    </row>
    <row r="1189" spans="27:27" x14ac:dyDescent="0.25">
      <c r="AA1189" s="1311"/>
    </row>
    <row r="1190" spans="27:27" x14ac:dyDescent="0.25">
      <c r="AA1190" s="1311"/>
    </row>
    <row r="1191" spans="27:27" x14ac:dyDescent="0.25">
      <c r="AA1191" s="1311"/>
    </row>
    <row r="1192" spans="27:27" x14ac:dyDescent="0.25">
      <c r="AA1192" s="1311"/>
    </row>
    <row r="1193" spans="27:27" x14ac:dyDescent="0.25">
      <c r="AA1193" s="1311"/>
    </row>
    <row r="1194" spans="27:27" x14ac:dyDescent="0.25">
      <c r="AA1194" s="1311"/>
    </row>
    <row r="1195" spans="27:27" x14ac:dyDescent="0.25">
      <c r="AA1195" s="1311"/>
    </row>
    <row r="1196" spans="27:27" x14ac:dyDescent="0.25">
      <c r="AA1196" s="1311"/>
    </row>
    <row r="1197" spans="27:27" x14ac:dyDescent="0.25">
      <c r="AA1197" s="1311"/>
    </row>
    <row r="1198" spans="27:27" x14ac:dyDescent="0.25">
      <c r="AA1198" s="1311"/>
    </row>
    <row r="1199" spans="27:27" x14ac:dyDescent="0.25">
      <c r="AA1199" s="1311"/>
    </row>
    <row r="1200" spans="27:27" x14ac:dyDescent="0.25">
      <c r="AA1200" s="1311"/>
    </row>
    <row r="1201" spans="27:27" x14ac:dyDescent="0.25">
      <c r="AA1201" s="1311"/>
    </row>
    <row r="1202" spans="27:27" x14ac:dyDescent="0.25">
      <c r="AA1202" s="1311"/>
    </row>
    <row r="1203" spans="27:27" x14ac:dyDescent="0.25">
      <c r="AA1203" s="1311"/>
    </row>
    <row r="1204" spans="27:27" x14ac:dyDescent="0.25">
      <c r="AA1204" s="1311"/>
    </row>
    <row r="1205" spans="27:27" x14ac:dyDescent="0.25">
      <c r="AA1205" s="1311"/>
    </row>
    <row r="1206" spans="27:27" x14ac:dyDescent="0.25">
      <c r="AA1206" s="1311"/>
    </row>
    <row r="1207" spans="27:27" x14ac:dyDescent="0.25">
      <c r="AA1207" s="1311"/>
    </row>
    <row r="1208" spans="27:27" x14ac:dyDescent="0.25">
      <c r="AA1208" s="1311"/>
    </row>
    <row r="1209" spans="27:27" x14ac:dyDescent="0.25">
      <c r="AA1209" s="1311"/>
    </row>
    <row r="1210" spans="27:27" x14ac:dyDescent="0.25">
      <c r="AA1210" s="1311"/>
    </row>
    <row r="1211" spans="27:27" x14ac:dyDescent="0.25">
      <c r="AA1211" s="1311"/>
    </row>
    <row r="1212" spans="27:27" x14ac:dyDescent="0.25">
      <c r="AA1212" s="1311"/>
    </row>
    <row r="1213" spans="27:27" x14ac:dyDescent="0.25">
      <c r="AA1213" s="1311"/>
    </row>
    <row r="1214" spans="27:27" x14ac:dyDescent="0.25">
      <c r="AA1214" s="1311"/>
    </row>
    <row r="1215" spans="27:27" x14ac:dyDescent="0.25">
      <c r="AA1215" s="1311"/>
    </row>
    <row r="1216" spans="27:27" x14ac:dyDescent="0.25">
      <c r="AA1216" s="1311"/>
    </row>
    <row r="1217" spans="27:27" x14ac:dyDescent="0.25">
      <c r="AA1217" s="1311"/>
    </row>
    <row r="1218" spans="27:27" x14ac:dyDescent="0.25">
      <c r="AA1218" s="1311"/>
    </row>
    <row r="1219" spans="27:27" x14ac:dyDescent="0.25">
      <c r="AA1219" s="1311"/>
    </row>
    <row r="1220" spans="27:27" x14ac:dyDescent="0.25">
      <c r="AA1220" s="1311"/>
    </row>
    <row r="1221" spans="27:27" x14ac:dyDescent="0.25">
      <c r="AA1221" s="1311"/>
    </row>
    <row r="1222" spans="27:27" x14ac:dyDescent="0.25">
      <c r="AA1222" s="1311"/>
    </row>
    <row r="1223" spans="27:27" x14ac:dyDescent="0.25">
      <c r="AA1223" s="1311"/>
    </row>
    <row r="1224" spans="27:27" x14ac:dyDescent="0.25">
      <c r="AA1224" s="1311"/>
    </row>
    <row r="1225" spans="27:27" x14ac:dyDescent="0.25">
      <c r="AA1225" s="1311"/>
    </row>
    <row r="1226" spans="27:27" x14ac:dyDescent="0.25">
      <c r="AA1226" s="1311"/>
    </row>
    <row r="1227" spans="27:27" x14ac:dyDescent="0.25">
      <c r="AA1227" s="1311"/>
    </row>
    <row r="1228" spans="27:27" x14ac:dyDescent="0.25">
      <c r="AA1228" s="1311"/>
    </row>
    <row r="1229" spans="27:27" x14ac:dyDescent="0.25">
      <c r="AA1229" s="1311"/>
    </row>
    <row r="1230" spans="27:27" x14ac:dyDescent="0.25">
      <c r="AA1230" s="1311"/>
    </row>
    <row r="1231" spans="27:27" x14ac:dyDescent="0.25">
      <c r="AA1231" s="1311"/>
    </row>
    <row r="1232" spans="27:27" x14ac:dyDescent="0.25">
      <c r="AA1232" s="1311"/>
    </row>
    <row r="1233" spans="27:27" x14ac:dyDescent="0.25">
      <c r="AA1233" s="1311"/>
    </row>
    <row r="1234" spans="27:27" x14ac:dyDescent="0.25">
      <c r="AA1234" s="1311"/>
    </row>
    <row r="1235" spans="27:27" x14ac:dyDescent="0.25">
      <c r="AA1235" s="1311"/>
    </row>
    <row r="1236" spans="27:27" x14ac:dyDescent="0.25">
      <c r="AA1236" s="1311"/>
    </row>
    <row r="1237" spans="27:27" x14ac:dyDescent="0.25">
      <c r="AA1237" s="1311"/>
    </row>
    <row r="1238" spans="27:27" x14ac:dyDescent="0.25">
      <c r="AA1238" s="1311"/>
    </row>
    <row r="1239" spans="27:27" x14ac:dyDescent="0.25">
      <c r="AA1239" s="1311"/>
    </row>
    <row r="1240" spans="27:27" x14ac:dyDescent="0.25">
      <c r="AA1240" s="1311"/>
    </row>
    <row r="1241" spans="27:27" x14ac:dyDescent="0.25">
      <c r="AA1241" s="1311"/>
    </row>
    <row r="1242" spans="27:27" x14ac:dyDescent="0.25">
      <c r="AA1242" s="1311"/>
    </row>
    <row r="1243" spans="27:27" x14ac:dyDescent="0.25">
      <c r="AA1243" s="1311"/>
    </row>
    <row r="1244" spans="27:27" x14ac:dyDescent="0.25">
      <c r="AA1244" s="1311"/>
    </row>
    <row r="1245" spans="27:27" x14ac:dyDescent="0.25">
      <c r="AA1245" s="1311"/>
    </row>
    <row r="1246" spans="27:27" x14ac:dyDescent="0.25">
      <c r="AA1246" s="1311"/>
    </row>
    <row r="1247" spans="27:27" x14ac:dyDescent="0.25">
      <c r="AA1247" s="1311"/>
    </row>
    <row r="1248" spans="27:27" x14ac:dyDescent="0.25">
      <c r="AA1248" s="1311"/>
    </row>
    <row r="1249" spans="27:27" x14ac:dyDescent="0.25">
      <c r="AA1249" s="1311"/>
    </row>
    <row r="1250" spans="27:27" x14ac:dyDescent="0.25">
      <c r="AA1250" s="1311"/>
    </row>
    <row r="1251" spans="27:27" x14ac:dyDescent="0.25">
      <c r="AA1251" s="1311"/>
    </row>
    <row r="1252" spans="27:27" x14ac:dyDescent="0.25">
      <c r="AA1252" s="1311"/>
    </row>
    <row r="1253" spans="27:27" x14ac:dyDescent="0.25">
      <c r="AA1253" s="1311"/>
    </row>
    <row r="1254" spans="27:27" x14ac:dyDescent="0.25">
      <c r="AA1254" s="1311"/>
    </row>
    <row r="1255" spans="27:27" x14ac:dyDescent="0.25">
      <c r="AA1255" s="1311"/>
    </row>
    <row r="1256" spans="27:27" x14ac:dyDescent="0.25">
      <c r="AA1256" s="1311"/>
    </row>
    <row r="1257" spans="27:27" x14ac:dyDescent="0.25">
      <c r="AA1257" s="1311"/>
    </row>
    <row r="1258" spans="27:27" x14ac:dyDescent="0.25">
      <c r="AA1258" s="1311"/>
    </row>
    <row r="1259" spans="27:27" x14ac:dyDescent="0.25">
      <c r="AA1259" s="1311"/>
    </row>
    <row r="1260" spans="27:27" x14ac:dyDescent="0.25">
      <c r="AA1260" s="1311"/>
    </row>
    <row r="1261" spans="27:27" x14ac:dyDescent="0.25">
      <c r="AA1261" s="1311"/>
    </row>
    <row r="1262" spans="27:27" x14ac:dyDescent="0.25">
      <c r="AA1262" s="1311"/>
    </row>
    <row r="1263" spans="27:27" x14ac:dyDescent="0.25">
      <c r="AA1263" s="1311"/>
    </row>
    <row r="1264" spans="27:27" x14ac:dyDescent="0.25">
      <c r="AA1264" s="1311"/>
    </row>
    <row r="1265" spans="27:27" x14ac:dyDescent="0.25">
      <c r="AA1265" s="1311"/>
    </row>
    <row r="1266" spans="27:27" x14ac:dyDescent="0.25">
      <c r="AA1266" s="1311"/>
    </row>
    <row r="1267" spans="27:27" x14ac:dyDescent="0.25">
      <c r="AA1267" s="1311"/>
    </row>
    <row r="1268" spans="27:27" x14ac:dyDescent="0.25">
      <c r="AA1268" s="1311"/>
    </row>
    <row r="1269" spans="27:27" x14ac:dyDescent="0.25">
      <c r="AA1269" s="1311"/>
    </row>
    <row r="1270" spans="27:27" x14ac:dyDescent="0.25">
      <c r="AA1270" s="1311"/>
    </row>
    <row r="1271" spans="27:27" x14ac:dyDescent="0.25">
      <c r="AA1271" s="1311"/>
    </row>
    <row r="1272" spans="27:27" x14ac:dyDescent="0.25">
      <c r="AA1272" s="1311"/>
    </row>
    <row r="1273" spans="27:27" x14ac:dyDescent="0.25">
      <c r="AA1273" s="1311"/>
    </row>
    <row r="1274" spans="27:27" x14ac:dyDescent="0.25">
      <c r="AA1274" s="1311"/>
    </row>
    <row r="1275" spans="27:27" x14ac:dyDescent="0.25">
      <c r="AA1275" s="1311"/>
    </row>
    <row r="1276" spans="27:27" x14ac:dyDescent="0.25">
      <c r="AA1276" s="1311"/>
    </row>
    <row r="1277" spans="27:27" x14ac:dyDescent="0.25">
      <c r="AA1277" s="1311"/>
    </row>
    <row r="1278" spans="27:27" x14ac:dyDescent="0.25">
      <c r="AA1278" s="1311"/>
    </row>
    <row r="1279" spans="27:27" x14ac:dyDescent="0.25">
      <c r="AA1279" s="1311"/>
    </row>
    <row r="1280" spans="27:27" x14ac:dyDescent="0.25">
      <c r="AA1280" s="1311"/>
    </row>
    <row r="1281" spans="27:27" x14ac:dyDescent="0.25">
      <c r="AA1281" s="1311"/>
    </row>
    <row r="1282" spans="27:27" x14ac:dyDescent="0.25">
      <c r="AA1282" s="1311"/>
    </row>
    <row r="1283" spans="27:27" x14ac:dyDescent="0.25">
      <c r="AA1283" s="1311"/>
    </row>
    <row r="1284" spans="27:27" x14ac:dyDescent="0.25">
      <c r="AA1284" s="1311"/>
    </row>
    <row r="1285" spans="27:27" x14ac:dyDescent="0.25">
      <c r="AA1285" s="1311"/>
    </row>
    <row r="1286" spans="27:27" x14ac:dyDescent="0.25">
      <c r="AA1286" s="1311"/>
    </row>
    <row r="1287" spans="27:27" x14ac:dyDescent="0.25">
      <c r="AA1287" s="1311"/>
    </row>
    <row r="1288" spans="27:27" x14ac:dyDescent="0.25">
      <c r="AA1288" s="1311"/>
    </row>
    <row r="1289" spans="27:27" x14ac:dyDescent="0.25">
      <c r="AA1289" s="1311"/>
    </row>
    <row r="1290" spans="27:27" x14ac:dyDescent="0.25">
      <c r="AA1290" s="1311"/>
    </row>
    <row r="1291" spans="27:27" x14ac:dyDescent="0.25">
      <c r="AA1291" s="1311"/>
    </row>
    <row r="1292" spans="27:27" x14ac:dyDescent="0.25">
      <c r="AA1292" s="1311"/>
    </row>
    <row r="1293" spans="27:27" x14ac:dyDescent="0.25">
      <c r="AA1293" s="1311"/>
    </row>
    <row r="1294" spans="27:27" x14ac:dyDescent="0.25">
      <c r="AA1294" s="1311"/>
    </row>
    <row r="1295" spans="27:27" x14ac:dyDescent="0.25">
      <c r="AA1295" s="1311"/>
    </row>
    <row r="1296" spans="27:27" x14ac:dyDescent="0.25">
      <c r="AA1296" s="1311"/>
    </row>
    <row r="1297" spans="27:27" x14ac:dyDescent="0.25">
      <c r="AA1297" s="1311"/>
    </row>
    <row r="1298" spans="27:27" x14ac:dyDescent="0.25">
      <c r="AA1298" s="1311"/>
    </row>
    <row r="1299" spans="27:27" x14ac:dyDescent="0.25">
      <c r="AA1299" s="1311"/>
    </row>
    <row r="1300" spans="27:27" x14ac:dyDescent="0.25">
      <c r="AA1300" s="1311"/>
    </row>
    <row r="1301" spans="27:27" x14ac:dyDescent="0.25">
      <c r="AA1301" s="1311"/>
    </row>
    <row r="1302" spans="27:27" x14ac:dyDescent="0.25">
      <c r="AA1302" s="1311"/>
    </row>
    <row r="1303" spans="27:27" x14ac:dyDescent="0.25">
      <c r="AA1303" s="1311"/>
    </row>
    <row r="1304" spans="27:27" x14ac:dyDescent="0.25">
      <c r="AA1304" s="1311"/>
    </row>
    <row r="1305" spans="27:27" x14ac:dyDescent="0.25">
      <c r="AA1305" s="1311"/>
    </row>
    <row r="1306" spans="27:27" x14ac:dyDescent="0.25">
      <c r="AA1306" s="1311"/>
    </row>
    <row r="1307" spans="27:27" x14ac:dyDescent="0.25">
      <c r="AA1307" s="1311"/>
    </row>
    <row r="1308" spans="27:27" x14ac:dyDescent="0.25">
      <c r="AA1308" s="1311"/>
    </row>
    <row r="1309" spans="27:27" x14ac:dyDescent="0.25">
      <c r="AA1309" s="1311"/>
    </row>
    <row r="1310" spans="27:27" x14ac:dyDescent="0.25">
      <c r="AA1310" s="1311"/>
    </row>
    <row r="1311" spans="27:27" x14ac:dyDescent="0.25">
      <c r="AA1311" s="1311"/>
    </row>
    <row r="1312" spans="27:27" x14ac:dyDescent="0.25">
      <c r="AA1312" s="1311"/>
    </row>
    <row r="1313" spans="27:27" x14ac:dyDescent="0.25">
      <c r="AA1313" s="1311"/>
    </row>
    <row r="1314" spans="27:27" x14ac:dyDescent="0.25">
      <c r="AA1314" s="1311"/>
    </row>
    <row r="1315" spans="27:27" x14ac:dyDescent="0.25">
      <c r="AA1315" s="1311"/>
    </row>
    <row r="1316" spans="27:27" x14ac:dyDescent="0.25">
      <c r="AA1316" s="1311"/>
    </row>
    <row r="1317" spans="27:27" x14ac:dyDescent="0.25">
      <c r="AA1317" s="1311"/>
    </row>
    <row r="1318" spans="27:27" x14ac:dyDescent="0.25">
      <c r="AA1318" s="1311"/>
    </row>
    <row r="1319" spans="27:27" x14ac:dyDescent="0.25">
      <c r="AA1319" s="1311"/>
    </row>
    <row r="1320" spans="27:27" x14ac:dyDescent="0.25">
      <c r="AA1320" s="1311"/>
    </row>
    <row r="1321" spans="27:27" x14ac:dyDescent="0.25">
      <c r="AA1321" s="1311"/>
    </row>
    <row r="1322" spans="27:27" x14ac:dyDescent="0.25">
      <c r="AA1322" s="1311"/>
    </row>
    <row r="1323" spans="27:27" x14ac:dyDescent="0.25">
      <c r="AA1323" s="1311"/>
    </row>
    <row r="1324" spans="27:27" x14ac:dyDescent="0.25">
      <c r="AA1324" s="1311"/>
    </row>
    <row r="1325" spans="27:27" x14ac:dyDescent="0.25">
      <c r="AA1325" s="1311"/>
    </row>
    <row r="1326" spans="27:27" x14ac:dyDescent="0.25">
      <c r="AA1326" s="1311"/>
    </row>
    <row r="1327" spans="27:27" x14ac:dyDescent="0.25">
      <c r="AA1327" s="1311"/>
    </row>
    <row r="1328" spans="27:27" x14ac:dyDescent="0.25">
      <c r="AA1328" s="1311"/>
    </row>
    <row r="1329" spans="27:27" x14ac:dyDescent="0.25">
      <c r="AA1329" s="1311"/>
    </row>
    <row r="1330" spans="27:27" x14ac:dyDescent="0.25">
      <c r="AA1330" s="1311"/>
    </row>
    <row r="1331" spans="27:27" x14ac:dyDescent="0.25">
      <c r="AA1331" s="1311"/>
    </row>
    <row r="1332" spans="27:27" x14ac:dyDescent="0.25">
      <c r="AA1332" s="1311"/>
    </row>
    <row r="1333" spans="27:27" x14ac:dyDescent="0.25">
      <c r="AA1333" s="1311"/>
    </row>
    <row r="1334" spans="27:27" x14ac:dyDescent="0.25">
      <c r="AA1334" s="1311"/>
    </row>
    <row r="1335" spans="27:27" x14ac:dyDescent="0.25">
      <c r="AA1335" s="1311"/>
    </row>
    <row r="1336" spans="27:27" x14ac:dyDescent="0.25">
      <c r="AA1336" s="1311"/>
    </row>
    <row r="1337" spans="27:27" x14ac:dyDescent="0.25">
      <c r="AA1337" s="1311"/>
    </row>
    <row r="1338" spans="27:27" x14ac:dyDescent="0.25">
      <c r="AA1338" s="1311"/>
    </row>
    <row r="1339" spans="27:27" x14ac:dyDescent="0.25">
      <c r="AA1339" s="1311"/>
    </row>
    <row r="1340" spans="27:27" x14ac:dyDescent="0.25">
      <c r="AA1340" s="1311"/>
    </row>
    <row r="1341" spans="27:27" x14ac:dyDescent="0.25">
      <c r="AA1341" s="1311"/>
    </row>
    <row r="1342" spans="27:27" x14ac:dyDescent="0.25">
      <c r="AA1342" s="1311"/>
    </row>
    <row r="1343" spans="27:27" x14ac:dyDescent="0.25">
      <c r="AA1343" s="1311"/>
    </row>
    <row r="1344" spans="27:27" x14ac:dyDescent="0.25">
      <c r="AA1344" s="1311"/>
    </row>
    <row r="1345" spans="27:27" x14ac:dyDescent="0.25">
      <c r="AA1345" s="1311"/>
    </row>
    <row r="1346" spans="27:27" x14ac:dyDescent="0.25">
      <c r="AA1346" s="1311"/>
    </row>
    <row r="1347" spans="27:27" x14ac:dyDescent="0.25">
      <c r="AA1347" s="1311"/>
    </row>
    <row r="1348" spans="27:27" x14ac:dyDescent="0.25">
      <c r="AA1348" s="1311"/>
    </row>
    <row r="1349" spans="27:27" x14ac:dyDescent="0.25">
      <c r="AA1349" s="1311"/>
    </row>
    <row r="1350" spans="27:27" x14ac:dyDescent="0.25">
      <c r="AA1350" s="1311"/>
    </row>
    <row r="1351" spans="27:27" x14ac:dyDescent="0.25">
      <c r="AA1351" s="1311"/>
    </row>
    <row r="1352" spans="27:27" x14ac:dyDescent="0.25">
      <c r="AA1352" s="1311"/>
    </row>
    <row r="1353" spans="27:27" x14ac:dyDescent="0.25">
      <c r="AA1353" s="1311"/>
    </row>
    <row r="1354" spans="27:27" x14ac:dyDescent="0.25">
      <c r="AA1354" s="1311"/>
    </row>
    <row r="1355" spans="27:27" x14ac:dyDescent="0.25">
      <c r="AA1355" s="1311"/>
    </row>
    <row r="1356" spans="27:27" x14ac:dyDescent="0.25">
      <c r="AA1356" s="1311"/>
    </row>
    <row r="1357" spans="27:27" x14ac:dyDescent="0.25">
      <c r="AA1357" s="1311"/>
    </row>
    <row r="1358" spans="27:27" x14ac:dyDescent="0.25">
      <c r="AA1358" s="1311"/>
    </row>
    <row r="1359" spans="27:27" x14ac:dyDescent="0.25">
      <c r="AA1359" s="1311"/>
    </row>
    <row r="1360" spans="27:27" x14ac:dyDescent="0.25">
      <c r="AA1360" s="1311"/>
    </row>
    <row r="1361" spans="27:27" x14ac:dyDescent="0.25">
      <c r="AA1361" s="1311"/>
    </row>
    <row r="1362" spans="27:27" x14ac:dyDescent="0.25">
      <c r="AA1362" s="1311"/>
    </row>
    <row r="1363" spans="27:27" x14ac:dyDescent="0.25">
      <c r="AA1363" s="1311"/>
    </row>
    <row r="1364" spans="27:27" x14ac:dyDescent="0.25">
      <c r="AA1364" s="1311"/>
    </row>
    <row r="1365" spans="27:27" x14ac:dyDescent="0.25">
      <c r="AA1365" s="1311"/>
    </row>
    <row r="1366" spans="27:27" x14ac:dyDescent="0.25">
      <c r="AA1366" s="1311"/>
    </row>
    <row r="1367" spans="27:27" x14ac:dyDescent="0.25">
      <c r="AA1367" s="1311"/>
    </row>
    <row r="1368" spans="27:27" x14ac:dyDescent="0.25">
      <c r="AA1368" s="1311"/>
    </row>
    <row r="1369" spans="27:27" x14ac:dyDescent="0.25">
      <c r="AA1369" s="1311"/>
    </row>
    <row r="1370" spans="27:27" x14ac:dyDescent="0.25">
      <c r="AA1370" s="1311"/>
    </row>
    <row r="1371" spans="27:27" x14ac:dyDescent="0.25">
      <c r="AA1371" s="1311"/>
    </row>
    <row r="1372" spans="27:27" x14ac:dyDescent="0.25">
      <c r="AA1372" s="1311"/>
    </row>
    <row r="1373" spans="27:27" x14ac:dyDescent="0.25">
      <c r="AA1373" s="1311"/>
    </row>
    <row r="1374" spans="27:27" x14ac:dyDescent="0.25">
      <c r="AA1374" s="1311"/>
    </row>
    <row r="1375" spans="27:27" x14ac:dyDescent="0.25">
      <c r="AA1375" s="1311"/>
    </row>
    <row r="1376" spans="27:27" x14ac:dyDescent="0.25">
      <c r="AA1376" s="1311"/>
    </row>
    <row r="1377" spans="27:27" x14ac:dyDescent="0.25">
      <c r="AA1377" s="1311"/>
    </row>
    <row r="1378" spans="27:27" x14ac:dyDescent="0.25">
      <c r="AA1378" s="1311"/>
    </row>
    <row r="1379" spans="27:27" x14ac:dyDescent="0.25">
      <c r="AA1379" s="1311"/>
    </row>
    <row r="1380" spans="27:27" x14ac:dyDescent="0.25">
      <c r="AA1380" s="1311"/>
    </row>
    <row r="1381" spans="27:27" x14ac:dyDescent="0.25">
      <c r="AA1381" s="1311"/>
    </row>
    <row r="1382" spans="27:27" x14ac:dyDescent="0.25">
      <c r="AA1382" s="1311"/>
    </row>
    <row r="1383" spans="27:27" x14ac:dyDescent="0.25">
      <c r="AA1383" s="1311"/>
    </row>
    <row r="1384" spans="27:27" x14ac:dyDescent="0.25">
      <c r="AA1384" s="1311"/>
    </row>
    <row r="1385" spans="27:27" x14ac:dyDescent="0.25">
      <c r="AA1385" s="1311"/>
    </row>
    <row r="1386" spans="27:27" x14ac:dyDescent="0.25">
      <c r="AA1386" s="1311"/>
    </row>
    <row r="1387" spans="27:27" x14ac:dyDescent="0.25">
      <c r="AA1387" s="1311"/>
    </row>
    <row r="1388" spans="27:27" x14ac:dyDescent="0.25">
      <c r="AA1388" s="1311"/>
    </row>
    <row r="1389" spans="27:27" x14ac:dyDescent="0.25">
      <c r="AA1389" s="1311"/>
    </row>
    <row r="1390" spans="27:27" x14ac:dyDescent="0.25">
      <c r="AA1390" s="1311"/>
    </row>
    <row r="1391" spans="27:27" x14ac:dyDescent="0.25">
      <c r="AA1391" s="1311"/>
    </row>
    <row r="1392" spans="27:27" x14ac:dyDescent="0.25">
      <c r="AA1392" s="1311"/>
    </row>
    <row r="1393" spans="27:27" x14ac:dyDescent="0.25">
      <c r="AA1393" s="1311"/>
    </row>
    <row r="1394" spans="27:27" x14ac:dyDescent="0.25">
      <c r="AA1394" s="1311"/>
    </row>
    <row r="1395" spans="27:27" x14ac:dyDescent="0.25">
      <c r="AA1395" s="1311"/>
    </row>
    <row r="1396" spans="27:27" x14ac:dyDescent="0.25">
      <c r="AA1396" s="1311"/>
    </row>
    <row r="1397" spans="27:27" x14ac:dyDescent="0.25">
      <c r="AA1397" s="1311"/>
    </row>
    <row r="1398" spans="27:27" x14ac:dyDescent="0.25">
      <c r="AA1398" s="1311"/>
    </row>
    <row r="1399" spans="27:27" x14ac:dyDescent="0.25">
      <c r="AA1399" s="1311"/>
    </row>
    <row r="1400" spans="27:27" x14ac:dyDescent="0.25">
      <c r="AA1400" s="1311"/>
    </row>
    <row r="1401" spans="27:27" x14ac:dyDescent="0.25">
      <c r="AA1401" s="1311"/>
    </row>
    <row r="1402" spans="27:27" x14ac:dyDescent="0.25">
      <c r="AA1402" s="1311"/>
    </row>
    <row r="1403" spans="27:27" x14ac:dyDescent="0.25">
      <c r="AA1403" s="1311"/>
    </row>
    <row r="1404" spans="27:27" x14ac:dyDescent="0.25">
      <c r="AA1404" s="1311"/>
    </row>
    <row r="1405" spans="27:27" x14ac:dyDescent="0.25">
      <c r="AA1405" s="1311"/>
    </row>
    <row r="1406" spans="27:27" x14ac:dyDescent="0.25">
      <c r="AA1406" s="1311"/>
    </row>
    <row r="1407" spans="27:27" x14ac:dyDescent="0.25">
      <c r="AA1407" s="1311"/>
    </row>
    <row r="1408" spans="27:27" x14ac:dyDescent="0.25">
      <c r="AA1408" s="1311"/>
    </row>
    <row r="1409" spans="27:27" x14ac:dyDescent="0.25">
      <c r="AA1409" s="1311"/>
    </row>
    <row r="1410" spans="27:27" x14ac:dyDescent="0.25">
      <c r="AA1410" s="1311"/>
    </row>
    <row r="1411" spans="27:27" x14ac:dyDescent="0.25">
      <c r="AA1411" s="1311"/>
    </row>
    <row r="1412" spans="27:27" x14ac:dyDescent="0.25">
      <c r="AA1412" s="1311"/>
    </row>
    <row r="1413" spans="27:27" x14ac:dyDescent="0.25">
      <c r="AA1413" s="1311"/>
    </row>
    <row r="1414" spans="27:27" x14ac:dyDescent="0.25">
      <c r="AA1414" s="1311"/>
    </row>
    <row r="1415" spans="27:27" x14ac:dyDescent="0.25">
      <c r="AA1415" s="1311"/>
    </row>
    <row r="1416" spans="27:27" x14ac:dyDescent="0.25">
      <c r="AA1416" s="1311"/>
    </row>
    <row r="1417" spans="27:27" x14ac:dyDescent="0.25">
      <c r="AA1417" s="1311"/>
    </row>
    <row r="1418" spans="27:27" x14ac:dyDescent="0.25">
      <c r="AA1418" s="1311"/>
    </row>
    <row r="1419" spans="27:27" x14ac:dyDescent="0.25">
      <c r="AA1419" s="1311"/>
    </row>
    <row r="1420" spans="27:27" x14ac:dyDescent="0.25">
      <c r="AA1420" s="1311"/>
    </row>
    <row r="1421" spans="27:27" x14ac:dyDescent="0.25">
      <c r="AA1421" s="1311"/>
    </row>
    <row r="1422" spans="27:27" x14ac:dyDescent="0.25">
      <c r="AA1422" s="1311"/>
    </row>
    <row r="1423" spans="27:27" x14ac:dyDescent="0.25">
      <c r="AA1423" s="1311"/>
    </row>
    <row r="1424" spans="27:27" x14ac:dyDescent="0.25">
      <c r="AA1424" s="1311"/>
    </row>
    <row r="1425" spans="27:27" x14ac:dyDescent="0.25">
      <c r="AA1425" s="1311"/>
    </row>
    <row r="1426" spans="27:27" x14ac:dyDescent="0.25">
      <c r="AA1426" s="1311"/>
    </row>
    <row r="1427" spans="27:27" x14ac:dyDescent="0.25">
      <c r="AA1427" s="1311"/>
    </row>
    <row r="1428" spans="27:27" x14ac:dyDescent="0.25">
      <c r="AA1428" s="1311"/>
    </row>
    <row r="1429" spans="27:27" x14ac:dyDescent="0.25">
      <c r="AA1429" s="1311"/>
    </row>
    <row r="1430" spans="27:27" x14ac:dyDescent="0.25">
      <c r="AA1430" s="1311"/>
    </row>
    <row r="1431" spans="27:27" x14ac:dyDescent="0.25">
      <c r="AA1431" s="1311"/>
    </row>
    <row r="1432" spans="27:27" x14ac:dyDescent="0.25">
      <c r="AA1432" s="1311"/>
    </row>
    <row r="1433" spans="27:27" x14ac:dyDescent="0.25">
      <c r="AA1433" s="1311"/>
    </row>
    <row r="1434" spans="27:27" x14ac:dyDescent="0.25">
      <c r="AA1434" s="1311"/>
    </row>
    <row r="1435" spans="27:27" x14ac:dyDescent="0.25">
      <c r="AA1435" s="1311"/>
    </row>
    <row r="1436" spans="27:27" x14ac:dyDescent="0.25">
      <c r="AA1436" s="1311"/>
    </row>
    <row r="1437" spans="27:27" x14ac:dyDescent="0.25">
      <c r="AA1437" s="1311"/>
    </row>
    <row r="1438" spans="27:27" x14ac:dyDescent="0.25">
      <c r="AA1438" s="1311"/>
    </row>
    <row r="1439" spans="27:27" x14ac:dyDescent="0.25">
      <c r="AA1439" s="1311"/>
    </row>
    <row r="1440" spans="27:27" x14ac:dyDescent="0.25">
      <c r="AA1440" s="1311"/>
    </row>
    <row r="1441" spans="27:27" x14ac:dyDescent="0.25">
      <c r="AA1441" s="1311"/>
    </row>
    <row r="1442" spans="27:27" x14ac:dyDescent="0.25">
      <c r="AA1442" s="1311"/>
    </row>
    <row r="1443" spans="27:27" x14ac:dyDescent="0.25">
      <c r="AA1443" s="1311"/>
    </row>
    <row r="1444" spans="27:27" x14ac:dyDescent="0.25">
      <c r="AA1444" s="1311"/>
    </row>
    <row r="1445" spans="27:27" x14ac:dyDescent="0.25">
      <c r="AA1445" s="1311"/>
    </row>
    <row r="1446" spans="27:27" x14ac:dyDescent="0.25">
      <c r="AA1446" s="1311"/>
    </row>
    <row r="1447" spans="27:27" x14ac:dyDescent="0.25">
      <c r="AA1447" s="1311"/>
    </row>
    <row r="1448" spans="27:27" x14ac:dyDescent="0.25">
      <c r="AA1448" s="1311"/>
    </row>
    <row r="1449" spans="27:27" x14ac:dyDescent="0.25">
      <c r="AA1449" s="1311"/>
    </row>
    <row r="1450" spans="27:27" x14ac:dyDescent="0.25">
      <c r="AA1450" s="1311"/>
    </row>
    <row r="1451" spans="27:27" x14ac:dyDescent="0.25">
      <c r="AA1451" s="1311"/>
    </row>
    <row r="1452" spans="27:27" x14ac:dyDescent="0.25">
      <c r="AA1452" s="1311"/>
    </row>
    <row r="1453" spans="27:27" x14ac:dyDescent="0.25">
      <c r="AA1453" s="1311"/>
    </row>
    <row r="1454" spans="27:27" x14ac:dyDescent="0.25">
      <c r="AA1454" s="1311"/>
    </row>
    <row r="1455" spans="27:27" x14ac:dyDescent="0.25">
      <c r="AA1455" s="1311"/>
    </row>
    <row r="1456" spans="27:27" x14ac:dyDescent="0.25">
      <c r="AA1456" s="1311"/>
    </row>
    <row r="1457" spans="27:27" x14ac:dyDescent="0.25">
      <c r="AA1457" s="1311"/>
    </row>
    <row r="1458" spans="27:27" x14ac:dyDescent="0.25">
      <c r="AA1458" s="1311"/>
    </row>
    <row r="1459" spans="27:27" x14ac:dyDescent="0.25">
      <c r="AA1459" s="1311"/>
    </row>
    <row r="1460" spans="27:27" x14ac:dyDescent="0.25">
      <c r="AA1460" s="1311"/>
    </row>
    <row r="1461" spans="27:27" x14ac:dyDescent="0.25">
      <c r="AA1461" s="1311"/>
    </row>
    <row r="1462" spans="27:27" x14ac:dyDescent="0.25">
      <c r="AA1462" s="1311"/>
    </row>
    <row r="1463" spans="27:27" x14ac:dyDescent="0.25">
      <c r="AA1463" s="1311"/>
    </row>
    <row r="1464" spans="27:27" x14ac:dyDescent="0.25">
      <c r="AA1464" s="1311"/>
    </row>
    <row r="1465" spans="27:27" x14ac:dyDescent="0.25">
      <c r="AA1465" s="1311"/>
    </row>
    <row r="1466" spans="27:27" x14ac:dyDescent="0.25">
      <c r="AA1466" s="1311"/>
    </row>
    <row r="1467" spans="27:27" x14ac:dyDescent="0.25">
      <c r="AA1467" s="1311"/>
    </row>
    <row r="1468" spans="27:27" x14ac:dyDescent="0.25">
      <c r="AA1468" s="1311"/>
    </row>
    <row r="1469" spans="27:27" x14ac:dyDescent="0.25">
      <c r="AA1469" s="1311"/>
    </row>
    <row r="1470" spans="27:27" x14ac:dyDescent="0.25">
      <c r="AA1470" s="1311"/>
    </row>
    <row r="1471" spans="27:27" x14ac:dyDescent="0.25">
      <c r="AA1471" s="1311"/>
    </row>
    <row r="1472" spans="27:27" x14ac:dyDescent="0.25">
      <c r="AA1472" s="1311"/>
    </row>
    <row r="1473" spans="27:27" x14ac:dyDescent="0.25">
      <c r="AA1473" s="1311"/>
    </row>
    <row r="1474" spans="27:27" x14ac:dyDescent="0.25">
      <c r="AA1474" s="1311"/>
    </row>
    <row r="1475" spans="27:27" x14ac:dyDescent="0.25">
      <c r="AA1475" s="1311"/>
    </row>
    <row r="1476" spans="27:27" x14ac:dyDescent="0.25">
      <c r="AA1476" s="1311"/>
    </row>
    <row r="1477" spans="27:27" x14ac:dyDescent="0.25">
      <c r="AA1477" s="1311"/>
    </row>
    <row r="1478" spans="27:27" x14ac:dyDescent="0.25">
      <c r="AA1478" s="1311"/>
    </row>
    <row r="1479" spans="27:27" x14ac:dyDescent="0.25">
      <c r="AA1479" s="1311"/>
    </row>
    <row r="1480" spans="27:27" x14ac:dyDescent="0.25">
      <c r="AA1480" s="1311"/>
    </row>
    <row r="1481" spans="27:27" x14ac:dyDescent="0.25">
      <c r="AA1481" s="1311"/>
    </row>
    <row r="1482" spans="27:27" x14ac:dyDescent="0.25">
      <c r="AA1482" s="1311"/>
    </row>
    <row r="1483" spans="27:27" x14ac:dyDescent="0.25">
      <c r="AA1483" s="1311"/>
    </row>
    <row r="1484" spans="27:27" x14ac:dyDescent="0.25">
      <c r="AA1484" s="1311"/>
    </row>
    <row r="1485" spans="27:27" x14ac:dyDescent="0.25">
      <c r="AA1485" s="1311"/>
    </row>
    <row r="1486" spans="27:27" x14ac:dyDescent="0.25">
      <c r="AA1486" s="1311"/>
    </row>
    <row r="1487" spans="27:27" x14ac:dyDescent="0.25">
      <c r="AA1487" s="1311"/>
    </row>
    <row r="1488" spans="27:27" x14ac:dyDescent="0.25">
      <c r="AA1488" s="1311"/>
    </row>
    <row r="1489" spans="27:27" x14ac:dyDescent="0.25">
      <c r="AA1489" s="1311"/>
    </row>
    <row r="1490" spans="27:27" x14ac:dyDescent="0.25">
      <c r="AA1490" s="1311"/>
    </row>
    <row r="1491" spans="27:27" x14ac:dyDescent="0.25">
      <c r="AA1491" s="1311"/>
    </row>
    <row r="1492" spans="27:27" x14ac:dyDescent="0.25">
      <c r="AA1492" s="1311"/>
    </row>
    <row r="1493" spans="27:27" x14ac:dyDescent="0.25">
      <c r="AA1493" s="1311"/>
    </row>
    <row r="1494" spans="27:27" x14ac:dyDescent="0.25">
      <c r="AA1494" s="1311"/>
    </row>
    <row r="1495" spans="27:27" x14ac:dyDescent="0.25">
      <c r="AA1495" s="1311"/>
    </row>
    <row r="1496" spans="27:27" x14ac:dyDescent="0.25">
      <c r="AA1496" s="1311"/>
    </row>
    <row r="1497" spans="27:27" x14ac:dyDescent="0.25">
      <c r="AA1497" s="1311"/>
    </row>
    <row r="1498" spans="27:27" x14ac:dyDescent="0.25">
      <c r="AA1498" s="1311"/>
    </row>
    <row r="1499" spans="27:27" x14ac:dyDescent="0.25">
      <c r="AA1499" s="1311"/>
    </row>
    <row r="1500" spans="27:27" x14ac:dyDescent="0.25">
      <c r="AA1500" s="1311"/>
    </row>
    <row r="1501" spans="27:27" x14ac:dyDescent="0.25">
      <c r="AA1501" s="1311"/>
    </row>
    <row r="1502" spans="27:27" x14ac:dyDescent="0.25">
      <c r="AA1502" s="1311"/>
    </row>
    <row r="1503" spans="27:27" x14ac:dyDescent="0.25">
      <c r="AA1503" s="1311"/>
    </row>
    <row r="1504" spans="27:27" x14ac:dyDescent="0.25">
      <c r="AA1504" s="1311"/>
    </row>
    <row r="1505" spans="27:27" x14ac:dyDescent="0.25">
      <c r="AA1505" s="1311"/>
    </row>
    <row r="1506" spans="27:27" x14ac:dyDescent="0.25">
      <c r="AA1506" s="1311"/>
    </row>
    <row r="1507" spans="27:27" x14ac:dyDescent="0.25">
      <c r="AA1507" s="1311"/>
    </row>
    <row r="1508" spans="27:27" x14ac:dyDescent="0.25">
      <c r="AA1508" s="1311"/>
    </row>
    <row r="1509" spans="27:27" x14ac:dyDescent="0.25">
      <c r="AA1509" s="1311"/>
    </row>
    <row r="1510" spans="27:27" x14ac:dyDescent="0.25">
      <c r="AA1510" s="1311"/>
    </row>
    <row r="1511" spans="27:27" x14ac:dyDescent="0.25">
      <c r="AA1511" s="1311"/>
    </row>
    <row r="1512" spans="27:27" x14ac:dyDescent="0.25">
      <c r="AA1512" s="1311"/>
    </row>
    <row r="1513" spans="27:27" x14ac:dyDescent="0.25">
      <c r="AA1513" s="1311"/>
    </row>
    <row r="1514" spans="27:27" x14ac:dyDescent="0.25">
      <c r="AA1514" s="1311"/>
    </row>
    <row r="1515" spans="27:27" x14ac:dyDescent="0.25">
      <c r="AA1515" s="1311"/>
    </row>
    <row r="1516" spans="27:27" x14ac:dyDescent="0.25">
      <c r="AA1516" s="1311"/>
    </row>
    <row r="1517" spans="27:27" x14ac:dyDescent="0.25">
      <c r="AA1517" s="1311"/>
    </row>
    <row r="1518" spans="27:27" x14ac:dyDescent="0.25">
      <c r="AA1518" s="1311"/>
    </row>
    <row r="1519" spans="27:27" x14ac:dyDescent="0.25">
      <c r="AA1519" s="1311"/>
    </row>
    <row r="1520" spans="27:27" x14ac:dyDescent="0.25">
      <c r="AA1520" s="1311"/>
    </row>
    <row r="1521" spans="27:27" x14ac:dyDescent="0.25">
      <c r="AA1521" s="1311"/>
    </row>
    <row r="1522" spans="27:27" x14ac:dyDescent="0.25">
      <c r="AA1522" s="1311"/>
    </row>
    <row r="1523" spans="27:27" x14ac:dyDescent="0.25">
      <c r="AA1523" s="1311"/>
    </row>
    <row r="1524" spans="27:27" x14ac:dyDescent="0.25">
      <c r="AA1524" s="1311"/>
    </row>
    <row r="1525" spans="27:27" x14ac:dyDescent="0.25">
      <c r="AA1525" s="1311"/>
    </row>
    <row r="1526" spans="27:27" x14ac:dyDescent="0.25">
      <c r="AA1526" s="1311"/>
    </row>
    <row r="1527" spans="27:27" x14ac:dyDescent="0.25">
      <c r="AA1527" s="1311"/>
    </row>
    <row r="1528" spans="27:27" x14ac:dyDescent="0.25">
      <c r="AA1528" s="1311"/>
    </row>
    <row r="1529" spans="27:27" x14ac:dyDescent="0.25">
      <c r="AA1529" s="1311"/>
    </row>
    <row r="1530" spans="27:27" x14ac:dyDescent="0.25">
      <c r="AA1530" s="1311"/>
    </row>
    <row r="1531" spans="27:27" x14ac:dyDescent="0.25">
      <c r="AA1531" s="1311"/>
    </row>
    <row r="1532" spans="27:27" x14ac:dyDescent="0.25">
      <c r="AA1532" s="1311"/>
    </row>
    <row r="1533" spans="27:27" x14ac:dyDescent="0.25">
      <c r="AA1533" s="1311"/>
    </row>
    <row r="1534" spans="27:27" x14ac:dyDescent="0.25">
      <c r="AA1534" s="1311"/>
    </row>
    <row r="1535" spans="27:27" x14ac:dyDescent="0.25">
      <c r="AA1535" s="1311"/>
    </row>
    <row r="1536" spans="27:27" x14ac:dyDescent="0.25">
      <c r="AA1536" s="1311"/>
    </row>
    <row r="1537" spans="27:27" x14ac:dyDescent="0.25">
      <c r="AA1537" s="1311"/>
    </row>
    <row r="1538" spans="27:27" x14ac:dyDescent="0.25">
      <c r="AA1538" s="1311"/>
    </row>
    <row r="1539" spans="27:27" x14ac:dyDescent="0.25">
      <c r="AA1539" s="1311"/>
    </row>
    <row r="1540" spans="27:27" x14ac:dyDescent="0.25">
      <c r="AA1540" s="1311"/>
    </row>
    <row r="1541" spans="27:27" x14ac:dyDescent="0.25">
      <c r="AA1541" s="1311"/>
    </row>
    <row r="1542" spans="27:27" x14ac:dyDescent="0.25">
      <c r="AA1542" s="1311"/>
    </row>
    <row r="1543" spans="27:27" x14ac:dyDescent="0.25">
      <c r="AA1543" s="1311"/>
    </row>
    <row r="1544" spans="27:27" x14ac:dyDescent="0.25">
      <c r="AA1544" s="1311"/>
    </row>
    <row r="1545" spans="27:27" x14ac:dyDescent="0.25">
      <c r="AA1545" s="1311"/>
    </row>
    <row r="1546" spans="27:27" x14ac:dyDescent="0.25">
      <c r="AA1546" s="1311"/>
    </row>
    <row r="1547" spans="27:27" x14ac:dyDescent="0.25">
      <c r="AA1547" s="1311"/>
    </row>
    <row r="1548" spans="27:27" x14ac:dyDescent="0.25">
      <c r="AA1548" s="1311"/>
    </row>
    <row r="1549" spans="27:27" x14ac:dyDescent="0.25">
      <c r="AA1549" s="1311"/>
    </row>
    <row r="1550" spans="27:27" x14ac:dyDescent="0.25">
      <c r="AA1550" s="1311"/>
    </row>
    <row r="1551" spans="27:27" x14ac:dyDescent="0.25">
      <c r="AA1551" s="1311"/>
    </row>
    <row r="1552" spans="27:27" x14ac:dyDescent="0.25">
      <c r="AA1552" s="1311"/>
    </row>
    <row r="1553" spans="27:27" x14ac:dyDescent="0.25">
      <c r="AA1553" s="1311"/>
    </row>
    <row r="1554" spans="27:27" x14ac:dyDescent="0.25">
      <c r="AA1554" s="1311"/>
    </row>
  </sheetData>
  <mergeCells count="7">
    <mergeCell ref="A196:J196"/>
    <mergeCell ref="A1:I1"/>
    <mergeCell ref="A3:A5"/>
    <mergeCell ref="B3:I3"/>
    <mergeCell ref="K3:W3"/>
    <mergeCell ref="K4:K5"/>
    <mergeCell ref="A195:J195"/>
  </mergeCells>
  <printOptions horizontalCentered="1"/>
  <pageMargins left="0.75" right="0.75" top="0.75" bottom="0.75" header="0.3"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CM150"/>
  <sheetViews>
    <sheetView showGridLines="0" zoomScale="85" zoomScaleNormal="85" zoomScaleSheetLayoutView="80" workbookViewId="0">
      <pane xSplit="1" ySplit="4" topLeftCell="V5" activePane="bottomRight" state="frozen"/>
      <selection activeCell="A38" sqref="A38"/>
      <selection pane="topRight" activeCell="A38" sqref="A38"/>
      <selection pane="bottomLeft" activeCell="A38" sqref="A38"/>
      <selection pane="bottomRight" activeCell="A38" sqref="A38"/>
    </sheetView>
  </sheetViews>
  <sheetFormatPr defaultColWidth="10.42578125" defaultRowHeight="15" customHeight="1" x14ac:dyDescent="0.25"/>
  <cols>
    <col min="1" max="1" width="72.7109375" style="2531" customWidth="1"/>
    <col min="2" max="2" width="17.85546875" style="2534" hidden="1" customWidth="1"/>
    <col min="3" max="5" width="14.42578125" style="2534" hidden="1" customWidth="1"/>
    <col min="6" max="7" width="14.42578125" style="2531" hidden="1" customWidth="1"/>
    <col min="8" max="8" width="12.85546875" style="2531" hidden="1" customWidth="1"/>
    <col min="9" max="16" width="14.42578125" style="2531" hidden="1" customWidth="1"/>
    <col min="17" max="21" width="14.7109375" style="2531" hidden="1" customWidth="1"/>
    <col min="22" max="30" width="14.7109375" style="2531" customWidth="1"/>
    <col min="31" max="31" width="12.42578125" style="2531" customWidth="1"/>
    <col min="32" max="183" width="6.42578125" style="2531" customWidth="1"/>
    <col min="184" max="184" width="56.140625" style="2531" customWidth="1"/>
    <col min="185" max="187" width="10.42578125" style="2531" hidden="1" customWidth="1"/>
    <col min="188" max="188" width="56.140625" style="2531" customWidth="1"/>
    <col min="189" max="192" width="13.7109375" style="2531" customWidth="1"/>
    <col min="193" max="193" width="5.140625" style="2531" customWidth="1"/>
    <col min="194" max="194" width="3.42578125" style="2531" customWidth="1"/>
    <col min="195" max="199" width="12.42578125" style="2531" bestFit="1" customWidth="1"/>
    <col min="200" max="200" width="16" style="2531" bestFit="1" customWidth="1"/>
    <col min="201" max="224" width="10.42578125" style="2531" hidden="1" customWidth="1"/>
    <col min="225" max="225" width="6.42578125" style="2531" customWidth="1"/>
    <col min="226" max="226" width="7" style="2531" bestFit="1" customWidth="1"/>
    <col min="227" max="439" width="6.42578125" style="2531" customWidth="1"/>
    <col min="440" max="440" width="56.140625" style="2531" customWidth="1"/>
    <col min="441" max="443" width="10.42578125" style="2531" hidden="1" customWidth="1"/>
    <col min="444" max="444" width="56.140625" style="2531" customWidth="1"/>
    <col min="445" max="448" width="13.7109375" style="2531" customWidth="1"/>
    <col min="449" max="449" width="5.140625" style="2531" customWidth="1"/>
    <col min="450" max="450" width="3.42578125" style="2531" customWidth="1"/>
    <col min="451" max="455" width="12.42578125" style="2531" bestFit="1" customWidth="1"/>
    <col min="456" max="456" width="16" style="2531" bestFit="1" customWidth="1"/>
    <col min="457" max="480" width="10.42578125" style="2531" hidden="1" customWidth="1"/>
    <col min="481" max="481" width="6.42578125" style="2531" customWidth="1"/>
    <col min="482" max="482" width="7" style="2531" bestFit="1" customWidth="1"/>
    <col min="483" max="695" width="6.42578125" style="2531" customWidth="1"/>
    <col min="696" max="696" width="56.140625" style="2531" customWidth="1"/>
    <col min="697" max="699" width="10.42578125" style="2531" hidden="1" customWidth="1"/>
    <col min="700" max="700" width="56.140625" style="2531" customWidth="1"/>
    <col min="701" max="704" width="13.7109375" style="2531" customWidth="1"/>
    <col min="705" max="705" width="5.140625" style="2531" customWidth="1"/>
    <col min="706" max="706" width="3.42578125" style="2531" customWidth="1"/>
    <col min="707" max="711" width="12.42578125" style="2531" bestFit="1" customWidth="1"/>
    <col min="712" max="712" width="16" style="2531" bestFit="1" customWidth="1"/>
    <col min="713" max="736" width="10.42578125" style="2531" hidden="1" customWidth="1"/>
    <col min="737" max="737" width="6.42578125" style="2531" customWidth="1"/>
    <col min="738" max="738" width="7" style="2531" bestFit="1" customWidth="1"/>
    <col min="739" max="951" width="6.42578125" style="2531" customWidth="1"/>
    <col min="952" max="952" width="56.140625" style="2531" customWidth="1"/>
    <col min="953" max="955" width="10.42578125" style="2531" hidden="1" customWidth="1"/>
    <col min="956" max="956" width="56.140625" style="2531" customWidth="1"/>
    <col min="957" max="960" width="13.7109375" style="2531" customWidth="1"/>
    <col min="961" max="961" width="5.140625" style="2531" customWidth="1"/>
    <col min="962" max="962" width="3.42578125" style="2531" customWidth="1"/>
    <col min="963" max="967" width="12.42578125" style="2531" bestFit="1" customWidth="1"/>
    <col min="968" max="968" width="16" style="2531" bestFit="1" customWidth="1"/>
    <col min="969" max="992" width="10.42578125" style="2531" hidden="1" customWidth="1"/>
    <col min="993" max="993" width="6.42578125" style="2531" customWidth="1"/>
    <col min="994" max="994" width="7" style="2531" bestFit="1" customWidth="1"/>
    <col min="995" max="1207" width="6.42578125" style="2531" customWidth="1"/>
    <col min="1208" max="1208" width="56.140625" style="2531" customWidth="1"/>
    <col min="1209" max="1211" width="10.42578125" style="2531" hidden="1" customWidth="1"/>
    <col min="1212" max="1212" width="56.140625" style="2531" customWidth="1"/>
    <col min="1213" max="1216" width="13.7109375" style="2531" customWidth="1"/>
    <col min="1217" max="1217" width="5.140625" style="2531" customWidth="1"/>
    <col min="1218" max="1218" width="3.42578125" style="2531" customWidth="1"/>
    <col min="1219" max="1223" width="12.42578125" style="2531" bestFit="1" customWidth="1"/>
    <col min="1224" max="1224" width="16" style="2531" bestFit="1" customWidth="1"/>
    <col min="1225" max="1248" width="10.42578125" style="2531" hidden="1" customWidth="1"/>
    <col min="1249" max="1249" width="6.42578125" style="2531" customWidth="1"/>
    <col min="1250" max="1250" width="7" style="2531" bestFit="1" customWidth="1"/>
    <col min="1251" max="1463" width="6.42578125" style="2531" customWidth="1"/>
    <col min="1464" max="1464" width="56.140625" style="2531" customWidth="1"/>
    <col min="1465" max="1467" width="10.42578125" style="2531" hidden="1" customWidth="1"/>
    <col min="1468" max="1468" width="56.140625" style="2531" customWidth="1"/>
    <col min="1469" max="1472" width="13.7109375" style="2531" customWidth="1"/>
    <col min="1473" max="1473" width="5.140625" style="2531" customWidth="1"/>
    <col min="1474" max="1474" width="3.42578125" style="2531" customWidth="1"/>
    <col min="1475" max="1479" width="12.42578125" style="2531" bestFit="1" customWidth="1"/>
    <col min="1480" max="1480" width="16" style="2531" bestFit="1" customWidth="1"/>
    <col min="1481" max="1504" width="10.42578125" style="2531" hidden="1" customWidth="1"/>
    <col min="1505" max="1505" width="6.42578125" style="2531" customWidth="1"/>
    <col min="1506" max="1506" width="7" style="2531" bestFit="1" customWidth="1"/>
    <col min="1507" max="1719" width="6.42578125" style="2531" customWidth="1"/>
    <col min="1720" max="1720" width="56.140625" style="2531" customWidth="1"/>
    <col min="1721" max="1723" width="10.42578125" style="2531" hidden="1" customWidth="1"/>
    <col min="1724" max="1724" width="56.140625" style="2531" customWidth="1"/>
    <col min="1725" max="1728" width="13.7109375" style="2531" customWidth="1"/>
    <col min="1729" max="1729" width="5.140625" style="2531" customWidth="1"/>
    <col min="1730" max="1730" width="3.42578125" style="2531" customWidth="1"/>
    <col min="1731" max="1735" width="12.42578125" style="2531" bestFit="1" customWidth="1"/>
    <col min="1736" max="1736" width="16" style="2531" bestFit="1" customWidth="1"/>
    <col min="1737" max="1760" width="10.42578125" style="2531" hidden="1" customWidth="1"/>
    <col min="1761" max="1761" width="6.42578125" style="2531" customWidth="1"/>
    <col min="1762" max="1762" width="7" style="2531" bestFit="1" customWidth="1"/>
    <col min="1763" max="1975" width="6.42578125" style="2531" customWidth="1"/>
    <col min="1976" max="1976" width="56.140625" style="2531" customWidth="1"/>
    <col min="1977" max="1979" width="10.42578125" style="2531" hidden="1" customWidth="1"/>
    <col min="1980" max="1980" width="56.140625" style="2531" customWidth="1"/>
    <col min="1981" max="1984" width="13.7109375" style="2531" customWidth="1"/>
    <col min="1985" max="1985" width="5.140625" style="2531" customWidth="1"/>
    <col min="1986" max="1986" width="3.42578125" style="2531" customWidth="1"/>
    <col min="1987" max="1991" width="12.42578125" style="2531" bestFit="1" customWidth="1"/>
    <col min="1992" max="1992" width="16" style="2531" bestFit="1" customWidth="1"/>
    <col min="1993" max="2016" width="10.42578125" style="2531" hidden="1" customWidth="1"/>
    <col min="2017" max="2017" width="6.42578125" style="2531" customWidth="1"/>
    <col min="2018" max="2018" width="7" style="2531" bestFit="1" customWidth="1"/>
    <col min="2019" max="2231" width="6.42578125" style="2531" customWidth="1"/>
    <col min="2232" max="2232" width="56.140625" style="2531" customWidth="1"/>
    <col min="2233" max="2235" width="10.42578125" style="2531" hidden="1" customWidth="1"/>
    <col min="2236" max="2236" width="56.140625" style="2531" customWidth="1"/>
    <col min="2237" max="2240" width="13.7109375" style="2531" customWidth="1"/>
    <col min="2241" max="2241" width="5.140625" style="2531" customWidth="1"/>
    <col min="2242" max="2242" width="3.42578125" style="2531" customWidth="1"/>
    <col min="2243" max="2247" width="12.42578125" style="2531" bestFit="1" customWidth="1"/>
    <col min="2248" max="2248" width="16" style="2531" bestFit="1" customWidth="1"/>
    <col min="2249" max="2272" width="10.42578125" style="2531" hidden="1" customWidth="1"/>
    <col min="2273" max="2273" width="6.42578125" style="2531" customWidth="1"/>
    <col min="2274" max="2274" width="7" style="2531" bestFit="1" customWidth="1"/>
    <col min="2275" max="2487" width="6.42578125" style="2531" customWidth="1"/>
    <col min="2488" max="2488" width="56.140625" style="2531" customWidth="1"/>
    <col min="2489" max="2491" width="10.42578125" style="2531" hidden="1" customWidth="1"/>
    <col min="2492" max="2492" width="56.140625" style="2531" customWidth="1"/>
    <col min="2493" max="2496" width="13.7109375" style="2531" customWidth="1"/>
    <col min="2497" max="2497" width="5.140625" style="2531" customWidth="1"/>
    <col min="2498" max="2498" width="3.42578125" style="2531" customWidth="1"/>
    <col min="2499" max="2503" width="12.42578125" style="2531" bestFit="1" customWidth="1"/>
    <col min="2504" max="2504" width="16" style="2531" bestFit="1" customWidth="1"/>
    <col min="2505" max="2528" width="10.42578125" style="2531" hidden="1" customWidth="1"/>
    <col min="2529" max="2529" width="6.42578125" style="2531" customWidth="1"/>
    <col min="2530" max="2530" width="7" style="2531" bestFit="1" customWidth="1"/>
    <col min="2531" max="2743" width="6.42578125" style="2531" customWidth="1"/>
    <col min="2744" max="2744" width="56.140625" style="2531" customWidth="1"/>
    <col min="2745" max="2747" width="10.42578125" style="2531" hidden="1" customWidth="1"/>
    <col min="2748" max="2748" width="56.140625" style="2531" customWidth="1"/>
    <col min="2749" max="2752" width="13.7109375" style="2531" customWidth="1"/>
    <col min="2753" max="2753" width="5.140625" style="2531" customWidth="1"/>
    <col min="2754" max="2754" width="3.42578125" style="2531" customWidth="1"/>
    <col min="2755" max="2759" width="12.42578125" style="2531" bestFit="1" customWidth="1"/>
    <col min="2760" max="2760" width="16" style="2531" bestFit="1" customWidth="1"/>
    <col min="2761" max="2784" width="10.42578125" style="2531" hidden="1" customWidth="1"/>
    <col min="2785" max="2785" width="6.42578125" style="2531" customWidth="1"/>
    <col min="2786" max="2786" width="7" style="2531" bestFit="1" customWidth="1"/>
    <col min="2787" max="2999" width="6.42578125" style="2531" customWidth="1"/>
    <col min="3000" max="3000" width="56.140625" style="2531" customWidth="1"/>
    <col min="3001" max="3003" width="10.42578125" style="2531" hidden="1" customWidth="1"/>
    <col min="3004" max="3004" width="56.140625" style="2531" customWidth="1"/>
    <col min="3005" max="3008" width="13.7109375" style="2531" customWidth="1"/>
    <col min="3009" max="3009" width="5.140625" style="2531" customWidth="1"/>
    <col min="3010" max="3010" width="3.42578125" style="2531" customWidth="1"/>
    <col min="3011" max="3015" width="12.42578125" style="2531" bestFit="1" customWidth="1"/>
    <col min="3016" max="3016" width="16" style="2531" bestFit="1" customWidth="1"/>
    <col min="3017" max="3040" width="10.42578125" style="2531" hidden="1" customWidth="1"/>
    <col min="3041" max="3041" width="6.42578125" style="2531" customWidth="1"/>
    <col min="3042" max="3042" width="7" style="2531" bestFit="1" customWidth="1"/>
    <col min="3043" max="3255" width="6.42578125" style="2531" customWidth="1"/>
    <col min="3256" max="3256" width="56.140625" style="2531" customWidth="1"/>
    <col min="3257" max="3259" width="10.42578125" style="2531" hidden="1" customWidth="1"/>
    <col min="3260" max="3260" width="56.140625" style="2531" customWidth="1"/>
    <col min="3261" max="3264" width="13.7109375" style="2531" customWidth="1"/>
    <col min="3265" max="3265" width="5.140625" style="2531" customWidth="1"/>
    <col min="3266" max="3266" width="3.42578125" style="2531" customWidth="1"/>
    <col min="3267" max="3271" width="12.42578125" style="2531" bestFit="1" customWidth="1"/>
    <col min="3272" max="3272" width="16" style="2531" bestFit="1" customWidth="1"/>
    <col min="3273" max="3296" width="10.42578125" style="2531" hidden="1" customWidth="1"/>
    <col min="3297" max="3297" width="6.42578125" style="2531" customWidth="1"/>
    <col min="3298" max="3298" width="7" style="2531" bestFit="1" customWidth="1"/>
    <col min="3299" max="3511" width="6.42578125" style="2531" customWidth="1"/>
    <col min="3512" max="3512" width="56.140625" style="2531" customWidth="1"/>
    <col min="3513" max="3515" width="10.42578125" style="2531" hidden="1" customWidth="1"/>
    <col min="3516" max="3516" width="56.140625" style="2531" customWidth="1"/>
    <col min="3517" max="3520" width="13.7109375" style="2531" customWidth="1"/>
    <col min="3521" max="3521" width="5.140625" style="2531" customWidth="1"/>
    <col min="3522" max="3522" width="3.42578125" style="2531" customWidth="1"/>
    <col min="3523" max="3527" width="12.42578125" style="2531" bestFit="1" customWidth="1"/>
    <col min="3528" max="3528" width="16" style="2531" bestFit="1" customWidth="1"/>
    <col min="3529" max="3552" width="10.42578125" style="2531" hidden="1" customWidth="1"/>
    <col min="3553" max="3553" width="6.42578125" style="2531" customWidth="1"/>
    <col min="3554" max="3554" width="7" style="2531" bestFit="1" customWidth="1"/>
    <col min="3555" max="3767" width="6.42578125" style="2531" customWidth="1"/>
    <col min="3768" max="3768" width="56.140625" style="2531" customWidth="1"/>
    <col min="3769" max="3771" width="10.42578125" style="2531" hidden="1" customWidth="1"/>
    <col min="3772" max="3772" width="56.140625" style="2531" customWidth="1"/>
    <col min="3773" max="3776" width="13.7109375" style="2531" customWidth="1"/>
    <col min="3777" max="3777" width="5.140625" style="2531" customWidth="1"/>
    <col min="3778" max="3778" width="3.42578125" style="2531" customWidth="1"/>
    <col min="3779" max="3783" width="12.42578125" style="2531" bestFit="1" customWidth="1"/>
    <col min="3784" max="3784" width="16" style="2531" bestFit="1" customWidth="1"/>
    <col min="3785" max="3808" width="10.42578125" style="2531" hidden="1" customWidth="1"/>
    <col min="3809" max="3809" width="6.42578125" style="2531" customWidth="1"/>
    <col min="3810" max="3810" width="7" style="2531" bestFit="1" customWidth="1"/>
    <col min="3811" max="4023" width="6.42578125" style="2531" customWidth="1"/>
    <col min="4024" max="4024" width="56.140625" style="2531" customWidth="1"/>
    <col min="4025" max="4027" width="10.42578125" style="2531" hidden="1" customWidth="1"/>
    <col min="4028" max="4028" width="56.140625" style="2531" customWidth="1"/>
    <col min="4029" max="4032" width="13.7109375" style="2531" customWidth="1"/>
    <col min="4033" max="4033" width="5.140625" style="2531" customWidth="1"/>
    <col min="4034" max="4034" width="3.42578125" style="2531" customWidth="1"/>
    <col min="4035" max="4039" width="12.42578125" style="2531" bestFit="1" customWidth="1"/>
    <col min="4040" max="4040" width="16" style="2531" bestFit="1" customWidth="1"/>
    <col min="4041" max="4064" width="10.42578125" style="2531" hidden="1" customWidth="1"/>
    <col min="4065" max="4065" width="6.42578125" style="2531" customWidth="1"/>
    <col min="4066" max="4066" width="7" style="2531" bestFit="1" customWidth="1"/>
    <col min="4067" max="4279" width="6.42578125" style="2531" customWidth="1"/>
    <col min="4280" max="4280" width="56.140625" style="2531" customWidth="1"/>
    <col min="4281" max="4283" width="10.42578125" style="2531" hidden="1" customWidth="1"/>
    <col min="4284" max="4284" width="56.140625" style="2531" customWidth="1"/>
    <col min="4285" max="4288" width="13.7109375" style="2531" customWidth="1"/>
    <col min="4289" max="4289" width="5.140625" style="2531" customWidth="1"/>
    <col min="4290" max="4290" width="3.42578125" style="2531" customWidth="1"/>
    <col min="4291" max="4295" width="12.42578125" style="2531" bestFit="1" customWidth="1"/>
    <col min="4296" max="4296" width="16" style="2531" bestFit="1" customWidth="1"/>
    <col min="4297" max="4320" width="10.42578125" style="2531" hidden="1" customWidth="1"/>
    <col min="4321" max="4321" width="6.42578125" style="2531" customWidth="1"/>
    <col min="4322" max="4322" width="7" style="2531" bestFit="1" customWidth="1"/>
    <col min="4323" max="4535" width="6.42578125" style="2531" customWidth="1"/>
    <col min="4536" max="4536" width="56.140625" style="2531" customWidth="1"/>
    <col min="4537" max="4539" width="10.42578125" style="2531" hidden="1" customWidth="1"/>
    <col min="4540" max="4540" width="56.140625" style="2531" customWidth="1"/>
    <col min="4541" max="4544" width="13.7109375" style="2531" customWidth="1"/>
    <col min="4545" max="4545" width="5.140625" style="2531" customWidth="1"/>
    <col min="4546" max="4546" width="3.42578125" style="2531" customWidth="1"/>
    <col min="4547" max="4551" width="12.42578125" style="2531" bestFit="1" customWidth="1"/>
    <col min="4552" max="4552" width="16" style="2531" bestFit="1" customWidth="1"/>
    <col min="4553" max="4576" width="10.42578125" style="2531" hidden="1" customWidth="1"/>
    <col min="4577" max="4577" width="6.42578125" style="2531" customWidth="1"/>
    <col min="4578" max="4578" width="7" style="2531" bestFit="1" customWidth="1"/>
    <col min="4579" max="4791" width="6.42578125" style="2531" customWidth="1"/>
    <col min="4792" max="4792" width="56.140625" style="2531" customWidth="1"/>
    <col min="4793" max="4795" width="10.42578125" style="2531" hidden="1" customWidth="1"/>
    <col min="4796" max="4796" width="56.140625" style="2531" customWidth="1"/>
    <col min="4797" max="4800" width="13.7109375" style="2531" customWidth="1"/>
    <col min="4801" max="4801" width="5.140625" style="2531" customWidth="1"/>
    <col min="4802" max="4802" width="3.42578125" style="2531" customWidth="1"/>
    <col min="4803" max="4807" width="12.42578125" style="2531" bestFit="1" customWidth="1"/>
    <col min="4808" max="4808" width="16" style="2531" bestFit="1" customWidth="1"/>
    <col min="4809" max="4832" width="10.42578125" style="2531" hidden="1" customWidth="1"/>
    <col min="4833" max="4833" width="6.42578125" style="2531" customWidth="1"/>
    <col min="4834" max="4834" width="7" style="2531" bestFit="1" customWidth="1"/>
    <col min="4835" max="5047" width="6.42578125" style="2531" customWidth="1"/>
    <col min="5048" max="5048" width="56.140625" style="2531" customWidth="1"/>
    <col min="5049" max="5051" width="10.42578125" style="2531" hidden="1" customWidth="1"/>
    <col min="5052" max="5052" width="56.140625" style="2531" customWidth="1"/>
    <col min="5053" max="5056" width="13.7109375" style="2531" customWidth="1"/>
    <col min="5057" max="5057" width="5.140625" style="2531" customWidth="1"/>
    <col min="5058" max="5058" width="3.42578125" style="2531" customWidth="1"/>
    <col min="5059" max="5063" width="12.42578125" style="2531" bestFit="1" customWidth="1"/>
    <col min="5064" max="5064" width="16" style="2531" bestFit="1" customWidth="1"/>
    <col min="5065" max="5088" width="10.42578125" style="2531" hidden="1" customWidth="1"/>
    <col min="5089" max="5089" width="6.42578125" style="2531" customWidth="1"/>
    <col min="5090" max="5090" width="7" style="2531" bestFit="1" customWidth="1"/>
    <col min="5091" max="5303" width="6.42578125" style="2531" customWidth="1"/>
    <col min="5304" max="5304" width="56.140625" style="2531" customWidth="1"/>
    <col min="5305" max="5307" width="10.42578125" style="2531" hidden="1" customWidth="1"/>
    <col min="5308" max="5308" width="56.140625" style="2531" customWidth="1"/>
    <col min="5309" max="5312" width="13.7109375" style="2531" customWidth="1"/>
    <col min="5313" max="5313" width="5.140625" style="2531" customWidth="1"/>
    <col min="5314" max="5314" width="3.42578125" style="2531" customWidth="1"/>
    <col min="5315" max="5319" width="12.42578125" style="2531" bestFit="1" customWidth="1"/>
    <col min="5320" max="5320" width="16" style="2531" bestFit="1" customWidth="1"/>
    <col min="5321" max="5344" width="10.42578125" style="2531" hidden="1" customWidth="1"/>
    <col min="5345" max="5345" width="6.42578125" style="2531" customWidth="1"/>
    <col min="5346" max="5346" width="7" style="2531" bestFit="1" customWidth="1"/>
    <col min="5347" max="5559" width="6.42578125" style="2531" customWidth="1"/>
    <col min="5560" max="5560" width="56.140625" style="2531" customWidth="1"/>
    <col min="5561" max="5563" width="10.42578125" style="2531" hidden="1" customWidth="1"/>
    <col min="5564" max="5564" width="56.140625" style="2531" customWidth="1"/>
    <col min="5565" max="5568" width="13.7109375" style="2531" customWidth="1"/>
    <col min="5569" max="5569" width="5.140625" style="2531" customWidth="1"/>
    <col min="5570" max="5570" width="3.42578125" style="2531" customWidth="1"/>
    <col min="5571" max="5575" width="12.42578125" style="2531" bestFit="1" customWidth="1"/>
    <col min="5576" max="5576" width="16" style="2531" bestFit="1" customWidth="1"/>
    <col min="5577" max="5600" width="10.42578125" style="2531" hidden="1" customWidth="1"/>
    <col min="5601" max="5601" width="6.42578125" style="2531" customWidth="1"/>
    <col min="5602" max="5602" width="7" style="2531" bestFit="1" customWidth="1"/>
    <col min="5603" max="5815" width="6.42578125" style="2531" customWidth="1"/>
    <col min="5816" max="5816" width="56.140625" style="2531" customWidth="1"/>
    <col min="5817" max="5819" width="10.42578125" style="2531" hidden="1" customWidth="1"/>
    <col min="5820" max="5820" width="56.140625" style="2531" customWidth="1"/>
    <col min="5821" max="5824" width="13.7109375" style="2531" customWidth="1"/>
    <col min="5825" max="5825" width="5.140625" style="2531" customWidth="1"/>
    <col min="5826" max="5826" width="3.42578125" style="2531" customWidth="1"/>
    <col min="5827" max="5831" width="12.42578125" style="2531" bestFit="1" customWidth="1"/>
    <col min="5832" max="5832" width="16" style="2531" bestFit="1" customWidth="1"/>
    <col min="5833" max="5856" width="10.42578125" style="2531" hidden="1" customWidth="1"/>
    <col min="5857" max="5857" width="6.42578125" style="2531" customWidth="1"/>
    <col min="5858" max="5858" width="7" style="2531" bestFit="1" customWidth="1"/>
    <col min="5859" max="6071" width="6.42578125" style="2531" customWidth="1"/>
    <col min="6072" max="6072" width="56.140625" style="2531" customWidth="1"/>
    <col min="6073" max="6075" width="10.42578125" style="2531" hidden="1" customWidth="1"/>
    <col min="6076" max="6076" width="56.140625" style="2531" customWidth="1"/>
    <col min="6077" max="6080" width="13.7109375" style="2531" customWidth="1"/>
    <col min="6081" max="6081" width="5.140625" style="2531" customWidth="1"/>
    <col min="6082" max="6082" width="3.42578125" style="2531" customWidth="1"/>
    <col min="6083" max="6087" width="12.42578125" style="2531" bestFit="1" customWidth="1"/>
    <col min="6088" max="6088" width="16" style="2531" bestFit="1" customWidth="1"/>
    <col min="6089" max="6112" width="10.42578125" style="2531" hidden="1" customWidth="1"/>
    <col min="6113" max="6113" width="6.42578125" style="2531" customWidth="1"/>
    <col min="6114" max="6114" width="7" style="2531" bestFit="1" customWidth="1"/>
    <col min="6115" max="6327" width="6.42578125" style="2531" customWidth="1"/>
    <col min="6328" max="6328" width="56.140625" style="2531" customWidth="1"/>
    <col min="6329" max="6331" width="10.42578125" style="2531" hidden="1" customWidth="1"/>
    <col min="6332" max="6332" width="56.140625" style="2531" customWidth="1"/>
    <col min="6333" max="6336" width="13.7109375" style="2531" customWidth="1"/>
    <col min="6337" max="6337" width="5.140625" style="2531" customWidth="1"/>
    <col min="6338" max="6338" width="3.42578125" style="2531" customWidth="1"/>
    <col min="6339" max="6343" width="12.42578125" style="2531" bestFit="1" customWidth="1"/>
    <col min="6344" max="6344" width="16" style="2531" bestFit="1" customWidth="1"/>
    <col min="6345" max="6368" width="10.42578125" style="2531" hidden="1" customWidth="1"/>
    <col min="6369" max="6369" width="6.42578125" style="2531" customWidth="1"/>
    <col min="6370" max="6370" width="7" style="2531" bestFit="1" customWidth="1"/>
    <col min="6371" max="6583" width="6.42578125" style="2531" customWidth="1"/>
    <col min="6584" max="6584" width="56.140625" style="2531" customWidth="1"/>
    <col min="6585" max="6587" width="10.42578125" style="2531" hidden="1" customWidth="1"/>
    <col min="6588" max="6588" width="56.140625" style="2531" customWidth="1"/>
    <col min="6589" max="6592" width="13.7109375" style="2531" customWidth="1"/>
    <col min="6593" max="6593" width="5.140625" style="2531" customWidth="1"/>
    <col min="6594" max="6594" width="3.42578125" style="2531" customWidth="1"/>
    <col min="6595" max="6599" width="12.42578125" style="2531" bestFit="1" customWidth="1"/>
    <col min="6600" max="6600" width="16" style="2531" bestFit="1" customWidth="1"/>
    <col min="6601" max="6624" width="10.42578125" style="2531" hidden="1" customWidth="1"/>
    <col min="6625" max="6625" width="6.42578125" style="2531" customWidth="1"/>
    <col min="6626" max="6626" width="7" style="2531" bestFit="1" customWidth="1"/>
    <col min="6627" max="6839" width="6.42578125" style="2531" customWidth="1"/>
    <col min="6840" max="6840" width="56.140625" style="2531" customWidth="1"/>
    <col min="6841" max="6843" width="10.42578125" style="2531" hidden="1" customWidth="1"/>
    <col min="6844" max="6844" width="56.140625" style="2531" customWidth="1"/>
    <col min="6845" max="6848" width="13.7109375" style="2531" customWidth="1"/>
    <col min="6849" max="6849" width="5.140625" style="2531" customWidth="1"/>
    <col min="6850" max="6850" width="3.42578125" style="2531" customWidth="1"/>
    <col min="6851" max="6855" width="12.42578125" style="2531" bestFit="1" customWidth="1"/>
    <col min="6856" max="6856" width="16" style="2531" bestFit="1" customWidth="1"/>
    <col min="6857" max="6880" width="10.42578125" style="2531" hidden="1" customWidth="1"/>
    <col min="6881" max="6881" width="6.42578125" style="2531" customWidth="1"/>
    <col min="6882" max="6882" width="7" style="2531" bestFit="1" customWidth="1"/>
    <col min="6883" max="7095" width="6.42578125" style="2531" customWidth="1"/>
    <col min="7096" max="7096" width="56.140625" style="2531" customWidth="1"/>
    <col min="7097" max="7099" width="10.42578125" style="2531" hidden="1" customWidth="1"/>
    <col min="7100" max="7100" width="56.140625" style="2531" customWidth="1"/>
    <col min="7101" max="7104" width="13.7109375" style="2531" customWidth="1"/>
    <col min="7105" max="7105" width="5.140625" style="2531" customWidth="1"/>
    <col min="7106" max="7106" width="3.42578125" style="2531" customWidth="1"/>
    <col min="7107" max="7111" width="12.42578125" style="2531" bestFit="1" customWidth="1"/>
    <col min="7112" max="7112" width="16" style="2531" bestFit="1" customWidth="1"/>
    <col min="7113" max="7136" width="10.42578125" style="2531" hidden="1" customWidth="1"/>
    <col min="7137" max="7137" width="6.42578125" style="2531" customWidth="1"/>
    <col min="7138" max="7138" width="7" style="2531" bestFit="1" customWidth="1"/>
    <col min="7139" max="7351" width="6.42578125" style="2531" customWidth="1"/>
    <col min="7352" max="7352" width="56.140625" style="2531" customWidth="1"/>
    <col min="7353" max="7355" width="10.42578125" style="2531" hidden="1" customWidth="1"/>
    <col min="7356" max="7356" width="56.140625" style="2531" customWidth="1"/>
    <col min="7357" max="7360" width="13.7109375" style="2531" customWidth="1"/>
    <col min="7361" max="7361" width="5.140625" style="2531" customWidth="1"/>
    <col min="7362" max="7362" width="3.42578125" style="2531" customWidth="1"/>
    <col min="7363" max="7367" width="12.42578125" style="2531" bestFit="1" customWidth="1"/>
    <col min="7368" max="7368" width="16" style="2531" bestFit="1" customWidth="1"/>
    <col min="7369" max="7392" width="10.42578125" style="2531" hidden="1" customWidth="1"/>
    <col min="7393" max="7393" width="6.42578125" style="2531" customWidth="1"/>
    <col min="7394" max="7394" width="7" style="2531" bestFit="1" customWidth="1"/>
    <col min="7395" max="7607" width="6.42578125" style="2531" customWidth="1"/>
    <col min="7608" max="7608" width="56.140625" style="2531" customWidth="1"/>
    <col min="7609" max="7611" width="10.42578125" style="2531" hidden="1" customWidth="1"/>
    <col min="7612" max="7612" width="56.140625" style="2531" customWidth="1"/>
    <col min="7613" max="7616" width="13.7109375" style="2531" customWidth="1"/>
    <col min="7617" max="7617" width="5.140625" style="2531" customWidth="1"/>
    <col min="7618" max="7618" width="3.42578125" style="2531" customWidth="1"/>
    <col min="7619" max="7623" width="12.42578125" style="2531" bestFit="1" customWidth="1"/>
    <col min="7624" max="7624" width="16" style="2531" bestFit="1" customWidth="1"/>
    <col min="7625" max="7648" width="10.42578125" style="2531" hidden="1" customWidth="1"/>
    <col min="7649" max="7649" width="6.42578125" style="2531" customWidth="1"/>
    <col min="7650" max="7650" width="7" style="2531" bestFit="1" customWidth="1"/>
    <col min="7651" max="7863" width="6.42578125" style="2531" customWidth="1"/>
    <col min="7864" max="7864" width="56.140625" style="2531" customWidth="1"/>
    <col min="7865" max="7867" width="10.42578125" style="2531" hidden="1" customWidth="1"/>
    <col min="7868" max="7868" width="56.140625" style="2531" customWidth="1"/>
    <col min="7869" max="7872" width="13.7109375" style="2531" customWidth="1"/>
    <col min="7873" max="7873" width="5.140625" style="2531" customWidth="1"/>
    <col min="7874" max="7874" width="3.42578125" style="2531" customWidth="1"/>
    <col min="7875" max="7879" width="12.42578125" style="2531" bestFit="1" customWidth="1"/>
    <col min="7880" max="7880" width="16" style="2531" bestFit="1" customWidth="1"/>
    <col min="7881" max="7904" width="10.42578125" style="2531" hidden="1" customWidth="1"/>
    <col min="7905" max="7905" width="6.42578125" style="2531" customWidth="1"/>
    <col min="7906" max="7906" width="7" style="2531" bestFit="1" customWidth="1"/>
    <col min="7907" max="8119" width="6.42578125" style="2531" customWidth="1"/>
    <col min="8120" max="8120" width="56.140625" style="2531" customWidth="1"/>
    <col min="8121" max="8123" width="10.42578125" style="2531" hidden="1" customWidth="1"/>
    <col min="8124" max="8124" width="56.140625" style="2531" customWidth="1"/>
    <col min="8125" max="8128" width="13.7109375" style="2531" customWidth="1"/>
    <col min="8129" max="8129" width="5.140625" style="2531" customWidth="1"/>
    <col min="8130" max="8130" width="3.42578125" style="2531" customWidth="1"/>
    <col min="8131" max="8135" width="12.42578125" style="2531" bestFit="1" customWidth="1"/>
    <col min="8136" max="8136" width="16" style="2531" bestFit="1" customWidth="1"/>
    <col min="8137" max="8160" width="10.42578125" style="2531" hidden="1" customWidth="1"/>
    <col min="8161" max="8161" width="6.42578125" style="2531" customWidth="1"/>
    <col min="8162" max="8162" width="7" style="2531" bestFit="1" customWidth="1"/>
    <col min="8163" max="8375" width="6.42578125" style="2531" customWidth="1"/>
    <col min="8376" max="8376" width="56.140625" style="2531" customWidth="1"/>
    <col min="8377" max="8379" width="10.42578125" style="2531" hidden="1" customWidth="1"/>
    <col min="8380" max="8380" width="56.140625" style="2531" customWidth="1"/>
    <col min="8381" max="8384" width="13.7109375" style="2531" customWidth="1"/>
    <col min="8385" max="8385" width="5.140625" style="2531" customWidth="1"/>
    <col min="8386" max="8386" width="3.42578125" style="2531" customWidth="1"/>
    <col min="8387" max="8391" width="12.42578125" style="2531" bestFit="1" customWidth="1"/>
    <col min="8392" max="8392" width="16" style="2531" bestFit="1" customWidth="1"/>
    <col min="8393" max="8416" width="10.42578125" style="2531" hidden="1" customWidth="1"/>
    <col min="8417" max="8417" width="6.42578125" style="2531" customWidth="1"/>
    <col min="8418" max="8418" width="7" style="2531" bestFit="1" customWidth="1"/>
    <col min="8419" max="8631" width="6.42578125" style="2531" customWidth="1"/>
    <col min="8632" max="8632" width="56.140625" style="2531" customWidth="1"/>
    <col min="8633" max="8635" width="10.42578125" style="2531" hidden="1" customWidth="1"/>
    <col min="8636" max="8636" width="56.140625" style="2531" customWidth="1"/>
    <col min="8637" max="8640" width="13.7109375" style="2531" customWidth="1"/>
    <col min="8641" max="8641" width="5.140625" style="2531" customWidth="1"/>
    <col min="8642" max="8642" width="3.42578125" style="2531" customWidth="1"/>
    <col min="8643" max="8647" width="12.42578125" style="2531" bestFit="1" customWidth="1"/>
    <col min="8648" max="8648" width="16" style="2531" bestFit="1" customWidth="1"/>
    <col min="8649" max="8672" width="10.42578125" style="2531" hidden="1" customWidth="1"/>
    <col min="8673" max="8673" width="6.42578125" style="2531" customWidth="1"/>
    <col min="8674" max="8674" width="7" style="2531" bestFit="1" customWidth="1"/>
    <col min="8675" max="8887" width="6.42578125" style="2531" customWidth="1"/>
    <col min="8888" max="8888" width="56.140625" style="2531" customWidth="1"/>
    <col min="8889" max="8891" width="10.42578125" style="2531" hidden="1" customWidth="1"/>
    <col min="8892" max="8892" width="56.140625" style="2531" customWidth="1"/>
    <col min="8893" max="8896" width="13.7109375" style="2531" customWidth="1"/>
    <col min="8897" max="8897" width="5.140625" style="2531" customWidth="1"/>
    <col min="8898" max="8898" width="3.42578125" style="2531" customWidth="1"/>
    <col min="8899" max="8903" width="12.42578125" style="2531" bestFit="1" customWidth="1"/>
    <col min="8904" max="8904" width="16" style="2531" bestFit="1" customWidth="1"/>
    <col min="8905" max="8928" width="10.42578125" style="2531" hidden="1" customWidth="1"/>
    <col min="8929" max="8929" width="6.42578125" style="2531" customWidth="1"/>
    <col min="8930" max="8930" width="7" style="2531" bestFit="1" customWidth="1"/>
    <col min="8931" max="9143" width="6.42578125" style="2531" customWidth="1"/>
    <col min="9144" max="9144" width="56.140625" style="2531" customWidth="1"/>
    <col min="9145" max="9147" width="10.42578125" style="2531" hidden="1" customWidth="1"/>
    <col min="9148" max="9148" width="56.140625" style="2531" customWidth="1"/>
    <col min="9149" max="9152" width="13.7109375" style="2531" customWidth="1"/>
    <col min="9153" max="9153" width="5.140625" style="2531" customWidth="1"/>
    <col min="9154" max="9154" width="3.42578125" style="2531" customWidth="1"/>
    <col min="9155" max="9159" width="12.42578125" style="2531" bestFit="1" customWidth="1"/>
    <col min="9160" max="9160" width="16" style="2531" bestFit="1" customWidth="1"/>
    <col min="9161" max="9184" width="10.42578125" style="2531" hidden="1" customWidth="1"/>
    <col min="9185" max="9185" width="6.42578125" style="2531" customWidth="1"/>
    <col min="9186" max="9186" width="7" style="2531" bestFit="1" customWidth="1"/>
    <col min="9187" max="9399" width="6.42578125" style="2531" customWidth="1"/>
    <col min="9400" max="9400" width="56.140625" style="2531" customWidth="1"/>
    <col min="9401" max="9403" width="10.42578125" style="2531" hidden="1" customWidth="1"/>
    <col min="9404" max="9404" width="56.140625" style="2531" customWidth="1"/>
    <col min="9405" max="9408" width="13.7109375" style="2531" customWidth="1"/>
    <col min="9409" max="9409" width="5.140625" style="2531" customWidth="1"/>
    <col min="9410" max="9410" width="3.42578125" style="2531" customWidth="1"/>
    <col min="9411" max="9415" width="12.42578125" style="2531" bestFit="1" customWidth="1"/>
    <col min="9416" max="9416" width="16" style="2531" bestFit="1" customWidth="1"/>
    <col min="9417" max="9440" width="10.42578125" style="2531" hidden="1" customWidth="1"/>
    <col min="9441" max="9441" width="6.42578125" style="2531" customWidth="1"/>
    <col min="9442" max="9442" width="7" style="2531" bestFit="1" customWidth="1"/>
    <col min="9443" max="9655" width="6.42578125" style="2531" customWidth="1"/>
    <col min="9656" max="9656" width="56.140625" style="2531" customWidth="1"/>
    <col min="9657" max="9659" width="10.42578125" style="2531" hidden="1" customWidth="1"/>
    <col min="9660" max="9660" width="56.140625" style="2531" customWidth="1"/>
    <col min="9661" max="9664" width="13.7109375" style="2531" customWidth="1"/>
    <col min="9665" max="9665" width="5.140625" style="2531" customWidth="1"/>
    <col min="9666" max="9666" width="3.42578125" style="2531" customWidth="1"/>
    <col min="9667" max="9671" width="12.42578125" style="2531" bestFit="1" customWidth="1"/>
    <col min="9672" max="9672" width="16" style="2531" bestFit="1" customWidth="1"/>
    <col min="9673" max="9696" width="10.42578125" style="2531" hidden="1" customWidth="1"/>
    <col min="9697" max="9697" width="6.42578125" style="2531" customWidth="1"/>
    <col min="9698" max="9698" width="7" style="2531" bestFit="1" customWidth="1"/>
    <col min="9699" max="9911" width="6.42578125" style="2531" customWidth="1"/>
    <col min="9912" max="9912" width="56.140625" style="2531" customWidth="1"/>
    <col min="9913" max="9915" width="10.42578125" style="2531" hidden="1" customWidth="1"/>
    <col min="9916" max="9916" width="56.140625" style="2531" customWidth="1"/>
    <col min="9917" max="9920" width="13.7109375" style="2531" customWidth="1"/>
    <col min="9921" max="9921" width="5.140625" style="2531" customWidth="1"/>
    <col min="9922" max="9922" width="3.42578125" style="2531" customWidth="1"/>
    <col min="9923" max="9927" width="12.42578125" style="2531" bestFit="1" customWidth="1"/>
    <col min="9928" max="9928" width="16" style="2531" bestFit="1" customWidth="1"/>
    <col min="9929" max="9952" width="10.42578125" style="2531" hidden="1" customWidth="1"/>
    <col min="9953" max="9953" width="6.42578125" style="2531" customWidth="1"/>
    <col min="9954" max="9954" width="7" style="2531" bestFit="1" customWidth="1"/>
    <col min="9955" max="10167" width="6.42578125" style="2531" customWidth="1"/>
    <col min="10168" max="10168" width="56.140625" style="2531" customWidth="1"/>
    <col min="10169" max="10171" width="10.42578125" style="2531" hidden="1" customWidth="1"/>
    <col min="10172" max="10172" width="56.140625" style="2531" customWidth="1"/>
    <col min="10173" max="10176" width="13.7109375" style="2531" customWidth="1"/>
    <col min="10177" max="10177" width="5.140625" style="2531" customWidth="1"/>
    <col min="10178" max="10178" width="3.42578125" style="2531" customWidth="1"/>
    <col min="10179" max="10183" width="12.42578125" style="2531" bestFit="1" customWidth="1"/>
    <col min="10184" max="10184" width="16" style="2531" bestFit="1" customWidth="1"/>
    <col min="10185" max="10208" width="10.42578125" style="2531" hidden="1" customWidth="1"/>
    <col min="10209" max="10209" width="6.42578125" style="2531" customWidth="1"/>
    <col min="10210" max="10210" width="7" style="2531" bestFit="1" customWidth="1"/>
    <col min="10211" max="10423" width="6.42578125" style="2531" customWidth="1"/>
    <col min="10424" max="10424" width="56.140625" style="2531" customWidth="1"/>
    <col min="10425" max="10427" width="10.42578125" style="2531" hidden="1" customWidth="1"/>
    <col min="10428" max="10428" width="56.140625" style="2531" customWidth="1"/>
    <col min="10429" max="10432" width="13.7109375" style="2531" customWidth="1"/>
    <col min="10433" max="10433" width="5.140625" style="2531" customWidth="1"/>
    <col min="10434" max="10434" width="3.42578125" style="2531" customWidth="1"/>
    <col min="10435" max="10439" width="12.42578125" style="2531" bestFit="1" customWidth="1"/>
    <col min="10440" max="10440" width="16" style="2531" bestFit="1" customWidth="1"/>
    <col min="10441" max="10464" width="10.42578125" style="2531" hidden="1" customWidth="1"/>
    <col min="10465" max="10465" width="6.42578125" style="2531" customWidth="1"/>
    <col min="10466" max="10466" width="7" style="2531" bestFit="1" customWidth="1"/>
    <col min="10467" max="10679" width="6.42578125" style="2531" customWidth="1"/>
    <col min="10680" max="10680" width="56.140625" style="2531" customWidth="1"/>
    <col min="10681" max="10683" width="10.42578125" style="2531" hidden="1" customWidth="1"/>
    <col min="10684" max="10684" width="56.140625" style="2531" customWidth="1"/>
    <col min="10685" max="10688" width="13.7109375" style="2531" customWidth="1"/>
    <col min="10689" max="10689" width="5.140625" style="2531" customWidth="1"/>
    <col min="10690" max="10690" width="3.42578125" style="2531" customWidth="1"/>
    <col min="10691" max="10695" width="12.42578125" style="2531" bestFit="1" customWidth="1"/>
    <col min="10696" max="10696" width="16" style="2531" bestFit="1" customWidth="1"/>
    <col min="10697" max="10720" width="10.42578125" style="2531" hidden="1" customWidth="1"/>
    <col min="10721" max="10721" width="6.42578125" style="2531" customWidth="1"/>
    <col min="10722" max="10722" width="7" style="2531" bestFit="1" customWidth="1"/>
    <col min="10723" max="10935" width="6.42578125" style="2531" customWidth="1"/>
    <col min="10936" max="10936" width="56.140625" style="2531" customWidth="1"/>
    <col min="10937" max="10939" width="10.42578125" style="2531" hidden="1" customWidth="1"/>
    <col min="10940" max="10940" width="56.140625" style="2531" customWidth="1"/>
    <col min="10941" max="10944" width="13.7109375" style="2531" customWidth="1"/>
    <col min="10945" max="10945" width="5.140625" style="2531" customWidth="1"/>
    <col min="10946" max="10946" width="3.42578125" style="2531" customWidth="1"/>
    <col min="10947" max="10951" width="12.42578125" style="2531" bestFit="1" customWidth="1"/>
    <col min="10952" max="10952" width="16" style="2531" bestFit="1" customWidth="1"/>
    <col min="10953" max="10976" width="10.42578125" style="2531" hidden="1" customWidth="1"/>
    <col min="10977" max="10977" width="6.42578125" style="2531" customWidth="1"/>
    <col min="10978" max="10978" width="7" style="2531" bestFit="1" customWidth="1"/>
    <col min="10979" max="11191" width="6.42578125" style="2531" customWidth="1"/>
    <col min="11192" max="11192" width="56.140625" style="2531" customWidth="1"/>
    <col min="11193" max="11195" width="10.42578125" style="2531" hidden="1" customWidth="1"/>
    <col min="11196" max="11196" width="56.140625" style="2531" customWidth="1"/>
    <col min="11197" max="11200" width="13.7109375" style="2531" customWidth="1"/>
    <col min="11201" max="11201" width="5.140625" style="2531" customWidth="1"/>
    <col min="11202" max="11202" width="3.42578125" style="2531" customWidth="1"/>
    <col min="11203" max="11207" width="12.42578125" style="2531" bestFit="1" customWidth="1"/>
    <col min="11208" max="11208" width="16" style="2531" bestFit="1" customWidth="1"/>
    <col min="11209" max="11232" width="10.42578125" style="2531" hidden="1" customWidth="1"/>
    <col min="11233" max="11233" width="6.42578125" style="2531" customWidth="1"/>
    <col min="11234" max="11234" width="7" style="2531" bestFit="1" customWidth="1"/>
    <col min="11235" max="11447" width="6.42578125" style="2531" customWidth="1"/>
    <col min="11448" max="11448" width="56.140625" style="2531" customWidth="1"/>
    <col min="11449" max="11451" width="10.42578125" style="2531" hidden="1" customWidth="1"/>
    <col min="11452" max="11452" width="56.140625" style="2531" customWidth="1"/>
    <col min="11453" max="11456" width="13.7109375" style="2531" customWidth="1"/>
    <col min="11457" max="11457" width="5.140625" style="2531" customWidth="1"/>
    <col min="11458" max="11458" width="3.42578125" style="2531" customWidth="1"/>
    <col min="11459" max="11463" width="12.42578125" style="2531" bestFit="1" customWidth="1"/>
    <col min="11464" max="11464" width="16" style="2531" bestFit="1" customWidth="1"/>
    <col min="11465" max="11488" width="10.42578125" style="2531" hidden="1" customWidth="1"/>
    <col min="11489" max="11489" width="6.42578125" style="2531" customWidth="1"/>
    <col min="11490" max="11490" width="7" style="2531" bestFit="1" customWidth="1"/>
    <col min="11491" max="11703" width="6.42578125" style="2531" customWidth="1"/>
    <col min="11704" max="11704" width="56.140625" style="2531" customWidth="1"/>
    <col min="11705" max="11707" width="10.42578125" style="2531" hidden="1" customWidth="1"/>
    <col min="11708" max="11708" width="56.140625" style="2531" customWidth="1"/>
    <col min="11709" max="11712" width="13.7109375" style="2531" customWidth="1"/>
    <col min="11713" max="11713" width="5.140625" style="2531" customWidth="1"/>
    <col min="11714" max="11714" width="3.42578125" style="2531" customWidth="1"/>
    <col min="11715" max="11719" width="12.42578125" style="2531" bestFit="1" customWidth="1"/>
    <col min="11720" max="11720" width="16" style="2531" bestFit="1" customWidth="1"/>
    <col min="11721" max="11744" width="10.42578125" style="2531" hidden="1" customWidth="1"/>
    <col min="11745" max="11745" width="6.42578125" style="2531" customWidth="1"/>
    <col min="11746" max="11746" width="7" style="2531" bestFit="1" customWidth="1"/>
    <col min="11747" max="11959" width="6.42578125" style="2531" customWidth="1"/>
    <col min="11960" max="11960" width="56.140625" style="2531" customWidth="1"/>
    <col min="11961" max="11963" width="10.42578125" style="2531" hidden="1" customWidth="1"/>
    <col min="11964" max="11964" width="56.140625" style="2531" customWidth="1"/>
    <col min="11965" max="11968" width="13.7109375" style="2531" customWidth="1"/>
    <col min="11969" max="11969" width="5.140625" style="2531" customWidth="1"/>
    <col min="11970" max="11970" width="3.42578125" style="2531" customWidth="1"/>
    <col min="11971" max="11975" width="12.42578125" style="2531" bestFit="1" customWidth="1"/>
    <col min="11976" max="11976" width="16" style="2531" bestFit="1" customWidth="1"/>
    <col min="11977" max="12000" width="10.42578125" style="2531" hidden="1" customWidth="1"/>
    <col min="12001" max="12001" width="6.42578125" style="2531" customWidth="1"/>
    <col min="12002" max="12002" width="7" style="2531" bestFit="1" customWidth="1"/>
    <col min="12003" max="12215" width="6.42578125" style="2531" customWidth="1"/>
    <col min="12216" max="12216" width="56.140625" style="2531" customWidth="1"/>
    <col min="12217" max="12219" width="10.42578125" style="2531" hidden="1" customWidth="1"/>
    <col min="12220" max="12220" width="56.140625" style="2531" customWidth="1"/>
    <col min="12221" max="12224" width="13.7109375" style="2531" customWidth="1"/>
    <col min="12225" max="12225" width="5.140625" style="2531" customWidth="1"/>
    <col min="12226" max="12226" width="3.42578125" style="2531" customWidth="1"/>
    <col min="12227" max="12231" width="12.42578125" style="2531" bestFit="1" customWidth="1"/>
    <col min="12232" max="12232" width="16" style="2531" bestFit="1" customWidth="1"/>
    <col min="12233" max="12256" width="10.42578125" style="2531" hidden="1" customWidth="1"/>
    <col min="12257" max="12257" width="6.42578125" style="2531" customWidth="1"/>
    <col min="12258" max="12258" width="7" style="2531" bestFit="1" customWidth="1"/>
    <col min="12259" max="12471" width="6.42578125" style="2531" customWidth="1"/>
    <col min="12472" max="12472" width="56.140625" style="2531" customWidth="1"/>
    <col min="12473" max="12475" width="10.42578125" style="2531" hidden="1" customWidth="1"/>
    <col min="12476" max="12476" width="56.140625" style="2531" customWidth="1"/>
    <col min="12477" max="12480" width="13.7109375" style="2531" customWidth="1"/>
    <col min="12481" max="12481" width="5.140625" style="2531" customWidth="1"/>
    <col min="12482" max="12482" width="3.42578125" style="2531" customWidth="1"/>
    <col min="12483" max="12487" width="12.42578125" style="2531" bestFit="1" customWidth="1"/>
    <col min="12488" max="12488" width="16" style="2531" bestFit="1" customWidth="1"/>
    <col min="12489" max="12512" width="10.42578125" style="2531" hidden="1" customWidth="1"/>
    <col min="12513" max="12513" width="6.42578125" style="2531" customWidth="1"/>
    <col min="12514" max="12514" width="7" style="2531" bestFit="1" customWidth="1"/>
    <col min="12515" max="12727" width="6.42578125" style="2531" customWidth="1"/>
    <col min="12728" max="12728" width="56.140625" style="2531" customWidth="1"/>
    <col min="12729" max="12731" width="10.42578125" style="2531" hidden="1" customWidth="1"/>
    <col min="12732" max="12732" width="56.140625" style="2531" customWidth="1"/>
    <col min="12733" max="12736" width="13.7109375" style="2531" customWidth="1"/>
    <col min="12737" max="12737" width="5.140625" style="2531" customWidth="1"/>
    <col min="12738" max="12738" width="3.42578125" style="2531" customWidth="1"/>
    <col min="12739" max="12743" width="12.42578125" style="2531" bestFit="1" customWidth="1"/>
    <col min="12744" max="12744" width="16" style="2531" bestFit="1" customWidth="1"/>
    <col min="12745" max="12768" width="10.42578125" style="2531" hidden="1" customWidth="1"/>
    <col min="12769" max="12769" width="6.42578125" style="2531" customWidth="1"/>
    <col min="12770" max="12770" width="7" style="2531" bestFit="1" customWidth="1"/>
    <col min="12771" max="12983" width="6.42578125" style="2531" customWidth="1"/>
    <col min="12984" max="12984" width="56.140625" style="2531" customWidth="1"/>
    <col min="12985" max="12987" width="10.42578125" style="2531" hidden="1" customWidth="1"/>
    <col min="12988" max="12988" width="56.140625" style="2531" customWidth="1"/>
    <col min="12989" max="12992" width="13.7109375" style="2531" customWidth="1"/>
    <col min="12993" max="12993" width="5.140625" style="2531" customWidth="1"/>
    <col min="12994" max="12994" width="3.42578125" style="2531" customWidth="1"/>
    <col min="12995" max="12999" width="12.42578125" style="2531" bestFit="1" customWidth="1"/>
    <col min="13000" max="13000" width="16" style="2531" bestFit="1" customWidth="1"/>
    <col min="13001" max="13024" width="10.42578125" style="2531" hidden="1" customWidth="1"/>
    <col min="13025" max="13025" width="6.42578125" style="2531" customWidth="1"/>
    <col min="13026" max="13026" width="7" style="2531" bestFit="1" customWidth="1"/>
    <col min="13027" max="13239" width="6.42578125" style="2531" customWidth="1"/>
    <col min="13240" max="13240" width="56.140625" style="2531" customWidth="1"/>
    <col min="13241" max="13243" width="10.42578125" style="2531" hidden="1" customWidth="1"/>
    <col min="13244" max="13244" width="56.140625" style="2531" customWidth="1"/>
    <col min="13245" max="13248" width="13.7109375" style="2531" customWidth="1"/>
    <col min="13249" max="13249" width="5.140625" style="2531" customWidth="1"/>
    <col min="13250" max="13250" width="3.42578125" style="2531" customWidth="1"/>
    <col min="13251" max="13255" width="12.42578125" style="2531" bestFit="1" customWidth="1"/>
    <col min="13256" max="13256" width="16" style="2531" bestFit="1" customWidth="1"/>
    <col min="13257" max="13280" width="10.42578125" style="2531" hidden="1" customWidth="1"/>
    <col min="13281" max="13281" width="6.42578125" style="2531" customWidth="1"/>
    <col min="13282" max="13282" width="7" style="2531" bestFit="1" customWidth="1"/>
    <col min="13283" max="13495" width="6.42578125" style="2531" customWidth="1"/>
    <col min="13496" max="13496" width="56.140625" style="2531" customWidth="1"/>
    <col min="13497" max="13499" width="10.42578125" style="2531" hidden="1" customWidth="1"/>
    <col min="13500" max="13500" width="56.140625" style="2531" customWidth="1"/>
    <col min="13501" max="13504" width="13.7109375" style="2531" customWidth="1"/>
    <col min="13505" max="13505" width="5.140625" style="2531" customWidth="1"/>
    <col min="13506" max="13506" width="3.42578125" style="2531" customWidth="1"/>
    <col min="13507" max="13511" width="12.42578125" style="2531" bestFit="1" customWidth="1"/>
    <col min="13512" max="13512" width="16" style="2531" bestFit="1" customWidth="1"/>
    <col min="13513" max="13536" width="10.42578125" style="2531" hidden="1" customWidth="1"/>
    <col min="13537" max="13537" width="6.42578125" style="2531" customWidth="1"/>
    <col min="13538" max="13538" width="7" style="2531" bestFit="1" customWidth="1"/>
    <col min="13539" max="13751" width="6.42578125" style="2531" customWidth="1"/>
    <col min="13752" max="13752" width="56.140625" style="2531" customWidth="1"/>
    <col min="13753" max="13755" width="10.42578125" style="2531" hidden="1" customWidth="1"/>
    <col min="13756" max="13756" width="56.140625" style="2531" customWidth="1"/>
    <col min="13757" max="13760" width="13.7109375" style="2531" customWidth="1"/>
    <col min="13761" max="13761" width="5.140625" style="2531" customWidth="1"/>
    <col min="13762" max="13762" width="3.42578125" style="2531" customWidth="1"/>
    <col min="13763" max="13767" width="12.42578125" style="2531" bestFit="1" customWidth="1"/>
    <col min="13768" max="13768" width="16" style="2531" bestFit="1" customWidth="1"/>
    <col min="13769" max="13792" width="10.42578125" style="2531" hidden="1" customWidth="1"/>
    <col min="13793" max="13793" width="6.42578125" style="2531" customWidth="1"/>
    <col min="13794" max="13794" width="7" style="2531" bestFit="1" customWidth="1"/>
    <col min="13795" max="14007" width="6.42578125" style="2531" customWidth="1"/>
    <col min="14008" max="14008" width="56.140625" style="2531" customWidth="1"/>
    <col min="14009" max="14011" width="10.42578125" style="2531" hidden="1" customWidth="1"/>
    <col min="14012" max="14012" width="56.140625" style="2531" customWidth="1"/>
    <col min="14013" max="14016" width="13.7109375" style="2531" customWidth="1"/>
    <col min="14017" max="14017" width="5.140625" style="2531" customWidth="1"/>
    <col min="14018" max="14018" width="3.42578125" style="2531" customWidth="1"/>
    <col min="14019" max="14023" width="12.42578125" style="2531" bestFit="1" customWidth="1"/>
    <col min="14024" max="14024" width="16" style="2531" bestFit="1" customWidth="1"/>
    <col min="14025" max="14048" width="10.42578125" style="2531" hidden="1" customWidth="1"/>
    <col min="14049" max="14049" width="6.42578125" style="2531" customWidth="1"/>
    <col min="14050" max="14050" width="7" style="2531" bestFit="1" customWidth="1"/>
    <col min="14051" max="14263" width="6.42578125" style="2531" customWidth="1"/>
    <col min="14264" max="14264" width="56.140625" style="2531" customWidth="1"/>
    <col min="14265" max="14267" width="10.42578125" style="2531" hidden="1" customWidth="1"/>
    <col min="14268" max="14268" width="56.140625" style="2531" customWidth="1"/>
    <col min="14269" max="14272" width="13.7109375" style="2531" customWidth="1"/>
    <col min="14273" max="14273" width="5.140625" style="2531" customWidth="1"/>
    <col min="14274" max="14274" width="3.42578125" style="2531" customWidth="1"/>
    <col min="14275" max="14279" width="12.42578125" style="2531" bestFit="1" customWidth="1"/>
    <col min="14280" max="14280" width="16" style="2531" bestFit="1" customWidth="1"/>
    <col min="14281" max="14304" width="10.42578125" style="2531" hidden="1" customWidth="1"/>
    <col min="14305" max="14305" width="6.42578125" style="2531" customWidth="1"/>
    <col min="14306" max="14306" width="7" style="2531" bestFit="1" customWidth="1"/>
    <col min="14307" max="14519" width="6.42578125" style="2531" customWidth="1"/>
    <col min="14520" max="14520" width="56.140625" style="2531" customWidth="1"/>
    <col min="14521" max="14523" width="10.42578125" style="2531" hidden="1" customWidth="1"/>
    <col min="14524" max="14524" width="56.140625" style="2531" customWidth="1"/>
    <col min="14525" max="14528" width="13.7109375" style="2531" customWidth="1"/>
    <col min="14529" max="14529" width="5.140625" style="2531" customWidth="1"/>
    <col min="14530" max="14530" width="3.42578125" style="2531" customWidth="1"/>
    <col min="14531" max="14535" width="12.42578125" style="2531" bestFit="1" customWidth="1"/>
    <col min="14536" max="14536" width="16" style="2531" bestFit="1" customWidth="1"/>
    <col min="14537" max="14560" width="10.42578125" style="2531" hidden="1" customWidth="1"/>
    <col min="14561" max="14561" width="6.42578125" style="2531" customWidth="1"/>
    <col min="14562" max="14562" width="7" style="2531" bestFit="1" customWidth="1"/>
    <col min="14563" max="14775" width="6.42578125" style="2531" customWidth="1"/>
    <col min="14776" max="14776" width="56.140625" style="2531" customWidth="1"/>
    <col min="14777" max="14779" width="10.42578125" style="2531" hidden="1" customWidth="1"/>
    <col min="14780" max="14780" width="56.140625" style="2531" customWidth="1"/>
    <col min="14781" max="14784" width="13.7109375" style="2531" customWidth="1"/>
    <col min="14785" max="14785" width="5.140625" style="2531" customWidth="1"/>
    <col min="14786" max="14786" width="3.42578125" style="2531" customWidth="1"/>
    <col min="14787" max="14791" width="12.42578125" style="2531" bestFit="1" customWidth="1"/>
    <col min="14792" max="14792" width="16" style="2531" bestFit="1" customWidth="1"/>
    <col min="14793" max="14816" width="10.42578125" style="2531" hidden="1" customWidth="1"/>
    <col min="14817" max="14817" width="6.42578125" style="2531" customWidth="1"/>
    <col min="14818" max="14818" width="7" style="2531" bestFit="1" customWidth="1"/>
    <col min="14819" max="15031" width="6.42578125" style="2531" customWidth="1"/>
    <col min="15032" max="15032" width="56.140625" style="2531" customWidth="1"/>
    <col min="15033" max="15035" width="10.42578125" style="2531" hidden="1" customWidth="1"/>
    <col min="15036" max="15036" width="56.140625" style="2531" customWidth="1"/>
    <col min="15037" max="15040" width="13.7109375" style="2531" customWidth="1"/>
    <col min="15041" max="15041" width="5.140625" style="2531" customWidth="1"/>
    <col min="15042" max="15042" width="3.42578125" style="2531" customWidth="1"/>
    <col min="15043" max="15047" width="12.42578125" style="2531" bestFit="1" customWidth="1"/>
    <col min="15048" max="15048" width="16" style="2531" bestFit="1" customWidth="1"/>
    <col min="15049" max="15072" width="10.42578125" style="2531" hidden="1" customWidth="1"/>
    <col min="15073" max="15073" width="6.42578125" style="2531" customWidth="1"/>
    <col min="15074" max="15074" width="7" style="2531" bestFit="1" customWidth="1"/>
    <col min="15075" max="15287" width="6.42578125" style="2531" customWidth="1"/>
    <col min="15288" max="15288" width="56.140625" style="2531" customWidth="1"/>
    <col min="15289" max="15291" width="10.42578125" style="2531" hidden="1" customWidth="1"/>
    <col min="15292" max="15292" width="56.140625" style="2531" customWidth="1"/>
    <col min="15293" max="15296" width="13.7109375" style="2531" customWidth="1"/>
    <col min="15297" max="15297" width="5.140625" style="2531" customWidth="1"/>
    <col min="15298" max="15298" width="3.42578125" style="2531" customWidth="1"/>
    <col min="15299" max="15303" width="12.42578125" style="2531" bestFit="1" customWidth="1"/>
    <col min="15304" max="15304" width="16" style="2531" bestFit="1" customWidth="1"/>
    <col min="15305" max="15328" width="10.42578125" style="2531" hidden="1" customWidth="1"/>
    <col min="15329" max="15329" width="6.42578125" style="2531" customWidth="1"/>
    <col min="15330" max="15330" width="7" style="2531" bestFit="1" customWidth="1"/>
    <col min="15331" max="15543" width="6.42578125" style="2531" customWidth="1"/>
    <col min="15544" max="15544" width="56.140625" style="2531" customWidth="1"/>
    <col min="15545" max="15547" width="10.42578125" style="2531" hidden="1" customWidth="1"/>
    <col min="15548" max="15548" width="56.140625" style="2531" customWidth="1"/>
    <col min="15549" max="15552" width="13.7109375" style="2531" customWidth="1"/>
    <col min="15553" max="15553" width="5.140625" style="2531" customWidth="1"/>
    <col min="15554" max="15554" width="3.42578125" style="2531" customWidth="1"/>
    <col min="15555" max="15559" width="12.42578125" style="2531" bestFit="1" customWidth="1"/>
    <col min="15560" max="15560" width="16" style="2531" bestFit="1" customWidth="1"/>
    <col min="15561" max="15584" width="10.42578125" style="2531" hidden="1" customWidth="1"/>
    <col min="15585" max="15585" width="6.42578125" style="2531" customWidth="1"/>
    <col min="15586" max="15586" width="7" style="2531" bestFit="1" customWidth="1"/>
    <col min="15587" max="15799" width="6.42578125" style="2531" customWidth="1"/>
    <col min="15800" max="15800" width="56.140625" style="2531" customWidth="1"/>
    <col min="15801" max="15803" width="10.42578125" style="2531" hidden="1" customWidth="1"/>
    <col min="15804" max="15804" width="56.140625" style="2531" customWidth="1"/>
    <col min="15805" max="15808" width="13.7109375" style="2531" customWidth="1"/>
    <col min="15809" max="15809" width="5.140625" style="2531" customWidth="1"/>
    <col min="15810" max="15810" width="3.42578125" style="2531" customWidth="1"/>
    <col min="15811" max="15815" width="12.42578125" style="2531" bestFit="1" customWidth="1"/>
    <col min="15816" max="15816" width="16" style="2531" bestFit="1" customWidth="1"/>
    <col min="15817" max="15840" width="10.42578125" style="2531" hidden="1" customWidth="1"/>
    <col min="15841" max="15841" width="6.42578125" style="2531" customWidth="1"/>
    <col min="15842" max="15842" width="7" style="2531" bestFit="1" customWidth="1"/>
    <col min="15843" max="16055" width="6.42578125" style="2531" customWidth="1"/>
    <col min="16056" max="16056" width="56.140625" style="2531" customWidth="1"/>
    <col min="16057" max="16059" width="10.42578125" style="2531" hidden="1" customWidth="1"/>
    <col min="16060" max="16060" width="56.140625" style="2531" customWidth="1"/>
    <col min="16061" max="16064" width="13.7109375" style="2531" customWidth="1"/>
    <col min="16065" max="16065" width="5.140625" style="2531" customWidth="1"/>
    <col min="16066" max="16066" width="3.42578125" style="2531" customWidth="1"/>
    <col min="16067" max="16071" width="12.42578125" style="2531" bestFit="1" customWidth="1"/>
    <col min="16072" max="16072" width="16" style="2531" bestFit="1" customWidth="1"/>
    <col min="16073" max="16096" width="10.42578125" style="2531" hidden="1" customWidth="1"/>
    <col min="16097" max="16097" width="6.42578125" style="2531" customWidth="1"/>
    <col min="16098" max="16098" width="7" style="2531" bestFit="1" customWidth="1"/>
    <col min="16099" max="16311" width="6.42578125" style="2531" customWidth="1"/>
    <col min="16312" max="16312" width="56.140625" style="2531" customWidth="1"/>
    <col min="16313" max="16315" width="0" style="2531" hidden="1" customWidth="1"/>
    <col min="16316" max="16384" width="10.42578125" style="2531" hidden="1" customWidth="1"/>
  </cols>
  <sheetData>
    <row r="1" spans="1:31" s="2481" customFormat="1" ht="24.95" customHeight="1" x14ac:dyDescent="0.3">
      <c r="A1" s="2480" t="s">
        <v>2406</v>
      </c>
      <c r="B1" s="2480"/>
      <c r="C1" s="2480"/>
      <c r="D1" s="2480"/>
      <c r="E1" s="2480"/>
      <c r="F1" s="2480"/>
      <c r="G1" s="2480"/>
      <c r="H1" s="2480"/>
      <c r="I1" s="2480"/>
      <c r="J1" s="2480"/>
      <c r="K1" s="2480"/>
      <c r="L1" s="2480"/>
      <c r="M1" s="2480"/>
      <c r="N1" s="2480"/>
      <c r="O1" s="2480"/>
      <c r="P1" s="2480"/>
      <c r="Q1" s="2480"/>
      <c r="R1" s="2480"/>
      <c r="S1" s="2480"/>
      <c r="T1" s="2480"/>
      <c r="U1" s="2480"/>
      <c r="V1" s="2480"/>
      <c r="W1" s="2480"/>
      <c r="X1" s="2480"/>
      <c r="Y1" s="2480"/>
      <c r="Z1" s="2480"/>
      <c r="AA1" s="2480"/>
      <c r="AB1" s="2480"/>
      <c r="AC1" s="2480"/>
      <c r="AD1" s="2480"/>
    </row>
    <row r="2" spans="1:31" s="2483" customFormat="1" ht="13.5" customHeight="1" thickBot="1" x14ac:dyDescent="0.3">
      <c r="A2" s="2482"/>
      <c r="B2" s="2482"/>
      <c r="C2" s="2482"/>
      <c r="D2" s="2482"/>
      <c r="E2" s="2482"/>
      <c r="F2" s="2482"/>
      <c r="G2" s="2482"/>
      <c r="AE2" s="2484" t="s">
        <v>281</v>
      </c>
    </row>
    <row r="3" spans="1:31" s="2486" customFormat="1" ht="16.5" customHeight="1" thickTop="1" x14ac:dyDescent="0.3">
      <c r="A3" s="2485"/>
      <c r="B3" s="3241">
        <v>42430</v>
      </c>
      <c r="C3" s="3241">
        <v>42522</v>
      </c>
      <c r="D3" s="3241">
        <v>42614</v>
      </c>
      <c r="E3" s="3239">
        <v>42705</v>
      </c>
      <c r="F3" s="3239">
        <v>42795</v>
      </c>
      <c r="G3" s="3239">
        <v>42887</v>
      </c>
      <c r="H3" s="3239">
        <v>42979</v>
      </c>
      <c r="I3" s="3239">
        <v>43070</v>
      </c>
      <c r="J3" s="3239">
        <v>43160</v>
      </c>
      <c r="K3" s="3236">
        <v>43252</v>
      </c>
      <c r="L3" s="3236">
        <v>43344</v>
      </c>
      <c r="M3" s="3236">
        <v>43435</v>
      </c>
      <c r="N3" s="3236">
        <v>43525</v>
      </c>
      <c r="O3" s="3236">
        <v>43617</v>
      </c>
      <c r="P3" s="3236">
        <v>43709</v>
      </c>
      <c r="Q3" s="3236">
        <v>43800</v>
      </c>
      <c r="R3" s="3236">
        <v>43891</v>
      </c>
      <c r="S3" s="3236">
        <v>43983</v>
      </c>
      <c r="T3" s="3236">
        <v>44075</v>
      </c>
      <c r="U3" s="3236">
        <v>44166</v>
      </c>
      <c r="V3" s="3236">
        <v>44256</v>
      </c>
      <c r="W3" s="3236">
        <v>44348</v>
      </c>
      <c r="X3" s="3236">
        <v>44440</v>
      </c>
      <c r="Y3" s="3236">
        <v>44531</v>
      </c>
      <c r="Z3" s="3236">
        <v>44621</v>
      </c>
      <c r="AA3" s="3236">
        <v>44713</v>
      </c>
      <c r="AB3" s="3236">
        <v>44805</v>
      </c>
      <c r="AC3" s="3238" t="s">
        <v>2407</v>
      </c>
      <c r="AD3" s="3238" t="s">
        <v>2408</v>
      </c>
      <c r="AE3" s="3234" t="s">
        <v>2409</v>
      </c>
    </row>
    <row r="4" spans="1:31" s="2486" customFormat="1" ht="16.5" customHeight="1" thickBot="1" x14ac:dyDescent="0.35">
      <c r="A4" s="2487"/>
      <c r="B4" s="3242"/>
      <c r="C4" s="3242"/>
      <c r="D4" s="3242"/>
      <c r="E4" s="3240"/>
      <c r="F4" s="3240"/>
      <c r="G4" s="3240"/>
      <c r="H4" s="3240"/>
      <c r="I4" s="3240"/>
      <c r="J4" s="3240"/>
      <c r="K4" s="3237"/>
      <c r="L4" s="3237"/>
      <c r="M4" s="3237"/>
      <c r="N4" s="3237"/>
      <c r="O4" s="3237"/>
      <c r="P4" s="3237"/>
      <c r="Q4" s="3237"/>
      <c r="R4" s="3237"/>
      <c r="S4" s="3237"/>
      <c r="T4" s="3237"/>
      <c r="U4" s="3237"/>
      <c r="V4" s="3237"/>
      <c r="W4" s="3237"/>
      <c r="X4" s="3237"/>
      <c r="Y4" s="3237"/>
      <c r="Z4" s="3237"/>
      <c r="AA4" s="3237"/>
      <c r="AB4" s="3237"/>
      <c r="AC4" s="3237"/>
      <c r="AD4" s="3237"/>
      <c r="AE4" s="3235"/>
    </row>
    <row r="5" spans="1:31" s="2486" customFormat="1" ht="18" customHeight="1" thickTop="1" x14ac:dyDescent="0.3">
      <c r="A5" s="2488" t="s">
        <v>2410</v>
      </c>
      <c r="B5" s="2489">
        <v>23781</v>
      </c>
      <c r="C5" s="2489">
        <v>22982</v>
      </c>
      <c r="D5" s="2489">
        <v>22488</v>
      </c>
      <c r="E5" s="2489">
        <v>23907</v>
      </c>
      <c r="F5" s="2489">
        <v>24932</v>
      </c>
      <c r="G5" s="2489">
        <v>25792</v>
      </c>
      <c r="H5" s="2489">
        <v>25793</v>
      </c>
      <c r="I5" s="2489">
        <v>25273</v>
      </c>
      <c r="J5" s="2489">
        <v>25060</v>
      </c>
      <c r="K5" s="2489">
        <v>25856</v>
      </c>
      <c r="L5" s="2489">
        <v>27938</v>
      </c>
      <c r="M5" s="2489">
        <v>26283</v>
      </c>
      <c r="N5" s="2489">
        <v>29088</v>
      </c>
      <c r="O5" s="2489">
        <v>31590</v>
      </c>
      <c r="P5" s="2489">
        <v>28161</v>
      </c>
      <c r="Q5" s="2489">
        <v>27271</v>
      </c>
      <c r="R5" s="2489">
        <v>30168</v>
      </c>
      <c r="S5" s="2489">
        <v>46363</v>
      </c>
      <c r="T5" s="2489">
        <v>34145</v>
      </c>
      <c r="U5" s="2489">
        <v>24792</v>
      </c>
      <c r="V5" s="2489">
        <v>28932</v>
      </c>
      <c r="W5" s="2489">
        <v>38163</v>
      </c>
      <c r="X5" s="2489">
        <v>37925</v>
      </c>
      <c r="Y5" s="2489">
        <v>32400</v>
      </c>
      <c r="Z5" s="2489">
        <v>34248</v>
      </c>
      <c r="AA5" s="2489">
        <v>38787</v>
      </c>
      <c r="AB5" s="2490">
        <v>43145</v>
      </c>
      <c r="AC5" s="2490">
        <v>40521</v>
      </c>
      <c r="AD5" s="2490">
        <v>38561</v>
      </c>
      <c r="AE5" s="2491">
        <v>39611</v>
      </c>
    </row>
    <row r="6" spans="1:31" s="2486" customFormat="1" ht="18" customHeight="1" x14ac:dyDescent="0.3">
      <c r="A6" s="2488" t="s">
        <v>2411</v>
      </c>
      <c r="B6" s="2489">
        <v>49704</v>
      </c>
      <c r="C6" s="2489">
        <v>49124</v>
      </c>
      <c r="D6" s="2489">
        <v>48879</v>
      </c>
      <c r="E6" s="2489">
        <v>52769</v>
      </c>
      <c r="F6" s="2489">
        <v>51549</v>
      </c>
      <c r="G6" s="2489">
        <v>51920</v>
      </c>
      <c r="H6" s="2489">
        <v>50600</v>
      </c>
      <c r="I6" s="2489">
        <v>49899</v>
      </c>
      <c r="J6" s="2489">
        <v>54899</v>
      </c>
      <c r="K6" s="2489">
        <v>54393</v>
      </c>
      <c r="L6" s="2489">
        <v>55362</v>
      </c>
      <c r="M6" s="2489">
        <v>56791</v>
      </c>
      <c r="N6" s="2489">
        <v>57691</v>
      </c>
      <c r="O6" s="2489">
        <v>56106</v>
      </c>
      <c r="P6" s="2489">
        <v>59106</v>
      </c>
      <c r="Q6" s="2489">
        <v>59801</v>
      </c>
      <c r="R6" s="2489">
        <v>55978</v>
      </c>
      <c r="S6" s="2489">
        <v>63178</v>
      </c>
      <c r="T6" s="2489">
        <v>52559</v>
      </c>
      <c r="U6" s="2489">
        <v>51355</v>
      </c>
      <c r="V6" s="2489">
        <v>50652</v>
      </c>
      <c r="W6" s="2489">
        <v>57159</v>
      </c>
      <c r="X6" s="2489">
        <v>59085</v>
      </c>
      <c r="Y6" s="2489">
        <v>51330</v>
      </c>
      <c r="Z6" s="2489">
        <v>54630</v>
      </c>
      <c r="AA6" s="2489">
        <v>57699</v>
      </c>
      <c r="AB6" s="2490">
        <v>60492</v>
      </c>
      <c r="AC6" s="2490">
        <v>57860</v>
      </c>
      <c r="AD6" s="2490">
        <v>55660</v>
      </c>
      <c r="AE6" s="2491">
        <v>62546</v>
      </c>
    </row>
    <row r="7" spans="1:31" s="2486" customFormat="1" ht="18" customHeight="1" x14ac:dyDescent="0.3">
      <c r="A7" s="2488" t="s">
        <v>2412</v>
      </c>
      <c r="B7" s="2489">
        <v>105998</v>
      </c>
      <c r="C7" s="2489">
        <v>112886</v>
      </c>
      <c r="D7" s="2489">
        <v>115535</v>
      </c>
      <c r="E7" s="2489">
        <v>119432</v>
      </c>
      <c r="F7" s="2489">
        <v>125601</v>
      </c>
      <c r="G7" s="2489">
        <v>127054</v>
      </c>
      <c r="H7" s="2489">
        <v>134390</v>
      </c>
      <c r="I7" s="2489">
        <v>137746</v>
      </c>
      <c r="J7" s="2489">
        <v>138318</v>
      </c>
      <c r="K7" s="2489">
        <v>144640</v>
      </c>
      <c r="L7" s="2489">
        <v>150525</v>
      </c>
      <c r="M7" s="2489">
        <v>153194</v>
      </c>
      <c r="N7" s="2489">
        <v>158688</v>
      </c>
      <c r="O7" s="2489">
        <v>160688</v>
      </c>
      <c r="P7" s="2489">
        <v>169114</v>
      </c>
      <c r="Q7" s="2489">
        <v>171058</v>
      </c>
      <c r="R7" s="2489">
        <v>177370</v>
      </c>
      <c r="S7" s="2489">
        <v>195196</v>
      </c>
      <c r="T7" s="2489">
        <v>187960</v>
      </c>
      <c r="U7" s="2489">
        <v>189638</v>
      </c>
      <c r="V7" s="2489">
        <v>196549</v>
      </c>
      <c r="W7" s="2489">
        <v>212106</v>
      </c>
      <c r="X7" s="2489">
        <v>219429</v>
      </c>
      <c r="Y7" s="2489">
        <v>219421</v>
      </c>
      <c r="Z7" s="2489">
        <v>222297</v>
      </c>
      <c r="AA7" s="2489">
        <v>241421</v>
      </c>
      <c r="AB7" s="2490">
        <v>245403</v>
      </c>
      <c r="AC7" s="2490">
        <v>247726</v>
      </c>
      <c r="AD7" s="2490">
        <v>258290</v>
      </c>
      <c r="AE7" s="2491">
        <v>262616</v>
      </c>
    </row>
    <row r="8" spans="1:31" s="2486" customFormat="1" ht="16.5" x14ac:dyDescent="0.3">
      <c r="A8" s="2488" t="s">
        <v>2413</v>
      </c>
      <c r="B8" s="2489">
        <v>10408</v>
      </c>
      <c r="C8" s="2489">
        <v>12806</v>
      </c>
      <c r="D8" s="2489">
        <v>14797</v>
      </c>
      <c r="E8" s="2489">
        <v>10172</v>
      </c>
      <c r="F8" s="2489">
        <v>15947</v>
      </c>
      <c r="G8" s="2489">
        <v>14436</v>
      </c>
      <c r="H8" s="2489">
        <v>6366</v>
      </c>
      <c r="I8" s="2489">
        <v>3727</v>
      </c>
      <c r="J8" s="2489">
        <v>1021</v>
      </c>
      <c r="K8" s="2489">
        <v>894</v>
      </c>
      <c r="L8" s="2489">
        <v>894</v>
      </c>
      <c r="M8" s="2489">
        <v>894</v>
      </c>
      <c r="N8" s="2489">
        <v>893</v>
      </c>
      <c r="O8" s="2489">
        <v>893</v>
      </c>
      <c r="P8" s="2489">
        <v>269</v>
      </c>
      <c r="Q8" s="2489">
        <v>114</v>
      </c>
      <c r="R8" s="2492" t="s">
        <v>1014</v>
      </c>
      <c r="S8" s="2492" t="s">
        <v>1014</v>
      </c>
      <c r="T8" s="2492" t="s">
        <v>1014</v>
      </c>
      <c r="U8" s="2492" t="s">
        <v>1014</v>
      </c>
      <c r="V8" s="2492" t="s">
        <v>1014</v>
      </c>
      <c r="W8" s="2492" t="s">
        <v>1014</v>
      </c>
      <c r="X8" s="2492" t="s">
        <v>1014</v>
      </c>
      <c r="Y8" s="2492" t="s">
        <v>1014</v>
      </c>
      <c r="Z8" s="2492" t="s">
        <v>1014</v>
      </c>
      <c r="AA8" s="2492" t="s">
        <v>1014</v>
      </c>
      <c r="AB8" s="2493" t="s">
        <v>1014</v>
      </c>
      <c r="AC8" s="2493" t="s">
        <v>1014</v>
      </c>
      <c r="AD8" s="2493" t="s">
        <v>1014</v>
      </c>
      <c r="AE8" s="2491" t="s">
        <v>1014</v>
      </c>
    </row>
    <row r="9" spans="1:31" s="2486" customFormat="1" ht="33" x14ac:dyDescent="0.3">
      <c r="A9" s="2494" t="s">
        <v>2414</v>
      </c>
      <c r="B9" s="2489">
        <v>-946.1</v>
      </c>
      <c r="C9" s="2489">
        <v>-978.7</v>
      </c>
      <c r="D9" s="2489">
        <v>-1079.4000000000001</v>
      </c>
      <c r="E9" s="2489">
        <v>-1082.8</v>
      </c>
      <c r="F9" s="2489">
        <v>-1028.7</v>
      </c>
      <c r="G9" s="2489">
        <v>-2072.85</v>
      </c>
      <c r="H9" s="2489">
        <v>-1574.6</v>
      </c>
      <c r="I9" s="2489">
        <v>-1309</v>
      </c>
      <c r="J9" s="2489">
        <v>-1711.35</v>
      </c>
      <c r="K9" s="2489">
        <v>-2063.85</v>
      </c>
      <c r="L9" s="2489">
        <v>-2232.6</v>
      </c>
      <c r="M9" s="2489">
        <v>-2904.4</v>
      </c>
      <c r="N9" s="2489">
        <v>-4540.25</v>
      </c>
      <c r="O9" s="2489">
        <v>-4544</v>
      </c>
      <c r="P9" s="2489">
        <v>-6405</v>
      </c>
      <c r="Q9" s="2489">
        <v>-5382</v>
      </c>
      <c r="R9" s="2489">
        <v>-4995</v>
      </c>
      <c r="S9" s="2489">
        <v>-5382</v>
      </c>
      <c r="T9" s="2489">
        <v>-6742</v>
      </c>
      <c r="U9" s="2489">
        <v>-6978</v>
      </c>
      <c r="V9" s="2489">
        <v>-7960.45</v>
      </c>
      <c r="W9" s="2489">
        <v>-12818</v>
      </c>
      <c r="X9" s="2489">
        <v>-14153</v>
      </c>
      <c r="Y9" s="2489">
        <v>-11244</v>
      </c>
      <c r="Z9" s="2489">
        <v>-9642</v>
      </c>
      <c r="AA9" s="2489">
        <v>-15155</v>
      </c>
      <c r="AB9" s="2490">
        <v>-14560.15</v>
      </c>
      <c r="AC9" s="2490">
        <v>-14842</v>
      </c>
      <c r="AD9" s="2490">
        <v>-15957.95</v>
      </c>
      <c r="AE9" s="2491">
        <v>-17829.25</v>
      </c>
    </row>
    <row r="10" spans="1:31" s="2486" customFormat="1" ht="16.5" x14ac:dyDescent="0.3">
      <c r="A10" s="2488" t="s">
        <v>2415</v>
      </c>
      <c r="B10" s="2489">
        <v>188944.9</v>
      </c>
      <c r="C10" s="2489">
        <v>196819.3</v>
      </c>
      <c r="D10" s="2489">
        <v>200619.6</v>
      </c>
      <c r="E10" s="2489">
        <v>205197.2</v>
      </c>
      <c r="F10" s="2489">
        <v>217000.3</v>
      </c>
      <c r="G10" s="2489">
        <v>217129.15</v>
      </c>
      <c r="H10" s="2489">
        <v>215574.39999999999</v>
      </c>
      <c r="I10" s="2489">
        <v>215336</v>
      </c>
      <c r="J10" s="2489">
        <v>217586.65</v>
      </c>
      <c r="K10" s="2489">
        <v>223719.15</v>
      </c>
      <c r="L10" s="2489">
        <v>232486.39999999999</v>
      </c>
      <c r="M10" s="2489">
        <v>234257.6</v>
      </c>
      <c r="N10" s="2489">
        <v>241819.75</v>
      </c>
      <c r="O10" s="2489">
        <v>244733</v>
      </c>
      <c r="P10" s="2489">
        <v>250245</v>
      </c>
      <c r="Q10" s="2489">
        <v>252862</v>
      </c>
      <c r="R10" s="2489">
        <v>258521</v>
      </c>
      <c r="S10" s="2489">
        <v>299355</v>
      </c>
      <c r="T10" s="2489">
        <v>267922</v>
      </c>
      <c r="U10" s="2489">
        <v>258807</v>
      </c>
      <c r="V10" s="2489">
        <v>268172.55</v>
      </c>
      <c r="W10" s="2489">
        <v>294610</v>
      </c>
      <c r="X10" s="2489">
        <v>302286</v>
      </c>
      <c r="Y10" s="2489">
        <v>291907</v>
      </c>
      <c r="Z10" s="2489">
        <v>301533</v>
      </c>
      <c r="AA10" s="2489">
        <v>322752</v>
      </c>
      <c r="AB10" s="2490">
        <v>334479.84999999998</v>
      </c>
      <c r="AC10" s="2490">
        <v>331265</v>
      </c>
      <c r="AD10" s="2490">
        <v>336553.05</v>
      </c>
      <c r="AE10" s="2491">
        <v>346943.75</v>
      </c>
    </row>
    <row r="11" spans="1:31" s="2501" customFormat="1" ht="16.5" x14ac:dyDescent="0.3">
      <c r="A11" s="2495" t="s">
        <v>2416</v>
      </c>
      <c r="B11" s="2496">
        <f t="shared" ref="B11:I11" si="0">-(B10/B36)*100</f>
        <v>-45.429494022716561</v>
      </c>
      <c r="C11" s="2496">
        <f t="shared" si="0"/>
        <v>-46.630473153384521</v>
      </c>
      <c r="D11" s="2496">
        <f t="shared" si="0"/>
        <v>-46.880091227315852</v>
      </c>
      <c r="E11" s="2496">
        <f t="shared" si="0"/>
        <v>-47.197267489333321</v>
      </c>
      <c r="F11" s="2496">
        <f t="shared" si="0"/>
        <v>-49.332040547698561</v>
      </c>
      <c r="G11" s="2496">
        <f t="shared" si="0"/>
        <v>-48.63993360229928</v>
      </c>
      <c r="H11" s="2496"/>
      <c r="I11" s="2496">
        <f t="shared" si="0"/>
        <v>-47.098759626510002</v>
      </c>
      <c r="J11" s="2496">
        <v>-47.3</v>
      </c>
      <c r="K11" s="2496">
        <v>-47.9</v>
      </c>
      <c r="L11" s="2496">
        <v>-49</v>
      </c>
      <c r="M11" s="2496">
        <f t="shared" ref="M11:AA11" si="1">-(M10/M36)*100</f>
        <v>-48.579895522914249</v>
      </c>
      <c r="N11" s="2496">
        <f t="shared" si="1"/>
        <v>-49.684259512279311</v>
      </c>
      <c r="O11" s="2497">
        <f t="shared" si="1"/>
        <v>-49.836175736903733</v>
      </c>
      <c r="P11" s="2497">
        <f t="shared" si="1"/>
        <v>-50.467781652149533</v>
      </c>
      <c r="Q11" s="2497">
        <f t="shared" si="1"/>
        <v>-50.740146925736482</v>
      </c>
      <c r="R11" s="2497">
        <f t="shared" si="1"/>
        <v>-51.922794966810272</v>
      </c>
      <c r="S11" s="2497">
        <f t="shared" si="1"/>
        <v>-65.417201147704702</v>
      </c>
      <c r="T11" s="2497">
        <f t="shared" si="1"/>
        <v>-60.608706667993808</v>
      </c>
      <c r="U11" s="2497">
        <f t="shared" si="1"/>
        <v>-60.230816491812746</v>
      </c>
      <c r="V11" s="2498">
        <f t="shared" si="1"/>
        <v>-63.943477431507667</v>
      </c>
      <c r="W11" s="2498">
        <f t="shared" si="1"/>
        <v>-67.612816164101247</v>
      </c>
      <c r="X11" s="2498">
        <f t="shared" si="1"/>
        <v>-67.5018255143261</v>
      </c>
      <c r="Y11" s="2498">
        <f t="shared" si="1"/>
        <v>-60.749159230154504</v>
      </c>
      <c r="Z11" s="2498">
        <f t="shared" si="1"/>
        <v>-60.509427601319622</v>
      </c>
      <c r="AA11" s="2498">
        <f t="shared" si="1"/>
        <v>-61.777457062301536</v>
      </c>
      <c r="AB11" s="2499">
        <f>-(AB10/AB36)*100</f>
        <v>-61.459959501969777</v>
      </c>
      <c r="AC11" s="2499">
        <v>-58</v>
      </c>
      <c r="AD11" s="2499">
        <v>-57.1</v>
      </c>
      <c r="AE11" s="2500">
        <v>-55.7</v>
      </c>
    </row>
    <row r="12" spans="1:31" s="2486" customFormat="1" ht="16.5" x14ac:dyDescent="0.3">
      <c r="A12" s="2488" t="s">
        <v>2417</v>
      </c>
      <c r="B12" s="2489">
        <v>54023.883423671003</v>
      </c>
      <c r="C12" s="2489">
        <v>53463.646230258397</v>
      </c>
      <c r="D12" s="2489">
        <v>53104</v>
      </c>
      <c r="E12" s="2489">
        <v>51637</v>
      </c>
      <c r="F12" s="2489">
        <v>46103</v>
      </c>
      <c r="G12" s="2489">
        <v>46231</v>
      </c>
      <c r="H12" s="2502"/>
      <c r="I12" s="2489">
        <v>45128</v>
      </c>
      <c r="J12" s="2489">
        <v>44543.700000000004</v>
      </c>
      <c r="K12" s="2489">
        <v>44538</v>
      </c>
      <c r="L12" s="2489">
        <v>42078.000000000007</v>
      </c>
      <c r="M12" s="2489">
        <v>41413.950000000004</v>
      </c>
      <c r="N12" s="2489">
        <v>40255.600000000006</v>
      </c>
      <c r="O12" s="2489">
        <v>40257.500000000007</v>
      </c>
      <c r="P12" s="2489">
        <v>39196</v>
      </c>
      <c r="Q12" s="2489">
        <v>39592.250000000007</v>
      </c>
      <c r="R12" s="2489">
        <v>33621.800000000003</v>
      </c>
      <c r="S12" s="2489">
        <v>43688.2</v>
      </c>
      <c r="T12" s="2489">
        <v>67905.649999999994</v>
      </c>
      <c r="U12" s="2489">
        <v>68736</v>
      </c>
      <c r="V12" s="2489">
        <v>83258.150000000009</v>
      </c>
      <c r="W12" s="2489">
        <v>85106.049999999988</v>
      </c>
      <c r="X12" s="2489">
        <v>79617.100000000006</v>
      </c>
      <c r="Y12" s="2489">
        <v>89708.799999999988</v>
      </c>
      <c r="Z12" s="2489">
        <v>88645.700000000012</v>
      </c>
      <c r="AA12" s="2489">
        <v>73172.350000000006</v>
      </c>
      <c r="AB12" s="2490">
        <v>67395.600000000006</v>
      </c>
      <c r="AC12" s="2490">
        <v>81788.45</v>
      </c>
      <c r="AD12" s="2490">
        <v>85842.900000000009</v>
      </c>
      <c r="AE12" s="2491">
        <v>83873.650000000009</v>
      </c>
    </row>
    <row r="13" spans="1:31" s="2486" customFormat="1" ht="16.5" x14ac:dyDescent="0.3">
      <c r="A13" s="2495" t="s">
        <v>2416</v>
      </c>
      <c r="B13" s="2503">
        <f t="shared" ref="B13:I13" si="2">-(B12/B36)*100</f>
        <v>-12.989383090412062</v>
      </c>
      <c r="C13" s="2503">
        <f t="shared" si="2"/>
        <v>-12.666619179227403</v>
      </c>
      <c r="D13" s="2503">
        <f t="shared" si="2"/>
        <v>-12.409158250417113</v>
      </c>
      <c r="E13" s="2503">
        <f t="shared" si="2"/>
        <v>-11.876991018136234</v>
      </c>
      <c r="F13" s="2503">
        <f t="shared" si="2"/>
        <v>-10.480884429056305</v>
      </c>
      <c r="G13" s="2503">
        <f t="shared" si="2"/>
        <v>-10.35638361025177</v>
      </c>
      <c r="H13" s="2503"/>
      <c r="I13" s="2503">
        <f t="shared" si="2"/>
        <v>-9.8704945964685109</v>
      </c>
      <c r="J13" s="2503">
        <v>-9.6</v>
      </c>
      <c r="K13" s="2503">
        <v>-9.5</v>
      </c>
      <c r="L13" s="2503">
        <v>-8.8000000000000007</v>
      </c>
      <c r="M13" s="2503">
        <v>-8.6</v>
      </c>
      <c r="N13" s="2503">
        <f t="shared" ref="N13:AB13" si="3">-(N12/N36)*100</f>
        <v>-8.2709111940712514</v>
      </c>
      <c r="O13" s="2504">
        <f t="shared" si="3"/>
        <v>-8.1978312884997209</v>
      </c>
      <c r="P13" s="2504">
        <f t="shared" si="3"/>
        <v>-7.9047939804497718</v>
      </c>
      <c r="Q13" s="2504">
        <f t="shared" si="3"/>
        <v>-7.944715228545574</v>
      </c>
      <c r="R13" s="2504">
        <f t="shared" si="3"/>
        <v>-6.7527892427118177</v>
      </c>
      <c r="S13" s="2504">
        <f t="shared" si="3"/>
        <v>-9.5470587335476349</v>
      </c>
      <c r="T13" s="2504">
        <f t="shared" si="3"/>
        <v>-15.361461999945705</v>
      </c>
      <c r="U13" s="2504">
        <f t="shared" si="3"/>
        <v>-15.996574290421977</v>
      </c>
      <c r="V13" s="2498">
        <f t="shared" si="3"/>
        <v>-19.852202007677818</v>
      </c>
      <c r="W13" s="2498">
        <f t="shared" si="3"/>
        <v>-19.531786813423878</v>
      </c>
      <c r="X13" s="2498">
        <f t="shared" si="3"/>
        <v>-17.778857082883935</v>
      </c>
      <c r="Y13" s="2498">
        <f t="shared" si="3"/>
        <v>-18.669419286094829</v>
      </c>
      <c r="Z13" s="2498">
        <f t="shared" si="3"/>
        <v>-17.788767950168968</v>
      </c>
      <c r="AA13" s="2498">
        <f t="shared" si="3"/>
        <v>-14.005805418007325</v>
      </c>
      <c r="AB13" s="2499">
        <f t="shared" si="3"/>
        <v>-12.383797847944965</v>
      </c>
      <c r="AC13" s="2499">
        <v>-14.3</v>
      </c>
      <c r="AD13" s="2499">
        <v>-14.6</v>
      </c>
      <c r="AE13" s="2500">
        <v>-13.5</v>
      </c>
    </row>
    <row r="14" spans="1:31" s="2486" customFormat="1" ht="16.5" x14ac:dyDescent="0.3">
      <c r="A14" s="2488" t="s">
        <v>2418</v>
      </c>
      <c r="B14" s="2489">
        <v>24</v>
      </c>
      <c r="C14" s="2489">
        <v>24</v>
      </c>
      <c r="D14" s="2489">
        <v>24</v>
      </c>
      <c r="E14" s="2489">
        <v>24</v>
      </c>
      <c r="F14" s="2489">
        <v>24</v>
      </c>
      <c r="G14" s="2489">
        <v>24</v>
      </c>
      <c r="H14" s="2489">
        <v>24</v>
      </c>
      <c r="I14" s="2489">
        <v>24</v>
      </c>
      <c r="J14" s="2489">
        <v>24</v>
      </c>
      <c r="K14" s="2489">
        <v>24</v>
      </c>
      <c r="L14" s="2489">
        <v>24</v>
      </c>
      <c r="M14" s="2489">
        <v>24</v>
      </c>
      <c r="N14" s="2489">
        <v>24</v>
      </c>
      <c r="O14" s="2489">
        <v>24</v>
      </c>
      <c r="P14" s="2489">
        <v>24</v>
      </c>
      <c r="Q14" s="2489">
        <v>24</v>
      </c>
      <c r="R14" s="2489">
        <v>24</v>
      </c>
      <c r="S14" s="2489">
        <v>191</v>
      </c>
      <c r="T14" s="2489">
        <v>140</v>
      </c>
      <c r="U14" s="2505">
        <v>139</v>
      </c>
      <c r="V14" s="2505">
        <v>137</v>
      </c>
      <c r="W14" s="2505">
        <v>135.94</v>
      </c>
      <c r="X14" s="2505">
        <v>135</v>
      </c>
      <c r="Y14" s="2505">
        <v>133.19999999999999</v>
      </c>
      <c r="Z14" s="2505">
        <v>131.82</v>
      </c>
      <c r="AA14" s="2505">
        <v>130.44</v>
      </c>
      <c r="AB14" s="2506">
        <v>129.07</v>
      </c>
      <c r="AC14" s="2506">
        <v>127.8</v>
      </c>
      <c r="AD14" s="2506">
        <v>127</v>
      </c>
      <c r="AE14" s="2507">
        <v>125.4</v>
      </c>
    </row>
    <row r="15" spans="1:31" s="2486" customFormat="1" ht="16.5" x14ac:dyDescent="0.3">
      <c r="A15" s="2488" t="s">
        <v>2419</v>
      </c>
      <c r="B15" s="2489">
        <v>126</v>
      </c>
      <c r="C15" s="2489">
        <v>115</v>
      </c>
      <c r="D15" s="2489">
        <v>115</v>
      </c>
      <c r="E15" s="2489">
        <v>102</v>
      </c>
      <c r="F15" s="2489">
        <v>101</v>
      </c>
      <c r="G15" s="2489">
        <v>90</v>
      </c>
      <c r="H15" s="2489">
        <v>90</v>
      </c>
      <c r="I15" s="2489">
        <v>78</v>
      </c>
      <c r="J15" s="2489">
        <v>79</v>
      </c>
      <c r="K15" s="2489">
        <v>68</v>
      </c>
      <c r="L15" s="2489">
        <v>67</v>
      </c>
      <c r="M15" s="2489">
        <v>67</v>
      </c>
      <c r="N15" s="2489">
        <v>56</v>
      </c>
      <c r="O15" s="2489">
        <v>46</v>
      </c>
      <c r="P15" s="2489">
        <v>46</v>
      </c>
      <c r="Q15" s="2489">
        <v>47</v>
      </c>
      <c r="R15" s="2489">
        <v>37</v>
      </c>
      <c r="S15" s="2489">
        <v>26</v>
      </c>
      <c r="T15" s="2489">
        <v>26</v>
      </c>
      <c r="U15" s="2505">
        <v>26</v>
      </c>
      <c r="V15" s="2505">
        <v>13</v>
      </c>
      <c r="W15" s="2508" t="s">
        <v>1014</v>
      </c>
      <c r="X15" s="2508" t="s">
        <v>1014</v>
      </c>
      <c r="Y15" s="2508" t="s">
        <v>1014</v>
      </c>
      <c r="Z15" s="2508" t="s">
        <v>1014</v>
      </c>
      <c r="AA15" s="2508" t="s">
        <v>1014</v>
      </c>
      <c r="AB15" s="2509" t="s">
        <v>1014</v>
      </c>
      <c r="AC15" s="2509" t="s">
        <v>1014</v>
      </c>
      <c r="AD15" s="2509" t="s">
        <v>1014</v>
      </c>
      <c r="AE15" s="2510" t="s">
        <v>1014</v>
      </c>
    </row>
    <row r="16" spans="1:31" s="2486" customFormat="1" ht="16.5" x14ac:dyDescent="0.3">
      <c r="A16" s="2488" t="s">
        <v>2420</v>
      </c>
      <c r="B16" s="2489">
        <v>0</v>
      </c>
      <c r="C16" s="2489">
        <v>0</v>
      </c>
      <c r="D16" s="2489">
        <v>0</v>
      </c>
      <c r="E16" s="2489">
        <v>0</v>
      </c>
      <c r="F16" s="2489">
        <v>0</v>
      </c>
      <c r="G16" s="2489">
        <v>0</v>
      </c>
      <c r="H16" s="2489">
        <v>0</v>
      </c>
      <c r="I16" s="2489">
        <v>0</v>
      </c>
      <c r="J16" s="2489">
        <v>0</v>
      </c>
      <c r="K16" s="2489">
        <v>0</v>
      </c>
      <c r="L16" s="2489">
        <v>0</v>
      </c>
      <c r="M16" s="2489">
        <v>0</v>
      </c>
      <c r="N16" s="2489">
        <v>0</v>
      </c>
      <c r="O16" s="2489">
        <v>0</v>
      </c>
      <c r="P16" s="2489">
        <v>0</v>
      </c>
      <c r="Q16" s="2489">
        <v>0</v>
      </c>
      <c r="R16" s="2489">
        <v>0</v>
      </c>
      <c r="S16" s="2489">
        <v>0</v>
      </c>
      <c r="T16" s="2489">
        <v>0</v>
      </c>
      <c r="U16" s="2505">
        <v>0</v>
      </c>
      <c r="V16" s="2505">
        <v>0</v>
      </c>
      <c r="W16" s="2505">
        <v>0</v>
      </c>
      <c r="X16" s="2505">
        <v>0</v>
      </c>
      <c r="Y16" s="2505">
        <v>0</v>
      </c>
      <c r="Z16" s="2505">
        <v>0</v>
      </c>
      <c r="AA16" s="2505">
        <v>0</v>
      </c>
      <c r="AB16" s="2506">
        <v>0</v>
      </c>
      <c r="AC16" s="2506">
        <v>0</v>
      </c>
      <c r="AD16" s="2506">
        <v>0</v>
      </c>
      <c r="AE16" s="2507">
        <v>0</v>
      </c>
    </row>
    <row r="17" spans="1:31" s="2486" customFormat="1" ht="16.5" x14ac:dyDescent="0.3">
      <c r="A17" s="2488" t="s">
        <v>2421</v>
      </c>
      <c r="B17" s="2489">
        <v>10732</v>
      </c>
      <c r="C17" s="2489">
        <v>10679</v>
      </c>
      <c r="D17" s="2489">
        <v>10294</v>
      </c>
      <c r="E17" s="2489">
        <v>9595</v>
      </c>
      <c r="F17" s="2489">
        <v>12598</v>
      </c>
      <c r="G17" s="2489">
        <v>11935</v>
      </c>
      <c r="H17" s="2489">
        <v>18227</v>
      </c>
      <c r="I17" s="2489">
        <v>17394</v>
      </c>
      <c r="J17" s="2489">
        <v>17764</v>
      </c>
      <c r="K17" s="2489">
        <v>17015</v>
      </c>
      <c r="L17" s="2489">
        <v>17512</v>
      </c>
      <c r="M17" s="2489">
        <v>24347</v>
      </c>
      <c r="N17" s="2489">
        <v>23488</v>
      </c>
      <c r="O17" s="2489">
        <v>22916</v>
      </c>
      <c r="P17" s="2489">
        <v>23010</v>
      </c>
      <c r="Q17" s="2489">
        <v>17440</v>
      </c>
      <c r="R17" s="2489">
        <v>17741</v>
      </c>
      <c r="S17" s="2489">
        <v>17498</v>
      </c>
      <c r="T17" s="2489">
        <v>11007</v>
      </c>
      <c r="U17" s="2511">
        <v>11728</v>
      </c>
      <c r="V17" s="2511">
        <v>13143</v>
      </c>
      <c r="W17" s="2511">
        <v>13813.6</v>
      </c>
      <c r="X17" s="2511">
        <v>14092</v>
      </c>
      <c r="Y17" s="2511">
        <v>13581.5</v>
      </c>
      <c r="Z17" s="2511">
        <v>19169.64</v>
      </c>
      <c r="AA17" s="2511">
        <v>24526.699999999997</v>
      </c>
      <c r="AB17" s="2512">
        <v>29519</v>
      </c>
      <c r="AC17" s="2512">
        <v>31880</v>
      </c>
      <c r="AD17" s="2512">
        <v>29998</v>
      </c>
      <c r="AE17" s="2513">
        <v>33717</v>
      </c>
    </row>
    <row r="18" spans="1:31" s="2486" customFormat="1" ht="16.5" x14ac:dyDescent="0.3">
      <c r="A18" s="2488" t="s">
        <v>2422</v>
      </c>
      <c r="B18" s="2489">
        <v>12261</v>
      </c>
      <c r="C18" s="2489">
        <v>12317</v>
      </c>
      <c r="D18" s="2489">
        <v>12454</v>
      </c>
      <c r="E18" s="2489">
        <v>12385</v>
      </c>
      <c r="F18" s="2489">
        <v>11870</v>
      </c>
      <c r="G18" s="2489">
        <v>12621</v>
      </c>
      <c r="H18" s="2489">
        <v>11996</v>
      </c>
      <c r="I18" s="2489">
        <v>12180</v>
      </c>
      <c r="J18" s="2489">
        <v>11694</v>
      </c>
      <c r="K18" s="2489">
        <v>12736</v>
      </c>
      <c r="L18" s="2489">
        <v>12875</v>
      </c>
      <c r="M18" s="2489">
        <v>12846</v>
      </c>
      <c r="N18" s="2489">
        <v>12405</v>
      </c>
      <c r="O18" s="2489">
        <v>12678</v>
      </c>
      <c r="P18" s="2489">
        <v>12377.6</v>
      </c>
      <c r="Q18" s="2489">
        <v>16487</v>
      </c>
      <c r="R18" s="2489">
        <v>19559</v>
      </c>
      <c r="S18" s="2489">
        <v>21038</v>
      </c>
      <c r="T18" s="2489">
        <v>21604</v>
      </c>
      <c r="U18" s="2511">
        <v>22491</v>
      </c>
      <c r="V18" s="2511">
        <v>23456</v>
      </c>
      <c r="W18" s="2511">
        <v>25693</v>
      </c>
      <c r="X18" s="2511">
        <v>25846.7</v>
      </c>
      <c r="Y18" s="2511">
        <v>26494.27</v>
      </c>
      <c r="Z18" s="2511">
        <v>26934.89</v>
      </c>
      <c r="AA18" s="2511">
        <v>28713</v>
      </c>
      <c r="AB18" s="2512">
        <v>28979</v>
      </c>
      <c r="AC18" s="2512">
        <v>30073</v>
      </c>
      <c r="AD18" s="2512">
        <v>31244</v>
      </c>
      <c r="AE18" s="2513">
        <v>31394</v>
      </c>
    </row>
    <row r="19" spans="1:31" s="2486" customFormat="1" ht="16.5" x14ac:dyDescent="0.3">
      <c r="A19" s="2488" t="s">
        <v>2423</v>
      </c>
      <c r="B19" s="2489">
        <v>199700.9</v>
      </c>
      <c r="C19" s="2489">
        <v>207522.3</v>
      </c>
      <c r="D19" s="2489">
        <v>210937.60000000001</v>
      </c>
      <c r="E19" s="2489">
        <v>214816.2</v>
      </c>
      <c r="F19" s="2489">
        <v>229622.3</v>
      </c>
      <c r="G19" s="2489">
        <v>229088.15</v>
      </c>
      <c r="H19" s="2489">
        <v>233825.4</v>
      </c>
      <c r="I19" s="2489">
        <v>232754</v>
      </c>
      <c r="J19" s="2489">
        <v>235374.65</v>
      </c>
      <c r="K19" s="2489">
        <v>240758.15</v>
      </c>
      <c r="L19" s="2489">
        <v>250022.39999999999</v>
      </c>
      <c r="M19" s="2489">
        <v>258628.6</v>
      </c>
      <c r="N19" s="2489">
        <v>265331.75</v>
      </c>
      <c r="O19" s="2489">
        <v>267673</v>
      </c>
      <c r="P19" s="2489">
        <v>273279</v>
      </c>
      <c r="Q19" s="2489">
        <v>270326</v>
      </c>
      <c r="R19" s="2489">
        <v>276286</v>
      </c>
      <c r="S19" s="2489">
        <v>317044</v>
      </c>
      <c r="T19" s="2489">
        <v>279069</v>
      </c>
      <c r="U19" s="2511">
        <v>270674</v>
      </c>
      <c r="V19" s="2511">
        <v>281452.55</v>
      </c>
      <c r="W19" s="2511">
        <v>308559.53999999998</v>
      </c>
      <c r="X19" s="2511">
        <v>316513</v>
      </c>
      <c r="Y19" s="2511">
        <v>305621.7</v>
      </c>
      <c r="Z19" s="2511">
        <v>320834.45999999996</v>
      </c>
      <c r="AA19" s="2511">
        <v>347409.14</v>
      </c>
      <c r="AB19" s="2512">
        <v>364127.92</v>
      </c>
      <c r="AC19" s="2512">
        <v>363272.8</v>
      </c>
      <c r="AD19" s="2512">
        <v>366678.05</v>
      </c>
      <c r="AE19" s="2513">
        <v>380786.15</v>
      </c>
    </row>
    <row r="20" spans="1:31" s="2486" customFormat="1" ht="16.5" x14ac:dyDescent="0.3">
      <c r="A20" s="2495" t="s">
        <v>2416</v>
      </c>
      <c r="B20" s="2498">
        <f t="shared" ref="B20:I20" si="4">-(B19/B36)*100</f>
        <v>-48.015642882560563</v>
      </c>
      <c r="C20" s="2498">
        <f t="shared" si="4"/>
        <v>-49.166230338582693</v>
      </c>
      <c r="D20" s="2498">
        <f t="shared" si="4"/>
        <v>-49.291165625248283</v>
      </c>
      <c r="E20" s="2498">
        <f t="shared" si="4"/>
        <v>-49.409727093947311</v>
      </c>
      <c r="F20" s="2498">
        <f t="shared" si="4"/>
        <v>-52.201479049825295</v>
      </c>
      <c r="G20" s="2498">
        <f t="shared" si="4"/>
        <v>-51.318915056193873</v>
      </c>
      <c r="H20" s="2498">
        <f t="shared" si="4"/>
        <v>-51.830012479524044</v>
      </c>
      <c r="I20" s="2498">
        <f t="shared" si="4"/>
        <v>-50.908462579915614</v>
      </c>
      <c r="J20" s="2498">
        <v>-50.8</v>
      </c>
      <c r="K20" s="2498">
        <v>-51.2</v>
      </c>
      <c r="L20" s="2498">
        <v>-52.5</v>
      </c>
      <c r="M20" s="2498">
        <f t="shared" ref="M20:AB20" si="5">-(M19/M36)*100</f>
        <v>-53.633907148530412</v>
      </c>
      <c r="N20" s="2498">
        <f t="shared" si="5"/>
        <v>-54.5150324729358</v>
      </c>
      <c r="O20" s="2504">
        <f t="shared" si="5"/>
        <v>-54.507559945018578</v>
      </c>
      <c r="P20" s="2504">
        <f t="shared" si="5"/>
        <v>-55.113128742303644</v>
      </c>
      <c r="Q20" s="2504">
        <f t="shared" si="5"/>
        <v>-54.244532424194389</v>
      </c>
      <c r="R20" s="2504">
        <f t="shared" si="5"/>
        <v>-55.49081633677784</v>
      </c>
      <c r="S20" s="2504">
        <f t="shared" si="5"/>
        <v>-69.282728268019198</v>
      </c>
      <c r="T20" s="2504">
        <f t="shared" si="5"/>
        <v>-63.130355704758713</v>
      </c>
      <c r="U20" s="2504">
        <f t="shared" si="5"/>
        <v>-62.99256211425859</v>
      </c>
      <c r="V20" s="2498">
        <f t="shared" si="5"/>
        <v>-67.109981163117865</v>
      </c>
      <c r="W20" s="2498">
        <f t="shared" si="5"/>
        <v>-70.814227126369246</v>
      </c>
      <c r="X20" s="2498">
        <f t="shared" si="5"/>
        <v>-70.678778703002777</v>
      </c>
      <c r="Y20" s="2498">
        <f t="shared" si="5"/>
        <v>-63.603343933137992</v>
      </c>
      <c r="Z20" s="2498">
        <f t="shared" si="5"/>
        <v>-64.382702819852128</v>
      </c>
      <c r="AA20" s="2498">
        <f t="shared" si="5"/>
        <v>-66.497041782548521</v>
      </c>
      <c r="AB20" s="2499">
        <f t="shared" si="5"/>
        <v>-66.907729170341625</v>
      </c>
      <c r="AC20" s="2499">
        <v>-63.6</v>
      </c>
      <c r="AD20" s="2499">
        <v>-62.2</v>
      </c>
      <c r="AE20" s="2500">
        <v>-61.2</v>
      </c>
    </row>
    <row r="21" spans="1:31" s="2486" customFormat="1" ht="16.5" x14ac:dyDescent="0.3">
      <c r="A21" s="2488" t="s">
        <v>2424</v>
      </c>
      <c r="B21" s="2489">
        <v>66410.88342367101</v>
      </c>
      <c r="C21" s="2489">
        <v>65895.646230258397</v>
      </c>
      <c r="D21" s="2489">
        <v>65673</v>
      </c>
      <c r="E21" s="2489">
        <v>64124</v>
      </c>
      <c r="F21" s="2489">
        <v>58074</v>
      </c>
      <c r="G21" s="2489">
        <v>58942</v>
      </c>
      <c r="H21" s="2489">
        <v>57101.2</v>
      </c>
      <c r="I21" s="2489">
        <v>57386</v>
      </c>
      <c r="J21" s="2489">
        <v>56316.700000000004</v>
      </c>
      <c r="K21" s="2489">
        <v>57342</v>
      </c>
      <c r="L21" s="2489">
        <v>55020.000000000007</v>
      </c>
      <c r="M21" s="2489">
        <v>54326.950000000004</v>
      </c>
      <c r="N21" s="2489">
        <v>52716.600000000006</v>
      </c>
      <c r="O21" s="2489">
        <v>52981.500000000007</v>
      </c>
      <c r="P21" s="2489">
        <v>51619.6</v>
      </c>
      <c r="Q21" s="2489">
        <v>56126.250000000007</v>
      </c>
      <c r="R21" s="2489">
        <v>53217.8</v>
      </c>
      <c r="S21" s="2489">
        <v>64752.2</v>
      </c>
      <c r="T21" s="2489">
        <v>89535.65</v>
      </c>
      <c r="U21" s="2511">
        <v>91253</v>
      </c>
      <c r="V21" s="2511">
        <v>106727.15000000001</v>
      </c>
      <c r="W21" s="2511">
        <v>110799.04999999999</v>
      </c>
      <c r="X21" s="2511">
        <v>105463.8</v>
      </c>
      <c r="Y21" s="2511">
        <v>116203.06999999999</v>
      </c>
      <c r="Z21" s="2511">
        <v>115580.59000000001</v>
      </c>
      <c r="AA21" s="2511">
        <v>101885.35</v>
      </c>
      <c r="AB21" s="2512">
        <v>96374.6</v>
      </c>
      <c r="AC21" s="2512">
        <v>111861.45</v>
      </c>
      <c r="AD21" s="2512">
        <v>117086.90000000001</v>
      </c>
      <c r="AE21" s="2513">
        <v>115267.65000000001</v>
      </c>
    </row>
    <row r="22" spans="1:31" s="2486" customFormat="1" ht="16.5" x14ac:dyDescent="0.3">
      <c r="A22" s="2495" t="s">
        <v>2416</v>
      </c>
      <c r="B22" s="2503">
        <f t="shared" ref="B22:I22" si="6">-(B21/B36)*100</f>
        <v>-15.967685984321294</v>
      </c>
      <c r="C22" s="2503">
        <f t="shared" si="6"/>
        <v>-15.612011436200557</v>
      </c>
      <c r="D22" s="2503">
        <f t="shared" si="6"/>
        <v>-15.346238508956823</v>
      </c>
      <c r="E22" s="2503">
        <f t="shared" si="6"/>
        <v>-14.749117339252241</v>
      </c>
      <c r="F22" s="2503">
        <f t="shared" si="6"/>
        <v>-13.20232701414259</v>
      </c>
      <c r="G22" s="2503">
        <f t="shared" si="6"/>
        <v>-13.203823468137394</v>
      </c>
      <c r="H22" s="2503">
        <f t="shared" si="6"/>
        <v>-12.657118981067919</v>
      </c>
      <c r="I22" s="2503">
        <f t="shared" si="6"/>
        <v>-12.551591094507666</v>
      </c>
      <c r="J22" s="2503">
        <v>-12.2</v>
      </c>
      <c r="K22" s="2503">
        <v>-12.2</v>
      </c>
      <c r="L22" s="2503">
        <v>-11.6</v>
      </c>
      <c r="M22" s="2503">
        <f t="shared" ref="M22:AC22" si="7">-(M21/M36)*100</f>
        <v>-11.266219559487444</v>
      </c>
      <c r="N22" s="2503">
        <f t="shared" si="7"/>
        <v>-10.831146897658375</v>
      </c>
      <c r="O22" s="2504">
        <f t="shared" si="7"/>
        <v>-10.788881535407016</v>
      </c>
      <c r="P22" s="2504">
        <f t="shared" si="7"/>
        <v>-10.410304708470891</v>
      </c>
      <c r="Q22" s="2504">
        <f t="shared" si="7"/>
        <v>-11.262483771348078</v>
      </c>
      <c r="R22" s="2504">
        <f t="shared" si="7"/>
        <v>-10.688558832685608</v>
      </c>
      <c r="S22" s="2504">
        <f t="shared" si="7"/>
        <v>-14.150115054555307</v>
      </c>
      <c r="T22" s="2504">
        <f t="shared" si="7"/>
        <v>-20.254551500728422</v>
      </c>
      <c r="U22" s="2504">
        <f t="shared" si="7"/>
        <v>-21.236839410554538</v>
      </c>
      <c r="V22" s="2498">
        <f t="shared" si="7"/>
        <v>-25.448186652042253</v>
      </c>
      <c r="W22" s="2498">
        <f t="shared" si="7"/>
        <v>-25.428314717107568</v>
      </c>
      <c r="X22" s="2498">
        <f t="shared" si="7"/>
        <v>-23.550541625076203</v>
      </c>
      <c r="Y22" s="2498">
        <f t="shared" si="7"/>
        <v>-24.183177527304206</v>
      </c>
      <c r="Z22" s="2498">
        <f t="shared" si="7"/>
        <v>-23.193863831563402</v>
      </c>
      <c r="AA22" s="2498">
        <f t="shared" si="7"/>
        <v>-19.501715976671143</v>
      </c>
      <c r="AB22" s="2499">
        <f t="shared" si="7"/>
        <v>-17.708627329922972</v>
      </c>
      <c r="AC22" s="2499">
        <f t="shared" si="7"/>
        <v>-19.628810424577633</v>
      </c>
      <c r="AD22" s="2499">
        <v>-19.899999999999999</v>
      </c>
      <c r="AE22" s="2500">
        <v>-18.5</v>
      </c>
    </row>
    <row r="23" spans="1:31" s="2486" customFormat="1" ht="16.5" x14ac:dyDescent="0.3">
      <c r="A23" s="2488" t="s">
        <v>2425</v>
      </c>
      <c r="B23" s="2489">
        <v>266111.78342367103</v>
      </c>
      <c r="C23" s="2489">
        <v>273417.94623025839</v>
      </c>
      <c r="D23" s="2489">
        <v>276610.59999999998</v>
      </c>
      <c r="E23" s="2489">
        <v>278940.2</v>
      </c>
      <c r="F23" s="2489">
        <v>287696.3</v>
      </c>
      <c r="G23" s="2489">
        <v>288030.15000000002</v>
      </c>
      <c r="H23" s="2489">
        <v>290926.59999999998</v>
      </c>
      <c r="I23" s="2489">
        <v>290140</v>
      </c>
      <c r="J23" s="2489">
        <v>29161.35</v>
      </c>
      <c r="K23" s="2489">
        <v>298100.15000000002</v>
      </c>
      <c r="L23" s="2489">
        <v>305042.40000000002</v>
      </c>
      <c r="M23" s="2489">
        <v>312955.55</v>
      </c>
      <c r="N23" s="2489">
        <v>318048.34999999998</v>
      </c>
      <c r="O23" s="2489">
        <v>320654.5</v>
      </c>
      <c r="P23" s="2489">
        <v>324898.59999999998</v>
      </c>
      <c r="Q23" s="2489">
        <v>326452.25</v>
      </c>
      <c r="R23" s="2489">
        <v>329503.8</v>
      </c>
      <c r="S23" s="2489">
        <v>381796.2</v>
      </c>
      <c r="T23" s="2489">
        <v>368604.65</v>
      </c>
      <c r="U23" s="2489">
        <v>361927</v>
      </c>
      <c r="V23" s="2489">
        <v>388179.7</v>
      </c>
      <c r="W23" s="2489">
        <v>419358.58999999997</v>
      </c>
      <c r="X23" s="2489">
        <v>421976.8</v>
      </c>
      <c r="Y23" s="2489">
        <v>421824.77</v>
      </c>
      <c r="Z23" s="2489">
        <v>436415.05000000005</v>
      </c>
      <c r="AA23" s="2489">
        <v>449294.49</v>
      </c>
      <c r="AB23" s="2490">
        <v>460502.51999999996</v>
      </c>
      <c r="AC23" s="2490">
        <v>475134.25</v>
      </c>
      <c r="AD23" s="2490">
        <v>483764.95</v>
      </c>
      <c r="AE23" s="2491">
        <v>496053.80000000005</v>
      </c>
    </row>
    <row r="24" spans="1:31" s="2486" customFormat="1" ht="16.5" x14ac:dyDescent="0.3">
      <c r="A24" s="2495" t="s">
        <v>2416</v>
      </c>
      <c r="B24" s="2503">
        <f t="shared" ref="B24:I24" si="8">-(B23/B36)*100</f>
        <v>-63.983328866881862</v>
      </c>
      <c r="C24" s="2503">
        <f t="shared" si="8"/>
        <v>-64.778241774783254</v>
      </c>
      <c r="D24" s="2503">
        <f t="shared" si="8"/>
        <v>-64.637404134205099</v>
      </c>
      <c r="E24" s="2503">
        <f t="shared" si="8"/>
        <v>-64.158844433199548</v>
      </c>
      <c r="F24" s="2503">
        <f t="shared" si="8"/>
        <v>-65.403806063967878</v>
      </c>
      <c r="G24" s="2503">
        <f t="shared" si="8"/>
        <v>-64.522738524331274</v>
      </c>
      <c r="H24" s="2503">
        <f t="shared" si="8"/>
        <v>-64.487131460591968</v>
      </c>
      <c r="I24" s="2503">
        <f t="shared" si="8"/>
        <v>-63.460053674423293</v>
      </c>
      <c r="J24" s="2503">
        <v>-63</v>
      </c>
      <c r="K24" s="2503">
        <v>-63.4</v>
      </c>
      <c r="L24" s="2503">
        <v>-64.099999999999994</v>
      </c>
      <c r="M24" s="2503">
        <f t="shared" ref="M24:AB24" si="9">-(M23/M36)*100</f>
        <v>-64.900126708017865</v>
      </c>
      <c r="N24" s="2503">
        <f t="shared" si="9"/>
        <v>-65.346179370594157</v>
      </c>
      <c r="O24" s="2504">
        <f t="shared" si="9"/>
        <v>-65.296441480425599</v>
      </c>
      <c r="P24" s="2504">
        <f t="shared" si="9"/>
        <v>-65.523433450774533</v>
      </c>
      <c r="Q24" s="2504">
        <f t="shared" si="9"/>
        <v>-65.507016195542462</v>
      </c>
      <c r="R24" s="2504">
        <f t="shared" si="9"/>
        <v>-66.179375169463441</v>
      </c>
      <c r="S24" s="2504">
        <f t="shared" si="9"/>
        <v>-83.432843322574513</v>
      </c>
      <c r="T24" s="2504">
        <f t="shared" si="9"/>
        <v>-83.384907205487153</v>
      </c>
      <c r="U24" s="2504">
        <f t="shared" si="9"/>
        <v>-84.229401524813113</v>
      </c>
      <c r="V24" s="2498">
        <f t="shared" si="9"/>
        <v>-92.558167815160118</v>
      </c>
      <c r="W24" s="2498">
        <f t="shared" si="9"/>
        <v>-96.242541843476815</v>
      </c>
      <c r="X24" s="2498">
        <f t="shared" si="9"/>
        <v>-94.229320328078984</v>
      </c>
      <c r="Y24" s="2498">
        <f t="shared" si="9"/>
        <v>-87.786521460442202</v>
      </c>
      <c r="Z24" s="2498">
        <f t="shared" si="9"/>
        <v>-87.576566651415561</v>
      </c>
      <c r="AA24" s="2498">
        <f t="shared" si="9"/>
        <v>-85.998757759219671</v>
      </c>
      <c r="AB24" s="2499">
        <f t="shared" si="9"/>
        <v>-84.616356500264587</v>
      </c>
      <c r="AC24" s="2499">
        <v>-83.2</v>
      </c>
      <c r="AD24" s="2499">
        <v>-82</v>
      </c>
      <c r="AE24" s="2500">
        <v>-79.7</v>
      </c>
    </row>
    <row r="25" spans="1:31" s="2486" customFormat="1" ht="17.25" x14ac:dyDescent="0.3">
      <c r="A25" s="2488" t="s">
        <v>2426</v>
      </c>
      <c r="B25" s="2503"/>
      <c r="C25" s="2503"/>
      <c r="D25" s="2503"/>
      <c r="E25" s="2503"/>
      <c r="F25" s="2503"/>
      <c r="G25" s="2503"/>
      <c r="H25" s="2503"/>
      <c r="I25" s="2503"/>
      <c r="J25" s="2503"/>
      <c r="K25" s="2503"/>
      <c r="L25" s="2503"/>
      <c r="M25" s="2503"/>
      <c r="N25" s="2503"/>
      <c r="O25" s="2503"/>
      <c r="P25" s="2503"/>
      <c r="Q25" s="2503"/>
      <c r="R25" s="2489">
        <v>297429.8</v>
      </c>
      <c r="S25" s="2489">
        <v>322180.2</v>
      </c>
      <c r="T25" s="2489">
        <v>280317.65000000002</v>
      </c>
      <c r="U25" s="2489">
        <v>297790</v>
      </c>
      <c r="V25" s="2489">
        <v>315100.7</v>
      </c>
      <c r="W25" s="2489">
        <v>344963.58999999997</v>
      </c>
      <c r="X25" s="2489">
        <v>352693.19698303298</v>
      </c>
      <c r="Y25" s="2489">
        <v>354452.77</v>
      </c>
      <c r="Z25" s="2489">
        <v>373613.05000000005</v>
      </c>
      <c r="AA25" s="2489">
        <v>385487.49</v>
      </c>
      <c r="AB25" s="2490">
        <v>397852.51999999996</v>
      </c>
      <c r="AC25" s="2490">
        <v>410271.25</v>
      </c>
      <c r="AD25" s="2490">
        <v>424786.95</v>
      </c>
      <c r="AE25" s="2491">
        <v>428144.80000000005</v>
      </c>
    </row>
    <row r="26" spans="1:31" s="2486" customFormat="1" ht="16.5" customHeight="1" thickBot="1" x14ac:dyDescent="0.35">
      <c r="A26" s="2514" t="s">
        <v>2416</v>
      </c>
      <c r="B26" s="2515"/>
      <c r="C26" s="2515"/>
      <c r="D26" s="2515"/>
      <c r="E26" s="2515"/>
      <c r="F26" s="2515"/>
      <c r="G26" s="2515"/>
      <c r="H26" s="2515"/>
      <c r="I26" s="2515"/>
      <c r="J26" s="2515"/>
      <c r="K26" s="2515"/>
      <c r="L26" s="2515"/>
      <c r="M26" s="2515"/>
      <c r="N26" s="2515"/>
      <c r="O26" s="2515"/>
      <c r="P26" s="2515"/>
      <c r="Q26" s="2515"/>
      <c r="R26" s="2516">
        <f t="shared" ref="R26:AB26" si="10">-(R25/R36)*100</f>
        <v>-59.737454684220573</v>
      </c>
      <c r="S26" s="2516">
        <f t="shared" si="10"/>
        <v>-70.405127521530403</v>
      </c>
      <c r="T26" s="2516">
        <f t="shared" si="10"/>
        <v>-63.412822473374177</v>
      </c>
      <c r="U26" s="2516">
        <f t="shared" si="10"/>
        <v>-69.303128752687968</v>
      </c>
      <c r="V26" s="2517">
        <f t="shared" si="10"/>
        <v>-75.133098071007893</v>
      </c>
      <c r="W26" s="2517">
        <f t="shared" si="10"/>
        <v>-79.168934503168231</v>
      </c>
      <c r="X26" s="2517">
        <f t="shared" si="10"/>
        <v>-78.757979671035173</v>
      </c>
      <c r="Y26" s="2517">
        <f t="shared" si="10"/>
        <v>-73.76564373002131</v>
      </c>
      <c r="Z26" s="2517">
        <f t="shared" si="10"/>
        <v>-74.973922588516714</v>
      </c>
      <c r="AA26" s="2517">
        <f t="shared" si="10"/>
        <v>-73.785559381597608</v>
      </c>
      <c r="AB26" s="2518">
        <f t="shared" si="10"/>
        <v>-73.104552537190557</v>
      </c>
      <c r="AC26" s="2518">
        <v>-71.900000000000006</v>
      </c>
      <c r="AD26" s="2518">
        <v>-72</v>
      </c>
      <c r="AE26" s="2519">
        <v>-68.8</v>
      </c>
    </row>
    <row r="27" spans="1:31" s="2522" customFormat="1" ht="16.5" thickTop="1" x14ac:dyDescent="0.25">
      <c r="A27" s="2520" t="s">
        <v>2427</v>
      </c>
      <c r="B27" s="2521"/>
      <c r="C27" s="2521"/>
      <c r="D27" s="2521"/>
      <c r="E27" s="2521"/>
    </row>
    <row r="28" spans="1:31" s="2522" customFormat="1" ht="15.75" x14ac:dyDescent="0.25">
      <c r="A28" s="2523" t="s">
        <v>2428</v>
      </c>
      <c r="B28" s="2521"/>
      <c r="C28" s="2521"/>
      <c r="D28" s="2521"/>
      <c r="E28" s="2521"/>
    </row>
    <row r="29" spans="1:31" s="2522" customFormat="1" ht="15.75" x14ac:dyDescent="0.25">
      <c r="A29" s="2523" t="s">
        <v>2429</v>
      </c>
      <c r="B29" s="2521"/>
      <c r="C29" s="2521"/>
      <c r="D29" s="2521"/>
      <c r="E29" s="2521"/>
    </row>
    <row r="30" spans="1:31" s="2522" customFormat="1" ht="14.25" x14ac:dyDescent="0.25">
      <c r="A30" s="2524" t="s">
        <v>2430</v>
      </c>
      <c r="B30" s="2525"/>
      <c r="C30" s="2525"/>
      <c r="D30" s="2525"/>
      <c r="E30" s="2525"/>
      <c r="G30" s="2526"/>
      <c r="H30" s="2526"/>
      <c r="I30" s="2526"/>
      <c r="J30" s="2526"/>
      <c r="K30" s="2526"/>
      <c r="L30" s="2526"/>
      <c r="M30" s="2526"/>
      <c r="N30" s="2526"/>
      <c r="O30" s="2526"/>
      <c r="P30" s="2526"/>
      <c r="Q30" s="2526"/>
      <c r="R30" s="2526"/>
      <c r="S30" s="2526"/>
      <c r="T30" s="2526"/>
    </row>
    <row r="31" spans="1:31" s="2522" customFormat="1" ht="14.25" x14ac:dyDescent="0.25">
      <c r="A31" s="2523" t="s">
        <v>2431</v>
      </c>
      <c r="B31" s="2521"/>
      <c r="C31" s="2521"/>
      <c r="D31" s="2521"/>
      <c r="E31" s="2521"/>
    </row>
    <row r="32" spans="1:31" s="2522" customFormat="1" ht="14.25" customHeight="1" x14ac:dyDescent="0.25">
      <c r="A32" s="2523" t="s">
        <v>2432</v>
      </c>
      <c r="B32" s="2527"/>
      <c r="C32" s="2527"/>
      <c r="D32" s="2528"/>
      <c r="E32" s="2528"/>
    </row>
    <row r="33" spans="1:30" s="2522" customFormat="1" ht="14.25" customHeight="1" x14ac:dyDescent="0.25">
      <c r="B33" s="2527"/>
      <c r="C33" s="2527"/>
      <c r="D33" s="2528"/>
      <c r="E33" s="2528"/>
    </row>
    <row r="34" spans="1:30" s="2522" customFormat="1" ht="14.25" customHeight="1" x14ac:dyDescent="0.25">
      <c r="B34" s="2527"/>
      <c r="C34" s="2527"/>
      <c r="D34" s="2528"/>
      <c r="E34" s="2528"/>
    </row>
    <row r="35" spans="1:30" ht="14.25" x14ac:dyDescent="0.25">
      <c r="A35" s="2529"/>
      <c r="B35" s="2530"/>
      <c r="C35" s="2530"/>
      <c r="D35" s="2530"/>
      <c r="E35" s="2530"/>
    </row>
    <row r="36" spans="1:30" ht="14.25" hidden="1" x14ac:dyDescent="0.25">
      <c r="A36" s="2531" t="s">
        <v>2433</v>
      </c>
      <c r="B36" s="2532">
        <v>415908</v>
      </c>
      <c r="C36" s="2532">
        <v>422083</v>
      </c>
      <c r="D36" s="2532">
        <v>427942</v>
      </c>
      <c r="E36" s="2532">
        <v>434765</v>
      </c>
      <c r="F36" s="2531">
        <v>439877</v>
      </c>
      <c r="G36" s="2531">
        <v>446401</v>
      </c>
      <c r="H36" s="2531">
        <v>451139</v>
      </c>
      <c r="I36" s="2531">
        <v>457201</v>
      </c>
      <c r="J36" s="2531">
        <v>462893</v>
      </c>
      <c r="K36" s="2531">
        <v>470235</v>
      </c>
      <c r="L36" s="2531">
        <v>475908</v>
      </c>
      <c r="M36" s="2531">
        <v>482211</v>
      </c>
      <c r="N36" s="2531">
        <v>486713</v>
      </c>
      <c r="O36" s="2531">
        <v>491075</v>
      </c>
      <c r="P36" s="2531">
        <v>495851</v>
      </c>
      <c r="Q36" s="2531">
        <v>498347</v>
      </c>
      <c r="R36" s="2531">
        <v>497895</v>
      </c>
      <c r="S36" s="2531">
        <v>457609</v>
      </c>
      <c r="T36" s="2531">
        <v>442052</v>
      </c>
      <c r="U36" s="2531">
        <v>429692</v>
      </c>
      <c r="V36" s="2531">
        <v>419390</v>
      </c>
      <c r="W36" s="2531">
        <v>435731</v>
      </c>
      <c r="X36" s="2531">
        <v>447819</v>
      </c>
      <c r="Y36" s="2531">
        <v>480512</v>
      </c>
      <c r="Z36" s="2531">
        <v>498324</v>
      </c>
      <c r="AA36" s="2531">
        <v>522443</v>
      </c>
      <c r="AB36" s="2531">
        <v>544224</v>
      </c>
      <c r="AC36" s="2531">
        <v>569884</v>
      </c>
      <c r="AD36" s="2531">
        <v>590200</v>
      </c>
    </row>
    <row r="37" spans="1:30" ht="14.25" x14ac:dyDescent="0.25">
      <c r="B37" s="2532"/>
      <c r="C37" s="2532"/>
      <c r="D37" s="2532"/>
      <c r="E37" s="2532"/>
    </row>
    <row r="38" spans="1:30" ht="15.75" customHeight="1" x14ac:dyDescent="0.25">
      <c r="B38" s="2533"/>
      <c r="C38" s="2533"/>
      <c r="D38" s="2533"/>
      <c r="E38" s="2533"/>
    </row>
    <row r="39" spans="1:30" ht="15" customHeight="1" x14ac:dyDescent="0.25">
      <c r="B39" s="2533"/>
      <c r="C39" s="2533"/>
      <c r="D39" s="2533"/>
      <c r="E39" s="2533"/>
    </row>
    <row r="40" spans="1:30" ht="15" customHeight="1" x14ac:dyDescent="0.25">
      <c r="B40" s="2533"/>
      <c r="C40" s="2533"/>
      <c r="D40" s="2533"/>
      <c r="E40" s="2533"/>
    </row>
    <row r="41" spans="1:30" ht="15" customHeight="1" x14ac:dyDescent="0.25">
      <c r="B41" s="2533"/>
      <c r="C41" s="2533"/>
      <c r="D41" s="2533"/>
      <c r="E41" s="2533"/>
    </row>
    <row r="42" spans="1:30" ht="15" customHeight="1" x14ac:dyDescent="0.25">
      <c r="B42" s="2533"/>
      <c r="C42" s="2533"/>
      <c r="D42" s="2533"/>
      <c r="E42" s="2533"/>
    </row>
    <row r="43" spans="1:30" ht="15" customHeight="1" x14ac:dyDescent="0.25">
      <c r="B43" s="2533"/>
      <c r="C43" s="2533"/>
      <c r="D43" s="2533"/>
      <c r="E43" s="2533"/>
    </row>
    <row r="44" spans="1:30" ht="15" customHeight="1" x14ac:dyDescent="0.25">
      <c r="B44" s="2533"/>
      <c r="C44" s="2533"/>
      <c r="D44" s="2533"/>
      <c r="E44" s="2533"/>
    </row>
    <row r="45" spans="1:30" ht="15" customHeight="1" x14ac:dyDescent="0.25">
      <c r="B45" s="2533"/>
      <c r="C45" s="2533"/>
      <c r="D45" s="2533"/>
      <c r="E45" s="2533"/>
    </row>
    <row r="46" spans="1:30" ht="15" customHeight="1" x14ac:dyDescent="0.25">
      <c r="B46" s="2533"/>
      <c r="C46" s="2533"/>
      <c r="D46" s="2533"/>
      <c r="E46" s="2533"/>
    </row>
    <row r="47" spans="1:30" ht="15" customHeight="1" x14ac:dyDescent="0.25">
      <c r="B47" s="2533"/>
      <c r="C47" s="2533"/>
      <c r="D47" s="2533"/>
      <c r="E47" s="2533"/>
    </row>
    <row r="48" spans="1:30" ht="15" customHeight="1" x14ac:dyDescent="0.25">
      <c r="B48" s="2533"/>
      <c r="C48" s="2533"/>
      <c r="D48" s="2533"/>
      <c r="E48" s="2533"/>
    </row>
    <row r="49" spans="2:5" ht="15" customHeight="1" x14ac:dyDescent="0.25">
      <c r="B49" s="2533"/>
      <c r="C49" s="2533"/>
      <c r="D49" s="2533"/>
      <c r="E49" s="2533"/>
    </row>
    <row r="50" spans="2:5" ht="15" customHeight="1" x14ac:dyDescent="0.25">
      <c r="B50" s="2533"/>
      <c r="C50" s="2533"/>
      <c r="D50" s="2533"/>
      <c r="E50" s="2533"/>
    </row>
    <row r="51" spans="2:5" ht="15" customHeight="1" x14ac:dyDescent="0.25">
      <c r="B51" s="2533"/>
      <c r="C51" s="2533"/>
      <c r="D51" s="2533"/>
      <c r="E51" s="2533"/>
    </row>
    <row r="52" spans="2:5" ht="15" customHeight="1" x14ac:dyDescent="0.25">
      <c r="B52" s="2533"/>
      <c r="C52" s="2533"/>
      <c r="D52" s="2533"/>
      <c r="E52" s="2533"/>
    </row>
    <row r="53" spans="2:5" ht="15" customHeight="1" x14ac:dyDescent="0.25">
      <c r="B53" s="2533"/>
      <c r="C53" s="2533"/>
      <c r="D53" s="2533"/>
      <c r="E53" s="2533"/>
    </row>
    <row r="54" spans="2:5" ht="15" customHeight="1" x14ac:dyDescent="0.25">
      <c r="B54" s="2533"/>
      <c r="C54" s="2533"/>
      <c r="D54" s="2533"/>
      <c r="E54" s="2533"/>
    </row>
    <row r="55" spans="2:5" ht="15" customHeight="1" x14ac:dyDescent="0.25">
      <c r="B55" s="2533"/>
      <c r="C55" s="2533"/>
      <c r="D55" s="2533"/>
      <c r="E55" s="2533"/>
    </row>
    <row r="56" spans="2:5" ht="15" customHeight="1" x14ac:dyDescent="0.25">
      <c r="B56" s="2533"/>
      <c r="C56" s="2533"/>
      <c r="D56" s="2533"/>
      <c r="E56" s="2533"/>
    </row>
    <row r="57" spans="2:5" ht="15" customHeight="1" x14ac:dyDescent="0.25">
      <c r="B57" s="2533"/>
      <c r="C57" s="2533"/>
      <c r="D57" s="2533"/>
      <c r="E57" s="2533"/>
    </row>
    <row r="58" spans="2:5" ht="15" customHeight="1" x14ac:dyDescent="0.25">
      <c r="B58" s="2533"/>
      <c r="C58" s="2533"/>
      <c r="D58" s="2533"/>
      <c r="E58" s="2533"/>
    </row>
    <row r="59" spans="2:5" ht="15" customHeight="1" x14ac:dyDescent="0.25">
      <c r="B59" s="2533"/>
      <c r="C59" s="2533"/>
      <c r="D59" s="2533"/>
      <c r="E59" s="2533"/>
    </row>
    <row r="60" spans="2:5" ht="15" customHeight="1" x14ac:dyDescent="0.25">
      <c r="B60" s="2533"/>
      <c r="C60" s="2533"/>
      <c r="D60" s="2533"/>
      <c r="E60" s="2533"/>
    </row>
    <row r="61" spans="2:5" ht="15" customHeight="1" x14ac:dyDescent="0.25">
      <c r="B61" s="2533"/>
      <c r="C61" s="2533"/>
      <c r="D61" s="2533"/>
      <c r="E61" s="2533"/>
    </row>
    <row r="62" spans="2:5" ht="15" customHeight="1" x14ac:dyDescent="0.25">
      <c r="B62" s="2533"/>
      <c r="C62" s="2533"/>
      <c r="D62" s="2533"/>
      <c r="E62" s="2533"/>
    </row>
    <row r="63" spans="2:5" ht="15" customHeight="1" x14ac:dyDescent="0.25">
      <c r="B63" s="2533"/>
      <c r="C63" s="2533"/>
      <c r="D63" s="2533"/>
      <c r="E63" s="2533"/>
    </row>
    <row r="64" spans="2:5" ht="15" customHeight="1" x14ac:dyDescent="0.25">
      <c r="B64" s="2533"/>
      <c r="C64" s="2533"/>
      <c r="D64" s="2533"/>
      <c r="E64" s="2533"/>
    </row>
    <row r="65" spans="2:5" ht="15" customHeight="1" x14ac:dyDescent="0.25">
      <c r="B65" s="2533"/>
      <c r="C65" s="2533"/>
      <c r="D65" s="2533"/>
      <c r="E65" s="2533"/>
    </row>
    <row r="66" spans="2:5" ht="15" customHeight="1" x14ac:dyDescent="0.25">
      <c r="B66" s="2533"/>
      <c r="C66" s="2533"/>
      <c r="D66" s="2533"/>
      <c r="E66" s="2533"/>
    </row>
    <row r="67" spans="2:5" ht="15" customHeight="1" x14ac:dyDescent="0.25">
      <c r="B67" s="2533"/>
      <c r="C67" s="2533"/>
      <c r="D67" s="2533"/>
      <c r="E67" s="2533"/>
    </row>
    <row r="68" spans="2:5" ht="15" customHeight="1" x14ac:dyDescent="0.25">
      <c r="B68" s="2533"/>
      <c r="C68" s="2533"/>
      <c r="D68" s="2533"/>
      <c r="E68" s="2533"/>
    </row>
    <row r="69" spans="2:5" ht="15" customHeight="1" x14ac:dyDescent="0.25">
      <c r="B69" s="2533"/>
      <c r="C69" s="2533"/>
      <c r="D69" s="2533"/>
      <c r="E69" s="2533"/>
    </row>
    <row r="70" spans="2:5" ht="15" customHeight="1" x14ac:dyDescent="0.25">
      <c r="B70" s="2533"/>
      <c r="C70" s="2533"/>
      <c r="D70" s="2533"/>
      <c r="E70" s="2533"/>
    </row>
    <row r="71" spans="2:5" ht="15" customHeight="1" x14ac:dyDescent="0.25">
      <c r="B71" s="2533"/>
      <c r="C71" s="2533"/>
      <c r="D71" s="2533"/>
      <c r="E71" s="2533"/>
    </row>
    <row r="72" spans="2:5" ht="15" customHeight="1" x14ac:dyDescent="0.25">
      <c r="B72" s="2533"/>
      <c r="C72" s="2533"/>
      <c r="D72" s="2533"/>
      <c r="E72" s="2533"/>
    </row>
    <row r="73" spans="2:5" ht="15" customHeight="1" x14ac:dyDescent="0.25">
      <c r="B73" s="2533"/>
      <c r="C73" s="2533"/>
      <c r="D73" s="2533"/>
      <c r="E73" s="2533"/>
    </row>
    <row r="74" spans="2:5" ht="15" customHeight="1" x14ac:dyDescent="0.25">
      <c r="B74" s="2533"/>
      <c r="C74" s="2533"/>
      <c r="D74" s="2533"/>
      <c r="E74" s="2533"/>
    </row>
    <row r="75" spans="2:5" ht="15" customHeight="1" x14ac:dyDescent="0.25">
      <c r="B75" s="2533"/>
      <c r="C75" s="2533"/>
      <c r="D75" s="2533"/>
      <c r="E75" s="2533"/>
    </row>
    <row r="76" spans="2:5" ht="15" customHeight="1" x14ac:dyDescent="0.25">
      <c r="B76" s="2533"/>
      <c r="C76" s="2533"/>
      <c r="D76" s="2533"/>
      <c r="E76" s="2533"/>
    </row>
    <row r="77" spans="2:5" ht="15" customHeight="1" x14ac:dyDescent="0.25">
      <c r="B77" s="2533"/>
      <c r="C77" s="2533"/>
      <c r="D77" s="2533"/>
      <c r="E77" s="2533"/>
    </row>
    <row r="78" spans="2:5" ht="15" customHeight="1" x14ac:dyDescent="0.25">
      <c r="B78" s="2533"/>
      <c r="C78" s="2533"/>
      <c r="D78" s="2533"/>
      <c r="E78" s="2533"/>
    </row>
    <row r="79" spans="2:5" ht="15" customHeight="1" x14ac:dyDescent="0.25">
      <c r="B79" s="2533"/>
      <c r="C79" s="2533"/>
      <c r="D79" s="2533"/>
      <c r="E79" s="2533"/>
    </row>
    <row r="80" spans="2:5" ht="15" customHeight="1" x14ac:dyDescent="0.25">
      <c r="B80" s="2533"/>
      <c r="C80" s="2533"/>
      <c r="D80" s="2533"/>
      <c r="E80" s="2533"/>
    </row>
    <row r="81" spans="2:5" ht="15" customHeight="1" x14ac:dyDescent="0.25">
      <c r="B81" s="2533"/>
      <c r="C81" s="2533"/>
      <c r="D81" s="2533"/>
      <c r="E81" s="2533"/>
    </row>
    <row r="82" spans="2:5" ht="15" customHeight="1" x14ac:dyDescent="0.25">
      <c r="B82" s="2533"/>
      <c r="C82" s="2533"/>
      <c r="D82" s="2533"/>
      <c r="E82" s="2533"/>
    </row>
    <row r="83" spans="2:5" ht="15" customHeight="1" x14ac:dyDescent="0.25">
      <c r="B83" s="2533"/>
      <c r="C83" s="2533"/>
      <c r="D83" s="2533"/>
      <c r="E83" s="2533"/>
    </row>
    <row r="84" spans="2:5" ht="15" customHeight="1" x14ac:dyDescent="0.25">
      <c r="B84" s="2533"/>
      <c r="C84" s="2533"/>
      <c r="D84" s="2533"/>
      <c r="E84" s="2533"/>
    </row>
    <row r="85" spans="2:5" ht="15" customHeight="1" x14ac:dyDescent="0.25">
      <c r="B85" s="2533"/>
      <c r="C85" s="2533"/>
      <c r="D85" s="2533"/>
      <c r="E85" s="2533"/>
    </row>
    <row r="86" spans="2:5" ht="15" customHeight="1" x14ac:dyDescent="0.25">
      <c r="B86" s="2533"/>
      <c r="C86" s="2533"/>
      <c r="D86" s="2533"/>
      <c r="E86" s="2533"/>
    </row>
    <row r="87" spans="2:5" ht="15" customHeight="1" x14ac:dyDescent="0.25">
      <c r="B87" s="2533"/>
      <c r="C87" s="2533"/>
      <c r="D87" s="2533"/>
      <c r="E87" s="2533"/>
    </row>
    <row r="88" spans="2:5" ht="15" customHeight="1" x14ac:dyDescent="0.25">
      <c r="B88" s="2533"/>
      <c r="C88" s="2533"/>
      <c r="D88" s="2533"/>
      <c r="E88" s="2533"/>
    </row>
    <row r="89" spans="2:5" ht="15" customHeight="1" x14ac:dyDescent="0.25">
      <c r="B89" s="2533"/>
      <c r="C89" s="2533"/>
      <c r="D89" s="2533"/>
      <c r="E89" s="2533"/>
    </row>
    <row r="90" spans="2:5" ht="15" customHeight="1" x14ac:dyDescent="0.25">
      <c r="B90" s="2533"/>
      <c r="C90" s="2533"/>
      <c r="D90" s="2533"/>
      <c r="E90" s="2533"/>
    </row>
    <row r="91" spans="2:5" ht="15" customHeight="1" x14ac:dyDescent="0.25">
      <c r="B91" s="2533"/>
      <c r="C91" s="2533"/>
      <c r="D91" s="2533"/>
      <c r="E91" s="2533"/>
    </row>
    <row r="92" spans="2:5" ht="15" customHeight="1" x14ac:dyDescent="0.25">
      <c r="B92" s="2533"/>
      <c r="C92" s="2533"/>
      <c r="D92" s="2533"/>
      <c r="E92" s="2533"/>
    </row>
    <row r="93" spans="2:5" ht="15" customHeight="1" x14ac:dyDescent="0.25">
      <c r="B93" s="2533"/>
      <c r="C93" s="2533"/>
      <c r="D93" s="2533"/>
      <c r="E93" s="2533"/>
    </row>
    <row r="94" spans="2:5" ht="15" customHeight="1" x14ac:dyDescent="0.25">
      <c r="B94" s="2533"/>
      <c r="C94" s="2533"/>
      <c r="D94" s="2533"/>
      <c r="E94" s="2533"/>
    </row>
    <row r="95" spans="2:5" ht="15" customHeight="1" x14ac:dyDescent="0.25">
      <c r="B95" s="2533"/>
      <c r="C95" s="2533"/>
      <c r="D95" s="2533"/>
      <c r="E95" s="2533"/>
    </row>
    <row r="96" spans="2:5" ht="15" customHeight="1" x14ac:dyDescent="0.25">
      <c r="B96" s="2533"/>
      <c r="C96" s="2533"/>
      <c r="D96" s="2533"/>
      <c r="E96" s="2533"/>
    </row>
    <row r="97" spans="2:5" ht="15" customHeight="1" x14ac:dyDescent="0.25">
      <c r="B97" s="2533"/>
      <c r="C97" s="2533"/>
      <c r="D97" s="2533"/>
      <c r="E97" s="2533"/>
    </row>
    <row r="98" spans="2:5" ht="15" customHeight="1" x14ac:dyDescent="0.25">
      <c r="B98" s="2533"/>
      <c r="C98" s="2533"/>
      <c r="D98" s="2533"/>
      <c r="E98" s="2533"/>
    </row>
    <row r="99" spans="2:5" ht="15" customHeight="1" x14ac:dyDescent="0.25">
      <c r="B99" s="2533"/>
      <c r="C99" s="2533"/>
      <c r="D99" s="2533"/>
      <c r="E99" s="2533"/>
    </row>
    <row r="100" spans="2:5" ht="15" customHeight="1" x14ac:dyDescent="0.25">
      <c r="B100" s="2533"/>
      <c r="C100" s="2533"/>
      <c r="D100" s="2533"/>
      <c r="E100" s="2533"/>
    </row>
    <row r="101" spans="2:5" ht="15" customHeight="1" x14ac:dyDescent="0.25">
      <c r="B101" s="2533"/>
      <c r="C101" s="2533"/>
      <c r="D101" s="2533"/>
      <c r="E101" s="2533"/>
    </row>
    <row r="102" spans="2:5" ht="15" customHeight="1" x14ac:dyDescent="0.25">
      <c r="B102" s="2533"/>
      <c r="C102" s="2533"/>
      <c r="D102" s="2533"/>
      <c r="E102" s="2533"/>
    </row>
    <row r="103" spans="2:5" ht="15" customHeight="1" x14ac:dyDescent="0.25">
      <c r="B103" s="2533"/>
      <c r="C103" s="2533"/>
      <c r="D103" s="2533"/>
      <c r="E103" s="2533"/>
    </row>
    <row r="104" spans="2:5" ht="15" customHeight="1" x14ac:dyDescent="0.25">
      <c r="B104" s="2533"/>
      <c r="C104" s="2533"/>
      <c r="D104" s="2533"/>
      <c r="E104" s="2533"/>
    </row>
    <row r="105" spans="2:5" ht="15" customHeight="1" x14ac:dyDescent="0.25">
      <c r="B105" s="2533"/>
      <c r="C105" s="2533"/>
      <c r="D105" s="2533"/>
      <c r="E105" s="2533"/>
    </row>
    <row r="106" spans="2:5" ht="15" customHeight="1" x14ac:dyDescent="0.25">
      <c r="B106" s="2533"/>
      <c r="C106" s="2533"/>
      <c r="D106" s="2533"/>
      <c r="E106" s="2533"/>
    </row>
    <row r="107" spans="2:5" ht="15" customHeight="1" x14ac:dyDescent="0.25">
      <c r="B107" s="2533"/>
      <c r="C107" s="2533"/>
      <c r="D107" s="2533"/>
      <c r="E107" s="2533"/>
    </row>
    <row r="108" spans="2:5" ht="15" customHeight="1" x14ac:dyDescent="0.25">
      <c r="B108" s="2533"/>
      <c r="C108" s="2533"/>
      <c r="D108" s="2533"/>
      <c r="E108" s="2533"/>
    </row>
    <row r="109" spans="2:5" ht="15" customHeight="1" x14ac:dyDescent="0.25">
      <c r="B109" s="2533"/>
      <c r="C109" s="2533"/>
      <c r="D109" s="2533"/>
      <c r="E109" s="2533"/>
    </row>
    <row r="110" spans="2:5" ht="15" customHeight="1" x14ac:dyDescent="0.25">
      <c r="B110" s="2533"/>
      <c r="C110" s="2533"/>
      <c r="D110" s="2533"/>
      <c r="E110" s="2533"/>
    </row>
    <row r="111" spans="2:5" ht="15" customHeight="1" x14ac:dyDescent="0.25">
      <c r="B111" s="2533"/>
      <c r="C111" s="2533"/>
      <c r="D111" s="2533"/>
      <c r="E111" s="2533"/>
    </row>
    <row r="112" spans="2:5" ht="15" customHeight="1" x14ac:dyDescent="0.25">
      <c r="B112" s="2533"/>
      <c r="C112" s="2533"/>
      <c r="D112" s="2533"/>
      <c r="E112" s="2533"/>
    </row>
    <row r="113" spans="2:5" ht="15" customHeight="1" x14ac:dyDescent="0.25">
      <c r="B113" s="2533"/>
      <c r="C113" s="2533"/>
      <c r="D113" s="2533"/>
      <c r="E113" s="2533"/>
    </row>
    <row r="114" spans="2:5" ht="15" customHeight="1" x14ac:dyDescent="0.25">
      <c r="B114" s="2533"/>
      <c r="C114" s="2533"/>
      <c r="D114" s="2533"/>
      <c r="E114" s="2533"/>
    </row>
    <row r="115" spans="2:5" ht="15" customHeight="1" x14ac:dyDescent="0.25">
      <c r="B115" s="2533"/>
      <c r="C115" s="2533"/>
      <c r="D115" s="2533"/>
      <c r="E115" s="2533"/>
    </row>
    <row r="116" spans="2:5" ht="15" customHeight="1" x14ac:dyDescent="0.25">
      <c r="B116" s="2533"/>
      <c r="C116" s="2533"/>
      <c r="D116" s="2533"/>
      <c r="E116" s="2533"/>
    </row>
    <row r="117" spans="2:5" ht="15" customHeight="1" x14ac:dyDescent="0.25">
      <c r="B117" s="2533"/>
      <c r="C117" s="2533"/>
      <c r="D117" s="2533"/>
      <c r="E117" s="2533"/>
    </row>
    <row r="118" spans="2:5" ht="15" customHeight="1" x14ac:dyDescent="0.25">
      <c r="B118" s="2533"/>
      <c r="C118" s="2533"/>
      <c r="D118" s="2533"/>
      <c r="E118" s="2533"/>
    </row>
    <row r="119" spans="2:5" ht="15" customHeight="1" x14ac:dyDescent="0.25">
      <c r="B119" s="2533"/>
      <c r="C119" s="2533"/>
      <c r="D119" s="2533"/>
      <c r="E119" s="2533"/>
    </row>
    <row r="120" spans="2:5" ht="15" customHeight="1" x14ac:dyDescent="0.25">
      <c r="B120" s="2533"/>
      <c r="C120" s="2533"/>
      <c r="D120" s="2533"/>
      <c r="E120" s="2533"/>
    </row>
    <row r="121" spans="2:5" ht="15" customHeight="1" x14ac:dyDescent="0.25">
      <c r="B121" s="2533"/>
      <c r="C121" s="2533"/>
      <c r="D121" s="2533"/>
      <c r="E121" s="2533"/>
    </row>
    <row r="122" spans="2:5" ht="15" customHeight="1" x14ac:dyDescent="0.25">
      <c r="B122" s="2533"/>
      <c r="C122" s="2533"/>
      <c r="D122" s="2533"/>
      <c r="E122" s="2533"/>
    </row>
    <row r="123" spans="2:5" ht="15" customHeight="1" x14ac:dyDescent="0.25">
      <c r="B123" s="2533"/>
      <c r="C123" s="2533"/>
      <c r="D123" s="2533"/>
      <c r="E123" s="2533"/>
    </row>
    <row r="124" spans="2:5" ht="15" customHeight="1" x14ac:dyDescent="0.25">
      <c r="B124" s="2533"/>
      <c r="C124" s="2533"/>
      <c r="D124" s="2533"/>
      <c r="E124" s="2533"/>
    </row>
    <row r="125" spans="2:5" ht="15" customHeight="1" x14ac:dyDescent="0.25">
      <c r="B125" s="2533"/>
      <c r="C125" s="2533"/>
      <c r="D125" s="2533"/>
      <c r="E125" s="2533"/>
    </row>
    <row r="126" spans="2:5" ht="15" customHeight="1" x14ac:dyDescent="0.25">
      <c r="B126" s="2533"/>
      <c r="C126" s="2533"/>
      <c r="D126" s="2533"/>
      <c r="E126" s="2533"/>
    </row>
    <row r="127" spans="2:5" ht="15" customHeight="1" x14ac:dyDescent="0.25">
      <c r="B127" s="2533"/>
      <c r="C127" s="2533"/>
      <c r="D127" s="2533"/>
      <c r="E127" s="2533"/>
    </row>
    <row r="128" spans="2:5" ht="15" customHeight="1" x14ac:dyDescent="0.25">
      <c r="B128" s="2533"/>
      <c r="C128" s="2533"/>
      <c r="D128" s="2533"/>
      <c r="E128" s="2533"/>
    </row>
    <row r="129" spans="2:5" ht="15" customHeight="1" x14ac:dyDescent="0.25">
      <c r="B129" s="2533"/>
      <c r="C129" s="2533"/>
      <c r="D129" s="2533"/>
      <c r="E129" s="2533"/>
    </row>
    <row r="130" spans="2:5" ht="15" customHeight="1" x14ac:dyDescent="0.25">
      <c r="B130" s="2533"/>
      <c r="C130" s="2533"/>
      <c r="D130" s="2533"/>
      <c r="E130" s="2533"/>
    </row>
    <row r="131" spans="2:5" ht="15" customHeight="1" x14ac:dyDescent="0.25">
      <c r="B131" s="2533"/>
      <c r="C131" s="2533"/>
      <c r="D131" s="2533"/>
      <c r="E131" s="2533"/>
    </row>
    <row r="132" spans="2:5" ht="15" customHeight="1" x14ac:dyDescent="0.25">
      <c r="B132" s="2533"/>
      <c r="C132" s="2533"/>
      <c r="D132" s="2533"/>
      <c r="E132" s="2533"/>
    </row>
    <row r="133" spans="2:5" ht="15" customHeight="1" x14ac:dyDescent="0.25">
      <c r="B133" s="2533"/>
      <c r="C133" s="2533"/>
      <c r="D133" s="2533"/>
      <c r="E133" s="2533"/>
    </row>
    <row r="134" spans="2:5" ht="15" customHeight="1" x14ac:dyDescent="0.25">
      <c r="B134" s="2533"/>
      <c r="C134" s="2533"/>
      <c r="D134" s="2533"/>
      <c r="E134" s="2533"/>
    </row>
    <row r="135" spans="2:5" ht="15" customHeight="1" x14ac:dyDescent="0.25">
      <c r="B135" s="2533"/>
      <c r="C135" s="2533"/>
      <c r="D135" s="2533"/>
      <c r="E135" s="2533"/>
    </row>
    <row r="136" spans="2:5" ht="15" customHeight="1" x14ac:dyDescent="0.25">
      <c r="B136" s="2533"/>
      <c r="C136" s="2533"/>
      <c r="D136" s="2533"/>
      <c r="E136" s="2533"/>
    </row>
    <row r="137" spans="2:5" ht="15" customHeight="1" x14ac:dyDescent="0.25">
      <c r="B137" s="2533"/>
      <c r="C137" s="2533"/>
      <c r="D137" s="2533"/>
      <c r="E137" s="2533"/>
    </row>
    <row r="138" spans="2:5" ht="15" customHeight="1" x14ac:dyDescent="0.25">
      <c r="B138" s="2533"/>
      <c r="C138" s="2533"/>
      <c r="D138" s="2533"/>
      <c r="E138" s="2533"/>
    </row>
    <row r="139" spans="2:5" ht="15" customHeight="1" x14ac:dyDescent="0.25">
      <c r="B139" s="2533"/>
      <c r="C139" s="2533"/>
      <c r="D139" s="2533"/>
      <c r="E139" s="2533"/>
    </row>
    <row r="140" spans="2:5" ht="15" customHeight="1" x14ac:dyDescent="0.25">
      <c r="B140" s="2533"/>
      <c r="C140" s="2533"/>
      <c r="D140" s="2533"/>
      <c r="E140" s="2533"/>
    </row>
    <row r="141" spans="2:5" ht="15" customHeight="1" x14ac:dyDescent="0.25">
      <c r="B141" s="2533"/>
      <c r="C141" s="2533"/>
      <c r="D141" s="2533"/>
      <c r="E141" s="2533"/>
    </row>
    <row r="142" spans="2:5" ht="15" customHeight="1" x14ac:dyDescent="0.25">
      <c r="B142" s="2533"/>
      <c r="C142" s="2533"/>
      <c r="D142" s="2533"/>
      <c r="E142" s="2533"/>
    </row>
    <row r="143" spans="2:5" ht="15" customHeight="1" x14ac:dyDescent="0.25">
      <c r="B143" s="2533"/>
      <c r="C143" s="2533"/>
      <c r="D143" s="2533"/>
      <c r="E143" s="2533"/>
    </row>
    <row r="144" spans="2:5" ht="15" customHeight="1" x14ac:dyDescent="0.25">
      <c r="B144" s="2533"/>
      <c r="C144" s="2533"/>
      <c r="D144" s="2533"/>
      <c r="E144" s="2533"/>
    </row>
    <row r="145" spans="2:5" ht="15" customHeight="1" x14ac:dyDescent="0.25">
      <c r="B145" s="2533"/>
      <c r="C145" s="2533"/>
      <c r="D145" s="2533"/>
      <c r="E145" s="2533"/>
    </row>
    <row r="146" spans="2:5" ht="15" customHeight="1" x14ac:dyDescent="0.25">
      <c r="B146" s="2533"/>
      <c r="C146" s="2533"/>
      <c r="D146" s="2533"/>
      <c r="E146" s="2533"/>
    </row>
    <row r="147" spans="2:5" ht="15" customHeight="1" x14ac:dyDescent="0.25">
      <c r="B147" s="2533"/>
      <c r="C147" s="2533"/>
      <c r="D147" s="2533"/>
      <c r="E147" s="2533"/>
    </row>
    <row r="148" spans="2:5" ht="15" customHeight="1" x14ac:dyDescent="0.25">
      <c r="B148" s="2533"/>
      <c r="C148" s="2533"/>
      <c r="D148" s="2533"/>
      <c r="E148" s="2533"/>
    </row>
    <row r="149" spans="2:5" ht="15" customHeight="1" x14ac:dyDescent="0.25">
      <c r="B149" s="2533"/>
      <c r="C149" s="2533"/>
      <c r="D149" s="2533"/>
      <c r="E149" s="2533"/>
    </row>
    <row r="150" spans="2:5" ht="15" customHeight="1" x14ac:dyDescent="0.25">
      <c r="B150" s="2533"/>
      <c r="C150" s="2533"/>
      <c r="D150" s="2533"/>
      <c r="E150" s="2533"/>
    </row>
  </sheetData>
  <mergeCells count="30">
    <mergeCell ref="G3:G4"/>
    <mergeCell ref="B3:B4"/>
    <mergeCell ref="C3:C4"/>
    <mergeCell ref="D3:D4"/>
    <mergeCell ref="E3:E4"/>
    <mergeCell ref="F3:F4"/>
    <mergeCell ref="S3:S4"/>
    <mergeCell ref="H3:H4"/>
    <mergeCell ref="I3:I4"/>
    <mergeCell ref="J3:J4"/>
    <mergeCell ref="K3:K4"/>
    <mergeCell ref="L3:L4"/>
    <mergeCell ref="M3:M4"/>
    <mergeCell ref="N3:N4"/>
    <mergeCell ref="O3:O4"/>
    <mergeCell ref="P3:P4"/>
    <mergeCell ref="Q3:Q4"/>
    <mergeCell ref="R3:R4"/>
    <mergeCell ref="AE3:AE4"/>
    <mergeCell ref="T3:T4"/>
    <mergeCell ref="U3:U4"/>
    <mergeCell ref="V3:V4"/>
    <mergeCell ref="W3:W4"/>
    <mergeCell ref="X3:X4"/>
    <mergeCell ref="Y3:Y4"/>
    <mergeCell ref="Z3:Z4"/>
    <mergeCell ref="AA3:AA4"/>
    <mergeCell ref="AB3:AB4"/>
    <mergeCell ref="AC3:AC4"/>
    <mergeCell ref="AD3:AD4"/>
  </mergeCells>
  <printOptions horizontalCentered="1"/>
  <pageMargins left="0.7" right="0.7" top="0.75" bottom="0.75" header="0.3" footer="0.3"/>
  <pageSetup paperSize="9" scale="60"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J166"/>
  <sheetViews>
    <sheetView zoomScaleNormal="100" zoomScaleSheetLayoutView="110" workbookViewId="0">
      <pane xSplit="1" ySplit="41" topLeftCell="B114" activePane="bottomRight" state="frozen"/>
      <selection activeCell="A38" sqref="A38"/>
      <selection pane="topRight" activeCell="A38" sqref="A38"/>
      <selection pane="bottomLeft" activeCell="A38" sqref="A38"/>
      <selection pane="bottomRight" activeCell="A38" sqref="A38"/>
    </sheetView>
  </sheetViews>
  <sheetFormatPr defaultRowHeight="16.5" x14ac:dyDescent="0.3"/>
  <cols>
    <col min="1" max="6" width="13.85546875" style="1366" customWidth="1"/>
    <col min="7" max="7" width="12.5703125" style="1366" customWidth="1"/>
    <col min="8" max="8" width="12.42578125" style="1366" customWidth="1"/>
    <col min="9" max="256" width="9.140625" style="1366"/>
    <col min="257" max="262" width="13.85546875" style="1366" customWidth="1"/>
    <col min="263" max="263" width="12.5703125" style="1366" customWidth="1"/>
    <col min="264" max="264" width="12.42578125" style="1366" customWidth="1"/>
    <col min="265" max="512" width="9.140625" style="1366"/>
    <col min="513" max="518" width="13.85546875" style="1366" customWidth="1"/>
    <col min="519" max="519" width="12.5703125" style="1366" customWidth="1"/>
    <col min="520" max="520" width="12.42578125" style="1366" customWidth="1"/>
    <col min="521" max="768" width="9.140625" style="1366"/>
    <col min="769" max="774" width="13.85546875" style="1366" customWidth="1"/>
    <col min="775" max="775" width="12.5703125" style="1366" customWidth="1"/>
    <col min="776" max="776" width="12.42578125" style="1366" customWidth="1"/>
    <col min="777" max="1024" width="9.140625" style="1366"/>
    <col min="1025" max="1030" width="13.85546875" style="1366" customWidth="1"/>
    <col min="1031" max="1031" width="12.5703125" style="1366" customWidth="1"/>
    <col min="1032" max="1032" width="12.42578125" style="1366" customWidth="1"/>
    <col min="1033" max="1280" width="9.140625" style="1366"/>
    <col min="1281" max="1286" width="13.85546875" style="1366" customWidth="1"/>
    <col min="1287" max="1287" width="12.5703125" style="1366" customWidth="1"/>
    <col min="1288" max="1288" width="12.42578125" style="1366" customWidth="1"/>
    <col min="1289" max="1536" width="9.140625" style="1366"/>
    <col min="1537" max="1542" width="13.85546875" style="1366" customWidth="1"/>
    <col min="1543" max="1543" width="12.5703125" style="1366" customWidth="1"/>
    <col min="1544" max="1544" width="12.42578125" style="1366" customWidth="1"/>
    <col min="1545" max="1792" width="9.140625" style="1366"/>
    <col min="1793" max="1798" width="13.85546875" style="1366" customWidth="1"/>
    <col min="1799" max="1799" width="12.5703125" style="1366" customWidth="1"/>
    <col min="1800" max="1800" width="12.42578125" style="1366" customWidth="1"/>
    <col min="1801" max="2048" width="9.140625" style="1366"/>
    <col min="2049" max="2054" width="13.85546875" style="1366" customWidth="1"/>
    <col min="2055" max="2055" width="12.5703125" style="1366" customWidth="1"/>
    <col min="2056" max="2056" width="12.42578125" style="1366" customWidth="1"/>
    <col min="2057" max="2304" width="9.140625" style="1366"/>
    <col min="2305" max="2310" width="13.85546875" style="1366" customWidth="1"/>
    <col min="2311" max="2311" width="12.5703125" style="1366" customWidth="1"/>
    <col min="2312" max="2312" width="12.42578125" style="1366" customWidth="1"/>
    <col min="2313" max="2560" width="9.140625" style="1366"/>
    <col min="2561" max="2566" width="13.85546875" style="1366" customWidth="1"/>
    <col min="2567" max="2567" width="12.5703125" style="1366" customWidth="1"/>
    <col min="2568" max="2568" width="12.42578125" style="1366" customWidth="1"/>
    <col min="2569" max="2816" width="9.140625" style="1366"/>
    <col min="2817" max="2822" width="13.85546875" style="1366" customWidth="1"/>
    <col min="2823" max="2823" width="12.5703125" style="1366" customWidth="1"/>
    <col min="2824" max="2824" width="12.42578125" style="1366" customWidth="1"/>
    <col min="2825" max="3072" width="9.140625" style="1366"/>
    <col min="3073" max="3078" width="13.85546875" style="1366" customWidth="1"/>
    <col min="3079" max="3079" width="12.5703125" style="1366" customWidth="1"/>
    <col min="3080" max="3080" width="12.42578125" style="1366" customWidth="1"/>
    <col min="3081" max="3328" width="9.140625" style="1366"/>
    <col min="3329" max="3334" width="13.85546875" style="1366" customWidth="1"/>
    <col min="3335" max="3335" width="12.5703125" style="1366" customWidth="1"/>
    <col min="3336" max="3336" width="12.42578125" style="1366" customWidth="1"/>
    <col min="3337" max="3584" width="9.140625" style="1366"/>
    <col min="3585" max="3590" width="13.85546875" style="1366" customWidth="1"/>
    <col min="3591" max="3591" width="12.5703125" style="1366" customWidth="1"/>
    <col min="3592" max="3592" width="12.42578125" style="1366" customWidth="1"/>
    <col min="3593" max="3840" width="9.140625" style="1366"/>
    <col min="3841" max="3846" width="13.85546875" style="1366" customWidth="1"/>
    <col min="3847" max="3847" width="12.5703125" style="1366" customWidth="1"/>
    <col min="3848" max="3848" width="12.42578125" style="1366" customWidth="1"/>
    <col min="3849" max="4096" width="9.140625" style="1366"/>
    <col min="4097" max="4102" width="13.85546875" style="1366" customWidth="1"/>
    <col min="4103" max="4103" width="12.5703125" style="1366" customWidth="1"/>
    <col min="4104" max="4104" width="12.42578125" style="1366" customWidth="1"/>
    <col min="4105" max="4352" width="9.140625" style="1366"/>
    <col min="4353" max="4358" width="13.85546875" style="1366" customWidth="1"/>
    <col min="4359" max="4359" width="12.5703125" style="1366" customWidth="1"/>
    <col min="4360" max="4360" width="12.42578125" style="1366" customWidth="1"/>
    <col min="4361" max="4608" width="9.140625" style="1366"/>
    <col min="4609" max="4614" width="13.85546875" style="1366" customWidth="1"/>
    <col min="4615" max="4615" width="12.5703125" style="1366" customWidth="1"/>
    <col min="4616" max="4616" width="12.42578125" style="1366" customWidth="1"/>
    <col min="4617" max="4864" width="9.140625" style="1366"/>
    <col min="4865" max="4870" width="13.85546875" style="1366" customWidth="1"/>
    <col min="4871" max="4871" width="12.5703125" style="1366" customWidth="1"/>
    <col min="4872" max="4872" width="12.42578125" style="1366" customWidth="1"/>
    <col min="4873" max="5120" width="9.140625" style="1366"/>
    <col min="5121" max="5126" width="13.85546875" style="1366" customWidth="1"/>
    <col min="5127" max="5127" width="12.5703125" style="1366" customWidth="1"/>
    <col min="5128" max="5128" width="12.42578125" style="1366" customWidth="1"/>
    <col min="5129" max="5376" width="9.140625" style="1366"/>
    <col min="5377" max="5382" width="13.85546875" style="1366" customWidth="1"/>
    <col min="5383" max="5383" width="12.5703125" style="1366" customWidth="1"/>
    <col min="5384" max="5384" width="12.42578125" style="1366" customWidth="1"/>
    <col min="5385" max="5632" width="9.140625" style="1366"/>
    <col min="5633" max="5638" width="13.85546875" style="1366" customWidth="1"/>
    <col min="5639" max="5639" width="12.5703125" style="1366" customWidth="1"/>
    <col min="5640" max="5640" width="12.42578125" style="1366" customWidth="1"/>
    <col min="5641" max="5888" width="9.140625" style="1366"/>
    <col min="5889" max="5894" width="13.85546875" style="1366" customWidth="1"/>
    <col min="5895" max="5895" width="12.5703125" style="1366" customWidth="1"/>
    <col min="5896" max="5896" width="12.42578125" style="1366" customWidth="1"/>
    <col min="5897" max="6144" width="9.140625" style="1366"/>
    <col min="6145" max="6150" width="13.85546875" style="1366" customWidth="1"/>
    <col min="6151" max="6151" width="12.5703125" style="1366" customWidth="1"/>
    <col min="6152" max="6152" width="12.42578125" style="1366" customWidth="1"/>
    <col min="6153" max="6400" width="9.140625" style="1366"/>
    <col min="6401" max="6406" width="13.85546875" style="1366" customWidth="1"/>
    <col min="6407" max="6407" width="12.5703125" style="1366" customWidth="1"/>
    <col min="6408" max="6408" width="12.42578125" style="1366" customWidth="1"/>
    <col min="6409" max="6656" width="9.140625" style="1366"/>
    <col min="6657" max="6662" width="13.85546875" style="1366" customWidth="1"/>
    <col min="6663" max="6663" width="12.5703125" style="1366" customWidth="1"/>
    <col min="6664" max="6664" width="12.42578125" style="1366" customWidth="1"/>
    <col min="6665" max="6912" width="9.140625" style="1366"/>
    <col min="6913" max="6918" width="13.85546875" style="1366" customWidth="1"/>
    <col min="6919" max="6919" width="12.5703125" style="1366" customWidth="1"/>
    <col min="6920" max="6920" width="12.42578125" style="1366" customWidth="1"/>
    <col min="6921" max="7168" width="9.140625" style="1366"/>
    <col min="7169" max="7174" width="13.85546875" style="1366" customWidth="1"/>
    <col min="7175" max="7175" width="12.5703125" style="1366" customWidth="1"/>
    <col min="7176" max="7176" width="12.42578125" style="1366" customWidth="1"/>
    <col min="7177" max="7424" width="9.140625" style="1366"/>
    <col min="7425" max="7430" width="13.85546875" style="1366" customWidth="1"/>
    <col min="7431" max="7431" width="12.5703125" style="1366" customWidth="1"/>
    <col min="7432" max="7432" width="12.42578125" style="1366" customWidth="1"/>
    <col min="7433" max="7680" width="9.140625" style="1366"/>
    <col min="7681" max="7686" width="13.85546875" style="1366" customWidth="1"/>
    <col min="7687" max="7687" width="12.5703125" style="1366" customWidth="1"/>
    <col min="7688" max="7688" width="12.42578125" style="1366" customWidth="1"/>
    <col min="7689" max="7936" width="9.140625" style="1366"/>
    <col min="7937" max="7942" width="13.85546875" style="1366" customWidth="1"/>
    <col min="7943" max="7943" width="12.5703125" style="1366" customWidth="1"/>
    <col min="7944" max="7944" width="12.42578125" style="1366" customWidth="1"/>
    <col min="7945" max="8192" width="9.140625" style="1366"/>
    <col min="8193" max="8198" width="13.85546875" style="1366" customWidth="1"/>
    <col min="8199" max="8199" width="12.5703125" style="1366" customWidth="1"/>
    <col min="8200" max="8200" width="12.42578125" style="1366" customWidth="1"/>
    <col min="8201" max="8448" width="9.140625" style="1366"/>
    <col min="8449" max="8454" width="13.85546875" style="1366" customWidth="1"/>
    <col min="8455" max="8455" width="12.5703125" style="1366" customWidth="1"/>
    <col min="8456" max="8456" width="12.42578125" style="1366" customWidth="1"/>
    <col min="8457" max="8704" width="9.140625" style="1366"/>
    <col min="8705" max="8710" width="13.85546875" style="1366" customWidth="1"/>
    <col min="8711" max="8711" width="12.5703125" style="1366" customWidth="1"/>
    <col min="8712" max="8712" width="12.42578125" style="1366" customWidth="1"/>
    <col min="8713" max="8960" width="9.140625" style="1366"/>
    <col min="8961" max="8966" width="13.85546875" style="1366" customWidth="1"/>
    <col min="8967" max="8967" width="12.5703125" style="1366" customWidth="1"/>
    <col min="8968" max="8968" width="12.42578125" style="1366" customWidth="1"/>
    <col min="8969" max="9216" width="9.140625" style="1366"/>
    <col min="9217" max="9222" width="13.85546875" style="1366" customWidth="1"/>
    <col min="9223" max="9223" width="12.5703125" style="1366" customWidth="1"/>
    <col min="9224" max="9224" width="12.42578125" style="1366" customWidth="1"/>
    <col min="9225" max="9472" width="9.140625" style="1366"/>
    <col min="9473" max="9478" width="13.85546875" style="1366" customWidth="1"/>
    <col min="9479" max="9479" width="12.5703125" style="1366" customWidth="1"/>
    <col min="9480" max="9480" width="12.42578125" style="1366" customWidth="1"/>
    <col min="9481" max="9728" width="9.140625" style="1366"/>
    <col min="9729" max="9734" width="13.85546875" style="1366" customWidth="1"/>
    <col min="9735" max="9735" width="12.5703125" style="1366" customWidth="1"/>
    <col min="9736" max="9736" width="12.42578125" style="1366" customWidth="1"/>
    <col min="9737" max="9984" width="9.140625" style="1366"/>
    <col min="9985" max="9990" width="13.85546875" style="1366" customWidth="1"/>
    <col min="9991" max="9991" width="12.5703125" style="1366" customWidth="1"/>
    <col min="9992" max="9992" width="12.42578125" style="1366" customWidth="1"/>
    <col min="9993" max="10240" width="9.140625" style="1366"/>
    <col min="10241" max="10246" width="13.85546875" style="1366" customWidth="1"/>
    <col min="10247" max="10247" width="12.5703125" style="1366" customWidth="1"/>
    <col min="10248" max="10248" width="12.42578125" style="1366" customWidth="1"/>
    <col min="10249" max="10496" width="9.140625" style="1366"/>
    <col min="10497" max="10502" width="13.85546875" style="1366" customWidth="1"/>
    <col min="10503" max="10503" width="12.5703125" style="1366" customWidth="1"/>
    <col min="10504" max="10504" width="12.42578125" style="1366" customWidth="1"/>
    <col min="10505" max="10752" width="9.140625" style="1366"/>
    <col min="10753" max="10758" width="13.85546875" style="1366" customWidth="1"/>
    <col min="10759" max="10759" width="12.5703125" style="1366" customWidth="1"/>
    <col min="10760" max="10760" width="12.42578125" style="1366" customWidth="1"/>
    <col min="10761" max="11008" width="9.140625" style="1366"/>
    <col min="11009" max="11014" width="13.85546875" style="1366" customWidth="1"/>
    <col min="11015" max="11015" width="12.5703125" style="1366" customWidth="1"/>
    <col min="11016" max="11016" width="12.42578125" style="1366" customWidth="1"/>
    <col min="11017" max="11264" width="9.140625" style="1366"/>
    <col min="11265" max="11270" width="13.85546875" style="1366" customWidth="1"/>
    <col min="11271" max="11271" width="12.5703125" style="1366" customWidth="1"/>
    <col min="11272" max="11272" width="12.42578125" style="1366" customWidth="1"/>
    <col min="11273" max="11520" width="9.140625" style="1366"/>
    <col min="11521" max="11526" width="13.85546875" style="1366" customWidth="1"/>
    <col min="11527" max="11527" width="12.5703125" style="1366" customWidth="1"/>
    <col min="11528" max="11528" width="12.42578125" style="1366" customWidth="1"/>
    <col min="11529" max="11776" width="9.140625" style="1366"/>
    <col min="11777" max="11782" width="13.85546875" style="1366" customWidth="1"/>
    <col min="11783" max="11783" width="12.5703125" style="1366" customWidth="1"/>
    <col min="11784" max="11784" width="12.42578125" style="1366" customWidth="1"/>
    <col min="11785" max="12032" width="9.140625" style="1366"/>
    <col min="12033" max="12038" width="13.85546875" style="1366" customWidth="1"/>
    <col min="12039" max="12039" width="12.5703125" style="1366" customWidth="1"/>
    <col min="12040" max="12040" width="12.42578125" style="1366" customWidth="1"/>
    <col min="12041" max="12288" width="9.140625" style="1366"/>
    <col min="12289" max="12294" width="13.85546875" style="1366" customWidth="1"/>
    <col min="12295" max="12295" width="12.5703125" style="1366" customWidth="1"/>
    <col min="12296" max="12296" width="12.42578125" style="1366" customWidth="1"/>
    <col min="12297" max="12544" width="9.140625" style="1366"/>
    <col min="12545" max="12550" width="13.85546875" style="1366" customWidth="1"/>
    <col min="12551" max="12551" width="12.5703125" style="1366" customWidth="1"/>
    <col min="12552" max="12552" width="12.42578125" style="1366" customWidth="1"/>
    <col min="12553" max="12800" width="9.140625" style="1366"/>
    <col min="12801" max="12806" width="13.85546875" style="1366" customWidth="1"/>
    <col min="12807" max="12807" width="12.5703125" style="1366" customWidth="1"/>
    <col min="12808" max="12808" width="12.42578125" style="1366" customWidth="1"/>
    <col min="12809" max="13056" width="9.140625" style="1366"/>
    <col min="13057" max="13062" width="13.85546875" style="1366" customWidth="1"/>
    <col min="13063" max="13063" width="12.5703125" style="1366" customWidth="1"/>
    <col min="13064" max="13064" width="12.42578125" style="1366" customWidth="1"/>
    <col min="13065" max="13312" width="9.140625" style="1366"/>
    <col min="13313" max="13318" width="13.85546875" style="1366" customWidth="1"/>
    <col min="13319" max="13319" width="12.5703125" style="1366" customWidth="1"/>
    <col min="13320" max="13320" width="12.42578125" style="1366" customWidth="1"/>
    <col min="13321" max="13568" width="9.140625" style="1366"/>
    <col min="13569" max="13574" width="13.85546875" style="1366" customWidth="1"/>
    <col min="13575" max="13575" width="12.5703125" style="1366" customWidth="1"/>
    <col min="13576" max="13576" width="12.42578125" style="1366" customWidth="1"/>
    <col min="13577" max="13824" width="9.140625" style="1366"/>
    <col min="13825" max="13830" width="13.85546875" style="1366" customWidth="1"/>
    <col min="13831" max="13831" width="12.5703125" style="1366" customWidth="1"/>
    <col min="13832" max="13832" width="12.42578125" style="1366" customWidth="1"/>
    <col min="13833" max="14080" width="9.140625" style="1366"/>
    <col min="14081" max="14086" width="13.85546875" style="1366" customWidth="1"/>
    <col min="14087" max="14087" width="12.5703125" style="1366" customWidth="1"/>
    <col min="14088" max="14088" width="12.42578125" style="1366" customWidth="1"/>
    <col min="14089" max="14336" width="9.140625" style="1366"/>
    <col min="14337" max="14342" width="13.85546875" style="1366" customWidth="1"/>
    <col min="14343" max="14343" width="12.5703125" style="1366" customWidth="1"/>
    <col min="14344" max="14344" width="12.42578125" style="1366" customWidth="1"/>
    <col min="14345" max="14592" width="9.140625" style="1366"/>
    <col min="14593" max="14598" width="13.85546875" style="1366" customWidth="1"/>
    <col min="14599" max="14599" width="12.5703125" style="1366" customWidth="1"/>
    <col min="14600" max="14600" width="12.42578125" style="1366" customWidth="1"/>
    <col min="14601" max="14848" width="9.140625" style="1366"/>
    <col min="14849" max="14854" width="13.85546875" style="1366" customWidth="1"/>
    <col min="14855" max="14855" width="12.5703125" style="1366" customWidth="1"/>
    <col min="14856" max="14856" width="12.42578125" style="1366" customWidth="1"/>
    <col min="14857" max="15104" width="9.140625" style="1366"/>
    <col min="15105" max="15110" width="13.85546875" style="1366" customWidth="1"/>
    <col min="15111" max="15111" width="12.5703125" style="1366" customWidth="1"/>
    <col min="15112" max="15112" width="12.42578125" style="1366" customWidth="1"/>
    <col min="15113" max="15360" width="9.140625" style="1366"/>
    <col min="15361" max="15366" width="13.85546875" style="1366" customWidth="1"/>
    <col min="15367" max="15367" width="12.5703125" style="1366" customWidth="1"/>
    <col min="15368" max="15368" width="12.42578125" style="1366" customWidth="1"/>
    <col min="15369" max="15616" width="9.140625" style="1366"/>
    <col min="15617" max="15622" width="13.85546875" style="1366" customWidth="1"/>
    <col min="15623" max="15623" width="12.5703125" style="1366" customWidth="1"/>
    <col min="15624" max="15624" width="12.42578125" style="1366" customWidth="1"/>
    <col min="15625" max="15872" width="9.140625" style="1366"/>
    <col min="15873" max="15878" width="13.85546875" style="1366" customWidth="1"/>
    <col min="15879" max="15879" width="12.5703125" style="1366" customWidth="1"/>
    <col min="15880" max="15880" width="12.42578125" style="1366" customWidth="1"/>
    <col min="15881" max="16128" width="9.140625" style="1366"/>
    <col min="16129" max="16134" width="13.85546875" style="1366" customWidth="1"/>
    <col min="16135" max="16135" width="12.5703125" style="1366" customWidth="1"/>
    <col min="16136" max="16136" width="12.42578125" style="1366" customWidth="1"/>
    <col min="16137" max="16384" width="9.140625" style="1366"/>
  </cols>
  <sheetData>
    <row r="1" spans="1:6" s="1363" customFormat="1" ht="17.25" x14ac:dyDescent="0.3">
      <c r="A1" s="1360" t="s">
        <v>990</v>
      </c>
      <c r="B1" s="1361"/>
      <c r="C1" s="1361"/>
      <c r="D1" s="1361"/>
      <c r="E1" s="1361"/>
      <c r="F1" s="1362"/>
    </row>
    <row r="2" spans="1:6" ht="13.5" customHeight="1" thickBot="1" x14ac:dyDescent="0.35">
      <c r="A2" s="1360"/>
      <c r="B2" s="1364"/>
      <c r="C2" s="1364"/>
      <c r="D2" s="1364"/>
      <c r="E2" s="1364"/>
      <c r="F2" s="1365"/>
    </row>
    <row r="3" spans="1:6" ht="18" thickTop="1" thickBot="1" x14ac:dyDescent="0.35">
      <c r="A3" s="1367"/>
      <c r="B3" s="1368" t="s">
        <v>293</v>
      </c>
      <c r="C3" s="1369" t="s">
        <v>991</v>
      </c>
      <c r="D3" s="1369" t="s">
        <v>293</v>
      </c>
      <c r="E3" s="1370" t="s">
        <v>992</v>
      </c>
      <c r="F3" s="1371"/>
    </row>
    <row r="4" spans="1:6" x14ac:dyDescent="0.3">
      <c r="A4" s="1372"/>
      <c r="B4" s="1373" t="s">
        <v>295</v>
      </c>
      <c r="C4" s="1374" t="s">
        <v>307</v>
      </c>
      <c r="D4" s="1375" t="s">
        <v>295</v>
      </c>
      <c r="E4" s="1376" t="s">
        <v>993</v>
      </c>
      <c r="F4" s="1377" t="s">
        <v>991</v>
      </c>
    </row>
    <row r="5" spans="1:6" ht="17.25" thickBot="1" x14ac:dyDescent="0.35">
      <c r="A5" s="1378"/>
      <c r="B5" s="1379" t="s">
        <v>994</v>
      </c>
      <c r="C5" s="1380"/>
      <c r="D5" s="1380" t="s">
        <v>995</v>
      </c>
      <c r="E5" s="1380" t="s">
        <v>994</v>
      </c>
      <c r="F5" s="1381" t="s">
        <v>996</v>
      </c>
    </row>
    <row r="6" spans="1:6" s="1387" customFormat="1" ht="17.25" hidden="1" thickTop="1" x14ac:dyDescent="0.3">
      <c r="A6" s="1382">
        <v>40179</v>
      </c>
      <c r="B6" s="1383">
        <v>403964</v>
      </c>
      <c r="C6" s="1384">
        <v>19483893</v>
      </c>
      <c r="D6" s="1384">
        <v>20</v>
      </c>
      <c r="E6" s="1385">
        <v>20198</v>
      </c>
      <c r="F6" s="1386">
        <v>974195</v>
      </c>
    </row>
    <row r="7" spans="1:6" s="1387" customFormat="1" ht="17.25" hidden="1" thickTop="1" x14ac:dyDescent="0.3">
      <c r="A7" s="1382">
        <v>40210</v>
      </c>
      <c r="B7" s="1383">
        <v>381478</v>
      </c>
      <c r="C7" s="1384">
        <v>17757496</v>
      </c>
      <c r="D7" s="1384">
        <v>18</v>
      </c>
      <c r="E7" s="1385">
        <v>21193</v>
      </c>
      <c r="F7" s="1386">
        <v>986528</v>
      </c>
    </row>
    <row r="8" spans="1:6" s="1387" customFormat="1" ht="17.25" hidden="1" thickTop="1" x14ac:dyDescent="0.3">
      <c r="A8" s="1382">
        <v>40238</v>
      </c>
      <c r="B8" s="1383">
        <v>476460</v>
      </c>
      <c r="C8" s="1384">
        <v>21813844</v>
      </c>
      <c r="D8" s="1384">
        <v>21</v>
      </c>
      <c r="E8" s="1385">
        <v>22688</v>
      </c>
      <c r="F8" s="1386">
        <v>1038755</v>
      </c>
    </row>
    <row r="9" spans="1:6" s="1387" customFormat="1" ht="17.25" hidden="1" thickTop="1" x14ac:dyDescent="0.3">
      <c r="A9" s="1382">
        <v>40269</v>
      </c>
      <c r="B9" s="1383">
        <v>478241</v>
      </c>
      <c r="C9" s="1384">
        <v>22600161</v>
      </c>
      <c r="D9" s="1384">
        <v>22</v>
      </c>
      <c r="E9" s="1385">
        <v>21738</v>
      </c>
      <c r="F9" s="1386">
        <v>1027280</v>
      </c>
    </row>
    <row r="10" spans="1:6" s="1387" customFormat="1" ht="17.25" hidden="1" thickTop="1" x14ac:dyDescent="0.3">
      <c r="A10" s="1382">
        <v>40299</v>
      </c>
      <c r="B10" s="1383">
        <v>419366</v>
      </c>
      <c r="C10" s="1384">
        <v>20193361</v>
      </c>
      <c r="D10" s="1384">
        <v>20</v>
      </c>
      <c r="E10" s="1385">
        <v>20969</v>
      </c>
      <c r="F10" s="1386">
        <v>1009668</v>
      </c>
    </row>
    <row r="11" spans="1:6" s="1387" customFormat="1" ht="17.25" hidden="1" thickTop="1" x14ac:dyDescent="0.3">
      <c r="A11" s="1382">
        <v>40330</v>
      </c>
      <c r="B11" s="1383">
        <v>448294</v>
      </c>
      <c r="C11" s="1384">
        <v>21051307</v>
      </c>
      <c r="D11" s="1384">
        <v>22</v>
      </c>
      <c r="E11" s="1385">
        <v>20377</v>
      </c>
      <c r="F11" s="1386">
        <v>956878</v>
      </c>
    </row>
    <row r="12" spans="1:6" s="1387" customFormat="1" ht="17.25" hidden="1" thickTop="1" x14ac:dyDescent="0.3">
      <c r="A12" s="1382">
        <v>40360</v>
      </c>
      <c r="B12" s="1383">
        <v>447586</v>
      </c>
      <c r="C12" s="1384">
        <v>21884958</v>
      </c>
      <c r="D12" s="1384">
        <v>22</v>
      </c>
      <c r="E12" s="1385">
        <v>20345</v>
      </c>
      <c r="F12" s="1386">
        <v>994771</v>
      </c>
    </row>
    <row r="13" spans="1:6" s="1387" customFormat="1" ht="17.25" hidden="1" thickTop="1" x14ac:dyDescent="0.3">
      <c r="A13" s="1382">
        <v>40391</v>
      </c>
      <c r="B13" s="1383">
        <v>435490</v>
      </c>
      <c r="C13" s="1384">
        <v>21023041</v>
      </c>
      <c r="D13" s="1384">
        <v>22</v>
      </c>
      <c r="E13" s="1385">
        <v>19795</v>
      </c>
      <c r="F13" s="1386">
        <v>955593</v>
      </c>
    </row>
    <row r="14" spans="1:6" s="1387" customFormat="1" ht="17.25" hidden="1" thickTop="1" x14ac:dyDescent="0.3">
      <c r="A14" s="1382">
        <v>40422</v>
      </c>
      <c r="B14" s="1383">
        <v>431049</v>
      </c>
      <c r="C14" s="1384">
        <v>20726682</v>
      </c>
      <c r="D14" s="1384">
        <v>21</v>
      </c>
      <c r="E14" s="1385">
        <v>20526</v>
      </c>
      <c r="F14" s="1386">
        <v>986985</v>
      </c>
    </row>
    <row r="15" spans="1:6" s="1387" customFormat="1" ht="17.25" hidden="1" thickTop="1" x14ac:dyDescent="0.3">
      <c r="A15" s="1382">
        <v>40452</v>
      </c>
      <c r="B15" s="1383">
        <v>443872</v>
      </c>
      <c r="C15" s="1384">
        <v>21052303</v>
      </c>
      <c r="D15" s="1384">
        <v>21</v>
      </c>
      <c r="E15" s="1385">
        <v>21137</v>
      </c>
      <c r="F15" s="1386">
        <v>1002491</v>
      </c>
    </row>
    <row r="16" spans="1:6" s="1387" customFormat="1" ht="17.25" hidden="1" thickTop="1" x14ac:dyDescent="0.3">
      <c r="A16" s="1382">
        <v>40483</v>
      </c>
      <c r="B16" s="1383">
        <v>478387</v>
      </c>
      <c r="C16" s="1384">
        <v>22094405.145189997</v>
      </c>
      <c r="D16" s="1384">
        <v>20</v>
      </c>
      <c r="E16" s="1385">
        <v>23919.35</v>
      </c>
      <c r="F16" s="1386">
        <v>1104720.2572594997</v>
      </c>
    </row>
    <row r="17" spans="1:6" s="1387" customFormat="1" ht="17.25" hidden="1" thickTop="1" x14ac:dyDescent="0.3">
      <c r="A17" s="1382">
        <v>40513</v>
      </c>
      <c r="B17" s="1383">
        <v>562286</v>
      </c>
      <c r="C17" s="1384">
        <v>29385611</v>
      </c>
      <c r="D17" s="1384">
        <v>23</v>
      </c>
      <c r="E17" s="1385">
        <v>26776</v>
      </c>
      <c r="F17" s="1386">
        <v>1399315</v>
      </c>
    </row>
    <row r="18" spans="1:6" s="1387" customFormat="1" ht="17.25" hidden="1" thickTop="1" x14ac:dyDescent="0.3">
      <c r="A18" s="1382">
        <v>40544</v>
      </c>
      <c r="B18" s="1388">
        <v>404261</v>
      </c>
      <c r="C18" s="1389">
        <v>18665282</v>
      </c>
      <c r="D18" s="1389">
        <v>19</v>
      </c>
      <c r="E18" s="1390">
        <v>21277</v>
      </c>
      <c r="F18" s="1391">
        <v>982383</v>
      </c>
    </row>
    <row r="19" spans="1:6" s="1387" customFormat="1" ht="17.25" hidden="1" thickTop="1" x14ac:dyDescent="0.3">
      <c r="A19" s="1382">
        <v>40575</v>
      </c>
      <c r="B19" s="1388">
        <v>410417</v>
      </c>
      <c r="C19" s="1389">
        <v>20754567</v>
      </c>
      <c r="D19" s="1389">
        <v>18</v>
      </c>
      <c r="E19" s="1390">
        <v>22801</v>
      </c>
      <c r="F19" s="1391">
        <v>1153032</v>
      </c>
    </row>
    <row r="20" spans="1:6" s="1387" customFormat="1" ht="17.25" hidden="1" thickTop="1" x14ac:dyDescent="0.3">
      <c r="A20" s="1382">
        <v>40603</v>
      </c>
      <c r="B20" s="1388">
        <v>480048</v>
      </c>
      <c r="C20" s="1389">
        <v>22665919</v>
      </c>
      <c r="D20" s="1389">
        <v>22</v>
      </c>
      <c r="E20" s="1390">
        <v>21820</v>
      </c>
      <c r="F20" s="1391">
        <v>1030269</v>
      </c>
    </row>
    <row r="21" spans="1:6" s="1387" customFormat="1" ht="17.25" hidden="1" thickTop="1" x14ac:dyDescent="0.3">
      <c r="A21" s="1382">
        <v>40634</v>
      </c>
      <c r="B21" s="1388">
        <v>429435</v>
      </c>
      <c r="C21" s="1389">
        <v>20514130</v>
      </c>
      <c r="D21" s="1389">
        <v>20</v>
      </c>
      <c r="E21" s="1390">
        <v>21472</v>
      </c>
      <c r="F21" s="1391">
        <v>1025707</v>
      </c>
    </row>
    <row r="22" spans="1:6" s="1387" customFormat="1" ht="17.25" hidden="1" thickTop="1" x14ac:dyDescent="0.3">
      <c r="A22" s="1382">
        <v>40664</v>
      </c>
      <c r="B22" s="1388">
        <v>472258</v>
      </c>
      <c r="C22" s="1389">
        <v>22338190</v>
      </c>
      <c r="D22" s="1389">
        <v>22</v>
      </c>
      <c r="E22" s="1390">
        <v>21466</v>
      </c>
      <c r="F22" s="1391">
        <v>1015372</v>
      </c>
    </row>
    <row r="23" spans="1:6" s="1387" customFormat="1" ht="17.25" hidden="1" thickTop="1" x14ac:dyDescent="0.3">
      <c r="A23" s="1382">
        <v>40695</v>
      </c>
      <c r="B23" s="1388">
        <v>459609</v>
      </c>
      <c r="C23" s="1389">
        <v>23452306</v>
      </c>
      <c r="D23" s="1389">
        <v>22</v>
      </c>
      <c r="E23" s="1390">
        <v>20891</v>
      </c>
      <c r="F23" s="1391">
        <v>1066014</v>
      </c>
    </row>
    <row r="24" spans="1:6" s="1387" customFormat="1" ht="17.25" hidden="1" thickTop="1" x14ac:dyDescent="0.3">
      <c r="A24" s="1382">
        <v>40725</v>
      </c>
      <c r="B24" s="1388">
        <v>436511</v>
      </c>
      <c r="C24" s="1389">
        <v>22202850</v>
      </c>
      <c r="D24" s="1389">
        <v>21</v>
      </c>
      <c r="E24" s="1390">
        <v>20786</v>
      </c>
      <c r="F24" s="1391">
        <v>1057279</v>
      </c>
    </row>
    <row r="25" spans="1:6" s="1387" customFormat="1" ht="17.25" hidden="1" thickTop="1" x14ac:dyDescent="0.3">
      <c r="A25" s="1382">
        <v>40756</v>
      </c>
      <c r="B25" s="1388">
        <v>446499</v>
      </c>
      <c r="C25" s="1389">
        <v>21637527</v>
      </c>
      <c r="D25" s="1389">
        <v>22</v>
      </c>
      <c r="E25" s="1390">
        <v>20295</v>
      </c>
      <c r="F25" s="1391">
        <v>983524</v>
      </c>
    </row>
    <row r="26" spans="1:6" s="1387" customFormat="1" ht="17.25" hidden="1" thickTop="1" x14ac:dyDescent="0.3">
      <c r="A26" s="1382">
        <v>40787</v>
      </c>
      <c r="B26" s="1388">
        <v>439837</v>
      </c>
      <c r="C26" s="1389">
        <v>20864985</v>
      </c>
      <c r="D26" s="1389">
        <v>21</v>
      </c>
      <c r="E26" s="1390">
        <v>20945</v>
      </c>
      <c r="F26" s="1391">
        <v>993571</v>
      </c>
    </row>
    <row r="27" spans="1:6" s="1387" customFormat="1" ht="17.25" hidden="1" thickTop="1" x14ac:dyDescent="0.3">
      <c r="A27" s="1382">
        <v>40817</v>
      </c>
      <c r="B27" s="1388">
        <v>429409</v>
      </c>
      <c r="C27" s="1389">
        <v>21844470</v>
      </c>
      <c r="D27" s="1389">
        <v>20</v>
      </c>
      <c r="E27" s="1390">
        <v>21470</v>
      </c>
      <c r="F27" s="1391">
        <v>1092223</v>
      </c>
    </row>
    <row r="28" spans="1:6" s="1387" customFormat="1" ht="17.25" hidden="1" thickTop="1" x14ac:dyDescent="0.3">
      <c r="A28" s="1382">
        <v>40848</v>
      </c>
      <c r="B28" s="1388">
        <v>441789</v>
      </c>
      <c r="C28" s="1389">
        <v>21637089</v>
      </c>
      <c r="D28" s="1389">
        <v>20</v>
      </c>
      <c r="E28" s="1390">
        <v>22089</v>
      </c>
      <c r="F28" s="1391">
        <v>1081854</v>
      </c>
    </row>
    <row r="29" spans="1:6" s="1387" customFormat="1" ht="17.25" hidden="1" thickTop="1" x14ac:dyDescent="0.3">
      <c r="A29" s="1382">
        <v>40878</v>
      </c>
      <c r="B29" s="1388">
        <v>509153</v>
      </c>
      <c r="C29" s="1389">
        <v>26909768</v>
      </c>
      <c r="D29" s="1389">
        <v>22</v>
      </c>
      <c r="E29" s="1390">
        <v>23143</v>
      </c>
      <c r="F29" s="1391">
        <v>1223171</v>
      </c>
    </row>
    <row r="30" spans="1:6" s="1387" customFormat="1" ht="16.5" hidden="1" customHeight="1" x14ac:dyDescent="0.3">
      <c r="A30" s="1382">
        <v>40909</v>
      </c>
      <c r="B30" s="1388">
        <v>411557</v>
      </c>
      <c r="C30" s="1389">
        <v>20402574</v>
      </c>
      <c r="D30" s="1389">
        <v>20</v>
      </c>
      <c r="E30" s="1390">
        <v>20578</v>
      </c>
      <c r="F30" s="1391">
        <v>1020129</v>
      </c>
    </row>
    <row r="31" spans="1:6" s="1387" customFormat="1" ht="16.5" hidden="1" customHeight="1" x14ac:dyDescent="0.3">
      <c r="A31" s="1382">
        <v>40940</v>
      </c>
      <c r="B31" s="1388">
        <v>401302</v>
      </c>
      <c r="C31" s="1389">
        <v>20239873</v>
      </c>
      <c r="D31" s="1389">
        <v>18</v>
      </c>
      <c r="E31" s="1390">
        <v>22295</v>
      </c>
      <c r="F31" s="1391">
        <v>1124437</v>
      </c>
    </row>
    <row r="32" spans="1:6" s="1387" customFormat="1" ht="16.5" hidden="1" customHeight="1" x14ac:dyDescent="0.3">
      <c r="A32" s="1382">
        <v>40969</v>
      </c>
      <c r="B32" s="1388">
        <v>432715</v>
      </c>
      <c r="C32" s="1389">
        <v>21349071</v>
      </c>
      <c r="D32" s="1389">
        <v>20</v>
      </c>
      <c r="E32" s="1390">
        <v>21636</v>
      </c>
      <c r="F32" s="1391">
        <v>1067454</v>
      </c>
    </row>
    <row r="33" spans="1:6" s="1387" customFormat="1" ht="16.5" hidden="1" customHeight="1" x14ac:dyDescent="0.3">
      <c r="A33" s="1382">
        <v>41000</v>
      </c>
      <c r="B33" s="1388">
        <v>436837</v>
      </c>
      <c r="C33" s="1389">
        <v>21910904</v>
      </c>
      <c r="D33" s="1389">
        <v>21</v>
      </c>
      <c r="E33" s="1390">
        <v>20802</v>
      </c>
      <c r="F33" s="1391">
        <v>1043376</v>
      </c>
    </row>
    <row r="34" spans="1:6" s="1387" customFormat="1" ht="16.5" hidden="1" customHeight="1" x14ac:dyDescent="0.3">
      <c r="A34" s="1382">
        <v>41030</v>
      </c>
      <c r="B34" s="1388">
        <v>470150</v>
      </c>
      <c r="C34" s="1389">
        <v>22379207</v>
      </c>
      <c r="D34" s="1389">
        <v>22</v>
      </c>
      <c r="E34" s="1390">
        <v>21370</v>
      </c>
      <c r="F34" s="1391">
        <v>1017237</v>
      </c>
    </row>
    <row r="35" spans="1:6" s="1387" customFormat="1" ht="16.5" hidden="1" customHeight="1" x14ac:dyDescent="0.3">
      <c r="A35" s="1382">
        <v>41061</v>
      </c>
      <c r="B35" s="1388">
        <v>423483</v>
      </c>
      <c r="C35" s="1389">
        <v>21139261</v>
      </c>
      <c r="D35" s="1389">
        <v>21</v>
      </c>
      <c r="E35" s="1390">
        <v>20166</v>
      </c>
      <c r="F35" s="1391">
        <v>1006631</v>
      </c>
    </row>
    <row r="36" spans="1:6" s="1387" customFormat="1" ht="16.5" hidden="1" customHeight="1" x14ac:dyDescent="0.3">
      <c r="A36" s="1382">
        <v>41091</v>
      </c>
      <c r="B36" s="1388">
        <v>453418</v>
      </c>
      <c r="C36" s="1389">
        <v>23746073</v>
      </c>
      <c r="D36" s="1389">
        <v>22</v>
      </c>
      <c r="E36" s="1390">
        <v>20610</v>
      </c>
      <c r="F36" s="1391">
        <v>1079367</v>
      </c>
    </row>
    <row r="37" spans="1:6" s="1387" customFormat="1" ht="16.5" hidden="1" customHeight="1" x14ac:dyDescent="0.3">
      <c r="A37" s="1382">
        <v>41122</v>
      </c>
      <c r="B37" s="1388">
        <v>428256</v>
      </c>
      <c r="C37" s="1389">
        <v>21776630</v>
      </c>
      <c r="D37" s="1389">
        <v>21</v>
      </c>
      <c r="E37" s="1390">
        <v>20393</v>
      </c>
      <c r="F37" s="1391">
        <v>1036982</v>
      </c>
    </row>
    <row r="38" spans="1:6" s="1387" customFormat="1" ht="16.5" hidden="1" customHeight="1" x14ac:dyDescent="0.3">
      <c r="A38" s="1382">
        <v>41153</v>
      </c>
      <c r="B38" s="1388">
        <v>397667</v>
      </c>
      <c r="C38" s="1389">
        <v>20543860</v>
      </c>
      <c r="D38" s="1389">
        <v>19</v>
      </c>
      <c r="E38" s="1390">
        <v>20930</v>
      </c>
      <c r="F38" s="1391">
        <v>1081256</v>
      </c>
    </row>
    <row r="39" spans="1:6" s="1387" customFormat="1" ht="16.5" hidden="1" customHeight="1" x14ac:dyDescent="0.3">
      <c r="A39" s="1382">
        <v>41183</v>
      </c>
      <c r="B39" s="1388">
        <v>476909</v>
      </c>
      <c r="C39" s="1389">
        <v>25001750</v>
      </c>
      <c r="D39" s="1389">
        <v>23</v>
      </c>
      <c r="E39" s="1390">
        <v>20735</v>
      </c>
      <c r="F39" s="1391">
        <v>1087033</v>
      </c>
    </row>
    <row r="40" spans="1:6" s="1387" customFormat="1" ht="16.5" hidden="1" customHeight="1" x14ac:dyDescent="0.3">
      <c r="A40" s="1382">
        <v>41214</v>
      </c>
      <c r="B40" s="1388">
        <v>423120</v>
      </c>
      <c r="C40" s="1389">
        <v>21648556</v>
      </c>
      <c r="D40" s="1389">
        <v>20</v>
      </c>
      <c r="E40" s="1390">
        <v>21156</v>
      </c>
      <c r="F40" s="1391">
        <v>1082428</v>
      </c>
    </row>
    <row r="41" spans="1:6" s="1387" customFormat="1" ht="16.5" hidden="1" customHeight="1" x14ac:dyDescent="0.3">
      <c r="A41" s="1382">
        <v>41244</v>
      </c>
      <c r="B41" s="1388">
        <v>458402</v>
      </c>
      <c r="C41" s="1389">
        <v>25455656</v>
      </c>
      <c r="D41" s="1389">
        <v>20</v>
      </c>
      <c r="E41" s="1390">
        <v>22920</v>
      </c>
      <c r="F41" s="1391">
        <v>1272783</v>
      </c>
    </row>
    <row r="42" spans="1:6" s="1387" customFormat="1" ht="16.5" hidden="1" customHeight="1" thickTop="1" x14ac:dyDescent="0.3">
      <c r="A42" s="1392">
        <v>41653</v>
      </c>
      <c r="B42" s="1388">
        <v>374235</v>
      </c>
      <c r="C42" s="1389">
        <v>19560273</v>
      </c>
      <c r="D42" s="1389">
        <v>19</v>
      </c>
      <c r="E42" s="1390">
        <v>19697</v>
      </c>
      <c r="F42" s="1391">
        <v>1029488</v>
      </c>
    </row>
    <row r="43" spans="1:6" s="1387" customFormat="1" ht="16.5" hidden="1" customHeight="1" x14ac:dyDescent="0.3">
      <c r="A43" s="1392">
        <v>41671</v>
      </c>
      <c r="B43" s="1388">
        <v>372478</v>
      </c>
      <c r="C43" s="1389">
        <v>19906878</v>
      </c>
      <c r="D43" s="1389">
        <v>18</v>
      </c>
      <c r="E43" s="1390">
        <v>20693</v>
      </c>
      <c r="F43" s="1391">
        <v>1105938</v>
      </c>
    </row>
    <row r="44" spans="1:6" s="1387" customFormat="1" ht="16.5" hidden="1" customHeight="1" x14ac:dyDescent="0.3">
      <c r="A44" s="1392">
        <v>41699</v>
      </c>
      <c r="B44" s="1388">
        <v>385697</v>
      </c>
      <c r="C44" s="1389">
        <v>19847409</v>
      </c>
      <c r="D44" s="1389">
        <v>19</v>
      </c>
      <c r="E44" s="1390">
        <v>20300</v>
      </c>
      <c r="F44" s="1391">
        <v>1044600</v>
      </c>
    </row>
    <row r="45" spans="1:6" s="1387" customFormat="1" ht="16.5" hidden="1" customHeight="1" x14ac:dyDescent="0.3">
      <c r="A45" s="1392">
        <v>41743</v>
      </c>
      <c r="B45" s="1388">
        <v>444814</v>
      </c>
      <c r="C45" s="1389">
        <v>23067406</v>
      </c>
      <c r="D45" s="1389">
        <v>22</v>
      </c>
      <c r="E45" s="1390">
        <v>20219</v>
      </c>
      <c r="F45" s="1391">
        <v>1048518</v>
      </c>
    </row>
    <row r="46" spans="1:6" s="1387" customFormat="1" ht="16.5" hidden="1" customHeight="1" x14ac:dyDescent="0.3">
      <c r="A46" s="1392">
        <v>41773</v>
      </c>
      <c r="B46" s="1388">
        <v>421691</v>
      </c>
      <c r="C46" s="1389">
        <v>22238506</v>
      </c>
      <c r="D46" s="1389">
        <v>21</v>
      </c>
      <c r="E46" s="1390">
        <v>20081</v>
      </c>
      <c r="F46" s="1391">
        <v>1058976</v>
      </c>
    </row>
    <row r="47" spans="1:6" s="1387" customFormat="1" ht="16.5" hidden="1" customHeight="1" x14ac:dyDescent="0.3">
      <c r="A47" s="1392">
        <v>41791</v>
      </c>
      <c r="B47" s="1388">
        <v>403572</v>
      </c>
      <c r="C47" s="1389">
        <v>21524293</v>
      </c>
      <c r="D47" s="1389">
        <v>21</v>
      </c>
      <c r="E47" s="1390">
        <v>19218</v>
      </c>
      <c r="F47" s="1391">
        <v>1024966</v>
      </c>
    </row>
    <row r="48" spans="1:6" s="1387" customFormat="1" ht="16.5" hidden="1" customHeight="1" x14ac:dyDescent="0.3">
      <c r="A48" s="1392">
        <v>41821</v>
      </c>
      <c r="B48" s="1388">
        <v>432321</v>
      </c>
      <c r="C48" s="1389">
        <v>22733366</v>
      </c>
      <c r="D48" s="1389">
        <v>22</v>
      </c>
      <c r="E48" s="1390">
        <v>19651</v>
      </c>
      <c r="F48" s="1391">
        <v>1033335</v>
      </c>
    </row>
    <row r="49" spans="1:6" s="1387" customFormat="1" ht="16.5" hidden="1" customHeight="1" x14ac:dyDescent="0.3">
      <c r="A49" s="1392">
        <v>41852</v>
      </c>
      <c r="B49" s="1388">
        <v>383127</v>
      </c>
      <c r="C49" s="1389">
        <v>20032811</v>
      </c>
      <c r="D49" s="1389">
        <v>20</v>
      </c>
      <c r="E49" s="1390">
        <v>19156</v>
      </c>
      <c r="F49" s="1391">
        <v>1001641</v>
      </c>
    </row>
    <row r="50" spans="1:6" s="1387" customFormat="1" ht="16.5" hidden="1" customHeight="1" x14ac:dyDescent="0.3">
      <c r="A50" s="1392">
        <v>41883</v>
      </c>
      <c r="B50" s="1388">
        <v>413404</v>
      </c>
      <c r="C50" s="1389">
        <v>21889470</v>
      </c>
      <c r="D50" s="1389">
        <v>22</v>
      </c>
      <c r="E50" s="1390">
        <v>18791</v>
      </c>
      <c r="F50" s="1391">
        <v>994976</v>
      </c>
    </row>
    <row r="51" spans="1:6" s="1387" customFormat="1" ht="16.5" hidden="1" customHeight="1" x14ac:dyDescent="0.3">
      <c r="A51" s="1392">
        <v>41913</v>
      </c>
      <c r="B51" s="1388">
        <v>419457</v>
      </c>
      <c r="C51" s="1389">
        <v>22474559</v>
      </c>
      <c r="D51" s="1389">
        <v>22</v>
      </c>
      <c r="E51" s="1390">
        <v>19066</v>
      </c>
      <c r="F51" s="1391">
        <v>1021571</v>
      </c>
    </row>
    <row r="52" spans="1:6" s="1387" customFormat="1" ht="16.5" hidden="1" customHeight="1" x14ac:dyDescent="0.3">
      <c r="A52" s="1392">
        <v>41944</v>
      </c>
      <c r="B52" s="1388">
        <v>375825</v>
      </c>
      <c r="C52" s="1389">
        <v>20664615</v>
      </c>
      <c r="D52" s="1389">
        <v>20</v>
      </c>
      <c r="E52" s="1390">
        <v>18791</v>
      </c>
      <c r="F52" s="1391">
        <v>1033231</v>
      </c>
    </row>
    <row r="53" spans="1:6" s="1387" customFormat="1" ht="16.5" hidden="1" customHeight="1" x14ac:dyDescent="0.3">
      <c r="A53" s="1392">
        <v>41974</v>
      </c>
      <c r="B53" s="1388">
        <v>455435</v>
      </c>
      <c r="C53" s="1389">
        <v>25291403</v>
      </c>
      <c r="D53" s="1389">
        <v>21</v>
      </c>
      <c r="E53" s="1390">
        <v>21687</v>
      </c>
      <c r="F53" s="1391">
        <v>1204353</v>
      </c>
    </row>
    <row r="54" spans="1:6" s="1387" customFormat="1" ht="16.5" hidden="1" customHeight="1" thickTop="1" x14ac:dyDescent="0.3">
      <c r="A54" s="1392">
        <v>42005</v>
      </c>
      <c r="B54" s="1388">
        <v>363305</v>
      </c>
      <c r="C54" s="1389">
        <v>17953593</v>
      </c>
      <c r="D54" s="1389">
        <v>20</v>
      </c>
      <c r="E54" s="1390">
        <v>18165</v>
      </c>
      <c r="F54" s="1391">
        <v>897680</v>
      </c>
    </row>
    <row r="55" spans="1:6" s="1387" customFormat="1" ht="16.5" hidden="1" customHeight="1" x14ac:dyDescent="0.3">
      <c r="A55" s="1392">
        <v>42036</v>
      </c>
      <c r="B55" s="1388">
        <v>337515</v>
      </c>
      <c r="C55" s="1389">
        <v>18506021</v>
      </c>
      <c r="D55" s="1389">
        <v>17</v>
      </c>
      <c r="E55" s="1390">
        <v>19854</v>
      </c>
      <c r="F55" s="1391">
        <v>1088589</v>
      </c>
    </row>
    <row r="56" spans="1:6" s="1387" customFormat="1" ht="16.5" hidden="1" customHeight="1" x14ac:dyDescent="0.3">
      <c r="A56" s="1392">
        <v>42064</v>
      </c>
      <c r="B56" s="1388">
        <v>321981</v>
      </c>
      <c r="C56" s="1389">
        <v>16981424</v>
      </c>
      <c r="D56" s="1389">
        <v>21</v>
      </c>
      <c r="E56" s="1390">
        <v>15332</v>
      </c>
      <c r="F56" s="1391">
        <v>808639</v>
      </c>
    </row>
    <row r="57" spans="1:6" s="1387" customFormat="1" ht="16.5" hidden="1" customHeight="1" x14ac:dyDescent="0.3">
      <c r="A57" s="1392">
        <v>42095</v>
      </c>
      <c r="B57" s="1388">
        <v>398233</v>
      </c>
      <c r="C57" s="1389">
        <v>20767752</v>
      </c>
      <c r="D57" s="1389">
        <v>22</v>
      </c>
      <c r="E57" s="1390">
        <v>18102</v>
      </c>
      <c r="F57" s="1391">
        <v>943989</v>
      </c>
    </row>
    <row r="58" spans="1:6" s="1387" customFormat="1" ht="16.5" hidden="1" customHeight="1" x14ac:dyDescent="0.3">
      <c r="A58" s="1392">
        <v>42125</v>
      </c>
      <c r="B58" s="1388">
        <v>351700</v>
      </c>
      <c r="C58" s="1389">
        <v>18484938</v>
      </c>
      <c r="D58" s="1389">
        <v>20</v>
      </c>
      <c r="E58" s="1390">
        <v>17585</v>
      </c>
      <c r="F58" s="1391">
        <v>924247</v>
      </c>
    </row>
    <row r="59" spans="1:6" s="1387" customFormat="1" ht="16.5" hidden="1" customHeight="1" x14ac:dyDescent="0.3">
      <c r="A59" s="1392">
        <v>42156</v>
      </c>
      <c r="B59" s="1388">
        <v>402427</v>
      </c>
      <c r="C59" s="1389">
        <v>22461853</v>
      </c>
      <c r="D59" s="1389">
        <v>22</v>
      </c>
      <c r="E59" s="1390">
        <v>18292</v>
      </c>
      <c r="F59" s="1391">
        <v>1021039</v>
      </c>
    </row>
    <row r="60" spans="1:6" s="1387" customFormat="1" ht="16.5" hidden="1" customHeight="1" x14ac:dyDescent="0.3">
      <c r="A60" s="1392">
        <v>42186</v>
      </c>
      <c r="B60" s="1388">
        <v>408924</v>
      </c>
      <c r="C60" s="1389">
        <v>22778237</v>
      </c>
      <c r="D60" s="1389">
        <v>23</v>
      </c>
      <c r="E60" s="1390">
        <v>17779</v>
      </c>
      <c r="F60" s="1391">
        <v>990358</v>
      </c>
    </row>
    <row r="61" spans="1:6" s="1387" customFormat="1" ht="16.5" hidden="1" customHeight="1" x14ac:dyDescent="0.3">
      <c r="A61" s="1392">
        <v>42217</v>
      </c>
      <c r="B61" s="1388">
        <v>364553</v>
      </c>
      <c r="C61" s="1389">
        <v>19314158</v>
      </c>
      <c r="D61" s="1389">
        <v>21</v>
      </c>
      <c r="E61" s="1390">
        <v>17360</v>
      </c>
      <c r="F61" s="1391">
        <v>919722</v>
      </c>
    </row>
    <row r="62" spans="1:6" s="1387" customFormat="1" ht="16.5" hidden="1" customHeight="1" x14ac:dyDescent="0.3">
      <c r="A62" s="1392">
        <v>42248</v>
      </c>
      <c r="B62" s="1388">
        <v>382301</v>
      </c>
      <c r="C62" s="1389">
        <v>19976716</v>
      </c>
      <c r="D62" s="1389">
        <v>21</v>
      </c>
      <c r="E62" s="1390">
        <v>18205</v>
      </c>
      <c r="F62" s="1391">
        <v>951272</v>
      </c>
    </row>
    <row r="63" spans="1:6" s="1387" customFormat="1" ht="16.5" hidden="1" customHeight="1" x14ac:dyDescent="0.3">
      <c r="A63" s="1392">
        <v>42278</v>
      </c>
      <c r="B63" s="1388">
        <v>407755</v>
      </c>
      <c r="C63" s="1389">
        <v>21167741</v>
      </c>
      <c r="D63" s="1389">
        <v>22</v>
      </c>
      <c r="E63" s="1390">
        <v>18534</v>
      </c>
      <c r="F63" s="1391">
        <v>962170</v>
      </c>
    </row>
    <row r="64" spans="1:6" s="1387" customFormat="1" ht="16.5" hidden="1" customHeight="1" x14ac:dyDescent="0.3">
      <c r="A64" s="1392">
        <v>42309</v>
      </c>
      <c r="B64" s="1388">
        <v>373606</v>
      </c>
      <c r="C64" s="1389">
        <v>18662222</v>
      </c>
      <c r="D64" s="1389">
        <v>19</v>
      </c>
      <c r="E64" s="1390">
        <v>19663</v>
      </c>
      <c r="F64" s="1391">
        <v>982222</v>
      </c>
    </row>
    <row r="65" spans="1:6" s="1387" customFormat="1" ht="16.5" hidden="1" customHeight="1" x14ac:dyDescent="0.3">
      <c r="A65" s="1392">
        <v>42339</v>
      </c>
      <c r="B65" s="1388">
        <v>449448</v>
      </c>
      <c r="C65" s="1389">
        <v>25270380</v>
      </c>
      <c r="D65" s="1389">
        <v>22</v>
      </c>
      <c r="E65" s="1390">
        <v>20429</v>
      </c>
      <c r="F65" s="1391">
        <v>1148654</v>
      </c>
    </row>
    <row r="66" spans="1:6" s="1387" customFormat="1" ht="16.5" hidden="1" customHeight="1" x14ac:dyDescent="0.3">
      <c r="A66" s="1392">
        <v>42370</v>
      </c>
      <c r="B66" s="1388">
        <v>332953</v>
      </c>
      <c r="C66" s="1389">
        <v>16843614</v>
      </c>
      <c r="D66" s="1389">
        <v>20</v>
      </c>
      <c r="E66" s="1390">
        <v>16648</v>
      </c>
      <c r="F66" s="1391">
        <v>842181</v>
      </c>
    </row>
    <row r="67" spans="1:6" s="1387" customFormat="1" ht="16.5" hidden="1" customHeight="1" x14ac:dyDescent="0.3">
      <c r="A67" s="1392">
        <v>42401</v>
      </c>
      <c r="B67" s="1388">
        <v>346286</v>
      </c>
      <c r="C67" s="1389">
        <v>19258711</v>
      </c>
      <c r="D67" s="1389">
        <v>19</v>
      </c>
      <c r="E67" s="1390">
        <v>18226</v>
      </c>
      <c r="F67" s="1391">
        <v>1013616</v>
      </c>
    </row>
    <row r="68" spans="1:6" s="1387" customFormat="1" ht="16.5" hidden="1" customHeight="1" x14ac:dyDescent="0.3">
      <c r="A68" s="1392">
        <v>42430</v>
      </c>
      <c r="B68" s="1388">
        <v>392250</v>
      </c>
      <c r="C68" s="1389">
        <v>20945508</v>
      </c>
      <c r="D68" s="1389">
        <v>22</v>
      </c>
      <c r="E68" s="1390">
        <v>17830</v>
      </c>
      <c r="F68" s="1391">
        <v>952069</v>
      </c>
    </row>
    <row r="69" spans="1:6" s="1387" customFormat="1" ht="16.5" hidden="1" customHeight="1" x14ac:dyDescent="0.3">
      <c r="A69" s="1392">
        <v>42461</v>
      </c>
      <c r="B69" s="1388">
        <v>354308</v>
      </c>
      <c r="C69" s="1389">
        <v>18585728</v>
      </c>
      <c r="D69" s="1389">
        <v>20</v>
      </c>
      <c r="E69" s="1390">
        <v>17715</v>
      </c>
      <c r="F69" s="1391">
        <v>929286</v>
      </c>
    </row>
    <row r="70" spans="1:6" s="1387" customFormat="1" ht="16.5" hidden="1" customHeight="1" x14ac:dyDescent="0.3">
      <c r="A70" s="1392">
        <v>42491</v>
      </c>
      <c r="B70" s="1388">
        <v>386095</v>
      </c>
      <c r="C70" s="1389">
        <v>21254863</v>
      </c>
      <c r="D70" s="1389">
        <v>22</v>
      </c>
      <c r="E70" s="1390">
        <v>17550</v>
      </c>
      <c r="F70" s="1391">
        <v>966130</v>
      </c>
    </row>
    <row r="71" spans="1:6" s="1387" customFormat="1" ht="16.5" hidden="1" customHeight="1" x14ac:dyDescent="0.3">
      <c r="A71" s="1392">
        <v>42522</v>
      </c>
      <c r="B71" s="1388">
        <v>381449</v>
      </c>
      <c r="C71" s="1389">
        <v>22063492</v>
      </c>
      <c r="D71" s="1389">
        <v>22</v>
      </c>
      <c r="E71" s="1390">
        <v>17339</v>
      </c>
      <c r="F71" s="1391">
        <v>1002886</v>
      </c>
    </row>
    <row r="72" spans="1:6" s="1387" customFormat="1" ht="16.5" hidden="1" customHeight="1" x14ac:dyDescent="0.3">
      <c r="A72" s="1392">
        <v>42552</v>
      </c>
      <c r="B72" s="1388">
        <v>363559</v>
      </c>
      <c r="C72" s="1389">
        <v>22425493</v>
      </c>
      <c r="D72" s="1389">
        <v>20</v>
      </c>
      <c r="E72" s="1390">
        <f>B72/D72</f>
        <v>18177.95</v>
      </c>
      <c r="F72" s="1391">
        <f>C72/D72</f>
        <v>1121274.6499999999</v>
      </c>
    </row>
    <row r="73" spans="1:6" s="1387" customFormat="1" ht="16.5" hidden="1" customHeight="1" x14ac:dyDescent="0.3">
      <c r="A73" s="1392">
        <v>42583</v>
      </c>
      <c r="B73" s="1388">
        <v>386287</v>
      </c>
      <c r="C73" s="1389">
        <v>21038007</v>
      </c>
      <c r="D73" s="1389">
        <v>22</v>
      </c>
      <c r="E73" s="1390">
        <f>B73/D73</f>
        <v>17558.5</v>
      </c>
      <c r="F73" s="1391">
        <f>C73/D73</f>
        <v>956273.04545454541</v>
      </c>
    </row>
    <row r="74" spans="1:6" s="1387" customFormat="1" ht="16.5" hidden="1" customHeight="1" x14ac:dyDescent="0.3">
      <c r="A74" s="1392">
        <v>42614</v>
      </c>
      <c r="B74" s="1388">
        <v>365155</v>
      </c>
      <c r="C74" s="1389">
        <v>19410018</v>
      </c>
      <c r="D74" s="1389">
        <v>21</v>
      </c>
      <c r="E74" s="1390">
        <v>17388</v>
      </c>
      <c r="F74" s="1391">
        <v>924287</v>
      </c>
    </row>
    <row r="75" spans="1:6" s="1387" customFormat="1" ht="16.5" hidden="1" customHeight="1" x14ac:dyDescent="0.3">
      <c r="A75" s="1392">
        <v>42644</v>
      </c>
      <c r="B75" s="1388">
        <v>382182</v>
      </c>
      <c r="C75" s="1389">
        <v>20935481</v>
      </c>
      <c r="D75" s="1389">
        <v>21</v>
      </c>
      <c r="E75" s="1390">
        <v>18199</v>
      </c>
      <c r="F75" s="1391">
        <v>996928</v>
      </c>
    </row>
    <row r="76" spans="1:6" s="1387" customFormat="1" ht="16.5" hidden="1" customHeight="1" x14ac:dyDescent="0.3">
      <c r="A76" s="1392">
        <v>42675</v>
      </c>
      <c r="B76" s="1388">
        <v>377752</v>
      </c>
      <c r="C76" s="1389">
        <v>21384728</v>
      </c>
      <c r="D76" s="1389">
        <v>21</v>
      </c>
      <c r="E76" s="1390">
        <v>17988</v>
      </c>
      <c r="F76" s="1391">
        <v>1018320</v>
      </c>
    </row>
    <row r="77" spans="1:6" s="1387" customFormat="1" ht="16.5" hidden="1" customHeight="1" x14ac:dyDescent="0.3">
      <c r="A77" s="1392">
        <v>42705</v>
      </c>
      <c r="B77" s="1388">
        <v>422965</v>
      </c>
      <c r="C77" s="1389">
        <v>26388957</v>
      </c>
      <c r="D77" s="1389">
        <v>22</v>
      </c>
      <c r="E77" s="1390">
        <v>19226</v>
      </c>
      <c r="F77" s="1391">
        <v>1199498</v>
      </c>
    </row>
    <row r="78" spans="1:6" s="1387" customFormat="1" ht="16.5" hidden="1" customHeight="1" thickTop="1" x14ac:dyDescent="0.3">
      <c r="A78" s="1392">
        <v>42736</v>
      </c>
      <c r="B78" s="1388">
        <v>333247</v>
      </c>
      <c r="C78" s="1389">
        <v>19554231</v>
      </c>
      <c r="D78" s="1389">
        <v>21</v>
      </c>
      <c r="E78" s="1390">
        <v>15869</v>
      </c>
      <c r="F78" s="1391">
        <v>931154</v>
      </c>
    </row>
    <row r="79" spans="1:6" s="1387" customFormat="1" ht="16.5" hidden="1" customHeight="1" x14ac:dyDescent="0.3">
      <c r="A79" s="1392">
        <v>42767</v>
      </c>
      <c r="B79" s="1388">
        <v>299566</v>
      </c>
      <c r="C79" s="1389">
        <v>17632668</v>
      </c>
      <c r="D79" s="1389">
        <v>17</v>
      </c>
      <c r="E79" s="1390">
        <v>17622</v>
      </c>
      <c r="F79" s="1391">
        <v>1037216</v>
      </c>
    </row>
    <row r="80" spans="1:6" s="1387" customFormat="1" ht="16.5" hidden="1" customHeight="1" x14ac:dyDescent="0.3">
      <c r="A80" s="1393">
        <v>42795</v>
      </c>
      <c r="B80" s="1388">
        <v>376579</v>
      </c>
      <c r="C80" s="1389">
        <v>21707266</v>
      </c>
      <c r="D80" s="1389">
        <v>22</v>
      </c>
      <c r="E80" s="1390">
        <v>17117</v>
      </c>
      <c r="F80" s="1391">
        <v>986694</v>
      </c>
    </row>
    <row r="81" spans="1:6" s="1387" customFormat="1" ht="16.5" hidden="1" customHeight="1" x14ac:dyDescent="0.3">
      <c r="A81" s="1393">
        <v>42826</v>
      </c>
      <c r="B81" s="1388">
        <v>329937</v>
      </c>
      <c r="C81" s="1389">
        <v>18200962</v>
      </c>
      <c r="D81" s="1389">
        <v>20</v>
      </c>
      <c r="E81" s="1390">
        <v>16497</v>
      </c>
      <c r="F81" s="1391">
        <v>910048</v>
      </c>
    </row>
    <row r="82" spans="1:6" s="1387" customFormat="1" ht="16.5" hidden="1" customHeight="1" x14ac:dyDescent="0.3">
      <c r="A82" s="1393">
        <v>42856</v>
      </c>
      <c r="B82" s="1388">
        <v>376131</v>
      </c>
      <c r="C82" s="1389">
        <v>20968771</v>
      </c>
      <c r="D82" s="1389">
        <v>22</v>
      </c>
      <c r="E82" s="1390">
        <v>17097</v>
      </c>
      <c r="F82" s="1391">
        <v>953126</v>
      </c>
    </row>
    <row r="83" spans="1:6" s="1387" customFormat="1" ht="16.5" hidden="1" customHeight="1" x14ac:dyDescent="0.3">
      <c r="A83" s="1393">
        <v>42887</v>
      </c>
      <c r="B83" s="1388">
        <v>350441</v>
      </c>
      <c r="C83" s="1389">
        <v>20765102</v>
      </c>
      <c r="D83" s="1389">
        <v>21</v>
      </c>
      <c r="E83" s="1390">
        <v>16688</v>
      </c>
      <c r="F83" s="1391">
        <v>988814</v>
      </c>
    </row>
    <row r="84" spans="1:6" s="1387" customFormat="1" ht="16.5" hidden="1" customHeight="1" x14ac:dyDescent="0.3">
      <c r="A84" s="1393">
        <v>42917</v>
      </c>
      <c r="B84" s="1388">
        <v>362477</v>
      </c>
      <c r="C84" s="1389">
        <v>21388311</v>
      </c>
      <c r="D84" s="1389">
        <v>21</v>
      </c>
      <c r="E84" s="1390">
        <v>17261</v>
      </c>
      <c r="F84" s="1391">
        <v>1018491</v>
      </c>
    </row>
    <row r="85" spans="1:6" s="1387" customFormat="1" ht="16.5" hidden="1" customHeight="1" x14ac:dyDescent="0.3">
      <c r="A85" s="1393">
        <v>42948</v>
      </c>
      <c r="B85" s="1388">
        <v>366407</v>
      </c>
      <c r="C85" s="1389">
        <v>22007564</v>
      </c>
      <c r="D85" s="1389">
        <v>23</v>
      </c>
      <c r="E85" s="1390">
        <v>15931</v>
      </c>
      <c r="F85" s="1391">
        <v>956851</v>
      </c>
    </row>
    <row r="86" spans="1:6" s="1387" customFormat="1" ht="16.5" hidden="1" customHeight="1" x14ac:dyDescent="0.3">
      <c r="A86" s="1393">
        <v>42979</v>
      </c>
      <c r="B86" s="1388" t="s">
        <v>997</v>
      </c>
      <c r="C86" s="1389">
        <v>19348779.507919997</v>
      </c>
      <c r="D86" s="1389">
        <v>21</v>
      </c>
      <c r="E86" s="1390">
        <v>16192</v>
      </c>
      <c r="F86" s="1391">
        <f t="shared" ref="F86:F107" si="0">C86/D86</f>
        <v>921370.45275809511</v>
      </c>
    </row>
    <row r="87" spans="1:6" s="1387" customFormat="1" ht="16.5" hidden="1" customHeight="1" x14ac:dyDescent="0.3">
      <c r="A87" s="1393">
        <v>43009</v>
      </c>
      <c r="B87" s="1388">
        <v>374068</v>
      </c>
      <c r="C87" s="1389">
        <v>21358023.867759999</v>
      </c>
      <c r="D87" s="1389">
        <v>21</v>
      </c>
      <c r="E87" s="1390">
        <f t="shared" ref="E87:E107" si="1">B87/D87</f>
        <v>17812.761904761905</v>
      </c>
      <c r="F87" s="1391">
        <f t="shared" si="0"/>
        <v>1017048.755607619</v>
      </c>
    </row>
    <row r="88" spans="1:6" s="1387" customFormat="1" ht="16.5" hidden="1" customHeight="1" x14ac:dyDescent="0.3">
      <c r="A88" s="1393">
        <v>43040</v>
      </c>
      <c r="B88" s="1388">
        <v>350281</v>
      </c>
      <c r="C88" s="1389">
        <v>20956958.023009997</v>
      </c>
      <c r="D88" s="1389">
        <v>20</v>
      </c>
      <c r="E88" s="1390">
        <f t="shared" si="1"/>
        <v>17514.05</v>
      </c>
      <c r="F88" s="1391">
        <f t="shared" si="0"/>
        <v>1047847.9011504998</v>
      </c>
    </row>
    <row r="89" spans="1:6" s="1387" customFormat="1" ht="16.5" hidden="1" customHeight="1" x14ac:dyDescent="0.3">
      <c r="A89" s="1393">
        <v>43070</v>
      </c>
      <c r="B89" s="1388">
        <v>378188</v>
      </c>
      <c r="C89" s="1389">
        <v>23668660.373259999</v>
      </c>
      <c r="D89" s="1389">
        <v>20</v>
      </c>
      <c r="E89" s="1394">
        <f t="shared" si="1"/>
        <v>18909.400000000001</v>
      </c>
      <c r="F89" s="1391">
        <f t="shared" si="0"/>
        <v>1183433.0186629998</v>
      </c>
    </row>
    <row r="90" spans="1:6" s="1387" customFormat="1" ht="16.5" hidden="1" customHeight="1" thickTop="1" x14ac:dyDescent="0.3">
      <c r="A90" s="1393">
        <v>43101</v>
      </c>
      <c r="B90" s="1388">
        <v>292584</v>
      </c>
      <c r="C90" s="1389">
        <v>17379508.057810001</v>
      </c>
      <c r="D90" s="1389">
        <v>19</v>
      </c>
      <c r="E90" s="1394">
        <f t="shared" si="1"/>
        <v>15399.157894736842</v>
      </c>
      <c r="F90" s="1391">
        <f t="shared" si="0"/>
        <v>914710.95041105268</v>
      </c>
    </row>
    <row r="91" spans="1:6" s="1387" customFormat="1" ht="16.5" hidden="1" customHeight="1" x14ac:dyDescent="0.3">
      <c r="A91" s="1393">
        <v>43132</v>
      </c>
      <c r="B91" s="1388">
        <v>307077</v>
      </c>
      <c r="C91" s="1389">
        <v>18985747.210549999</v>
      </c>
      <c r="D91" s="1389">
        <v>17</v>
      </c>
      <c r="E91" s="1394">
        <f t="shared" si="1"/>
        <v>18063.352941176472</v>
      </c>
      <c r="F91" s="1391">
        <f t="shared" si="0"/>
        <v>1116808.6594441177</v>
      </c>
    </row>
    <row r="92" spans="1:6" s="1387" customFormat="1" ht="16.5" hidden="1" customHeight="1" x14ac:dyDescent="0.3">
      <c r="A92" s="1393">
        <v>43160</v>
      </c>
      <c r="B92" s="1388">
        <v>347656</v>
      </c>
      <c r="C92" s="1389">
        <v>21870184.150139999</v>
      </c>
      <c r="D92" s="1389">
        <v>21</v>
      </c>
      <c r="E92" s="1394">
        <f t="shared" si="1"/>
        <v>16555.047619047618</v>
      </c>
      <c r="F92" s="1391">
        <f t="shared" si="0"/>
        <v>1041437.3404828571</v>
      </c>
    </row>
    <row r="93" spans="1:6" s="1387" customFormat="1" ht="16.5" hidden="1" customHeight="1" x14ac:dyDescent="0.3">
      <c r="A93" s="1393">
        <v>43191</v>
      </c>
      <c r="B93" s="1388">
        <v>331779</v>
      </c>
      <c r="C93" s="1389">
        <v>19673641.375490002</v>
      </c>
      <c r="D93" s="1389">
        <v>21</v>
      </c>
      <c r="E93" s="1394">
        <f t="shared" si="1"/>
        <v>15799</v>
      </c>
      <c r="F93" s="1391">
        <f t="shared" si="0"/>
        <v>936840.06549952389</v>
      </c>
    </row>
    <row r="94" spans="1:6" s="1387" customFormat="1" ht="16.5" hidden="1" customHeight="1" x14ac:dyDescent="0.3">
      <c r="A94" s="1393">
        <v>43221</v>
      </c>
      <c r="B94" s="1388">
        <v>360411</v>
      </c>
      <c r="C94" s="1389">
        <v>21922757.34144</v>
      </c>
      <c r="D94" s="1389">
        <v>22</v>
      </c>
      <c r="E94" s="1394">
        <f t="shared" si="1"/>
        <v>16382.318181818182</v>
      </c>
      <c r="F94" s="1391">
        <f t="shared" si="0"/>
        <v>996488.97006545449</v>
      </c>
    </row>
    <row r="95" spans="1:6" s="1387" customFormat="1" ht="16.5" hidden="1" customHeight="1" x14ac:dyDescent="0.3">
      <c r="A95" s="1393">
        <v>43252</v>
      </c>
      <c r="B95" s="1388">
        <v>332647</v>
      </c>
      <c r="C95" s="1389">
        <v>21395267.240619998</v>
      </c>
      <c r="D95" s="1389">
        <v>21</v>
      </c>
      <c r="E95" s="1394">
        <f t="shared" si="1"/>
        <v>15840.333333333334</v>
      </c>
      <c r="F95" s="1391">
        <f t="shared" si="0"/>
        <v>1018822.2495533333</v>
      </c>
    </row>
    <row r="96" spans="1:6" s="1387" customFormat="1" ht="16.5" hidden="1" customHeight="1" x14ac:dyDescent="0.3">
      <c r="A96" s="1393">
        <v>43282</v>
      </c>
      <c r="B96" s="1388">
        <v>359155</v>
      </c>
      <c r="C96" s="1389">
        <v>23138113.858569998</v>
      </c>
      <c r="D96" s="1389">
        <v>22</v>
      </c>
      <c r="E96" s="1394">
        <f t="shared" si="1"/>
        <v>16325.227272727272</v>
      </c>
      <c r="F96" s="1391">
        <f t="shared" si="0"/>
        <v>1051732.4481168182</v>
      </c>
    </row>
    <row r="97" spans="1:8" s="1387" customFormat="1" ht="16.5" hidden="1" customHeight="1" x14ac:dyDescent="0.3">
      <c r="A97" s="1393">
        <v>43313</v>
      </c>
      <c r="B97" s="1388">
        <v>343282</v>
      </c>
      <c r="C97" s="1389">
        <v>20681552.049419999</v>
      </c>
      <c r="D97" s="1389">
        <v>22</v>
      </c>
      <c r="E97" s="1394">
        <f t="shared" si="1"/>
        <v>15603.727272727272</v>
      </c>
      <c r="F97" s="1391">
        <f t="shared" si="0"/>
        <v>940070.54770090908</v>
      </c>
    </row>
    <row r="98" spans="1:8" s="1387" customFormat="1" ht="16.5" hidden="1" customHeight="1" x14ac:dyDescent="0.3">
      <c r="A98" s="1393">
        <v>43344</v>
      </c>
      <c r="B98" s="1388">
        <v>308293</v>
      </c>
      <c r="C98" s="1389">
        <v>19208187.700319998</v>
      </c>
      <c r="D98" s="1389">
        <v>19</v>
      </c>
      <c r="E98" s="1394">
        <f t="shared" si="1"/>
        <v>16225.947368421053</v>
      </c>
      <c r="F98" s="1391">
        <f t="shared" si="0"/>
        <v>1010957.2473852631</v>
      </c>
    </row>
    <row r="99" spans="1:8" s="1387" customFormat="1" ht="16.5" hidden="1" customHeight="1" x14ac:dyDescent="0.3">
      <c r="A99" s="1393">
        <v>43374</v>
      </c>
      <c r="B99" s="1388">
        <v>374586</v>
      </c>
      <c r="C99" s="1389">
        <v>23150506.235209998</v>
      </c>
      <c r="D99" s="1389">
        <v>23</v>
      </c>
      <c r="E99" s="1394">
        <f t="shared" si="1"/>
        <v>16286.347826086956</v>
      </c>
      <c r="F99" s="1391">
        <f t="shared" si="0"/>
        <v>1006543.7493569565</v>
      </c>
    </row>
    <row r="100" spans="1:8" s="1387" customFormat="1" ht="16.5" hidden="1" customHeight="1" x14ac:dyDescent="0.3">
      <c r="A100" s="1393">
        <v>43405</v>
      </c>
      <c r="B100" s="1388">
        <v>329488</v>
      </c>
      <c r="C100" s="1389">
        <v>21138510.430319998</v>
      </c>
      <c r="D100" s="1389">
        <v>20</v>
      </c>
      <c r="E100" s="1394">
        <f t="shared" si="1"/>
        <v>16474.400000000001</v>
      </c>
      <c r="F100" s="1391">
        <f t="shared" si="0"/>
        <v>1056925.5215159999</v>
      </c>
    </row>
    <row r="101" spans="1:8" s="1387" customFormat="1" ht="16.5" hidden="1" customHeight="1" x14ac:dyDescent="0.3">
      <c r="A101" s="1393">
        <v>43435</v>
      </c>
      <c r="B101" s="1388">
        <v>359586</v>
      </c>
      <c r="C101" s="1389">
        <v>24480920.75618</v>
      </c>
      <c r="D101" s="1389">
        <v>20</v>
      </c>
      <c r="E101" s="1394">
        <f t="shared" si="1"/>
        <v>17979.3</v>
      </c>
      <c r="F101" s="1391">
        <f t="shared" si="0"/>
        <v>1224046.0378089999</v>
      </c>
    </row>
    <row r="102" spans="1:8" s="1387" customFormat="1" ht="16.5" hidden="1" customHeight="1" thickTop="1" x14ac:dyDescent="0.3">
      <c r="A102" s="1393">
        <v>43466</v>
      </c>
      <c r="B102" s="1388">
        <v>303171</v>
      </c>
      <c r="C102" s="1389">
        <v>18734708.507720001</v>
      </c>
      <c r="D102" s="1389">
        <v>20</v>
      </c>
      <c r="E102" s="1394">
        <f t="shared" si="1"/>
        <v>15158.55</v>
      </c>
      <c r="F102" s="1391">
        <f t="shared" si="0"/>
        <v>936735.42538600008</v>
      </c>
    </row>
    <row r="103" spans="1:8" s="1387" customFormat="1" ht="16.5" hidden="1" customHeight="1" x14ac:dyDescent="0.3">
      <c r="A103" s="1393">
        <v>43497</v>
      </c>
      <c r="B103" s="1388">
        <v>296126</v>
      </c>
      <c r="C103" s="1389">
        <v>18861320.791299999</v>
      </c>
      <c r="D103" s="1389">
        <v>18</v>
      </c>
      <c r="E103" s="1394">
        <f t="shared" si="1"/>
        <v>16451.444444444445</v>
      </c>
      <c r="F103" s="1391">
        <f t="shared" si="0"/>
        <v>1047851.1550722221</v>
      </c>
    </row>
    <row r="104" spans="1:8" s="1387" customFormat="1" ht="16.5" hidden="1" customHeight="1" x14ac:dyDescent="0.3">
      <c r="A104" s="1392">
        <v>43525</v>
      </c>
      <c r="B104" s="1388">
        <v>310407</v>
      </c>
      <c r="C104" s="1389">
        <v>19774779.53396</v>
      </c>
      <c r="D104" s="1389">
        <v>19</v>
      </c>
      <c r="E104" s="1394">
        <f t="shared" si="1"/>
        <v>16337.21052631579</v>
      </c>
      <c r="F104" s="1391">
        <f t="shared" si="0"/>
        <v>1040777.870208421</v>
      </c>
    </row>
    <row r="105" spans="1:8" s="1387" customFormat="1" ht="16.5" hidden="1" customHeight="1" x14ac:dyDescent="0.3">
      <c r="A105" s="1392">
        <v>43556</v>
      </c>
      <c r="B105" s="1388">
        <v>336596</v>
      </c>
      <c r="C105" s="1389">
        <v>21802760.409910001</v>
      </c>
      <c r="D105" s="1389">
        <v>22</v>
      </c>
      <c r="E105" s="1394">
        <f t="shared" si="1"/>
        <v>15299.818181818182</v>
      </c>
      <c r="F105" s="1391">
        <f t="shared" si="0"/>
        <v>991034.56408681825</v>
      </c>
    </row>
    <row r="106" spans="1:8" s="1387" customFormat="1" ht="16.5" hidden="1" customHeight="1" x14ac:dyDescent="0.3">
      <c r="A106" s="1392">
        <v>43586</v>
      </c>
      <c r="B106" s="1388">
        <v>345552</v>
      </c>
      <c r="C106" s="1389">
        <v>21459985.209910002</v>
      </c>
      <c r="D106" s="1389">
        <v>22</v>
      </c>
      <c r="E106" s="1394">
        <f t="shared" si="1"/>
        <v>15706.90909090909</v>
      </c>
      <c r="F106" s="1391">
        <f t="shared" si="0"/>
        <v>975453.87317772734</v>
      </c>
    </row>
    <row r="107" spans="1:8" s="1387" customFormat="1" ht="16.5" hidden="1" customHeight="1" x14ac:dyDescent="0.3">
      <c r="A107" s="1392">
        <v>43617</v>
      </c>
      <c r="B107" s="1388">
        <v>299956</v>
      </c>
      <c r="C107" s="1389">
        <v>19406042.668680001</v>
      </c>
      <c r="D107" s="1389">
        <v>19</v>
      </c>
      <c r="E107" s="1394">
        <f t="shared" si="1"/>
        <v>15787.157894736842</v>
      </c>
      <c r="F107" s="1391">
        <f t="shared" si="0"/>
        <v>1021370.6667726316</v>
      </c>
    </row>
    <row r="108" spans="1:8" s="1387" customFormat="1" ht="16.5" hidden="1" customHeight="1" x14ac:dyDescent="0.3">
      <c r="A108" s="1392">
        <v>43647</v>
      </c>
      <c r="B108" s="1388">
        <v>352706</v>
      </c>
      <c r="C108" s="1389">
        <v>23511883</v>
      </c>
      <c r="D108" s="1389">
        <v>24</v>
      </c>
      <c r="E108" s="1394">
        <v>14696</v>
      </c>
      <c r="F108" s="1391">
        <v>979662</v>
      </c>
    </row>
    <row r="109" spans="1:8" s="1387" customFormat="1" ht="16.5" hidden="1" customHeight="1" x14ac:dyDescent="0.3">
      <c r="A109" s="1392">
        <v>43678</v>
      </c>
      <c r="B109" s="1388">
        <v>323083</v>
      </c>
      <c r="C109" s="1389">
        <v>20639796</v>
      </c>
      <c r="D109" s="1389">
        <v>22</v>
      </c>
      <c r="E109" s="1394">
        <v>14686</v>
      </c>
      <c r="F109" s="1391">
        <v>938173</v>
      </c>
    </row>
    <row r="110" spans="1:8" s="1387" customFormat="1" ht="16.5" hidden="1" customHeight="1" x14ac:dyDescent="0.3">
      <c r="A110" s="1392">
        <v>43709</v>
      </c>
      <c r="B110" s="1388">
        <v>306192</v>
      </c>
      <c r="C110" s="1389">
        <v>19671886</v>
      </c>
      <c r="D110" s="1389">
        <v>19</v>
      </c>
      <c r="E110" s="1394">
        <v>16115</v>
      </c>
      <c r="F110" s="1391">
        <v>1035362</v>
      </c>
    </row>
    <row r="111" spans="1:8" s="1387" customFormat="1" ht="16.5" hidden="1" customHeight="1" x14ac:dyDescent="0.3">
      <c r="A111" s="1392">
        <v>43739</v>
      </c>
      <c r="B111" s="1388">
        <v>348062</v>
      </c>
      <c r="C111" s="1389">
        <v>23115113</v>
      </c>
      <c r="D111" s="1389">
        <v>23</v>
      </c>
      <c r="E111" s="1394">
        <v>15133</v>
      </c>
      <c r="F111" s="1391">
        <v>1005005</v>
      </c>
    </row>
    <row r="112" spans="1:8" s="1387" customFormat="1" ht="16.5" hidden="1" customHeight="1" x14ac:dyDescent="0.3">
      <c r="A112" s="1392">
        <v>43770</v>
      </c>
      <c r="B112" s="1388">
        <v>288235</v>
      </c>
      <c r="C112" s="1389">
        <v>19849123</v>
      </c>
      <c r="D112" s="1389">
        <v>19</v>
      </c>
      <c r="E112" s="1394">
        <v>15170</v>
      </c>
      <c r="F112" s="1391">
        <v>1044690.6842105263</v>
      </c>
      <c r="G112" s="1395"/>
      <c r="H112" s="1395"/>
    </row>
    <row r="113" spans="1:8" s="1387" customFormat="1" ht="16.5" hidden="1" customHeight="1" x14ac:dyDescent="0.3">
      <c r="A113" s="1392">
        <v>43800</v>
      </c>
      <c r="B113" s="1388">
        <v>326459</v>
      </c>
      <c r="C113" s="1389">
        <v>22789769</v>
      </c>
      <c r="D113" s="1389">
        <v>20</v>
      </c>
      <c r="E113" s="1394">
        <v>16323</v>
      </c>
      <c r="F113" s="1391">
        <v>1139488</v>
      </c>
      <c r="G113" s="1395"/>
    </row>
    <row r="114" spans="1:8" s="1387" customFormat="1" ht="16.5" customHeight="1" thickTop="1" x14ac:dyDescent="0.3">
      <c r="A114" s="1392">
        <v>43831</v>
      </c>
      <c r="B114" s="1388">
        <v>299054</v>
      </c>
      <c r="C114" s="1389">
        <v>19308602</v>
      </c>
      <c r="D114" s="1389">
        <v>21</v>
      </c>
      <c r="E114" s="1394">
        <f>B114/D114</f>
        <v>14240.666666666666</v>
      </c>
      <c r="F114" s="1391">
        <f>C114/D114</f>
        <v>919457.23809523811</v>
      </c>
      <c r="G114" s="1395"/>
    </row>
    <row r="115" spans="1:8" s="1387" customFormat="1" ht="16.5" customHeight="1" x14ac:dyDescent="0.3">
      <c r="A115" s="1392">
        <v>43862</v>
      </c>
      <c r="B115" s="1388">
        <v>276438</v>
      </c>
      <c r="C115" s="1389">
        <v>18996340</v>
      </c>
      <c r="D115" s="1389">
        <v>19</v>
      </c>
      <c r="E115" s="1394">
        <v>14549</v>
      </c>
      <c r="F115" s="1391">
        <v>999807</v>
      </c>
      <c r="G115" s="1395"/>
    </row>
    <row r="116" spans="1:8" s="1387" customFormat="1" ht="16.5" customHeight="1" x14ac:dyDescent="0.3">
      <c r="A116" s="1392">
        <v>43891</v>
      </c>
      <c r="B116" s="1388">
        <v>220677</v>
      </c>
      <c r="C116" s="1389">
        <v>15467866</v>
      </c>
      <c r="D116" s="1389">
        <v>20</v>
      </c>
      <c r="E116" s="1394">
        <v>11034</v>
      </c>
      <c r="F116" s="1391">
        <v>773393</v>
      </c>
      <c r="G116" s="1396"/>
      <c r="H116" s="1396"/>
    </row>
    <row r="117" spans="1:8" s="1387" customFormat="1" ht="16.5" customHeight="1" x14ac:dyDescent="0.3">
      <c r="A117" s="1392">
        <v>43922</v>
      </c>
      <c r="B117" s="1388">
        <v>46320</v>
      </c>
      <c r="C117" s="1389">
        <v>4279920</v>
      </c>
      <c r="D117" s="1389">
        <v>22</v>
      </c>
      <c r="E117" s="1394">
        <v>2105</v>
      </c>
      <c r="F117" s="1391">
        <v>194542</v>
      </c>
      <c r="G117" s="1396"/>
      <c r="H117" s="1396"/>
    </row>
    <row r="118" spans="1:8" s="1387" customFormat="1" ht="16.5" customHeight="1" x14ac:dyDescent="0.3">
      <c r="A118" s="1392">
        <v>43952</v>
      </c>
      <c r="B118" s="1388">
        <v>111773</v>
      </c>
      <c r="C118" s="1389">
        <v>8215720</v>
      </c>
      <c r="D118" s="1389">
        <v>20</v>
      </c>
      <c r="E118" s="1394">
        <v>5589</v>
      </c>
      <c r="F118" s="1391">
        <v>410786</v>
      </c>
      <c r="G118" s="1396"/>
      <c r="H118" s="1396"/>
    </row>
    <row r="119" spans="1:8" s="1387" customFormat="1" ht="16.5" customHeight="1" x14ac:dyDescent="0.3">
      <c r="A119" s="1392">
        <v>43983</v>
      </c>
      <c r="B119" s="1388">
        <v>268105</v>
      </c>
      <c r="C119" s="1389">
        <v>18631420.579580002</v>
      </c>
      <c r="D119" s="1389">
        <v>22</v>
      </c>
      <c r="E119" s="1394">
        <v>12187</v>
      </c>
      <c r="F119" s="1391">
        <v>846883</v>
      </c>
      <c r="G119" s="1396"/>
      <c r="H119" s="1396"/>
    </row>
    <row r="120" spans="1:8" s="1387" customFormat="1" ht="16.5" customHeight="1" x14ac:dyDescent="0.3">
      <c r="A120" s="1392">
        <v>44013</v>
      </c>
      <c r="B120" s="1388">
        <v>306880</v>
      </c>
      <c r="C120" s="1397">
        <v>19736919.805229999</v>
      </c>
      <c r="D120" s="1389">
        <v>23</v>
      </c>
      <c r="E120" s="1394">
        <v>13342.608695652174</v>
      </c>
      <c r="F120" s="1391">
        <v>858126.94805347826</v>
      </c>
      <c r="G120" s="1396"/>
      <c r="H120" s="1396"/>
    </row>
    <row r="121" spans="1:8" s="1387" customFormat="1" ht="16.5" customHeight="1" x14ac:dyDescent="0.3">
      <c r="A121" s="1392">
        <v>44044</v>
      </c>
      <c r="B121" s="1388">
        <v>269550</v>
      </c>
      <c r="C121" s="1397">
        <v>18006330.041310001</v>
      </c>
      <c r="D121" s="1389">
        <v>21</v>
      </c>
      <c r="E121" s="1394">
        <v>12835.714285714286</v>
      </c>
      <c r="F121" s="1391">
        <v>857444.2876814286</v>
      </c>
      <c r="G121" s="1396"/>
      <c r="H121" s="1396"/>
    </row>
    <row r="122" spans="1:8" s="1387" customFormat="1" ht="16.5" customHeight="1" x14ac:dyDescent="0.3">
      <c r="A122" s="1392">
        <v>44075</v>
      </c>
      <c r="B122" s="1388">
        <v>299429</v>
      </c>
      <c r="C122" s="1397">
        <v>19189024.049240001</v>
      </c>
      <c r="D122" s="1389">
        <v>22</v>
      </c>
      <c r="E122" s="1394">
        <v>13610.40909090909</v>
      </c>
      <c r="F122" s="1391">
        <v>872228.36587454553</v>
      </c>
      <c r="G122" s="1396"/>
      <c r="H122" s="1396"/>
    </row>
    <row r="123" spans="1:8" s="1387" customFormat="1" ht="16.5" customHeight="1" x14ac:dyDescent="0.3">
      <c r="A123" s="1392">
        <v>44105</v>
      </c>
      <c r="B123" s="1388">
        <v>271994</v>
      </c>
      <c r="C123" s="1397">
        <v>18658872.524130002</v>
      </c>
      <c r="D123" s="1389">
        <v>22</v>
      </c>
      <c r="E123" s="1394">
        <v>12363.363636363636</v>
      </c>
      <c r="F123" s="1391">
        <v>848130.56927863648</v>
      </c>
      <c r="G123" s="1396"/>
      <c r="H123" s="1396"/>
    </row>
    <row r="124" spans="1:8" s="1387" customFormat="1" ht="16.5" customHeight="1" x14ac:dyDescent="0.3">
      <c r="A124" s="1392">
        <v>44136</v>
      </c>
      <c r="B124" s="1388">
        <v>253117</v>
      </c>
      <c r="C124" s="1397">
        <v>18306867.328189999</v>
      </c>
      <c r="D124" s="1389">
        <v>20</v>
      </c>
      <c r="E124" s="1394">
        <v>12655.85</v>
      </c>
      <c r="F124" s="1391">
        <v>915343.3664094999</v>
      </c>
      <c r="G124" s="1396"/>
      <c r="H124" s="1396"/>
    </row>
    <row r="125" spans="1:8" s="1387" customFormat="1" ht="16.5" customHeight="1" x14ac:dyDescent="0.3">
      <c r="A125" s="1392">
        <v>44166</v>
      </c>
      <c r="B125" s="1388">
        <v>307721</v>
      </c>
      <c r="C125" s="1397">
        <f>22509929991.01/1000</f>
        <v>22509929.991009999</v>
      </c>
      <c r="D125" s="1389">
        <v>22</v>
      </c>
      <c r="E125" s="1394">
        <f>B125/D125</f>
        <v>13987.318181818182</v>
      </c>
      <c r="F125" s="1391">
        <f>C125/D125</f>
        <v>1023178.6359549999</v>
      </c>
      <c r="G125" s="1396"/>
      <c r="H125" s="1396"/>
    </row>
    <row r="126" spans="1:8" s="1387" customFormat="1" ht="16.5" customHeight="1" x14ac:dyDescent="0.3">
      <c r="A126" s="1392">
        <v>44197</v>
      </c>
      <c r="B126" s="1388">
        <v>222895</v>
      </c>
      <c r="C126" s="1397">
        <v>13999919</v>
      </c>
      <c r="D126" s="1389">
        <v>19</v>
      </c>
      <c r="E126" s="1394">
        <v>11731</v>
      </c>
      <c r="F126" s="1391">
        <v>736838</v>
      </c>
      <c r="G126" s="1396"/>
      <c r="H126" s="1396"/>
    </row>
    <row r="127" spans="1:8" s="1387" customFormat="1" ht="16.5" customHeight="1" x14ac:dyDescent="0.3">
      <c r="A127" s="1392">
        <v>44228</v>
      </c>
      <c r="B127" s="1388">
        <v>256176</v>
      </c>
      <c r="C127" s="1397">
        <v>17085719</v>
      </c>
      <c r="D127" s="1389">
        <v>18</v>
      </c>
      <c r="E127" s="1394">
        <v>14232</v>
      </c>
      <c r="F127" s="1391">
        <v>949207</v>
      </c>
      <c r="G127" s="1396"/>
      <c r="H127" s="1396"/>
    </row>
    <row r="128" spans="1:8" s="1387" customFormat="1" ht="16.5" customHeight="1" x14ac:dyDescent="0.3">
      <c r="A128" s="1392">
        <v>44256</v>
      </c>
      <c r="B128" s="1388">
        <v>175365</v>
      </c>
      <c r="C128" s="1397">
        <v>11535504</v>
      </c>
      <c r="D128" s="1389">
        <v>21</v>
      </c>
      <c r="E128" s="1394">
        <v>8351</v>
      </c>
      <c r="F128" s="1391">
        <v>549310</v>
      </c>
      <c r="G128" s="1396"/>
      <c r="H128" s="1396"/>
    </row>
    <row r="129" spans="1:10" s="1387" customFormat="1" ht="16.5" customHeight="1" x14ac:dyDescent="0.3">
      <c r="A129" s="1392">
        <v>44287</v>
      </c>
      <c r="B129" s="1388">
        <v>178406</v>
      </c>
      <c r="C129" s="1397">
        <v>11502786</v>
      </c>
      <c r="D129" s="1389">
        <v>20</v>
      </c>
      <c r="E129" s="1394">
        <v>8920</v>
      </c>
      <c r="F129" s="1391">
        <v>575139.30000000005</v>
      </c>
      <c r="G129" s="1396"/>
      <c r="H129" s="1396"/>
    </row>
    <row r="130" spans="1:10" s="1387" customFormat="1" ht="16.5" customHeight="1" x14ac:dyDescent="0.3">
      <c r="A130" s="1392">
        <v>44317</v>
      </c>
      <c r="B130" s="1388">
        <v>249196</v>
      </c>
      <c r="C130" s="1397">
        <v>16571618</v>
      </c>
      <c r="D130" s="1389">
        <v>20</v>
      </c>
      <c r="E130" s="1394">
        <v>12460</v>
      </c>
      <c r="F130" s="1391">
        <v>828581</v>
      </c>
      <c r="G130" s="1396"/>
      <c r="H130" s="1396"/>
    </row>
    <row r="131" spans="1:10" s="1387" customFormat="1" ht="16.5" customHeight="1" x14ac:dyDescent="0.3">
      <c r="A131" s="1392">
        <v>44348</v>
      </c>
      <c r="B131" s="1388">
        <v>284745</v>
      </c>
      <c r="C131" s="1397">
        <v>20089746</v>
      </c>
      <c r="D131" s="1389">
        <v>22</v>
      </c>
      <c r="E131" s="1394">
        <v>12943</v>
      </c>
      <c r="F131" s="1391">
        <v>913170</v>
      </c>
      <c r="G131" s="1396"/>
      <c r="H131" s="1396"/>
      <c r="J131" s="1398"/>
    </row>
    <row r="132" spans="1:10" s="1387" customFormat="1" ht="16.5" customHeight="1" x14ac:dyDescent="0.3">
      <c r="A132" s="1392">
        <v>44378</v>
      </c>
      <c r="B132" s="1388">
        <v>274891</v>
      </c>
      <c r="C132" s="1397">
        <v>18730118</v>
      </c>
      <c r="D132" s="1389">
        <v>22</v>
      </c>
      <c r="E132" s="1394">
        <v>12495</v>
      </c>
      <c r="F132" s="1391">
        <v>851369</v>
      </c>
      <c r="G132" s="1396"/>
      <c r="H132" s="1396"/>
    </row>
    <row r="133" spans="1:10" s="1387" customFormat="1" ht="16.5" customHeight="1" x14ac:dyDescent="0.3">
      <c r="A133" s="1392">
        <v>44409</v>
      </c>
      <c r="B133" s="1397">
        <v>291205</v>
      </c>
      <c r="C133" s="1397">
        <v>19699082</v>
      </c>
      <c r="D133" s="1397">
        <v>22</v>
      </c>
      <c r="E133" s="1394">
        <v>13237</v>
      </c>
      <c r="F133" s="1391">
        <v>895413</v>
      </c>
      <c r="G133" s="1396"/>
      <c r="H133" s="1396"/>
    </row>
    <row r="134" spans="1:10" s="1387" customFormat="1" ht="16.5" customHeight="1" x14ac:dyDescent="0.3">
      <c r="A134" s="1392">
        <v>44440</v>
      </c>
      <c r="B134" s="1397">
        <v>300344</v>
      </c>
      <c r="C134" s="1397">
        <v>19791882</v>
      </c>
      <c r="D134" s="1397">
        <v>22</v>
      </c>
      <c r="E134" s="1394">
        <v>13652</v>
      </c>
      <c r="F134" s="1391">
        <v>899631</v>
      </c>
      <c r="G134" s="1396"/>
      <c r="H134" s="1396"/>
    </row>
    <row r="135" spans="1:10" s="1387" customFormat="1" ht="16.5" customHeight="1" x14ac:dyDescent="0.3">
      <c r="A135" s="1392">
        <v>44470</v>
      </c>
      <c r="B135" s="1397">
        <v>309479</v>
      </c>
      <c r="C135" s="1397">
        <v>20807048</v>
      </c>
      <c r="D135" s="1397">
        <v>21</v>
      </c>
      <c r="E135" s="1394">
        <v>14737</v>
      </c>
      <c r="F135" s="1391">
        <v>990812</v>
      </c>
      <c r="G135" s="1396"/>
      <c r="H135" s="1396"/>
    </row>
    <row r="136" spans="1:10" s="1387" customFormat="1" ht="16.5" customHeight="1" x14ac:dyDescent="0.3">
      <c r="A136" s="1392">
        <v>44501</v>
      </c>
      <c r="B136" s="1397">
        <v>270096</v>
      </c>
      <c r="C136" s="1397">
        <v>20273861</v>
      </c>
      <c r="D136" s="1397">
        <v>19</v>
      </c>
      <c r="E136" s="1394">
        <v>14216</v>
      </c>
      <c r="F136" s="1391">
        <v>1067045</v>
      </c>
      <c r="G136" s="1396"/>
      <c r="H136" s="1396"/>
    </row>
    <row r="137" spans="1:10" s="1387" customFormat="1" ht="16.5" customHeight="1" x14ac:dyDescent="0.3">
      <c r="A137" s="1392">
        <v>44531</v>
      </c>
      <c r="B137" s="1397">
        <v>327455</v>
      </c>
      <c r="C137" s="1397">
        <v>25885152</v>
      </c>
      <c r="D137" s="1397">
        <v>23</v>
      </c>
      <c r="E137" s="1394">
        <v>14237</v>
      </c>
      <c r="F137" s="1391">
        <v>1125441</v>
      </c>
      <c r="G137" s="1396"/>
      <c r="H137" s="1396"/>
    </row>
    <row r="138" spans="1:10" s="1387" customFormat="1" ht="16.5" customHeight="1" x14ac:dyDescent="0.3">
      <c r="A138" s="1392">
        <v>44562</v>
      </c>
      <c r="B138" s="1397">
        <v>223735</v>
      </c>
      <c r="C138" s="1397">
        <v>16110734</v>
      </c>
      <c r="D138" s="1397">
        <v>19</v>
      </c>
      <c r="E138" s="1394">
        <v>11776</v>
      </c>
      <c r="F138" s="1391">
        <v>847933</v>
      </c>
      <c r="G138" s="1396"/>
      <c r="H138" s="1396"/>
    </row>
    <row r="139" spans="1:10" s="1387" customFormat="1" ht="16.5" customHeight="1" x14ac:dyDescent="0.3">
      <c r="A139" s="1392">
        <v>44593</v>
      </c>
      <c r="B139" s="1397">
        <v>233591</v>
      </c>
      <c r="C139" s="1397">
        <v>18526721</v>
      </c>
      <c r="D139" s="1397">
        <v>18</v>
      </c>
      <c r="E139" s="1394">
        <v>12977</v>
      </c>
      <c r="F139" s="1391">
        <v>1029262</v>
      </c>
      <c r="G139" s="1396"/>
      <c r="H139" s="1396"/>
    </row>
    <row r="140" spans="1:10" s="1387" customFormat="1" ht="16.5" customHeight="1" x14ac:dyDescent="0.3">
      <c r="A140" s="1392">
        <v>44621</v>
      </c>
      <c r="B140" s="1397">
        <v>299281</v>
      </c>
      <c r="C140" s="1397">
        <v>21625760</v>
      </c>
      <c r="D140" s="1397">
        <v>22</v>
      </c>
      <c r="E140" s="1394">
        <v>13604</v>
      </c>
      <c r="F140" s="1391">
        <v>982989</v>
      </c>
      <c r="G140" s="1396"/>
      <c r="H140" s="1396"/>
    </row>
    <row r="141" spans="1:10" s="1387" customFormat="1" ht="16.5" customHeight="1" x14ac:dyDescent="0.3">
      <c r="A141" s="1392">
        <v>44652</v>
      </c>
      <c r="B141" s="1397">
        <v>264246</v>
      </c>
      <c r="C141" s="1397">
        <v>21158222</v>
      </c>
      <c r="D141" s="1397">
        <v>21</v>
      </c>
      <c r="E141" s="1394">
        <v>12583</v>
      </c>
      <c r="F141" s="1391">
        <v>1007534</v>
      </c>
      <c r="G141" s="1396"/>
      <c r="H141" s="1396"/>
    </row>
    <row r="142" spans="1:10" s="1387" customFormat="1" ht="16.5" customHeight="1" x14ac:dyDescent="0.3">
      <c r="A142" s="1392">
        <v>44682</v>
      </c>
      <c r="B142" s="1397">
        <v>291696</v>
      </c>
      <c r="C142" s="1397">
        <v>21643938</v>
      </c>
      <c r="D142" s="1397">
        <v>21</v>
      </c>
      <c r="E142" s="1394">
        <v>13890</v>
      </c>
      <c r="F142" s="1391">
        <v>1030664</v>
      </c>
      <c r="G142" s="1396"/>
      <c r="H142" s="1396"/>
    </row>
    <row r="143" spans="1:10" s="1387" customFormat="1" ht="16.5" customHeight="1" x14ac:dyDescent="0.3">
      <c r="A143" s="1392">
        <v>44713</v>
      </c>
      <c r="B143" s="1397">
        <v>302699</v>
      </c>
      <c r="C143" s="1397">
        <v>24810536</v>
      </c>
      <c r="D143" s="1397">
        <v>22</v>
      </c>
      <c r="E143" s="1394">
        <v>13759</v>
      </c>
      <c r="F143" s="1391">
        <v>1127752</v>
      </c>
      <c r="G143" s="1396"/>
      <c r="H143" s="1396"/>
    </row>
    <row r="144" spans="1:10" s="1387" customFormat="1" ht="16.5" customHeight="1" x14ac:dyDescent="0.3">
      <c r="A144" s="1392">
        <v>44743</v>
      </c>
      <c r="B144" s="1397">
        <v>288613</v>
      </c>
      <c r="C144" s="1397">
        <v>22395663</v>
      </c>
      <c r="D144" s="1397">
        <v>21</v>
      </c>
      <c r="E144" s="1394">
        <v>13743</v>
      </c>
      <c r="F144" s="1391">
        <v>1066460</v>
      </c>
      <c r="G144" s="1396"/>
      <c r="H144" s="1396"/>
    </row>
    <row r="145" spans="1:8" s="1387" customFormat="1" ht="16.5" customHeight="1" x14ac:dyDescent="0.3">
      <c r="A145" s="1392">
        <v>44774</v>
      </c>
      <c r="B145" s="1397">
        <v>298033</v>
      </c>
      <c r="C145" s="1397">
        <v>22241867</v>
      </c>
      <c r="D145" s="1397">
        <v>22</v>
      </c>
      <c r="E145" s="1394">
        <v>13547</v>
      </c>
      <c r="F145" s="1391">
        <v>1010994</v>
      </c>
      <c r="G145" s="1396"/>
      <c r="H145" s="1396"/>
    </row>
    <row r="146" spans="1:8" s="1387" customFormat="1" ht="16.5" customHeight="1" x14ac:dyDescent="0.3">
      <c r="A146" s="1392">
        <v>44805</v>
      </c>
      <c r="B146" s="1397">
        <v>304669</v>
      </c>
      <c r="C146" s="1397">
        <v>21366648</v>
      </c>
      <c r="D146" s="1397">
        <v>21</v>
      </c>
      <c r="E146" s="1394">
        <v>14508</v>
      </c>
      <c r="F146" s="1391">
        <v>1017459</v>
      </c>
      <c r="G146" s="1396"/>
      <c r="H146" s="1396"/>
    </row>
    <row r="147" spans="1:8" s="1387" customFormat="1" ht="16.5" customHeight="1" x14ac:dyDescent="0.3">
      <c r="A147" s="1392">
        <v>44835</v>
      </c>
      <c r="B147" s="1397">
        <v>312761</v>
      </c>
      <c r="C147" s="1397">
        <v>22711754</v>
      </c>
      <c r="D147" s="1397">
        <v>20</v>
      </c>
      <c r="E147" s="1394">
        <v>15638</v>
      </c>
      <c r="F147" s="1391">
        <v>1135588</v>
      </c>
      <c r="G147" s="1396"/>
      <c r="H147" s="1396"/>
    </row>
    <row r="148" spans="1:8" s="1387" customFormat="1" ht="16.5" customHeight="1" x14ac:dyDescent="0.3">
      <c r="A148" s="1392">
        <v>44866</v>
      </c>
      <c r="B148" s="1397">
        <v>285368</v>
      </c>
      <c r="C148" s="1397">
        <v>23449497</v>
      </c>
      <c r="D148" s="1397">
        <v>21</v>
      </c>
      <c r="E148" s="1394">
        <v>13589</v>
      </c>
      <c r="F148" s="1391">
        <v>1116643</v>
      </c>
      <c r="G148" s="1396"/>
      <c r="H148" s="1396"/>
    </row>
    <row r="149" spans="1:8" s="1387" customFormat="1" ht="16.5" customHeight="1" x14ac:dyDescent="0.3">
      <c r="A149" s="1392">
        <v>44896</v>
      </c>
      <c r="B149" s="1397">
        <v>320185</v>
      </c>
      <c r="C149" s="1397">
        <v>25451786</v>
      </c>
      <c r="D149" s="1397">
        <v>22</v>
      </c>
      <c r="E149" s="1394">
        <v>14554</v>
      </c>
      <c r="F149" s="1391">
        <v>1156899</v>
      </c>
      <c r="G149" s="1396"/>
      <c r="H149" s="1396"/>
    </row>
    <row r="150" spans="1:8" s="1387" customFormat="1" ht="16.5" customHeight="1" x14ac:dyDescent="0.3">
      <c r="A150" s="1392">
        <v>44927</v>
      </c>
      <c r="B150" s="1397">
        <v>226586</v>
      </c>
      <c r="C150" s="1397">
        <v>17392249</v>
      </c>
      <c r="D150" s="1397">
        <v>19</v>
      </c>
      <c r="E150" s="1394">
        <v>11926</v>
      </c>
      <c r="F150" s="1391">
        <v>915382</v>
      </c>
      <c r="G150" s="1396"/>
      <c r="H150" s="1396"/>
    </row>
    <row r="151" spans="1:8" s="1387" customFormat="1" ht="16.5" customHeight="1" x14ac:dyDescent="0.3">
      <c r="A151" s="1392">
        <v>44958</v>
      </c>
      <c r="B151" s="1397">
        <v>236054</v>
      </c>
      <c r="C151" s="1397">
        <v>19097184</v>
      </c>
      <c r="D151" s="1397">
        <v>18</v>
      </c>
      <c r="E151" s="1394">
        <v>13114</v>
      </c>
      <c r="F151" s="1391">
        <v>1060955</v>
      </c>
      <c r="G151" s="1396"/>
      <c r="H151" s="1396"/>
    </row>
    <row r="152" spans="1:8" s="1387" customFormat="1" ht="16.5" customHeight="1" x14ac:dyDescent="0.3">
      <c r="A152" s="1392">
        <v>44986</v>
      </c>
      <c r="B152" s="1397">
        <v>288723</v>
      </c>
      <c r="C152" s="1397">
        <v>21963284</v>
      </c>
      <c r="D152" s="1397">
        <v>22</v>
      </c>
      <c r="E152" s="1394">
        <v>13124</v>
      </c>
      <c r="F152" s="1391">
        <v>998331</v>
      </c>
      <c r="G152" s="1396"/>
      <c r="H152" s="1396"/>
    </row>
    <row r="153" spans="1:8" s="1387" customFormat="1" ht="16.5" customHeight="1" x14ac:dyDescent="0.3">
      <c r="A153" s="1392">
        <v>45017</v>
      </c>
      <c r="B153" s="1397">
        <v>244629</v>
      </c>
      <c r="C153" s="1397">
        <v>18763030</v>
      </c>
      <c r="D153" s="1397">
        <v>20</v>
      </c>
      <c r="E153" s="1394">
        <v>12231</v>
      </c>
      <c r="F153" s="1391">
        <v>938152</v>
      </c>
      <c r="G153" s="1396"/>
      <c r="H153" s="1396"/>
    </row>
    <row r="154" spans="1:8" s="1387" customFormat="1" ht="16.5" customHeight="1" x14ac:dyDescent="0.3">
      <c r="A154" s="1392">
        <v>45047</v>
      </c>
      <c r="B154" s="1397">
        <v>289928</v>
      </c>
      <c r="C154" s="1397">
        <v>22565363</v>
      </c>
      <c r="D154" s="1397">
        <v>22</v>
      </c>
      <c r="E154" s="1394">
        <v>13179</v>
      </c>
      <c r="F154" s="1391">
        <v>1025698</v>
      </c>
      <c r="G154" s="1396"/>
      <c r="H154" s="1396"/>
    </row>
    <row r="155" spans="1:8" s="1387" customFormat="1" ht="16.5" customHeight="1" x14ac:dyDescent="0.3">
      <c r="A155" s="1392">
        <v>45078</v>
      </c>
      <c r="B155" s="1397">
        <v>289936</v>
      </c>
      <c r="C155" s="1397">
        <v>23349507</v>
      </c>
      <c r="D155" s="1397">
        <v>22</v>
      </c>
      <c r="E155" s="1394">
        <v>13179</v>
      </c>
      <c r="F155" s="1391">
        <v>1061341</v>
      </c>
      <c r="G155" s="1396"/>
      <c r="H155" s="1396"/>
    </row>
    <row r="156" spans="1:8" s="1387" customFormat="1" ht="16.5" customHeight="1" x14ac:dyDescent="0.3">
      <c r="A156" s="1392">
        <v>45108</v>
      </c>
      <c r="B156" s="1397">
        <v>274770</v>
      </c>
      <c r="C156" s="1397">
        <v>22245795</v>
      </c>
      <c r="D156" s="1397">
        <v>21</v>
      </c>
      <c r="E156" s="1394">
        <v>13084</v>
      </c>
      <c r="F156" s="1391">
        <v>1059324</v>
      </c>
      <c r="G156" s="1396"/>
      <c r="H156" s="1396"/>
    </row>
    <row r="157" spans="1:8" s="1387" customFormat="1" ht="16.5" customHeight="1" x14ac:dyDescent="0.3">
      <c r="A157" s="1392">
        <v>45139</v>
      </c>
      <c r="B157" s="1397">
        <v>296724</v>
      </c>
      <c r="C157" s="1397">
        <v>22665049</v>
      </c>
      <c r="D157" s="1397">
        <v>23</v>
      </c>
      <c r="E157" s="1394">
        <v>12901</v>
      </c>
      <c r="F157" s="1391">
        <v>985437</v>
      </c>
      <c r="G157" s="1396"/>
      <c r="H157" s="1396"/>
    </row>
    <row r="158" spans="1:8" s="1387" customFormat="1" ht="16.5" customHeight="1" thickBot="1" x14ac:dyDescent="0.35">
      <c r="A158" s="1399">
        <v>45170</v>
      </c>
      <c r="B158" s="1400">
        <v>280763</v>
      </c>
      <c r="C158" s="1401">
        <v>20843424</v>
      </c>
      <c r="D158" s="1401">
        <v>20</v>
      </c>
      <c r="E158" s="1402">
        <v>14038</v>
      </c>
      <c r="F158" s="1403">
        <v>1042171</v>
      </c>
      <c r="G158" s="1396"/>
      <c r="H158" s="1396"/>
    </row>
    <row r="159" spans="1:8" x14ac:dyDescent="0.3">
      <c r="A159" s="1404" t="s">
        <v>998</v>
      </c>
      <c r="B159" s="1405"/>
      <c r="C159" s="1405"/>
    </row>
    <row r="160" spans="1:8" ht="17.25" x14ac:dyDescent="0.3">
      <c r="D160" s="1406"/>
      <c r="E160" s="1406"/>
      <c r="F160" s="1407"/>
      <c r="G160" s="1407"/>
    </row>
    <row r="164" spans="5:5" x14ac:dyDescent="0.3">
      <c r="E164" s="1366" t="s">
        <v>306</v>
      </c>
    </row>
    <row r="166" spans="5:5" x14ac:dyDescent="0.3">
      <c r="E166" s="1408"/>
    </row>
  </sheetData>
  <printOptions horizontalCentered="1"/>
  <pageMargins left="0.75" right="0.75" top="0.75" bottom="0.75" header="0.3" footer="0"/>
  <pageSetup paperSize="9" scale="8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162"/>
  <sheetViews>
    <sheetView zoomScaleNormal="100" zoomScaleSheetLayoutView="100" workbookViewId="0">
      <pane xSplit="1" ySplit="77" topLeftCell="B153" activePane="bottomRight" state="frozen"/>
      <selection activeCell="A38" sqref="A38"/>
      <selection pane="topRight" activeCell="A38" sqref="A38"/>
      <selection pane="bottomLeft" activeCell="A38" sqref="A38"/>
      <selection pane="bottomRight" activeCell="A38" sqref="A38"/>
    </sheetView>
  </sheetViews>
  <sheetFormatPr defaultRowHeight="16.5" x14ac:dyDescent="0.3"/>
  <cols>
    <col min="1" max="1" width="14.7109375" style="1415" customWidth="1"/>
    <col min="2" max="2" width="17.140625" style="1415" customWidth="1"/>
    <col min="3" max="3" width="15" style="1415" customWidth="1"/>
    <col min="4" max="4" width="12.28515625" style="1415" bestFit="1" customWidth="1"/>
    <col min="5" max="5" width="14.140625" style="1415" bestFit="1" customWidth="1"/>
    <col min="6" max="6" width="17.42578125" style="1415" customWidth="1"/>
    <col min="7" max="7" width="8.42578125" style="1415" customWidth="1"/>
    <col min="8" max="256" width="9.140625" style="1415"/>
    <col min="257" max="257" width="14.7109375" style="1415" customWidth="1"/>
    <col min="258" max="258" width="17.140625" style="1415" customWidth="1"/>
    <col min="259" max="259" width="15" style="1415" customWidth="1"/>
    <col min="260" max="260" width="12.28515625" style="1415" bestFit="1" customWidth="1"/>
    <col min="261" max="261" width="14.140625" style="1415" bestFit="1" customWidth="1"/>
    <col min="262" max="262" width="17.42578125" style="1415" customWidth="1"/>
    <col min="263" max="263" width="8.42578125" style="1415" customWidth="1"/>
    <col min="264" max="512" width="9.140625" style="1415"/>
    <col min="513" max="513" width="14.7109375" style="1415" customWidth="1"/>
    <col min="514" max="514" width="17.140625" style="1415" customWidth="1"/>
    <col min="515" max="515" width="15" style="1415" customWidth="1"/>
    <col min="516" max="516" width="12.28515625" style="1415" bestFit="1" customWidth="1"/>
    <col min="517" max="517" width="14.140625" style="1415" bestFit="1" customWidth="1"/>
    <col min="518" max="518" width="17.42578125" style="1415" customWidth="1"/>
    <col min="519" max="519" width="8.42578125" style="1415" customWidth="1"/>
    <col min="520" max="768" width="9.140625" style="1415"/>
    <col min="769" max="769" width="14.7109375" style="1415" customWidth="1"/>
    <col min="770" max="770" width="17.140625" style="1415" customWidth="1"/>
    <col min="771" max="771" width="15" style="1415" customWidth="1"/>
    <col min="772" max="772" width="12.28515625" style="1415" bestFit="1" customWidth="1"/>
    <col min="773" max="773" width="14.140625" style="1415" bestFit="1" customWidth="1"/>
    <col min="774" max="774" width="17.42578125" style="1415" customWidth="1"/>
    <col min="775" max="775" width="8.42578125" style="1415" customWidth="1"/>
    <col min="776" max="1024" width="9.140625" style="1415"/>
    <col min="1025" max="1025" width="14.7109375" style="1415" customWidth="1"/>
    <col min="1026" max="1026" width="17.140625" style="1415" customWidth="1"/>
    <col min="1027" max="1027" width="15" style="1415" customWidth="1"/>
    <col min="1028" max="1028" width="12.28515625" style="1415" bestFit="1" customWidth="1"/>
    <col min="1029" max="1029" width="14.140625" style="1415" bestFit="1" customWidth="1"/>
    <col min="1030" max="1030" width="17.42578125" style="1415" customWidth="1"/>
    <col min="1031" max="1031" width="8.42578125" style="1415" customWidth="1"/>
    <col min="1032" max="1280" width="9.140625" style="1415"/>
    <col min="1281" max="1281" width="14.7109375" style="1415" customWidth="1"/>
    <col min="1282" max="1282" width="17.140625" style="1415" customWidth="1"/>
    <col min="1283" max="1283" width="15" style="1415" customWidth="1"/>
    <col min="1284" max="1284" width="12.28515625" style="1415" bestFit="1" customWidth="1"/>
    <col min="1285" max="1285" width="14.140625" style="1415" bestFit="1" customWidth="1"/>
    <col min="1286" max="1286" width="17.42578125" style="1415" customWidth="1"/>
    <col min="1287" max="1287" width="8.42578125" style="1415" customWidth="1"/>
    <col min="1288" max="1536" width="9.140625" style="1415"/>
    <col min="1537" max="1537" width="14.7109375" style="1415" customWidth="1"/>
    <col min="1538" max="1538" width="17.140625" style="1415" customWidth="1"/>
    <col min="1539" max="1539" width="15" style="1415" customWidth="1"/>
    <col min="1540" max="1540" width="12.28515625" style="1415" bestFit="1" customWidth="1"/>
    <col min="1541" max="1541" width="14.140625" style="1415" bestFit="1" customWidth="1"/>
    <col min="1542" max="1542" width="17.42578125" style="1415" customWidth="1"/>
    <col min="1543" max="1543" width="8.42578125" style="1415" customWidth="1"/>
    <col min="1544" max="1792" width="9.140625" style="1415"/>
    <col min="1793" max="1793" width="14.7109375" style="1415" customWidth="1"/>
    <col min="1794" max="1794" width="17.140625" style="1415" customWidth="1"/>
    <col min="1795" max="1795" width="15" style="1415" customWidth="1"/>
    <col min="1796" max="1796" width="12.28515625" style="1415" bestFit="1" customWidth="1"/>
    <col min="1797" max="1797" width="14.140625" style="1415" bestFit="1" customWidth="1"/>
    <col min="1798" max="1798" width="17.42578125" style="1415" customWidth="1"/>
    <col min="1799" max="1799" width="8.42578125" style="1415" customWidth="1"/>
    <col min="1800" max="2048" width="9.140625" style="1415"/>
    <col min="2049" max="2049" width="14.7109375" style="1415" customWidth="1"/>
    <col min="2050" max="2050" width="17.140625" style="1415" customWidth="1"/>
    <col min="2051" max="2051" width="15" style="1415" customWidth="1"/>
    <col min="2052" max="2052" width="12.28515625" style="1415" bestFit="1" customWidth="1"/>
    <col min="2053" max="2053" width="14.140625" style="1415" bestFit="1" customWidth="1"/>
    <col min="2054" max="2054" width="17.42578125" style="1415" customWidth="1"/>
    <col min="2055" max="2055" width="8.42578125" style="1415" customWidth="1"/>
    <col min="2056" max="2304" width="9.140625" style="1415"/>
    <col min="2305" max="2305" width="14.7109375" style="1415" customWidth="1"/>
    <col min="2306" max="2306" width="17.140625" style="1415" customWidth="1"/>
    <col min="2307" max="2307" width="15" style="1415" customWidth="1"/>
    <col min="2308" max="2308" width="12.28515625" style="1415" bestFit="1" customWidth="1"/>
    <col min="2309" max="2309" width="14.140625" style="1415" bestFit="1" customWidth="1"/>
    <col min="2310" max="2310" width="17.42578125" style="1415" customWidth="1"/>
    <col min="2311" max="2311" width="8.42578125" style="1415" customWidth="1"/>
    <col min="2312" max="2560" width="9.140625" style="1415"/>
    <col min="2561" max="2561" width="14.7109375" style="1415" customWidth="1"/>
    <col min="2562" max="2562" width="17.140625" style="1415" customWidth="1"/>
    <col min="2563" max="2563" width="15" style="1415" customWidth="1"/>
    <col min="2564" max="2564" width="12.28515625" style="1415" bestFit="1" customWidth="1"/>
    <col min="2565" max="2565" width="14.140625" style="1415" bestFit="1" customWidth="1"/>
    <col min="2566" max="2566" width="17.42578125" style="1415" customWidth="1"/>
    <col min="2567" max="2567" width="8.42578125" style="1415" customWidth="1"/>
    <col min="2568" max="2816" width="9.140625" style="1415"/>
    <col min="2817" max="2817" width="14.7109375" style="1415" customWidth="1"/>
    <col min="2818" max="2818" width="17.140625" style="1415" customWidth="1"/>
    <col min="2819" max="2819" width="15" style="1415" customWidth="1"/>
    <col min="2820" max="2820" width="12.28515625" style="1415" bestFit="1" customWidth="1"/>
    <col min="2821" max="2821" width="14.140625" style="1415" bestFit="1" customWidth="1"/>
    <col min="2822" max="2822" width="17.42578125" style="1415" customWidth="1"/>
    <col min="2823" max="2823" width="8.42578125" style="1415" customWidth="1"/>
    <col min="2824" max="3072" width="9.140625" style="1415"/>
    <col min="3073" max="3073" width="14.7109375" style="1415" customWidth="1"/>
    <col min="3074" max="3074" width="17.140625" style="1415" customWidth="1"/>
    <col min="3075" max="3075" width="15" style="1415" customWidth="1"/>
    <col min="3076" max="3076" width="12.28515625" style="1415" bestFit="1" customWidth="1"/>
    <col min="3077" max="3077" width="14.140625" style="1415" bestFit="1" customWidth="1"/>
    <col min="3078" max="3078" width="17.42578125" style="1415" customWidth="1"/>
    <col min="3079" max="3079" width="8.42578125" style="1415" customWidth="1"/>
    <col min="3080" max="3328" width="9.140625" style="1415"/>
    <col min="3329" max="3329" width="14.7109375" style="1415" customWidth="1"/>
    <col min="3330" max="3330" width="17.140625" style="1415" customWidth="1"/>
    <col min="3331" max="3331" width="15" style="1415" customWidth="1"/>
    <col min="3332" max="3332" width="12.28515625" style="1415" bestFit="1" customWidth="1"/>
    <col min="3333" max="3333" width="14.140625" style="1415" bestFit="1" customWidth="1"/>
    <col min="3334" max="3334" width="17.42578125" style="1415" customWidth="1"/>
    <col min="3335" max="3335" width="8.42578125" style="1415" customWidth="1"/>
    <col min="3336" max="3584" width="9.140625" style="1415"/>
    <col min="3585" max="3585" width="14.7109375" style="1415" customWidth="1"/>
    <col min="3586" max="3586" width="17.140625" style="1415" customWidth="1"/>
    <col min="3587" max="3587" width="15" style="1415" customWidth="1"/>
    <col min="3588" max="3588" width="12.28515625" style="1415" bestFit="1" customWidth="1"/>
    <col min="3589" max="3589" width="14.140625" style="1415" bestFit="1" customWidth="1"/>
    <col min="3590" max="3590" width="17.42578125" style="1415" customWidth="1"/>
    <col min="3591" max="3591" width="8.42578125" style="1415" customWidth="1"/>
    <col min="3592" max="3840" width="9.140625" style="1415"/>
    <col min="3841" max="3841" width="14.7109375" style="1415" customWidth="1"/>
    <col min="3842" max="3842" width="17.140625" style="1415" customWidth="1"/>
    <col min="3843" max="3843" width="15" style="1415" customWidth="1"/>
    <col min="3844" max="3844" width="12.28515625" style="1415" bestFit="1" customWidth="1"/>
    <col min="3845" max="3845" width="14.140625" style="1415" bestFit="1" customWidth="1"/>
    <col min="3846" max="3846" width="17.42578125" style="1415" customWidth="1"/>
    <col min="3847" max="3847" width="8.42578125" style="1415" customWidth="1"/>
    <col min="3848" max="4096" width="9.140625" style="1415"/>
    <col min="4097" max="4097" width="14.7109375" style="1415" customWidth="1"/>
    <col min="4098" max="4098" width="17.140625" style="1415" customWidth="1"/>
    <col min="4099" max="4099" width="15" style="1415" customWidth="1"/>
    <col min="4100" max="4100" width="12.28515625" style="1415" bestFit="1" customWidth="1"/>
    <col min="4101" max="4101" width="14.140625" style="1415" bestFit="1" customWidth="1"/>
    <col min="4102" max="4102" width="17.42578125" style="1415" customWidth="1"/>
    <col min="4103" max="4103" width="8.42578125" style="1415" customWidth="1"/>
    <col min="4104" max="4352" width="9.140625" style="1415"/>
    <col min="4353" max="4353" width="14.7109375" style="1415" customWidth="1"/>
    <col min="4354" max="4354" width="17.140625" style="1415" customWidth="1"/>
    <col min="4355" max="4355" width="15" style="1415" customWidth="1"/>
    <col min="4356" max="4356" width="12.28515625" style="1415" bestFit="1" customWidth="1"/>
    <col min="4357" max="4357" width="14.140625" style="1415" bestFit="1" customWidth="1"/>
    <col min="4358" max="4358" width="17.42578125" style="1415" customWidth="1"/>
    <col min="4359" max="4359" width="8.42578125" style="1415" customWidth="1"/>
    <col min="4360" max="4608" width="9.140625" style="1415"/>
    <col min="4609" max="4609" width="14.7109375" style="1415" customWidth="1"/>
    <col min="4610" max="4610" width="17.140625" style="1415" customWidth="1"/>
    <col min="4611" max="4611" width="15" style="1415" customWidth="1"/>
    <col min="4612" max="4612" width="12.28515625" style="1415" bestFit="1" customWidth="1"/>
    <col min="4613" max="4613" width="14.140625" style="1415" bestFit="1" customWidth="1"/>
    <col min="4614" max="4614" width="17.42578125" style="1415" customWidth="1"/>
    <col min="4615" max="4615" width="8.42578125" style="1415" customWidth="1"/>
    <col min="4616" max="4864" width="9.140625" style="1415"/>
    <col min="4865" max="4865" width="14.7109375" style="1415" customWidth="1"/>
    <col min="4866" max="4866" width="17.140625" style="1415" customWidth="1"/>
    <col min="4867" max="4867" width="15" style="1415" customWidth="1"/>
    <col min="4868" max="4868" width="12.28515625" style="1415" bestFit="1" customWidth="1"/>
    <col min="4869" max="4869" width="14.140625" style="1415" bestFit="1" customWidth="1"/>
    <col min="4870" max="4870" width="17.42578125" style="1415" customWidth="1"/>
    <col min="4871" max="4871" width="8.42578125" style="1415" customWidth="1"/>
    <col min="4872" max="5120" width="9.140625" style="1415"/>
    <col min="5121" max="5121" width="14.7109375" style="1415" customWidth="1"/>
    <col min="5122" max="5122" width="17.140625" style="1415" customWidth="1"/>
    <col min="5123" max="5123" width="15" style="1415" customWidth="1"/>
    <col min="5124" max="5124" width="12.28515625" style="1415" bestFit="1" customWidth="1"/>
    <col min="5125" max="5125" width="14.140625" style="1415" bestFit="1" customWidth="1"/>
    <col min="5126" max="5126" width="17.42578125" style="1415" customWidth="1"/>
    <col min="5127" max="5127" width="8.42578125" style="1415" customWidth="1"/>
    <col min="5128" max="5376" width="9.140625" style="1415"/>
    <col min="5377" max="5377" width="14.7109375" style="1415" customWidth="1"/>
    <col min="5378" max="5378" width="17.140625" style="1415" customWidth="1"/>
    <col min="5379" max="5379" width="15" style="1415" customWidth="1"/>
    <col min="5380" max="5380" width="12.28515625" style="1415" bestFit="1" customWidth="1"/>
    <col min="5381" max="5381" width="14.140625" style="1415" bestFit="1" customWidth="1"/>
    <col min="5382" max="5382" width="17.42578125" style="1415" customWidth="1"/>
    <col min="5383" max="5383" width="8.42578125" style="1415" customWidth="1"/>
    <col min="5384" max="5632" width="9.140625" style="1415"/>
    <col min="5633" max="5633" width="14.7109375" style="1415" customWidth="1"/>
    <col min="5634" max="5634" width="17.140625" style="1415" customWidth="1"/>
    <col min="5635" max="5635" width="15" style="1415" customWidth="1"/>
    <col min="5636" max="5636" width="12.28515625" style="1415" bestFit="1" customWidth="1"/>
    <col min="5637" max="5637" width="14.140625" style="1415" bestFit="1" customWidth="1"/>
    <col min="5638" max="5638" width="17.42578125" style="1415" customWidth="1"/>
    <col min="5639" max="5639" width="8.42578125" style="1415" customWidth="1"/>
    <col min="5640" max="5888" width="9.140625" style="1415"/>
    <col min="5889" max="5889" width="14.7109375" style="1415" customWidth="1"/>
    <col min="5890" max="5890" width="17.140625" style="1415" customWidth="1"/>
    <col min="5891" max="5891" width="15" style="1415" customWidth="1"/>
    <col min="5892" max="5892" width="12.28515625" style="1415" bestFit="1" customWidth="1"/>
    <col min="5893" max="5893" width="14.140625" style="1415" bestFit="1" customWidth="1"/>
    <col min="5894" max="5894" width="17.42578125" style="1415" customWidth="1"/>
    <col min="5895" max="5895" width="8.42578125" style="1415" customWidth="1"/>
    <col min="5896" max="6144" width="9.140625" style="1415"/>
    <col min="6145" max="6145" width="14.7109375" style="1415" customWidth="1"/>
    <col min="6146" max="6146" width="17.140625" style="1415" customWidth="1"/>
    <col min="6147" max="6147" width="15" style="1415" customWidth="1"/>
    <col min="6148" max="6148" width="12.28515625" style="1415" bestFit="1" customWidth="1"/>
    <col min="6149" max="6149" width="14.140625" style="1415" bestFit="1" customWidth="1"/>
    <col min="6150" max="6150" width="17.42578125" style="1415" customWidth="1"/>
    <col min="6151" max="6151" width="8.42578125" style="1415" customWidth="1"/>
    <col min="6152" max="6400" width="9.140625" style="1415"/>
    <col min="6401" max="6401" width="14.7109375" style="1415" customWidth="1"/>
    <col min="6402" max="6402" width="17.140625" style="1415" customWidth="1"/>
    <col min="6403" max="6403" width="15" style="1415" customWidth="1"/>
    <col min="6404" max="6404" width="12.28515625" style="1415" bestFit="1" customWidth="1"/>
    <col min="6405" max="6405" width="14.140625" style="1415" bestFit="1" customWidth="1"/>
    <col min="6406" max="6406" width="17.42578125" style="1415" customWidth="1"/>
    <col min="6407" max="6407" width="8.42578125" style="1415" customWidth="1"/>
    <col min="6408" max="6656" width="9.140625" style="1415"/>
    <col min="6657" max="6657" width="14.7109375" style="1415" customWidth="1"/>
    <col min="6658" max="6658" width="17.140625" style="1415" customWidth="1"/>
    <col min="6659" max="6659" width="15" style="1415" customWidth="1"/>
    <col min="6660" max="6660" width="12.28515625" style="1415" bestFit="1" customWidth="1"/>
    <col min="6661" max="6661" width="14.140625" style="1415" bestFit="1" customWidth="1"/>
    <col min="6662" max="6662" width="17.42578125" style="1415" customWidth="1"/>
    <col min="6663" max="6663" width="8.42578125" style="1415" customWidth="1"/>
    <col min="6664" max="6912" width="9.140625" style="1415"/>
    <col min="6913" max="6913" width="14.7109375" style="1415" customWidth="1"/>
    <col min="6914" max="6914" width="17.140625" style="1415" customWidth="1"/>
    <col min="6915" max="6915" width="15" style="1415" customWidth="1"/>
    <col min="6916" max="6916" width="12.28515625" style="1415" bestFit="1" customWidth="1"/>
    <col min="6917" max="6917" width="14.140625" style="1415" bestFit="1" customWidth="1"/>
    <col min="6918" max="6918" width="17.42578125" style="1415" customWidth="1"/>
    <col min="6919" max="6919" width="8.42578125" style="1415" customWidth="1"/>
    <col min="6920" max="7168" width="9.140625" style="1415"/>
    <col min="7169" max="7169" width="14.7109375" style="1415" customWidth="1"/>
    <col min="7170" max="7170" width="17.140625" style="1415" customWidth="1"/>
    <col min="7171" max="7171" width="15" style="1415" customWidth="1"/>
    <col min="7172" max="7172" width="12.28515625" style="1415" bestFit="1" customWidth="1"/>
    <col min="7173" max="7173" width="14.140625" style="1415" bestFit="1" customWidth="1"/>
    <col min="7174" max="7174" width="17.42578125" style="1415" customWidth="1"/>
    <col min="7175" max="7175" width="8.42578125" style="1415" customWidth="1"/>
    <col min="7176" max="7424" width="9.140625" style="1415"/>
    <col min="7425" max="7425" width="14.7109375" style="1415" customWidth="1"/>
    <col min="7426" max="7426" width="17.140625" style="1415" customWidth="1"/>
    <col min="7427" max="7427" width="15" style="1415" customWidth="1"/>
    <col min="7428" max="7428" width="12.28515625" style="1415" bestFit="1" customWidth="1"/>
    <col min="7429" max="7429" width="14.140625" style="1415" bestFit="1" customWidth="1"/>
    <col min="7430" max="7430" width="17.42578125" style="1415" customWidth="1"/>
    <col min="7431" max="7431" width="8.42578125" style="1415" customWidth="1"/>
    <col min="7432" max="7680" width="9.140625" style="1415"/>
    <col min="7681" max="7681" width="14.7109375" style="1415" customWidth="1"/>
    <col min="7682" max="7682" width="17.140625" style="1415" customWidth="1"/>
    <col min="7683" max="7683" width="15" style="1415" customWidth="1"/>
    <col min="7684" max="7684" width="12.28515625" style="1415" bestFit="1" customWidth="1"/>
    <col min="7685" max="7685" width="14.140625" style="1415" bestFit="1" customWidth="1"/>
    <col min="7686" max="7686" width="17.42578125" style="1415" customWidth="1"/>
    <col min="7687" max="7687" width="8.42578125" style="1415" customWidth="1"/>
    <col min="7688" max="7936" width="9.140625" style="1415"/>
    <col min="7937" max="7937" width="14.7109375" style="1415" customWidth="1"/>
    <col min="7938" max="7938" width="17.140625" style="1415" customWidth="1"/>
    <col min="7939" max="7939" width="15" style="1415" customWidth="1"/>
    <col min="7940" max="7940" width="12.28515625" style="1415" bestFit="1" customWidth="1"/>
    <col min="7941" max="7941" width="14.140625" style="1415" bestFit="1" customWidth="1"/>
    <col min="7942" max="7942" width="17.42578125" style="1415" customWidth="1"/>
    <col min="7943" max="7943" width="8.42578125" style="1415" customWidth="1"/>
    <col min="7944" max="8192" width="9.140625" style="1415"/>
    <col min="8193" max="8193" width="14.7109375" style="1415" customWidth="1"/>
    <col min="8194" max="8194" width="17.140625" style="1415" customWidth="1"/>
    <col min="8195" max="8195" width="15" style="1415" customWidth="1"/>
    <col min="8196" max="8196" width="12.28515625" style="1415" bestFit="1" customWidth="1"/>
    <col min="8197" max="8197" width="14.140625" style="1415" bestFit="1" customWidth="1"/>
    <col min="8198" max="8198" width="17.42578125" style="1415" customWidth="1"/>
    <col min="8199" max="8199" width="8.42578125" style="1415" customWidth="1"/>
    <col min="8200" max="8448" width="9.140625" style="1415"/>
    <col min="8449" max="8449" width="14.7109375" style="1415" customWidth="1"/>
    <col min="8450" max="8450" width="17.140625" style="1415" customWidth="1"/>
    <col min="8451" max="8451" width="15" style="1415" customWidth="1"/>
    <col min="8452" max="8452" width="12.28515625" style="1415" bestFit="1" customWidth="1"/>
    <col min="8453" max="8453" width="14.140625" style="1415" bestFit="1" customWidth="1"/>
    <col min="8454" max="8454" width="17.42578125" style="1415" customWidth="1"/>
    <col min="8455" max="8455" width="8.42578125" style="1415" customWidth="1"/>
    <col min="8456" max="8704" width="9.140625" style="1415"/>
    <col min="8705" max="8705" width="14.7109375" style="1415" customWidth="1"/>
    <col min="8706" max="8706" width="17.140625" style="1415" customWidth="1"/>
    <col min="8707" max="8707" width="15" style="1415" customWidth="1"/>
    <col min="8708" max="8708" width="12.28515625" style="1415" bestFit="1" customWidth="1"/>
    <col min="8709" max="8709" width="14.140625" style="1415" bestFit="1" customWidth="1"/>
    <col min="8710" max="8710" width="17.42578125" style="1415" customWidth="1"/>
    <col min="8711" max="8711" width="8.42578125" style="1415" customWidth="1"/>
    <col min="8712" max="8960" width="9.140625" style="1415"/>
    <col min="8961" max="8961" width="14.7109375" style="1415" customWidth="1"/>
    <col min="8962" max="8962" width="17.140625" style="1415" customWidth="1"/>
    <col min="8963" max="8963" width="15" style="1415" customWidth="1"/>
    <col min="8964" max="8964" width="12.28515625" style="1415" bestFit="1" customWidth="1"/>
    <col min="8965" max="8965" width="14.140625" style="1415" bestFit="1" customWidth="1"/>
    <col min="8966" max="8966" width="17.42578125" style="1415" customWidth="1"/>
    <col min="8967" max="8967" width="8.42578125" style="1415" customWidth="1"/>
    <col min="8968" max="9216" width="9.140625" style="1415"/>
    <col min="9217" max="9217" width="14.7109375" style="1415" customWidth="1"/>
    <col min="9218" max="9218" width="17.140625" style="1415" customWidth="1"/>
    <col min="9219" max="9219" width="15" style="1415" customWidth="1"/>
    <col min="9220" max="9220" width="12.28515625" style="1415" bestFit="1" customWidth="1"/>
    <col min="9221" max="9221" width="14.140625" style="1415" bestFit="1" customWidth="1"/>
    <col min="9222" max="9222" width="17.42578125" style="1415" customWidth="1"/>
    <col min="9223" max="9223" width="8.42578125" style="1415" customWidth="1"/>
    <col min="9224" max="9472" width="9.140625" style="1415"/>
    <col min="9473" max="9473" width="14.7109375" style="1415" customWidth="1"/>
    <col min="9474" max="9474" width="17.140625" style="1415" customWidth="1"/>
    <col min="9475" max="9475" width="15" style="1415" customWidth="1"/>
    <col min="9476" max="9476" width="12.28515625" style="1415" bestFit="1" customWidth="1"/>
    <col min="9477" max="9477" width="14.140625" style="1415" bestFit="1" customWidth="1"/>
    <col min="9478" max="9478" width="17.42578125" style="1415" customWidth="1"/>
    <col min="9479" max="9479" width="8.42578125" style="1415" customWidth="1"/>
    <col min="9480" max="9728" width="9.140625" style="1415"/>
    <col min="9729" max="9729" width="14.7109375" style="1415" customWidth="1"/>
    <col min="9730" max="9730" width="17.140625" style="1415" customWidth="1"/>
    <col min="9731" max="9731" width="15" style="1415" customWidth="1"/>
    <col min="9732" max="9732" width="12.28515625" style="1415" bestFit="1" customWidth="1"/>
    <col min="9733" max="9733" width="14.140625" style="1415" bestFit="1" customWidth="1"/>
    <col min="9734" max="9734" width="17.42578125" style="1415" customWidth="1"/>
    <col min="9735" max="9735" width="8.42578125" style="1415" customWidth="1"/>
    <col min="9736" max="9984" width="9.140625" style="1415"/>
    <col min="9985" max="9985" width="14.7109375" style="1415" customWidth="1"/>
    <col min="9986" max="9986" width="17.140625" style="1415" customWidth="1"/>
    <col min="9987" max="9987" width="15" style="1415" customWidth="1"/>
    <col min="9988" max="9988" width="12.28515625" style="1415" bestFit="1" customWidth="1"/>
    <col min="9989" max="9989" width="14.140625" style="1415" bestFit="1" customWidth="1"/>
    <col min="9990" max="9990" width="17.42578125" style="1415" customWidth="1"/>
    <col min="9991" max="9991" width="8.42578125" style="1415" customWidth="1"/>
    <col min="9992" max="10240" width="9.140625" style="1415"/>
    <col min="10241" max="10241" width="14.7109375" style="1415" customWidth="1"/>
    <col min="10242" max="10242" width="17.140625" style="1415" customWidth="1"/>
    <col min="10243" max="10243" width="15" style="1415" customWidth="1"/>
    <col min="10244" max="10244" width="12.28515625" style="1415" bestFit="1" customWidth="1"/>
    <col min="10245" max="10245" width="14.140625" style="1415" bestFit="1" customWidth="1"/>
    <col min="10246" max="10246" width="17.42578125" style="1415" customWidth="1"/>
    <col min="10247" max="10247" width="8.42578125" style="1415" customWidth="1"/>
    <col min="10248" max="10496" width="9.140625" style="1415"/>
    <col min="10497" max="10497" width="14.7109375" style="1415" customWidth="1"/>
    <col min="10498" max="10498" width="17.140625" style="1415" customWidth="1"/>
    <col min="10499" max="10499" width="15" style="1415" customWidth="1"/>
    <col min="10500" max="10500" width="12.28515625" style="1415" bestFit="1" customWidth="1"/>
    <col min="10501" max="10501" width="14.140625" style="1415" bestFit="1" customWidth="1"/>
    <col min="10502" max="10502" width="17.42578125" style="1415" customWidth="1"/>
    <col min="10503" max="10503" width="8.42578125" style="1415" customWidth="1"/>
    <col min="10504" max="10752" width="9.140625" style="1415"/>
    <col min="10753" max="10753" width="14.7109375" style="1415" customWidth="1"/>
    <col min="10754" max="10754" width="17.140625" style="1415" customWidth="1"/>
    <col min="10755" max="10755" width="15" style="1415" customWidth="1"/>
    <col min="10756" max="10756" width="12.28515625" style="1415" bestFit="1" customWidth="1"/>
    <col min="10757" max="10757" width="14.140625" style="1415" bestFit="1" customWidth="1"/>
    <col min="10758" max="10758" width="17.42578125" style="1415" customWidth="1"/>
    <col min="10759" max="10759" width="8.42578125" style="1415" customWidth="1"/>
    <col min="10760" max="11008" width="9.140625" style="1415"/>
    <col min="11009" max="11009" width="14.7109375" style="1415" customWidth="1"/>
    <col min="11010" max="11010" width="17.140625" style="1415" customWidth="1"/>
    <col min="11011" max="11011" width="15" style="1415" customWidth="1"/>
    <col min="11012" max="11012" width="12.28515625" style="1415" bestFit="1" customWidth="1"/>
    <col min="11013" max="11013" width="14.140625" style="1415" bestFit="1" customWidth="1"/>
    <col min="11014" max="11014" width="17.42578125" style="1415" customWidth="1"/>
    <col min="11015" max="11015" width="8.42578125" style="1415" customWidth="1"/>
    <col min="11016" max="11264" width="9.140625" style="1415"/>
    <col min="11265" max="11265" width="14.7109375" style="1415" customWidth="1"/>
    <col min="11266" max="11266" width="17.140625" style="1415" customWidth="1"/>
    <col min="11267" max="11267" width="15" style="1415" customWidth="1"/>
    <col min="11268" max="11268" width="12.28515625" style="1415" bestFit="1" customWidth="1"/>
    <col min="11269" max="11269" width="14.140625" style="1415" bestFit="1" customWidth="1"/>
    <col min="11270" max="11270" width="17.42578125" style="1415" customWidth="1"/>
    <col min="11271" max="11271" width="8.42578125" style="1415" customWidth="1"/>
    <col min="11272" max="11520" width="9.140625" style="1415"/>
    <col min="11521" max="11521" width="14.7109375" style="1415" customWidth="1"/>
    <col min="11522" max="11522" width="17.140625" style="1415" customWidth="1"/>
    <col min="11523" max="11523" width="15" style="1415" customWidth="1"/>
    <col min="11524" max="11524" width="12.28515625" style="1415" bestFit="1" customWidth="1"/>
    <col min="11525" max="11525" width="14.140625" style="1415" bestFit="1" customWidth="1"/>
    <col min="11526" max="11526" width="17.42578125" style="1415" customWidth="1"/>
    <col min="11527" max="11527" width="8.42578125" style="1415" customWidth="1"/>
    <col min="11528" max="11776" width="9.140625" style="1415"/>
    <col min="11777" max="11777" width="14.7109375" style="1415" customWidth="1"/>
    <col min="11778" max="11778" width="17.140625" style="1415" customWidth="1"/>
    <col min="11779" max="11779" width="15" style="1415" customWidth="1"/>
    <col min="11780" max="11780" width="12.28515625" style="1415" bestFit="1" customWidth="1"/>
    <col min="11781" max="11781" width="14.140625" style="1415" bestFit="1" customWidth="1"/>
    <col min="11782" max="11782" width="17.42578125" style="1415" customWidth="1"/>
    <col min="11783" max="11783" width="8.42578125" style="1415" customWidth="1"/>
    <col min="11784" max="12032" width="9.140625" style="1415"/>
    <col min="12033" max="12033" width="14.7109375" style="1415" customWidth="1"/>
    <col min="12034" max="12034" width="17.140625" style="1415" customWidth="1"/>
    <col min="12035" max="12035" width="15" style="1415" customWidth="1"/>
    <col min="12036" max="12036" width="12.28515625" style="1415" bestFit="1" customWidth="1"/>
    <col min="12037" max="12037" width="14.140625" style="1415" bestFit="1" customWidth="1"/>
    <col min="12038" max="12038" width="17.42578125" style="1415" customWidth="1"/>
    <col min="12039" max="12039" width="8.42578125" style="1415" customWidth="1"/>
    <col min="12040" max="12288" width="9.140625" style="1415"/>
    <col min="12289" max="12289" width="14.7109375" style="1415" customWidth="1"/>
    <col min="12290" max="12290" width="17.140625" style="1415" customWidth="1"/>
    <col min="12291" max="12291" width="15" style="1415" customWidth="1"/>
    <col min="12292" max="12292" width="12.28515625" style="1415" bestFit="1" customWidth="1"/>
    <col min="12293" max="12293" width="14.140625" style="1415" bestFit="1" customWidth="1"/>
    <col min="12294" max="12294" width="17.42578125" style="1415" customWidth="1"/>
    <col min="12295" max="12295" width="8.42578125" style="1415" customWidth="1"/>
    <col min="12296" max="12544" width="9.140625" style="1415"/>
    <col min="12545" max="12545" width="14.7109375" style="1415" customWidth="1"/>
    <col min="12546" max="12546" width="17.140625" style="1415" customWidth="1"/>
    <col min="12547" max="12547" width="15" style="1415" customWidth="1"/>
    <col min="12548" max="12548" width="12.28515625" style="1415" bestFit="1" customWidth="1"/>
    <col min="12549" max="12549" width="14.140625" style="1415" bestFit="1" customWidth="1"/>
    <col min="12550" max="12550" width="17.42578125" style="1415" customWidth="1"/>
    <col min="12551" max="12551" width="8.42578125" style="1415" customWidth="1"/>
    <col min="12552" max="12800" width="9.140625" style="1415"/>
    <col min="12801" max="12801" width="14.7109375" style="1415" customWidth="1"/>
    <col min="12802" max="12802" width="17.140625" style="1415" customWidth="1"/>
    <col min="12803" max="12803" width="15" style="1415" customWidth="1"/>
    <col min="12804" max="12804" width="12.28515625" style="1415" bestFit="1" customWidth="1"/>
    <col min="12805" max="12805" width="14.140625" style="1415" bestFit="1" customWidth="1"/>
    <col min="12806" max="12806" width="17.42578125" style="1415" customWidth="1"/>
    <col min="12807" max="12807" width="8.42578125" style="1415" customWidth="1"/>
    <col min="12808" max="13056" width="9.140625" style="1415"/>
    <col min="13057" max="13057" width="14.7109375" style="1415" customWidth="1"/>
    <col min="13058" max="13058" width="17.140625" style="1415" customWidth="1"/>
    <col min="13059" max="13059" width="15" style="1415" customWidth="1"/>
    <col min="13060" max="13060" width="12.28515625" style="1415" bestFit="1" customWidth="1"/>
    <col min="13061" max="13061" width="14.140625" style="1415" bestFit="1" customWidth="1"/>
    <col min="13062" max="13062" width="17.42578125" style="1415" customWidth="1"/>
    <col min="13063" max="13063" width="8.42578125" style="1415" customWidth="1"/>
    <col min="13064" max="13312" width="9.140625" style="1415"/>
    <col min="13313" max="13313" width="14.7109375" style="1415" customWidth="1"/>
    <col min="13314" max="13314" width="17.140625" style="1415" customWidth="1"/>
    <col min="13315" max="13315" width="15" style="1415" customWidth="1"/>
    <col min="13316" max="13316" width="12.28515625" style="1415" bestFit="1" customWidth="1"/>
    <col min="13317" max="13317" width="14.140625" style="1415" bestFit="1" customWidth="1"/>
    <col min="13318" max="13318" width="17.42578125" style="1415" customWidth="1"/>
    <col min="13319" max="13319" width="8.42578125" style="1415" customWidth="1"/>
    <col min="13320" max="13568" width="9.140625" style="1415"/>
    <col min="13569" max="13569" width="14.7109375" style="1415" customWidth="1"/>
    <col min="13570" max="13570" width="17.140625" style="1415" customWidth="1"/>
    <col min="13571" max="13571" width="15" style="1415" customWidth="1"/>
    <col min="13572" max="13572" width="12.28515625" style="1415" bestFit="1" customWidth="1"/>
    <col min="13573" max="13573" width="14.140625" style="1415" bestFit="1" customWidth="1"/>
    <col min="13574" max="13574" width="17.42578125" style="1415" customWidth="1"/>
    <col min="13575" max="13575" width="8.42578125" style="1415" customWidth="1"/>
    <col min="13576" max="13824" width="9.140625" style="1415"/>
    <col min="13825" max="13825" width="14.7109375" style="1415" customWidth="1"/>
    <col min="13826" max="13826" width="17.140625" style="1415" customWidth="1"/>
    <col min="13827" max="13827" width="15" style="1415" customWidth="1"/>
    <col min="13828" max="13828" width="12.28515625" style="1415" bestFit="1" customWidth="1"/>
    <col min="13829" max="13829" width="14.140625" style="1415" bestFit="1" customWidth="1"/>
    <col min="13830" max="13830" width="17.42578125" style="1415" customWidth="1"/>
    <col min="13831" max="13831" width="8.42578125" style="1415" customWidth="1"/>
    <col min="13832" max="14080" width="9.140625" style="1415"/>
    <col min="14081" max="14081" width="14.7109375" style="1415" customWidth="1"/>
    <col min="14082" max="14082" width="17.140625" style="1415" customWidth="1"/>
    <col min="14083" max="14083" width="15" style="1415" customWidth="1"/>
    <col min="14084" max="14084" width="12.28515625" style="1415" bestFit="1" customWidth="1"/>
    <col min="14085" max="14085" width="14.140625" style="1415" bestFit="1" customWidth="1"/>
    <col min="14086" max="14086" width="17.42578125" style="1415" customWidth="1"/>
    <col min="14087" max="14087" width="8.42578125" style="1415" customWidth="1"/>
    <col min="14088" max="14336" width="9.140625" style="1415"/>
    <col min="14337" max="14337" width="14.7109375" style="1415" customWidth="1"/>
    <col min="14338" max="14338" width="17.140625" style="1415" customWidth="1"/>
    <col min="14339" max="14339" width="15" style="1415" customWidth="1"/>
    <col min="14340" max="14340" width="12.28515625" style="1415" bestFit="1" customWidth="1"/>
    <col min="14341" max="14341" width="14.140625" style="1415" bestFit="1" customWidth="1"/>
    <col min="14342" max="14342" width="17.42578125" style="1415" customWidth="1"/>
    <col min="14343" max="14343" width="8.42578125" style="1415" customWidth="1"/>
    <col min="14344" max="14592" width="9.140625" style="1415"/>
    <col min="14593" max="14593" width="14.7109375" style="1415" customWidth="1"/>
    <col min="14594" max="14594" width="17.140625" style="1415" customWidth="1"/>
    <col min="14595" max="14595" width="15" style="1415" customWidth="1"/>
    <col min="14596" max="14596" width="12.28515625" style="1415" bestFit="1" customWidth="1"/>
    <col min="14597" max="14597" width="14.140625" style="1415" bestFit="1" customWidth="1"/>
    <col min="14598" max="14598" width="17.42578125" style="1415" customWidth="1"/>
    <col min="14599" max="14599" width="8.42578125" style="1415" customWidth="1"/>
    <col min="14600" max="14848" width="9.140625" style="1415"/>
    <col min="14849" max="14849" width="14.7109375" style="1415" customWidth="1"/>
    <col min="14850" max="14850" width="17.140625" style="1415" customWidth="1"/>
    <col min="14851" max="14851" width="15" style="1415" customWidth="1"/>
    <col min="14852" max="14852" width="12.28515625" style="1415" bestFit="1" customWidth="1"/>
    <col min="14853" max="14853" width="14.140625" style="1415" bestFit="1" customWidth="1"/>
    <col min="14854" max="14854" width="17.42578125" style="1415" customWidth="1"/>
    <col min="14855" max="14855" width="8.42578125" style="1415" customWidth="1"/>
    <col min="14856" max="15104" width="9.140625" style="1415"/>
    <col min="15105" max="15105" width="14.7109375" style="1415" customWidth="1"/>
    <col min="15106" max="15106" width="17.140625" style="1415" customWidth="1"/>
    <col min="15107" max="15107" width="15" style="1415" customWidth="1"/>
    <col min="15108" max="15108" width="12.28515625" style="1415" bestFit="1" customWidth="1"/>
    <col min="15109" max="15109" width="14.140625" style="1415" bestFit="1" customWidth="1"/>
    <col min="15110" max="15110" width="17.42578125" style="1415" customWidth="1"/>
    <col min="15111" max="15111" width="8.42578125" style="1415" customWidth="1"/>
    <col min="15112" max="15360" width="9.140625" style="1415"/>
    <col min="15361" max="15361" width="14.7109375" style="1415" customWidth="1"/>
    <col min="15362" max="15362" width="17.140625" style="1415" customWidth="1"/>
    <col min="15363" max="15363" width="15" style="1415" customWidth="1"/>
    <col min="15364" max="15364" width="12.28515625" style="1415" bestFit="1" customWidth="1"/>
    <col min="15365" max="15365" width="14.140625" style="1415" bestFit="1" customWidth="1"/>
    <col min="15366" max="15366" width="17.42578125" style="1415" customWidth="1"/>
    <col min="15367" max="15367" width="8.42578125" style="1415" customWidth="1"/>
    <col min="15368" max="15616" width="9.140625" style="1415"/>
    <col min="15617" max="15617" width="14.7109375" style="1415" customWidth="1"/>
    <col min="15618" max="15618" width="17.140625" style="1415" customWidth="1"/>
    <col min="15619" max="15619" width="15" style="1415" customWidth="1"/>
    <col min="15620" max="15620" width="12.28515625" style="1415" bestFit="1" customWidth="1"/>
    <col min="15621" max="15621" width="14.140625" style="1415" bestFit="1" customWidth="1"/>
    <col min="15622" max="15622" width="17.42578125" style="1415" customWidth="1"/>
    <col min="15623" max="15623" width="8.42578125" style="1415" customWidth="1"/>
    <col min="15624" max="15872" width="9.140625" style="1415"/>
    <col min="15873" max="15873" width="14.7109375" style="1415" customWidth="1"/>
    <col min="15874" max="15874" width="17.140625" style="1415" customWidth="1"/>
    <col min="15875" max="15875" width="15" style="1415" customWidth="1"/>
    <col min="15876" max="15876" width="12.28515625" style="1415" bestFit="1" customWidth="1"/>
    <col min="15877" max="15877" width="14.140625" style="1415" bestFit="1" customWidth="1"/>
    <col min="15878" max="15878" width="17.42578125" style="1415" customWidth="1"/>
    <col min="15879" max="15879" width="8.42578125" style="1415" customWidth="1"/>
    <col min="15880" max="16128" width="9.140625" style="1415"/>
    <col min="16129" max="16129" width="14.7109375" style="1415" customWidth="1"/>
    <col min="16130" max="16130" width="17.140625" style="1415" customWidth="1"/>
    <col min="16131" max="16131" width="15" style="1415" customWidth="1"/>
    <col min="16132" max="16132" width="12.28515625" style="1415" bestFit="1" customWidth="1"/>
    <col min="16133" max="16133" width="14.140625" style="1415" bestFit="1" customWidth="1"/>
    <col min="16134" max="16134" width="17.42578125" style="1415" customWidth="1"/>
    <col min="16135" max="16135" width="8.42578125" style="1415" customWidth="1"/>
    <col min="16136" max="16384" width="9.140625" style="1415"/>
  </cols>
  <sheetData>
    <row r="1" spans="1:6" s="1410" customFormat="1" ht="17.25" x14ac:dyDescent="0.3">
      <c r="A1" s="1360" t="s">
        <v>999</v>
      </c>
      <c r="B1" s="1409"/>
      <c r="C1" s="1409"/>
      <c r="D1" s="1409"/>
      <c r="E1" s="1409"/>
      <c r="F1" s="1409"/>
    </row>
    <row r="2" spans="1:6" s="1410" customFormat="1" ht="17.25" x14ac:dyDescent="0.3">
      <c r="A2" s="1360" t="s">
        <v>1000</v>
      </c>
      <c r="B2" s="1411"/>
      <c r="C2" s="1409"/>
      <c r="D2" s="1409"/>
      <c r="E2" s="1409"/>
      <c r="F2" s="1409"/>
    </row>
    <row r="3" spans="1:6" s="1410" customFormat="1" ht="13.5" customHeight="1" thickBot="1" x14ac:dyDescent="0.35">
      <c r="A3" s="1409"/>
      <c r="B3" s="1411"/>
      <c r="C3" s="1409"/>
      <c r="D3" s="1409"/>
      <c r="E3" s="1409"/>
      <c r="F3" s="1409"/>
    </row>
    <row r="4" spans="1:6" ht="18" thickTop="1" thickBot="1" x14ac:dyDescent="0.35">
      <c r="A4" s="1412"/>
      <c r="B4" s="1413"/>
      <c r="C4" s="1414"/>
      <c r="D4" s="1414"/>
      <c r="E4" s="3317" t="s">
        <v>992</v>
      </c>
      <c r="F4" s="3318"/>
    </row>
    <row r="5" spans="1:6" ht="63.75" customHeight="1" thickBot="1" x14ac:dyDescent="0.35">
      <c r="A5" s="1416"/>
      <c r="B5" s="1417" t="s">
        <v>1001</v>
      </c>
      <c r="C5" s="1418" t="s">
        <v>1002</v>
      </c>
      <c r="D5" s="1418" t="s">
        <v>1003</v>
      </c>
      <c r="E5" s="1418" t="s">
        <v>1001</v>
      </c>
      <c r="F5" s="1419" t="s">
        <v>1002</v>
      </c>
    </row>
    <row r="6" spans="1:6" s="1420" customFormat="1" ht="17.25" hidden="1" customHeight="1" thickTop="1" x14ac:dyDescent="0.3">
      <c r="A6" s="1392">
        <v>40179</v>
      </c>
      <c r="B6" s="1388">
        <v>23220</v>
      </c>
      <c r="C6" s="1389">
        <v>146156</v>
      </c>
      <c r="D6" s="1389">
        <v>20</v>
      </c>
      <c r="E6" s="1390">
        <v>1661</v>
      </c>
      <c r="F6" s="1391">
        <v>6643</v>
      </c>
    </row>
    <row r="7" spans="1:6" s="1420" customFormat="1" ht="17.25" hidden="1" customHeight="1" thickTop="1" x14ac:dyDescent="0.3">
      <c r="A7" s="1392">
        <v>40210</v>
      </c>
      <c r="B7" s="1388">
        <v>23636</v>
      </c>
      <c r="C7" s="1389">
        <v>122529</v>
      </c>
      <c r="D7" s="1389">
        <v>18</v>
      </c>
      <c r="E7" s="1390">
        <v>1313</v>
      </c>
      <c r="F7" s="1391">
        <v>6807</v>
      </c>
    </row>
    <row r="8" spans="1:6" s="1420" customFormat="1" ht="17.25" hidden="1" customHeight="1" thickTop="1" x14ac:dyDescent="0.3">
      <c r="A8" s="1392">
        <v>40238</v>
      </c>
      <c r="B8" s="1388">
        <v>31374</v>
      </c>
      <c r="C8" s="1389">
        <v>147960</v>
      </c>
      <c r="D8" s="1389">
        <v>21</v>
      </c>
      <c r="E8" s="1390">
        <v>1494</v>
      </c>
      <c r="F8" s="1391">
        <v>7046</v>
      </c>
    </row>
    <row r="9" spans="1:6" s="1420" customFormat="1" ht="17.25" hidden="1" customHeight="1" thickTop="1" x14ac:dyDescent="0.3">
      <c r="A9" s="1392">
        <v>40269</v>
      </c>
      <c r="B9" s="1388">
        <v>28196</v>
      </c>
      <c r="C9" s="1389">
        <v>155766</v>
      </c>
      <c r="D9" s="1389">
        <v>22</v>
      </c>
      <c r="E9" s="1390">
        <v>1282</v>
      </c>
      <c r="F9" s="1391">
        <v>7080</v>
      </c>
    </row>
    <row r="10" spans="1:6" s="1420" customFormat="1" ht="17.25" hidden="1" customHeight="1" thickTop="1" x14ac:dyDescent="0.3">
      <c r="A10" s="1392">
        <v>40299</v>
      </c>
      <c r="B10" s="1388">
        <v>26950</v>
      </c>
      <c r="C10" s="1389">
        <v>128348</v>
      </c>
      <c r="D10" s="1389">
        <v>20</v>
      </c>
      <c r="E10" s="1390">
        <v>1348</v>
      </c>
      <c r="F10" s="1391">
        <v>6417</v>
      </c>
    </row>
    <row r="11" spans="1:6" s="1420" customFormat="1" ht="17.25" hidden="1" customHeight="1" thickTop="1" x14ac:dyDescent="0.3">
      <c r="A11" s="1392">
        <v>40330</v>
      </c>
      <c r="B11" s="1388">
        <v>32021</v>
      </c>
      <c r="C11" s="1389">
        <v>157459</v>
      </c>
      <c r="D11" s="1389">
        <v>22</v>
      </c>
      <c r="E11" s="1390">
        <v>1456</v>
      </c>
      <c r="F11" s="1391">
        <v>7157</v>
      </c>
    </row>
    <row r="12" spans="1:6" s="1420" customFormat="1" ht="17.25" hidden="1" customHeight="1" thickTop="1" x14ac:dyDescent="0.3">
      <c r="A12" s="1392">
        <v>40360</v>
      </c>
      <c r="B12" s="1388">
        <v>29038</v>
      </c>
      <c r="C12" s="1389">
        <v>131775</v>
      </c>
      <c r="D12" s="1389">
        <v>22</v>
      </c>
      <c r="E12" s="1390">
        <v>1320</v>
      </c>
      <c r="F12" s="1391">
        <v>5990</v>
      </c>
    </row>
    <row r="13" spans="1:6" s="1420" customFormat="1" ht="17.25" hidden="1" customHeight="1" thickTop="1" x14ac:dyDescent="0.3">
      <c r="A13" s="1392">
        <v>40391</v>
      </c>
      <c r="B13" s="1388">
        <v>30325</v>
      </c>
      <c r="C13" s="1389">
        <v>128293</v>
      </c>
      <c r="D13" s="1389">
        <v>22</v>
      </c>
      <c r="E13" s="1390">
        <v>1378</v>
      </c>
      <c r="F13" s="1391">
        <v>5831</v>
      </c>
    </row>
    <row r="14" spans="1:6" s="1420" customFormat="1" ht="17.25" hidden="1" customHeight="1" thickTop="1" x14ac:dyDescent="0.3">
      <c r="A14" s="1392">
        <v>40422</v>
      </c>
      <c r="B14" s="1388">
        <v>31858</v>
      </c>
      <c r="C14" s="1389">
        <v>148964</v>
      </c>
      <c r="D14" s="1389">
        <v>21</v>
      </c>
      <c r="E14" s="1390">
        <v>1517</v>
      </c>
      <c r="F14" s="1391">
        <v>7094</v>
      </c>
    </row>
    <row r="15" spans="1:6" s="1420" customFormat="1" ht="17.25" hidden="1" customHeight="1" thickTop="1" x14ac:dyDescent="0.3">
      <c r="A15" s="1392">
        <v>40452</v>
      </c>
      <c r="B15" s="1388">
        <v>29896</v>
      </c>
      <c r="C15" s="1389">
        <v>147274</v>
      </c>
      <c r="D15" s="1389">
        <v>21</v>
      </c>
      <c r="E15" s="1390">
        <v>1424</v>
      </c>
      <c r="F15" s="1391">
        <v>7013</v>
      </c>
    </row>
    <row r="16" spans="1:6" s="1420" customFormat="1" ht="17.25" hidden="1" customHeight="1" thickTop="1" x14ac:dyDescent="0.3">
      <c r="A16" s="1392">
        <v>40483</v>
      </c>
      <c r="B16" s="1388">
        <v>34491</v>
      </c>
      <c r="C16" s="1389">
        <v>152572.0152884</v>
      </c>
      <c r="D16" s="1389">
        <v>20</v>
      </c>
      <c r="E16" s="1390">
        <v>1724.55</v>
      </c>
      <c r="F16" s="1391">
        <v>7628.6007644199999</v>
      </c>
    </row>
    <row r="17" spans="1:6" s="1420" customFormat="1" ht="17.25" hidden="1" customHeight="1" thickTop="1" x14ac:dyDescent="0.3">
      <c r="A17" s="1392">
        <v>40522</v>
      </c>
      <c r="B17" s="1388">
        <v>45307</v>
      </c>
      <c r="C17" s="1389">
        <v>220826</v>
      </c>
      <c r="D17" s="1389">
        <v>23</v>
      </c>
      <c r="E17" s="1390">
        <v>1970</v>
      </c>
      <c r="F17" s="1391">
        <v>9601</v>
      </c>
    </row>
    <row r="18" spans="1:6" s="1420" customFormat="1" ht="17.25" hidden="1" customHeight="1" thickTop="1" x14ac:dyDescent="0.3">
      <c r="A18" s="1392">
        <v>40553</v>
      </c>
      <c r="B18" s="1388">
        <v>30565</v>
      </c>
      <c r="C18" s="1389">
        <v>153705.071</v>
      </c>
      <c r="D18" s="1389">
        <v>19</v>
      </c>
      <c r="E18" s="1390">
        <v>1609</v>
      </c>
      <c r="F18" s="1391">
        <v>8090</v>
      </c>
    </row>
    <row r="19" spans="1:6" s="1420" customFormat="1" ht="17.25" hidden="1" customHeight="1" thickTop="1" x14ac:dyDescent="0.3">
      <c r="A19" s="1392">
        <v>40584</v>
      </c>
      <c r="B19" s="1388">
        <v>30735</v>
      </c>
      <c r="C19" s="1389">
        <v>142370</v>
      </c>
      <c r="D19" s="1389">
        <v>18</v>
      </c>
      <c r="E19" s="1390">
        <v>1708</v>
      </c>
      <c r="F19" s="1391">
        <v>7909</v>
      </c>
    </row>
    <row r="20" spans="1:6" s="1420" customFormat="1" ht="17.25" hidden="1" customHeight="1" thickTop="1" x14ac:dyDescent="0.3">
      <c r="A20" s="1392">
        <v>40612</v>
      </c>
      <c r="B20" s="1388">
        <v>38636</v>
      </c>
      <c r="C20" s="1389">
        <v>168058</v>
      </c>
      <c r="D20" s="1389">
        <v>22</v>
      </c>
      <c r="E20" s="1390">
        <v>1756</v>
      </c>
      <c r="F20" s="1391">
        <v>7639</v>
      </c>
    </row>
    <row r="21" spans="1:6" s="1420" customFormat="1" ht="17.25" hidden="1" customHeight="1" thickTop="1" x14ac:dyDescent="0.3">
      <c r="A21" s="1392">
        <v>40643</v>
      </c>
      <c r="B21" s="1388">
        <v>33065</v>
      </c>
      <c r="C21" s="1389">
        <v>187887</v>
      </c>
      <c r="D21" s="1389">
        <v>20</v>
      </c>
      <c r="E21" s="1390">
        <v>1653</v>
      </c>
      <c r="F21" s="1391">
        <v>9394</v>
      </c>
    </row>
    <row r="22" spans="1:6" s="1420" customFormat="1" ht="17.25" hidden="1" customHeight="1" thickTop="1" x14ac:dyDescent="0.3">
      <c r="A22" s="1392">
        <v>40673</v>
      </c>
      <c r="B22" s="1388">
        <v>38149</v>
      </c>
      <c r="C22" s="1389">
        <v>169093</v>
      </c>
      <c r="D22" s="1389">
        <v>22</v>
      </c>
      <c r="E22" s="1390">
        <v>1734</v>
      </c>
      <c r="F22" s="1391">
        <v>7686</v>
      </c>
    </row>
    <row r="23" spans="1:6" s="1420" customFormat="1" ht="17.25" hidden="1" customHeight="1" thickTop="1" x14ac:dyDescent="0.3">
      <c r="A23" s="1392">
        <v>40704</v>
      </c>
      <c r="B23" s="1388">
        <v>39231</v>
      </c>
      <c r="C23" s="1389">
        <v>158713</v>
      </c>
      <c r="D23" s="1389">
        <v>22</v>
      </c>
      <c r="E23" s="1390">
        <v>1783</v>
      </c>
      <c r="F23" s="1391">
        <v>7214</v>
      </c>
    </row>
    <row r="24" spans="1:6" s="1420" customFormat="1" ht="17.25" hidden="1" customHeight="1" thickTop="1" x14ac:dyDescent="0.3">
      <c r="A24" s="1392">
        <v>40734</v>
      </c>
      <c r="B24" s="1388">
        <v>35465</v>
      </c>
      <c r="C24" s="1389">
        <v>156666</v>
      </c>
      <c r="D24" s="1389">
        <v>21</v>
      </c>
      <c r="E24" s="1390">
        <v>1689</v>
      </c>
      <c r="F24" s="1391">
        <v>7460</v>
      </c>
    </row>
    <row r="25" spans="1:6" s="1420" customFormat="1" ht="17.25" hidden="1" customHeight="1" thickTop="1" x14ac:dyDescent="0.3">
      <c r="A25" s="1392">
        <v>40756</v>
      </c>
      <c r="B25" s="1388">
        <v>37355</v>
      </c>
      <c r="C25" s="1389">
        <v>195303</v>
      </c>
      <c r="D25" s="1389">
        <v>22</v>
      </c>
      <c r="E25" s="1390">
        <v>1698</v>
      </c>
      <c r="F25" s="1391">
        <v>8877</v>
      </c>
    </row>
    <row r="26" spans="1:6" s="1420" customFormat="1" ht="17.25" hidden="1" customHeight="1" thickTop="1" x14ac:dyDescent="0.3">
      <c r="A26" s="1392">
        <v>40796</v>
      </c>
      <c r="B26" s="1388">
        <v>37949</v>
      </c>
      <c r="C26" s="1389">
        <v>168911</v>
      </c>
      <c r="D26" s="1389">
        <v>21</v>
      </c>
      <c r="E26" s="1390">
        <v>1807</v>
      </c>
      <c r="F26" s="1391">
        <v>8043</v>
      </c>
    </row>
    <row r="27" spans="1:6" s="1420" customFormat="1" ht="17.25" hidden="1" customHeight="1" thickTop="1" x14ac:dyDescent="0.3">
      <c r="A27" s="1392">
        <v>40826</v>
      </c>
      <c r="B27" s="1388">
        <v>35347</v>
      </c>
      <c r="C27" s="1389">
        <v>173163</v>
      </c>
      <c r="D27" s="1389">
        <v>20</v>
      </c>
      <c r="E27" s="1390">
        <v>1767</v>
      </c>
      <c r="F27" s="1391">
        <v>8658</v>
      </c>
    </row>
    <row r="28" spans="1:6" s="1420" customFormat="1" ht="17.25" hidden="1" customHeight="1" thickTop="1" x14ac:dyDescent="0.3">
      <c r="A28" s="1392">
        <v>40857</v>
      </c>
      <c r="B28" s="1388">
        <v>35318</v>
      </c>
      <c r="C28" s="1389">
        <v>189167</v>
      </c>
      <c r="D28" s="1389">
        <v>20</v>
      </c>
      <c r="E28" s="1390">
        <v>1766</v>
      </c>
      <c r="F28" s="1391">
        <v>9458</v>
      </c>
    </row>
    <row r="29" spans="1:6" s="1420" customFormat="1" ht="17.25" hidden="1" customHeight="1" thickTop="1" x14ac:dyDescent="0.3">
      <c r="A29" s="1392">
        <v>40887</v>
      </c>
      <c r="B29" s="1388">
        <v>47397</v>
      </c>
      <c r="C29" s="1389">
        <v>245244</v>
      </c>
      <c r="D29" s="1389">
        <v>22</v>
      </c>
      <c r="E29" s="1390">
        <v>2154</v>
      </c>
      <c r="F29" s="1391">
        <v>11147</v>
      </c>
    </row>
    <row r="30" spans="1:6" s="1420" customFormat="1" ht="17.25" hidden="1" customHeight="1" thickTop="1" x14ac:dyDescent="0.3">
      <c r="A30" s="1392">
        <v>40918</v>
      </c>
      <c r="B30" s="1388">
        <v>28635</v>
      </c>
      <c r="C30" s="1389">
        <v>129253</v>
      </c>
      <c r="D30" s="1389">
        <v>20</v>
      </c>
      <c r="E30" s="1390">
        <v>1432</v>
      </c>
      <c r="F30" s="1391">
        <v>6463</v>
      </c>
    </row>
    <row r="31" spans="1:6" s="1420" customFormat="1" ht="17.25" hidden="1" customHeight="1" thickTop="1" x14ac:dyDescent="0.3">
      <c r="A31" s="1392">
        <v>40949</v>
      </c>
      <c r="B31" s="1388">
        <v>35146</v>
      </c>
      <c r="C31" s="1389">
        <v>156697</v>
      </c>
      <c r="D31" s="1389">
        <v>18</v>
      </c>
      <c r="E31" s="1390">
        <v>1953</v>
      </c>
      <c r="F31" s="1391">
        <v>8705</v>
      </c>
    </row>
    <row r="32" spans="1:6" s="1420" customFormat="1" ht="17.25" hidden="1" customHeight="1" thickTop="1" x14ac:dyDescent="0.3">
      <c r="A32" s="1392">
        <v>40978</v>
      </c>
      <c r="B32" s="1388">
        <v>38191</v>
      </c>
      <c r="C32" s="1389">
        <v>141038</v>
      </c>
      <c r="D32" s="1389">
        <v>20</v>
      </c>
      <c r="E32" s="1390">
        <v>1910</v>
      </c>
      <c r="F32" s="1391">
        <v>7052</v>
      </c>
    </row>
    <row r="33" spans="1:6" s="1420" customFormat="1" ht="17.25" hidden="1" customHeight="1" thickTop="1" x14ac:dyDescent="0.3">
      <c r="A33" s="1392">
        <v>41009</v>
      </c>
      <c r="B33" s="1388">
        <v>40768</v>
      </c>
      <c r="C33" s="1389">
        <v>167377</v>
      </c>
      <c r="D33" s="1389">
        <v>21</v>
      </c>
      <c r="E33" s="1390">
        <v>1941</v>
      </c>
      <c r="F33" s="1391">
        <v>7970</v>
      </c>
    </row>
    <row r="34" spans="1:6" s="1420" customFormat="1" ht="17.25" hidden="1" customHeight="1" thickTop="1" x14ac:dyDescent="0.3">
      <c r="A34" s="1392">
        <v>41030</v>
      </c>
      <c r="B34" s="1388">
        <v>39880</v>
      </c>
      <c r="C34" s="1389">
        <v>154833</v>
      </c>
      <c r="D34" s="1389">
        <v>22</v>
      </c>
      <c r="E34" s="1390">
        <v>1813</v>
      </c>
      <c r="F34" s="1391">
        <v>7038</v>
      </c>
    </row>
    <row r="35" spans="1:6" s="1420" customFormat="1" ht="17.25" hidden="1" customHeight="1" thickTop="1" x14ac:dyDescent="0.3">
      <c r="A35" s="1392">
        <v>41061</v>
      </c>
      <c r="B35" s="1388">
        <v>38969</v>
      </c>
      <c r="C35" s="1389">
        <v>198870</v>
      </c>
      <c r="D35" s="1389">
        <v>21</v>
      </c>
      <c r="E35" s="1390">
        <v>1856</v>
      </c>
      <c r="F35" s="1391">
        <v>9470</v>
      </c>
    </row>
    <row r="36" spans="1:6" s="1420" customFormat="1" ht="17.25" hidden="1" customHeight="1" thickTop="1" x14ac:dyDescent="0.3">
      <c r="A36" s="1392">
        <v>41091</v>
      </c>
      <c r="B36" s="1388">
        <v>44750</v>
      </c>
      <c r="C36" s="1389">
        <v>170474</v>
      </c>
      <c r="D36" s="1389">
        <v>22</v>
      </c>
      <c r="E36" s="1390">
        <v>2034</v>
      </c>
      <c r="F36" s="1391">
        <v>7749</v>
      </c>
    </row>
    <row r="37" spans="1:6" s="1420" customFormat="1" ht="17.25" hidden="1" customHeight="1" thickTop="1" x14ac:dyDescent="0.3">
      <c r="A37" s="1392">
        <v>41122</v>
      </c>
      <c r="B37" s="1388">
        <v>37355</v>
      </c>
      <c r="C37" s="1389">
        <v>195303</v>
      </c>
      <c r="D37" s="1389">
        <v>21</v>
      </c>
      <c r="E37" s="1390">
        <v>1779</v>
      </c>
      <c r="F37" s="1391">
        <v>9300</v>
      </c>
    </row>
    <row r="38" spans="1:6" s="1420" customFormat="1" ht="17.25" hidden="1" customHeight="1" thickTop="1" x14ac:dyDescent="0.3">
      <c r="A38" s="1392">
        <v>41153</v>
      </c>
      <c r="B38" s="1388">
        <v>35953</v>
      </c>
      <c r="C38" s="1389">
        <v>141745</v>
      </c>
      <c r="D38" s="1389">
        <v>19</v>
      </c>
      <c r="E38" s="1390">
        <v>1892</v>
      </c>
      <c r="F38" s="1391">
        <v>7460</v>
      </c>
    </row>
    <row r="39" spans="1:6" s="1420" customFormat="1" ht="17.25" hidden="1" customHeight="1" thickTop="1" x14ac:dyDescent="0.3">
      <c r="A39" s="1392">
        <v>41183</v>
      </c>
      <c r="B39" s="1388">
        <v>46809</v>
      </c>
      <c r="C39" s="1389">
        <v>163355</v>
      </c>
      <c r="D39" s="1389">
        <v>23</v>
      </c>
      <c r="E39" s="1390">
        <v>2035</v>
      </c>
      <c r="F39" s="1391">
        <v>7102</v>
      </c>
    </row>
    <row r="40" spans="1:6" s="1420" customFormat="1" ht="17.25" hidden="1" customHeight="1" thickTop="1" x14ac:dyDescent="0.3">
      <c r="A40" s="1392">
        <v>41214</v>
      </c>
      <c r="B40" s="1388">
        <v>40944</v>
      </c>
      <c r="C40" s="1389">
        <v>195912</v>
      </c>
      <c r="D40" s="1389">
        <v>20</v>
      </c>
      <c r="E40" s="1390">
        <v>2047</v>
      </c>
      <c r="F40" s="1391">
        <v>9796</v>
      </c>
    </row>
    <row r="41" spans="1:6" s="1420" customFormat="1" ht="17.25" hidden="1" customHeight="1" thickTop="1" x14ac:dyDescent="0.3">
      <c r="A41" s="1392">
        <v>41244</v>
      </c>
      <c r="B41" s="1388">
        <v>51809</v>
      </c>
      <c r="C41" s="1389">
        <v>236716</v>
      </c>
      <c r="D41" s="1389">
        <v>20</v>
      </c>
      <c r="E41" s="1390">
        <v>2590</v>
      </c>
      <c r="F41" s="1391">
        <v>11836</v>
      </c>
    </row>
    <row r="42" spans="1:6" s="1420" customFormat="1" ht="17.25" hidden="1" customHeight="1" thickTop="1" x14ac:dyDescent="0.3">
      <c r="A42" s="1392">
        <v>41640</v>
      </c>
      <c r="B42" s="1388">
        <v>42403</v>
      </c>
      <c r="C42" s="1389">
        <v>180340</v>
      </c>
      <c r="D42" s="1389">
        <v>19</v>
      </c>
      <c r="E42" s="1389">
        <v>2232</v>
      </c>
      <c r="F42" s="1421">
        <v>9492</v>
      </c>
    </row>
    <row r="43" spans="1:6" s="1420" customFormat="1" ht="17.25" hidden="1" customHeight="1" thickTop="1" x14ac:dyDescent="0.3">
      <c r="A43" s="1392">
        <v>41671</v>
      </c>
      <c r="B43" s="1388">
        <v>46387</v>
      </c>
      <c r="C43" s="1389">
        <v>180036</v>
      </c>
      <c r="D43" s="1389">
        <v>18</v>
      </c>
      <c r="E43" s="1389">
        <v>2577</v>
      </c>
      <c r="F43" s="1421">
        <v>10002</v>
      </c>
    </row>
    <row r="44" spans="1:6" s="1420" customFormat="1" ht="17.25" hidden="1" customHeight="1" thickTop="1" x14ac:dyDescent="0.3">
      <c r="A44" s="1392">
        <v>41699</v>
      </c>
      <c r="B44" s="1388">
        <v>44655</v>
      </c>
      <c r="C44" s="1389">
        <v>152932</v>
      </c>
      <c r="D44" s="1389">
        <v>19</v>
      </c>
      <c r="E44" s="1389">
        <v>2350</v>
      </c>
      <c r="F44" s="1421">
        <v>8049</v>
      </c>
    </row>
    <row r="45" spans="1:6" s="1420" customFormat="1" ht="17.25" hidden="1" customHeight="1" thickTop="1" x14ac:dyDescent="0.3">
      <c r="A45" s="1392">
        <v>41730</v>
      </c>
      <c r="B45" s="1388">
        <v>55001</v>
      </c>
      <c r="C45" s="1389">
        <v>183452</v>
      </c>
      <c r="D45" s="1389">
        <v>22</v>
      </c>
      <c r="E45" s="1389">
        <v>2500</v>
      </c>
      <c r="F45" s="1421">
        <v>8339</v>
      </c>
    </row>
    <row r="46" spans="1:6" s="1420" customFormat="1" ht="17.25" hidden="1" customHeight="1" thickTop="1" x14ac:dyDescent="0.3">
      <c r="A46" s="1392">
        <v>41760</v>
      </c>
      <c r="B46" s="1388">
        <v>48119</v>
      </c>
      <c r="C46" s="1389">
        <v>197452</v>
      </c>
      <c r="D46" s="1389">
        <v>21</v>
      </c>
      <c r="E46" s="1389">
        <v>2291</v>
      </c>
      <c r="F46" s="1421">
        <v>9402</v>
      </c>
    </row>
    <row r="47" spans="1:6" s="1420" customFormat="1" ht="17.25" hidden="1" customHeight="1" thickTop="1" x14ac:dyDescent="0.3">
      <c r="A47" s="1392">
        <v>41791</v>
      </c>
      <c r="B47" s="1388">
        <v>53390</v>
      </c>
      <c r="C47" s="1389">
        <v>200862</v>
      </c>
      <c r="D47" s="1389">
        <v>21</v>
      </c>
      <c r="E47" s="1389">
        <v>2542</v>
      </c>
      <c r="F47" s="1421">
        <v>9565</v>
      </c>
    </row>
    <row r="48" spans="1:6" s="1420" customFormat="1" ht="17.25" hidden="1" customHeight="1" thickTop="1" x14ac:dyDescent="0.3">
      <c r="A48" s="1392">
        <v>41821</v>
      </c>
      <c r="B48" s="1388">
        <v>53313</v>
      </c>
      <c r="C48" s="1389">
        <v>183321</v>
      </c>
      <c r="D48" s="1389">
        <v>22</v>
      </c>
      <c r="E48" s="1389">
        <v>2423</v>
      </c>
      <c r="F48" s="1421">
        <v>8333</v>
      </c>
    </row>
    <row r="49" spans="1:6" s="1420" customFormat="1" ht="17.25" hidden="1" customHeight="1" thickTop="1" x14ac:dyDescent="0.3">
      <c r="A49" s="1392">
        <v>41852</v>
      </c>
      <c r="B49" s="1388">
        <v>46756</v>
      </c>
      <c r="C49" s="1389">
        <v>216798</v>
      </c>
      <c r="D49" s="1389">
        <v>20</v>
      </c>
      <c r="E49" s="1389">
        <v>2338</v>
      </c>
      <c r="F49" s="1421">
        <v>10840</v>
      </c>
    </row>
    <row r="50" spans="1:6" s="1420" customFormat="1" ht="17.25" hidden="1" customHeight="1" thickTop="1" x14ac:dyDescent="0.3">
      <c r="A50" s="1392">
        <v>41883</v>
      </c>
      <c r="B50" s="1388">
        <v>55791</v>
      </c>
      <c r="C50" s="1389">
        <v>250739</v>
      </c>
      <c r="D50" s="1389">
        <v>22</v>
      </c>
      <c r="E50" s="1389">
        <v>2536</v>
      </c>
      <c r="F50" s="1421">
        <v>11397</v>
      </c>
    </row>
    <row r="51" spans="1:6" s="1420" customFormat="1" ht="17.25" hidden="1" customHeight="1" thickTop="1" x14ac:dyDescent="0.3">
      <c r="A51" s="1392">
        <v>41913</v>
      </c>
      <c r="B51" s="1388">
        <v>56053</v>
      </c>
      <c r="C51" s="1389">
        <v>243022</v>
      </c>
      <c r="D51" s="1389">
        <v>22</v>
      </c>
      <c r="E51" s="1389">
        <v>2548</v>
      </c>
      <c r="F51" s="1421">
        <v>11046</v>
      </c>
    </row>
    <row r="52" spans="1:6" s="1420" customFormat="1" ht="17.25" hidden="1" customHeight="1" thickTop="1" x14ac:dyDescent="0.3">
      <c r="A52" s="1392">
        <v>41944</v>
      </c>
      <c r="B52" s="1388">
        <v>47833</v>
      </c>
      <c r="C52" s="1389">
        <v>205673</v>
      </c>
      <c r="D52" s="1389">
        <v>20</v>
      </c>
      <c r="E52" s="1389">
        <v>2392</v>
      </c>
      <c r="F52" s="1421">
        <v>10284</v>
      </c>
    </row>
    <row r="53" spans="1:6" s="1420" customFormat="1" ht="17.25" hidden="1" customHeight="1" thickTop="1" x14ac:dyDescent="0.3">
      <c r="A53" s="1392">
        <v>41974</v>
      </c>
      <c r="B53" s="1388">
        <v>72510</v>
      </c>
      <c r="C53" s="1389">
        <v>289473</v>
      </c>
      <c r="D53" s="1389">
        <v>21</v>
      </c>
      <c r="E53" s="1389">
        <v>3453</v>
      </c>
      <c r="F53" s="1421">
        <v>13784</v>
      </c>
    </row>
    <row r="54" spans="1:6" s="1420" customFormat="1" ht="17.25" hidden="1" customHeight="1" thickTop="1" x14ac:dyDescent="0.3">
      <c r="A54" s="1392">
        <v>42005</v>
      </c>
      <c r="B54" s="1388">
        <v>48380</v>
      </c>
      <c r="C54" s="1389">
        <v>173092</v>
      </c>
      <c r="D54" s="1389">
        <v>20</v>
      </c>
      <c r="E54" s="1389">
        <v>2419</v>
      </c>
      <c r="F54" s="1421">
        <v>8655</v>
      </c>
    </row>
    <row r="55" spans="1:6" s="1420" customFormat="1" ht="17.25" hidden="1" customHeight="1" thickTop="1" x14ac:dyDescent="0.3">
      <c r="A55" s="1392">
        <v>42036</v>
      </c>
      <c r="B55" s="1388">
        <v>51454</v>
      </c>
      <c r="C55" s="1389">
        <v>187546</v>
      </c>
      <c r="D55" s="1389">
        <v>17</v>
      </c>
      <c r="E55" s="1389">
        <v>3027</v>
      </c>
      <c r="F55" s="1421">
        <v>11032</v>
      </c>
    </row>
    <row r="56" spans="1:6" s="1420" customFormat="1" ht="17.25" hidden="1" customHeight="1" thickTop="1" x14ac:dyDescent="0.3">
      <c r="A56" s="1392">
        <v>42064</v>
      </c>
      <c r="B56" s="1388">
        <v>58553</v>
      </c>
      <c r="C56" s="1389">
        <v>268463</v>
      </c>
      <c r="D56" s="1389">
        <v>21</v>
      </c>
      <c r="E56" s="1389">
        <v>2788</v>
      </c>
      <c r="F56" s="1421">
        <v>12784</v>
      </c>
    </row>
    <row r="57" spans="1:6" s="1420" customFormat="1" ht="17.25" hidden="1" customHeight="1" thickTop="1" x14ac:dyDescent="0.3">
      <c r="A57" s="1392">
        <v>42095</v>
      </c>
      <c r="B57" s="1388">
        <v>57856</v>
      </c>
      <c r="C57" s="1389">
        <v>203457</v>
      </c>
      <c r="D57" s="1389">
        <v>22</v>
      </c>
      <c r="E57" s="1389">
        <v>2630</v>
      </c>
      <c r="F57" s="1421">
        <v>9248</v>
      </c>
    </row>
    <row r="58" spans="1:6" s="1420" customFormat="1" ht="17.25" hidden="1" customHeight="1" thickTop="1" x14ac:dyDescent="0.3">
      <c r="A58" s="1392">
        <v>42125</v>
      </c>
      <c r="B58" s="1388">
        <v>52109</v>
      </c>
      <c r="C58" s="1389">
        <v>206401</v>
      </c>
      <c r="D58" s="1389">
        <v>20</v>
      </c>
      <c r="E58" s="1389">
        <v>2605</v>
      </c>
      <c r="F58" s="1421">
        <v>10320</v>
      </c>
    </row>
    <row r="59" spans="1:6" s="1420" customFormat="1" ht="17.25" hidden="1" customHeight="1" thickTop="1" x14ac:dyDescent="0.3">
      <c r="A59" s="1392">
        <v>42156</v>
      </c>
      <c r="B59" s="1388">
        <v>63741</v>
      </c>
      <c r="C59" s="1389">
        <v>252415</v>
      </c>
      <c r="D59" s="1389">
        <v>22</v>
      </c>
      <c r="E59" s="1389">
        <v>2897</v>
      </c>
      <c r="F59" s="1421">
        <v>11473</v>
      </c>
    </row>
    <row r="60" spans="1:6" s="1420" customFormat="1" ht="17.25" hidden="1" customHeight="1" thickTop="1" x14ac:dyDescent="0.3">
      <c r="A60" s="1392">
        <v>42186</v>
      </c>
      <c r="B60" s="1388">
        <v>60872</v>
      </c>
      <c r="C60" s="1389">
        <v>165725</v>
      </c>
      <c r="D60" s="1389">
        <v>23</v>
      </c>
      <c r="E60" s="1389">
        <v>2647</v>
      </c>
      <c r="F60" s="1421">
        <v>7205</v>
      </c>
    </row>
    <row r="61" spans="1:6" s="1420" customFormat="1" ht="17.25" hidden="1" customHeight="1" thickTop="1" x14ac:dyDescent="0.3">
      <c r="A61" s="1392">
        <v>42217</v>
      </c>
      <c r="B61" s="1388">
        <v>55863</v>
      </c>
      <c r="C61" s="1389">
        <v>157986</v>
      </c>
      <c r="D61" s="1389">
        <v>21</v>
      </c>
      <c r="E61" s="1389">
        <v>2660</v>
      </c>
      <c r="F61" s="1421">
        <v>7523</v>
      </c>
    </row>
    <row r="62" spans="1:6" s="1420" customFormat="1" ht="17.25" hidden="1" customHeight="1" thickTop="1" x14ac:dyDescent="0.3">
      <c r="A62" s="1392">
        <v>42248</v>
      </c>
      <c r="B62" s="1388">
        <v>57801</v>
      </c>
      <c r="C62" s="1389">
        <v>162159</v>
      </c>
      <c r="D62" s="1389">
        <v>21</v>
      </c>
      <c r="E62" s="1389">
        <v>2752</v>
      </c>
      <c r="F62" s="1421">
        <v>7722</v>
      </c>
    </row>
    <row r="63" spans="1:6" s="1420" customFormat="1" ht="17.25" hidden="1" customHeight="1" thickTop="1" x14ac:dyDescent="0.3">
      <c r="A63" s="1392">
        <v>42278</v>
      </c>
      <c r="B63" s="1388">
        <v>59189</v>
      </c>
      <c r="C63" s="1389">
        <v>199123</v>
      </c>
      <c r="D63" s="1389">
        <v>22</v>
      </c>
      <c r="E63" s="1389">
        <v>2690</v>
      </c>
      <c r="F63" s="1421">
        <v>9051</v>
      </c>
    </row>
    <row r="64" spans="1:6" s="1420" customFormat="1" ht="17.25" hidden="1" customHeight="1" thickTop="1" x14ac:dyDescent="0.3">
      <c r="A64" s="1392">
        <v>42309</v>
      </c>
      <c r="B64" s="1388">
        <v>60462</v>
      </c>
      <c r="C64" s="1389">
        <v>177585</v>
      </c>
      <c r="D64" s="1389">
        <v>19</v>
      </c>
      <c r="E64" s="1389">
        <v>3182</v>
      </c>
      <c r="F64" s="1421">
        <v>9347</v>
      </c>
    </row>
    <row r="65" spans="1:6" s="1420" customFormat="1" ht="17.25" hidden="1" customHeight="1" thickTop="1" x14ac:dyDescent="0.3">
      <c r="A65" s="1392">
        <v>42339</v>
      </c>
      <c r="B65" s="1388">
        <v>76922</v>
      </c>
      <c r="C65" s="1389">
        <v>253578</v>
      </c>
      <c r="D65" s="1389">
        <v>22</v>
      </c>
      <c r="E65" s="1389">
        <v>3496</v>
      </c>
      <c r="F65" s="1421">
        <v>11526</v>
      </c>
    </row>
    <row r="66" spans="1:6" s="1420" customFormat="1" ht="17.25" hidden="1" customHeight="1" thickTop="1" x14ac:dyDescent="0.3">
      <c r="A66" s="1392">
        <v>42370</v>
      </c>
      <c r="B66" s="1388">
        <v>52011</v>
      </c>
      <c r="C66" s="1389">
        <v>253516</v>
      </c>
      <c r="D66" s="1389">
        <v>20</v>
      </c>
      <c r="E66" s="1389">
        <v>2601</v>
      </c>
      <c r="F66" s="1421">
        <v>12676</v>
      </c>
    </row>
    <row r="67" spans="1:6" s="1420" customFormat="1" ht="17.25" hidden="1" customHeight="1" thickTop="1" x14ac:dyDescent="0.3">
      <c r="A67" s="1392">
        <v>42401</v>
      </c>
      <c r="B67" s="1388">
        <v>62518</v>
      </c>
      <c r="C67" s="1389">
        <v>211597</v>
      </c>
      <c r="D67" s="1389">
        <v>19</v>
      </c>
      <c r="E67" s="1389">
        <v>3290</v>
      </c>
      <c r="F67" s="1421">
        <v>11137</v>
      </c>
    </row>
    <row r="68" spans="1:6" s="1420" customFormat="1" ht="17.25" hidden="1" customHeight="1" thickTop="1" x14ac:dyDescent="0.3">
      <c r="A68" s="1392">
        <v>42430</v>
      </c>
      <c r="B68" s="1388">
        <v>64922</v>
      </c>
      <c r="C68" s="1389">
        <v>223848</v>
      </c>
      <c r="D68" s="1389">
        <v>22</v>
      </c>
      <c r="E68" s="1389">
        <v>2951</v>
      </c>
      <c r="F68" s="1421">
        <v>10175</v>
      </c>
    </row>
    <row r="69" spans="1:6" s="1420" customFormat="1" ht="17.25" hidden="1" customHeight="1" thickTop="1" x14ac:dyDescent="0.3">
      <c r="A69" s="1392">
        <v>42461</v>
      </c>
      <c r="B69" s="1388">
        <v>57129</v>
      </c>
      <c r="C69" s="1389">
        <v>215673</v>
      </c>
      <c r="D69" s="1389">
        <v>20</v>
      </c>
      <c r="E69" s="1389">
        <v>2856</v>
      </c>
      <c r="F69" s="1421">
        <v>10784</v>
      </c>
    </row>
    <row r="70" spans="1:6" s="1420" customFormat="1" ht="17.25" hidden="1" customHeight="1" thickTop="1" x14ac:dyDescent="0.3">
      <c r="A70" s="1392">
        <v>42491</v>
      </c>
      <c r="B70" s="1388">
        <v>69200</v>
      </c>
      <c r="C70" s="1389">
        <v>219755</v>
      </c>
      <c r="D70" s="1389">
        <v>22</v>
      </c>
      <c r="E70" s="1389">
        <v>3145</v>
      </c>
      <c r="F70" s="1421">
        <v>9989</v>
      </c>
    </row>
    <row r="71" spans="1:6" s="1420" customFormat="1" ht="17.25" hidden="1" customHeight="1" thickTop="1" x14ac:dyDescent="0.3">
      <c r="A71" s="1392">
        <v>42522</v>
      </c>
      <c r="B71" s="1388">
        <v>65589</v>
      </c>
      <c r="C71" s="1389">
        <v>261357</v>
      </c>
      <c r="D71" s="1389">
        <v>22</v>
      </c>
      <c r="E71" s="1389">
        <v>2981</v>
      </c>
      <c r="F71" s="1421">
        <v>11880</v>
      </c>
    </row>
    <row r="72" spans="1:6" s="1420" customFormat="1" ht="17.25" hidden="1" customHeight="1" thickTop="1" x14ac:dyDescent="0.3">
      <c r="A72" s="1392">
        <v>42552</v>
      </c>
      <c r="B72" s="1388">
        <v>57011</v>
      </c>
      <c r="C72" s="1389">
        <v>222186</v>
      </c>
      <c r="D72" s="1389">
        <v>20</v>
      </c>
      <c r="E72" s="1389">
        <v>2851</v>
      </c>
      <c r="F72" s="1421">
        <v>11109</v>
      </c>
    </row>
    <row r="73" spans="1:6" s="1420" customFormat="1" ht="17.25" hidden="1" customHeight="1" thickTop="1" x14ac:dyDescent="0.3">
      <c r="A73" s="1392">
        <v>42583</v>
      </c>
      <c r="B73" s="1388">
        <v>68655</v>
      </c>
      <c r="C73" s="1389">
        <v>226764</v>
      </c>
      <c r="D73" s="1389">
        <v>22</v>
      </c>
      <c r="E73" s="1389">
        <v>3121</v>
      </c>
      <c r="F73" s="1421">
        <v>10307</v>
      </c>
    </row>
    <row r="74" spans="1:6" s="1420" customFormat="1" ht="17.25" hidden="1" customHeight="1" thickTop="1" x14ac:dyDescent="0.3">
      <c r="A74" s="1392">
        <v>42614</v>
      </c>
      <c r="B74" s="1388">
        <v>63895</v>
      </c>
      <c r="C74" s="1389">
        <v>220931</v>
      </c>
      <c r="D74" s="1389">
        <v>21</v>
      </c>
      <c r="E74" s="1389">
        <v>3043</v>
      </c>
      <c r="F74" s="1421">
        <v>10521</v>
      </c>
    </row>
    <row r="75" spans="1:6" s="1420" customFormat="1" ht="17.25" hidden="1" customHeight="1" thickTop="1" x14ac:dyDescent="0.3">
      <c r="A75" s="1392">
        <v>42644</v>
      </c>
      <c r="B75" s="1388">
        <v>64811</v>
      </c>
      <c r="C75" s="1389">
        <v>188398</v>
      </c>
      <c r="D75" s="1389">
        <v>21</v>
      </c>
      <c r="E75" s="1389">
        <v>3086</v>
      </c>
      <c r="F75" s="1421">
        <v>8971</v>
      </c>
    </row>
    <row r="76" spans="1:6" s="1420" customFormat="1" ht="17.25" hidden="1" customHeight="1" thickTop="1" x14ac:dyDescent="0.3">
      <c r="A76" s="1392">
        <v>42675</v>
      </c>
      <c r="B76" s="1388">
        <v>65062</v>
      </c>
      <c r="C76" s="1389">
        <v>196024</v>
      </c>
      <c r="D76" s="1389">
        <v>21</v>
      </c>
      <c r="E76" s="1389">
        <v>3098</v>
      </c>
      <c r="F76" s="1421">
        <v>9334</v>
      </c>
    </row>
    <row r="77" spans="1:6" s="1420" customFormat="1" ht="17.25" hidden="1" customHeight="1" thickTop="1" x14ac:dyDescent="0.3">
      <c r="A77" s="1392">
        <v>42705</v>
      </c>
      <c r="B77" s="1388">
        <v>81451</v>
      </c>
      <c r="C77" s="1389">
        <v>260639</v>
      </c>
      <c r="D77" s="1389">
        <v>22</v>
      </c>
      <c r="E77" s="1389">
        <v>3702</v>
      </c>
      <c r="F77" s="1421">
        <v>11847</v>
      </c>
    </row>
    <row r="78" spans="1:6" s="1420" customFormat="1" ht="17.25" hidden="1" customHeight="1" thickTop="1" x14ac:dyDescent="0.3">
      <c r="A78" s="1392">
        <v>42736</v>
      </c>
      <c r="B78" s="1388">
        <v>66836</v>
      </c>
      <c r="C78" s="1389">
        <v>227128</v>
      </c>
      <c r="D78" s="1389">
        <v>21</v>
      </c>
      <c r="E78" s="1389">
        <v>3183</v>
      </c>
      <c r="F78" s="1421">
        <v>10816</v>
      </c>
    </row>
    <row r="79" spans="1:6" s="1420" customFormat="1" ht="16.5" hidden="1" customHeight="1" x14ac:dyDescent="0.3">
      <c r="A79" s="1393">
        <v>42767</v>
      </c>
      <c r="B79" s="1388">
        <v>62308</v>
      </c>
      <c r="C79" s="1389">
        <v>172975</v>
      </c>
      <c r="D79" s="1389">
        <v>17</v>
      </c>
      <c r="E79" s="1389">
        <v>3665</v>
      </c>
      <c r="F79" s="1421">
        <v>10175</v>
      </c>
    </row>
    <row r="80" spans="1:6" s="1420" customFormat="1" ht="16.5" hidden="1" customHeight="1" x14ac:dyDescent="0.3">
      <c r="A80" s="1393">
        <v>42795</v>
      </c>
      <c r="B80" s="1388">
        <v>76832</v>
      </c>
      <c r="C80" s="1389">
        <v>260402</v>
      </c>
      <c r="D80" s="1389">
        <v>22</v>
      </c>
      <c r="E80" s="1389">
        <v>3492</v>
      </c>
      <c r="F80" s="1421">
        <v>11836</v>
      </c>
    </row>
    <row r="81" spans="1:6" s="1420" customFormat="1" ht="16.5" hidden="1" customHeight="1" x14ac:dyDescent="0.3">
      <c r="A81" s="1393">
        <v>42826</v>
      </c>
      <c r="B81" s="1388">
        <v>65388</v>
      </c>
      <c r="C81" s="1389">
        <v>234471</v>
      </c>
      <c r="D81" s="1389">
        <v>20</v>
      </c>
      <c r="E81" s="1389">
        <v>3269</v>
      </c>
      <c r="F81" s="1421">
        <v>11724</v>
      </c>
    </row>
    <row r="82" spans="1:6" s="1420" customFormat="1" ht="16.5" hidden="1" customHeight="1" x14ac:dyDescent="0.3">
      <c r="A82" s="1393">
        <v>42856</v>
      </c>
      <c r="B82" s="1388">
        <v>83833</v>
      </c>
      <c r="C82" s="1389">
        <v>216262</v>
      </c>
      <c r="D82" s="1389">
        <v>22</v>
      </c>
      <c r="E82" s="1389">
        <v>3811</v>
      </c>
      <c r="F82" s="1421">
        <v>9830</v>
      </c>
    </row>
    <row r="83" spans="1:6" s="1420" customFormat="1" ht="16.5" hidden="1" customHeight="1" x14ac:dyDescent="0.3">
      <c r="A83" s="1393">
        <v>42887</v>
      </c>
      <c r="B83" s="1388">
        <v>78973</v>
      </c>
      <c r="C83" s="1389">
        <v>253396</v>
      </c>
      <c r="D83" s="1389">
        <v>21</v>
      </c>
      <c r="E83" s="1389">
        <v>3761</v>
      </c>
      <c r="F83" s="1421">
        <v>12066</v>
      </c>
    </row>
    <row r="84" spans="1:6" s="1420" customFormat="1" ht="16.5" hidden="1" customHeight="1" x14ac:dyDescent="0.3">
      <c r="A84" s="1393">
        <v>42917</v>
      </c>
      <c r="B84" s="1388">
        <v>77852</v>
      </c>
      <c r="C84" s="1389">
        <v>259200</v>
      </c>
      <c r="D84" s="1389">
        <v>21</v>
      </c>
      <c r="E84" s="1389">
        <v>3707</v>
      </c>
      <c r="F84" s="1421">
        <v>12343</v>
      </c>
    </row>
    <row r="85" spans="1:6" s="1420" customFormat="1" ht="16.5" hidden="1" customHeight="1" x14ac:dyDescent="0.3">
      <c r="A85" s="1393">
        <v>42948</v>
      </c>
      <c r="B85" s="1388">
        <v>79598</v>
      </c>
      <c r="C85" s="1389">
        <v>238941</v>
      </c>
      <c r="D85" s="1389">
        <v>23</v>
      </c>
      <c r="E85" s="1389">
        <v>3461</v>
      </c>
      <c r="F85" s="1421">
        <v>10389</v>
      </c>
    </row>
    <row r="86" spans="1:6" s="1420" customFormat="1" ht="16.5" hidden="1" customHeight="1" x14ac:dyDescent="0.3">
      <c r="A86" s="1393">
        <v>42979</v>
      </c>
      <c r="B86" s="1388">
        <v>71140</v>
      </c>
      <c r="C86" s="1389">
        <v>240405</v>
      </c>
      <c r="D86" s="1389">
        <v>21</v>
      </c>
      <c r="E86" s="1389">
        <v>3388</v>
      </c>
      <c r="F86" s="1421">
        <v>11448</v>
      </c>
    </row>
    <row r="87" spans="1:6" s="1420" customFormat="1" ht="16.5" hidden="1" customHeight="1" x14ac:dyDescent="0.3">
      <c r="A87" s="1393">
        <v>43009</v>
      </c>
      <c r="B87" s="1388">
        <v>90624</v>
      </c>
      <c r="C87" s="1389">
        <v>229265</v>
      </c>
      <c r="D87" s="1389">
        <v>21</v>
      </c>
      <c r="E87" s="1389">
        <v>4315</v>
      </c>
      <c r="F87" s="1421">
        <v>10917</v>
      </c>
    </row>
    <row r="88" spans="1:6" s="1420" customFormat="1" ht="16.5" hidden="1" customHeight="1" x14ac:dyDescent="0.3">
      <c r="A88" s="1393">
        <v>43040</v>
      </c>
      <c r="B88" s="1388">
        <v>82355</v>
      </c>
      <c r="C88" s="1389">
        <v>213845</v>
      </c>
      <c r="D88" s="1389">
        <v>20</v>
      </c>
      <c r="E88" s="1389">
        <v>4118</v>
      </c>
      <c r="F88" s="1421">
        <v>10692</v>
      </c>
    </row>
    <row r="89" spans="1:6" s="1420" customFormat="1" ht="16.5" hidden="1" customHeight="1" x14ac:dyDescent="0.3">
      <c r="A89" s="1393">
        <v>43070</v>
      </c>
      <c r="B89" s="1388">
        <v>99690</v>
      </c>
      <c r="C89" s="1389">
        <v>282514</v>
      </c>
      <c r="D89" s="1389">
        <v>20</v>
      </c>
      <c r="E89" s="1389">
        <v>4985</v>
      </c>
      <c r="F89" s="1421">
        <v>14126</v>
      </c>
    </row>
    <row r="90" spans="1:6" s="1420" customFormat="1" ht="17.25" hidden="1" customHeight="1" thickTop="1" x14ac:dyDescent="0.3">
      <c r="A90" s="1393">
        <v>43101</v>
      </c>
      <c r="B90" s="1388">
        <v>78536</v>
      </c>
      <c r="C90" s="1389">
        <v>235683</v>
      </c>
      <c r="D90" s="1389">
        <v>19</v>
      </c>
      <c r="E90" s="1389">
        <v>4133</v>
      </c>
      <c r="F90" s="1421">
        <v>12404</v>
      </c>
    </row>
    <row r="91" spans="1:6" s="1420" customFormat="1" ht="16.5" hidden="1" customHeight="1" x14ac:dyDescent="0.3">
      <c r="A91" s="1393">
        <v>43132</v>
      </c>
      <c r="B91" s="1388">
        <v>86723</v>
      </c>
      <c r="C91" s="1389">
        <v>293041</v>
      </c>
      <c r="D91" s="1389">
        <v>17</v>
      </c>
      <c r="E91" s="1389">
        <v>5101</v>
      </c>
      <c r="F91" s="1421">
        <v>17238</v>
      </c>
    </row>
    <row r="92" spans="1:6" s="1420" customFormat="1" ht="16.5" hidden="1" customHeight="1" x14ac:dyDescent="0.3">
      <c r="A92" s="1393">
        <v>43160</v>
      </c>
      <c r="B92" s="1388">
        <v>82482</v>
      </c>
      <c r="C92" s="1389">
        <v>247221</v>
      </c>
      <c r="D92" s="1389">
        <v>21</v>
      </c>
      <c r="E92" s="1389">
        <v>3928</v>
      </c>
      <c r="F92" s="1421">
        <v>11772</v>
      </c>
    </row>
    <row r="93" spans="1:6" s="1420" customFormat="1" ht="16.5" hidden="1" customHeight="1" x14ac:dyDescent="0.3">
      <c r="A93" s="1393">
        <v>43191</v>
      </c>
      <c r="B93" s="1388">
        <v>92093</v>
      </c>
      <c r="C93" s="1389">
        <v>273906</v>
      </c>
      <c r="D93" s="1389">
        <v>21</v>
      </c>
      <c r="E93" s="1389">
        <v>4385</v>
      </c>
      <c r="F93" s="1421">
        <v>13043</v>
      </c>
    </row>
    <row r="94" spans="1:6" s="1420" customFormat="1" ht="16.5" hidden="1" customHeight="1" x14ac:dyDescent="0.3">
      <c r="A94" s="1393">
        <v>43221</v>
      </c>
      <c r="B94" s="1388">
        <v>91042</v>
      </c>
      <c r="C94" s="1389">
        <v>266885</v>
      </c>
      <c r="D94" s="1389">
        <v>22</v>
      </c>
      <c r="E94" s="1389">
        <v>4138</v>
      </c>
      <c r="F94" s="1421">
        <v>12131</v>
      </c>
    </row>
    <row r="95" spans="1:6" s="1420" customFormat="1" ht="16.5" hidden="1" customHeight="1" x14ac:dyDescent="0.3">
      <c r="A95" s="1393">
        <v>43252</v>
      </c>
      <c r="B95" s="1388">
        <v>91994</v>
      </c>
      <c r="C95" s="1389">
        <v>267348</v>
      </c>
      <c r="D95" s="1389">
        <v>21</v>
      </c>
      <c r="E95" s="1389">
        <v>4381</v>
      </c>
      <c r="F95" s="1421">
        <v>12731</v>
      </c>
    </row>
    <row r="96" spans="1:6" s="1420" customFormat="1" ht="16.5" hidden="1" customHeight="1" x14ac:dyDescent="0.3">
      <c r="A96" s="1393">
        <v>43282</v>
      </c>
      <c r="B96" s="1388">
        <v>92490</v>
      </c>
      <c r="C96" s="1389">
        <v>195832</v>
      </c>
      <c r="D96" s="1389">
        <v>22</v>
      </c>
      <c r="E96" s="1389">
        <v>4204</v>
      </c>
      <c r="F96" s="1421">
        <v>8901</v>
      </c>
    </row>
    <row r="97" spans="1:8" s="1420" customFormat="1" ht="16.5" hidden="1" customHeight="1" x14ac:dyDescent="0.3">
      <c r="A97" s="1393">
        <v>43313</v>
      </c>
      <c r="B97" s="1388">
        <v>91096</v>
      </c>
      <c r="C97" s="1389">
        <v>242535</v>
      </c>
      <c r="D97" s="1389">
        <v>22</v>
      </c>
      <c r="E97" s="1389">
        <v>4141</v>
      </c>
      <c r="F97" s="1421">
        <v>11024</v>
      </c>
    </row>
    <row r="98" spans="1:8" s="1420" customFormat="1" ht="16.5" hidden="1" customHeight="1" x14ac:dyDescent="0.3">
      <c r="A98" s="1393">
        <v>43344</v>
      </c>
      <c r="B98" s="1388">
        <v>76792</v>
      </c>
      <c r="C98" s="1389">
        <v>194841</v>
      </c>
      <c r="D98" s="1389">
        <v>19</v>
      </c>
      <c r="E98" s="1389">
        <v>4042</v>
      </c>
      <c r="F98" s="1421">
        <v>10255</v>
      </c>
    </row>
    <row r="99" spans="1:8" s="1420" customFormat="1" ht="16.5" hidden="1" customHeight="1" x14ac:dyDescent="0.3">
      <c r="A99" s="1393">
        <v>43374</v>
      </c>
      <c r="B99" s="1388">
        <v>107212</v>
      </c>
      <c r="C99" s="1389">
        <v>239481</v>
      </c>
      <c r="D99" s="1389">
        <v>23</v>
      </c>
      <c r="E99" s="1389">
        <v>4661</v>
      </c>
      <c r="F99" s="1421">
        <v>10412</v>
      </c>
    </row>
    <row r="100" spans="1:8" s="1420" customFormat="1" ht="16.5" hidden="1" customHeight="1" x14ac:dyDescent="0.3">
      <c r="A100" s="1393">
        <v>43405</v>
      </c>
      <c r="B100" s="1388">
        <v>93267</v>
      </c>
      <c r="C100" s="1389">
        <v>249899</v>
      </c>
      <c r="D100" s="1389">
        <v>20</v>
      </c>
      <c r="E100" s="1389">
        <v>4663</v>
      </c>
      <c r="F100" s="1421">
        <v>12495</v>
      </c>
    </row>
    <row r="101" spans="1:8" s="1420" customFormat="1" ht="16.5" hidden="1" customHeight="1" x14ac:dyDescent="0.3">
      <c r="A101" s="1393">
        <v>43435</v>
      </c>
      <c r="B101" s="1388">
        <v>111315</v>
      </c>
      <c r="C101" s="1389">
        <v>295538</v>
      </c>
      <c r="D101" s="1389">
        <v>20</v>
      </c>
      <c r="E101" s="1389">
        <v>5566</v>
      </c>
      <c r="F101" s="1421">
        <v>14777</v>
      </c>
    </row>
    <row r="102" spans="1:8" s="1420" customFormat="1" ht="17.25" hidden="1" thickTop="1" x14ac:dyDescent="0.3">
      <c r="A102" s="1393">
        <v>43466</v>
      </c>
      <c r="B102" s="1388">
        <v>102170</v>
      </c>
      <c r="C102" s="1389">
        <v>247334</v>
      </c>
      <c r="D102" s="1389">
        <v>20</v>
      </c>
      <c r="E102" s="1389">
        <v>5109</v>
      </c>
      <c r="F102" s="1421">
        <v>12367</v>
      </c>
    </row>
    <row r="103" spans="1:8" s="1420" customFormat="1" ht="17.25" hidden="1" thickTop="1" x14ac:dyDescent="0.3">
      <c r="A103" s="1393">
        <v>43497</v>
      </c>
      <c r="B103" s="1388">
        <v>86111</v>
      </c>
      <c r="C103" s="1389">
        <v>238735</v>
      </c>
      <c r="D103" s="1389">
        <v>18</v>
      </c>
      <c r="E103" s="1389">
        <v>4784</v>
      </c>
      <c r="F103" s="1421">
        <v>13263</v>
      </c>
    </row>
    <row r="104" spans="1:8" s="1420" customFormat="1" ht="17.25" hidden="1" thickTop="1" x14ac:dyDescent="0.3">
      <c r="A104" s="1392">
        <v>43525</v>
      </c>
      <c r="B104" s="1388">
        <v>87109</v>
      </c>
      <c r="C104" s="1389">
        <v>244427</v>
      </c>
      <c r="D104" s="1389">
        <v>19</v>
      </c>
      <c r="E104" s="1389">
        <v>4585</v>
      </c>
      <c r="F104" s="1421">
        <v>12865</v>
      </c>
    </row>
    <row r="105" spans="1:8" s="1420" customFormat="1" ht="17.25" hidden="1" thickTop="1" x14ac:dyDescent="0.3">
      <c r="A105" s="1392">
        <v>43556</v>
      </c>
      <c r="B105" s="1388">
        <v>107169</v>
      </c>
      <c r="C105" s="1389">
        <v>272553</v>
      </c>
      <c r="D105" s="1389">
        <v>22</v>
      </c>
      <c r="E105" s="1389">
        <v>4871</v>
      </c>
      <c r="F105" s="1421">
        <v>12389</v>
      </c>
    </row>
    <row r="106" spans="1:8" s="1420" customFormat="1" ht="17.25" hidden="1" thickTop="1" x14ac:dyDescent="0.3">
      <c r="A106" s="1392">
        <v>43586</v>
      </c>
      <c r="B106" s="1388">
        <v>103041</v>
      </c>
      <c r="C106" s="1389">
        <v>292643</v>
      </c>
      <c r="D106" s="1389">
        <v>22</v>
      </c>
      <c r="E106" s="1389">
        <v>4684</v>
      </c>
      <c r="F106" s="1421">
        <v>13302</v>
      </c>
    </row>
    <row r="107" spans="1:8" s="1420" customFormat="1" ht="17.25" hidden="1" thickTop="1" x14ac:dyDescent="0.3">
      <c r="A107" s="1392">
        <v>43617</v>
      </c>
      <c r="B107" s="1388">
        <v>96992</v>
      </c>
      <c r="C107" s="1389">
        <v>321512</v>
      </c>
      <c r="D107" s="1389">
        <v>19</v>
      </c>
      <c r="E107" s="1389">
        <v>5105</v>
      </c>
      <c r="F107" s="1421">
        <v>16922</v>
      </c>
    </row>
    <row r="108" spans="1:8" s="1420" customFormat="1" ht="17.25" hidden="1" thickTop="1" x14ac:dyDescent="0.3">
      <c r="A108" s="1392">
        <v>43647</v>
      </c>
      <c r="B108" s="1388">
        <v>104816</v>
      </c>
      <c r="C108" s="1389">
        <v>225573</v>
      </c>
      <c r="D108" s="1389">
        <v>24</v>
      </c>
      <c r="E108" s="1389">
        <v>4367</v>
      </c>
      <c r="F108" s="1421">
        <v>9399</v>
      </c>
    </row>
    <row r="109" spans="1:8" s="1420" customFormat="1" ht="17.25" hidden="1" thickTop="1" x14ac:dyDescent="0.3">
      <c r="A109" s="1392">
        <v>43678</v>
      </c>
      <c r="B109" s="1388">
        <v>93962</v>
      </c>
      <c r="C109" s="1389">
        <v>269150</v>
      </c>
      <c r="D109" s="1389">
        <v>22</v>
      </c>
      <c r="E109" s="1389">
        <v>4271</v>
      </c>
      <c r="F109" s="1421">
        <v>12234</v>
      </c>
    </row>
    <row r="110" spans="1:8" s="1420" customFormat="1" ht="17.25" hidden="1" thickTop="1" x14ac:dyDescent="0.3">
      <c r="A110" s="1392">
        <v>43709</v>
      </c>
      <c r="B110" s="1388">
        <v>107491</v>
      </c>
      <c r="C110" s="1389">
        <v>246650</v>
      </c>
      <c r="D110" s="1389">
        <v>19</v>
      </c>
      <c r="E110" s="1389">
        <v>5657</v>
      </c>
      <c r="F110" s="1421">
        <v>12982</v>
      </c>
    </row>
    <row r="111" spans="1:8" s="1420" customFormat="1" ht="17.25" hidden="1" thickTop="1" x14ac:dyDescent="0.3">
      <c r="A111" s="1392">
        <v>43739</v>
      </c>
      <c r="B111" s="1388">
        <v>110379</v>
      </c>
      <c r="C111" s="1389">
        <v>276285</v>
      </c>
      <c r="D111" s="1389">
        <v>23</v>
      </c>
      <c r="E111" s="1389">
        <v>4799</v>
      </c>
      <c r="F111" s="1421">
        <v>12012</v>
      </c>
    </row>
    <row r="112" spans="1:8" s="1420" customFormat="1" ht="17.25" hidden="1" thickTop="1" x14ac:dyDescent="0.3">
      <c r="A112" s="1392">
        <v>43770</v>
      </c>
      <c r="B112" s="1388">
        <v>92147</v>
      </c>
      <c r="C112" s="1389">
        <v>301442</v>
      </c>
      <c r="D112" s="1389">
        <v>19</v>
      </c>
      <c r="E112" s="1389">
        <v>4850</v>
      </c>
      <c r="F112" s="1421">
        <v>15865.368421052632</v>
      </c>
      <c r="G112" s="1422"/>
      <c r="H112" s="1422"/>
    </row>
    <row r="113" spans="1:8" s="1420" customFormat="1" ht="17.25" hidden="1" thickTop="1" x14ac:dyDescent="0.3">
      <c r="A113" s="1392">
        <v>43800</v>
      </c>
      <c r="B113" s="1388">
        <v>131738</v>
      </c>
      <c r="C113" s="1389">
        <v>359946</v>
      </c>
      <c r="D113" s="1389">
        <v>20</v>
      </c>
      <c r="E113" s="1389">
        <v>6587</v>
      </c>
      <c r="F113" s="1421">
        <v>17997</v>
      </c>
      <c r="G113" s="1422"/>
      <c r="H113" s="1422"/>
    </row>
    <row r="114" spans="1:8" s="1420" customFormat="1" ht="17.25" thickTop="1" x14ac:dyDescent="0.3">
      <c r="A114" s="1392">
        <v>43831</v>
      </c>
      <c r="B114" s="1388">
        <v>117273</v>
      </c>
      <c r="C114" s="1389">
        <v>354569</v>
      </c>
      <c r="D114" s="1389">
        <v>21</v>
      </c>
      <c r="E114" s="1389">
        <f>B114/D114</f>
        <v>5584.4285714285716</v>
      </c>
      <c r="F114" s="1421">
        <f>C114/D114</f>
        <v>16884.238095238095</v>
      </c>
      <c r="G114" s="1422"/>
      <c r="H114" s="1422"/>
    </row>
    <row r="115" spans="1:8" s="1420" customFormat="1" x14ac:dyDescent="0.3">
      <c r="A115" s="1392">
        <v>43862</v>
      </c>
      <c r="B115" s="1388">
        <v>88864</v>
      </c>
      <c r="C115" s="1389">
        <v>332152</v>
      </c>
      <c r="D115" s="1389">
        <v>19</v>
      </c>
      <c r="E115" s="1389">
        <v>4677</v>
      </c>
      <c r="F115" s="1421">
        <v>17482</v>
      </c>
      <c r="G115" s="1423"/>
      <c r="H115" s="1422"/>
    </row>
    <row r="116" spans="1:8" s="1420" customFormat="1" x14ac:dyDescent="0.3">
      <c r="A116" s="1392">
        <v>43891</v>
      </c>
      <c r="B116" s="1388">
        <v>97707</v>
      </c>
      <c r="C116" s="1389">
        <v>261527</v>
      </c>
      <c r="D116" s="1389">
        <v>20</v>
      </c>
      <c r="E116" s="1389">
        <v>4885</v>
      </c>
      <c r="F116" s="1421">
        <v>13076</v>
      </c>
      <c r="G116" s="1423"/>
      <c r="H116" s="1422"/>
    </row>
    <row r="117" spans="1:8" s="1420" customFormat="1" x14ac:dyDescent="0.3">
      <c r="A117" s="1392">
        <v>43922</v>
      </c>
      <c r="B117" s="1388">
        <v>92158</v>
      </c>
      <c r="C117" s="1389">
        <v>211732</v>
      </c>
      <c r="D117" s="1389">
        <v>22</v>
      </c>
      <c r="E117" s="1389">
        <v>4189</v>
      </c>
      <c r="F117" s="1421">
        <v>9624</v>
      </c>
      <c r="G117" s="1423"/>
      <c r="H117" s="1422"/>
    </row>
    <row r="118" spans="1:8" s="1420" customFormat="1" x14ac:dyDescent="0.3">
      <c r="A118" s="1392">
        <v>43952</v>
      </c>
      <c r="B118" s="1388">
        <v>94609</v>
      </c>
      <c r="C118" s="1389">
        <v>212297</v>
      </c>
      <c r="D118" s="1389">
        <v>20</v>
      </c>
      <c r="E118" s="1389">
        <v>4730</v>
      </c>
      <c r="F118" s="1421">
        <v>10615</v>
      </c>
      <c r="G118" s="1423"/>
      <c r="H118" s="1422"/>
    </row>
    <row r="119" spans="1:8" s="1420" customFormat="1" x14ac:dyDescent="0.3">
      <c r="A119" s="1392">
        <v>43983</v>
      </c>
      <c r="B119" s="1388">
        <v>134228</v>
      </c>
      <c r="C119" s="1389">
        <v>373434</v>
      </c>
      <c r="D119" s="1389">
        <v>22</v>
      </c>
      <c r="E119" s="1389">
        <v>6101</v>
      </c>
      <c r="F119" s="1421">
        <v>16974</v>
      </c>
      <c r="G119" s="1423"/>
      <c r="H119" s="1422"/>
    </row>
    <row r="120" spans="1:8" s="1420" customFormat="1" x14ac:dyDescent="0.3">
      <c r="A120" s="1392">
        <v>44013</v>
      </c>
      <c r="B120" s="1388">
        <v>113382</v>
      </c>
      <c r="C120" s="1389">
        <v>337960.45621734002</v>
      </c>
      <c r="D120" s="1389">
        <v>23</v>
      </c>
      <c r="E120" s="1389">
        <v>4929.652173913043</v>
      </c>
      <c r="F120" s="1421">
        <v>14693.932879014783</v>
      </c>
      <c r="G120" s="1423"/>
      <c r="H120" s="1422"/>
    </row>
    <row r="121" spans="1:8" s="1420" customFormat="1" x14ac:dyDescent="0.3">
      <c r="A121" s="1392">
        <v>44044</v>
      </c>
      <c r="B121" s="1388">
        <v>102862</v>
      </c>
      <c r="C121" s="1389">
        <v>330240.32741725002</v>
      </c>
      <c r="D121" s="1389">
        <v>21</v>
      </c>
      <c r="E121" s="1389">
        <v>4898.1904761904761</v>
      </c>
      <c r="F121" s="1421">
        <v>15725.729877011905</v>
      </c>
      <c r="G121" s="1423"/>
      <c r="H121" s="1422"/>
    </row>
    <row r="122" spans="1:8" s="1420" customFormat="1" x14ac:dyDescent="0.3">
      <c r="A122" s="1392">
        <v>44075</v>
      </c>
      <c r="B122" s="1388">
        <v>107587</v>
      </c>
      <c r="C122" s="1389">
        <v>367847.95492542</v>
      </c>
      <c r="D122" s="1389">
        <v>22</v>
      </c>
      <c r="E122" s="1389">
        <v>4890.318181818182</v>
      </c>
      <c r="F122" s="1421">
        <v>16720.361587519092</v>
      </c>
      <c r="G122" s="1423"/>
      <c r="H122" s="1422"/>
    </row>
    <row r="123" spans="1:8" s="1420" customFormat="1" x14ac:dyDescent="0.3">
      <c r="A123" s="1392">
        <v>44105</v>
      </c>
      <c r="B123" s="1388">
        <v>100289</v>
      </c>
      <c r="C123" s="1389">
        <v>220600.03425431999</v>
      </c>
      <c r="D123" s="1389">
        <v>22</v>
      </c>
      <c r="E123" s="1389">
        <v>4558.590909090909</v>
      </c>
      <c r="F123" s="1421">
        <v>10027.274284287272</v>
      </c>
      <c r="G123" s="1423"/>
      <c r="H123" s="1422"/>
    </row>
    <row r="124" spans="1:8" s="1420" customFormat="1" x14ac:dyDescent="0.3">
      <c r="A124" s="1392">
        <v>44136</v>
      </c>
      <c r="B124" s="1388">
        <v>128172</v>
      </c>
      <c r="C124" s="1389">
        <v>217055.19184104999</v>
      </c>
      <c r="D124" s="1389">
        <v>20</v>
      </c>
      <c r="E124" s="1389">
        <v>6408.6</v>
      </c>
      <c r="F124" s="1421">
        <v>10852.7595920525</v>
      </c>
      <c r="G124" s="1423"/>
      <c r="H124" s="1422"/>
    </row>
    <row r="125" spans="1:8" s="1420" customFormat="1" x14ac:dyDescent="0.3">
      <c r="A125" s="1392">
        <v>44166</v>
      </c>
      <c r="B125" s="1388">
        <v>147734</v>
      </c>
      <c r="C125" s="1389">
        <f>336284385573.98/1000000</f>
        <v>336284.38557397999</v>
      </c>
      <c r="D125" s="1389">
        <v>22</v>
      </c>
      <c r="E125" s="1389">
        <f>B125/D125</f>
        <v>6715.181818181818</v>
      </c>
      <c r="F125" s="1421">
        <f>C125/D125</f>
        <v>15285.653889726364</v>
      </c>
      <c r="G125" s="1423"/>
      <c r="H125" s="1422"/>
    </row>
    <row r="126" spans="1:8" s="1420" customFormat="1" x14ac:dyDescent="0.3">
      <c r="A126" s="1392">
        <v>44197</v>
      </c>
      <c r="B126" s="1388">
        <v>106431</v>
      </c>
      <c r="C126" s="1389">
        <v>237262</v>
      </c>
      <c r="D126" s="1389">
        <v>19</v>
      </c>
      <c r="E126" s="1389">
        <v>5602</v>
      </c>
      <c r="F126" s="1421">
        <v>12487</v>
      </c>
      <c r="G126" s="1423"/>
      <c r="H126" s="1422"/>
    </row>
    <row r="127" spans="1:8" s="1420" customFormat="1" x14ac:dyDescent="0.3">
      <c r="A127" s="1392">
        <v>44228</v>
      </c>
      <c r="B127" s="1388">
        <v>109610</v>
      </c>
      <c r="C127" s="1389">
        <v>203589</v>
      </c>
      <c r="D127" s="1389">
        <v>18</v>
      </c>
      <c r="E127" s="1389">
        <v>6089</v>
      </c>
      <c r="F127" s="1421">
        <v>11311</v>
      </c>
      <c r="G127" s="1423"/>
      <c r="H127" s="1422"/>
    </row>
    <row r="128" spans="1:8" s="1420" customFormat="1" x14ac:dyDescent="0.3">
      <c r="A128" s="1392">
        <v>44256</v>
      </c>
      <c r="B128" s="1388">
        <v>125724</v>
      </c>
      <c r="C128" s="1389">
        <v>290385</v>
      </c>
      <c r="D128" s="1389">
        <v>21</v>
      </c>
      <c r="E128" s="1389">
        <v>5987</v>
      </c>
      <c r="F128" s="1421">
        <v>13828</v>
      </c>
      <c r="G128" s="1423"/>
      <c r="H128" s="1422"/>
    </row>
    <row r="129" spans="1:8" s="1420" customFormat="1" x14ac:dyDescent="0.3">
      <c r="A129" s="1392">
        <v>44287</v>
      </c>
      <c r="B129" s="1388">
        <v>120081</v>
      </c>
      <c r="C129" s="1389">
        <v>294793</v>
      </c>
      <c r="D129" s="1389">
        <v>20</v>
      </c>
      <c r="E129" s="1389">
        <v>6004</v>
      </c>
      <c r="F129" s="1421">
        <v>14740</v>
      </c>
      <c r="G129" s="1423"/>
      <c r="H129" s="1422"/>
    </row>
    <row r="130" spans="1:8" s="1420" customFormat="1" x14ac:dyDescent="0.3">
      <c r="A130" s="1392">
        <v>44317</v>
      </c>
      <c r="B130" s="1388">
        <v>112391</v>
      </c>
      <c r="C130" s="1389">
        <v>285870</v>
      </c>
      <c r="D130" s="1389">
        <v>20</v>
      </c>
      <c r="E130" s="1389">
        <v>5620</v>
      </c>
      <c r="F130" s="1421">
        <v>14294</v>
      </c>
      <c r="G130" s="1423"/>
      <c r="H130" s="1422"/>
    </row>
    <row r="131" spans="1:8" s="1420" customFormat="1" x14ac:dyDescent="0.3">
      <c r="A131" s="1392">
        <v>44348</v>
      </c>
      <c r="B131" s="1388">
        <v>133592</v>
      </c>
      <c r="C131" s="1389">
        <v>455172</v>
      </c>
      <c r="D131" s="1389">
        <v>22</v>
      </c>
      <c r="E131" s="1389">
        <v>6072</v>
      </c>
      <c r="F131" s="1421">
        <v>20690</v>
      </c>
      <c r="G131" s="1423"/>
      <c r="H131" s="1422"/>
    </row>
    <row r="132" spans="1:8" s="1420" customFormat="1" x14ac:dyDescent="0.3">
      <c r="A132" s="1392">
        <v>44378</v>
      </c>
      <c r="B132" s="1388">
        <v>112030</v>
      </c>
      <c r="C132" s="1389">
        <v>288228</v>
      </c>
      <c r="D132" s="1389">
        <v>22</v>
      </c>
      <c r="E132" s="1389">
        <v>5092</v>
      </c>
      <c r="F132" s="1421">
        <v>13101</v>
      </c>
      <c r="G132" s="1423"/>
      <c r="H132" s="1422"/>
    </row>
    <row r="133" spans="1:8" s="1420" customFormat="1" x14ac:dyDescent="0.3">
      <c r="A133" s="1392">
        <v>44409</v>
      </c>
      <c r="B133" s="1389">
        <v>133269</v>
      </c>
      <c r="C133" s="1389">
        <v>275923</v>
      </c>
      <c r="D133" s="1389">
        <v>22</v>
      </c>
      <c r="E133" s="1389">
        <v>6058</v>
      </c>
      <c r="F133" s="1421">
        <v>12542</v>
      </c>
      <c r="G133" s="1423"/>
      <c r="H133" s="1422"/>
    </row>
    <row r="134" spans="1:8" s="1420" customFormat="1" x14ac:dyDescent="0.3">
      <c r="A134" s="1392">
        <v>44440</v>
      </c>
      <c r="B134" s="1389">
        <v>124854</v>
      </c>
      <c r="C134" s="1389">
        <v>363344</v>
      </c>
      <c r="D134" s="1389">
        <v>22</v>
      </c>
      <c r="E134" s="1389">
        <v>5675</v>
      </c>
      <c r="F134" s="1421">
        <v>16516</v>
      </c>
      <c r="G134" s="1423"/>
      <c r="H134" s="1422"/>
    </row>
    <row r="135" spans="1:8" s="1420" customFormat="1" x14ac:dyDescent="0.3">
      <c r="A135" s="1392">
        <v>44470</v>
      </c>
      <c r="B135" s="1389">
        <v>114149</v>
      </c>
      <c r="C135" s="1389">
        <v>412630</v>
      </c>
      <c r="D135" s="1389">
        <v>21</v>
      </c>
      <c r="E135" s="1389">
        <v>5436</v>
      </c>
      <c r="F135" s="1421">
        <v>19649</v>
      </c>
      <c r="G135" s="1423"/>
      <c r="H135" s="1422"/>
    </row>
    <row r="136" spans="1:8" s="1420" customFormat="1" x14ac:dyDescent="0.3">
      <c r="A136" s="1392">
        <v>44501</v>
      </c>
      <c r="B136" s="1389">
        <v>138614</v>
      </c>
      <c r="C136" s="1389">
        <v>286441</v>
      </c>
      <c r="D136" s="1389">
        <v>19</v>
      </c>
      <c r="E136" s="1389">
        <v>7295</v>
      </c>
      <c r="F136" s="1421">
        <v>15076</v>
      </c>
      <c r="G136" s="1423"/>
      <c r="H136" s="1422"/>
    </row>
    <row r="137" spans="1:8" s="1420" customFormat="1" x14ac:dyDescent="0.3">
      <c r="A137" s="1392">
        <v>44531</v>
      </c>
      <c r="B137" s="1389">
        <v>162387</v>
      </c>
      <c r="C137" s="1389">
        <v>724326</v>
      </c>
      <c r="D137" s="1389">
        <v>23</v>
      </c>
      <c r="E137" s="1389">
        <v>7060</v>
      </c>
      <c r="F137" s="1421">
        <v>31492</v>
      </c>
      <c r="G137" s="1423"/>
      <c r="H137" s="1422"/>
    </row>
    <row r="138" spans="1:8" s="1420" customFormat="1" x14ac:dyDescent="0.3">
      <c r="A138" s="1392">
        <v>44562</v>
      </c>
      <c r="B138" s="1389">
        <v>137135</v>
      </c>
      <c r="C138" s="1389">
        <v>292764</v>
      </c>
      <c r="D138" s="1389">
        <v>19</v>
      </c>
      <c r="E138" s="1389">
        <v>7218</v>
      </c>
      <c r="F138" s="1421">
        <v>15409</v>
      </c>
      <c r="G138" s="1423"/>
      <c r="H138" s="1422"/>
    </row>
    <row r="139" spans="1:8" s="1420" customFormat="1" x14ac:dyDescent="0.3">
      <c r="A139" s="1392">
        <v>44593</v>
      </c>
      <c r="B139" s="1389">
        <v>119516</v>
      </c>
      <c r="C139" s="1389">
        <v>309669</v>
      </c>
      <c r="D139" s="1389">
        <v>18</v>
      </c>
      <c r="E139" s="1389">
        <v>6640</v>
      </c>
      <c r="F139" s="1421">
        <v>17204</v>
      </c>
      <c r="G139" s="1423"/>
      <c r="H139" s="1422"/>
    </row>
    <row r="140" spans="1:8" s="1420" customFormat="1" x14ac:dyDescent="0.3">
      <c r="A140" s="1392">
        <v>44621</v>
      </c>
      <c r="B140" s="1389">
        <v>142857</v>
      </c>
      <c r="C140" s="1389">
        <v>358666</v>
      </c>
      <c r="D140" s="1389">
        <v>22</v>
      </c>
      <c r="E140" s="1389">
        <v>6494</v>
      </c>
      <c r="F140" s="1421">
        <v>16303</v>
      </c>
      <c r="G140" s="1423"/>
      <c r="H140" s="1422"/>
    </row>
    <row r="141" spans="1:8" s="1420" customFormat="1" x14ac:dyDescent="0.3">
      <c r="A141" s="1392">
        <v>44652</v>
      </c>
      <c r="B141" s="1389">
        <v>118542</v>
      </c>
      <c r="C141" s="1389">
        <v>398902</v>
      </c>
      <c r="D141" s="1389">
        <v>21</v>
      </c>
      <c r="E141" s="1389">
        <v>5645</v>
      </c>
      <c r="F141" s="1421">
        <v>18995</v>
      </c>
      <c r="G141" s="1423"/>
      <c r="H141" s="1422"/>
    </row>
    <row r="142" spans="1:8" s="1420" customFormat="1" x14ac:dyDescent="0.3">
      <c r="A142" s="1392">
        <v>44682</v>
      </c>
      <c r="B142" s="1389">
        <v>144106</v>
      </c>
      <c r="C142" s="1389">
        <v>309896</v>
      </c>
      <c r="D142" s="1389">
        <v>21</v>
      </c>
      <c r="E142" s="1389">
        <v>6862</v>
      </c>
      <c r="F142" s="1421">
        <v>14757</v>
      </c>
      <c r="G142" s="1423"/>
      <c r="H142" s="1422"/>
    </row>
    <row r="143" spans="1:8" s="1420" customFormat="1" x14ac:dyDescent="0.3">
      <c r="A143" s="1392">
        <v>44713</v>
      </c>
      <c r="B143" s="1389">
        <v>141140</v>
      </c>
      <c r="C143" s="1389">
        <v>438991</v>
      </c>
      <c r="D143" s="1389">
        <v>22</v>
      </c>
      <c r="E143" s="1389">
        <v>6415</v>
      </c>
      <c r="F143" s="1421">
        <v>19954</v>
      </c>
      <c r="G143" s="1423"/>
      <c r="H143" s="1422"/>
    </row>
    <row r="144" spans="1:8" s="1420" customFormat="1" x14ac:dyDescent="0.3">
      <c r="A144" s="1392">
        <v>44743</v>
      </c>
      <c r="B144" s="1389">
        <v>127643</v>
      </c>
      <c r="C144" s="1389">
        <v>344323</v>
      </c>
      <c r="D144" s="1389">
        <v>21</v>
      </c>
      <c r="E144" s="1389">
        <v>6078</v>
      </c>
      <c r="F144" s="1421">
        <v>16396</v>
      </c>
      <c r="G144" s="1423"/>
      <c r="H144" s="1422"/>
    </row>
    <row r="145" spans="1:8" s="1420" customFormat="1" x14ac:dyDescent="0.3">
      <c r="A145" s="1392">
        <v>44774</v>
      </c>
      <c r="B145" s="1389">
        <v>158139</v>
      </c>
      <c r="C145" s="1389">
        <v>378160</v>
      </c>
      <c r="D145" s="1389">
        <v>22</v>
      </c>
      <c r="E145" s="1389">
        <v>7188</v>
      </c>
      <c r="F145" s="1421">
        <v>17189</v>
      </c>
      <c r="G145" s="1423"/>
      <c r="H145" s="1422"/>
    </row>
    <row r="146" spans="1:8" s="1420" customFormat="1" x14ac:dyDescent="0.3">
      <c r="A146" s="1392">
        <v>44805</v>
      </c>
      <c r="B146" s="1389">
        <v>138783</v>
      </c>
      <c r="C146" s="1389">
        <v>381185</v>
      </c>
      <c r="D146" s="1389">
        <v>21</v>
      </c>
      <c r="E146" s="1389">
        <v>6609</v>
      </c>
      <c r="F146" s="1421">
        <v>18152</v>
      </c>
      <c r="G146" s="1423"/>
      <c r="H146" s="1422"/>
    </row>
    <row r="147" spans="1:8" s="1420" customFormat="1" x14ac:dyDescent="0.3">
      <c r="A147" s="1392">
        <v>44835</v>
      </c>
      <c r="B147" s="1389">
        <v>135991</v>
      </c>
      <c r="C147" s="1389">
        <v>463948</v>
      </c>
      <c r="D147" s="1389">
        <v>20</v>
      </c>
      <c r="E147" s="1389">
        <v>6800</v>
      </c>
      <c r="F147" s="1421">
        <v>23197</v>
      </c>
      <c r="G147" s="1423"/>
      <c r="H147" s="1422"/>
    </row>
    <row r="148" spans="1:8" s="1420" customFormat="1" x14ac:dyDescent="0.3">
      <c r="A148" s="1392">
        <v>44866</v>
      </c>
      <c r="B148" s="1389">
        <v>139742</v>
      </c>
      <c r="C148" s="1389">
        <v>523894</v>
      </c>
      <c r="D148" s="1389">
        <v>21</v>
      </c>
      <c r="E148" s="1389">
        <v>6654</v>
      </c>
      <c r="F148" s="1421">
        <v>24947</v>
      </c>
      <c r="G148" s="1423"/>
      <c r="H148" s="1422"/>
    </row>
    <row r="149" spans="1:8" s="1420" customFormat="1" x14ac:dyDescent="0.3">
      <c r="A149" s="1392">
        <v>44896</v>
      </c>
      <c r="B149" s="1389">
        <v>167754</v>
      </c>
      <c r="C149" s="1389">
        <v>664895</v>
      </c>
      <c r="D149" s="1389">
        <v>22</v>
      </c>
      <c r="E149" s="1389">
        <v>7625</v>
      </c>
      <c r="F149" s="1421">
        <v>30223</v>
      </c>
      <c r="G149" s="1423"/>
      <c r="H149" s="1422"/>
    </row>
    <row r="150" spans="1:8" s="1420" customFormat="1" x14ac:dyDescent="0.3">
      <c r="A150" s="1392">
        <v>44927</v>
      </c>
      <c r="B150" s="1389">
        <v>145755</v>
      </c>
      <c r="C150" s="1389">
        <v>1279561</v>
      </c>
      <c r="D150" s="1389">
        <v>19</v>
      </c>
      <c r="E150" s="1389">
        <v>7671</v>
      </c>
      <c r="F150" s="1421">
        <v>67345</v>
      </c>
      <c r="G150" s="1423"/>
      <c r="H150" s="1422"/>
    </row>
    <row r="151" spans="1:8" s="1420" customFormat="1" x14ac:dyDescent="0.3">
      <c r="A151" s="1392">
        <v>44958</v>
      </c>
      <c r="B151" s="1389">
        <v>126887</v>
      </c>
      <c r="C151" s="1389">
        <v>1879809</v>
      </c>
      <c r="D151" s="1389">
        <v>18</v>
      </c>
      <c r="E151" s="1389">
        <v>7049</v>
      </c>
      <c r="F151" s="1421">
        <v>104434</v>
      </c>
      <c r="G151" s="1423"/>
      <c r="H151" s="1422"/>
    </row>
    <row r="152" spans="1:8" s="1420" customFormat="1" x14ac:dyDescent="0.3">
      <c r="A152" s="1392">
        <v>44986</v>
      </c>
      <c r="B152" s="1389">
        <v>145103</v>
      </c>
      <c r="C152" s="1389">
        <v>2101441</v>
      </c>
      <c r="D152" s="1389">
        <v>22</v>
      </c>
      <c r="E152" s="1389">
        <v>6596</v>
      </c>
      <c r="F152" s="1421">
        <v>95520</v>
      </c>
      <c r="G152" s="1423"/>
      <c r="H152" s="1422"/>
    </row>
    <row r="153" spans="1:8" s="1420" customFormat="1" x14ac:dyDescent="0.3">
      <c r="A153" s="1392">
        <v>45017</v>
      </c>
      <c r="B153" s="1389">
        <v>120608</v>
      </c>
      <c r="C153" s="1389">
        <v>1788159</v>
      </c>
      <c r="D153" s="1389">
        <v>20</v>
      </c>
      <c r="E153" s="1389">
        <v>6030</v>
      </c>
      <c r="F153" s="1421">
        <v>89408</v>
      </c>
      <c r="G153" s="1423"/>
      <c r="H153" s="1422"/>
    </row>
    <row r="154" spans="1:8" s="1420" customFormat="1" x14ac:dyDescent="0.3">
      <c r="A154" s="1392">
        <v>45047</v>
      </c>
      <c r="B154" s="1389">
        <v>159912</v>
      </c>
      <c r="C154" s="1389">
        <v>1779156</v>
      </c>
      <c r="D154" s="1389">
        <v>22</v>
      </c>
      <c r="E154" s="1389">
        <v>7269</v>
      </c>
      <c r="F154" s="1421">
        <v>80871</v>
      </c>
      <c r="G154" s="1423"/>
      <c r="H154" s="1422"/>
    </row>
    <row r="155" spans="1:8" s="1420" customFormat="1" x14ac:dyDescent="0.3">
      <c r="A155" s="1392">
        <v>45078</v>
      </c>
      <c r="B155" s="1389">
        <v>149815</v>
      </c>
      <c r="C155" s="1389">
        <v>2239940</v>
      </c>
      <c r="D155" s="1389">
        <v>22</v>
      </c>
      <c r="E155" s="1389">
        <v>6810</v>
      </c>
      <c r="F155" s="1421">
        <v>101815</v>
      </c>
      <c r="G155" s="1423"/>
      <c r="H155" s="1422"/>
    </row>
    <row r="156" spans="1:8" s="1420" customFormat="1" x14ac:dyDescent="0.3">
      <c r="A156" s="1392">
        <v>45108</v>
      </c>
      <c r="B156" s="1389">
        <v>144091</v>
      </c>
      <c r="C156" s="1389">
        <v>6344280</v>
      </c>
      <c r="D156" s="1389">
        <v>21</v>
      </c>
      <c r="E156" s="1389">
        <v>6861</v>
      </c>
      <c r="F156" s="1421">
        <v>302109</v>
      </c>
      <c r="G156" s="1423"/>
      <c r="H156" s="1422"/>
    </row>
    <row r="157" spans="1:8" s="1420" customFormat="1" x14ac:dyDescent="0.3">
      <c r="A157" s="1392">
        <v>45139</v>
      </c>
      <c r="B157" s="1389">
        <v>147350</v>
      </c>
      <c r="C157" s="1389">
        <v>7999567</v>
      </c>
      <c r="D157" s="1389">
        <v>23</v>
      </c>
      <c r="E157" s="1389">
        <v>6407</v>
      </c>
      <c r="F157" s="1421">
        <v>347807</v>
      </c>
      <c r="G157" s="1423"/>
      <c r="H157" s="1422"/>
    </row>
    <row r="158" spans="1:8" s="1420" customFormat="1" ht="17.25" thickBot="1" x14ac:dyDescent="0.35">
      <c r="A158" s="3219">
        <v>45170</v>
      </c>
      <c r="B158" s="1400">
        <v>127446</v>
      </c>
      <c r="C158" s="1401">
        <v>4845977</v>
      </c>
      <c r="D158" s="1401">
        <v>20</v>
      </c>
      <c r="E158" s="1424">
        <v>6372</v>
      </c>
      <c r="F158" s="1425">
        <v>242299</v>
      </c>
      <c r="G158" s="1423"/>
      <c r="H158" s="1422"/>
    </row>
    <row r="159" spans="1:8" s="1420" customFormat="1" ht="16.5" hidden="1" customHeight="1" thickTop="1" x14ac:dyDescent="0.3"/>
    <row r="160" spans="1:8" s="1426" customFormat="1" ht="39.75" customHeight="1" thickTop="1" x14ac:dyDescent="0.25">
      <c r="A160" s="3319" t="s">
        <v>1004</v>
      </c>
      <c r="B160" s="3319"/>
      <c r="C160" s="3319"/>
      <c r="D160" s="3319"/>
      <c r="E160" s="3319"/>
      <c r="F160" s="3319"/>
    </row>
    <row r="161" spans="1:12" s="1429" customFormat="1" ht="14.25" x14ac:dyDescent="0.25">
      <c r="A161" s="1427" t="s">
        <v>1005</v>
      </c>
      <c r="B161" s="1428"/>
      <c r="C161" s="1428"/>
      <c r="D161" s="1428"/>
      <c r="E161" s="1428"/>
      <c r="F161" s="1428"/>
    </row>
    <row r="162" spans="1:12" s="1429" customFormat="1" ht="14.25" x14ac:dyDescent="0.25">
      <c r="A162" s="1427" t="s">
        <v>998</v>
      </c>
      <c r="B162" s="1428"/>
      <c r="C162" s="1428"/>
      <c r="D162" s="1428"/>
      <c r="E162" s="1428"/>
      <c r="F162" s="1428"/>
      <c r="L162" s="1430"/>
    </row>
  </sheetData>
  <mergeCells count="2">
    <mergeCell ref="E4:F4"/>
    <mergeCell ref="A160:F160"/>
  </mergeCells>
  <printOptions horizontalCentered="1"/>
  <pageMargins left="0.75" right="0.75" top="0.75" bottom="0.75" header="0.3" footer="0"/>
  <pageSetup paperSize="9" scale="80"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I161"/>
  <sheetViews>
    <sheetView zoomScaleNormal="100" zoomScaleSheetLayoutView="110" workbookViewId="0">
      <pane xSplit="1" ySplit="76" topLeftCell="B113" activePane="bottomRight" state="frozen"/>
      <selection activeCell="A38" sqref="A38"/>
      <selection pane="topRight" activeCell="A38" sqref="A38"/>
      <selection pane="bottomLeft" activeCell="A38" sqref="A38"/>
      <selection pane="bottomRight" activeCell="A38" sqref="A38"/>
    </sheetView>
  </sheetViews>
  <sheetFormatPr defaultRowHeight="16.5" x14ac:dyDescent="0.25"/>
  <cols>
    <col min="1" max="1" width="9.28515625" style="1435" customWidth="1"/>
    <col min="2" max="2" width="14.28515625" style="1435" customWidth="1"/>
    <col min="3" max="3" width="13.42578125" style="1435" customWidth="1"/>
    <col min="4" max="4" width="14.140625" style="1435" customWidth="1"/>
    <col min="5" max="5" width="13" style="1435" customWidth="1"/>
    <col min="6" max="6" width="13.140625" style="1435" customWidth="1"/>
    <col min="7" max="7" width="15.5703125" style="1435" customWidth="1"/>
    <col min="8" max="8" width="13.140625" style="1435" customWidth="1"/>
    <col min="9" max="9" width="9.140625" style="1435"/>
    <col min="10" max="258" width="9.140625" style="1436"/>
    <col min="259" max="259" width="13.42578125" style="1436" customWidth="1"/>
    <col min="260" max="260" width="15.42578125" style="1436" customWidth="1"/>
    <col min="261" max="261" width="13.42578125" style="1436" customWidth="1"/>
    <col min="262" max="262" width="14.42578125" style="1436" bestFit="1" customWidth="1"/>
    <col min="263" max="263" width="13.42578125" style="1436" customWidth="1"/>
    <col min="264" max="264" width="14.85546875" style="1436" customWidth="1"/>
    <col min="265" max="514" width="9.140625" style="1436"/>
    <col min="515" max="515" width="13.42578125" style="1436" customWidth="1"/>
    <col min="516" max="516" width="15.42578125" style="1436" customWidth="1"/>
    <col min="517" max="517" width="13.42578125" style="1436" customWidth="1"/>
    <col min="518" max="518" width="14.42578125" style="1436" bestFit="1" customWidth="1"/>
    <col min="519" max="519" width="13.42578125" style="1436" customWidth="1"/>
    <col min="520" max="520" width="14.85546875" style="1436" customWidth="1"/>
    <col min="521" max="770" width="9.140625" style="1436"/>
    <col min="771" max="771" width="13.42578125" style="1436" customWidth="1"/>
    <col min="772" max="772" width="15.42578125" style="1436" customWidth="1"/>
    <col min="773" max="773" width="13.42578125" style="1436" customWidth="1"/>
    <col min="774" max="774" width="14.42578125" style="1436" bestFit="1" customWidth="1"/>
    <col min="775" max="775" width="13.42578125" style="1436" customWidth="1"/>
    <col min="776" max="776" width="14.85546875" style="1436" customWidth="1"/>
    <col min="777" max="1026" width="9.140625" style="1436"/>
    <col min="1027" max="1027" width="13.42578125" style="1436" customWidth="1"/>
    <col min="1028" max="1028" width="15.42578125" style="1436" customWidth="1"/>
    <col min="1029" max="1029" width="13.42578125" style="1436" customWidth="1"/>
    <col min="1030" max="1030" width="14.42578125" style="1436" bestFit="1" customWidth="1"/>
    <col min="1031" max="1031" width="13.42578125" style="1436" customWidth="1"/>
    <col min="1032" max="1032" width="14.85546875" style="1436" customWidth="1"/>
    <col min="1033" max="1282" width="9.140625" style="1436"/>
    <col min="1283" max="1283" width="13.42578125" style="1436" customWidth="1"/>
    <col min="1284" max="1284" width="15.42578125" style="1436" customWidth="1"/>
    <col min="1285" max="1285" width="13.42578125" style="1436" customWidth="1"/>
    <col min="1286" max="1286" width="14.42578125" style="1436" bestFit="1" customWidth="1"/>
    <col min="1287" max="1287" width="13.42578125" style="1436" customWidth="1"/>
    <col min="1288" max="1288" width="14.85546875" style="1436" customWidth="1"/>
    <col min="1289" max="1538" width="9.140625" style="1436"/>
    <col min="1539" max="1539" width="13.42578125" style="1436" customWidth="1"/>
    <col min="1540" max="1540" width="15.42578125" style="1436" customWidth="1"/>
    <col min="1541" max="1541" width="13.42578125" style="1436" customWidth="1"/>
    <col min="1542" max="1542" width="14.42578125" style="1436" bestFit="1" customWidth="1"/>
    <col min="1543" max="1543" width="13.42578125" style="1436" customWidth="1"/>
    <col min="1544" max="1544" width="14.85546875" style="1436" customWidth="1"/>
    <col min="1545" max="1794" width="9.140625" style="1436"/>
    <col min="1795" max="1795" width="13.42578125" style="1436" customWidth="1"/>
    <col min="1796" max="1796" width="15.42578125" style="1436" customWidth="1"/>
    <col min="1797" max="1797" width="13.42578125" style="1436" customWidth="1"/>
    <col min="1798" max="1798" width="14.42578125" style="1436" bestFit="1" customWidth="1"/>
    <col min="1799" max="1799" width="13.42578125" style="1436" customWidth="1"/>
    <col min="1800" max="1800" width="14.85546875" style="1436" customWidth="1"/>
    <col min="1801" max="2050" width="9.140625" style="1436"/>
    <col min="2051" max="2051" width="13.42578125" style="1436" customWidth="1"/>
    <col min="2052" max="2052" width="15.42578125" style="1436" customWidth="1"/>
    <col min="2053" max="2053" width="13.42578125" style="1436" customWidth="1"/>
    <col min="2054" max="2054" width="14.42578125" style="1436" bestFit="1" customWidth="1"/>
    <col min="2055" max="2055" width="13.42578125" style="1436" customWidth="1"/>
    <col min="2056" max="2056" width="14.85546875" style="1436" customWidth="1"/>
    <col min="2057" max="2306" width="9.140625" style="1436"/>
    <col min="2307" max="2307" width="13.42578125" style="1436" customWidth="1"/>
    <col min="2308" max="2308" width="15.42578125" style="1436" customWidth="1"/>
    <col min="2309" max="2309" width="13.42578125" style="1436" customWidth="1"/>
    <col min="2310" max="2310" width="14.42578125" style="1436" bestFit="1" customWidth="1"/>
    <col min="2311" max="2311" width="13.42578125" style="1436" customWidth="1"/>
    <col min="2312" max="2312" width="14.85546875" style="1436" customWidth="1"/>
    <col min="2313" max="2562" width="9.140625" style="1436"/>
    <col min="2563" max="2563" width="13.42578125" style="1436" customWidth="1"/>
    <col min="2564" max="2564" width="15.42578125" style="1436" customWidth="1"/>
    <col min="2565" max="2565" width="13.42578125" style="1436" customWidth="1"/>
    <col min="2566" max="2566" width="14.42578125" style="1436" bestFit="1" customWidth="1"/>
    <col min="2567" max="2567" width="13.42578125" style="1436" customWidth="1"/>
    <col min="2568" max="2568" width="14.85546875" style="1436" customWidth="1"/>
    <col min="2569" max="2818" width="9.140625" style="1436"/>
    <col min="2819" max="2819" width="13.42578125" style="1436" customWidth="1"/>
    <col min="2820" max="2820" width="15.42578125" style="1436" customWidth="1"/>
    <col min="2821" max="2821" width="13.42578125" style="1436" customWidth="1"/>
    <col min="2822" max="2822" width="14.42578125" style="1436" bestFit="1" customWidth="1"/>
    <col min="2823" max="2823" width="13.42578125" style="1436" customWidth="1"/>
    <col min="2824" max="2824" width="14.85546875" style="1436" customWidth="1"/>
    <col min="2825" max="3074" width="9.140625" style="1436"/>
    <col min="3075" max="3075" width="13.42578125" style="1436" customWidth="1"/>
    <col min="3076" max="3076" width="15.42578125" style="1436" customWidth="1"/>
    <col min="3077" max="3077" width="13.42578125" style="1436" customWidth="1"/>
    <col min="3078" max="3078" width="14.42578125" style="1436" bestFit="1" customWidth="1"/>
    <col min="3079" max="3079" width="13.42578125" style="1436" customWidth="1"/>
    <col min="3080" max="3080" width="14.85546875" style="1436" customWidth="1"/>
    <col min="3081" max="3330" width="9.140625" style="1436"/>
    <col min="3331" max="3331" width="13.42578125" style="1436" customWidth="1"/>
    <col min="3332" max="3332" width="15.42578125" style="1436" customWidth="1"/>
    <col min="3333" max="3333" width="13.42578125" style="1436" customWidth="1"/>
    <col min="3334" max="3334" width="14.42578125" style="1436" bestFit="1" customWidth="1"/>
    <col min="3335" max="3335" width="13.42578125" style="1436" customWidth="1"/>
    <col min="3336" max="3336" width="14.85546875" style="1436" customWidth="1"/>
    <col min="3337" max="3586" width="9.140625" style="1436"/>
    <col min="3587" max="3587" width="13.42578125" style="1436" customWidth="1"/>
    <col min="3588" max="3588" width="15.42578125" style="1436" customWidth="1"/>
    <col min="3589" max="3589" width="13.42578125" style="1436" customWidth="1"/>
    <col min="3590" max="3590" width="14.42578125" style="1436" bestFit="1" customWidth="1"/>
    <col min="3591" max="3591" width="13.42578125" style="1436" customWidth="1"/>
    <col min="3592" max="3592" width="14.85546875" style="1436" customWidth="1"/>
    <col min="3593" max="3842" width="9.140625" style="1436"/>
    <col min="3843" max="3843" width="13.42578125" style="1436" customWidth="1"/>
    <col min="3844" max="3844" width="15.42578125" style="1436" customWidth="1"/>
    <col min="3845" max="3845" width="13.42578125" style="1436" customWidth="1"/>
    <col min="3846" max="3846" width="14.42578125" style="1436" bestFit="1" customWidth="1"/>
    <col min="3847" max="3847" width="13.42578125" style="1436" customWidth="1"/>
    <col min="3848" max="3848" width="14.85546875" style="1436" customWidth="1"/>
    <col min="3849" max="4098" width="9.140625" style="1436"/>
    <col min="4099" max="4099" width="13.42578125" style="1436" customWidth="1"/>
    <col min="4100" max="4100" width="15.42578125" style="1436" customWidth="1"/>
    <col min="4101" max="4101" width="13.42578125" style="1436" customWidth="1"/>
    <col min="4102" max="4102" width="14.42578125" style="1436" bestFit="1" customWidth="1"/>
    <col min="4103" max="4103" width="13.42578125" style="1436" customWidth="1"/>
    <col min="4104" max="4104" width="14.85546875" style="1436" customWidth="1"/>
    <col min="4105" max="4354" width="9.140625" style="1436"/>
    <col min="4355" max="4355" width="13.42578125" style="1436" customWidth="1"/>
    <col min="4356" max="4356" width="15.42578125" style="1436" customWidth="1"/>
    <col min="4357" max="4357" width="13.42578125" style="1436" customWidth="1"/>
    <col min="4358" max="4358" width="14.42578125" style="1436" bestFit="1" customWidth="1"/>
    <col min="4359" max="4359" width="13.42578125" style="1436" customWidth="1"/>
    <col min="4360" max="4360" width="14.85546875" style="1436" customWidth="1"/>
    <col min="4361" max="4610" width="9.140625" style="1436"/>
    <col min="4611" max="4611" width="13.42578125" style="1436" customWidth="1"/>
    <col min="4612" max="4612" width="15.42578125" style="1436" customWidth="1"/>
    <col min="4613" max="4613" width="13.42578125" style="1436" customWidth="1"/>
    <col min="4614" max="4614" width="14.42578125" style="1436" bestFit="1" customWidth="1"/>
    <col min="4615" max="4615" width="13.42578125" style="1436" customWidth="1"/>
    <col min="4616" max="4616" width="14.85546875" style="1436" customWidth="1"/>
    <col min="4617" max="4866" width="9.140625" style="1436"/>
    <col min="4867" max="4867" width="13.42578125" style="1436" customWidth="1"/>
    <col min="4868" max="4868" width="15.42578125" style="1436" customWidth="1"/>
    <col min="4869" max="4869" width="13.42578125" style="1436" customWidth="1"/>
    <col min="4870" max="4870" width="14.42578125" style="1436" bestFit="1" customWidth="1"/>
    <col min="4871" max="4871" width="13.42578125" style="1436" customWidth="1"/>
    <col min="4872" max="4872" width="14.85546875" style="1436" customWidth="1"/>
    <col min="4873" max="5122" width="9.140625" style="1436"/>
    <col min="5123" max="5123" width="13.42578125" style="1436" customWidth="1"/>
    <col min="5124" max="5124" width="15.42578125" style="1436" customWidth="1"/>
    <col min="5125" max="5125" width="13.42578125" style="1436" customWidth="1"/>
    <col min="5126" max="5126" width="14.42578125" style="1436" bestFit="1" customWidth="1"/>
    <col min="5127" max="5127" width="13.42578125" style="1436" customWidth="1"/>
    <col min="5128" max="5128" width="14.85546875" style="1436" customWidth="1"/>
    <col min="5129" max="5378" width="9.140625" style="1436"/>
    <col min="5379" max="5379" width="13.42578125" style="1436" customWidth="1"/>
    <col min="5380" max="5380" width="15.42578125" style="1436" customWidth="1"/>
    <col min="5381" max="5381" width="13.42578125" style="1436" customWidth="1"/>
    <col min="5382" max="5382" width="14.42578125" style="1436" bestFit="1" customWidth="1"/>
    <col min="5383" max="5383" width="13.42578125" style="1436" customWidth="1"/>
    <col min="5384" max="5384" width="14.85546875" style="1436" customWidth="1"/>
    <col min="5385" max="5634" width="9.140625" style="1436"/>
    <col min="5635" max="5635" width="13.42578125" style="1436" customWidth="1"/>
    <col min="5636" max="5636" width="15.42578125" style="1436" customWidth="1"/>
    <col min="5637" max="5637" width="13.42578125" style="1436" customWidth="1"/>
    <col min="5638" max="5638" width="14.42578125" style="1436" bestFit="1" customWidth="1"/>
    <col min="5639" max="5639" width="13.42578125" style="1436" customWidth="1"/>
    <col min="5640" max="5640" width="14.85546875" style="1436" customWidth="1"/>
    <col min="5641" max="5890" width="9.140625" style="1436"/>
    <col min="5891" max="5891" width="13.42578125" style="1436" customWidth="1"/>
    <col min="5892" max="5892" width="15.42578125" style="1436" customWidth="1"/>
    <col min="5893" max="5893" width="13.42578125" style="1436" customWidth="1"/>
    <col min="5894" max="5894" width="14.42578125" style="1436" bestFit="1" customWidth="1"/>
    <col min="5895" max="5895" width="13.42578125" style="1436" customWidth="1"/>
    <col min="5896" max="5896" width="14.85546875" style="1436" customWidth="1"/>
    <col min="5897" max="6146" width="9.140625" style="1436"/>
    <col min="6147" max="6147" width="13.42578125" style="1436" customWidth="1"/>
    <col min="6148" max="6148" width="15.42578125" style="1436" customWidth="1"/>
    <col min="6149" max="6149" width="13.42578125" style="1436" customWidth="1"/>
    <col min="6150" max="6150" width="14.42578125" style="1436" bestFit="1" customWidth="1"/>
    <col min="6151" max="6151" width="13.42578125" style="1436" customWidth="1"/>
    <col min="6152" max="6152" width="14.85546875" style="1436" customWidth="1"/>
    <col min="6153" max="6402" width="9.140625" style="1436"/>
    <col min="6403" max="6403" width="13.42578125" style="1436" customWidth="1"/>
    <col min="6404" max="6404" width="15.42578125" style="1436" customWidth="1"/>
    <col min="6405" max="6405" width="13.42578125" style="1436" customWidth="1"/>
    <col min="6406" max="6406" width="14.42578125" style="1436" bestFit="1" customWidth="1"/>
    <col min="6407" max="6407" width="13.42578125" style="1436" customWidth="1"/>
    <col min="6408" max="6408" width="14.85546875" style="1436" customWidth="1"/>
    <col min="6409" max="6658" width="9.140625" style="1436"/>
    <col min="6659" max="6659" width="13.42578125" style="1436" customWidth="1"/>
    <col min="6660" max="6660" width="15.42578125" style="1436" customWidth="1"/>
    <col min="6661" max="6661" width="13.42578125" style="1436" customWidth="1"/>
    <col min="6662" max="6662" width="14.42578125" style="1436" bestFit="1" customWidth="1"/>
    <col min="6663" max="6663" width="13.42578125" style="1436" customWidth="1"/>
    <col min="6664" max="6664" width="14.85546875" style="1436" customWidth="1"/>
    <col min="6665" max="6914" width="9.140625" style="1436"/>
    <col min="6915" max="6915" width="13.42578125" style="1436" customWidth="1"/>
    <col min="6916" max="6916" width="15.42578125" style="1436" customWidth="1"/>
    <col min="6917" max="6917" width="13.42578125" style="1436" customWidth="1"/>
    <col min="6918" max="6918" width="14.42578125" style="1436" bestFit="1" customWidth="1"/>
    <col min="6919" max="6919" width="13.42578125" style="1436" customWidth="1"/>
    <col min="6920" max="6920" width="14.85546875" style="1436" customWidth="1"/>
    <col min="6921" max="7170" width="9.140625" style="1436"/>
    <col min="7171" max="7171" width="13.42578125" style="1436" customWidth="1"/>
    <col min="7172" max="7172" width="15.42578125" style="1436" customWidth="1"/>
    <col min="7173" max="7173" width="13.42578125" style="1436" customWidth="1"/>
    <col min="7174" max="7174" width="14.42578125" style="1436" bestFit="1" customWidth="1"/>
    <col min="7175" max="7175" width="13.42578125" style="1436" customWidth="1"/>
    <col min="7176" max="7176" width="14.85546875" style="1436" customWidth="1"/>
    <col min="7177" max="7426" width="9.140625" style="1436"/>
    <col min="7427" max="7427" width="13.42578125" style="1436" customWidth="1"/>
    <col min="7428" max="7428" width="15.42578125" style="1436" customWidth="1"/>
    <col min="7429" max="7429" width="13.42578125" style="1436" customWidth="1"/>
    <col min="7430" max="7430" width="14.42578125" style="1436" bestFit="1" customWidth="1"/>
    <col min="7431" max="7431" width="13.42578125" style="1436" customWidth="1"/>
    <col min="7432" max="7432" width="14.85546875" style="1436" customWidth="1"/>
    <col min="7433" max="7682" width="9.140625" style="1436"/>
    <col min="7683" max="7683" width="13.42578125" style="1436" customWidth="1"/>
    <col min="7684" max="7684" width="15.42578125" style="1436" customWidth="1"/>
    <col min="7685" max="7685" width="13.42578125" style="1436" customWidth="1"/>
    <col min="7686" max="7686" width="14.42578125" style="1436" bestFit="1" customWidth="1"/>
    <col min="7687" max="7687" width="13.42578125" style="1436" customWidth="1"/>
    <col min="7688" max="7688" width="14.85546875" style="1436" customWidth="1"/>
    <col min="7689" max="7938" width="9.140625" style="1436"/>
    <col min="7939" max="7939" width="13.42578125" style="1436" customWidth="1"/>
    <col min="7940" max="7940" width="15.42578125" style="1436" customWidth="1"/>
    <col min="7941" max="7941" width="13.42578125" style="1436" customWidth="1"/>
    <col min="7942" max="7942" width="14.42578125" style="1436" bestFit="1" customWidth="1"/>
    <col min="7943" max="7943" width="13.42578125" style="1436" customWidth="1"/>
    <col min="7944" max="7944" width="14.85546875" style="1436" customWidth="1"/>
    <col min="7945" max="8194" width="9.140625" style="1436"/>
    <col min="8195" max="8195" width="13.42578125" style="1436" customWidth="1"/>
    <col min="8196" max="8196" width="15.42578125" style="1436" customWidth="1"/>
    <col min="8197" max="8197" width="13.42578125" style="1436" customWidth="1"/>
    <col min="8198" max="8198" width="14.42578125" style="1436" bestFit="1" customWidth="1"/>
    <col min="8199" max="8199" width="13.42578125" style="1436" customWidth="1"/>
    <col min="8200" max="8200" width="14.85546875" style="1436" customWidth="1"/>
    <col min="8201" max="8450" width="9.140625" style="1436"/>
    <col min="8451" max="8451" width="13.42578125" style="1436" customWidth="1"/>
    <col min="8452" max="8452" width="15.42578125" style="1436" customWidth="1"/>
    <col min="8453" max="8453" width="13.42578125" style="1436" customWidth="1"/>
    <col min="8454" max="8454" width="14.42578125" style="1436" bestFit="1" customWidth="1"/>
    <col min="8455" max="8455" width="13.42578125" style="1436" customWidth="1"/>
    <col min="8456" max="8456" width="14.85546875" style="1436" customWidth="1"/>
    <col min="8457" max="8706" width="9.140625" style="1436"/>
    <col min="8707" max="8707" width="13.42578125" style="1436" customWidth="1"/>
    <col min="8708" max="8708" width="15.42578125" style="1436" customWidth="1"/>
    <col min="8709" max="8709" width="13.42578125" style="1436" customWidth="1"/>
    <col min="8710" max="8710" width="14.42578125" style="1436" bestFit="1" customWidth="1"/>
    <col min="8711" max="8711" width="13.42578125" style="1436" customWidth="1"/>
    <col min="8712" max="8712" width="14.85546875" style="1436" customWidth="1"/>
    <col min="8713" max="8962" width="9.140625" style="1436"/>
    <col min="8963" max="8963" width="13.42578125" style="1436" customWidth="1"/>
    <col min="8964" max="8964" width="15.42578125" style="1436" customWidth="1"/>
    <col min="8965" max="8965" width="13.42578125" style="1436" customWidth="1"/>
    <col min="8966" max="8966" width="14.42578125" style="1436" bestFit="1" customWidth="1"/>
    <col min="8967" max="8967" width="13.42578125" style="1436" customWidth="1"/>
    <col min="8968" max="8968" width="14.85546875" style="1436" customWidth="1"/>
    <col min="8969" max="9218" width="9.140625" style="1436"/>
    <col min="9219" max="9219" width="13.42578125" style="1436" customWidth="1"/>
    <col min="9220" max="9220" width="15.42578125" style="1436" customWidth="1"/>
    <col min="9221" max="9221" width="13.42578125" style="1436" customWidth="1"/>
    <col min="9222" max="9222" width="14.42578125" style="1436" bestFit="1" customWidth="1"/>
    <col min="9223" max="9223" width="13.42578125" style="1436" customWidth="1"/>
    <col min="9224" max="9224" width="14.85546875" style="1436" customWidth="1"/>
    <col min="9225" max="9474" width="9.140625" style="1436"/>
    <col min="9475" max="9475" width="13.42578125" style="1436" customWidth="1"/>
    <col min="9476" max="9476" width="15.42578125" style="1436" customWidth="1"/>
    <col min="9477" max="9477" width="13.42578125" style="1436" customWidth="1"/>
    <col min="9478" max="9478" width="14.42578125" style="1436" bestFit="1" customWidth="1"/>
    <col min="9479" max="9479" width="13.42578125" style="1436" customWidth="1"/>
    <col min="9480" max="9480" width="14.85546875" style="1436" customWidth="1"/>
    <col min="9481" max="9730" width="9.140625" style="1436"/>
    <col min="9731" max="9731" width="13.42578125" style="1436" customWidth="1"/>
    <col min="9732" max="9732" width="15.42578125" style="1436" customWidth="1"/>
    <col min="9733" max="9733" width="13.42578125" style="1436" customWidth="1"/>
    <col min="9734" max="9734" width="14.42578125" style="1436" bestFit="1" customWidth="1"/>
    <col min="9735" max="9735" width="13.42578125" style="1436" customWidth="1"/>
    <col min="9736" max="9736" width="14.85546875" style="1436" customWidth="1"/>
    <col min="9737" max="9986" width="9.140625" style="1436"/>
    <col min="9987" max="9987" width="13.42578125" style="1436" customWidth="1"/>
    <col min="9988" max="9988" width="15.42578125" style="1436" customWidth="1"/>
    <col min="9989" max="9989" width="13.42578125" style="1436" customWidth="1"/>
    <col min="9990" max="9990" width="14.42578125" style="1436" bestFit="1" customWidth="1"/>
    <col min="9991" max="9991" width="13.42578125" style="1436" customWidth="1"/>
    <col min="9992" max="9992" width="14.85546875" style="1436" customWidth="1"/>
    <col min="9993" max="10242" width="9.140625" style="1436"/>
    <col min="10243" max="10243" width="13.42578125" style="1436" customWidth="1"/>
    <col min="10244" max="10244" width="15.42578125" style="1436" customWidth="1"/>
    <col min="10245" max="10245" width="13.42578125" style="1436" customWidth="1"/>
    <col min="10246" max="10246" width="14.42578125" style="1436" bestFit="1" customWidth="1"/>
    <col min="10247" max="10247" width="13.42578125" style="1436" customWidth="1"/>
    <col min="10248" max="10248" width="14.85546875" style="1436" customWidth="1"/>
    <col min="10249" max="10498" width="9.140625" style="1436"/>
    <col min="10499" max="10499" width="13.42578125" style="1436" customWidth="1"/>
    <col min="10500" max="10500" width="15.42578125" style="1436" customWidth="1"/>
    <col min="10501" max="10501" width="13.42578125" style="1436" customWidth="1"/>
    <col min="10502" max="10502" width="14.42578125" style="1436" bestFit="1" customWidth="1"/>
    <col min="10503" max="10503" width="13.42578125" style="1436" customWidth="1"/>
    <col min="10504" max="10504" width="14.85546875" style="1436" customWidth="1"/>
    <col min="10505" max="10754" width="9.140625" style="1436"/>
    <col min="10755" max="10755" width="13.42578125" style="1436" customWidth="1"/>
    <col min="10756" max="10756" width="15.42578125" style="1436" customWidth="1"/>
    <col min="10757" max="10757" width="13.42578125" style="1436" customWidth="1"/>
    <col min="10758" max="10758" width="14.42578125" style="1436" bestFit="1" customWidth="1"/>
    <col min="10759" max="10759" width="13.42578125" style="1436" customWidth="1"/>
    <col min="10760" max="10760" width="14.85546875" style="1436" customWidth="1"/>
    <col min="10761" max="11010" width="9.140625" style="1436"/>
    <col min="11011" max="11011" width="13.42578125" style="1436" customWidth="1"/>
    <col min="11012" max="11012" width="15.42578125" style="1436" customWidth="1"/>
    <col min="11013" max="11013" width="13.42578125" style="1436" customWidth="1"/>
    <col min="11014" max="11014" width="14.42578125" style="1436" bestFit="1" customWidth="1"/>
    <col min="11015" max="11015" width="13.42578125" style="1436" customWidth="1"/>
    <col min="11016" max="11016" width="14.85546875" style="1436" customWidth="1"/>
    <col min="11017" max="11266" width="9.140625" style="1436"/>
    <col min="11267" max="11267" width="13.42578125" style="1436" customWidth="1"/>
    <col min="11268" max="11268" width="15.42578125" style="1436" customWidth="1"/>
    <col min="11269" max="11269" width="13.42578125" style="1436" customWidth="1"/>
    <col min="11270" max="11270" width="14.42578125" style="1436" bestFit="1" customWidth="1"/>
    <col min="11271" max="11271" width="13.42578125" style="1436" customWidth="1"/>
    <col min="11272" max="11272" width="14.85546875" style="1436" customWidth="1"/>
    <col min="11273" max="11522" width="9.140625" style="1436"/>
    <col min="11523" max="11523" width="13.42578125" style="1436" customWidth="1"/>
    <col min="11524" max="11524" width="15.42578125" style="1436" customWidth="1"/>
    <col min="11525" max="11525" width="13.42578125" style="1436" customWidth="1"/>
    <col min="11526" max="11526" width="14.42578125" style="1436" bestFit="1" customWidth="1"/>
    <col min="11527" max="11527" width="13.42578125" style="1436" customWidth="1"/>
    <col min="11528" max="11528" width="14.85546875" style="1436" customWidth="1"/>
    <col min="11529" max="11778" width="9.140625" style="1436"/>
    <col min="11779" max="11779" width="13.42578125" style="1436" customWidth="1"/>
    <col min="11780" max="11780" width="15.42578125" style="1436" customWidth="1"/>
    <col min="11781" max="11781" width="13.42578125" style="1436" customWidth="1"/>
    <col min="11782" max="11782" width="14.42578125" style="1436" bestFit="1" customWidth="1"/>
    <col min="11783" max="11783" width="13.42578125" style="1436" customWidth="1"/>
    <col min="11784" max="11784" width="14.85546875" style="1436" customWidth="1"/>
    <col min="11785" max="12034" width="9.140625" style="1436"/>
    <col min="12035" max="12035" width="13.42578125" style="1436" customWidth="1"/>
    <col min="12036" max="12036" width="15.42578125" style="1436" customWidth="1"/>
    <col min="12037" max="12037" width="13.42578125" style="1436" customWidth="1"/>
    <col min="12038" max="12038" width="14.42578125" style="1436" bestFit="1" customWidth="1"/>
    <col min="12039" max="12039" width="13.42578125" style="1436" customWidth="1"/>
    <col min="12040" max="12040" width="14.85546875" style="1436" customWidth="1"/>
    <col min="12041" max="12290" width="9.140625" style="1436"/>
    <col min="12291" max="12291" width="13.42578125" style="1436" customWidth="1"/>
    <col min="12292" max="12292" width="15.42578125" style="1436" customWidth="1"/>
    <col min="12293" max="12293" width="13.42578125" style="1436" customWidth="1"/>
    <col min="12294" max="12294" width="14.42578125" style="1436" bestFit="1" customWidth="1"/>
    <col min="12295" max="12295" width="13.42578125" style="1436" customWidth="1"/>
    <col min="12296" max="12296" width="14.85546875" style="1436" customWidth="1"/>
    <col min="12297" max="12546" width="9.140625" style="1436"/>
    <col min="12547" max="12547" width="13.42578125" style="1436" customWidth="1"/>
    <col min="12548" max="12548" width="15.42578125" style="1436" customWidth="1"/>
    <col min="12549" max="12549" width="13.42578125" style="1436" customWidth="1"/>
    <col min="12550" max="12550" width="14.42578125" style="1436" bestFit="1" customWidth="1"/>
    <col min="12551" max="12551" width="13.42578125" style="1436" customWidth="1"/>
    <col min="12552" max="12552" width="14.85546875" style="1436" customWidth="1"/>
    <col min="12553" max="12802" width="9.140625" style="1436"/>
    <col min="12803" max="12803" width="13.42578125" style="1436" customWidth="1"/>
    <col min="12804" max="12804" width="15.42578125" style="1436" customWidth="1"/>
    <col min="12805" max="12805" width="13.42578125" style="1436" customWidth="1"/>
    <col min="12806" max="12806" width="14.42578125" style="1436" bestFit="1" customWidth="1"/>
    <col min="12807" max="12807" width="13.42578125" style="1436" customWidth="1"/>
    <col min="12808" max="12808" width="14.85546875" style="1436" customWidth="1"/>
    <col min="12809" max="13058" width="9.140625" style="1436"/>
    <col min="13059" max="13059" width="13.42578125" style="1436" customWidth="1"/>
    <col min="13060" max="13060" width="15.42578125" style="1436" customWidth="1"/>
    <col min="13061" max="13061" width="13.42578125" style="1436" customWidth="1"/>
    <col min="13062" max="13062" width="14.42578125" style="1436" bestFit="1" customWidth="1"/>
    <col min="13063" max="13063" width="13.42578125" style="1436" customWidth="1"/>
    <col min="13064" max="13064" width="14.85546875" style="1436" customWidth="1"/>
    <col min="13065" max="13314" width="9.140625" style="1436"/>
    <col min="13315" max="13315" width="13.42578125" style="1436" customWidth="1"/>
    <col min="13316" max="13316" width="15.42578125" style="1436" customWidth="1"/>
    <col min="13317" max="13317" width="13.42578125" style="1436" customWidth="1"/>
    <col min="13318" max="13318" width="14.42578125" style="1436" bestFit="1" customWidth="1"/>
    <col min="13319" max="13319" width="13.42578125" style="1436" customWidth="1"/>
    <col min="13320" max="13320" width="14.85546875" style="1436" customWidth="1"/>
    <col min="13321" max="13570" width="9.140625" style="1436"/>
    <col min="13571" max="13571" width="13.42578125" style="1436" customWidth="1"/>
    <col min="13572" max="13572" width="15.42578125" style="1436" customWidth="1"/>
    <col min="13573" max="13573" width="13.42578125" style="1436" customWidth="1"/>
    <col min="13574" max="13574" width="14.42578125" style="1436" bestFit="1" customWidth="1"/>
    <col min="13575" max="13575" width="13.42578125" style="1436" customWidth="1"/>
    <col min="13576" max="13576" width="14.85546875" style="1436" customWidth="1"/>
    <col min="13577" max="13826" width="9.140625" style="1436"/>
    <col min="13827" max="13827" width="13.42578125" style="1436" customWidth="1"/>
    <col min="13828" max="13828" width="15.42578125" style="1436" customWidth="1"/>
    <col min="13829" max="13829" width="13.42578125" style="1436" customWidth="1"/>
    <col min="13830" max="13830" width="14.42578125" style="1436" bestFit="1" customWidth="1"/>
    <col min="13831" max="13831" width="13.42578125" style="1436" customWidth="1"/>
    <col min="13832" max="13832" width="14.85546875" style="1436" customWidth="1"/>
    <col min="13833" max="14082" width="9.140625" style="1436"/>
    <col min="14083" max="14083" width="13.42578125" style="1436" customWidth="1"/>
    <col min="14084" max="14084" width="15.42578125" style="1436" customWidth="1"/>
    <col min="14085" max="14085" width="13.42578125" style="1436" customWidth="1"/>
    <col min="14086" max="14086" width="14.42578125" style="1436" bestFit="1" customWidth="1"/>
    <col min="14087" max="14087" width="13.42578125" style="1436" customWidth="1"/>
    <col min="14088" max="14088" width="14.85546875" style="1436" customWidth="1"/>
    <col min="14089" max="14338" width="9.140625" style="1436"/>
    <col min="14339" max="14339" width="13.42578125" style="1436" customWidth="1"/>
    <col min="14340" max="14340" width="15.42578125" style="1436" customWidth="1"/>
    <col min="14341" max="14341" width="13.42578125" style="1436" customWidth="1"/>
    <col min="14342" max="14342" width="14.42578125" style="1436" bestFit="1" customWidth="1"/>
    <col min="14343" max="14343" width="13.42578125" style="1436" customWidth="1"/>
    <col min="14344" max="14344" width="14.85546875" style="1436" customWidth="1"/>
    <col min="14345" max="14594" width="9.140625" style="1436"/>
    <col min="14595" max="14595" width="13.42578125" style="1436" customWidth="1"/>
    <col min="14596" max="14596" width="15.42578125" style="1436" customWidth="1"/>
    <col min="14597" max="14597" width="13.42578125" style="1436" customWidth="1"/>
    <col min="14598" max="14598" width="14.42578125" style="1436" bestFit="1" customWidth="1"/>
    <col min="14599" max="14599" width="13.42578125" style="1436" customWidth="1"/>
    <col min="14600" max="14600" width="14.85546875" style="1436" customWidth="1"/>
    <col min="14601" max="14850" width="9.140625" style="1436"/>
    <col min="14851" max="14851" width="13.42578125" style="1436" customWidth="1"/>
    <col min="14852" max="14852" width="15.42578125" style="1436" customWidth="1"/>
    <col min="14853" max="14853" width="13.42578125" style="1436" customWidth="1"/>
    <col min="14854" max="14854" width="14.42578125" style="1436" bestFit="1" customWidth="1"/>
    <col min="14855" max="14855" width="13.42578125" style="1436" customWidth="1"/>
    <col min="14856" max="14856" width="14.85546875" style="1436" customWidth="1"/>
    <col min="14857" max="15106" width="9.140625" style="1436"/>
    <col min="15107" max="15107" width="13.42578125" style="1436" customWidth="1"/>
    <col min="15108" max="15108" width="15.42578125" style="1436" customWidth="1"/>
    <col min="15109" max="15109" width="13.42578125" style="1436" customWidth="1"/>
    <col min="15110" max="15110" width="14.42578125" style="1436" bestFit="1" customWidth="1"/>
    <col min="15111" max="15111" width="13.42578125" style="1436" customWidth="1"/>
    <col min="15112" max="15112" width="14.85546875" style="1436" customWidth="1"/>
    <col min="15113" max="15362" width="9.140625" style="1436"/>
    <col min="15363" max="15363" width="13.42578125" style="1436" customWidth="1"/>
    <col min="15364" max="15364" width="15.42578125" style="1436" customWidth="1"/>
    <col min="15365" max="15365" width="13.42578125" style="1436" customWidth="1"/>
    <col min="15366" max="15366" width="14.42578125" style="1436" bestFit="1" customWidth="1"/>
    <col min="15367" max="15367" width="13.42578125" style="1436" customWidth="1"/>
    <col min="15368" max="15368" width="14.85546875" style="1436" customWidth="1"/>
    <col min="15369" max="15618" width="9.140625" style="1436"/>
    <col min="15619" max="15619" width="13.42578125" style="1436" customWidth="1"/>
    <col min="15620" max="15620" width="15.42578125" style="1436" customWidth="1"/>
    <col min="15621" max="15621" width="13.42578125" style="1436" customWidth="1"/>
    <col min="15622" max="15622" width="14.42578125" style="1436" bestFit="1" customWidth="1"/>
    <col min="15623" max="15623" width="13.42578125" style="1436" customWidth="1"/>
    <col min="15624" max="15624" width="14.85546875" style="1436" customWidth="1"/>
    <col min="15625" max="15874" width="9.140625" style="1436"/>
    <col min="15875" max="15875" width="13.42578125" style="1436" customWidth="1"/>
    <col min="15876" max="15876" width="15.42578125" style="1436" customWidth="1"/>
    <col min="15877" max="15877" width="13.42578125" style="1436" customWidth="1"/>
    <col min="15878" max="15878" width="14.42578125" style="1436" bestFit="1" customWidth="1"/>
    <col min="15879" max="15879" width="13.42578125" style="1436" customWidth="1"/>
    <col min="15880" max="15880" width="14.85546875" style="1436" customWidth="1"/>
    <col min="15881" max="16130" width="9.140625" style="1436"/>
    <col min="16131" max="16131" width="13.42578125" style="1436" customWidth="1"/>
    <col min="16132" max="16132" width="15.42578125" style="1436" customWidth="1"/>
    <col min="16133" max="16133" width="13.42578125" style="1436" customWidth="1"/>
    <col min="16134" max="16134" width="14.42578125" style="1436" bestFit="1" customWidth="1"/>
    <col min="16135" max="16135" width="13.42578125" style="1436" customWidth="1"/>
    <col min="16136" max="16136" width="14.85546875" style="1436" customWidth="1"/>
    <col min="16137" max="16384" width="9.140625" style="1436"/>
  </cols>
  <sheetData>
    <row r="1" spans="1:9" s="1431" customFormat="1" ht="19.5" customHeight="1" x14ac:dyDescent="0.25">
      <c r="A1" s="1360" t="s">
        <v>1006</v>
      </c>
    </row>
    <row r="2" spans="1:9" s="1431" customFormat="1" ht="17.25" x14ac:dyDescent="0.25">
      <c r="A2" s="1360" t="s">
        <v>1007</v>
      </c>
      <c r="B2" s="1432"/>
    </row>
    <row r="3" spans="1:9" ht="12.75" customHeight="1" thickBot="1" x14ac:dyDescent="0.3">
      <c r="A3" s="1433"/>
      <c r="B3" s="1434"/>
      <c r="C3" s="1434"/>
      <c r="D3" s="1434"/>
      <c r="E3" s="1434"/>
      <c r="F3" s="1434"/>
      <c r="G3" s="1434"/>
      <c r="H3" s="1434"/>
    </row>
    <row r="4" spans="1:9" s="1442" customFormat="1" ht="50.1" customHeight="1" thickTop="1" thickBot="1" x14ac:dyDescent="0.3">
      <c r="A4" s="1437"/>
      <c r="B4" s="1438" t="s">
        <v>1008</v>
      </c>
      <c r="C4" s="1438" t="s">
        <v>1009</v>
      </c>
      <c r="D4" s="1439" t="s">
        <v>12</v>
      </c>
      <c r="E4" s="1440" t="s">
        <v>1010</v>
      </c>
      <c r="F4" s="1441" t="s">
        <v>1011</v>
      </c>
      <c r="G4" s="1441" t="s">
        <v>1012</v>
      </c>
      <c r="H4" s="1441" t="s">
        <v>1013</v>
      </c>
    </row>
    <row r="5" spans="1:9" s="1443" customFormat="1" ht="15" hidden="1" customHeight="1" x14ac:dyDescent="0.25">
      <c r="A5" s="1392">
        <v>40179</v>
      </c>
      <c r="B5" s="1388">
        <v>5914</v>
      </c>
      <c r="C5" s="1389" t="s">
        <v>1014</v>
      </c>
      <c r="D5" s="1389">
        <v>1734</v>
      </c>
      <c r="E5" s="1389" t="s">
        <v>1014</v>
      </c>
      <c r="F5" s="1421" t="s">
        <v>1014</v>
      </c>
      <c r="G5" s="1421"/>
      <c r="H5" s="1421"/>
    </row>
    <row r="6" spans="1:9" s="1444" customFormat="1" ht="15" hidden="1" customHeight="1" x14ac:dyDescent="0.25">
      <c r="A6" s="1392">
        <v>40210</v>
      </c>
      <c r="B6" s="1388">
        <v>36283</v>
      </c>
      <c r="C6" s="1389" t="s">
        <v>1014</v>
      </c>
      <c r="D6" s="1389" t="s">
        <v>1014</v>
      </c>
      <c r="E6" s="1389" t="s">
        <v>1014</v>
      </c>
      <c r="F6" s="1421" t="s">
        <v>1014</v>
      </c>
      <c r="G6" s="1421"/>
      <c r="H6" s="1421"/>
      <c r="I6" s="1443"/>
    </row>
    <row r="7" spans="1:9" s="1444" customFormat="1" ht="15" hidden="1" customHeight="1" x14ac:dyDescent="0.25">
      <c r="A7" s="1392">
        <v>40238</v>
      </c>
      <c r="B7" s="1388">
        <v>5631262</v>
      </c>
      <c r="C7" s="1389">
        <v>2527</v>
      </c>
      <c r="D7" s="1389">
        <v>25135</v>
      </c>
      <c r="E7" s="1389" t="s">
        <v>1014</v>
      </c>
      <c r="F7" s="1421" t="s">
        <v>1014</v>
      </c>
      <c r="G7" s="1421"/>
      <c r="H7" s="1421"/>
      <c r="I7" s="1443"/>
    </row>
    <row r="8" spans="1:9" s="1444" customFormat="1" ht="15" hidden="1" customHeight="1" x14ac:dyDescent="0.25">
      <c r="A8" s="1392">
        <v>40269</v>
      </c>
      <c r="B8" s="1388">
        <v>261209</v>
      </c>
      <c r="C8" s="1389">
        <v>141027</v>
      </c>
      <c r="D8" s="1389">
        <v>285999</v>
      </c>
      <c r="E8" s="1389" t="s">
        <v>1014</v>
      </c>
      <c r="F8" s="1421" t="s">
        <v>1014</v>
      </c>
      <c r="G8" s="1421"/>
      <c r="H8" s="1421"/>
      <c r="I8" s="1443"/>
    </row>
    <row r="9" spans="1:9" s="1444" customFormat="1" ht="15" hidden="1" customHeight="1" x14ac:dyDescent="0.25">
      <c r="A9" s="1392">
        <v>40299</v>
      </c>
      <c r="B9" s="1388">
        <v>317114</v>
      </c>
      <c r="C9" s="1389">
        <v>1834</v>
      </c>
      <c r="D9" s="1389">
        <v>680</v>
      </c>
      <c r="E9" s="1389" t="s">
        <v>1014</v>
      </c>
      <c r="F9" s="1421" t="s">
        <v>1014</v>
      </c>
      <c r="G9" s="1421"/>
      <c r="H9" s="1421"/>
      <c r="I9" s="1443"/>
    </row>
    <row r="10" spans="1:9" s="1444" customFormat="1" ht="15" hidden="1" customHeight="1" x14ac:dyDescent="0.25">
      <c r="A10" s="1392">
        <v>40330</v>
      </c>
      <c r="B10" s="1388">
        <v>17493394</v>
      </c>
      <c r="C10" s="1389">
        <v>109726</v>
      </c>
      <c r="D10" s="1389">
        <v>737439</v>
      </c>
      <c r="E10" s="1389" t="s">
        <v>1014</v>
      </c>
      <c r="F10" s="1421" t="s">
        <v>1014</v>
      </c>
      <c r="G10" s="1421"/>
      <c r="H10" s="1421"/>
      <c r="I10" s="1443"/>
    </row>
    <row r="11" spans="1:9" s="1444" customFormat="1" ht="15" hidden="1" customHeight="1" x14ac:dyDescent="0.25">
      <c r="A11" s="1392">
        <v>40360</v>
      </c>
      <c r="B11" s="1388">
        <v>2123979</v>
      </c>
      <c r="C11" s="1389">
        <v>866</v>
      </c>
      <c r="D11" s="1389">
        <v>953488</v>
      </c>
      <c r="E11" s="1389" t="s">
        <v>1014</v>
      </c>
      <c r="F11" s="1421" t="s">
        <v>1014</v>
      </c>
      <c r="G11" s="1421"/>
      <c r="H11" s="1421"/>
      <c r="I11" s="1443"/>
    </row>
    <row r="12" spans="1:9" s="1444" customFormat="1" ht="15" hidden="1" customHeight="1" x14ac:dyDescent="0.25">
      <c r="A12" s="1392">
        <v>40391</v>
      </c>
      <c r="B12" s="1388">
        <v>595552</v>
      </c>
      <c r="C12" s="1389" t="s">
        <v>1014</v>
      </c>
      <c r="D12" s="1389">
        <v>9358</v>
      </c>
      <c r="E12" s="1389" t="s">
        <v>1014</v>
      </c>
      <c r="F12" s="1421" t="s">
        <v>1014</v>
      </c>
      <c r="G12" s="1421"/>
      <c r="H12" s="1421"/>
      <c r="I12" s="1443"/>
    </row>
    <row r="13" spans="1:9" s="1444" customFormat="1" ht="15" hidden="1" customHeight="1" x14ac:dyDescent="0.25">
      <c r="A13" s="1392">
        <v>40422</v>
      </c>
      <c r="B13" s="1388">
        <v>11209868</v>
      </c>
      <c r="C13" s="1389">
        <v>132114</v>
      </c>
      <c r="D13" s="1389">
        <v>402628</v>
      </c>
      <c r="E13" s="1389" t="s">
        <v>1014</v>
      </c>
      <c r="F13" s="1421" t="s">
        <v>1014</v>
      </c>
      <c r="G13" s="1421"/>
      <c r="H13" s="1421"/>
      <c r="I13" s="1443"/>
    </row>
    <row r="14" spans="1:9" s="1444" customFormat="1" ht="15" hidden="1" customHeight="1" x14ac:dyDescent="0.25">
      <c r="A14" s="1392">
        <v>40452</v>
      </c>
      <c r="B14" s="1388">
        <v>1114121</v>
      </c>
      <c r="C14" s="1389">
        <v>159410</v>
      </c>
      <c r="D14" s="1389">
        <v>4540</v>
      </c>
      <c r="E14" s="1389" t="s">
        <v>1014</v>
      </c>
      <c r="F14" s="1421" t="s">
        <v>1014</v>
      </c>
      <c r="G14" s="1421"/>
      <c r="H14" s="1421"/>
      <c r="I14" s="1443"/>
    </row>
    <row r="15" spans="1:9" s="1444" customFormat="1" ht="15" hidden="1" customHeight="1" x14ac:dyDescent="0.25">
      <c r="A15" s="1392">
        <v>40483</v>
      </c>
      <c r="B15" s="1388">
        <v>798847</v>
      </c>
      <c r="C15" s="1389">
        <v>105</v>
      </c>
      <c r="D15" s="1389">
        <v>43355</v>
      </c>
      <c r="E15" s="1389" t="s">
        <v>1014</v>
      </c>
      <c r="F15" s="1421" t="s">
        <v>1014</v>
      </c>
      <c r="G15" s="1421"/>
      <c r="H15" s="1421"/>
      <c r="I15" s="1443"/>
    </row>
    <row r="16" spans="1:9" s="1444" customFormat="1" ht="15" hidden="1" customHeight="1" x14ac:dyDescent="0.25">
      <c r="A16" s="1392">
        <v>40522</v>
      </c>
      <c r="B16" s="1388">
        <v>12250666</v>
      </c>
      <c r="C16" s="1389">
        <v>228749</v>
      </c>
      <c r="D16" s="1389">
        <v>442063</v>
      </c>
      <c r="E16" s="1389" t="s">
        <v>1014</v>
      </c>
      <c r="F16" s="1421" t="s">
        <v>1014</v>
      </c>
      <c r="G16" s="1421"/>
      <c r="H16" s="1421"/>
      <c r="I16" s="1443"/>
    </row>
    <row r="17" spans="1:9" s="1444" customFormat="1" ht="15" hidden="1" customHeight="1" x14ac:dyDescent="0.25">
      <c r="A17" s="1392" t="s">
        <v>1015</v>
      </c>
      <c r="B17" s="1388">
        <v>42710761.229999997</v>
      </c>
      <c r="C17" s="1389">
        <v>20051764.09</v>
      </c>
      <c r="D17" s="1389">
        <v>85130197.120000005</v>
      </c>
      <c r="E17" s="1389" t="s">
        <v>1014</v>
      </c>
      <c r="F17" s="1421" t="s">
        <v>1014</v>
      </c>
      <c r="G17" s="1421"/>
      <c r="H17" s="1421"/>
      <c r="I17" s="1443"/>
    </row>
    <row r="18" spans="1:9" s="1444" customFormat="1" ht="15" hidden="1" customHeight="1" x14ac:dyDescent="0.25">
      <c r="A18" s="1392">
        <v>40575</v>
      </c>
      <c r="B18" s="1388">
        <v>123920650</v>
      </c>
      <c r="C18" s="1389">
        <v>32240708</v>
      </c>
      <c r="D18" s="1389">
        <v>123847523</v>
      </c>
      <c r="E18" s="1389" t="s">
        <v>1014</v>
      </c>
      <c r="F18" s="1421" t="s">
        <v>1014</v>
      </c>
      <c r="G18" s="1421"/>
      <c r="H18" s="1421"/>
      <c r="I18" s="1443"/>
    </row>
    <row r="19" spans="1:9" s="1444" customFormat="1" ht="15" hidden="1" customHeight="1" x14ac:dyDescent="0.25">
      <c r="A19" s="1392">
        <v>40603</v>
      </c>
      <c r="B19" s="1388">
        <v>99294349</v>
      </c>
      <c r="C19" s="1389">
        <v>25082461</v>
      </c>
      <c r="D19" s="1389">
        <v>222570228</v>
      </c>
      <c r="E19" s="1389" t="s">
        <v>1014</v>
      </c>
      <c r="F19" s="1421" t="s">
        <v>1014</v>
      </c>
      <c r="G19" s="1421"/>
      <c r="H19" s="1421"/>
      <c r="I19" s="1443"/>
    </row>
    <row r="20" spans="1:9" s="1444" customFormat="1" ht="15" hidden="1" customHeight="1" x14ac:dyDescent="0.25">
      <c r="A20" s="1392">
        <v>40634</v>
      </c>
      <c r="B20" s="1388">
        <v>29858403</v>
      </c>
      <c r="C20" s="1389">
        <v>3530757</v>
      </c>
      <c r="D20" s="1389">
        <v>88100029</v>
      </c>
      <c r="E20" s="1389" t="s">
        <v>1014</v>
      </c>
      <c r="F20" s="1421" t="s">
        <v>1014</v>
      </c>
      <c r="G20" s="1421"/>
      <c r="H20" s="1421"/>
      <c r="I20" s="1443"/>
    </row>
    <row r="21" spans="1:9" s="1444" customFormat="1" ht="15" hidden="1" customHeight="1" x14ac:dyDescent="0.25">
      <c r="A21" s="1392">
        <v>40664</v>
      </c>
      <c r="B21" s="1388">
        <v>97627671</v>
      </c>
      <c r="C21" s="1389">
        <v>7238224</v>
      </c>
      <c r="D21" s="1389">
        <v>63187907</v>
      </c>
      <c r="E21" s="1389" t="s">
        <v>1014</v>
      </c>
      <c r="F21" s="1421" t="s">
        <v>1014</v>
      </c>
      <c r="G21" s="1421"/>
      <c r="H21" s="1421"/>
      <c r="I21" s="1443"/>
    </row>
    <row r="22" spans="1:9" s="1444" customFormat="1" ht="15" hidden="1" customHeight="1" x14ac:dyDescent="0.25">
      <c r="A22" s="1392">
        <v>40695</v>
      </c>
      <c r="B22" s="1388">
        <v>243294149</v>
      </c>
      <c r="C22" s="1389">
        <v>6541718</v>
      </c>
      <c r="D22" s="1389">
        <v>175521436</v>
      </c>
      <c r="E22" s="1389" t="s">
        <v>1014</v>
      </c>
      <c r="F22" s="1421" t="s">
        <v>1014</v>
      </c>
      <c r="G22" s="1421"/>
      <c r="H22" s="1421"/>
      <c r="I22" s="1443"/>
    </row>
    <row r="23" spans="1:9" s="1444" customFormat="1" ht="15" hidden="1" customHeight="1" x14ac:dyDescent="0.25">
      <c r="A23" s="1392">
        <v>40725</v>
      </c>
      <c r="B23" s="1388">
        <v>95678196</v>
      </c>
      <c r="C23" s="1389">
        <v>41123886</v>
      </c>
      <c r="D23" s="1389">
        <v>87007348</v>
      </c>
      <c r="E23" s="1389" t="s">
        <v>1014</v>
      </c>
      <c r="F23" s="1421" t="s">
        <v>1014</v>
      </c>
      <c r="G23" s="1421"/>
      <c r="H23" s="1421"/>
      <c r="I23" s="1443"/>
    </row>
    <row r="24" spans="1:9" s="1444" customFormat="1" ht="15" hidden="1" customHeight="1" x14ac:dyDescent="0.25">
      <c r="A24" s="1392">
        <v>40756</v>
      </c>
      <c r="B24" s="1388">
        <v>56293259</v>
      </c>
      <c r="C24" s="1389">
        <v>10259906</v>
      </c>
      <c r="D24" s="1389">
        <v>5818117</v>
      </c>
      <c r="E24" s="1389" t="s">
        <v>1014</v>
      </c>
      <c r="F24" s="1421" t="s">
        <v>1014</v>
      </c>
      <c r="G24" s="1421"/>
      <c r="H24" s="1421"/>
      <c r="I24" s="1443"/>
    </row>
    <row r="25" spans="1:9" s="1444" customFormat="1" ht="15" hidden="1" customHeight="1" x14ac:dyDescent="0.25">
      <c r="A25" s="1392">
        <v>40787</v>
      </c>
      <c r="B25" s="1388">
        <v>154997328</v>
      </c>
      <c r="C25" s="1389">
        <v>49993959</v>
      </c>
      <c r="D25" s="1389">
        <v>65697275</v>
      </c>
      <c r="E25" s="1389" t="s">
        <v>1014</v>
      </c>
      <c r="F25" s="1421" t="s">
        <v>1014</v>
      </c>
      <c r="G25" s="1421"/>
      <c r="H25" s="1421"/>
      <c r="I25" s="1443"/>
    </row>
    <row r="26" spans="1:9" s="1444" customFormat="1" ht="15" hidden="1" customHeight="1" x14ac:dyDescent="0.25">
      <c r="A26" s="1392">
        <v>40817</v>
      </c>
      <c r="B26" s="1388">
        <v>118639609</v>
      </c>
      <c r="C26" s="1389">
        <v>147606114</v>
      </c>
      <c r="D26" s="1389">
        <v>12133244</v>
      </c>
      <c r="E26" s="1389" t="s">
        <v>1014</v>
      </c>
      <c r="F26" s="1421" t="s">
        <v>1014</v>
      </c>
      <c r="G26" s="1421"/>
      <c r="H26" s="1421"/>
      <c r="I26" s="1443"/>
    </row>
    <row r="27" spans="1:9" s="1444" customFormat="1" ht="15" hidden="1" customHeight="1" x14ac:dyDescent="0.25">
      <c r="A27" s="1392">
        <v>40848</v>
      </c>
      <c r="B27" s="1388">
        <v>110148458</v>
      </c>
      <c r="C27" s="1389">
        <v>118824093</v>
      </c>
      <c r="D27" s="1389">
        <v>54402021</v>
      </c>
      <c r="E27" s="1389" t="s">
        <v>1014</v>
      </c>
      <c r="F27" s="1421" t="s">
        <v>1014</v>
      </c>
      <c r="G27" s="1421"/>
      <c r="H27" s="1421"/>
      <c r="I27" s="1443"/>
    </row>
    <row r="28" spans="1:9" s="1444" customFormat="1" ht="15" hidden="1" customHeight="1" x14ac:dyDescent="0.25">
      <c r="A28" s="1392">
        <v>40878</v>
      </c>
      <c r="B28" s="1388">
        <v>218896482.87</v>
      </c>
      <c r="C28" s="1389">
        <v>109118764.59</v>
      </c>
      <c r="D28" s="1389">
        <v>101581718.31</v>
      </c>
      <c r="E28" s="1389" t="s">
        <v>1014</v>
      </c>
      <c r="F28" s="1421" t="s">
        <v>1014</v>
      </c>
      <c r="G28" s="1421"/>
      <c r="H28" s="1421"/>
      <c r="I28" s="1443"/>
    </row>
    <row r="29" spans="1:9" s="1444" customFormat="1" ht="18.600000000000001" hidden="1" customHeight="1" x14ac:dyDescent="0.25">
      <c r="A29" s="1392">
        <v>40909</v>
      </c>
      <c r="B29" s="1388">
        <v>67205197</v>
      </c>
      <c r="C29" s="1389">
        <v>86124266</v>
      </c>
      <c r="D29" s="1389">
        <v>130921956</v>
      </c>
      <c r="E29" s="1389" t="s">
        <v>1014</v>
      </c>
      <c r="F29" s="1421" t="s">
        <v>1014</v>
      </c>
      <c r="G29" s="1421"/>
      <c r="H29" s="1421"/>
      <c r="I29" s="1443"/>
    </row>
    <row r="30" spans="1:9" s="1444" customFormat="1" ht="18.600000000000001" hidden="1" customHeight="1" x14ac:dyDescent="0.25">
      <c r="A30" s="1392">
        <v>40940</v>
      </c>
      <c r="B30" s="1388">
        <v>63186761</v>
      </c>
      <c r="C30" s="1389">
        <v>18290075</v>
      </c>
      <c r="D30" s="1389">
        <v>156104652</v>
      </c>
      <c r="E30" s="1389" t="s">
        <v>1014</v>
      </c>
      <c r="F30" s="1421" t="s">
        <v>1014</v>
      </c>
      <c r="G30" s="1421"/>
      <c r="H30" s="1421"/>
      <c r="I30" s="1443"/>
    </row>
    <row r="31" spans="1:9" s="1444" customFormat="1" ht="18.600000000000001" hidden="1" customHeight="1" x14ac:dyDescent="0.25">
      <c r="A31" s="1392" t="s">
        <v>1016</v>
      </c>
      <c r="B31" s="1388">
        <v>77590526</v>
      </c>
      <c r="C31" s="1389">
        <v>4777455</v>
      </c>
      <c r="D31" s="1389">
        <v>193807221</v>
      </c>
      <c r="E31" s="1389">
        <v>202000</v>
      </c>
      <c r="F31" s="1421">
        <v>102000</v>
      </c>
      <c r="G31" s="1421"/>
      <c r="H31" s="1421"/>
      <c r="I31" s="1443"/>
    </row>
    <row r="32" spans="1:9" s="1444" customFormat="1" ht="18.600000000000001" hidden="1" customHeight="1" x14ac:dyDescent="0.25">
      <c r="A32" s="1392">
        <v>41000</v>
      </c>
      <c r="B32" s="1388">
        <v>89966108</v>
      </c>
      <c r="C32" s="1389">
        <v>4694300</v>
      </c>
      <c r="D32" s="1389">
        <v>22166126</v>
      </c>
      <c r="E32" s="1389" t="s">
        <v>1014</v>
      </c>
      <c r="F32" s="1421">
        <v>20000</v>
      </c>
      <c r="G32" s="1421"/>
      <c r="H32" s="1421"/>
      <c r="I32" s="1443"/>
    </row>
    <row r="33" spans="1:9" s="1444" customFormat="1" ht="18.600000000000001" hidden="1" customHeight="1" x14ac:dyDescent="0.25">
      <c r="A33" s="1392">
        <v>41030</v>
      </c>
      <c r="B33" s="1388">
        <v>57865612</v>
      </c>
      <c r="C33" s="1389">
        <v>4537372</v>
      </c>
      <c r="D33" s="1389">
        <v>32092133</v>
      </c>
      <c r="E33" s="1389" t="s">
        <v>1014</v>
      </c>
      <c r="F33" s="1421" t="s">
        <v>1014</v>
      </c>
      <c r="G33" s="1421"/>
      <c r="H33" s="1421"/>
      <c r="I33" s="1443"/>
    </row>
    <row r="34" spans="1:9" s="1444" customFormat="1" ht="18.600000000000001" hidden="1" customHeight="1" x14ac:dyDescent="0.25">
      <c r="A34" s="1392">
        <v>41061</v>
      </c>
      <c r="B34" s="1388">
        <v>229005570</v>
      </c>
      <c r="C34" s="1389">
        <v>98201094</v>
      </c>
      <c r="D34" s="1389">
        <v>95352323</v>
      </c>
      <c r="E34" s="1389">
        <v>20000</v>
      </c>
      <c r="F34" s="1421">
        <v>200000</v>
      </c>
      <c r="G34" s="1421"/>
      <c r="H34" s="1421"/>
      <c r="I34" s="1443"/>
    </row>
    <row r="35" spans="1:9" s="1444" customFormat="1" ht="18.600000000000001" hidden="1" customHeight="1" x14ac:dyDescent="0.25">
      <c r="A35" s="1392">
        <v>41091</v>
      </c>
      <c r="B35" s="1388">
        <v>179729112</v>
      </c>
      <c r="C35" s="1389">
        <v>130501823</v>
      </c>
      <c r="D35" s="1389">
        <v>136179553</v>
      </c>
      <c r="E35" s="1389">
        <v>10000</v>
      </c>
      <c r="F35" s="1421">
        <v>50000</v>
      </c>
      <c r="G35" s="1421"/>
      <c r="H35" s="1421"/>
      <c r="I35" s="1443"/>
    </row>
    <row r="36" spans="1:9" s="1444" customFormat="1" ht="18.600000000000001" hidden="1" customHeight="1" x14ac:dyDescent="0.25">
      <c r="A36" s="1392">
        <v>41122</v>
      </c>
      <c r="B36" s="1388">
        <v>56293259</v>
      </c>
      <c r="C36" s="1389">
        <v>10259906</v>
      </c>
      <c r="D36" s="1389">
        <v>5818117</v>
      </c>
      <c r="E36" s="1389"/>
      <c r="F36" s="1421"/>
      <c r="G36" s="1421"/>
      <c r="H36" s="1421"/>
      <c r="I36" s="1443"/>
    </row>
    <row r="37" spans="1:9" s="1444" customFormat="1" ht="18.600000000000001" hidden="1" customHeight="1" x14ac:dyDescent="0.25">
      <c r="A37" s="1392">
        <v>41153</v>
      </c>
      <c r="B37" s="1388">
        <v>86502356</v>
      </c>
      <c r="C37" s="1389">
        <v>9571051</v>
      </c>
      <c r="D37" s="1389">
        <v>165668582</v>
      </c>
      <c r="E37" s="1389">
        <v>637161</v>
      </c>
      <c r="F37" s="1421">
        <v>18571203</v>
      </c>
      <c r="G37" s="1421"/>
      <c r="H37" s="1421"/>
      <c r="I37" s="1443"/>
    </row>
    <row r="38" spans="1:9" s="1444" customFormat="1" ht="18.600000000000001" hidden="1" customHeight="1" x14ac:dyDescent="0.25">
      <c r="A38" s="1392">
        <v>41183</v>
      </c>
      <c r="B38" s="1388">
        <v>159774119</v>
      </c>
      <c r="C38" s="1389">
        <v>18762159</v>
      </c>
      <c r="D38" s="1389">
        <v>9251408</v>
      </c>
      <c r="E38" s="1389">
        <v>2809135</v>
      </c>
      <c r="F38" s="1421">
        <v>15861760</v>
      </c>
      <c r="G38" s="1421"/>
      <c r="H38" s="1421"/>
      <c r="I38" s="1443"/>
    </row>
    <row r="39" spans="1:9" s="1444" customFormat="1" ht="18.600000000000001" hidden="1" customHeight="1" x14ac:dyDescent="0.25">
      <c r="A39" s="1392">
        <v>41214</v>
      </c>
      <c r="B39" s="1388">
        <v>177652454</v>
      </c>
      <c r="C39" s="1389">
        <v>5602096</v>
      </c>
      <c r="D39" s="1389">
        <v>139653634</v>
      </c>
      <c r="E39" s="1389">
        <v>416711</v>
      </c>
      <c r="F39" s="1421">
        <v>7245472</v>
      </c>
      <c r="G39" s="1421"/>
      <c r="H39" s="1421"/>
      <c r="I39" s="1443"/>
    </row>
    <row r="40" spans="1:9" s="1444" customFormat="1" ht="18.600000000000001" hidden="1" customHeight="1" x14ac:dyDescent="0.25">
      <c r="A40" s="1392">
        <v>41244</v>
      </c>
      <c r="B40" s="1388">
        <v>208473917</v>
      </c>
      <c r="C40" s="1389">
        <v>10945983</v>
      </c>
      <c r="D40" s="1389">
        <v>308800446</v>
      </c>
      <c r="E40" s="1389">
        <v>424096</v>
      </c>
      <c r="F40" s="1421">
        <v>53286689</v>
      </c>
      <c r="G40" s="1421"/>
      <c r="H40" s="1421"/>
      <c r="I40" s="1443"/>
    </row>
    <row r="41" spans="1:9" s="1444" customFormat="1" ht="18.600000000000001" hidden="1" customHeight="1" x14ac:dyDescent="0.25">
      <c r="A41" s="1392">
        <v>41640</v>
      </c>
      <c r="B41" s="1388">
        <v>42429002</v>
      </c>
      <c r="C41" s="1389">
        <v>359113</v>
      </c>
      <c r="D41" s="1389">
        <v>63003683</v>
      </c>
      <c r="E41" s="1389">
        <v>18319</v>
      </c>
      <c r="F41" s="1421">
        <v>455997</v>
      </c>
      <c r="G41" s="1421"/>
      <c r="H41" s="1421"/>
      <c r="I41" s="1443"/>
    </row>
    <row r="42" spans="1:9" s="1444" customFormat="1" ht="18.600000000000001" hidden="1" customHeight="1" x14ac:dyDescent="0.25">
      <c r="A42" s="1392">
        <v>41671</v>
      </c>
      <c r="B42" s="1388">
        <v>212162066</v>
      </c>
      <c r="C42" s="1389">
        <v>655537</v>
      </c>
      <c r="D42" s="1389">
        <v>33810009</v>
      </c>
      <c r="E42" s="1389" t="s">
        <v>1014</v>
      </c>
      <c r="F42" s="1421">
        <v>1776907</v>
      </c>
      <c r="G42" s="1421"/>
      <c r="H42" s="1421"/>
      <c r="I42" s="1443"/>
    </row>
    <row r="43" spans="1:9" s="1444" customFormat="1" ht="18.600000000000001" hidden="1" customHeight="1" x14ac:dyDescent="0.25">
      <c r="A43" s="1392">
        <v>41699</v>
      </c>
      <c r="B43" s="1388">
        <v>89557336</v>
      </c>
      <c r="C43" s="1389">
        <v>48922059</v>
      </c>
      <c r="D43" s="1389">
        <v>25720678</v>
      </c>
      <c r="E43" s="1389">
        <v>19485</v>
      </c>
      <c r="F43" s="1421">
        <v>4669867</v>
      </c>
      <c r="G43" s="1421"/>
      <c r="H43" s="1421"/>
      <c r="I43" s="1443"/>
    </row>
    <row r="44" spans="1:9" s="1444" customFormat="1" ht="18.600000000000001" hidden="1" customHeight="1" x14ac:dyDescent="0.25">
      <c r="A44" s="1393">
        <v>41730</v>
      </c>
      <c r="B44" s="1445">
        <v>143133760</v>
      </c>
      <c r="C44" s="1446">
        <v>16686333</v>
      </c>
      <c r="D44" s="1446">
        <v>50286992</v>
      </c>
      <c r="E44" s="1446">
        <v>2214911</v>
      </c>
      <c r="F44" s="1447">
        <v>5903540</v>
      </c>
      <c r="G44" s="1447"/>
      <c r="H44" s="1447"/>
      <c r="I44" s="1443"/>
    </row>
    <row r="45" spans="1:9" s="1444" customFormat="1" ht="18.600000000000001" hidden="1" customHeight="1" x14ac:dyDescent="0.25">
      <c r="A45" s="1393">
        <v>41760</v>
      </c>
      <c r="B45" s="1388">
        <v>29430452</v>
      </c>
      <c r="C45" s="1389">
        <v>2158982</v>
      </c>
      <c r="D45" s="1389">
        <v>7260734</v>
      </c>
      <c r="E45" s="1389" t="s">
        <v>1014</v>
      </c>
      <c r="F45" s="1421">
        <v>1630073</v>
      </c>
      <c r="G45" s="1421"/>
      <c r="H45" s="1421"/>
      <c r="I45" s="1443"/>
    </row>
    <row r="46" spans="1:9" s="1444" customFormat="1" ht="18.600000000000001" hidden="1" customHeight="1" x14ac:dyDescent="0.25">
      <c r="A46" s="1393">
        <v>41791</v>
      </c>
      <c r="B46" s="1388">
        <v>164953999</v>
      </c>
      <c r="C46" s="1389">
        <v>10080334</v>
      </c>
      <c r="D46" s="1389">
        <v>34713653</v>
      </c>
      <c r="E46" s="1397">
        <v>4146</v>
      </c>
      <c r="F46" s="1421">
        <v>12204585</v>
      </c>
      <c r="G46" s="1421"/>
      <c r="H46" s="1421"/>
      <c r="I46" s="1443"/>
    </row>
    <row r="47" spans="1:9" s="1444" customFormat="1" ht="18.600000000000001" hidden="1" customHeight="1" x14ac:dyDescent="0.25">
      <c r="A47" s="1393">
        <v>41821</v>
      </c>
      <c r="B47" s="1388">
        <v>112953390</v>
      </c>
      <c r="C47" s="1389">
        <v>3273468</v>
      </c>
      <c r="D47" s="1389">
        <v>26500771</v>
      </c>
      <c r="E47" s="1397">
        <v>15033</v>
      </c>
      <c r="F47" s="1421">
        <v>20267800</v>
      </c>
      <c r="G47" s="1421"/>
      <c r="H47" s="1421"/>
      <c r="I47" s="1443"/>
    </row>
    <row r="48" spans="1:9" s="1444" customFormat="1" ht="18.600000000000001" hidden="1" customHeight="1" x14ac:dyDescent="0.25">
      <c r="A48" s="1393">
        <v>41852</v>
      </c>
      <c r="B48" s="1388">
        <v>80015746</v>
      </c>
      <c r="C48" s="1389">
        <v>5443375</v>
      </c>
      <c r="D48" s="1389">
        <v>46418277</v>
      </c>
      <c r="E48" s="1397">
        <v>599268</v>
      </c>
      <c r="F48" s="1421">
        <v>2785137</v>
      </c>
      <c r="G48" s="1421"/>
      <c r="H48" s="1421"/>
      <c r="I48" s="1443"/>
    </row>
    <row r="49" spans="1:9" s="1444" customFormat="1" ht="18.600000000000001" hidden="1" customHeight="1" x14ac:dyDescent="0.25">
      <c r="A49" s="1393">
        <v>41883</v>
      </c>
      <c r="B49" s="1388">
        <v>246405564</v>
      </c>
      <c r="C49" s="1389">
        <v>11457692</v>
      </c>
      <c r="D49" s="1389">
        <v>19283464</v>
      </c>
      <c r="E49" s="1397">
        <v>335131</v>
      </c>
      <c r="F49" s="1421">
        <v>41571231</v>
      </c>
      <c r="G49" s="1421"/>
      <c r="H49" s="1421"/>
      <c r="I49" s="1443"/>
    </row>
    <row r="50" spans="1:9" s="1444" customFormat="1" ht="18.600000000000001" hidden="1" customHeight="1" x14ac:dyDescent="0.25">
      <c r="A50" s="1393">
        <v>41913</v>
      </c>
      <c r="B50" s="1388">
        <v>102047802</v>
      </c>
      <c r="C50" s="1389">
        <v>1757577</v>
      </c>
      <c r="D50" s="1389">
        <v>67003839</v>
      </c>
      <c r="E50" s="1397">
        <v>212891</v>
      </c>
      <c r="F50" s="1421">
        <v>2307064</v>
      </c>
      <c r="G50" s="1421"/>
      <c r="H50" s="1421"/>
      <c r="I50" s="1443"/>
    </row>
    <row r="51" spans="1:9" s="1444" customFormat="1" ht="18.600000000000001" hidden="1" customHeight="1" x14ac:dyDescent="0.25">
      <c r="A51" s="1393">
        <v>41944</v>
      </c>
      <c r="B51" s="1388">
        <v>98164090</v>
      </c>
      <c r="C51" s="1389">
        <v>2960701</v>
      </c>
      <c r="D51" s="1389">
        <v>16744927</v>
      </c>
      <c r="E51" s="1397">
        <v>302359</v>
      </c>
      <c r="F51" s="1421">
        <v>4165577</v>
      </c>
      <c r="G51" s="1421"/>
      <c r="H51" s="1421"/>
      <c r="I51" s="1443"/>
    </row>
    <row r="52" spans="1:9" s="1444" customFormat="1" ht="18.600000000000001" hidden="1" customHeight="1" x14ac:dyDescent="0.25">
      <c r="A52" s="1393">
        <v>41974</v>
      </c>
      <c r="B52" s="1388">
        <v>164781840</v>
      </c>
      <c r="C52" s="1389">
        <v>10189772</v>
      </c>
      <c r="D52" s="1389">
        <v>105170761</v>
      </c>
      <c r="E52" s="1397">
        <v>503993</v>
      </c>
      <c r="F52" s="1421">
        <v>10065276</v>
      </c>
      <c r="G52" s="1421"/>
      <c r="H52" s="1421"/>
      <c r="I52" s="1443"/>
    </row>
    <row r="53" spans="1:9" s="1444" customFormat="1" ht="18.600000000000001" hidden="1" customHeight="1" x14ac:dyDescent="0.25">
      <c r="A53" s="1393">
        <v>42005</v>
      </c>
      <c r="B53" s="1388">
        <v>43965291</v>
      </c>
      <c r="C53" s="1389">
        <v>9259452</v>
      </c>
      <c r="D53" s="1389">
        <v>10908494</v>
      </c>
      <c r="E53" s="1397">
        <v>1718</v>
      </c>
      <c r="F53" s="1421">
        <v>5009398</v>
      </c>
      <c r="G53" s="1421"/>
      <c r="H53" s="1421"/>
      <c r="I53" s="1443"/>
    </row>
    <row r="54" spans="1:9" s="1444" customFormat="1" ht="18.600000000000001" hidden="1" customHeight="1" x14ac:dyDescent="0.25">
      <c r="A54" s="1393">
        <v>42036</v>
      </c>
      <c r="B54" s="1388">
        <v>55482645</v>
      </c>
      <c r="C54" s="1389">
        <v>6516572</v>
      </c>
      <c r="D54" s="1389">
        <v>69702212</v>
      </c>
      <c r="E54" s="1397">
        <v>2000</v>
      </c>
      <c r="F54" s="1421">
        <v>891782</v>
      </c>
      <c r="G54" s="1421"/>
      <c r="H54" s="1421"/>
      <c r="I54" s="1443"/>
    </row>
    <row r="55" spans="1:9" s="1444" customFormat="1" ht="18.600000000000001" hidden="1" customHeight="1" x14ac:dyDescent="0.25">
      <c r="A55" s="1393">
        <v>42064</v>
      </c>
      <c r="B55" s="1388">
        <v>681783884</v>
      </c>
      <c r="C55" s="1389">
        <v>52389677</v>
      </c>
      <c r="D55" s="1389">
        <v>86235761</v>
      </c>
      <c r="E55" s="1397">
        <v>2630567</v>
      </c>
      <c r="F55" s="1421">
        <v>27887906</v>
      </c>
      <c r="G55" s="1421"/>
      <c r="H55" s="1421"/>
      <c r="I55" s="1443"/>
    </row>
    <row r="56" spans="1:9" s="1444" customFormat="1" ht="18.600000000000001" hidden="1" customHeight="1" x14ac:dyDescent="0.25">
      <c r="A56" s="1393">
        <v>42095</v>
      </c>
      <c r="B56" s="1388">
        <v>56695403</v>
      </c>
      <c r="C56" s="1389">
        <v>24361080</v>
      </c>
      <c r="D56" s="1389">
        <v>27538571</v>
      </c>
      <c r="E56" s="1397">
        <v>404764</v>
      </c>
      <c r="F56" s="1421">
        <v>710782</v>
      </c>
      <c r="G56" s="1421"/>
      <c r="H56" s="1421"/>
      <c r="I56" s="1443"/>
    </row>
    <row r="57" spans="1:9" s="1444" customFormat="1" ht="18.600000000000001" hidden="1" customHeight="1" x14ac:dyDescent="0.25">
      <c r="A57" s="1393">
        <v>42125</v>
      </c>
      <c r="B57" s="1388">
        <v>59362533</v>
      </c>
      <c r="C57" s="1389">
        <v>21463277</v>
      </c>
      <c r="D57" s="1389">
        <v>13871059</v>
      </c>
      <c r="E57" s="1397">
        <v>415489</v>
      </c>
      <c r="F57" s="1421">
        <v>6133321</v>
      </c>
      <c r="G57" s="1421"/>
      <c r="H57" s="1421"/>
      <c r="I57" s="1443"/>
    </row>
    <row r="58" spans="1:9" s="1444" customFormat="1" ht="18.600000000000001" hidden="1" customHeight="1" x14ac:dyDescent="0.25">
      <c r="A58" s="1393">
        <v>42156</v>
      </c>
      <c r="B58" s="1388">
        <v>340915995</v>
      </c>
      <c r="C58" s="1389">
        <v>9458134</v>
      </c>
      <c r="D58" s="1389">
        <v>78990387</v>
      </c>
      <c r="E58" s="1397">
        <v>404484</v>
      </c>
      <c r="F58" s="1421">
        <v>19210750</v>
      </c>
      <c r="G58" s="1421"/>
      <c r="H58" s="1421"/>
      <c r="I58" s="1443"/>
    </row>
    <row r="59" spans="1:9" s="1444" customFormat="1" ht="18.600000000000001" hidden="1" customHeight="1" x14ac:dyDescent="0.25">
      <c r="A59" s="1393">
        <v>42186</v>
      </c>
      <c r="B59" s="1388">
        <v>609776072</v>
      </c>
      <c r="C59" s="1389">
        <v>2801482</v>
      </c>
      <c r="D59" s="1389">
        <v>81747801</v>
      </c>
      <c r="E59" s="1397">
        <v>404769</v>
      </c>
      <c r="F59" s="1421">
        <v>2579895</v>
      </c>
      <c r="G59" s="1421"/>
      <c r="H59" s="1421"/>
      <c r="I59" s="1443"/>
    </row>
    <row r="60" spans="1:9" s="1444" customFormat="1" ht="18.600000000000001" hidden="1" customHeight="1" x14ac:dyDescent="0.25">
      <c r="A60" s="1393">
        <v>42217</v>
      </c>
      <c r="B60" s="1388">
        <v>136898870</v>
      </c>
      <c r="C60" s="1389">
        <v>5388175</v>
      </c>
      <c r="D60" s="1389">
        <v>9428930</v>
      </c>
      <c r="E60" s="1397">
        <v>408694</v>
      </c>
      <c r="F60" s="1421">
        <v>1257135</v>
      </c>
      <c r="G60" s="1421"/>
      <c r="H60" s="1421"/>
      <c r="I60" s="1443"/>
    </row>
    <row r="61" spans="1:9" s="1444" customFormat="1" ht="18.600000000000001" hidden="1" customHeight="1" x14ac:dyDescent="0.25">
      <c r="A61" s="1393">
        <v>42248</v>
      </c>
      <c r="B61" s="1388">
        <v>252217891</v>
      </c>
      <c r="C61" s="1389">
        <v>37127936</v>
      </c>
      <c r="D61" s="1389">
        <v>24523853</v>
      </c>
      <c r="E61" s="1397">
        <v>425062</v>
      </c>
      <c r="F61" s="1421">
        <v>51490311</v>
      </c>
      <c r="G61" s="1421"/>
      <c r="H61" s="1421"/>
      <c r="I61" s="1443"/>
    </row>
    <row r="62" spans="1:9" s="1444" customFormat="1" ht="18.600000000000001" hidden="1" customHeight="1" x14ac:dyDescent="0.25">
      <c r="A62" s="1393">
        <v>42278</v>
      </c>
      <c r="B62" s="1388">
        <v>68864369</v>
      </c>
      <c r="C62" s="1389">
        <v>5502996</v>
      </c>
      <c r="D62" s="1389">
        <v>7384218</v>
      </c>
      <c r="E62" s="1397">
        <v>715434</v>
      </c>
      <c r="F62" s="1421">
        <v>8174770</v>
      </c>
      <c r="G62" s="1421"/>
      <c r="H62" s="1421"/>
      <c r="I62" s="1443"/>
    </row>
    <row r="63" spans="1:9" s="1444" customFormat="1" ht="18.600000000000001" hidden="1" customHeight="1" x14ac:dyDescent="0.25">
      <c r="A63" s="1393">
        <v>42309</v>
      </c>
      <c r="B63" s="1388">
        <v>104955815</v>
      </c>
      <c r="C63" s="1389">
        <v>6983788</v>
      </c>
      <c r="D63" s="1389">
        <v>8428491</v>
      </c>
      <c r="E63" s="1397">
        <v>240076</v>
      </c>
      <c r="F63" s="1421">
        <v>2635640</v>
      </c>
      <c r="G63" s="1421"/>
      <c r="H63" s="1421"/>
      <c r="I63" s="1443"/>
    </row>
    <row r="64" spans="1:9" s="1444" customFormat="1" ht="18.600000000000001" hidden="1" customHeight="1" x14ac:dyDescent="0.25">
      <c r="A64" s="1393">
        <v>42339</v>
      </c>
      <c r="B64" s="1388">
        <v>226086488</v>
      </c>
      <c r="C64" s="1389">
        <v>6750636</v>
      </c>
      <c r="D64" s="1389">
        <v>64318486</v>
      </c>
      <c r="E64" s="1397">
        <v>497822</v>
      </c>
      <c r="F64" s="1421">
        <v>70731889</v>
      </c>
      <c r="G64" s="1421"/>
      <c r="H64" s="1421"/>
      <c r="I64" s="1443"/>
    </row>
    <row r="65" spans="1:9" s="1444" customFormat="1" ht="18.600000000000001" hidden="1" customHeight="1" x14ac:dyDescent="0.25">
      <c r="A65" s="1393">
        <v>42370</v>
      </c>
      <c r="B65" s="1388">
        <v>90431920</v>
      </c>
      <c r="C65" s="1389">
        <v>6689813</v>
      </c>
      <c r="D65" s="1389">
        <v>15640251</v>
      </c>
      <c r="E65" s="1397">
        <v>20</v>
      </c>
      <c r="F65" s="1421">
        <v>16520571</v>
      </c>
      <c r="G65" s="1421"/>
      <c r="H65" s="1421"/>
      <c r="I65" s="1443"/>
    </row>
    <row r="66" spans="1:9" s="1444" customFormat="1" ht="18.600000000000001" hidden="1" customHeight="1" x14ac:dyDescent="0.25">
      <c r="A66" s="1393">
        <v>42401</v>
      </c>
      <c r="B66" s="1388">
        <v>84577616</v>
      </c>
      <c r="C66" s="1389">
        <v>12510435</v>
      </c>
      <c r="D66" s="1389">
        <v>7158729</v>
      </c>
      <c r="E66" s="1397">
        <v>219977</v>
      </c>
      <c r="F66" s="1421">
        <v>3863514</v>
      </c>
      <c r="G66" s="1421"/>
      <c r="H66" s="1421"/>
      <c r="I66" s="1443"/>
    </row>
    <row r="67" spans="1:9" s="1444" customFormat="1" ht="18.600000000000001" hidden="1" customHeight="1" x14ac:dyDescent="0.25">
      <c r="A67" s="1392">
        <v>42430</v>
      </c>
      <c r="B67" s="1388">
        <v>118029189</v>
      </c>
      <c r="C67" s="1389">
        <v>14938010</v>
      </c>
      <c r="D67" s="1389">
        <v>340279334</v>
      </c>
      <c r="E67" s="1397">
        <v>479531</v>
      </c>
      <c r="F67" s="1421">
        <v>15006287</v>
      </c>
      <c r="G67" s="1421"/>
      <c r="H67" s="1421"/>
      <c r="I67" s="1443"/>
    </row>
    <row r="68" spans="1:9" s="1444" customFormat="1" ht="18.600000000000001" hidden="1" customHeight="1" x14ac:dyDescent="0.25">
      <c r="A68" s="1392">
        <v>42461</v>
      </c>
      <c r="B68" s="1388">
        <v>51058957</v>
      </c>
      <c r="C68" s="1389">
        <v>5676433</v>
      </c>
      <c r="D68" s="1389">
        <v>6823971</v>
      </c>
      <c r="E68" s="1397">
        <v>412383</v>
      </c>
      <c r="F68" s="1421">
        <v>12586705</v>
      </c>
      <c r="G68" s="1421"/>
      <c r="H68" s="1421"/>
      <c r="I68" s="1443"/>
    </row>
    <row r="69" spans="1:9" s="1444" customFormat="1" ht="18.600000000000001" hidden="1" customHeight="1" x14ac:dyDescent="0.25">
      <c r="A69" s="1392">
        <v>42491</v>
      </c>
      <c r="B69" s="1388">
        <v>87171022</v>
      </c>
      <c r="C69" s="1389">
        <v>6574265</v>
      </c>
      <c r="D69" s="1389">
        <v>7603650</v>
      </c>
      <c r="E69" s="1397">
        <v>402110</v>
      </c>
      <c r="F69" s="1421">
        <v>4059033</v>
      </c>
      <c r="G69" s="1421"/>
      <c r="H69" s="1421"/>
      <c r="I69" s="1443"/>
    </row>
    <row r="70" spans="1:9" s="1444" customFormat="1" ht="18.600000000000001" hidden="1" customHeight="1" x14ac:dyDescent="0.25">
      <c r="A70" s="1392">
        <v>42522</v>
      </c>
      <c r="B70" s="1388">
        <v>274612388</v>
      </c>
      <c r="C70" s="1389">
        <v>18356214</v>
      </c>
      <c r="D70" s="1389">
        <v>61567654</v>
      </c>
      <c r="E70" s="1397">
        <v>481498</v>
      </c>
      <c r="F70" s="1421">
        <v>48553076</v>
      </c>
      <c r="G70" s="1421"/>
      <c r="H70" s="1421"/>
      <c r="I70" s="1443"/>
    </row>
    <row r="71" spans="1:9" s="1444" customFormat="1" ht="18.600000000000001" hidden="1" customHeight="1" x14ac:dyDescent="0.25">
      <c r="A71" s="1392">
        <v>42552</v>
      </c>
      <c r="B71" s="1388">
        <v>70819226</v>
      </c>
      <c r="C71" s="1389">
        <v>7660878</v>
      </c>
      <c r="D71" s="1389">
        <v>17666753</v>
      </c>
      <c r="E71" s="1397">
        <v>401966</v>
      </c>
      <c r="F71" s="1421">
        <v>3585376</v>
      </c>
      <c r="G71" s="1421"/>
      <c r="H71" s="1421"/>
      <c r="I71" s="1443"/>
    </row>
    <row r="72" spans="1:9" s="1444" customFormat="1" ht="18.600000000000001" hidden="1" customHeight="1" x14ac:dyDescent="0.25">
      <c r="A72" s="1392">
        <v>42583</v>
      </c>
      <c r="B72" s="1388">
        <v>36860017</v>
      </c>
      <c r="C72" s="1389">
        <v>8189854</v>
      </c>
      <c r="D72" s="1389">
        <v>9887319</v>
      </c>
      <c r="E72" s="1389">
        <v>410067</v>
      </c>
      <c r="F72" s="1421">
        <v>4317143</v>
      </c>
      <c r="G72" s="1421"/>
      <c r="H72" s="1421"/>
      <c r="I72" s="1443"/>
    </row>
    <row r="73" spans="1:9" s="1444" customFormat="1" ht="18.600000000000001" hidden="1" customHeight="1" x14ac:dyDescent="0.25">
      <c r="A73" s="1392">
        <v>42614</v>
      </c>
      <c r="B73" s="1388">
        <v>141942780</v>
      </c>
      <c r="C73" s="1389">
        <v>19754888</v>
      </c>
      <c r="D73" s="1389">
        <v>64260782</v>
      </c>
      <c r="E73" s="1389">
        <v>563900</v>
      </c>
      <c r="F73" s="1421">
        <v>33832277</v>
      </c>
      <c r="G73" s="1421"/>
      <c r="H73" s="1421"/>
      <c r="I73" s="1443"/>
    </row>
    <row r="74" spans="1:9" s="1444" customFormat="1" ht="18.600000000000001" hidden="1" customHeight="1" x14ac:dyDescent="0.25">
      <c r="A74" s="1392">
        <v>42644</v>
      </c>
      <c r="B74" s="1388">
        <v>70621993</v>
      </c>
      <c r="C74" s="1389">
        <v>10376135</v>
      </c>
      <c r="D74" s="1389">
        <v>5044016</v>
      </c>
      <c r="E74" s="1389">
        <v>101011</v>
      </c>
      <c r="F74" s="1421">
        <v>23910504</v>
      </c>
      <c r="G74" s="1421"/>
      <c r="H74" s="1421"/>
      <c r="I74" s="1443"/>
    </row>
    <row r="75" spans="1:9" s="1444" customFormat="1" ht="18.600000000000001" hidden="1" customHeight="1" x14ac:dyDescent="0.25">
      <c r="A75" s="1392">
        <v>42675</v>
      </c>
      <c r="B75" s="1388">
        <v>134947323</v>
      </c>
      <c r="C75" s="1389">
        <v>5593400</v>
      </c>
      <c r="D75" s="1389">
        <v>21923598</v>
      </c>
      <c r="E75" s="1389">
        <v>400000</v>
      </c>
      <c r="F75" s="1421">
        <v>3997512</v>
      </c>
      <c r="G75" s="1421"/>
      <c r="H75" s="1421"/>
      <c r="I75" s="1443"/>
    </row>
    <row r="76" spans="1:9" s="1444" customFormat="1" ht="18.600000000000001" hidden="1" customHeight="1" x14ac:dyDescent="0.25">
      <c r="A76" s="1392">
        <v>42705</v>
      </c>
      <c r="B76" s="1388">
        <v>241538997</v>
      </c>
      <c r="C76" s="1389">
        <v>15453663</v>
      </c>
      <c r="D76" s="1389">
        <v>132758196</v>
      </c>
      <c r="E76" s="1389">
        <v>654201</v>
      </c>
      <c r="F76" s="1421">
        <v>27970058</v>
      </c>
      <c r="G76" s="1421"/>
      <c r="H76" s="1421"/>
      <c r="I76" s="1443"/>
    </row>
    <row r="77" spans="1:9" s="1444" customFormat="1" ht="18.600000000000001" hidden="1" customHeight="1" x14ac:dyDescent="0.25">
      <c r="A77" s="1392">
        <v>42736</v>
      </c>
      <c r="B77" s="1388">
        <v>281015461</v>
      </c>
      <c r="C77" s="1389">
        <v>3008339</v>
      </c>
      <c r="D77" s="1389">
        <v>6152549</v>
      </c>
      <c r="E77" s="1389">
        <v>215961</v>
      </c>
      <c r="F77" s="1421">
        <v>18302359</v>
      </c>
      <c r="G77" s="1421"/>
      <c r="H77" s="1421"/>
      <c r="I77" s="1443"/>
    </row>
    <row r="78" spans="1:9" s="1444" customFormat="1" ht="18.600000000000001" hidden="1" customHeight="1" x14ac:dyDescent="0.25">
      <c r="A78" s="1392">
        <v>42767</v>
      </c>
      <c r="B78" s="1388">
        <v>64638632</v>
      </c>
      <c r="C78" s="1389">
        <v>4759053</v>
      </c>
      <c r="D78" s="1389">
        <v>4880597</v>
      </c>
      <c r="E78" s="1389">
        <v>413716</v>
      </c>
      <c r="F78" s="1421">
        <v>17652530</v>
      </c>
      <c r="G78" s="1421"/>
      <c r="H78" s="1421"/>
      <c r="I78" s="1443"/>
    </row>
    <row r="79" spans="1:9" s="1444" customFormat="1" ht="18.600000000000001" hidden="1" customHeight="1" x14ac:dyDescent="0.25">
      <c r="A79" s="1392">
        <v>42795</v>
      </c>
      <c r="B79" s="1388">
        <v>78274702</v>
      </c>
      <c r="C79" s="1389">
        <v>5782697</v>
      </c>
      <c r="D79" s="1389">
        <v>35143413</v>
      </c>
      <c r="E79" s="1389">
        <v>430098</v>
      </c>
      <c r="F79" s="1421">
        <v>34636526</v>
      </c>
      <c r="G79" s="1421"/>
      <c r="H79" s="1421"/>
      <c r="I79" s="1443"/>
    </row>
    <row r="80" spans="1:9" s="1444" customFormat="1" ht="18.600000000000001" hidden="1" customHeight="1" x14ac:dyDescent="0.25">
      <c r="A80" s="1392">
        <v>42826</v>
      </c>
      <c r="B80" s="1388">
        <v>53592776</v>
      </c>
      <c r="C80" s="1389">
        <v>5554122</v>
      </c>
      <c r="D80" s="1389">
        <v>7460502</v>
      </c>
      <c r="E80" s="1389">
        <v>407323</v>
      </c>
      <c r="F80" s="1421">
        <v>66887556</v>
      </c>
      <c r="G80" s="1421"/>
      <c r="H80" s="1421"/>
      <c r="I80" s="1443"/>
    </row>
    <row r="81" spans="1:9" s="1444" customFormat="1" ht="18.600000000000001" hidden="1" customHeight="1" x14ac:dyDescent="0.25">
      <c r="A81" s="1392">
        <v>42856</v>
      </c>
      <c r="B81" s="1388">
        <v>192636349</v>
      </c>
      <c r="C81" s="1389">
        <v>4117944</v>
      </c>
      <c r="D81" s="1389">
        <v>52567561</v>
      </c>
      <c r="E81" s="1389">
        <v>400062</v>
      </c>
      <c r="F81" s="1421">
        <v>2045501</v>
      </c>
      <c r="G81" s="1421"/>
      <c r="H81" s="1421"/>
      <c r="I81" s="1443"/>
    </row>
    <row r="82" spans="1:9" s="1444" customFormat="1" ht="18.600000000000001" hidden="1" customHeight="1" x14ac:dyDescent="0.25">
      <c r="A82" s="1392">
        <v>42887</v>
      </c>
      <c r="B82" s="1388">
        <v>290923268</v>
      </c>
      <c r="C82" s="1389">
        <v>15595839</v>
      </c>
      <c r="D82" s="1389">
        <v>61953301</v>
      </c>
      <c r="E82" s="1389">
        <v>407462</v>
      </c>
      <c r="F82" s="1421">
        <v>38741031</v>
      </c>
      <c r="G82" s="1421"/>
      <c r="H82" s="1421"/>
      <c r="I82" s="1443"/>
    </row>
    <row r="83" spans="1:9" s="1444" customFormat="1" ht="18.600000000000001" hidden="1" customHeight="1" x14ac:dyDescent="0.25">
      <c r="A83" s="1392">
        <v>42917</v>
      </c>
      <c r="B83" s="1388">
        <v>47362157</v>
      </c>
      <c r="C83" s="1389">
        <v>8754384</v>
      </c>
      <c r="D83" s="1389">
        <v>10701000</v>
      </c>
      <c r="E83" s="1389">
        <v>416984</v>
      </c>
      <c r="F83" s="1421">
        <v>22368538</v>
      </c>
      <c r="G83" s="1421"/>
      <c r="H83" s="1421"/>
      <c r="I83" s="1443"/>
    </row>
    <row r="84" spans="1:9" s="1444" customFormat="1" ht="18.600000000000001" hidden="1" customHeight="1" x14ac:dyDescent="0.25">
      <c r="A84" s="1392">
        <v>42948</v>
      </c>
      <c r="B84" s="1388">
        <v>79472700</v>
      </c>
      <c r="C84" s="1389">
        <v>5988189</v>
      </c>
      <c r="D84" s="1389">
        <v>5989141</v>
      </c>
      <c r="E84" s="1389">
        <v>400028</v>
      </c>
      <c r="F84" s="1421">
        <v>4619880</v>
      </c>
      <c r="G84" s="1421"/>
      <c r="H84" s="1421"/>
      <c r="I84" s="1443"/>
    </row>
    <row r="85" spans="1:9" s="1444" customFormat="1" ht="18.600000000000001" hidden="1" customHeight="1" x14ac:dyDescent="0.25">
      <c r="A85" s="1392">
        <v>42979</v>
      </c>
      <c r="B85" s="1388">
        <v>285102032</v>
      </c>
      <c r="C85" s="1389">
        <v>12795300</v>
      </c>
      <c r="D85" s="1389">
        <v>3185224</v>
      </c>
      <c r="E85" s="1389">
        <v>719075</v>
      </c>
      <c r="F85" s="1421">
        <v>24693053</v>
      </c>
      <c r="G85" s="1421"/>
      <c r="H85" s="1421"/>
      <c r="I85" s="1443"/>
    </row>
    <row r="86" spans="1:9" s="1444" customFormat="1" ht="18.600000000000001" hidden="1" customHeight="1" x14ac:dyDescent="0.25">
      <c r="A86" s="1392">
        <v>43009</v>
      </c>
      <c r="B86" s="1388">
        <v>102059692</v>
      </c>
      <c r="C86" s="1389">
        <v>6212447</v>
      </c>
      <c r="D86" s="1389">
        <v>57325221</v>
      </c>
      <c r="E86" s="1389">
        <v>416643</v>
      </c>
      <c r="F86" s="1421">
        <v>27241375</v>
      </c>
      <c r="G86" s="1421"/>
      <c r="H86" s="1421"/>
      <c r="I86" s="1443"/>
    </row>
    <row r="87" spans="1:9" s="1444" customFormat="1" ht="18.600000000000001" hidden="1" customHeight="1" x14ac:dyDescent="0.25">
      <c r="A87" s="1392">
        <v>43040</v>
      </c>
      <c r="B87" s="1388">
        <v>265114051</v>
      </c>
      <c r="C87" s="1389">
        <v>97999922</v>
      </c>
      <c r="D87" s="1389">
        <v>42777361</v>
      </c>
      <c r="E87" s="1389">
        <v>390044</v>
      </c>
      <c r="F87" s="1421">
        <v>3350967</v>
      </c>
      <c r="G87" s="1421"/>
      <c r="H87" s="1421"/>
      <c r="I87" s="1443"/>
    </row>
    <row r="88" spans="1:9" s="1444" customFormat="1" ht="18.600000000000001" hidden="1" customHeight="1" x14ac:dyDescent="0.25">
      <c r="A88" s="1392">
        <v>43070</v>
      </c>
      <c r="B88" s="1388">
        <v>407828534</v>
      </c>
      <c r="C88" s="1389">
        <v>3516614</v>
      </c>
      <c r="D88" s="1389">
        <v>145491135</v>
      </c>
      <c r="E88" s="1389">
        <v>456116</v>
      </c>
      <c r="F88" s="1421">
        <v>80357647</v>
      </c>
      <c r="G88" s="1421"/>
      <c r="H88" s="1421"/>
      <c r="I88" s="1443"/>
    </row>
    <row r="89" spans="1:9" s="1444" customFormat="1" ht="18.600000000000001" hidden="1" customHeight="1" x14ac:dyDescent="0.25">
      <c r="A89" s="1392">
        <v>43101</v>
      </c>
      <c r="B89" s="1388">
        <v>480753205</v>
      </c>
      <c r="C89" s="1389">
        <v>73748585</v>
      </c>
      <c r="D89" s="1389">
        <v>65145120</v>
      </c>
      <c r="E89" s="1389">
        <v>451385</v>
      </c>
      <c r="F89" s="1421">
        <v>2732518</v>
      </c>
      <c r="G89" s="1421"/>
      <c r="H89" s="1421"/>
      <c r="I89" s="1443"/>
    </row>
    <row r="90" spans="1:9" s="1444" customFormat="1" ht="18.600000000000001" hidden="1" customHeight="1" x14ac:dyDescent="0.25">
      <c r="A90" s="1392">
        <v>43132</v>
      </c>
      <c r="B90" s="1388">
        <v>885477855</v>
      </c>
      <c r="C90" s="1389">
        <v>2626235</v>
      </c>
      <c r="D90" s="1389">
        <v>9018564</v>
      </c>
      <c r="E90" s="1389">
        <v>403811</v>
      </c>
      <c r="F90" s="1421">
        <v>2776897</v>
      </c>
      <c r="G90" s="1421"/>
      <c r="H90" s="1421"/>
      <c r="I90" s="1443"/>
    </row>
    <row r="91" spans="1:9" s="1444" customFormat="1" ht="18.600000000000001" hidden="1" customHeight="1" x14ac:dyDescent="0.25">
      <c r="A91" s="1392">
        <v>43160</v>
      </c>
      <c r="B91" s="1388">
        <v>1475836524</v>
      </c>
      <c r="C91" s="1389">
        <v>3096439</v>
      </c>
      <c r="D91" s="1389">
        <v>147000285</v>
      </c>
      <c r="E91" s="1389">
        <v>527505</v>
      </c>
      <c r="F91" s="1421">
        <v>8952058</v>
      </c>
      <c r="G91" s="1421"/>
      <c r="H91" s="1421"/>
      <c r="I91" s="1443"/>
    </row>
    <row r="92" spans="1:9" s="1444" customFormat="1" ht="18.600000000000001" hidden="1" customHeight="1" x14ac:dyDescent="0.25">
      <c r="A92" s="1392">
        <v>43191</v>
      </c>
      <c r="B92" s="1388">
        <v>307635596</v>
      </c>
      <c r="C92" s="1389">
        <v>2570227</v>
      </c>
      <c r="D92" s="1389">
        <v>357222668</v>
      </c>
      <c r="E92" s="1389">
        <v>405595</v>
      </c>
      <c r="F92" s="1421">
        <v>30738639</v>
      </c>
      <c r="G92" s="1421"/>
      <c r="H92" s="1421"/>
      <c r="I92" s="1443"/>
    </row>
    <row r="93" spans="1:9" s="1444" customFormat="1" ht="18.600000000000001" hidden="1" customHeight="1" x14ac:dyDescent="0.25">
      <c r="A93" s="1392">
        <v>43221</v>
      </c>
      <c r="B93" s="1388">
        <v>687623001</v>
      </c>
      <c r="C93" s="1389">
        <v>2507041</v>
      </c>
      <c r="D93" s="1389">
        <v>73902953</v>
      </c>
      <c r="E93" s="1389">
        <v>402044</v>
      </c>
      <c r="F93" s="1421">
        <v>1727009</v>
      </c>
      <c r="G93" s="1421"/>
      <c r="H93" s="1421"/>
      <c r="I93" s="1443"/>
    </row>
    <row r="94" spans="1:9" s="1444" customFormat="1" ht="18.600000000000001" hidden="1" customHeight="1" x14ac:dyDescent="0.25">
      <c r="A94" s="1392">
        <v>43252</v>
      </c>
      <c r="B94" s="1388">
        <v>751401233</v>
      </c>
      <c r="C94" s="1389">
        <v>4202422</v>
      </c>
      <c r="D94" s="1389">
        <v>189826593</v>
      </c>
      <c r="E94" s="1389">
        <v>446824</v>
      </c>
      <c r="F94" s="1421">
        <v>80786964</v>
      </c>
      <c r="G94" s="1421"/>
      <c r="H94" s="1421"/>
      <c r="I94" s="1443"/>
    </row>
    <row r="95" spans="1:9" s="1444" customFormat="1" ht="18.600000000000001" hidden="1" customHeight="1" x14ac:dyDescent="0.25">
      <c r="A95" s="1392">
        <v>43282</v>
      </c>
      <c r="B95" s="1388">
        <v>737514087</v>
      </c>
      <c r="C95" s="1389">
        <v>13887577</v>
      </c>
      <c r="D95" s="1389">
        <v>145372733</v>
      </c>
      <c r="E95" s="1389">
        <v>403729</v>
      </c>
      <c r="F95" s="1421">
        <v>2339380</v>
      </c>
      <c r="G95" s="1421"/>
      <c r="H95" s="1421"/>
      <c r="I95" s="1443"/>
    </row>
    <row r="96" spans="1:9" s="1444" customFormat="1" ht="18.600000000000001" hidden="1" customHeight="1" x14ac:dyDescent="0.25">
      <c r="A96" s="1392">
        <v>43313</v>
      </c>
      <c r="B96" s="1388">
        <v>2232827488</v>
      </c>
      <c r="C96" s="1389">
        <v>2005069</v>
      </c>
      <c r="D96" s="1389">
        <v>430774415</v>
      </c>
      <c r="E96" s="1389">
        <v>400267</v>
      </c>
      <c r="F96" s="1421">
        <v>2887372</v>
      </c>
      <c r="G96" s="1421"/>
      <c r="H96" s="1421"/>
      <c r="I96" s="1443"/>
    </row>
    <row r="97" spans="1:9" s="1444" customFormat="1" ht="18.600000000000001" hidden="1" customHeight="1" x14ac:dyDescent="0.25">
      <c r="A97" s="1392">
        <v>43344</v>
      </c>
      <c r="B97" s="1388">
        <v>509923423</v>
      </c>
      <c r="C97" s="1389">
        <v>2638907</v>
      </c>
      <c r="D97" s="1389">
        <v>105894649</v>
      </c>
      <c r="E97" s="1389">
        <v>419498</v>
      </c>
      <c r="F97" s="1421">
        <v>15642020</v>
      </c>
      <c r="G97" s="1421"/>
      <c r="H97" s="1421"/>
      <c r="I97" s="1443"/>
    </row>
    <row r="98" spans="1:9" s="1444" customFormat="1" ht="18.600000000000001" hidden="1" customHeight="1" x14ac:dyDescent="0.25">
      <c r="A98" s="1392">
        <v>43374</v>
      </c>
      <c r="B98" s="1388">
        <v>492579344</v>
      </c>
      <c r="C98" s="1389">
        <v>39420450</v>
      </c>
      <c r="D98" s="1389">
        <v>26870381</v>
      </c>
      <c r="E98" s="1389">
        <v>403713</v>
      </c>
      <c r="F98" s="1421">
        <v>98898056</v>
      </c>
      <c r="G98" s="1421"/>
      <c r="H98" s="1421"/>
      <c r="I98" s="1443"/>
    </row>
    <row r="99" spans="1:9" s="1444" customFormat="1" ht="18.600000000000001" hidden="1" customHeight="1" x14ac:dyDescent="0.25">
      <c r="A99" s="1392">
        <v>43405</v>
      </c>
      <c r="B99" s="1388">
        <v>350731541</v>
      </c>
      <c r="C99" s="1389">
        <v>4012782</v>
      </c>
      <c r="D99" s="1389">
        <v>159280924</v>
      </c>
      <c r="E99" s="1389">
        <v>400000</v>
      </c>
      <c r="F99" s="1421">
        <v>27942884</v>
      </c>
      <c r="G99" s="1421"/>
      <c r="H99" s="1421"/>
      <c r="I99" s="1443"/>
    </row>
    <row r="100" spans="1:9" s="1444" customFormat="1" ht="18.600000000000001" hidden="1" customHeight="1" x14ac:dyDescent="0.25">
      <c r="A100" s="1392">
        <v>43435</v>
      </c>
      <c r="B100" s="1388">
        <v>518309284</v>
      </c>
      <c r="C100" s="1389">
        <v>6230713</v>
      </c>
      <c r="D100" s="1389">
        <v>159576419</v>
      </c>
      <c r="E100" s="1389">
        <v>437877</v>
      </c>
      <c r="F100" s="1421">
        <v>28783450</v>
      </c>
      <c r="G100" s="1421"/>
      <c r="H100" s="1421"/>
      <c r="I100" s="1443"/>
    </row>
    <row r="101" spans="1:9" s="1444" customFormat="1" ht="18.600000000000001" hidden="1" customHeight="1" x14ac:dyDescent="0.25">
      <c r="A101" s="1392">
        <v>43466</v>
      </c>
      <c r="B101" s="1388">
        <v>372772068</v>
      </c>
      <c r="C101" s="1389">
        <v>4671548</v>
      </c>
      <c r="D101" s="1389">
        <v>225906672</v>
      </c>
      <c r="E101" s="1389">
        <v>403815</v>
      </c>
      <c r="F101" s="1421">
        <v>4665844</v>
      </c>
      <c r="G101" s="1421"/>
      <c r="H101" s="1421"/>
      <c r="I101" s="1443"/>
    </row>
    <row r="102" spans="1:9" s="1444" customFormat="1" ht="18.600000000000001" hidden="1" customHeight="1" x14ac:dyDescent="0.25">
      <c r="A102" s="1392">
        <v>43497</v>
      </c>
      <c r="B102" s="1388">
        <v>177182042</v>
      </c>
      <c r="C102" s="1389">
        <v>4854448</v>
      </c>
      <c r="D102" s="1389">
        <v>106535905</v>
      </c>
      <c r="E102" s="1389">
        <v>400142</v>
      </c>
      <c r="F102" s="1421">
        <v>60739624</v>
      </c>
      <c r="G102" s="1421"/>
      <c r="H102" s="1421"/>
      <c r="I102" s="1443"/>
    </row>
    <row r="103" spans="1:9" s="1444" customFormat="1" ht="18.600000000000001" hidden="1" customHeight="1" x14ac:dyDescent="0.25">
      <c r="A103" s="1392">
        <v>43525</v>
      </c>
      <c r="B103" s="1388">
        <v>286068416</v>
      </c>
      <c r="C103" s="1389">
        <v>5749390</v>
      </c>
      <c r="D103" s="1389">
        <v>146666454</v>
      </c>
      <c r="E103" s="1389">
        <v>419496</v>
      </c>
      <c r="F103" s="1421">
        <v>15133232</v>
      </c>
      <c r="G103" s="1421"/>
      <c r="H103" s="1421"/>
      <c r="I103" s="1443"/>
    </row>
    <row r="104" spans="1:9" s="1444" customFormat="1" ht="18.600000000000001" hidden="1" customHeight="1" x14ac:dyDescent="0.25">
      <c r="A104" s="1392">
        <v>43556</v>
      </c>
      <c r="B104" s="1388">
        <v>216087430</v>
      </c>
      <c r="C104" s="1389">
        <v>6099472</v>
      </c>
      <c r="D104" s="1389">
        <v>21850878</v>
      </c>
      <c r="E104" s="1389">
        <v>403584</v>
      </c>
      <c r="F104" s="1421">
        <v>5342224</v>
      </c>
      <c r="G104" s="1421"/>
      <c r="H104" s="1421"/>
      <c r="I104" s="1443"/>
    </row>
    <row r="105" spans="1:9" s="1444" customFormat="1" ht="18.600000000000001" hidden="1" customHeight="1" x14ac:dyDescent="0.25">
      <c r="A105" s="1392">
        <v>43586</v>
      </c>
      <c r="B105" s="1388">
        <v>157352268</v>
      </c>
      <c r="C105" s="1389">
        <v>4140904</v>
      </c>
      <c r="D105" s="1389">
        <v>19199462</v>
      </c>
      <c r="E105" s="1389">
        <v>400028</v>
      </c>
      <c r="F105" s="1421">
        <v>7214868</v>
      </c>
      <c r="G105" s="1421"/>
      <c r="H105" s="1421"/>
      <c r="I105" s="1443"/>
    </row>
    <row r="106" spans="1:9" s="1444" customFormat="1" ht="18.600000000000001" hidden="1" customHeight="1" x14ac:dyDescent="0.25">
      <c r="A106" s="1392">
        <v>43617</v>
      </c>
      <c r="B106" s="1388">
        <v>692028441</v>
      </c>
      <c r="C106" s="1389">
        <v>9824717</v>
      </c>
      <c r="D106" s="1389">
        <v>60485577</v>
      </c>
      <c r="E106" s="1389">
        <v>213444</v>
      </c>
      <c r="F106" s="1421">
        <v>108254755</v>
      </c>
      <c r="G106" s="1421"/>
      <c r="H106" s="1421"/>
      <c r="I106" s="1443"/>
    </row>
    <row r="107" spans="1:9" s="1444" customFormat="1" ht="18.600000000000001" hidden="1" customHeight="1" x14ac:dyDescent="0.25">
      <c r="A107" s="1392">
        <v>43647</v>
      </c>
      <c r="B107" s="1388">
        <v>435957834</v>
      </c>
      <c r="C107" s="1389">
        <v>5240025</v>
      </c>
      <c r="D107" s="1389">
        <v>33728880</v>
      </c>
      <c r="E107" s="1389">
        <v>403666</v>
      </c>
      <c r="F107" s="1421">
        <v>72461546</v>
      </c>
      <c r="G107" s="1421"/>
      <c r="H107" s="1421"/>
      <c r="I107" s="1443"/>
    </row>
    <row r="108" spans="1:9" s="1444" customFormat="1" ht="18.600000000000001" hidden="1" customHeight="1" x14ac:dyDescent="0.25">
      <c r="A108" s="1392">
        <v>43678</v>
      </c>
      <c r="B108" s="1388">
        <v>396762586</v>
      </c>
      <c r="C108" s="1389">
        <v>5365355</v>
      </c>
      <c r="D108" s="1389">
        <v>31654694</v>
      </c>
      <c r="E108" s="1389">
        <v>400000</v>
      </c>
      <c r="F108" s="1421">
        <v>4133802</v>
      </c>
      <c r="G108" s="1421"/>
      <c r="H108" s="1421"/>
      <c r="I108" s="1443"/>
    </row>
    <row r="109" spans="1:9" s="1444" customFormat="1" ht="18.600000000000001" hidden="1" customHeight="1" x14ac:dyDescent="0.25">
      <c r="A109" s="1392">
        <v>43709</v>
      </c>
      <c r="B109" s="1388">
        <v>570651152</v>
      </c>
      <c r="C109" s="1389">
        <v>73360673</v>
      </c>
      <c r="D109" s="1389">
        <v>164964477</v>
      </c>
      <c r="E109" s="1389">
        <v>412092</v>
      </c>
      <c r="F109" s="1421">
        <v>40977057</v>
      </c>
      <c r="G109" s="1421"/>
      <c r="H109" s="1421"/>
      <c r="I109" s="1443"/>
    </row>
    <row r="110" spans="1:9" s="1444" customFormat="1" ht="18.600000000000001" hidden="1" customHeight="1" x14ac:dyDescent="0.25">
      <c r="A110" s="1392">
        <v>43739</v>
      </c>
      <c r="B110" s="1388">
        <v>423910771</v>
      </c>
      <c r="C110" s="1389">
        <v>6229532</v>
      </c>
      <c r="D110" s="1389">
        <v>143582802</v>
      </c>
      <c r="E110" s="1389">
        <v>403896</v>
      </c>
      <c r="F110" s="1421">
        <v>10588806</v>
      </c>
      <c r="G110" s="1421"/>
      <c r="H110" s="1421"/>
      <c r="I110" s="1443"/>
    </row>
    <row r="111" spans="1:9" s="1444" customFormat="1" ht="18.600000000000001" hidden="1" customHeight="1" x14ac:dyDescent="0.25">
      <c r="A111" s="1392">
        <v>43770</v>
      </c>
      <c r="B111" s="1388">
        <v>385974257</v>
      </c>
      <c r="C111" s="1389">
        <v>4930212</v>
      </c>
      <c r="D111" s="1389">
        <v>11374192</v>
      </c>
      <c r="E111" s="1389">
        <v>400560</v>
      </c>
      <c r="F111" s="1421">
        <v>4994270</v>
      </c>
      <c r="G111" s="1421"/>
      <c r="H111" s="1421"/>
      <c r="I111" s="1443"/>
    </row>
    <row r="112" spans="1:9" s="1444" customFormat="1" ht="18.600000000000001" hidden="1" customHeight="1" x14ac:dyDescent="0.25">
      <c r="A112" s="1392">
        <v>43800</v>
      </c>
      <c r="B112" s="1388">
        <v>570057816</v>
      </c>
      <c r="C112" s="1389">
        <v>8954184</v>
      </c>
      <c r="D112" s="1389">
        <v>64474843</v>
      </c>
      <c r="E112" s="1389">
        <v>420524</v>
      </c>
      <c r="F112" s="1421">
        <v>51930800</v>
      </c>
      <c r="G112" s="1421"/>
      <c r="H112" s="1421"/>
      <c r="I112" s="1443"/>
    </row>
    <row r="113" spans="1:9" s="1444" customFormat="1" ht="18.600000000000001" customHeight="1" x14ac:dyDescent="0.25">
      <c r="A113" s="1392">
        <v>43831</v>
      </c>
      <c r="B113" s="1388">
        <v>588509357.76999998</v>
      </c>
      <c r="C113" s="1389">
        <v>6608149.4699999997</v>
      </c>
      <c r="D113" s="1389">
        <v>135859810.62</v>
      </c>
      <c r="E113" s="1389">
        <v>406407.08</v>
      </c>
      <c r="F113" s="1421">
        <v>5789224</v>
      </c>
      <c r="G113" s="1421"/>
      <c r="H113" s="1421"/>
      <c r="I113" s="1443"/>
    </row>
    <row r="114" spans="1:9" s="1444" customFormat="1" ht="18.600000000000001" customHeight="1" x14ac:dyDescent="0.25">
      <c r="A114" s="1392">
        <v>43862</v>
      </c>
      <c r="B114" s="1388">
        <v>514620167</v>
      </c>
      <c r="C114" s="1389">
        <v>6727107</v>
      </c>
      <c r="D114" s="1389">
        <v>1327580939</v>
      </c>
      <c r="E114" s="1389">
        <v>506165</v>
      </c>
      <c r="F114" s="1421">
        <v>2940736</v>
      </c>
      <c r="G114" s="1421"/>
      <c r="H114" s="1421"/>
      <c r="I114" s="1443"/>
    </row>
    <row r="115" spans="1:9" s="1444" customFormat="1" ht="18.600000000000001" customHeight="1" x14ac:dyDescent="0.25">
      <c r="A115" s="1392">
        <v>43891</v>
      </c>
      <c r="B115" s="1388">
        <v>1254212660</v>
      </c>
      <c r="C115" s="1389">
        <v>28815037</v>
      </c>
      <c r="D115" s="1389">
        <v>329547754</v>
      </c>
      <c r="E115" s="1389">
        <v>400044</v>
      </c>
      <c r="F115" s="1421">
        <v>13704128</v>
      </c>
      <c r="G115" s="1421"/>
      <c r="H115" s="1421"/>
      <c r="I115" s="1443"/>
    </row>
    <row r="116" spans="1:9" s="1444" customFormat="1" ht="18.600000000000001" customHeight="1" x14ac:dyDescent="0.25">
      <c r="A116" s="1392">
        <v>43922</v>
      </c>
      <c r="B116" s="1388">
        <v>492147863</v>
      </c>
      <c r="C116" s="1389">
        <v>34273</v>
      </c>
      <c r="D116" s="1389">
        <v>118988599</v>
      </c>
      <c r="E116" s="1389">
        <v>400000</v>
      </c>
      <c r="F116" s="1421">
        <v>6783471</v>
      </c>
      <c r="G116" s="1421"/>
      <c r="H116" s="1421"/>
      <c r="I116" s="1443"/>
    </row>
    <row r="117" spans="1:9" s="1444" customFormat="1" ht="18.600000000000001" customHeight="1" x14ac:dyDescent="0.25">
      <c r="A117" s="1392">
        <v>43952</v>
      </c>
      <c r="B117" s="1388">
        <v>74039029</v>
      </c>
      <c r="C117" s="1389">
        <v>2025072</v>
      </c>
      <c r="D117" s="1389">
        <v>24716673</v>
      </c>
      <c r="E117" s="1389">
        <v>416974</v>
      </c>
      <c r="F117" s="1421">
        <v>2164264</v>
      </c>
      <c r="G117" s="1421"/>
      <c r="H117" s="1421"/>
      <c r="I117" s="1443"/>
    </row>
    <row r="118" spans="1:9" s="1444" customFormat="1" ht="18.600000000000001" customHeight="1" x14ac:dyDescent="0.25">
      <c r="A118" s="1392">
        <v>43983</v>
      </c>
      <c r="B118" s="1388">
        <v>395971499</v>
      </c>
      <c r="C118" s="1389">
        <v>10797802</v>
      </c>
      <c r="D118" s="1389">
        <v>623581213</v>
      </c>
      <c r="E118" s="1397">
        <v>454321</v>
      </c>
      <c r="F118" s="1421">
        <v>52573753</v>
      </c>
      <c r="G118" s="1421"/>
      <c r="H118" s="1421"/>
      <c r="I118" s="1443"/>
    </row>
    <row r="119" spans="1:9" s="1444" customFormat="1" ht="18.600000000000001" customHeight="1" x14ac:dyDescent="0.25">
      <c r="A119" s="1392">
        <v>44013</v>
      </c>
      <c r="B119" s="1388">
        <v>187264632.65000001</v>
      </c>
      <c r="C119" s="1389">
        <v>23646019.68</v>
      </c>
      <c r="D119" s="1389">
        <v>439145927.19999999</v>
      </c>
      <c r="E119" s="1397">
        <v>403225</v>
      </c>
      <c r="F119" s="1421">
        <v>5800000</v>
      </c>
      <c r="G119" s="1421"/>
      <c r="H119" s="1421"/>
      <c r="I119" s="1443"/>
    </row>
    <row r="120" spans="1:9" s="1444" customFormat="1" ht="18.600000000000001" customHeight="1" x14ac:dyDescent="0.25">
      <c r="A120" s="1392">
        <v>44044</v>
      </c>
      <c r="B120" s="1388">
        <v>565524891.16999996</v>
      </c>
      <c r="C120" s="1389">
        <v>7025278.3499999996</v>
      </c>
      <c r="D120" s="1389">
        <v>166623300.62</v>
      </c>
      <c r="E120" s="1397">
        <v>400072</v>
      </c>
      <c r="F120" s="1421">
        <v>6366532</v>
      </c>
      <c r="G120" s="1421"/>
      <c r="H120" s="1421"/>
      <c r="I120" s="1443"/>
    </row>
    <row r="121" spans="1:9" s="1444" customFormat="1" ht="18.600000000000001" customHeight="1" x14ac:dyDescent="0.25">
      <c r="A121" s="1392">
        <v>44075</v>
      </c>
      <c r="B121" s="1388">
        <v>594363425.57000005</v>
      </c>
      <c r="C121" s="1389">
        <v>8073413.5999999996</v>
      </c>
      <c r="D121" s="1389">
        <v>242484848.50999999</v>
      </c>
      <c r="E121" s="1397">
        <v>523599.51</v>
      </c>
      <c r="F121" s="1421">
        <v>19231112</v>
      </c>
      <c r="G121" s="1421"/>
      <c r="H121" s="1421"/>
      <c r="I121" s="1443"/>
    </row>
    <row r="122" spans="1:9" s="1444" customFormat="1" ht="18.600000000000001" customHeight="1" x14ac:dyDescent="0.25">
      <c r="A122" s="1392">
        <v>44105</v>
      </c>
      <c r="B122" s="1388">
        <v>839025321</v>
      </c>
      <c r="C122" s="1389">
        <v>7665917.1399999997</v>
      </c>
      <c r="D122" s="1389">
        <v>8948013.8800000008</v>
      </c>
      <c r="E122" s="1397">
        <v>413633.22</v>
      </c>
      <c r="F122" s="1421">
        <v>8845156</v>
      </c>
      <c r="G122" s="1421"/>
      <c r="H122" s="1421"/>
      <c r="I122" s="1443"/>
    </row>
    <row r="123" spans="1:9" s="1444" customFormat="1" ht="18.600000000000001" customHeight="1" x14ac:dyDescent="0.25">
      <c r="A123" s="1392">
        <v>44136</v>
      </c>
      <c r="B123" s="1388">
        <v>281045560.80000001</v>
      </c>
      <c r="C123" s="1389">
        <v>7229289.54</v>
      </c>
      <c r="D123" s="1389">
        <v>261905067.68000001</v>
      </c>
      <c r="E123" s="1397">
        <v>689855.78</v>
      </c>
      <c r="F123" s="1421">
        <v>9155347</v>
      </c>
      <c r="G123" s="1421"/>
      <c r="H123" s="1421"/>
      <c r="I123" s="1443"/>
    </row>
    <row r="124" spans="1:9" s="1444" customFormat="1" ht="18.600000000000001" customHeight="1" x14ac:dyDescent="0.25">
      <c r="A124" s="1392">
        <v>44166</v>
      </c>
      <c r="B124" s="1388">
        <v>858648185.15999997</v>
      </c>
      <c r="C124" s="1389">
        <v>10412047.24</v>
      </c>
      <c r="D124" s="1389">
        <v>131726723.34999999</v>
      </c>
      <c r="E124" s="1397">
        <v>540107.05000000005</v>
      </c>
      <c r="F124" s="1421">
        <v>17971559.859999999</v>
      </c>
      <c r="G124" s="1421"/>
      <c r="H124" s="1421"/>
      <c r="I124" s="1443"/>
    </row>
    <row r="125" spans="1:9" s="1444" customFormat="1" ht="18.600000000000001" customHeight="1" x14ac:dyDescent="0.25">
      <c r="A125" s="1392">
        <v>44197</v>
      </c>
      <c r="B125" s="1388">
        <v>5184900341</v>
      </c>
      <c r="C125" s="1389">
        <v>5486260</v>
      </c>
      <c r="D125" s="1389">
        <v>12596489</v>
      </c>
      <c r="E125" s="1397">
        <v>451777</v>
      </c>
      <c r="F125" s="1421">
        <v>5816424</v>
      </c>
      <c r="G125" s="1421">
        <v>697542306</v>
      </c>
      <c r="H125" s="1421"/>
      <c r="I125" s="1443"/>
    </row>
    <row r="126" spans="1:9" s="1444" customFormat="1" ht="18.600000000000001" customHeight="1" x14ac:dyDescent="0.25">
      <c r="A126" s="1392">
        <v>44228</v>
      </c>
      <c r="B126" s="1388">
        <v>1939170387</v>
      </c>
      <c r="C126" s="1389">
        <v>4403619</v>
      </c>
      <c r="D126" s="1389">
        <v>65370930</v>
      </c>
      <c r="E126" s="1397">
        <v>406931</v>
      </c>
      <c r="F126" s="1421">
        <v>2005954</v>
      </c>
      <c r="G126" s="1421" t="s">
        <v>1017</v>
      </c>
      <c r="H126" s="1421"/>
      <c r="I126" s="1443"/>
    </row>
    <row r="127" spans="1:9" s="1444" customFormat="1" ht="18.600000000000001" customHeight="1" x14ac:dyDescent="0.25">
      <c r="A127" s="1392">
        <v>44256</v>
      </c>
      <c r="B127" s="1388">
        <v>2188908238</v>
      </c>
      <c r="C127" s="1389">
        <v>6919506</v>
      </c>
      <c r="D127" s="1389">
        <v>68758377</v>
      </c>
      <c r="E127" s="1397">
        <v>413653</v>
      </c>
      <c r="F127" s="1421">
        <v>7944620</v>
      </c>
      <c r="G127" s="1421">
        <v>60554989000</v>
      </c>
      <c r="H127" s="1421"/>
      <c r="I127" s="1443"/>
    </row>
    <row r="128" spans="1:9" s="1444" customFormat="1" ht="18.600000000000001" customHeight="1" x14ac:dyDescent="0.25">
      <c r="A128" s="1392">
        <v>44287</v>
      </c>
      <c r="B128" s="1388">
        <v>2025571000</v>
      </c>
      <c r="C128" s="1389">
        <v>31542901</v>
      </c>
      <c r="D128" s="1389">
        <v>14048830</v>
      </c>
      <c r="E128" s="1397">
        <v>315598</v>
      </c>
      <c r="F128" s="1421">
        <v>2816424</v>
      </c>
      <c r="G128" s="1421">
        <v>404223</v>
      </c>
      <c r="H128" s="1421"/>
      <c r="I128" s="1443"/>
    </row>
    <row r="129" spans="1:9" s="1444" customFormat="1" ht="18.600000000000001" customHeight="1" x14ac:dyDescent="0.25">
      <c r="A129" s="1392">
        <v>44317</v>
      </c>
      <c r="B129" s="1388">
        <v>1041953341</v>
      </c>
      <c r="C129" s="1389">
        <v>5072276</v>
      </c>
      <c r="D129" s="1389">
        <v>5691610</v>
      </c>
      <c r="E129" s="1397">
        <v>306475</v>
      </c>
      <c r="F129" s="1421">
        <v>8407662</v>
      </c>
      <c r="G129" s="1421">
        <v>13894529</v>
      </c>
      <c r="H129" s="1421"/>
      <c r="I129" s="1443"/>
    </row>
    <row r="130" spans="1:9" s="1444" customFormat="1" ht="18.600000000000001" customHeight="1" x14ac:dyDescent="0.25">
      <c r="A130" s="1392">
        <v>44348</v>
      </c>
      <c r="B130" s="1388">
        <v>2071318670</v>
      </c>
      <c r="C130" s="1389">
        <v>29527788</v>
      </c>
      <c r="D130" s="1389">
        <v>63287983</v>
      </c>
      <c r="E130" s="1397">
        <v>419086</v>
      </c>
      <c r="F130" s="1421">
        <v>59762025</v>
      </c>
      <c r="G130" s="1421">
        <v>613008031</v>
      </c>
      <c r="H130" s="1421"/>
      <c r="I130" s="1443"/>
    </row>
    <row r="131" spans="1:9" s="1444" customFormat="1" ht="18.600000000000001" customHeight="1" x14ac:dyDescent="0.25">
      <c r="A131" s="1392">
        <v>44378</v>
      </c>
      <c r="B131" s="1388">
        <v>1603331109</v>
      </c>
      <c r="C131" s="1389">
        <v>29102815</v>
      </c>
      <c r="D131" s="1389">
        <v>116087154</v>
      </c>
      <c r="E131" s="1397">
        <v>415328</v>
      </c>
      <c r="F131" s="1421">
        <v>3000000</v>
      </c>
      <c r="G131" s="1421">
        <v>600300000</v>
      </c>
      <c r="H131" s="1421"/>
      <c r="I131" s="1443"/>
    </row>
    <row r="132" spans="1:9" s="1444" customFormat="1" ht="18.600000000000001" customHeight="1" x14ac:dyDescent="0.25">
      <c r="A132" s="1392">
        <v>44409</v>
      </c>
      <c r="B132" s="1388">
        <v>2506475362</v>
      </c>
      <c r="C132" s="1389">
        <v>6190806</v>
      </c>
      <c r="D132" s="1389">
        <v>19500103</v>
      </c>
      <c r="E132" s="1389">
        <v>400066</v>
      </c>
      <c r="F132" s="1421">
        <v>2508804</v>
      </c>
      <c r="G132" s="1421">
        <v>779120879</v>
      </c>
      <c r="H132" s="1421"/>
      <c r="I132" s="1443"/>
    </row>
    <row r="133" spans="1:9" s="1444" customFormat="1" ht="18.600000000000001" customHeight="1" x14ac:dyDescent="0.25">
      <c r="A133" s="1392">
        <v>44440</v>
      </c>
      <c r="B133" s="1388">
        <v>2221631713</v>
      </c>
      <c r="C133" s="1389">
        <v>1792536</v>
      </c>
      <c r="D133" s="1389">
        <v>14067131</v>
      </c>
      <c r="E133" s="1389">
        <v>100921</v>
      </c>
      <c r="F133" s="1421">
        <v>45492837</v>
      </c>
      <c r="G133" s="1421">
        <v>140820760</v>
      </c>
      <c r="H133" s="1421"/>
      <c r="I133" s="1443"/>
    </row>
    <row r="134" spans="1:9" s="1444" customFormat="1" ht="18.600000000000001" customHeight="1" x14ac:dyDescent="0.25">
      <c r="A134" s="1392">
        <v>44470</v>
      </c>
      <c r="B134" s="1388">
        <v>3662946419</v>
      </c>
      <c r="C134" s="1389">
        <v>4959804</v>
      </c>
      <c r="D134" s="1389">
        <v>7564975</v>
      </c>
      <c r="E134" s="1389">
        <v>1418080</v>
      </c>
      <c r="F134" s="1421">
        <v>4604203</v>
      </c>
      <c r="G134" s="1421" t="s">
        <v>1017</v>
      </c>
      <c r="H134" s="1421"/>
      <c r="I134" s="1443"/>
    </row>
    <row r="135" spans="1:9" s="1444" customFormat="1" ht="18.600000000000001" customHeight="1" x14ac:dyDescent="0.25">
      <c r="A135" s="1392">
        <v>44501</v>
      </c>
      <c r="B135" s="1388">
        <v>4168250962</v>
      </c>
      <c r="C135" s="1389">
        <v>166723494</v>
      </c>
      <c r="D135" s="1389">
        <v>17483198</v>
      </c>
      <c r="E135" s="1389">
        <v>401480</v>
      </c>
      <c r="F135" s="1421">
        <v>5038048</v>
      </c>
      <c r="G135" s="1421">
        <v>600000000</v>
      </c>
      <c r="H135" s="1421"/>
      <c r="I135" s="1443"/>
    </row>
    <row r="136" spans="1:9" s="1444" customFormat="1" ht="18.600000000000001" customHeight="1" x14ac:dyDescent="0.25">
      <c r="A136" s="1392">
        <v>44531</v>
      </c>
      <c r="B136" s="1388">
        <v>3879818574</v>
      </c>
      <c r="C136" s="1389">
        <v>54930567</v>
      </c>
      <c r="D136" s="1389">
        <v>684963542</v>
      </c>
      <c r="E136" s="1389">
        <v>217543</v>
      </c>
      <c r="F136" s="1421">
        <v>191661392</v>
      </c>
      <c r="G136" s="1421">
        <v>36078286</v>
      </c>
      <c r="H136" s="1421"/>
      <c r="I136" s="1443"/>
    </row>
    <row r="137" spans="1:9" s="1444" customFormat="1" ht="18.600000000000001" customHeight="1" x14ac:dyDescent="0.25">
      <c r="A137" s="1392">
        <v>44562</v>
      </c>
      <c r="B137" s="1388">
        <v>3048470184</v>
      </c>
      <c r="C137" s="1389">
        <v>7198988</v>
      </c>
      <c r="D137" s="1389">
        <v>165688610</v>
      </c>
      <c r="E137" s="1389">
        <v>502903</v>
      </c>
      <c r="F137" s="1421">
        <v>8149439</v>
      </c>
      <c r="G137" s="1421">
        <v>642906000</v>
      </c>
      <c r="H137" s="1421"/>
      <c r="I137" s="1443"/>
    </row>
    <row r="138" spans="1:9" s="1444" customFormat="1" ht="18.600000000000001" customHeight="1" x14ac:dyDescent="0.25">
      <c r="A138" s="1392">
        <v>44593</v>
      </c>
      <c r="B138" s="1388">
        <v>1929903212</v>
      </c>
      <c r="C138" s="1389">
        <v>6784212</v>
      </c>
      <c r="D138" s="1389">
        <v>9632489</v>
      </c>
      <c r="E138" s="1389">
        <v>411141</v>
      </c>
      <c r="F138" s="1421">
        <v>4008150</v>
      </c>
      <c r="G138" s="1421">
        <v>1512328</v>
      </c>
      <c r="H138" s="1421"/>
      <c r="I138" s="1443"/>
    </row>
    <row r="139" spans="1:9" s="1444" customFormat="1" ht="18.600000000000001" customHeight="1" x14ac:dyDescent="0.25">
      <c r="A139" s="1392">
        <v>44621</v>
      </c>
      <c r="B139" s="1388">
        <v>2777254835</v>
      </c>
      <c r="C139" s="1389">
        <v>5324493</v>
      </c>
      <c r="D139" s="1389">
        <v>390016139</v>
      </c>
      <c r="E139" s="1389">
        <v>236905</v>
      </c>
      <c r="F139" s="1421">
        <v>3337561</v>
      </c>
      <c r="G139" s="1421">
        <v>47522445</v>
      </c>
      <c r="H139" s="1421"/>
      <c r="I139" s="1443"/>
    </row>
    <row r="140" spans="1:9" s="1444" customFormat="1" ht="18.600000000000001" customHeight="1" x14ac:dyDescent="0.25">
      <c r="A140" s="1392">
        <v>44652</v>
      </c>
      <c r="B140" s="1388">
        <v>3271534353</v>
      </c>
      <c r="C140" s="1389">
        <v>3425427</v>
      </c>
      <c r="D140" s="1389">
        <v>75428886</v>
      </c>
      <c r="E140" s="1389">
        <v>219384</v>
      </c>
      <c r="F140" s="1421">
        <v>17073220</v>
      </c>
      <c r="G140" s="1421" t="s">
        <v>1017</v>
      </c>
      <c r="H140" s="1421"/>
      <c r="I140" s="1443"/>
    </row>
    <row r="141" spans="1:9" s="1444" customFormat="1" ht="18.600000000000001" customHeight="1" x14ac:dyDescent="0.25">
      <c r="A141" s="1392">
        <v>44682</v>
      </c>
      <c r="B141" s="1388">
        <v>2649135806</v>
      </c>
      <c r="C141" s="1389">
        <v>125084899</v>
      </c>
      <c r="D141" s="1389">
        <v>149351343</v>
      </c>
      <c r="E141" s="1389">
        <v>905657</v>
      </c>
      <c r="F141" s="1421">
        <v>2483284</v>
      </c>
      <c r="G141" s="1421" t="s">
        <v>1017</v>
      </c>
      <c r="H141" s="1421"/>
      <c r="I141" s="1443"/>
    </row>
    <row r="142" spans="1:9" s="1444" customFormat="1" ht="18.600000000000001" customHeight="1" x14ac:dyDescent="0.25">
      <c r="A142" s="1392">
        <v>44713</v>
      </c>
      <c r="B142" s="1388">
        <v>3129300518</v>
      </c>
      <c r="C142" s="1389">
        <v>9503227</v>
      </c>
      <c r="D142" s="1389">
        <v>654636155</v>
      </c>
      <c r="E142" s="1389">
        <v>401578</v>
      </c>
      <c r="F142" s="1421">
        <v>332769668</v>
      </c>
      <c r="G142" s="1421">
        <v>80802253</v>
      </c>
      <c r="H142" s="1421"/>
      <c r="I142" s="1443"/>
    </row>
    <row r="143" spans="1:9" s="1444" customFormat="1" ht="18.600000000000001" customHeight="1" x14ac:dyDescent="0.25">
      <c r="A143" s="1392">
        <v>44743</v>
      </c>
      <c r="B143" s="1388">
        <v>2050919937</v>
      </c>
      <c r="C143" s="1389">
        <v>204732000</v>
      </c>
      <c r="D143" s="1389">
        <v>578857539</v>
      </c>
      <c r="E143" s="1389">
        <v>405373</v>
      </c>
      <c r="F143" s="1421">
        <v>11452660</v>
      </c>
      <c r="G143" s="1421">
        <v>100416952</v>
      </c>
      <c r="H143" s="1421"/>
      <c r="I143" s="1443"/>
    </row>
    <row r="144" spans="1:9" s="1444" customFormat="1" ht="18.600000000000001" customHeight="1" x14ac:dyDescent="0.25">
      <c r="A144" s="1392">
        <v>44774</v>
      </c>
      <c r="B144" s="1388">
        <v>1966822649</v>
      </c>
      <c r="C144" s="1389">
        <v>8999776</v>
      </c>
      <c r="D144" s="1389">
        <v>277001786</v>
      </c>
      <c r="E144" s="1389">
        <v>401315</v>
      </c>
      <c r="F144" s="1421">
        <v>9963228</v>
      </c>
      <c r="G144" s="1421">
        <v>1487671</v>
      </c>
      <c r="H144" s="1421"/>
      <c r="I144" s="1443"/>
    </row>
    <row r="145" spans="1:9" s="1444" customFormat="1" ht="18.600000000000001" customHeight="1" x14ac:dyDescent="0.25">
      <c r="A145" s="1392">
        <v>44805</v>
      </c>
      <c r="B145" s="1388">
        <v>3692654331</v>
      </c>
      <c r="C145" s="1389">
        <v>5372909</v>
      </c>
      <c r="D145" s="1389">
        <v>659604679</v>
      </c>
      <c r="E145" s="1389">
        <v>236610</v>
      </c>
      <c r="F145" s="1421">
        <v>447895100</v>
      </c>
      <c r="G145" s="1421">
        <v>211002632</v>
      </c>
      <c r="H145" s="1421"/>
      <c r="I145" s="1443"/>
    </row>
    <row r="146" spans="1:9" s="1444" customFormat="1" ht="18.600000000000001" customHeight="1" x14ac:dyDescent="0.25">
      <c r="A146" s="1392">
        <v>44835</v>
      </c>
      <c r="B146" s="1388">
        <v>3987610617</v>
      </c>
      <c r="C146" s="1389">
        <v>164768621</v>
      </c>
      <c r="D146" s="1389">
        <v>916745036</v>
      </c>
      <c r="E146" s="1389">
        <v>24027760</v>
      </c>
      <c r="F146" s="1421">
        <v>10427864</v>
      </c>
      <c r="G146" s="1421">
        <v>39229431</v>
      </c>
      <c r="H146" s="1421"/>
      <c r="I146" s="1443"/>
    </row>
    <row r="147" spans="1:9" s="1444" customFormat="1" ht="18.600000000000001" customHeight="1" x14ac:dyDescent="0.25">
      <c r="A147" s="1392">
        <v>44866</v>
      </c>
      <c r="B147" s="1388">
        <v>2201892052</v>
      </c>
      <c r="C147" s="1389">
        <v>15152595</v>
      </c>
      <c r="D147" s="1389">
        <v>297603429</v>
      </c>
      <c r="E147" s="1389">
        <v>18614580</v>
      </c>
      <c r="F147" s="1421">
        <v>5684213</v>
      </c>
      <c r="G147" s="1421">
        <v>5000</v>
      </c>
      <c r="H147" s="1421"/>
      <c r="I147" s="1443"/>
    </row>
    <row r="148" spans="1:9" s="1444" customFormat="1" ht="18.600000000000001" customHeight="1" x14ac:dyDescent="0.25">
      <c r="A148" s="1392">
        <v>44896</v>
      </c>
      <c r="B148" s="1388">
        <v>4225205145</v>
      </c>
      <c r="C148" s="1389">
        <v>86659002</v>
      </c>
      <c r="D148" s="1389">
        <v>485006340</v>
      </c>
      <c r="E148" s="1389">
        <v>675233</v>
      </c>
      <c r="F148" s="1421">
        <v>451150134</v>
      </c>
      <c r="G148" s="1421">
        <v>658985383</v>
      </c>
      <c r="H148" s="1421">
        <v>2000</v>
      </c>
      <c r="I148" s="1443"/>
    </row>
    <row r="149" spans="1:9" s="1444" customFormat="1" ht="18.600000000000001" customHeight="1" x14ac:dyDescent="0.25">
      <c r="A149" s="1392">
        <v>44927</v>
      </c>
      <c r="B149" s="1388">
        <v>3915807301</v>
      </c>
      <c r="C149" s="1389">
        <v>678286351</v>
      </c>
      <c r="D149" s="1389">
        <v>149594309</v>
      </c>
      <c r="E149" s="1389">
        <v>452959</v>
      </c>
      <c r="F149" s="1421">
        <v>17082000</v>
      </c>
      <c r="G149" s="1421">
        <v>63059307</v>
      </c>
      <c r="H149" s="1421" t="s">
        <v>1017</v>
      </c>
      <c r="I149" s="1443"/>
    </row>
    <row r="150" spans="1:9" s="1444" customFormat="1" ht="18.600000000000001" customHeight="1" x14ac:dyDescent="0.25">
      <c r="A150" s="1392">
        <v>44958</v>
      </c>
      <c r="B150" s="1388">
        <v>1438087518</v>
      </c>
      <c r="C150" s="1389">
        <v>7048582</v>
      </c>
      <c r="D150" s="1389">
        <v>788544642</v>
      </c>
      <c r="E150" s="1389">
        <v>227768</v>
      </c>
      <c r="F150" s="1421">
        <v>4349364</v>
      </c>
      <c r="G150" s="1421">
        <v>1533631</v>
      </c>
      <c r="H150" s="1421" t="s">
        <v>1017</v>
      </c>
      <c r="I150" s="1443"/>
    </row>
    <row r="151" spans="1:9" s="1444" customFormat="1" ht="18.600000000000001" customHeight="1" x14ac:dyDescent="0.25">
      <c r="A151" s="1392">
        <v>44986</v>
      </c>
      <c r="B151" s="1388">
        <v>4759121230</v>
      </c>
      <c r="C151" s="1389">
        <v>39254761</v>
      </c>
      <c r="D151" s="1389">
        <v>513284554</v>
      </c>
      <c r="E151" s="1389">
        <v>241702</v>
      </c>
      <c r="F151" s="1421">
        <v>18687447</v>
      </c>
      <c r="G151" s="1421">
        <v>155029632</v>
      </c>
      <c r="H151" s="1421">
        <v>3752154</v>
      </c>
      <c r="I151" s="1443"/>
    </row>
    <row r="152" spans="1:9" s="1444" customFormat="1" ht="18.600000000000001" customHeight="1" x14ac:dyDescent="0.25">
      <c r="A152" s="1392">
        <v>45017</v>
      </c>
      <c r="B152" s="1388">
        <v>1175923594</v>
      </c>
      <c r="C152" s="1389">
        <v>56386381</v>
      </c>
      <c r="D152" s="1389">
        <v>233495294</v>
      </c>
      <c r="E152" s="1389">
        <v>181039</v>
      </c>
      <c r="F152" s="1389">
        <v>276441</v>
      </c>
      <c r="G152" s="1421">
        <v>16535753</v>
      </c>
      <c r="H152" s="1421">
        <v>50115</v>
      </c>
      <c r="I152" s="1443"/>
    </row>
    <row r="153" spans="1:9" s="1444" customFormat="1" ht="18.600000000000001" customHeight="1" x14ac:dyDescent="0.25">
      <c r="A153" s="1392">
        <v>45047</v>
      </c>
      <c r="B153" s="1388">
        <v>759137893</v>
      </c>
      <c r="C153" s="1389">
        <v>10240781</v>
      </c>
      <c r="D153" s="1389">
        <v>66207768</v>
      </c>
      <c r="E153" s="1389">
        <v>1</v>
      </c>
      <c r="F153" s="1389">
        <v>12213</v>
      </c>
      <c r="G153" s="1421">
        <v>15142042</v>
      </c>
      <c r="H153" s="1421">
        <v>29046</v>
      </c>
      <c r="I153" s="1443"/>
    </row>
    <row r="154" spans="1:9" s="1444" customFormat="1" ht="18.600000000000001" customHeight="1" x14ac:dyDescent="0.25">
      <c r="A154" s="1392">
        <v>45078</v>
      </c>
      <c r="B154" s="1388">
        <v>1540443185</v>
      </c>
      <c r="C154" s="1389">
        <v>6066072</v>
      </c>
      <c r="D154" s="1389">
        <v>128847811</v>
      </c>
      <c r="E154" s="1389">
        <v>9111</v>
      </c>
      <c r="F154" s="1389">
        <v>503241059</v>
      </c>
      <c r="G154" s="1421">
        <v>336091598</v>
      </c>
      <c r="H154" s="1421">
        <v>10014642</v>
      </c>
      <c r="I154" s="1443"/>
    </row>
    <row r="155" spans="1:9" s="1444" customFormat="1" ht="18.600000000000001" customHeight="1" x14ac:dyDescent="0.25">
      <c r="A155" s="1392">
        <v>45108</v>
      </c>
      <c r="B155" s="1388">
        <v>531055832</v>
      </c>
      <c r="C155" s="1389">
        <v>17779211</v>
      </c>
      <c r="D155" s="1389">
        <v>949674450</v>
      </c>
      <c r="E155" s="1389" t="s">
        <v>1014</v>
      </c>
      <c r="F155" s="1389">
        <v>47336096</v>
      </c>
      <c r="G155" s="1421">
        <v>550285000</v>
      </c>
      <c r="H155" s="1421">
        <v>8335938</v>
      </c>
      <c r="I155" s="1443"/>
    </row>
    <row r="156" spans="1:9" s="1444" customFormat="1" ht="18.600000000000001" customHeight="1" x14ac:dyDescent="0.25">
      <c r="A156" s="1392">
        <v>45139</v>
      </c>
      <c r="B156" s="1388">
        <v>348607352.31999999</v>
      </c>
      <c r="C156" s="1389">
        <v>1512263</v>
      </c>
      <c r="D156" s="1389">
        <v>143314603</v>
      </c>
      <c r="E156" s="1389" t="s">
        <v>1017</v>
      </c>
      <c r="F156" s="1389">
        <v>2578117</v>
      </c>
      <c r="G156" s="1421">
        <v>1880833</v>
      </c>
      <c r="H156" s="1421">
        <v>5034</v>
      </c>
      <c r="I156" s="1443"/>
    </row>
    <row r="157" spans="1:9" s="1444" customFormat="1" ht="18.600000000000001" customHeight="1" thickBot="1" x14ac:dyDescent="0.3">
      <c r="A157" s="3219">
        <v>45170</v>
      </c>
      <c r="B157" s="1400">
        <v>579607611.52999997</v>
      </c>
      <c r="C157" s="1401">
        <v>6930989.6900000004</v>
      </c>
      <c r="D157" s="1401">
        <v>86794347.760000005</v>
      </c>
      <c r="E157" s="1424">
        <v>15574</v>
      </c>
      <c r="F157" s="1425">
        <v>168095513.75999999</v>
      </c>
      <c r="G157" s="1425">
        <v>123589843</v>
      </c>
      <c r="H157" s="1425">
        <v>28811388.379999999</v>
      </c>
      <c r="I157" s="1443"/>
    </row>
    <row r="158" spans="1:9" ht="17.25" customHeight="1" thickTop="1" x14ac:dyDescent="0.25">
      <c r="A158" s="1448" t="s">
        <v>998</v>
      </c>
      <c r="D158" s="1436"/>
      <c r="E158" s="1436"/>
      <c r="F158" s="1436"/>
      <c r="G158" s="1436"/>
      <c r="H158" s="1436"/>
      <c r="I158" s="1436"/>
    </row>
    <row r="159" spans="1:9" ht="15.95" customHeight="1" x14ac:dyDescent="0.25">
      <c r="A159" s="1449"/>
    </row>
    <row r="160" spans="1:9" ht="15.95" customHeight="1" x14ac:dyDescent="0.25">
      <c r="A160" s="1450"/>
    </row>
    <row r="161" spans="1:1" x14ac:dyDescent="0.25">
      <c r="A161" s="1448"/>
    </row>
  </sheetData>
  <printOptions horizontalCentered="1"/>
  <pageMargins left="0.75" right="0.75" top="0.75" bottom="0.75" header="0.3" footer="0"/>
  <pageSetup paperSize="9" scale="71"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EJ55"/>
  <sheetViews>
    <sheetView zoomScale="80" zoomScaleNormal="80" zoomScaleSheetLayoutView="70" workbookViewId="0">
      <pane xSplit="124" ySplit="3" topLeftCell="DY19" activePane="bottomRight" state="frozen"/>
      <selection activeCell="A38" sqref="A38"/>
      <selection pane="topRight" activeCell="A38" sqref="A38"/>
      <selection pane="bottomLeft" activeCell="A38" sqref="A38"/>
      <selection pane="bottomRight" activeCell="A38" sqref="A38"/>
    </sheetView>
  </sheetViews>
  <sheetFormatPr defaultColWidth="30.42578125" defaultRowHeight="18.75" x14ac:dyDescent="0.25"/>
  <cols>
    <col min="1" max="1" width="65.5703125" style="1457" customWidth="1"/>
    <col min="2" max="10" width="10.85546875" style="1458" hidden="1" customWidth="1"/>
    <col min="11" max="15" width="11.7109375" style="1458" hidden="1" customWidth="1"/>
    <col min="16" max="42" width="11.85546875" style="1458" hidden="1" customWidth="1"/>
    <col min="43" max="43" width="12.85546875" style="1458" hidden="1" customWidth="1"/>
    <col min="44" max="47" width="12" style="1458" hidden="1" customWidth="1"/>
    <col min="48" max="48" width="12.85546875" style="1458" hidden="1" customWidth="1"/>
    <col min="49" max="58" width="12.7109375" style="1458" hidden="1" customWidth="1"/>
    <col min="59" max="59" width="14.28515625" style="1458" hidden="1" customWidth="1"/>
    <col min="60" max="67" width="11.85546875" style="1458" hidden="1" customWidth="1"/>
    <col min="68" max="68" width="10.28515625" style="1458" hidden="1" customWidth="1"/>
    <col min="69" max="69" width="11.85546875" style="1458" hidden="1" customWidth="1"/>
    <col min="70" max="70" width="13" style="1458" hidden="1" customWidth="1"/>
    <col min="71" max="71" width="12" style="1458" hidden="1" customWidth="1"/>
    <col min="72" max="72" width="11.5703125" style="1458" hidden="1" customWidth="1"/>
    <col min="73" max="73" width="12.28515625" style="1458" hidden="1" customWidth="1"/>
    <col min="74" max="74" width="15.140625" style="1458" hidden="1" customWidth="1"/>
    <col min="75" max="75" width="14" style="1547" hidden="1" customWidth="1"/>
    <col min="76" max="76" width="16.85546875" style="1547" hidden="1" customWidth="1"/>
    <col min="77" max="77" width="14" style="1547" hidden="1" customWidth="1"/>
    <col min="78" max="78" width="13.28515625" style="1547" hidden="1" customWidth="1"/>
    <col min="79" max="79" width="13.85546875" style="1547" hidden="1" customWidth="1"/>
    <col min="80" max="80" width="13" style="1547" hidden="1" customWidth="1"/>
    <col min="81" max="82" width="13.7109375" style="1547" hidden="1" customWidth="1"/>
    <col min="83" max="83" width="14" style="1547" hidden="1" customWidth="1"/>
    <col min="84" max="84" width="15" style="1547" hidden="1" customWidth="1"/>
    <col min="85" max="85" width="4.28515625" style="1547" hidden="1" customWidth="1"/>
    <col min="86" max="86" width="14.42578125" style="1547" hidden="1" customWidth="1"/>
    <col min="87" max="88" width="11" style="1547" hidden="1" customWidth="1"/>
    <col min="89" max="89" width="11.5703125" style="1547" hidden="1" customWidth="1"/>
    <col min="90" max="90" width="12.28515625" style="1547" hidden="1" customWidth="1"/>
    <col min="91" max="92" width="11.7109375" style="1547" hidden="1" customWidth="1"/>
    <col min="93" max="94" width="12.28515625" style="1547" hidden="1" customWidth="1"/>
    <col min="95" max="95" width="11.7109375" style="1547" hidden="1" customWidth="1"/>
    <col min="96" max="96" width="12.28515625" style="1547" hidden="1" customWidth="1"/>
    <col min="97" max="97" width="11.7109375" style="1547" hidden="1" customWidth="1"/>
    <col min="98" max="98" width="12.28515625" style="1547" hidden="1" customWidth="1"/>
    <col min="99" max="99" width="11.7109375" style="1547" hidden="1" customWidth="1"/>
    <col min="100" max="100" width="11.42578125" style="1547" hidden="1" customWidth="1"/>
    <col min="101" max="101" width="11.7109375" style="1547" hidden="1" customWidth="1"/>
    <col min="102" max="104" width="12.28515625" style="1547" hidden="1" customWidth="1"/>
    <col min="105" max="105" width="2.140625" style="1547" hidden="1" customWidth="1"/>
    <col min="106" max="107" width="12.28515625" style="1547" hidden="1" customWidth="1"/>
    <col min="108" max="108" width="12.140625" style="1547" hidden="1" customWidth="1"/>
    <col min="109" max="119" width="11" style="1547" hidden="1" customWidth="1"/>
    <col min="120" max="122" width="14.28515625" style="1547" hidden="1" customWidth="1"/>
    <col min="123" max="123" width="15.28515625" style="1547" hidden="1" customWidth="1"/>
    <col min="124" max="127" width="14.28515625" style="1547" hidden="1" customWidth="1"/>
    <col min="128" max="139" width="14.28515625" style="1547" customWidth="1"/>
    <col min="140" max="140" width="12.140625" style="1458" bestFit="1" customWidth="1"/>
    <col min="141" max="16384" width="30.42578125" style="1458"/>
  </cols>
  <sheetData>
    <row r="1" spans="1:140" s="1456" customFormat="1" x14ac:dyDescent="0.35">
      <c r="A1" s="1451" t="s">
        <v>1018</v>
      </c>
      <c r="B1" s="1452"/>
      <c r="C1" s="1452"/>
      <c r="D1" s="1452"/>
      <c r="E1" s="1452"/>
      <c r="F1" s="1452"/>
      <c r="G1" s="1452"/>
      <c r="H1" s="1452"/>
      <c r="I1" s="1452"/>
      <c r="J1" s="1452"/>
      <c r="K1" s="1452"/>
      <c r="L1" s="1452"/>
      <c r="M1" s="1452"/>
      <c r="N1" s="1452"/>
      <c r="O1" s="1452"/>
      <c r="P1" s="1452"/>
      <c r="Q1" s="1452"/>
      <c r="R1" s="1452"/>
      <c r="S1" s="1452"/>
      <c r="T1" s="1452"/>
      <c r="U1" s="1452"/>
      <c r="V1" s="1452"/>
      <c r="W1" s="1452"/>
      <c r="X1" s="1452"/>
      <c r="Y1" s="1452"/>
      <c r="Z1" s="1452"/>
      <c r="AA1" s="1452"/>
      <c r="AB1" s="1452"/>
      <c r="AC1" s="1452"/>
      <c r="AD1" s="1452"/>
      <c r="AE1" s="1452"/>
      <c r="AF1" s="1452"/>
      <c r="AG1" s="1452"/>
      <c r="AH1" s="1452"/>
      <c r="AI1" s="1452"/>
      <c r="AJ1" s="1452"/>
      <c r="AK1" s="1452"/>
      <c r="AL1" s="1452"/>
      <c r="AM1" s="1452"/>
      <c r="AN1" s="1452"/>
      <c r="AO1" s="1452"/>
      <c r="AP1" s="1452"/>
      <c r="AQ1" s="1452"/>
      <c r="AR1" s="1452"/>
      <c r="AS1" s="1452"/>
      <c r="AT1" s="1452"/>
      <c r="AU1" s="1452"/>
      <c r="AV1" s="1452"/>
      <c r="AW1" s="1452"/>
      <c r="AX1" s="1452"/>
      <c r="AY1" s="1452"/>
      <c r="AZ1" s="1452"/>
      <c r="BA1" s="1452"/>
      <c r="BB1" s="1452"/>
      <c r="BC1" s="1452"/>
      <c r="BD1" s="1452"/>
      <c r="BE1" s="1452"/>
      <c r="BF1" s="1452"/>
      <c r="BG1" s="1452"/>
      <c r="BH1" s="1452"/>
      <c r="BI1" s="1452"/>
      <c r="BJ1" s="1452"/>
      <c r="BK1" s="1452"/>
      <c r="BL1" s="1452"/>
      <c r="BM1" s="1452"/>
      <c r="BN1" s="1452"/>
      <c r="BO1" s="1452"/>
      <c r="BP1" s="1452"/>
      <c r="BQ1" s="1452"/>
      <c r="BR1" s="1452"/>
      <c r="BS1" s="1452"/>
      <c r="BT1" s="1452"/>
      <c r="BU1" s="1452"/>
      <c r="BV1" s="1452"/>
      <c r="BW1" s="1453"/>
      <c r="BX1" s="1453"/>
      <c r="BY1" s="1453"/>
      <c r="BZ1" s="1453"/>
      <c r="CA1" s="1453"/>
      <c r="CB1" s="1453"/>
      <c r="CC1" s="1453"/>
      <c r="CD1" s="1453"/>
      <c r="CE1" s="1453"/>
      <c r="CF1" s="1454"/>
      <c r="CG1" s="1455"/>
      <c r="CH1" s="1455"/>
      <c r="CI1" s="1455"/>
      <c r="CJ1" s="1455"/>
      <c r="CK1" s="1455"/>
      <c r="CL1" s="1455"/>
      <c r="CM1" s="1455"/>
      <c r="CN1" s="1455"/>
      <c r="CO1" s="1455"/>
      <c r="CP1" s="1455"/>
      <c r="CQ1" s="1455"/>
      <c r="CR1" s="1455"/>
      <c r="CS1" s="1455"/>
      <c r="CT1" s="1455"/>
      <c r="CU1" s="1455"/>
      <c r="CV1" s="1455"/>
      <c r="CW1" s="1455"/>
      <c r="CX1" s="1455"/>
      <c r="CY1" s="1455"/>
      <c r="CZ1" s="1455"/>
      <c r="DA1" s="1455"/>
      <c r="DB1" s="1455"/>
      <c r="DC1" s="1455"/>
      <c r="DD1" s="1455"/>
      <c r="DE1" s="1455"/>
      <c r="DF1" s="1455"/>
      <c r="DG1" s="1455"/>
      <c r="DH1" s="1455"/>
      <c r="DI1" s="1455"/>
      <c r="DJ1" s="1455"/>
      <c r="DK1" s="1455"/>
      <c r="DL1" s="1455"/>
      <c r="DM1" s="1455"/>
      <c r="DN1" s="1455"/>
      <c r="DO1" s="1455"/>
      <c r="DP1" s="1455"/>
      <c r="DQ1" s="1455"/>
      <c r="DR1" s="1455"/>
      <c r="DS1" s="1455"/>
      <c r="DT1" s="1455"/>
      <c r="DU1" s="1455"/>
      <c r="DV1" s="1455"/>
      <c r="DW1" s="1455"/>
      <c r="DX1" s="1455"/>
      <c r="DY1" s="1455"/>
      <c r="DZ1" s="1455"/>
      <c r="EA1" s="1455"/>
      <c r="EB1" s="1455"/>
      <c r="EC1" s="1455"/>
      <c r="ED1" s="1455"/>
      <c r="EE1" s="1455"/>
      <c r="EF1" s="1455"/>
      <c r="EG1" s="1455"/>
      <c r="EH1" s="1455"/>
      <c r="EI1" s="1455"/>
    </row>
    <row r="2" spans="1:140" ht="19.5" thickBot="1" x14ac:dyDescent="0.3">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60"/>
      <c r="BU2" s="1460"/>
      <c r="BV2" s="1460"/>
      <c r="BW2" s="1461"/>
      <c r="BX2" s="1461"/>
      <c r="BY2" s="1461"/>
      <c r="BZ2" s="1461"/>
      <c r="CA2" s="1461"/>
      <c r="CB2" s="1461"/>
      <c r="CC2" s="1461"/>
      <c r="CD2" s="1461"/>
      <c r="CE2" s="1461"/>
      <c r="CF2" s="1461"/>
      <c r="CG2" s="1461"/>
      <c r="CH2" s="1461"/>
      <c r="CI2" s="1461"/>
      <c r="CJ2" s="1461"/>
      <c r="CK2" s="1461"/>
      <c r="CL2" s="1461"/>
      <c r="CM2" s="1461"/>
      <c r="CN2" s="1461"/>
      <c r="CO2" s="1461"/>
      <c r="CP2" s="1461"/>
      <c r="CQ2" s="1461"/>
      <c r="CR2" s="1461"/>
      <c r="CS2" s="1461"/>
      <c r="CT2" s="1461"/>
      <c r="CU2" s="1461"/>
      <c r="CV2" s="1461"/>
      <c r="CW2" s="1461"/>
      <c r="CX2" s="1461"/>
      <c r="CY2" s="1461"/>
      <c r="CZ2" s="1461"/>
      <c r="DA2" s="1461"/>
      <c r="DB2" s="1461"/>
      <c r="DC2" s="1461"/>
      <c r="DD2" s="1461"/>
      <c r="DE2" s="1461"/>
      <c r="DF2" s="1461"/>
      <c r="DG2" s="1461"/>
      <c r="DH2" s="1461"/>
      <c r="DI2" s="1461"/>
      <c r="DJ2" s="1461"/>
      <c r="DK2" s="1461"/>
      <c r="DL2" s="1461"/>
      <c r="DM2" s="1461"/>
      <c r="DN2" s="1461"/>
      <c r="DO2" s="1461"/>
      <c r="DP2" s="1461"/>
      <c r="DQ2" s="1461"/>
      <c r="DR2" s="1461"/>
      <c r="DS2" s="1461"/>
      <c r="DT2" s="1461"/>
      <c r="DU2" s="1461"/>
      <c r="DV2" s="1461"/>
      <c r="DW2" s="1461"/>
      <c r="DX2" s="1461"/>
      <c r="DY2" s="1461"/>
      <c r="DZ2" s="1461"/>
      <c r="EA2" s="1461"/>
      <c r="EB2" s="1461"/>
      <c r="EC2" s="1461"/>
      <c r="ED2" s="1461"/>
      <c r="EE2" s="1461"/>
      <c r="EF2" s="1461"/>
      <c r="EG2" s="1461"/>
      <c r="EH2" s="1461"/>
      <c r="EI2" s="1461"/>
    </row>
    <row r="3" spans="1:140" s="1468" customFormat="1" ht="21.75" thickTop="1" thickBot="1" x14ac:dyDescent="0.3">
      <c r="A3" s="1462"/>
      <c r="B3" s="1463">
        <v>40910</v>
      </c>
      <c r="C3" s="1463">
        <v>40941</v>
      </c>
      <c r="D3" s="1463">
        <v>40971</v>
      </c>
      <c r="E3" s="1463">
        <v>41003</v>
      </c>
      <c r="F3" s="1463">
        <v>41034</v>
      </c>
      <c r="G3" s="1463">
        <v>41066</v>
      </c>
      <c r="H3" s="1463">
        <v>41097</v>
      </c>
      <c r="I3" s="1463">
        <v>41129</v>
      </c>
      <c r="J3" s="1463">
        <v>41161</v>
      </c>
      <c r="K3" s="1463">
        <v>41192</v>
      </c>
      <c r="L3" s="1463">
        <v>41224</v>
      </c>
      <c r="M3" s="1463">
        <v>41255</v>
      </c>
      <c r="N3" s="1463">
        <v>41275</v>
      </c>
      <c r="O3" s="1463">
        <v>41307</v>
      </c>
      <c r="P3" s="1463">
        <v>41336</v>
      </c>
      <c r="Q3" s="1463">
        <v>41399</v>
      </c>
      <c r="R3" s="1463">
        <v>41431</v>
      </c>
      <c r="S3" s="1463">
        <v>41462</v>
      </c>
      <c r="T3" s="1463">
        <v>41494</v>
      </c>
      <c r="U3" s="1463">
        <v>41526</v>
      </c>
      <c r="V3" s="1463">
        <v>41557</v>
      </c>
      <c r="W3" s="1463">
        <v>41588</v>
      </c>
      <c r="X3" s="1463">
        <v>41619</v>
      </c>
      <c r="Y3" s="1463">
        <v>41640</v>
      </c>
      <c r="Z3" s="1463">
        <v>41671</v>
      </c>
      <c r="AA3" s="1463">
        <v>41700</v>
      </c>
      <c r="AB3" s="1463">
        <v>41732</v>
      </c>
      <c r="AC3" s="1463">
        <v>41762</v>
      </c>
      <c r="AD3" s="1463">
        <v>41794</v>
      </c>
      <c r="AE3" s="1463">
        <v>41825</v>
      </c>
      <c r="AF3" s="1463">
        <v>41857</v>
      </c>
      <c r="AG3" s="1463">
        <v>41889</v>
      </c>
      <c r="AH3" s="1463">
        <v>41919</v>
      </c>
      <c r="AI3" s="1463">
        <v>41950</v>
      </c>
      <c r="AJ3" s="1463">
        <v>41980</v>
      </c>
      <c r="AK3" s="1463">
        <v>42012</v>
      </c>
      <c r="AL3" s="1463">
        <v>42037</v>
      </c>
      <c r="AM3" s="1463">
        <v>42064</v>
      </c>
      <c r="AN3" s="1463">
        <v>42096</v>
      </c>
      <c r="AO3" s="1463">
        <v>42127</v>
      </c>
      <c r="AP3" s="1463">
        <v>42159</v>
      </c>
      <c r="AQ3" s="1463">
        <v>42189</v>
      </c>
      <c r="AR3" s="1463">
        <v>42220</v>
      </c>
      <c r="AS3" s="1463">
        <v>42252</v>
      </c>
      <c r="AT3" s="1463">
        <v>42282</v>
      </c>
      <c r="AU3" s="1463">
        <v>42313</v>
      </c>
      <c r="AV3" s="1463">
        <v>42343</v>
      </c>
      <c r="AW3" s="1463">
        <v>42375</v>
      </c>
      <c r="AX3" s="1463">
        <v>42407</v>
      </c>
      <c r="AY3" s="1463">
        <v>42436</v>
      </c>
      <c r="AZ3" s="1463">
        <v>42461</v>
      </c>
      <c r="BA3" s="1463">
        <v>42491</v>
      </c>
      <c r="BB3" s="1463">
        <v>42523</v>
      </c>
      <c r="BC3" s="1463">
        <v>42553</v>
      </c>
      <c r="BD3" s="1463">
        <v>42584</v>
      </c>
      <c r="BE3" s="1463">
        <v>42615</v>
      </c>
      <c r="BF3" s="1463">
        <v>42646</v>
      </c>
      <c r="BG3" s="1463">
        <v>42677</v>
      </c>
      <c r="BH3" s="1463">
        <v>42708</v>
      </c>
      <c r="BI3" s="1463">
        <v>42739</v>
      </c>
      <c r="BJ3" s="1463">
        <v>42771</v>
      </c>
      <c r="BK3" s="1463">
        <v>42799</v>
      </c>
      <c r="BL3" s="1463">
        <v>42830</v>
      </c>
      <c r="BM3" s="1463">
        <v>42860</v>
      </c>
      <c r="BN3" s="1463">
        <v>42891</v>
      </c>
      <c r="BO3" s="1463">
        <v>42921</v>
      </c>
      <c r="BP3" s="1463">
        <v>42953</v>
      </c>
      <c r="BQ3" s="1463">
        <v>42984</v>
      </c>
      <c r="BR3" s="1463">
        <v>43014</v>
      </c>
      <c r="BS3" s="1463">
        <v>43045</v>
      </c>
      <c r="BT3" s="1463">
        <v>43075</v>
      </c>
      <c r="BU3" s="1463">
        <v>43106</v>
      </c>
      <c r="BV3" s="1463">
        <v>43137</v>
      </c>
      <c r="BW3" s="1463">
        <v>43165</v>
      </c>
      <c r="BX3" s="1463">
        <v>43196</v>
      </c>
      <c r="BY3" s="1463">
        <v>43226</v>
      </c>
      <c r="BZ3" s="1463">
        <v>43258</v>
      </c>
      <c r="CA3" s="1463">
        <v>43288</v>
      </c>
      <c r="CB3" s="1463">
        <v>43321</v>
      </c>
      <c r="CC3" s="1463">
        <v>43352</v>
      </c>
      <c r="CD3" s="1464">
        <v>43382</v>
      </c>
      <c r="CE3" s="1464">
        <v>43414</v>
      </c>
      <c r="CF3" s="1465">
        <v>43445</v>
      </c>
      <c r="CG3" s="1466">
        <v>43476</v>
      </c>
      <c r="CH3" s="1464">
        <v>43507</v>
      </c>
      <c r="CI3" s="1467">
        <v>43535</v>
      </c>
      <c r="CJ3" s="1463">
        <v>43566</v>
      </c>
      <c r="CK3" s="1463">
        <v>43586</v>
      </c>
      <c r="CL3" s="1463">
        <v>43617</v>
      </c>
      <c r="CM3" s="1463">
        <v>43647</v>
      </c>
      <c r="CN3" s="1463">
        <v>43678</v>
      </c>
      <c r="CO3" s="1463">
        <v>43717</v>
      </c>
      <c r="CP3" s="1463">
        <v>43747</v>
      </c>
      <c r="CQ3" s="1463">
        <v>43778</v>
      </c>
      <c r="CR3" s="1463">
        <v>43808</v>
      </c>
      <c r="CS3" s="1463">
        <v>43839</v>
      </c>
      <c r="CT3" s="1463">
        <v>43870</v>
      </c>
      <c r="CU3" s="1463">
        <v>43899</v>
      </c>
      <c r="CV3" s="1466">
        <v>43930</v>
      </c>
      <c r="CW3" s="1466">
        <v>43960</v>
      </c>
      <c r="CX3" s="1466">
        <v>43991</v>
      </c>
      <c r="CY3" s="1466">
        <v>44021</v>
      </c>
      <c r="CZ3" s="1466">
        <v>44052</v>
      </c>
      <c r="DA3" s="1466">
        <v>44083</v>
      </c>
      <c r="DB3" s="1466">
        <v>44113</v>
      </c>
      <c r="DC3" s="1466">
        <v>44144</v>
      </c>
      <c r="DD3" s="1466">
        <v>44174</v>
      </c>
      <c r="DE3" s="1466">
        <v>44197</v>
      </c>
      <c r="DF3" s="1466">
        <v>44228</v>
      </c>
      <c r="DG3" s="1466">
        <v>44256</v>
      </c>
      <c r="DH3" s="1466">
        <v>44287</v>
      </c>
      <c r="DI3" s="1466">
        <v>44317</v>
      </c>
      <c r="DJ3" s="1466">
        <v>44348</v>
      </c>
      <c r="DK3" s="1466">
        <v>44378</v>
      </c>
      <c r="DL3" s="1466">
        <v>44409</v>
      </c>
      <c r="DM3" s="1466">
        <v>44440</v>
      </c>
      <c r="DN3" s="1466">
        <v>44470</v>
      </c>
      <c r="DO3" s="1466">
        <v>44501</v>
      </c>
      <c r="DP3" s="1466">
        <v>44531</v>
      </c>
      <c r="DQ3" s="1466">
        <v>44562</v>
      </c>
      <c r="DR3" s="1466">
        <v>44593</v>
      </c>
      <c r="DS3" s="1466">
        <v>44621</v>
      </c>
      <c r="DT3" s="1466">
        <v>44652</v>
      </c>
      <c r="DU3" s="1466">
        <v>44682</v>
      </c>
      <c r="DV3" s="1466">
        <v>44713</v>
      </c>
      <c r="DW3" s="1466">
        <v>44743</v>
      </c>
      <c r="DX3" s="1466">
        <v>44774</v>
      </c>
      <c r="DY3" s="1466">
        <v>44805</v>
      </c>
      <c r="DZ3" s="1466">
        <v>44835</v>
      </c>
      <c r="EA3" s="1466">
        <v>44866</v>
      </c>
      <c r="EB3" s="1466">
        <v>44896</v>
      </c>
      <c r="EC3" s="1466">
        <v>44927</v>
      </c>
      <c r="ED3" s="1466">
        <v>44958</v>
      </c>
      <c r="EE3" s="1466">
        <v>44986</v>
      </c>
      <c r="EF3" s="1466">
        <v>45017</v>
      </c>
      <c r="EG3" s="1466">
        <v>45047</v>
      </c>
      <c r="EH3" s="1466">
        <v>45078</v>
      </c>
      <c r="EI3" s="1466">
        <v>45108</v>
      </c>
      <c r="EJ3" s="1466">
        <v>45139</v>
      </c>
    </row>
    <row r="4" spans="1:140" s="1482" customFormat="1" x14ac:dyDescent="0.25">
      <c r="A4" s="1469" t="s">
        <v>1019</v>
      </c>
      <c r="B4" s="1470">
        <v>430</v>
      </c>
      <c r="C4" s="1470">
        <v>430</v>
      </c>
      <c r="D4" s="1470">
        <v>432</v>
      </c>
      <c r="E4" s="1470">
        <v>431</v>
      </c>
      <c r="F4" s="1470">
        <v>431</v>
      </c>
      <c r="G4" s="1470">
        <v>430</v>
      </c>
      <c r="H4" s="1470">
        <v>432</v>
      </c>
      <c r="I4" s="1470">
        <v>433</v>
      </c>
      <c r="J4" s="1470">
        <v>436</v>
      </c>
      <c r="K4" s="1470">
        <v>437</v>
      </c>
      <c r="L4" s="1470">
        <v>438</v>
      </c>
      <c r="M4" s="1470">
        <v>441</v>
      </c>
      <c r="N4" s="1470">
        <v>442</v>
      </c>
      <c r="O4" s="1470">
        <v>443</v>
      </c>
      <c r="P4" s="1470">
        <v>446</v>
      </c>
      <c r="Q4" s="1470">
        <v>447</v>
      </c>
      <c r="R4" s="1470">
        <v>450</v>
      </c>
      <c r="S4" s="1470">
        <v>448</v>
      </c>
      <c r="T4" s="1470">
        <v>448</v>
      </c>
      <c r="U4" s="1470">
        <v>449</v>
      </c>
      <c r="V4" s="1470">
        <v>448</v>
      </c>
      <c r="W4" s="1470">
        <v>449</v>
      </c>
      <c r="X4" s="1470">
        <v>450</v>
      </c>
      <c r="Y4" s="1470">
        <v>450</v>
      </c>
      <c r="Z4" s="1470">
        <v>449</v>
      </c>
      <c r="AA4" s="1470">
        <v>451</v>
      </c>
      <c r="AB4" s="1470">
        <v>451</v>
      </c>
      <c r="AC4" s="1470">
        <v>452</v>
      </c>
      <c r="AD4" s="1470">
        <v>454</v>
      </c>
      <c r="AE4" s="1470">
        <v>453</v>
      </c>
      <c r="AF4" s="1470">
        <v>453</v>
      </c>
      <c r="AG4" s="1470">
        <v>453</v>
      </c>
      <c r="AH4" s="1470">
        <v>453</v>
      </c>
      <c r="AI4" s="1470">
        <v>453</v>
      </c>
      <c r="AJ4" s="1470">
        <v>455</v>
      </c>
      <c r="AK4" s="1470">
        <v>456</v>
      </c>
      <c r="AL4" s="1470">
        <v>454</v>
      </c>
      <c r="AM4" s="1470">
        <v>459</v>
      </c>
      <c r="AN4" s="1470">
        <v>461</v>
      </c>
      <c r="AO4" s="1470">
        <v>462</v>
      </c>
      <c r="AP4" s="1470">
        <v>460</v>
      </c>
      <c r="AQ4" s="1470">
        <v>460</v>
      </c>
      <c r="AR4" s="1471">
        <v>460</v>
      </c>
      <c r="AS4" s="1471">
        <v>461</v>
      </c>
      <c r="AT4" s="1471">
        <v>460</v>
      </c>
      <c r="AU4" s="1471">
        <v>459</v>
      </c>
      <c r="AV4" s="1471">
        <v>464</v>
      </c>
      <c r="AW4" s="1471">
        <v>464</v>
      </c>
      <c r="AX4" s="1471">
        <v>465</v>
      </c>
      <c r="AY4" s="1471">
        <v>465</v>
      </c>
      <c r="AZ4" s="1472">
        <v>465</v>
      </c>
      <c r="BA4" s="1472">
        <v>463</v>
      </c>
      <c r="BB4" s="1472">
        <v>461</v>
      </c>
      <c r="BC4" s="1472">
        <v>463</v>
      </c>
      <c r="BD4" s="1472">
        <v>461</v>
      </c>
      <c r="BE4" s="1472">
        <v>458</v>
      </c>
      <c r="BF4" s="1473">
        <v>455</v>
      </c>
      <c r="BG4" s="1472">
        <v>454</v>
      </c>
      <c r="BH4" s="1472">
        <v>456</v>
      </c>
      <c r="BI4" s="1472">
        <v>453</v>
      </c>
      <c r="BJ4" s="1472">
        <v>453</v>
      </c>
      <c r="BK4" s="1472">
        <v>452</v>
      </c>
      <c r="BL4" s="1472">
        <v>453</v>
      </c>
      <c r="BM4" s="1472">
        <v>453</v>
      </c>
      <c r="BN4" s="1472">
        <v>454</v>
      </c>
      <c r="BO4" s="1472">
        <v>455</v>
      </c>
      <c r="BP4" s="1472">
        <v>452</v>
      </c>
      <c r="BQ4" s="1472">
        <v>451</v>
      </c>
      <c r="BR4" s="1472">
        <v>450</v>
      </c>
      <c r="BS4" s="1472">
        <v>449</v>
      </c>
      <c r="BT4" s="1474">
        <v>449</v>
      </c>
      <c r="BU4" s="1474">
        <v>447</v>
      </c>
      <c r="BV4" s="1474">
        <v>444</v>
      </c>
      <c r="BW4" s="1475">
        <v>445</v>
      </c>
      <c r="BX4" s="1475">
        <v>445</v>
      </c>
      <c r="BY4" s="1475">
        <v>446</v>
      </c>
      <c r="BZ4" s="1475">
        <v>445</v>
      </c>
      <c r="CA4" s="1475">
        <v>447</v>
      </c>
      <c r="CB4" s="1475">
        <v>448</v>
      </c>
      <c r="CC4" s="1475">
        <v>448</v>
      </c>
      <c r="CD4" s="1476">
        <v>449</v>
      </c>
      <c r="CE4" s="1476">
        <v>449</v>
      </c>
      <c r="CF4" s="1477">
        <v>449</v>
      </c>
      <c r="CG4" s="1478">
        <v>449</v>
      </c>
      <c r="CH4" s="1478">
        <v>449</v>
      </c>
      <c r="CI4" s="1479">
        <v>448</v>
      </c>
      <c r="CJ4" s="1480">
        <v>448</v>
      </c>
      <c r="CK4" s="1480">
        <v>448</v>
      </c>
      <c r="CL4" s="1480">
        <v>443</v>
      </c>
      <c r="CM4" s="1480">
        <v>443</v>
      </c>
      <c r="CN4" s="1480">
        <v>444</v>
      </c>
      <c r="CO4" s="1480">
        <v>445</v>
      </c>
      <c r="CP4" s="1480">
        <v>446</v>
      </c>
      <c r="CQ4" s="1480">
        <v>448</v>
      </c>
      <c r="CR4" s="1480">
        <v>448</v>
      </c>
      <c r="CS4" s="1480">
        <v>448</v>
      </c>
      <c r="CT4" s="1480">
        <v>449</v>
      </c>
      <c r="CU4" s="1480">
        <v>447</v>
      </c>
      <c r="CV4" s="1481">
        <v>445</v>
      </c>
      <c r="CW4" s="1481">
        <v>447</v>
      </c>
      <c r="CX4" s="1481">
        <v>447</v>
      </c>
      <c r="CY4" s="1481">
        <v>444</v>
      </c>
      <c r="CZ4" s="1481">
        <v>445</v>
      </c>
      <c r="DA4" s="1481">
        <v>445</v>
      </c>
      <c r="DB4" s="1481">
        <v>445</v>
      </c>
      <c r="DC4" s="1481">
        <v>445</v>
      </c>
      <c r="DD4" s="1481">
        <v>443</v>
      </c>
      <c r="DE4" s="1481">
        <v>443</v>
      </c>
      <c r="DF4" s="1481">
        <v>444</v>
      </c>
      <c r="DG4" s="1481">
        <v>445</v>
      </c>
      <c r="DH4" s="1481">
        <v>444</v>
      </c>
      <c r="DI4" s="1481">
        <v>445</v>
      </c>
      <c r="DJ4" s="1481">
        <v>450</v>
      </c>
      <c r="DK4" s="1481">
        <v>450</v>
      </c>
      <c r="DL4" s="1481">
        <v>450</v>
      </c>
      <c r="DM4" s="1481">
        <v>450</v>
      </c>
      <c r="DN4" s="1481">
        <v>448</v>
      </c>
      <c r="DO4" s="1481">
        <v>448</v>
      </c>
      <c r="DP4" s="1481">
        <v>450</v>
      </c>
      <c r="DQ4" s="1481">
        <v>450</v>
      </c>
      <c r="DR4" s="1481">
        <v>448</v>
      </c>
      <c r="DS4" s="1481">
        <v>447</v>
      </c>
      <c r="DT4" s="1481">
        <v>446</v>
      </c>
      <c r="DU4" s="1481">
        <v>448</v>
      </c>
      <c r="DV4" s="1481">
        <v>447</v>
      </c>
      <c r="DW4" s="1481">
        <v>446</v>
      </c>
      <c r="DX4" s="1481">
        <v>447</v>
      </c>
      <c r="DY4" s="1481">
        <v>444</v>
      </c>
      <c r="DZ4" s="1481">
        <v>434</v>
      </c>
      <c r="EA4" s="1481">
        <v>438</v>
      </c>
      <c r="EB4" s="1481">
        <v>446</v>
      </c>
      <c r="EC4" s="1481">
        <v>446</v>
      </c>
      <c r="ED4" s="1481">
        <v>445</v>
      </c>
      <c r="EE4" s="1481">
        <v>443</v>
      </c>
      <c r="EF4" s="1481">
        <v>443</v>
      </c>
      <c r="EG4" s="1481">
        <v>441</v>
      </c>
      <c r="EH4" s="1481">
        <v>438</v>
      </c>
      <c r="EI4" s="1481">
        <v>440</v>
      </c>
      <c r="EJ4" s="1481">
        <v>440</v>
      </c>
    </row>
    <row r="5" spans="1:140" s="972" customFormat="1" ht="19.5" thickBot="1" x14ac:dyDescent="0.3">
      <c r="A5" s="1483"/>
      <c r="B5" s="1484"/>
      <c r="C5" s="1484"/>
      <c r="D5" s="1484"/>
      <c r="E5" s="1484"/>
      <c r="F5" s="1484"/>
      <c r="G5" s="1484"/>
      <c r="H5" s="1484"/>
      <c r="I5" s="1484"/>
      <c r="J5" s="1484"/>
      <c r="K5" s="1484"/>
      <c r="L5" s="1484"/>
      <c r="M5" s="1484"/>
      <c r="N5" s="1484"/>
      <c r="O5" s="1484"/>
      <c r="P5" s="1484"/>
      <c r="Q5" s="1484"/>
      <c r="R5" s="1484"/>
      <c r="S5" s="1484"/>
      <c r="T5" s="1484"/>
      <c r="U5" s="1484"/>
      <c r="V5" s="1484"/>
      <c r="W5" s="1484"/>
      <c r="X5" s="1484"/>
      <c r="Y5" s="1484"/>
      <c r="Z5" s="1484"/>
      <c r="AA5" s="1484"/>
      <c r="AB5" s="1484"/>
      <c r="AC5" s="1484"/>
      <c r="AD5" s="1484"/>
      <c r="AE5" s="1484"/>
      <c r="AF5" s="1484"/>
      <c r="AG5" s="1484"/>
      <c r="AH5" s="1484"/>
      <c r="AI5" s="1484"/>
      <c r="AJ5" s="1484"/>
      <c r="AK5" s="1484"/>
      <c r="AL5" s="1484"/>
      <c r="AM5" s="1484"/>
      <c r="AN5" s="1484"/>
      <c r="AO5" s="1484"/>
      <c r="AP5" s="1484"/>
      <c r="AQ5" s="1484"/>
      <c r="AR5" s="1485"/>
      <c r="AS5" s="1485"/>
      <c r="AT5" s="1485"/>
      <c r="AU5" s="1485"/>
      <c r="AV5" s="1485"/>
      <c r="AW5" s="1485"/>
      <c r="AX5" s="1485"/>
      <c r="AY5" s="1485"/>
      <c r="AZ5" s="1486"/>
      <c r="BA5" s="1486"/>
      <c r="BB5" s="1486"/>
      <c r="BC5" s="1486"/>
      <c r="BD5" s="1486"/>
      <c r="BE5" s="1486"/>
      <c r="BF5" s="1486"/>
      <c r="BG5" s="1485"/>
      <c r="BH5" s="1487"/>
      <c r="BI5" s="1487"/>
      <c r="BJ5" s="1487"/>
      <c r="BK5" s="1487"/>
      <c r="BL5" s="1487"/>
      <c r="BM5" s="1487"/>
      <c r="BN5" s="1487"/>
      <c r="BO5" s="1487"/>
      <c r="BP5" s="1487"/>
      <c r="BQ5" s="1487"/>
      <c r="BR5" s="1485"/>
      <c r="BS5" s="1485"/>
      <c r="BT5" s="1488"/>
      <c r="BU5" s="1488"/>
      <c r="BV5" s="1488"/>
      <c r="BW5" s="1489"/>
      <c r="BX5" s="1489"/>
      <c r="BY5" s="1489"/>
      <c r="BZ5" s="1489"/>
      <c r="CA5" s="1490"/>
      <c r="CB5" s="1489"/>
      <c r="CC5" s="1489"/>
      <c r="CD5" s="1491"/>
      <c r="CE5" s="1491"/>
      <c r="CF5" s="1492"/>
      <c r="CG5" s="1488"/>
      <c r="CH5" s="1488"/>
      <c r="CI5" s="1493"/>
      <c r="CJ5" s="1488"/>
      <c r="CK5" s="1488"/>
      <c r="CL5" s="1488"/>
      <c r="CM5" s="1488"/>
      <c r="CN5" s="1488"/>
      <c r="CO5" s="1488"/>
      <c r="CP5" s="1488"/>
      <c r="CQ5" s="1488"/>
      <c r="CR5" s="1488"/>
      <c r="CS5" s="1488"/>
      <c r="CT5" s="1488"/>
      <c r="CU5" s="1488"/>
      <c r="CV5" s="1494"/>
      <c r="CW5" s="1494"/>
      <c r="CX5" s="1494"/>
      <c r="CY5" s="1494"/>
      <c r="CZ5" s="1494"/>
      <c r="DA5" s="1494"/>
      <c r="DB5" s="1494"/>
      <c r="DC5" s="1494"/>
      <c r="DD5" s="1494"/>
      <c r="DE5" s="1494"/>
      <c r="DF5" s="1494"/>
      <c r="DG5" s="1494"/>
      <c r="DH5" s="1494"/>
      <c r="DI5" s="1494"/>
      <c r="DJ5" s="1494"/>
      <c r="DK5" s="1494"/>
      <c r="DL5" s="1494"/>
      <c r="DM5" s="1494"/>
      <c r="DN5" s="1494"/>
      <c r="DO5" s="1494"/>
      <c r="DP5" s="1494"/>
      <c r="DQ5" s="1494"/>
      <c r="DR5" s="1494"/>
      <c r="DS5" s="1494"/>
      <c r="DT5" s="1494"/>
      <c r="DU5" s="1494"/>
      <c r="DV5" s="1494"/>
      <c r="DW5" s="1494"/>
      <c r="DX5" s="1494"/>
      <c r="DY5" s="1494"/>
      <c r="DZ5" s="1494"/>
      <c r="EA5" s="1494"/>
      <c r="EB5" s="1494"/>
      <c r="EC5" s="1494"/>
      <c r="ED5" s="1494"/>
      <c r="EE5" s="1494"/>
      <c r="EF5" s="1494"/>
      <c r="EG5" s="1494"/>
      <c r="EH5" s="1494"/>
      <c r="EI5" s="1494"/>
      <c r="EJ5" s="1494"/>
    </row>
    <row r="6" spans="1:140" s="1482" customFormat="1" ht="19.5" thickTop="1" x14ac:dyDescent="0.25">
      <c r="A6" s="1469" t="s">
        <v>1020</v>
      </c>
      <c r="B6" s="1470">
        <v>4736872</v>
      </c>
      <c r="C6" s="1470">
        <v>4319467</v>
      </c>
      <c r="D6" s="1470">
        <v>4841422</v>
      </c>
      <c r="E6" s="1470">
        <v>4758541</v>
      </c>
      <c r="F6" s="1470">
        <v>4845776</v>
      </c>
      <c r="G6" s="1470">
        <v>4496701</v>
      </c>
      <c r="H6" s="1470">
        <v>4733299</v>
      </c>
      <c r="I6" s="1470">
        <v>4753864</v>
      </c>
      <c r="J6" s="1470">
        <v>4589854</v>
      </c>
      <c r="K6" s="1470">
        <v>5016549</v>
      </c>
      <c r="L6" s="1470">
        <v>4831238</v>
      </c>
      <c r="M6" s="1470">
        <v>6407067</v>
      </c>
      <c r="N6" s="1470">
        <v>4875444</v>
      </c>
      <c r="O6" s="1470">
        <v>4576070</v>
      </c>
      <c r="P6" s="1470">
        <v>5159362</v>
      </c>
      <c r="Q6" s="1470">
        <v>5247975</v>
      </c>
      <c r="R6" s="1470">
        <v>4677566</v>
      </c>
      <c r="S6" s="1470">
        <v>5215652</v>
      </c>
      <c r="T6" s="1470">
        <v>5146740</v>
      </c>
      <c r="U6" s="1470">
        <v>4946438</v>
      </c>
      <c r="V6" s="1470">
        <v>5139787</v>
      </c>
      <c r="W6" s="1470">
        <v>5093468</v>
      </c>
      <c r="X6" s="1470">
        <v>6796552</v>
      </c>
      <c r="Y6" s="1470">
        <v>5089885</v>
      </c>
      <c r="Z6" s="1470">
        <v>4795824</v>
      </c>
      <c r="AA6" s="1470">
        <v>5439117</v>
      </c>
      <c r="AB6" s="1470">
        <v>5556138</v>
      </c>
      <c r="AC6" s="1470">
        <v>5635041</v>
      </c>
      <c r="AD6" s="1470">
        <v>5320280</v>
      </c>
      <c r="AE6" s="1470">
        <v>5507836</v>
      </c>
      <c r="AF6" s="1470">
        <v>5233474</v>
      </c>
      <c r="AG6" s="1470">
        <v>5283765</v>
      </c>
      <c r="AH6" s="1470">
        <v>5542287</v>
      </c>
      <c r="AI6" s="1470">
        <v>5430649</v>
      </c>
      <c r="AJ6" s="1470">
        <v>7185702</v>
      </c>
      <c r="AK6" s="1470">
        <v>5576038</v>
      </c>
      <c r="AL6" s="1470">
        <v>5217581</v>
      </c>
      <c r="AM6" s="1470">
        <v>5980306</v>
      </c>
      <c r="AN6" s="1470">
        <v>5385116</v>
      </c>
      <c r="AO6" s="1470">
        <v>5476327</v>
      </c>
      <c r="AP6" s="1470">
        <v>5381144</v>
      </c>
      <c r="AQ6" s="1470">
        <v>5583771</v>
      </c>
      <c r="AR6" s="1471">
        <v>5722712</v>
      </c>
      <c r="AS6" s="1471">
        <v>5278224</v>
      </c>
      <c r="AT6" s="1471">
        <v>5641964</v>
      </c>
      <c r="AU6" s="1471">
        <v>5639078</v>
      </c>
      <c r="AV6" s="1471">
        <v>7340347</v>
      </c>
      <c r="AW6" s="1471">
        <v>5541738</v>
      </c>
      <c r="AX6" s="1471">
        <v>5436047</v>
      </c>
      <c r="AY6" s="1471">
        <v>5734387</v>
      </c>
      <c r="AZ6" s="1472">
        <v>5520603</v>
      </c>
      <c r="BA6" s="1472">
        <v>6001113</v>
      </c>
      <c r="BB6" s="1472">
        <v>5408488</v>
      </c>
      <c r="BC6" s="1472">
        <v>5762671</v>
      </c>
      <c r="BD6" s="1472">
        <v>6034651</v>
      </c>
      <c r="BE6" s="1472">
        <v>5574065</v>
      </c>
      <c r="BF6" s="1472">
        <v>6189540</v>
      </c>
      <c r="BG6" s="1472">
        <v>5990000</v>
      </c>
      <c r="BH6" s="1471">
        <v>8031505</v>
      </c>
      <c r="BI6" s="1471">
        <v>6197949</v>
      </c>
      <c r="BJ6" s="1471">
        <v>5467258</v>
      </c>
      <c r="BK6" s="1471">
        <v>6180864</v>
      </c>
      <c r="BL6" s="1471">
        <v>5874355</v>
      </c>
      <c r="BM6" s="1471">
        <v>6477234</v>
      </c>
      <c r="BN6" s="1471">
        <v>5857453</v>
      </c>
      <c r="BO6" s="1471">
        <v>6305140</v>
      </c>
      <c r="BP6" s="1471">
        <f>6311254+66962</f>
        <v>6378216</v>
      </c>
      <c r="BQ6" s="1471">
        <f>5993041+63646</f>
        <v>6056687</v>
      </c>
      <c r="BR6" s="1495">
        <f>6686559+67856</f>
        <v>6754415</v>
      </c>
      <c r="BS6" s="1495">
        <f>6303813+64631</f>
        <v>6368444</v>
      </c>
      <c r="BT6" s="1496">
        <f>8120753+61058</f>
        <v>8181811</v>
      </c>
      <c r="BU6" s="1496">
        <f>6325431+57694</f>
        <v>6383125</v>
      </c>
      <c r="BV6" s="1496">
        <f>6052667+56966</f>
        <v>6109633</v>
      </c>
      <c r="BW6" s="1497">
        <f>6916473+63218</f>
        <v>6979691</v>
      </c>
      <c r="BX6" s="1497">
        <f>6719069+62125</f>
        <v>6781194</v>
      </c>
      <c r="BY6" s="1497">
        <f>7105494+64660</f>
        <v>7170154</v>
      </c>
      <c r="BZ6" s="1497">
        <f>6197143+59202</f>
        <v>6256345</v>
      </c>
      <c r="CA6" s="1498">
        <f>7027972+64483</f>
        <v>7092455</v>
      </c>
      <c r="CB6" s="1497">
        <v>6979838</v>
      </c>
      <c r="CC6" s="1499">
        <v>6511710</v>
      </c>
      <c r="CD6" s="1500">
        <v>7300253</v>
      </c>
      <c r="CE6" s="1500">
        <v>6950183</v>
      </c>
      <c r="CF6" s="1501">
        <v>8741586</v>
      </c>
      <c r="CG6" s="1502">
        <v>6933706</v>
      </c>
      <c r="CH6" s="1502">
        <v>6547750</v>
      </c>
      <c r="CI6" s="1503">
        <v>7382070</v>
      </c>
      <c r="CJ6" s="1502">
        <v>7541784</v>
      </c>
      <c r="CK6" s="1502">
        <v>7489177</v>
      </c>
      <c r="CL6" s="1502">
        <v>6826339</v>
      </c>
      <c r="CM6" s="1502">
        <v>7573108</v>
      </c>
      <c r="CN6" s="1502">
        <v>7493801</v>
      </c>
      <c r="CO6" s="1502">
        <v>7230248</v>
      </c>
      <c r="CP6" s="1502">
        <v>7884889</v>
      </c>
      <c r="CQ6" s="1502">
        <v>7291162</v>
      </c>
      <c r="CR6" s="1502">
        <v>9844856</v>
      </c>
      <c r="CS6" s="1502">
        <v>7816420</v>
      </c>
      <c r="CT6" s="1502">
        <v>7442364</v>
      </c>
      <c r="CU6" s="1502">
        <v>6161186</v>
      </c>
      <c r="CV6" s="1504">
        <v>3476151</v>
      </c>
      <c r="CW6" s="1504">
        <v>4918106</v>
      </c>
      <c r="CX6" s="1504">
        <v>7209048</v>
      </c>
      <c r="CY6" s="1504">
        <v>7512766</v>
      </c>
      <c r="CZ6" s="1504">
        <v>7698972</v>
      </c>
      <c r="DA6" s="1504">
        <v>7498068</v>
      </c>
      <c r="DB6" s="1504">
        <v>7944895</v>
      </c>
      <c r="DC6" s="1504">
        <v>7996753</v>
      </c>
      <c r="DD6" s="1504">
        <v>10479089</v>
      </c>
      <c r="DE6" s="1504">
        <v>7580807</v>
      </c>
      <c r="DF6" s="1504">
        <v>7574366</v>
      </c>
      <c r="DG6" s="1504">
        <v>6141863</v>
      </c>
      <c r="DH6" s="1504">
        <v>6034299</v>
      </c>
      <c r="DI6" s="1504">
        <v>8229121</v>
      </c>
      <c r="DJ6" s="1504">
        <v>7636198</v>
      </c>
      <c r="DK6" s="1504">
        <v>8219719</v>
      </c>
      <c r="DL6" s="1504">
        <v>8533111</v>
      </c>
      <c r="DM6" s="1481">
        <v>8227080</v>
      </c>
      <c r="DN6" s="1481">
        <v>8832962</v>
      </c>
      <c r="DO6" s="1481">
        <v>9124192</v>
      </c>
      <c r="DP6" s="1481">
        <v>11445777</v>
      </c>
      <c r="DQ6" s="1481">
        <v>8933304</v>
      </c>
      <c r="DR6" s="1481">
        <v>8033854</v>
      </c>
      <c r="DS6" s="1481">
        <v>9472740</v>
      </c>
      <c r="DT6" s="1481">
        <v>8936973</v>
      </c>
      <c r="DU6" s="1481">
        <v>9911230</v>
      </c>
      <c r="DV6" s="1481">
        <v>9203444</v>
      </c>
      <c r="DW6" s="1481">
        <v>9201531</v>
      </c>
      <c r="DX6" s="1481">
        <v>10403312</v>
      </c>
      <c r="DY6" s="1481">
        <v>9749477</v>
      </c>
      <c r="DZ6" s="1481">
        <v>10808319</v>
      </c>
      <c r="EA6" s="1481">
        <v>10588925</v>
      </c>
      <c r="EB6" s="1481">
        <v>13073319</v>
      </c>
      <c r="EC6" s="1481">
        <v>10310571</v>
      </c>
      <c r="ED6" s="1481">
        <v>9541962</v>
      </c>
      <c r="EE6" s="1481">
        <v>10848370</v>
      </c>
      <c r="EF6" s="1481">
        <v>10593186</v>
      </c>
      <c r="EG6" s="1481">
        <v>11665899</v>
      </c>
      <c r="EH6" s="1481">
        <v>10454613</v>
      </c>
      <c r="EI6" s="1481">
        <v>11462453</v>
      </c>
      <c r="EJ6" s="1481">
        <v>11661946</v>
      </c>
    </row>
    <row r="7" spans="1:140" s="1513" customFormat="1" x14ac:dyDescent="0.25">
      <c r="A7" s="1469" t="s">
        <v>1021</v>
      </c>
      <c r="B7" s="1505">
        <v>9717.9310000000005</v>
      </c>
      <c r="C7" s="1505">
        <v>8695.5310000000009</v>
      </c>
      <c r="D7" s="1505">
        <v>9537</v>
      </c>
      <c r="E7" s="1505">
        <v>9328.3799999999992</v>
      </c>
      <c r="F7" s="1505">
        <v>9365.3790000000008</v>
      </c>
      <c r="G7" s="1505">
        <v>8566.6859999999997</v>
      </c>
      <c r="H7" s="1505">
        <v>9187.1509999999998</v>
      </c>
      <c r="I7" s="1505">
        <v>9327.4629999999997</v>
      </c>
      <c r="J7" s="1505">
        <v>8899.0619999999999</v>
      </c>
      <c r="K7" s="1505">
        <v>10019.85</v>
      </c>
      <c r="L7" s="1505">
        <v>9953.0740000000005</v>
      </c>
      <c r="M7" s="1505">
        <v>14412.458000000001</v>
      </c>
      <c r="N7" s="1505">
        <v>10301.35</v>
      </c>
      <c r="O7" s="1505">
        <v>9300.4850000000006</v>
      </c>
      <c r="P7" s="1505">
        <v>10679.24</v>
      </c>
      <c r="Q7" s="1505">
        <v>11267.702789999999</v>
      </c>
      <c r="R7" s="1505">
        <v>9276.9660000000003</v>
      </c>
      <c r="S7" s="1505">
        <v>10612.598168220002</v>
      </c>
      <c r="T7" s="1505">
        <v>10549.572</v>
      </c>
      <c r="U7" s="1505">
        <v>9942</v>
      </c>
      <c r="V7" s="1505">
        <v>10729.645</v>
      </c>
      <c r="W7" s="1505">
        <v>10840.106</v>
      </c>
      <c r="X7" s="1505">
        <v>15747.023999999999</v>
      </c>
      <c r="Y7" s="1505">
        <v>11116.937</v>
      </c>
      <c r="Z7" s="1505">
        <v>12597.385472538999</v>
      </c>
      <c r="AA7" s="1505">
        <v>11425</v>
      </c>
      <c r="AB7" s="1505">
        <v>11616.532999999999</v>
      </c>
      <c r="AC7" s="1505">
        <v>11411.8463010512</v>
      </c>
      <c r="AD7" s="1505">
        <v>10729.509122245256</v>
      </c>
      <c r="AE7" s="1505">
        <v>11263.006257917899</v>
      </c>
      <c r="AF7" s="1505">
        <v>10996.251</v>
      </c>
      <c r="AG7" s="1505">
        <v>10655</v>
      </c>
      <c r="AH7" s="1505">
        <v>11325.603999999999</v>
      </c>
      <c r="AI7" s="1505">
        <v>11628.968000000001</v>
      </c>
      <c r="AJ7" s="1505">
        <v>17038.289164287296</v>
      </c>
      <c r="AK7" s="1505">
        <v>11990.63</v>
      </c>
      <c r="AL7" s="1505">
        <v>11039</v>
      </c>
      <c r="AM7" s="1505">
        <v>12689.204079463199</v>
      </c>
      <c r="AN7" s="1505">
        <v>11416</v>
      </c>
      <c r="AO7" s="1505">
        <v>11568.88887716</v>
      </c>
      <c r="AP7" s="1505">
        <v>11032.510690999999</v>
      </c>
      <c r="AQ7" s="1505">
        <v>11767</v>
      </c>
      <c r="AR7" s="1471">
        <v>12212</v>
      </c>
      <c r="AS7" s="1471">
        <v>10979.015160000001</v>
      </c>
      <c r="AT7" s="1471">
        <v>12170</v>
      </c>
      <c r="AU7" s="1471">
        <v>12319</v>
      </c>
      <c r="AV7" s="1471">
        <v>17686.962684089995</v>
      </c>
      <c r="AW7" s="1471">
        <v>12299.68105725</v>
      </c>
      <c r="AX7" s="1471">
        <v>11863</v>
      </c>
      <c r="AY7" s="1471">
        <v>12300</v>
      </c>
      <c r="AZ7" s="1472">
        <v>12047</v>
      </c>
      <c r="BA7" s="1472">
        <v>12894.22292939</v>
      </c>
      <c r="BB7" s="1472">
        <v>11442</v>
      </c>
      <c r="BC7" s="1472">
        <v>12705.697960490001</v>
      </c>
      <c r="BD7" s="1472">
        <v>13047</v>
      </c>
      <c r="BE7" s="1472">
        <v>11945</v>
      </c>
      <c r="BF7" s="1472">
        <v>13772.597298999999</v>
      </c>
      <c r="BG7" s="1472">
        <v>13412</v>
      </c>
      <c r="BH7" s="1471">
        <v>19581.846663389999</v>
      </c>
      <c r="BI7" s="1471">
        <v>13905</v>
      </c>
      <c r="BJ7" s="1471">
        <v>12044.143946</v>
      </c>
      <c r="BK7" s="1471">
        <v>13521</v>
      </c>
      <c r="BL7" s="1471">
        <v>12691.390219000001</v>
      </c>
      <c r="BM7" s="1471">
        <v>13828</v>
      </c>
      <c r="BN7" s="1471">
        <v>12433.66978</v>
      </c>
      <c r="BO7" s="1471">
        <v>13739</v>
      </c>
      <c r="BP7" s="1471">
        <f>13727+105</f>
        <v>13832</v>
      </c>
      <c r="BQ7" s="1471">
        <f>12820+108</f>
        <v>12928</v>
      </c>
      <c r="BR7" s="1471">
        <f>14708+111</f>
        <v>14819</v>
      </c>
      <c r="BS7" s="1471">
        <f>14231+106</f>
        <v>14337</v>
      </c>
      <c r="BT7" s="1474">
        <f>19548+112</f>
        <v>19660</v>
      </c>
      <c r="BU7" s="1474">
        <f>13990+95</f>
        <v>14085</v>
      </c>
      <c r="BV7" s="1474">
        <f>13355+98</f>
        <v>13453</v>
      </c>
      <c r="BW7" s="1475">
        <f>15237+109</f>
        <v>15346</v>
      </c>
      <c r="BX7" s="1475">
        <f>14669+107</f>
        <v>14776</v>
      </c>
      <c r="BY7" s="1475">
        <f>15065+111</f>
        <v>15176</v>
      </c>
      <c r="BZ7" s="1506">
        <f>13173+113</f>
        <v>13286</v>
      </c>
      <c r="CA7" s="1475">
        <f>15250+101</f>
        <v>15351</v>
      </c>
      <c r="CB7" s="1475">
        <v>15464</v>
      </c>
      <c r="CC7" s="1507">
        <v>13939.955345520002</v>
      </c>
      <c r="CD7" s="1508">
        <v>16100.230820569999</v>
      </c>
      <c r="CE7" s="1508">
        <v>15625.218124000001</v>
      </c>
      <c r="CF7" s="1509">
        <v>20245.2136058</v>
      </c>
      <c r="CG7" s="1510">
        <v>14985.75747522</v>
      </c>
      <c r="CH7" s="1510">
        <v>14321.07014962</v>
      </c>
      <c r="CI7" s="1511">
        <v>15859.207719</v>
      </c>
      <c r="CJ7" s="1510">
        <v>16597.99111662</v>
      </c>
      <c r="CK7" s="1510">
        <v>16490</v>
      </c>
      <c r="CL7" s="1510">
        <v>14988</v>
      </c>
      <c r="CM7" s="1510">
        <v>16605.33842344</v>
      </c>
      <c r="CN7" s="1510">
        <v>17028</v>
      </c>
      <c r="CO7" s="1510">
        <v>15798</v>
      </c>
      <c r="CP7" s="1510">
        <v>17735</v>
      </c>
      <c r="CQ7" s="1510">
        <v>16416</v>
      </c>
      <c r="CR7" s="1510">
        <v>24501</v>
      </c>
      <c r="CS7" s="1510">
        <v>17953</v>
      </c>
      <c r="CT7" s="1510">
        <v>16778.473102507</v>
      </c>
      <c r="CU7" s="1510">
        <v>13821.229783999999</v>
      </c>
      <c r="CV7" s="1512">
        <v>8216</v>
      </c>
      <c r="CW7" s="1512">
        <v>12148</v>
      </c>
      <c r="CX7" s="1512">
        <v>15959</v>
      </c>
      <c r="CY7" s="1512">
        <v>16871</v>
      </c>
      <c r="CZ7" s="1512">
        <v>16727</v>
      </c>
      <c r="DA7" s="1512">
        <v>15972</v>
      </c>
      <c r="DB7" s="1512">
        <v>17293</v>
      </c>
      <c r="DC7" s="1512">
        <v>17079</v>
      </c>
      <c r="DD7" s="1512">
        <v>24877</v>
      </c>
      <c r="DE7" s="1512">
        <v>15687</v>
      </c>
      <c r="DF7" s="1512">
        <v>15938.779851740001</v>
      </c>
      <c r="DG7" s="1512">
        <v>13945.647660879999</v>
      </c>
      <c r="DH7" s="1512">
        <v>13723.7106331</v>
      </c>
      <c r="DI7" s="1512">
        <v>18400.447380220001</v>
      </c>
      <c r="DJ7" s="1512">
        <v>17149.96368705</v>
      </c>
      <c r="DK7" s="1512">
        <v>18798.336584919998</v>
      </c>
      <c r="DL7" s="1512">
        <v>19152.219512119998</v>
      </c>
      <c r="DM7" s="1512">
        <v>18435.479080000001</v>
      </c>
      <c r="DN7" s="1512">
        <v>21520.303264740003</v>
      </c>
      <c r="DO7" s="1512">
        <v>23256.470315189999</v>
      </c>
      <c r="DP7" s="1512">
        <v>30434.610061060001</v>
      </c>
      <c r="DQ7" s="1512">
        <v>21465.499568589999</v>
      </c>
      <c r="DR7" s="1512">
        <v>19451.957148000001</v>
      </c>
      <c r="DS7" s="1512">
        <v>23356.75309532</v>
      </c>
      <c r="DT7" s="1512">
        <v>23657.439257680002</v>
      </c>
      <c r="DU7" s="1512">
        <v>25154.620369869997</v>
      </c>
      <c r="DV7" s="1512">
        <v>22108.505512159998</v>
      </c>
      <c r="DW7" s="1512">
        <v>22840.467584090002</v>
      </c>
      <c r="DX7" s="1512">
        <v>25303.70893121</v>
      </c>
      <c r="DY7" s="1512">
        <v>23324.3530188</v>
      </c>
      <c r="DZ7" s="1512">
        <v>26369.604922750001</v>
      </c>
      <c r="EA7" s="1512">
        <v>26395.51036027</v>
      </c>
      <c r="EB7" s="1512">
        <v>34816.272382760006</v>
      </c>
      <c r="EC7" s="1512">
        <v>25124.525916909999</v>
      </c>
      <c r="ED7" s="1512">
        <v>23490.911878250001</v>
      </c>
      <c r="EE7" s="1512">
        <v>26937</v>
      </c>
      <c r="EF7" s="1512">
        <v>27013</v>
      </c>
      <c r="EG7" s="1512">
        <v>28925</v>
      </c>
      <c r="EH7" s="1512">
        <v>25495.455536099998</v>
      </c>
      <c r="EI7" s="1512">
        <v>28097.350633419999</v>
      </c>
      <c r="EJ7" s="1512">
        <v>28570.80389707</v>
      </c>
    </row>
    <row r="8" spans="1:140" s="1513" customFormat="1" ht="19.5" thickBot="1" x14ac:dyDescent="0.3">
      <c r="A8" s="1469"/>
      <c r="B8" s="1505"/>
      <c r="C8" s="1505"/>
      <c r="D8" s="1505"/>
      <c r="E8" s="1505"/>
      <c r="F8" s="1505"/>
      <c r="G8" s="1505"/>
      <c r="H8" s="1505"/>
      <c r="I8" s="1505"/>
      <c r="J8" s="1505"/>
      <c r="K8" s="1505"/>
      <c r="L8" s="1505"/>
      <c r="M8" s="1505"/>
      <c r="N8" s="1505"/>
      <c r="O8" s="1505"/>
      <c r="P8" s="1505"/>
      <c r="Q8" s="1505"/>
      <c r="R8" s="1505"/>
      <c r="S8" s="1505"/>
      <c r="T8" s="1505"/>
      <c r="U8" s="1505"/>
      <c r="V8" s="1505"/>
      <c r="W8" s="1505"/>
      <c r="X8" s="1505"/>
      <c r="Y8" s="1505"/>
      <c r="Z8" s="1505"/>
      <c r="AA8" s="1505"/>
      <c r="AB8" s="1505"/>
      <c r="AC8" s="1505"/>
      <c r="AD8" s="1505"/>
      <c r="AE8" s="1505"/>
      <c r="AF8" s="1505"/>
      <c r="AG8" s="1505"/>
      <c r="AH8" s="1505"/>
      <c r="AI8" s="1505"/>
      <c r="AJ8" s="1505"/>
      <c r="AK8" s="1505"/>
      <c r="AL8" s="1505"/>
      <c r="AM8" s="1505"/>
      <c r="AN8" s="1505"/>
      <c r="AO8" s="1505"/>
      <c r="AP8" s="1505"/>
      <c r="AQ8" s="1505"/>
      <c r="AR8" s="1471"/>
      <c r="AS8" s="1471"/>
      <c r="AT8" s="1471"/>
      <c r="AU8" s="1471"/>
      <c r="AV8" s="1471"/>
      <c r="AW8" s="1471"/>
      <c r="AX8" s="1471"/>
      <c r="AY8" s="1471"/>
      <c r="AZ8" s="1472"/>
      <c r="BA8" s="1472"/>
      <c r="BB8" s="1472"/>
      <c r="BC8" s="1472"/>
      <c r="BD8" s="1472"/>
      <c r="BE8" s="1472"/>
      <c r="BF8" s="1472"/>
      <c r="BG8" s="1472"/>
      <c r="BH8" s="1514"/>
      <c r="BI8" s="1514"/>
      <c r="BJ8" s="1514"/>
      <c r="BK8" s="1514"/>
      <c r="BL8" s="1514"/>
      <c r="BM8" s="1514"/>
      <c r="BN8" s="1514"/>
      <c r="BO8" s="1514"/>
      <c r="BP8" s="1514"/>
      <c r="BQ8" s="1514"/>
      <c r="BR8" s="1515"/>
      <c r="BS8" s="1515"/>
      <c r="BT8" s="1516"/>
      <c r="BU8" s="1516"/>
      <c r="BV8" s="1516"/>
      <c r="BW8" s="1517"/>
      <c r="BX8" s="1517"/>
      <c r="BY8" s="1517"/>
      <c r="BZ8" s="1517"/>
      <c r="CA8" s="1518"/>
      <c r="CB8" s="1517"/>
      <c r="CC8" s="1517"/>
      <c r="CD8" s="1519"/>
      <c r="CE8" s="1519"/>
      <c r="CF8" s="1520"/>
      <c r="CG8" s="1516"/>
      <c r="CH8" s="1516"/>
      <c r="CI8" s="1521"/>
      <c r="CJ8" s="1516"/>
      <c r="CK8" s="1516"/>
      <c r="CL8" s="1516"/>
      <c r="CM8" s="1516"/>
      <c r="CN8" s="1516"/>
      <c r="CO8" s="1516"/>
      <c r="CP8" s="1516"/>
      <c r="CQ8" s="1516"/>
      <c r="CR8" s="1516"/>
      <c r="CS8" s="1516"/>
      <c r="CT8" s="1516"/>
      <c r="CU8" s="1516"/>
      <c r="CV8" s="1522"/>
      <c r="CW8" s="1522"/>
      <c r="CX8" s="1522"/>
      <c r="CY8" s="1522"/>
      <c r="CZ8" s="1522"/>
      <c r="DA8" s="1522"/>
      <c r="DB8" s="1522"/>
      <c r="DC8" s="1522"/>
      <c r="DD8" s="1522"/>
      <c r="DE8" s="1522"/>
      <c r="DF8" s="1522"/>
      <c r="DG8" s="1522"/>
      <c r="DH8" s="1522"/>
      <c r="DI8" s="1522"/>
      <c r="DJ8" s="1522"/>
      <c r="DK8" s="1522"/>
      <c r="DL8" s="1522"/>
      <c r="DM8" s="1522"/>
      <c r="DN8" s="1522"/>
      <c r="DO8" s="1522"/>
      <c r="DP8" s="1522"/>
      <c r="DQ8" s="1522"/>
      <c r="DR8" s="1522"/>
      <c r="DS8" s="1522"/>
      <c r="DT8" s="1522"/>
      <c r="DU8" s="1522"/>
      <c r="DV8" s="1522"/>
      <c r="DW8" s="1522"/>
      <c r="DX8" s="1522"/>
      <c r="DY8" s="1522"/>
      <c r="DZ8" s="1522"/>
      <c r="EA8" s="1522"/>
      <c r="EB8" s="1522"/>
      <c r="EC8" s="1522"/>
      <c r="ED8" s="1522"/>
      <c r="EE8" s="1522"/>
      <c r="EF8" s="1522"/>
      <c r="EG8" s="1522"/>
      <c r="EH8" s="1522"/>
      <c r="EI8" s="1522"/>
      <c r="EJ8" s="1522"/>
    </row>
    <row r="9" spans="1:140" s="1482" customFormat="1" ht="19.5" thickTop="1" x14ac:dyDescent="0.25">
      <c r="A9" s="1469" t="s">
        <v>1022</v>
      </c>
      <c r="B9" s="1470"/>
      <c r="C9" s="1470"/>
      <c r="D9" s="1470"/>
      <c r="E9" s="1470"/>
      <c r="F9" s="1470"/>
      <c r="G9" s="1470"/>
      <c r="H9" s="1470"/>
      <c r="I9" s="1470"/>
      <c r="J9" s="1470"/>
      <c r="K9" s="1470"/>
      <c r="L9" s="1470"/>
      <c r="M9" s="1470"/>
      <c r="N9" s="1470"/>
      <c r="O9" s="1470"/>
      <c r="P9" s="1470"/>
      <c r="Q9" s="1470"/>
      <c r="R9" s="1470"/>
      <c r="S9" s="1470"/>
      <c r="T9" s="1470"/>
      <c r="U9" s="1470"/>
      <c r="V9" s="1470"/>
      <c r="W9" s="1470"/>
      <c r="X9" s="1470"/>
      <c r="Y9" s="1470"/>
      <c r="Z9" s="1470"/>
      <c r="AA9" s="1470"/>
      <c r="AB9" s="1470"/>
      <c r="AC9" s="1470"/>
      <c r="AD9" s="1470"/>
      <c r="AE9" s="1470"/>
      <c r="AF9" s="1470"/>
      <c r="AG9" s="1470"/>
      <c r="AH9" s="1470"/>
      <c r="AI9" s="1470"/>
      <c r="AJ9" s="1470"/>
      <c r="AK9" s="1470"/>
      <c r="AL9" s="1470"/>
      <c r="AM9" s="1470"/>
      <c r="AN9" s="1470"/>
      <c r="AO9" s="1470"/>
      <c r="AP9" s="1470"/>
      <c r="AQ9" s="1470"/>
      <c r="AR9" s="1471"/>
      <c r="AS9" s="1471"/>
      <c r="AT9" s="1471"/>
      <c r="AU9" s="1471"/>
      <c r="AV9" s="1471"/>
      <c r="AW9" s="1471"/>
      <c r="AX9" s="1471"/>
      <c r="AY9" s="1471"/>
      <c r="AZ9" s="1472"/>
      <c r="BA9" s="1472"/>
      <c r="BB9" s="1472"/>
      <c r="BC9" s="1472"/>
      <c r="BD9" s="1472"/>
      <c r="BE9" s="1472"/>
      <c r="BF9" s="1472"/>
      <c r="BG9" s="1472"/>
      <c r="BH9" s="1471"/>
      <c r="BI9" s="1471"/>
      <c r="BJ9" s="1471"/>
      <c r="BK9" s="1471"/>
      <c r="BL9" s="1471"/>
      <c r="BM9" s="1471"/>
      <c r="BN9" s="1471"/>
      <c r="BO9" s="1471"/>
      <c r="BP9" s="1471"/>
      <c r="BQ9" s="1471"/>
      <c r="BR9" s="1471"/>
      <c r="BS9" s="1471"/>
      <c r="BT9" s="1474"/>
      <c r="BU9" s="1474"/>
      <c r="BV9" s="1474"/>
      <c r="BW9" s="1475"/>
      <c r="BX9" s="1475"/>
      <c r="BY9" s="1475"/>
      <c r="BZ9" s="1475"/>
      <c r="CA9" s="1475"/>
      <c r="CB9" s="1475"/>
      <c r="CC9" s="1475"/>
      <c r="CD9" s="1476"/>
      <c r="CE9" s="1476"/>
      <c r="CF9" s="1477"/>
      <c r="CG9" s="1474"/>
      <c r="CH9" s="1474"/>
      <c r="CI9" s="1523"/>
      <c r="CJ9" s="1474"/>
      <c r="CK9" s="1474"/>
      <c r="CL9" s="1474"/>
      <c r="CM9" s="1474"/>
      <c r="CN9" s="1474"/>
      <c r="CO9" s="1474"/>
      <c r="CP9" s="1474"/>
      <c r="CQ9" s="1474"/>
      <c r="CR9" s="1474"/>
      <c r="CS9" s="1474"/>
      <c r="CT9" s="1474"/>
      <c r="CU9" s="1474"/>
      <c r="CV9" s="1524"/>
      <c r="CW9" s="1524"/>
      <c r="CX9" s="1524"/>
      <c r="CY9" s="1524"/>
      <c r="CZ9" s="1524"/>
      <c r="DA9" s="1524"/>
      <c r="DB9" s="1524"/>
      <c r="DC9" s="1524"/>
      <c r="DD9" s="1524"/>
      <c r="DE9" s="1524"/>
      <c r="DF9" s="1524"/>
      <c r="DG9" s="1524"/>
      <c r="DH9" s="1524"/>
      <c r="DI9" s="1524"/>
      <c r="DJ9" s="1524"/>
      <c r="DK9" s="1524"/>
      <c r="DL9" s="1524"/>
      <c r="DM9" s="1524"/>
      <c r="DN9" s="1524"/>
      <c r="DO9" s="1524"/>
      <c r="DP9" s="1524"/>
      <c r="DQ9" s="1524"/>
      <c r="DR9" s="1524"/>
      <c r="DS9" s="1524"/>
      <c r="DT9" s="1524"/>
      <c r="DU9" s="1524"/>
      <c r="DV9" s="1524"/>
      <c r="DW9" s="1524"/>
      <c r="DX9" s="1524"/>
      <c r="DY9" s="1524"/>
      <c r="DZ9" s="1524"/>
      <c r="EA9" s="1524"/>
      <c r="EB9" s="1524"/>
      <c r="EC9" s="1524"/>
      <c r="ED9" s="1524"/>
      <c r="EE9" s="1524"/>
      <c r="EF9" s="1524"/>
      <c r="EG9" s="1524"/>
      <c r="EH9" s="1524"/>
      <c r="EI9" s="1524"/>
      <c r="EJ9" s="1524"/>
    </row>
    <row r="10" spans="1:140" s="1513" customFormat="1" x14ac:dyDescent="0.25">
      <c r="A10" s="1469" t="s">
        <v>1023</v>
      </c>
      <c r="B10" s="1505">
        <v>217833</v>
      </c>
      <c r="C10" s="1505">
        <v>218440</v>
      </c>
      <c r="D10" s="1505">
        <v>220363</v>
      </c>
      <c r="E10" s="1505">
        <v>222289</v>
      </c>
      <c r="F10" s="1505">
        <v>223633</v>
      </c>
      <c r="G10" s="1505">
        <v>226293</v>
      </c>
      <c r="H10" s="1505">
        <v>228062</v>
      </c>
      <c r="I10" s="1505">
        <v>230520</v>
      </c>
      <c r="J10" s="1505">
        <v>232313</v>
      </c>
      <c r="K10" s="1505">
        <v>234282</v>
      </c>
      <c r="L10" s="1505">
        <v>236503</v>
      </c>
      <c r="M10" s="1505">
        <v>237812</v>
      </c>
      <c r="N10" s="1505">
        <v>239431</v>
      </c>
      <c r="O10" s="1505">
        <v>240890</v>
      </c>
      <c r="P10" s="1505">
        <v>243148</v>
      </c>
      <c r="Q10" s="1505">
        <v>247861</v>
      </c>
      <c r="R10" s="1505">
        <v>249000</v>
      </c>
      <c r="S10" s="1505">
        <v>248770</v>
      </c>
      <c r="T10" s="1505">
        <v>249862</v>
      </c>
      <c r="U10" s="1505">
        <v>249642</v>
      </c>
      <c r="V10" s="1505">
        <v>250272</v>
      </c>
      <c r="W10" s="1505">
        <v>257682</v>
      </c>
      <c r="X10" s="1505">
        <v>252165</v>
      </c>
      <c r="Y10" s="1505">
        <v>252070</v>
      </c>
      <c r="Z10" s="1505">
        <v>252161</v>
      </c>
      <c r="AA10" s="1505">
        <v>252895</v>
      </c>
      <c r="AB10" s="1505">
        <v>252541</v>
      </c>
      <c r="AC10" s="1505">
        <v>252930</v>
      </c>
      <c r="AD10" s="1505">
        <v>253033</v>
      </c>
      <c r="AE10" s="1505">
        <v>253289</v>
      </c>
      <c r="AF10" s="1505">
        <v>252512</v>
      </c>
      <c r="AG10" s="1505">
        <v>252682</v>
      </c>
      <c r="AH10" s="1505">
        <v>252812</v>
      </c>
      <c r="AI10" s="1505">
        <v>252541</v>
      </c>
      <c r="AJ10" s="1505">
        <v>250726</v>
      </c>
      <c r="AK10" s="1505">
        <v>265937</v>
      </c>
      <c r="AL10" s="1505">
        <v>266358</v>
      </c>
      <c r="AM10" s="1505">
        <v>266642</v>
      </c>
      <c r="AN10" s="1505">
        <v>266410</v>
      </c>
      <c r="AO10" s="1505">
        <v>268626</v>
      </c>
      <c r="AP10" s="1505">
        <v>267241</v>
      </c>
      <c r="AQ10" s="1505">
        <v>268192</v>
      </c>
      <c r="AR10" s="1471">
        <v>269386</v>
      </c>
      <c r="AS10" s="1471">
        <v>268893</v>
      </c>
      <c r="AT10" s="1471">
        <v>265119</v>
      </c>
      <c r="AU10" s="1471">
        <v>265161</v>
      </c>
      <c r="AV10" s="1471">
        <v>268819</v>
      </c>
      <c r="AW10" s="1471">
        <v>265463</v>
      </c>
      <c r="AX10" s="1471">
        <v>265728</v>
      </c>
      <c r="AY10" s="1471">
        <v>266566</v>
      </c>
      <c r="AZ10" s="1472">
        <v>256809</v>
      </c>
      <c r="BA10" s="1472">
        <v>258179</v>
      </c>
      <c r="BB10" s="1472">
        <v>257767</v>
      </c>
      <c r="BC10" s="1472">
        <v>257823</v>
      </c>
      <c r="BD10" s="1472">
        <v>258048</v>
      </c>
      <c r="BE10" s="1472">
        <v>258048</v>
      </c>
      <c r="BF10" s="1472">
        <v>258162</v>
      </c>
      <c r="BG10" s="1472">
        <v>257569</v>
      </c>
      <c r="BH10" s="1471">
        <v>257866</v>
      </c>
      <c r="BI10" s="1471">
        <v>257845</v>
      </c>
      <c r="BJ10" s="1471">
        <v>257514</v>
      </c>
      <c r="BK10" s="1471">
        <v>257969</v>
      </c>
      <c r="BL10" s="1471">
        <v>257460</v>
      </c>
      <c r="BM10" s="1471">
        <v>259008</v>
      </c>
      <c r="BN10" s="1471">
        <v>257833</v>
      </c>
      <c r="BO10" s="1471">
        <v>258194</v>
      </c>
      <c r="BP10" s="1471">
        <f>257036+49609</f>
        <v>306645</v>
      </c>
      <c r="BQ10" s="1471">
        <f>256544+48940</f>
        <v>305484</v>
      </c>
      <c r="BR10" s="1471">
        <f>256745+48383</f>
        <v>305128</v>
      </c>
      <c r="BS10" s="1471">
        <f>256160+47756</f>
        <v>303916</v>
      </c>
      <c r="BT10" s="1474">
        <f>255778+47079</f>
        <v>302857</v>
      </c>
      <c r="BU10" s="1474">
        <f>253668+46487</f>
        <v>300155</v>
      </c>
      <c r="BV10" s="1474">
        <f>255385+46126</f>
        <v>301511</v>
      </c>
      <c r="BW10" s="1475">
        <f>255892+45412</f>
        <v>301304</v>
      </c>
      <c r="BX10" s="1475">
        <f>256179+44943</f>
        <v>301122</v>
      </c>
      <c r="BY10" s="1475">
        <f>256656+44560</f>
        <v>301216</v>
      </c>
      <c r="BZ10" s="1475">
        <f>258056+44133</f>
        <v>302189</v>
      </c>
      <c r="CA10" s="1507">
        <f>259816+43374</f>
        <v>303190</v>
      </c>
      <c r="CB10" s="1507">
        <v>302654</v>
      </c>
      <c r="CC10" s="1507">
        <v>303052</v>
      </c>
      <c r="CD10" s="1508">
        <v>302009</v>
      </c>
      <c r="CE10" s="1508">
        <v>295741</v>
      </c>
      <c r="CF10" s="1509">
        <v>296795</v>
      </c>
      <c r="CG10" s="1510">
        <v>296235</v>
      </c>
      <c r="CH10" s="1510">
        <v>299978</v>
      </c>
      <c r="CI10" s="1511">
        <v>300165</v>
      </c>
      <c r="CJ10" s="1510">
        <v>301152</v>
      </c>
      <c r="CK10" s="1510">
        <v>301585</v>
      </c>
      <c r="CL10" s="1510">
        <v>297330</v>
      </c>
      <c r="CM10" s="1510">
        <v>300645</v>
      </c>
      <c r="CN10" s="1510">
        <v>300739</v>
      </c>
      <c r="CO10" s="1510">
        <v>300175</v>
      </c>
      <c r="CP10" s="1510">
        <v>300776</v>
      </c>
      <c r="CQ10" s="1510">
        <v>298907</v>
      </c>
      <c r="CR10" s="1510">
        <v>298187</v>
      </c>
      <c r="CS10" s="1510">
        <v>297404</v>
      </c>
      <c r="CT10" s="1510">
        <v>297210</v>
      </c>
      <c r="CU10" s="1510">
        <v>260651</v>
      </c>
      <c r="CV10" s="1512">
        <v>265603</v>
      </c>
      <c r="CW10" s="1512">
        <v>265719</v>
      </c>
      <c r="CX10" s="1512">
        <v>265246</v>
      </c>
      <c r="CY10" s="1512">
        <v>266430</v>
      </c>
      <c r="CZ10" s="1512">
        <v>268081</v>
      </c>
      <c r="DA10" s="1512">
        <v>267473</v>
      </c>
      <c r="DB10" s="1512">
        <v>273870</v>
      </c>
      <c r="DC10" s="1512">
        <v>276020</v>
      </c>
      <c r="DD10" s="1512">
        <v>274906</v>
      </c>
      <c r="DE10" s="1512">
        <v>279711</v>
      </c>
      <c r="DF10" s="1512">
        <v>279869</v>
      </c>
      <c r="DG10" s="1512">
        <v>274691</v>
      </c>
      <c r="DH10" s="1512">
        <v>271695</v>
      </c>
      <c r="DI10" s="1512">
        <v>270864</v>
      </c>
      <c r="DJ10" s="1512">
        <v>269875</v>
      </c>
      <c r="DK10" s="1512">
        <v>269082</v>
      </c>
      <c r="DL10" s="1512">
        <v>263667</v>
      </c>
      <c r="DM10" s="1512">
        <v>260166</v>
      </c>
      <c r="DN10" s="1512">
        <v>256757</v>
      </c>
      <c r="DO10" s="1512">
        <v>250453</v>
      </c>
      <c r="DP10" s="1512">
        <v>249213</v>
      </c>
      <c r="DQ10" s="1512">
        <v>248978</v>
      </c>
      <c r="DR10" s="1512">
        <v>247709</v>
      </c>
      <c r="DS10" s="1512">
        <v>246991</v>
      </c>
      <c r="DT10" s="1512">
        <v>246622</v>
      </c>
      <c r="DU10" s="1512">
        <v>245414</v>
      </c>
      <c r="DV10" s="1512">
        <v>236848</v>
      </c>
      <c r="DW10" s="1512">
        <v>236544</v>
      </c>
      <c r="DX10" s="1512">
        <v>237015</v>
      </c>
      <c r="DY10" s="1512">
        <v>237287</v>
      </c>
      <c r="DZ10" s="1512">
        <v>237440</v>
      </c>
      <c r="EA10" s="1512">
        <v>237414</v>
      </c>
      <c r="EB10" s="1512">
        <v>236209</v>
      </c>
      <c r="EC10" s="1512">
        <v>234525</v>
      </c>
      <c r="ED10" s="1512">
        <v>233827</v>
      </c>
      <c r="EE10" s="1512">
        <v>233972</v>
      </c>
      <c r="EF10" s="1512">
        <v>234068</v>
      </c>
      <c r="EG10" s="1512">
        <v>236878</v>
      </c>
      <c r="EH10" s="1512">
        <v>233581</v>
      </c>
      <c r="EI10" s="1512">
        <v>233632</v>
      </c>
      <c r="EJ10" s="1512">
        <v>233614</v>
      </c>
    </row>
    <row r="11" spans="1:140" s="1482" customFormat="1" x14ac:dyDescent="0.25">
      <c r="A11" s="1469" t="s">
        <v>1024</v>
      </c>
      <c r="B11" s="1470">
        <v>1125462</v>
      </c>
      <c r="C11" s="1470">
        <v>1123191</v>
      </c>
      <c r="D11" s="1470">
        <v>1131773</v>
      </c>
      <c r="E11" s="1470">
        <v>1137796</v>
      </c>
      <c r="F11" s="1470">
        <v>1145652</v>
      </c>
      <c r="G11" s="1470">
        <v>1152561</v>
      </c>
      <c r="H11" s="1470">
        <v>1158333</v>
      </c>
      <c r="I11" s="1470">
        <v>1156033</v>
      </c>
      <c r="J11" s="1470">
        <v>1160146</v>
      </c>
      <c r="K11" s="1470">
        <v>1166886</v>
      </c>
      <c r="L11" s="1470">
        <v>1173671</v>
      </c>
      <c r="M11" s="1470">
        <v>1172152</v>
      </c>
      <c r="N11" s="1470">
        <v>1179490</v>
      </c>
      <c r="O11" s="1470">
        <v>1183780</v>
      </c>
      <c r="P11" s="1470">
        <v>1182678</v>
      </c>
      <c r="Q11" s="1470">
        <v>1183040</v>
      </c>
      <c r="R11" s="1470">
        <v>1190074</v>
      </c>
      <c r="S11" s="1470">
        <v>1195802</v>
      </c>
      <c r="T11" s="1470">
        <v>1180108</v>
      </c>
      <c r="U11" s="1470">
        <v>1187521</v>
      </c>
      <c r="V11" s="1470">
        <v>1191561</v>
      </c>
      <c r="W11" s="1470">
        <v>1201494</v>
      </c>
      <c r="X11" s="1470">
        <f>1175622+37972</f>
        <v>1213594</v>
      </c>
      <c r="Y11" s="1470">
        <f>1184810+38424</f>
        <v>1223234</v>
      </c>
      <c r="Z11" s="1470">
        <v>1226926</v>
      </c>
      <c r="AA11" s="1470">
        <v>1236622</v>
      </c>
      <c r="AB11" s="1470">
        <v>1248579</v>
      </c>
      <c r="AC11" s="1470">
        <v>1259241</v>
      </c>
      <c r="AD11" s="1470">
        <v>1271746</v>
      </c>
      <c r="AE11" s="1470">
        <v>1280600</v>
      </c>
      <c r="AF11" s="1470">
        <v>1292888</v>
      </c>
      <c r="AG11" s="1470">
        <v>1303518</v>
      </c>
      <c r="AH11" s="1470">
        <v>1303973</v>
      </c>
      <c r="AI11" s="1470">
        <v>1307517</v>
      </c>
      <c r="AJ11" s="1470">
        <v>1311014</v>
      </c>
      <c r="AK11" s="1470">
        <v>1317748</v>
      </c>
      <c r="AL11" s="1470">
        <v>1306992</v>
      </c>
      <c r="AM11" s="1470">
        <v>1317885</v>
      </c>
      <c r="AN11" s="1470">
        <v>1321883</v>
      </c>
      <c r="AO11" s="1470">
        <v>1332786</v>
      </c>
      <c r="AP11" s="1470">
        <f>1238424+98349</f>
        <v>1336773</v>
      </c>
      <c r="AQ11" s="1470">
        <v>1350469</v>
      </c>
      <c r="AR11" s="1471">
        <v>1350319</v>
      </c>
      <c r="AS11" s="1471">
        <v>1370899</v>
      </c>
      <c r="AT11" s="1471">
        <v>1384618</v>
      </c>
      <c r="AU11" s="1471">
        <v>1395334</v>
      </c>
      <c r="AV11" s="1471">
        <v>1401132</v>
      </c>
      <c r="AW11" s="1471">
        <v>1413190</v>
      </c>
      <c r="AX11" s="1471">
        <v>1429076</v>
      </c>
      <c r="AY11" s="1471">
        <v>1428073</v>
      </c>
      <c r="AZ11" s="1472">
        <v>1400973</v>
      </c>
      <c r="BA11" s="1472">
        <v>1417480</v>
      </c>
      <c r="BB11" s="1472">
        <v>1430146</v>
      </c>
      <c r="BC11" s="1472">
        <v>1436010</v>
      </c>
      <c r="BD11" s="1472">
        <v>1449564</v>
      </c>
      <c r="BE11" s="1472">
        <v>1410072</v>
      </c>
      <c r="BF11" s="1472">
        <v>1416629</v>
      </c>
      <c r="BG11" s="1472">
        <v>1427165</v>
      </c>
      <c r="BH11" s="1471">
        <v>1436119</v>
      </c>
      <c r="BI11" s="1471">
        <v>1446329</v>
      </c>
      <c r="BJ11" s="1471">
        <v>1545809</v>
      </c>
      <c r="BK11" s="1471">
        <v>1549002</v>
      </c>
      <c r="BL11" s="1471">
        <v>1554356</v>
      </c>
      <c r="BM11" s="1471">
        <v>1569785</v>
      </c>
      <c r="BN11" s="1471">
        <v>1560301</v>
      </c>
      <c r="BO11" s="1471">
        <v>1593696</v>
      </c>
      <c r="BP11" s="1525">
        <v>1454997</v>
      </c>
      <c r="BQ11" s="1525">
        <v>1452658</v>
      </c>
      <c r="BR11" s="1525">
        <v>1465265</v>
      </c>
      <c r="BS11" s="1525">
        <v>1448285</v>
      </c>
      <c r="BT11" s="1510">
        <v>1444482</v>
      </c>
      <c r="BU11" s="1510">
        <v>1444867</v>
      </c>
      <c r="BV11" s="1474">
        <v>1439143</v>
      </c>
      <c r="BW11" s="1507">
        <v>1439324</v>
      </c>
      <c r="BX11" s="1507">
        <v>1439132</v>
      </c>
      <c r="BY11" s="1507">
        <v>1448316</v>
      </c>
      <c r="BZ11" s="1475">
        <v>1434389</v>
      </c>
      <c r="CA11" s="1507">
        <v>1437998</v>
      </c>
      <c r="CB11" s="1475">
        <v>1439280</v>
      </c>
      <c r="CC11" s="1507">
        <v>1437030</v>
      </c>
      <c r="CD11" s="1508">
        <v>1442721</v>
      </c>
      <c r="CE11" s="1508">
        <v>1444812</v>
      </c>
      <c r="CF11" s="1509">
        <v>1445700</v>
      </c>
      <c r="CG11" s="1510">
        <v>1415581</v>
      </c>
      <c r="CH11" s="1510">
        <v>1388703</v>
      </c>
      <c r="CI11" s="1511">
        <v>1355320</v>
      </c>
      <c r="CJ11" s="1510">
        <v>1357447</v>
      </c>
      <c r="CK11" s="1510">
        <v>1353605</v>
      </c>
      <c r="CL11" s="1510">
        <v>1340551</v>
      </c>
      <c r="CM11" s="1510">
        <v>1346178</v>
      </c>
      <c r="CN11" s="1510">
        <v>1353407</v>
      </c>
      <c r="CO11" s="1510">
        <v>1371582</v>
      </c>
      <c r="CP11" s="1510">
        <v>1377185</v>
      </c>
      <c r="CQ11" s="1510">
        <v>1381470</v>
      </c>
      <c r="CR11" s="1510">
        <v>1358477</v>
      </c>
      <c r="CS11" s="1510">
        <v>1366508</v>
      </c>
      <c r="CT11" s="1510">
        <v>1374665</v>
      </c>
      <c r="CU11" s="1510">
        <v>1380002</v>
      </c>
      <c r="CV11" s="1512">
        <v>1382211</v>
      </c>
      <c r="CW11" s="1512">
        <v>1388944</v>
      </c>
      <c r="CX11" s="1512">
        <v>1407220</v>
      </c>
      <c r="CY11" s="1512">
        <v>1420257</v>
      </c>
      <c r="CZ11" s="1512">
        <v>1428146</v>
      </c>
      <c r="DA11" s="1512">
        <v>1441318</v>
      </c>
      <c r="DB11" s="1512">
        <v>1451791</v>
      </c>
      <c r="DC11" s="1512">
        <v>1447086</v>
      </c>
      <c r="DD11" s="1512">
        <v>1458516</v>
      </c>
      <c r="DE11" s="1512">
        <v>1467024</v>
      </c>
      <c r="DF11" s="1512">
        <v>1455001</v>
      </c>
      <c r="DG11" s="1512">
        <v>1455302</v>
      </c>
      <c r="DH11" s="1512">
        <v>1465556</v>
      </c>
      <c r="DI11" s="1512">
        <v>1494942</v>
      </c>
      <c r="DJ11" s="1512">
        <v>1499759</v>
      </c>
      <c r="DK11" s="1512">
        <v>1498185</v>
      </c>
      <c r="DL11" s="1512">
        <v>1504064</v>
      </c>
      <c r="DM11" s="1512">
        <v>1514968</v>
      </c>
      <c r="DN11" s="1512">
        <v>1525039</v>
      </c>
      <c r="DO11" s="1512">
        <v>1513256</v>
      </c>
      <c r="DP11" s="1512">
        <v>1522947</v>
      </c>
      <c r="DQ11" s="1512">
        <v>1530175</v>
      </c>
      <c r="DR11" s="1512">
        <v>1535047</v>
      </c>
      <c r="DS11" s="1512">
        <v>1540098</v>
      </c>
      <c r="DT11" s="1512">
        <v>1544459</v>
      </c>
      <c r="DU11" s="1512">
        <v>1553552</v>
      </c>
      <c r="DV11" s="1512">
        <v>1555954</v>
      </c>
      <c r="DW11" s="1512">
        <v>1575010</v>
      </c>
      <c r="DX11" s="1512">
        <v>1587442</v>
      </c>
      <c r="DY11" s="1512">
        <v>1595370</v>
      </c>
      <c r="DZ11" s="1512">
        <v>1603592</v>
      </c>
      <c r="EA11" s="1512">
        <v>1610774</v>
      </c>
      <c r="EB11" s="1512">
        <v>1617945</v>
      </c>
      <c r="EC11" s="1512">
        <v>1622440</v>
      </c>
      <c r="ED11" s="1512">
        <v>1633734</v>
      </c>
      <c r="EE11" s="1512">
        <v>1644467</v>
      </c>
      <c r="EF11" s="1512">
        <v>1651255</v>
      </c>
      <c r="EG11" s="1512">
        <v>1660757</v>
      </c>
      <c r="EH11" s="1512">
        <v>1668604</v>
      </c>
      <c r="EI11" s="1512">
        <v>1646786</v>
      </c>
      <c r="EJ11" s="1512">
        <v>1658098</v>
      </c>
    </row>
    <row r="12" spans="1:140" s="1482" customFormat="1" x14ac:dyDescent="0.25">
      <c r="A12" s="1469" t="s">
        <v>1025</v>
      </c>
      <c r="B12" s="1470"/>
      <c r="C12" s="1470"/>
      <c r="D12" s="1470"/>
      <c r="E12" s="1470"/>
      <c r="F12" s="1470"/>
      <c r="G12" s="1470"/>
      <c r="H12" s="1470"/>
      <c r="I12" s="1470"/>
      <c r="J12" s="1470"/>
      <c r="K12" s="1470"/>
      <c r="L12" s="1470"/>
      <c r="M12" s="1470"/>
      <c r="N12" s="1470"/>
      <c r="O12" s="1470"/>
      <c r="P12" s="1470"/>
      <c r="Q12" s="1470"/>
      <c r="R12" s="1470"/>
      <c r="S12" s="1470"/>
      <c r="T12" s="1470"/>
      <c r="U12" s="1470"/>
      <c r="V12" s="1470"/>
      <c r="W12" s="1470"/>
      <c r="X12" s="1470"/>
      <c r="Y12" s="1470"/>
      <c r="Z12" s="1470"/>
      <c r="AA12" s="1470"/>
      <c r="AB12" s="1470"/>
      <c r="AC12" s="1470"/>
      <c r="AD12" s="1470"/>
      <c r="AE12" s="1470"/>
      <c r="AF12" s="1470"/>
      <c r="AG12" s="1470"/>
      <c r="AH12" s="1470"/>
      <c r="AI12" s="1470"/>
      <c r="AJ12" s="1470"/>
      <c r="AK12" s="1470"/>
      <c r="AL12" s="1470"/>
      <c r="AM12" s="1470"/>
      <c r="AN12" s="1470"/>
      <c r="AO12" s="1470"/>
      <c r="AP12" s="1470"/>
      <c r="AQ12" s="1470"/>
      <c r="AR12" s="1471"/>
      <c r="AS12" s="1471"/>
      <c r="AT12" s="1471"/>
      <c r="AU12" s="1471"/>
      <c r="AV12" s="1471"/>
      <c r="AW12" s="1471"/>
      <c r="AX12" s="1471"/>
      <c r="AY12" s="1471"/>
      <c r="AZ12" s="1472"/>
      <c r="BA12" s="1472"/>
      <c r="BB12" s="1472"/>
      <c r="BC12" s="1472"/>
      <c r="BD12" s="1472"/>
      <c r="BE12" s="1472"/>
      <c r="BF12" s="1472"/>
      <c r="BG12" s="1472"/>
      <c r="BH12" s="1471"/>
      <c r="BI12" s="1471"/>
      <c r="BJ12" s="1471"/>
      <c r="BK12" s="1471"/>
      <c r="BL12" s="1471"/>
      <c r="BM12" s="1471"/>
      <c r="BN12" s="1471"/>
      <c r="BO12" s="1471"/>
      <c r="BP12" s="1525">
        <v>162495</v>
      </c>
      <c r="BQ12" s="1525">
        <v>164522</v>
      </c>
      <c r="BR12" s="1525">
        <v>166226</v>
      </c>
      <c r="BS12" s="1525">
        <v>167610</v>
      </c>
      <c r="BT12" s="1510">
        <v>169656</v>
      </c>
      <c r="BU12" s="1510">
        <v>170435</v>
      </c>
      <c r="BV12" s="1474">
        <v>173754</v>
      </c>
      <c r="BW12" s="1507">
        <v>174552</v>
      </c>
      <c r="BX12" s="1507">
        <v>176426</v>
      </c>
      <c r="BY12" s="1507">
        <v>178112</v>
      </c>
      <c r="BZ12" s="1475">
        <v>177586</v>
      </c>
      <c r="CA12" s="1507">
        <v>179710</v>
      </c>
      <c r="CB12" s="1507">
        <v>179554</v>
      </c>
      <c r="CC12" s="1507">
        <v>173699</v>
      </c>
      <c r="CD12" s="1508">
        <v>174865</v>
      </c>
      <c r="CE12" s="1508">
        <v>177205</v>
      </c>
      <c r="CF12" s="1509">
        <v>180111</v>
      </c>
      <c r="CG12" s="1510">
        <v>181804</v>
      </c>
      <c r="CH12" s="1510">
        <v>182453</v>
      </c>
      <c r="CI12" s="1511">
        <v>184220</v>
      </c>
      <c r="CJ12" s="1510">
        <v>186194</v>
      </c>
      <c r="CK12" s="1510">
        <v>186098</v>
      </c>
      <c r="CL12" s="1510">
        <v>186843</v>
      </c>
      <c r="CM12" s="1510">
        <v>186805</v>
      </c>
      <c r="CN12" s="1510">
        <v>188766</v>
      </c>
      <c r="CO12" s="1510">
        <v>190628</v>
      </c>
      <c r="CP12" s="1510">
        <v>191997</v>
      </c>
      <c r="CQ12" s="1510">
        <v>189977</v>
      </c>
      <c r="CR12" s="1510">
        <v>192035</v>
      </c>
      <c r="CS12" s="1510">
        <v>191255</v>
      </c>
      <c r="CT12" s="1510">
        <v>190229</v>
      </c>
      <c r="CU12" s="1510">
        <v>190226</v>
      </c>
      <c r="CV12" s="1512">
        <v>183406</v>
      </c>
      <c r="CW12" s="1512">
        <v>181565</v>
      </c>
      <c r="CX12" s="1512">
        <v>184691</v>
      </c>
      <c r="CY12" s="1512">
        <v>183886</v>
      </c>
      <c r="CZ12" s="1512">
        <v>181836</v>
      </c>
      <c r="DA12" s="1512">
        <v>180688</v>
      </c>
      <c r="DB12" s="1512">
        <v>169003</v>
      </c>
      <c r="DC12" s="1512">
        <v>160978</v>
      </c>
      <c r="DD12" s="1512">
        <v>158763</v>
      </c>
      <c r="DE12" s="1512">
        <v>152103</v>
      </c>
      <c r="DF12" s="1512">
        <v>151188</v>
      </c>
      <c r="DG12" s="1512">
        <v>143439</v>
      </c>
      <c r="DH12" s="1512">
        <v>143780</v>
      </c>
      <c r="DI12" s="1512">
        <v>142590</v>
      </c>
      <c r="DJ12" s="1512">
        <v>142079</v>
      </c>
      <c r="DK12" s="1512">
        <v>141103</v>
      </c>
      <c r="DL12" s="1512">
        <v>138829</v>
      </c>
      <c r="DM12" s="1512">
        <v>138911</v>
      </c>
      <c r="DN12" s="1512">
        <v>135818</v>
      </c>
      <c r="DO12" s="1512">
        <v>135400</v>
      </c>
      <c r="DP12" s="1512">
        <v>132425</v>
      </c>
      <c r="DQ12" s="1512">
        <v>131149</v>
      </c>
      <c r="DR12" s="1512">
        <v>130753</v>
      </c>
      <c r="DS12" s="1512">
        <v>131154</v>
      </c>
      <c r="DT12" s="1512">
        <v>130883</v>
      </c>
      <c r="DU12" s="1512">
        <v>128410</v>
      </c>
      <c r="DV12" s="1512">
        <v>127755</v>
      </c>
      <c r="DW12" s="1512">
        <v>126740</v>
      </c>
      <c r="DX12" s="1512">
        <v>126056</v>
      </c>
      <c r="DY12" s="1512">
        <v>123407</v>
      </c>
      <c r="DZ12" s="1512">
        <v>121052</v>
      </c>
      <c r="EA12" s="1512">
        <v>120894</v>
      </c>
      <c r="EB12" s="1512">
        <v>118920</v>
      </c>
      <c r="EC12" s="1512">
        <v>116144</v>
      </c>
      <c r="ED12" s="1512">
        <v>115357</v>
      </c>
      <c r="EE12" s="1512">
        <v>112560</v>
      </c>
      <c r="EF12" s="1512">
        <v>113012</v>
      </c>
      <c r="EG12" s="1512">
        <v>111145</v>
      </c>
      <c r="EH12" s="1512">
        <v>110583</v>
      </c>
      <c r="EI12" s="1512">
        <v>109638</v>
      </c>
      <c r="EJ12" s="1512">
        <v>108358</v>
      </c>
    </row>
    <row r="13" spans="1:140" s="1513" customFormat="1" x14ac:dyDescent="0.25">
      <c r="A13" s="1469" t="s">
        <v>657</v>
      </c>
      <c r="B13" s="1505">
        <v>1343295</v>
      </c>
      <c r="C13" s="1505">
        <v>1341631</v>
      </c>
      <c r="D13" s="1505">
        <v>1352136</v>
      </c>
      <c r="E13" s="1505">
        <v>1360085</v>
      </c>
      <c r="F13" s="1505">
        <v>1369285</v>
      </c>
      <c r="G13" s="1505">
        <v>1378854</v>
      </c>
      <c r="H13" s="1505">
        <v>1386395</v>
      </c>
      <c r="I13" s="1505">
        <v>1386553</v>
      </c>
      <c r="J13" s="1505">
        <v>1392459</v>
      </c>
      <c r="K13" s="1505">
        <v>1401168</v>
      </c>
      <c r="L13" s="1505">
        <v>1410174</v>
      </c>
      <c r="M13" s="1505">
        <v>1409964</v>
      </c>
      <c r="N13" s="1505">
        <v>1418921</v>
      </c>
      <c r="O13" s="1505">
        <v>1424670</v>
      </c>
      <c r="P13" s="1505">
        <v>1425826</v>
      </c>
      <c r="Q13" s="1505">
        <v>1430901</v>
      </c>
      <c r="R13" s="1505">
        <v>1439074</v>
      </c>
      <c r="S13" s="1505">
        <v>1444572</v>
      </c>
      <c r="T13" s="1505">
        <v>1429970</v>
      </c>
      <c r="U13" s="1505">
        <v>1437163</v>
      </c>
      <c r="V13" s="1505">
        <v>1441833</v>
      </c>
      <c r="W13" s="1505">
        <v>1459176</v>
      </c>
      <c r="X13" s="1505">
        <f>X10+X11</f>
        <v>1465759</v>
      </c>
      <c r="Y13" s="1505">
        <f>Y10+Y11</f>
        <v>1475304</v>
      </c>
      <c r="Z13" s="1505">
        <v>1479087</v>
      </c>
      <c r="AA13" s="1505">
        <v>1489517</v>
      </c>
      <c r="AB13" s="1505">
        <v>1501120</v>
      </c>
      <c r="AC13" s="1505">
        <v>1512171</v>
      </c>
      <c r="AD13" s="1505">
        <v>1524779</v>
      </c>
      <c r="AE13" s="1505">
        <v>1533889</v>
      </c>
      <c r="AF13" s="1505">
        <v>1545400</v>
      </c>
      <c r="AG13" s="1505">
        <v>1556200</v>
      </c>
      <c r="AH13" s="1505">
        <v>1556785</v>
      </c>
      <c r="AI13" s="1505">
        <v>1560058</v>
      </c>
      <c r="AJ13" s="1505">
        <v>1561740</v>
      </c>
      <c r="AK13" s="1505">
        <v>1583685</v>
      </c>
      <c r="AL13" s="1505">
        <v>1573350</v>
      </c>
      <c r="AM13" s="1505">
        <v>1584527</v>
      </c>
      <c r="AN13" s="1505">
        <v>1588293</v>
      </c>
      <c r="AO13" s="1505">
        <v>1601412</v>
      </c>
      <c r="AP13" s="1505">
        <f>AP10+AP11</f>
        <v>1604014</v>
      </c>
      <c r="AQ13" s="1505">
        <v>1618661</v>
      </c>
      <c r="AR13" s="1471">
        <v>1619705</v>
      </c>
      <c r="AS13" s="1471">
        <v>1639792</v>
      </c>
      <c r="AT13" s="1471">
        <v>1649737</v>
      </c>
      <c r="AU13" s="1471">
        <v>1660495</v>
      </c>
      <c r="AV13" s="1471">
        <v>1669951</v>
      </c>
      <c r="AW13" s="1471">
        <v>1678653</v>
      </c>
      <c r="AX13" s="1471">
        <v>1694804</v>
      </c>
      <c r="AY13" s="1471">
        <v>1694639</v>
      </c>
      <c r="AZ13" s="1472">
        <v>1657782</v>
      </c>
      <c r="BA13" s="1472">
        <v>1675659</v>
      </c>
      <c r="BB13" s="1472">
        <v>1687913</v>
      </c>
      <c r="BC13" s="1472">
        <v>1693833</v>
      </c>
      <c r="BD13" s="1472">
        <v>1707612</v>
      </c>
      <c r="BE13" s="1472">
        <v>1668120</v>
      </c>
      <c r="BF13" s="1472">
        <v>1674791</v>
      </c>
      <c r="BG13" s="1472">
        <v>1684734</v>
      </c>
      <c r="BH13" s="1471">
        <v>1693985</v>
      </c>
      <c r="BI13" s="1471">
        <v>1704174</v>
      </c>
      <c r="BJ13" s="1471">
        <f>BJ10+BJ11</f>
        <v>1803323</v>
      </c>
      <c r="BK13" s="1471">
        <v>1806971</v>
      </c>
      <c r="BL13" s="1471">
        <v>1811816</v>
      </c>
      <c r="BM13" s="1471">
        <v>1828793</v>
      </c>
      <c r="BN13" s="1471">
        <v>1818134</v>
      </c>
      <c r="BO13" s="1471">
        <v>1851890</v>
      </c>
      <c r="BP13" s="1471">
        <f>1874528+49609</f>
        <v>1924137</v>
      </c>
      <c r="BQ13" s="1471">
        <f>1873724+48940</f>
        <v>1922664</v>
      </c>
      <c r="BR13" s="1471">
        <f>1888236+48383</f>
        <v>1936619</v>
      </c>
      <c r="BS13" s="1471">
        <f>1872055+47756</f>
        <v>1919811</v>
      </c>
      <c r="BT13" s="1474">
        <f>1869916+47079</f>
        <v>1916995</v>
      </c>
      <c r="BU13" s="1474">
        <f>1868970+46487</f>
        <v>1915457</v>
      </c>
      <c r="BV13" s="1474">
        <f>1868282+46126</f>
        <v>1914408</v>
      </c>
      <c r="BW13" s="1475">
        <f>1869768+45412</f>
        <v>1915180</v>
      </c>
      <c r="BX13" s="1475">
        <f>1871737+44943</f>
        <v>1916680</v>
      </c>
      <c r="BY13" s="1475">
        <f>1883084+44560</f>
        <v>1927644</v>
      </c>
      <c r="BZ13" s="1475">
        <v>1914164</v>
      </c>
      <c r="CA13" s="1506">
        <v>1920898</v>
      </c>
      <c r="CB13" s="1475">
        <v>1921488</v>
      </c>
      <c r="CC13" s="1507">
        <v>1913781</v>
      </c>
      <c r="CD13" s="1508">
        <v>1919595</v>
      </c>
      <c r="CE13" s="1508">
        <v>1917758</v>
      </c>
      <c r="CF13" s="1509">
        <v>1922606</v>
      </c>
      <c r="CG13" s="1510">
        <v>1893620</v>
      </c>
      <c r="CH13" s="1510">
        <v>1871134</v>
      </c>
      <c r="CI13" s="1511">
        <v>1839705</v>
      </c>
      <c r="CJ13" s="1510">
        <v>1844793</v>
      </c>
      <c r="CK13" s="1510">
        <v>1841288</v>
      </c>
      <c r="CL13" s="1510">
        <v>1824724</v>
      </c>
      <c r="CM13" s="1510">
        <v>1833628</v>
      </c>
      <c r="CN13" s="1510">
        <v>1842912</v>
      </c>
      <c r="CO13" s="1510">
        <v>1862385</v>
      </c>
      <c r="CP13" s="1510">
        <v>1869958</v>
      </c>
      <c r="CQ13" s="1510">
        <v>1870354</v>
      </c>
      <c r="CR13" s="1510">
        <v>1848699</v>
      </c>
      <c r="CS13" s="1510">
        <v>1855167</v>
      </c>
      <c r="CT13" s="1510">
        <v>1862104</v>
      </c>
      <c r="CU13" s="1510">
        <v>1830879</v>
      </c>
      <c r="CV13" s="1512">
        <v>1831220</v>
      </c>
      <c r="CW13" s="1512">
        <v>1836228</v>
      </c>
      <c r="CX13" s="1512">
        <v>1857157</v>
      </c>
      <c r="CY13" s="1512">
        <v>1870573</v>
      </c>
      <c r="CZ13" s="1512">
        <v>1878063</v>
      </c>
      <c r="DA13" s="1512">
        <v>1889479</v>
      </c>
      <c r="DB13" s="1512">
        <v>1894664</v>
      </c>
      <c r="DC13" s="1512">
        <v>1884084</v>
      </c>
      <c r="DD13" s="1512">
        <v>1892185</v>
      </c>
      <c r="DE13" s="1512">
        <v>1898838</v>
      </c>
      <c r="DF13" s="1512">
        <v>1886058</v>
      </c>
      <c r="DG13" s="1512">
        <v>1873432</v>
      </c>
      <c r="DH13" s="1512">
        <v>1881031</v>
      </c>
      <c r="DI13" s="1512">
        <v>1908396</v>
      </c>
      <c r="DJ13" s="1512">
        <v>1911713</v>
      </c>
      <c r="DK13" s="1512">
        <v>1908370</v>
      </c>
      <c r="DL13" s="1512">
        <v>1906560</v>
      </c>
      <c r="DM13" s="1512">
        <v>1914045</v>
      </c>
      <c r="DN13" s="1512">
        <v>1917614</v>
      </c>
      <c r="DO13" s="1512">
        <v>1899109</v>
      </c>
      <c r="DP13" s="1512">
        <v>1904585</v>
      </c>
      <c r="DQ13" s="1512">
        <v>1910302</v>
      </c>
      <c r="DR13" s="1512">
        <v>1913509</v>
      </c>
      <c r="DS13" s="1512">
        <v>1918243</v>
      </c>
      <c r="DT13" s="1512">
        <v>1921964</v>
      </c>
      <c r="DU13" s="1512">
        <v>1927376</v>
      </c>
      <c r="DV13" s="1512">
        <v>1920557</v>
      </c>
      <c r="DW13" s="1512">
        <v>1938294</v>
      </c>
      <c r="DX13" s="1512">
        <v>1950513</v>
      </c>
      <c r="DY13" s="1512">
        <v>1956064</v>
      </c>
      <c r="DZ13" s="1512">
        <v>1962084</v>
      </c>
      <c r="EA13" s="1512">
        <v>1969082</v>
      </c>
      <c r="EB13" s="1512">
        <v>1973074</v>
      </c>
      <c r="EC13" s="1512">
        <v>1973109</v>
      </c>
      <c r="ED13" s="1512">
        <v>1982918</v>
      </c>
      <c r="EE13" s="1512">
        <v>1990999</v>
      </c>
      <c r="EF13" s="1512">
        <v>1998335</v>
      </c>
      <c r="EG13" s="1512">
        <v>2008780</v>
      </c>
      <c r="EH13" s="1512">
        <v>2012768</v>
      </c>
      <c r="EI13" s="1512">
        <v>1990056</v>
      </c>
      <c r="EJ13" s="1512">
        <v>2000070</v>
      </c>
    </row>
    <row r="14" spans="1:140" s="1482" customFormat="1" x14ac:dyDescent="0.25">
      <c r="A14" s="25"/>
      <c r="B14" s="1470"/>
      <c r="C14" s="1470"/>
      <c r="D14" s="1470"/>
      <c r="E14" s="1470"/>
      <c r="F14" s="1470"/>
      <c r="G14" s="1470"/>
      <c r="H14" s="1470"/>
      <c r="I14" s="1470"/>
      <c r="J14" s="1470"/>
      <c r="K14" s="1470"/>
      <c r="L14" s="1470"/>
      <c r="M14" s="1470"/>
      <c r="N14" s="1470"/>
      <c r="O14" s="1470"/>
      <c r="P14" s="1470"/>
      <c r="Q14" s="1470"/>
      <c r="R14" s="1470"/>
      <c r="S14" s="1470"/>
      <c r="T14" s="1470"/>
      <c r="U14" s="1470"/>
      <c r="V14" s="1470"/>
      <c r="W14" s="1470"/>
      <c r="X14" s="1470"/>
      <c r="Y14" s="1470"/>
      <c r="Z14" s="1470"/>
      <c r="AA14" s="1470"/>
      <c r="AB14" s="1470"/>
      <c r="AC14" s="1470"/>
      <c r="AD14" s="1470"/>
      <c r="AE14" s="1470"/>
      <c r="AF14" s="1470"/>
      <c r="AG14" s="1470"/>
      <c r="AH14" s="1470"/>
      <c r="AI14" s="1470"/>
      <c r="AJ14" s="1470"/>
      <c r="AK14" s="1470"/>
      <c r="AL14" s="1470"/>
      <c r="AM14" s="1470"/>
      <c r="AN14" s="1470"/>
      <c r="AO14" s="1470"/>
      <c r="AP14" s="1470"/>
      <c r="AQ14" s="1470"/>
      <c r="AR14" s="1471"/>
      <c r="AS14" s="1471"/>
      <c r="AT14" s="1471"/>
      <c r="AU14" s="1471"/>
      <c r="AV14" s="1471"/>
      <c r="AW14" s="1471"/>
      <c r="AX14" s="1471"/>
      <c r="AY14" s="1471"/>
      <c r="AZ14" s="1472"/>
      <c r="BA14" s="1472"/>
      <c r="BB14" s="1472"/>
      <c r="BC14" s="1472"/>
      <c r="BD14" s="1472"/>
      <c r="BE14" s="1472"/>
      <c r="BF14" s="1473"/>
      <c r="BG14" s="1472"/>
      <c r="BH14" s="1471"/>
      <c r="BI14" s="1471"/>
      <c r="BJ14" s="1471"/>
      <c r="BK14" s="1471"/>
      <c r="BL14" s="1471"/>
      <c r="BM14" s="1471"/>
      <c r="BN14" s="1471"/>
      <c r="BO14" s="1471"/>
      <c r="BP14" s="1471"/>
      <c r="BQ14" s="1471"/>
      <c r="BR14" s="1471"/>
      <c r="BS14" s="1471"/>
      <c r="BT14" s="1474"/>
      <c r="BU14" s="1474"/>
      <c r="BV14" s="1474"/>
      <c r="BW14" s="1475"/>
      <c r="BX14" s="1475"/>
      <c r="BY14" s="1475"/>
      <c r="BZ14" s="1475"/>
      <c r="CA14" s="1475"/>
      <c r="CB14" s="1475"/>
      <c r="CC14" s="1475"/>
      <c r="CD14" s="1476"/>
      <c r="CE14" s="1476"/>
      <c r="CF14" s="1509"/>
      <c r="CG14" s="1510"/>
      <c r="CH14" s="1510"/>
      <c r="CI14" s="1511"/>
      <c r="CJ14" s="1510"/>
      <c r="CK14" s="1510"/>
      <c r="CL14" s="1510"/>
      <c r="CM14" s="1510"/>
      <c r="CN14" s="1510"/>
      <c r="CO14" s="1510"/>
      <c r="CP14" s="1510"/>
      <c r="CQ14" s="1510"/>
      <c r="CR14" s="1510"/>
      <c r="CS14" s="1510"/>
      <c r="CT14" s="1510"/>
      <c r="CU14" s="1510"/>
      <c r="CV14" s="1512"/>
      <c r="CW14" s="1512"/>
      <c r="CX14" s="1512"/>
      <c r="CY14" s="1512"/>
      <c r="CZ14" s="1512"/>
      <c r="DA14" s="1512"/>
      <c r="DB14" s="1512"/>
      <c r="DC14" s="1512"/>
      <c r="DD14" s="1512"/>
      <c r="DE14" s="1512"/>
      <c r="DF14" s="1512"/>
      <c r="DG14" s="1512"/>
      <c r="DH14" s="1512"/>
      <c r="DI14" s="1512"/>
      <c r="DJ14" s="1512"/>
      <c r="DK14" s="1512"/>
      <c r="DL14" s="1512"/>
      <c r="DM14" s="1512"/>
      <c r="DN14" s="1512"/>
      <c r="DO14" s="1512"/>
      <c r="DP14" s="1512"/>
      <c r="DQ14" s="1512"/>
      <c r="DR14" s="1512"/>
      <c r="DS14" s="1512"/>
      <c r="DT14" s="1512"/>
      <c r="DU14" s="1512"/>
      <c r="DV14" s="1512"/>
      <c r="DW14" s="1512"/>
      <c r="DX14" s="1512"/>
      <c r="DY14" s="1512"/>
      <c r="DZ14" s="1512"/>
      <c r="EA14" s="1512"/>
      <c r="EB14" s="1512"/>
      <c r="EC14" s="1512"/>
      <c r="ED14" s="1512"/>
      <c r="EE14" s="1512"/>
      <c r="EF14" s="1512"/>
      <c r="EG14" s="1512"/>
      <c r="EH14" s="1512"/>
      <c r="EI14" s="1512"/>
      <c r="EJ14" s="1512"/>
    </row>
    <row r="15" spans="1:140" s="1513" customFormat="1" x14ac:dyDescent="0.25">
      <c r="A15" s="1469" t="s">
        <v>1026</v>
      </c>
      <c r="B15" s="1505">
        <v>1777.4069999999999</v>
      </c>
      <c r="C15" s="1505">
        <v>1936.1579999999999</v>
      </c>
      <c r="D15" s="1505">
        <v>1783.1</v>
      </c>
      <c r="E15" s="1505">
        <v>1826.7139999999999</v>
      </c>
      <c r="F15" s="1505">
        <v>1802.921</v>
      </c>
      <c r="G15" s="1505">
        <v>2058.0140000000001</v>
      </c>
      <c r="H15" s="1505">
        <v>1840.4</v>
      </c>
      <c r="I15" s="1505">
        <v>1876.7748510900001</v>
      </c>
      <c r="J15" s="1505">
        <v>2145.3510000000001</v>
      </c>
      <c r="K15" s="1505">
        <v>1888.6757088499999</v>
      </c>
      <c r="L15" s="1505">
        <v>1936.9884865000001</v>
      </c>
      <c r="M15" s="1505">
        <v>2030.9</v>
      </c>
      <c r="N15" s="1505">
        <v>1944.5847732499999</v>
      </c>
      <c r="O15" s="1505">
        <v>2204.8490000000002</v>
      </c>
      <c r="P15" s="1505">
        <v>2184</v>
      </c>
      <c r="Q15" s="1505">
        <v>1998.104</v>
      </c>
      <c r="R15" s="1505">
        <v>2287.8440000000001</v>
      </c>
      <c r="S15" s="1505">
        <v>2010.63382864</v>
      </c>
      <c r="T15" s="1505">
        <v>2051.136</v>
      </c>
      <c r="U15" s="1505">
        <v>2096.4110000000001</v>
      </c>
      <c r="V15" s="1505">
        <v>2069.3939999999998</v>
      </c>
      <c r="W15" s="1505">
        <v>2360.2869999999998</v>
      </c>
      <c r="X15" s="1505">
        <v>2150.1</v>
      </c>
      <c r="Y15" s="1505">
        <v>2083.1619999999998</v>
      </c>
      <c r="Z15" s="1505">
        <v>2375.2124715299997</v>
      </c>
      <c r="AA15" s="1505">
        <v>2762.3</v>
      </c>
      <c r="AB15" s="1505">
        <v>2128.5</v>
      </c>
      <c r="AC15" s="1505">
        <v>2127.5531944978407</v>
      </c>
      <c r="AD15" s="1505">
        <v>2183.9802014154002</v>
      </c>
      <c r="AE15" s="1505">
        <v>2170.4123403595731</v>
      </c>
      <c r="AF15" s="1505">
        <v>2511.826</v>
      </c>
      <c r="AG15" s="1505">
        <v>2502.8000000000002</v>
      </c>
      <c r="AH15" s="1505">
        <v>2205.2550000000001</v>
      </c>
      <c r="AI15" s="1505">
        <v>2592.556</v>
      </c>
      <c r="AJ15" s="1505">
        <v>2289.9284545</v>
      </c>
      <c r="AK15" s="1505">
        <v>2207.8710000000001</v>
      </c>
      <c r="AL15" s="1505">
        <v>2604.3139999999999</v>
      </c>
      <c r="AM15" s="1505">
        <v>2217.2256069599998</v>
      </c>
      <c r="AN15" s="1505">
        <v>2234.4</v>
      </c>
      <c r="AO15" s="1505">
        <v>2571.6</v>
      </c>
      <c r="AP15" s="1505">
        <v>2239.1999999999998</v>
      </c>
      <c r="AQ15" s="1505">
        <v>2221.5</v>
      </c>
      <c r="AR15" s="1471">
        <v>2595.4</v>
      </c>
      <c r="AS15" s="1471">
        <v>2286.6660000000002</v>
      </c>
      <c r="AT15" s="1471">
        <v>2282.6999999999998</v>
      </c>
      <c r="AU15" s="1471">
        <v>2340.1999999999998</v>
      </c>
      <c r="AV15" s="1471">
        <v>2392.2612589599999</v>
      </c>
      <c r="AW15" s="1471">
        <v>2750.5519697300001</v>
      </c>
      <c r="AX15" s="1471">
        <v>2666.4</v>
      </c>
      <c r="AY15" s="1471">
        <v>2280.1999999999998</v>
      </c>
      <c r="AZ15" s="1472">
        <v>2735.3</v>
      </c>
      <c r="BA15" s="1472">
        <v>2314.1048989700002</v>
      </c>
      <c r="BB15" s="1472">
        <v>2280</v>
      </c>
      <c r="BC15" s="1472">
        <v>2581.5</v>
      </c>
      <c r="BD15" s="1472">
        <v>2308.8000000000002</v>
      </c>
      <c r="BE15" s="1472">
        <v>2321.5</v>
      </c>
      <c r="BF15" s="1472">
        <v>2358.1169850000001</v>
      </c>
      <c r="BG15" s="1472">
        <v>2449.8000000000002</v>
      </c>
      <c r="BH15" s="1471">
        <v>2485.6527569999998</v>
      </c>
      <c r="BI15" s="1471">
        <v>2396</v>
      </c>
      <c r="BJ15" s="1471">
        <v>2764.0099570000002</v>
      </c>
      <c r="BK15" s="1471">
        <v>2372.6371899999999</v>
      </c>
      <c r="BL15" s="1471">
        <v>2706.1488840000002</v>
      </c>
      <c r="BM15" s="1471">
        <v>2449.113409</v>
      </c>
      <c r="BN15" s="1471">
        <v>2420.4845799999998</v>
      </c>
      <c r="BO15" s="1471">
        <v>2455.3000000000002</v>
      </c>
      <c r="BP15" s="1471">
        <f>2471.9+450</f>
        <v>2921.9</v>
      </c>
      <c r="BQ15" s="1471">
        <f>2773.9+454</f>
        <v>3227.9</v>
      </c>
      <c r="BR15" s="1471">
        <f>2498.08+450</f>
        <v>2948.08</v>
      </c>
      <c r="BS15" s="1471">
        <f>2541.659+454</f>
        <v>2995.6590000000001</v>
      </c>
      <c r="BT15" s="1474">
        <f>2900.8+437</f>
        <v>3337.8</v>
      </c>
      <c r="BU15" s="1474">
        <f>2534+434</f>
        <v>2968</v>
      </c>
      <c r="BV15" s="1526">
        <f>2808+437</f>
        <v>3245</v>
      </c>
      <c r="BW15" s="1475">
        <f>2495+426</f>
        <v>2921</v>
      </c>
      <c r="BX15" s="1475">
        <f>2546+424</f>
        <v>2970</v>
      </c>
      <c r="BY15" s="1506">
        <f>2529+420</f>
        <v>2949</v>
      </c>
      <c r="BZ15" s="1475">
        <f>2821+416</f>
        <v>3237</v>
      </c>
      <c r="CA15" s="1508">
        <v>2930</v>
      </c>
      <c r="CB15" s="1508">
        <v>2944</v>
      </c>
      <c r="CC15" s="1507">
        <v>3301</v>
      </c>
      <c r="CD15" s="1508">
        <v>3007.3960704299998</v>
      </c>
      <c r="CE15" s="1508">
        <v>3055.2706020000001</v>
      </c>
      <c r="CF15" s="1509">
        <v>3014.6622389899999</v>
      </c>
      <c r="CG15" s="1510">
        <v>2959.2752959999998</v>
      </c>
      <c r="CH15" s="1510">
        <v>3259.6727390000001</v>
      </c>
      <c r="CI15" s="1511">
        <v>3295.8086929999999</v>
      </c>
      <c r="CJ15" s="1510">
        <v>3345.7006962800001</v>
      </c>
      <c r="CK15" s="1510">
        <v>3008.96492554</v>
      </c>
      <c r="CL15" s="1510">
        <v>3335.5556470000001</v>
      </c>
      <c r="CM15" s="1510">
        <v>3063.3631915100004</v>
      </c>
      <c r="CN15" s="1510">
        <v>2832</v>
      </c>
      <c r="CO15" s="1510">
        <v>2706</v>
      </c>
      <c r="CP15" s="1510">
        <v>3008</v>
      </c>
      <c r="CQ15" s="1510">
        <v>3385</v>
      </c>
      <c r="CR15" s="1510">
        <v>2992</v>
      </c>
      <c r="CS15" s="1510">
        <v>2913</v>
      </c>
      <c r="CT15" s="1510">
        <v>3124.2837824799999</v>
      </c>
      <c r="CU15" s="1510">
        <v>2159.45455236</v>
      </c>
      <c r="CV15" s="1512">
        <v>2063</v>
      </c>
      <c r="CW15" s="1512">
        <v>2194</v>
      </c>
      <c r="CX15" s="1512">
        <v>2110</v>
      </c>
      <c r="CY15" s="1527">
        <v>2255</v>
      </c>
      <c r="CZ15" s="1512">
        <v>2272</v>
      </c>
      <c r="DA15" s="1512">
        <v>2293</v>
      </c>
      <c r="DB15" s="1512">
        <v>2327</v>
      </c>
      <c r="DC15" s="1512">
        <v>2328</v>
      </c>
      <c r="DD15" s="1512">
        <v>2451</v>
      </c>
      <c r="DE15" s="1512">
        <v>2652</v>
      </c>
      <c r="DF15" s="1512">
        <v>2665.16390813</v>
      </c>
      <c r="DG15" s="1512">
        <v>2148.6159238399996</v>
      </c>
      <c r="DH15" s="1512">
        <v>2158.6222085500003</v>
      </c>
      <c r="DI15" s="1512">
        <v>2248.8313918000003</v>
      </c>
      <c r="DJ15" s="1512">
        <v>2298.0797476099997</v>
      </c>
      <c r="DK15" s="1512">
        <v>2354.6377379099999</v>
      </c>
      <c r="DL15" s="1512">
        <v>2381.33417581</v>
      </c>
      <c r="DM15" s="1512">
        <v>2398.2483654299999</v>
      </c>
      <c r="DN15" s="1512">
        <v>2745.0720761500002</v>
      </c>
      <c r="DO15" s="1512">
        <v>2494</v>
      </c>
      <c r="DP15" s="1512">
        <v>2405.4169675999997</v>
      </c>
      <c r="DQ15" s="1512">
        <v>2315</v>
      </c>
      <c r="DR15" s="1512">
        <v>2589.7563914799994</v>
      </c>
      <c r="DS15" s="1512">
        <v>2382.8563930400001</v>
      </c>
      <c r="DT15" s="1512">
        <v>2686.3684360999996</v>
      </c>
      <c r="DU15" s="1512">
        <v>2454</v>
      </c>
      <c r="DV15" s="1512">
        <v>2510.63570028</v>
      </c>
      <c r="DW15" s="1512">
        <v>2675.8769405900002</v>
      </c>
      <c r="DX15" s="1512">
        <v>2410.9676645999998</v>
      </c>
      <c r="DY15" s="1512">
        <v>2526.6559528599996</v>
      </c>
      <c r="DZ15" s="1512">
        <v>2674.4773491099995</v>
      </c>
      <c r="EA15" s="1512">
        <v>2684.9210991499999</v>
      </c>
      <c r="EB15" s="1512">
        <v>2639.3560423399995</v>
      </c>
      <c r="EC15" s="1512">
        <v>2539.9522574099997</v>
      </c>
      <c r="ED15" s="1512">
        <v>2863.2694841399998</v>
      </c>
      <c r="EE15" s="1512">
        <v>2605</v>
      </c>
      <c r="EF15" s="1512">
        <v>2941</v>
      </c>
      <c r="EG15" s="1512">
        <v>2597</v>
      </c>
      <c r="EH15" s="1512">
        <v>2670.3305660499996</v>
      </c>
      <c r="EI15" s="1512">
        <v>2692.1485514899996</v>
      </c>
      <c r="EJ15" s="1512">
        <v>2730.6972349400003</v>
      </c>
    </row>
    <row r="16" spans="1:140" s="1513" customFormat="1" x14ac:dyDescent="0.25">
      <c r="A16" s="1469" t="s">
        <v>1027</v>
      </c>
      <c r="B16" s="1505"/>
      <c r="C16" s="1505"/>
      <c r="D16" s="1505">
        <v>95</v>
      </c>
      <c r="E16" s="1505"/>
      <c r="F16" s="1505"/>
      <c r="G16" s="1505">
        <v>78.242999999999995</v>
      </c>
      <c r="H16" s="1505"/>
      <c r="I16" s="1505"/>
      <c r="J16" s="1505">
        <v>83.507603654000008</v>
      </c>
      <c r="K16" s="1505"/>
      <c r="L16" s="1505"/>
      <c r="M16" s="1505">
        <v>87.3</v>
      </c>
      <c r="N16" s="1505"/>
      <c r="O16" s="1505"/>
      <c r="P16" s="1505">
        <v>89.837412358800009</v>
      </c>
      <c r="Q16" s="1505"/>
      <c r="R16" s="1505">
        <v>115.1</v>
      </c>
      <c r="S16" s="1505"/>
      <c r="T16" s="1505"/>
      <c r="U16" s="1505">
        <v>117.9</v>
      </c>
      <c r="V16" s="1505"/>
      <c r="W16" s="1505"/>
      <c r="X16" s="1505">
        <v>124.21299999999999</v>
      </c>
      <c r="Y16" s="1505"/>
      <c r="Z16" s="1505"/>
      <c r="AA16" s="1505">
        <v>139.63999999999999</v>
      </c>
      <c r="AB16" s="1505"/>
      <c r="AC16" s="1505"/>
      <c r="AD16" s="1505">
        <v>150.70099999999999</v>
      </c>
      <c r="AE16" s="1505"/>
      <c r="AF16" s="1505"/>
      <c r="AG16" s="1505">
        <v>158.79</v>
      </c>
      <c r="AH16" s="1505"/>
      <c r="AI16" s="1505"/>
      <c r="AJ16" s="1505">
        <v>180.48079826594008</v>
      </c>
      <c r="AK16" s="1505"/>
      <c r="AL16" s="1505"/>
      <c r="AM16" s="1505">
        <v>198.345</v>
      </c>
      <c r="AN16" s="1505"/>
      <c r="AO16" s="1505"/>
      <c r="AP16" s="1505">
        <v>198.8</v>
      </c>
      <c r="AQ16" s="1505"/>
      <c r="AR16" s="1471"/>
      <c r="AS16" s="1471">
        <v>175.7</v>
      </c>
      <c r="AT16" s="1471"/>
      <c r="AU16" s="1471"/>
      <c r="AV16" s="1471">
        <v>202.73486250069999</v>
      </c>
      <c r="AW16" s="1471"/>
      <c r="AX16" s="1471"/>
      <c r="AY16" s="1471">
        <v>207.7</v>
      </c>
      <c r="AZ16" s="1472"/>
      <c r="BA16" s="1472"/>
      <c r="BB16" s="1472">
        <v>204.64500000000001</v>
      </c>
      <c r="BC16" s="1472"/>
      <c r="BD16" s="1472"/>
      <c r="BE16" s="1472">
        <v>214.02099999999999</v>
      </c>
      <c r="BF16" s="1472"/>
      <c r="BG16" s="1472"/>
      <c r="BH16" s="1471">
        <v>193.3</v>
      </c>
      <c r="BI16" s="1471"/>
      <c r="BJ16" s="1471"/>
      <c r="BK16" s="1471">
        <v>201.47935059</v>
      </c>
      <c r="BL16" s="1471"/>
      <c r="BM16" s="1471"/>
      <c r="BN16" s="1471">
        <v>174.6</v>
      </c>
      <c r="BO16" s="1471"/>
      <c r="BP16" s="1471"/>
      <c r="BQ16" s="1471">
        <f>192.552+35</f>
        <v>227.55199999999999</v>
      </c>
      <c r="BR16" s="1471"/>
      <c r="BS16" s="1471"/>
      <c r="BT16" s="1474">
        <f>160+37</f>
        <v>197</v>
      </c>
      <c r="BU16" s="1474"/>
      <c r="BV16" s="1474"/>
      <c r="BW16" s="1475">
        <f>150+39</f>
        <v>189</v>
      </c>
      <c r="BX16" s="1475"/>
      <c r="BY16" s="1475"/>
      <c r="BZ16" s="1528">
        <f>((172+33)*1000000)/1000000</f>
        <v>205</v>
      </c>
      <c r="CA16" s="1475"/>
      <c r="CB16" s="1475"/>
      <c r="CC16" s="1507">
        <f>202+25</f>
        <v>227</v>
      </c>
      <c r="CD16" s="1529"/>
      <c r="CE16" s="1529"/>
      <c r="CF16" s="1530">
        <f>125+38</f>
        <v>163</v>
      </c>
      <c r="CG16" s="1526"/>
      <c r="CH16" s="1526"/>
      <c r="CI16" s="1531">
        <f>134+34</f>
        <v>168</v>
      </c>
      <c r="CJ16" s="1510"/>
      <c r="CK16" s="1510"/>
      <c r="CL16" s="1510">
        <f>131+36</f>
        <v>167</v>
      </c>
      <c r="CM16" s="1510"/>
      <c r="CN16" s="1510"/>
      <c r="CO16" s="1510">
        <v>173</v>
      </c>
      <c r="CP16" s="1510"/>
      <c r="CQ16" s="1510"/>
      <c r="CR16" s="1510">
        <v>126</v>
      </c>
      <c r="CS16" s="1510"/>
      <c r="CT16" s="1510"/>
      <c r="CU16" s="1510">
        <v>89</v>
      </c>
      <c r="CV16" s="1527"/>
      <c r="CW16" s="1527"/>
      <c r="CX16" s="1527">
        <v>95</v>
      </c>
      <c r="CY16" s="1512"/>
      <c r="CZ16" s="1527"/>
      <c r="DA16" s="1527">
        <v>102</v>
      </c>
      <c r="DB16" s="1527"/>
      <c r="DC16" s="1512"/>
      <c r="DD16" s="1527">
        <v>89</v>
      </c>
      <c r="DE16" s="1512"/>
      <c r="DF16" s="1512"/>
      <c r="DG16" s="1512">
        <v>130</v>
      </c>
      <c r="DH16" s="1512"/>
      <c r="DI16" s="1512"/>
      <c r="DJ16" s="1512">
        <v>116</v>
      </c>
      <c r="DK16" s="1512"/>
      <c r="DL16" s="1512"/>
      <c r="DM16" s="1527">
        <v>112</v>
      </c>
      <c r="DN16" s="1512"/>
      <c r="DO16" s="1512"/>
      <c r="DP16" s="1527">
        <v>95</v>
      </c>
      <c r="DQ16" s="1512"/>
      <c r="DR16" s="1512"/>
      <c r="DS16" s="1527">
        <v>97</v>
      </c>
      <c r="DT16" s="1527"/>
      <c r="DU16" s="1527"/>
      <c r="DV16" s="1527">
        <v>85.713477940000004</v>
      </c>
      <c r="DW16" s="1527"/>
      <c r="DX16" s="1527"/>
      <c r="DY16" s="1527">
        <v>86.654195060000006</v>
      </c>
      <c r="DZ16" s="1527"/>
      <c r="EA16" s="1527"/>
      <c r="EB16" s="1527">
        <v>54.684605439999999</v>
      </c>
      <c r="EC16" s="1527"/>
      <c r="ED16" s="1512"/>
      <c r="EE16" s="1512">
        <v>74.078226319999999</v>
      </c>
      <c r="EF16" s="1512"/>
      <c r="EG16" s="1512"/>
      <c r="EH16" s="1512">
        <v>88.388277579999993</v>
      </c>
      <c r="EI16" s="1512"/>
      <c r="EJ16" s="1512"/>
    </row>
    <row r="17" spans="1:140" s="972" customFormat="1" ht="19.5" thickBot="1" x14ac:dyDescent="0.3">
      <c r="A17" s="1532"/>
      <c r="B17" s="1533"/>
      <c r="C17" s="1533"/>
      <c r="D17" s="1533"/>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3"/>
      <c r="AI17" s="1533"/>
      <c r="AJ17" s="1533"/>
      <c r="AK17" s="1533"/>
      <c r="AL17" s="1533"/>
      <c r="AM17" s="1533"/>
      <c r="AN17" s="1533"/>
      <c r="AO17" s="1533"/>
      <c r="AP17" s="1533"/>
      <c r="AQ17" s="1533"/>
      <c r="AR17" s="1533"/>
      <c r="AS17" s="1533"/>
      <c r="AT17" s="1533"/>
      <c r="AU17" s="1533"/>
      <c r="AV17" s="1533"/>
      <c r="AW17" s="1533"/>
      <c r="AX17" s="1533"/>
      <c r="AY17" s="1533"/>
      <c r="AZ17" s="1533"/>
      <c r="BA17" s="1533"/>
      <c r="BB17" s="1533"/>
      <c r="BC17" s="1533"/>
      <c r="BD17" s="1533"/>
      <c r="BE17" s="1533"/>
      <c r="BF17" s="1533"/>
      <c r="BG17" s="1533"/>
      <c r="BH17" s="1533"/>
      <c r="BI17" s="1533"/>
      <c r="BJ17" s="1533"/>
      <c r="BK17" s="1533"/>
      <c r="BL17" s="1533"/>
      <c r="BM17" s="1533"/>
      <c r="BN17" s="1533"/>
      <c r="BO17" s="1533"/>
      <c r="BP17" s="1533"/>
      <c r="BQ17" s="1533"/>
      <c r="BR17" s="1533"/>
      <c r="BS17" s="1533"/>
      <c r="BT17" s="1534"/>
      <c r="BU17" s="1534"/>
      <c r="BV17" s="1534"/>
      <c r="BW17" s="1535"/>
      <c r="BX17" s="1535"/>
      <c r="BY17" s="1535"/>
      <c r="BZ17" s="1535"/>
      <c r="CA17" s="1535"/>
      <c r="CB17" s="1535"/>
      <c r="CC17" s="1535"/>
      <c r="CD17" s="1536"/>
      <c r="CE17" s="1536"/>
      <c r="CF17" s="1537"/>
      <c r="CG17" s="1534"/>
      <c r="CH17" s="1534"/>
      <c r="CI17" s="1538"/>
      <c r="CJ17" s="1534"/>
      <c r="CK17" s="1534"/>
      <c r="CL17" s="1534"/>
      <c r="CM17" s="1534"/>
      <c r="CN17" s="1534"/>
      <c r="CO17" s="1534"/>
      <c r="CP17" s="1534"/>
      <c r="CQ17" s="1534"/>
      <c r="CR17" s="1534"/>
      <c r="CS17" s="1534"/>
      <c r="CT17" s="1534"/>
      <c r="CU17" s="1534"/>
      <c r="CV17" s="1539"/>
      <c r="CW17" s="1539"/>
      <c r="CX17" s="1539"/>
      <c r="CY17" s="1539"/>
      <c r="CZ17" s="1539"/>
      <c r="DA17" s="1539"/>
      <c r="DB17" s="1539"/>
      <c r="DC17" s="1539"/>
      <c r="DD17" s="1539"/>
      <c r="DE17" s="1539"/>
      <c r="DF17" s="1539"/>
      <c r="DG17" s="1539"/>
      <c r="DH17" s="1539"/>
      <c r="DI17" s="1539"/>
      <c r="DJ17" s="1539"/>
      <c r="DK17" s="1539"/>
      <c r="DL17" s="1539"/>
      <c r="DM17" s="1539"/>
      <c r="DN17" s="1539"/>
      <c r="DO17" s="1539"/>
      <c r="DP17" s="1539"/>
      <c r="DQ17" s="1539"/>
      <c r="DR17" s="1539"/>
      <c r="DS17" s="1539"/>
      <c r="DT17" s="1539"/>
      <c r="DU17" s="1539"/>
      <c r="DV17" s="1539"/>
      <c r="DW17" s="1539"/>
      <c r="DX17" s="1539"/>
      <c r="DY17" s="1539"/>
      <c r="DZ17" s="1539"/>
      <c r="EA17" s="1539"/>
      <c r="EB17" s="1539"/>
      <c r="EC17" s="1539"/>
      <c r="ED17" s="1539"/>
      <c r="EE17" s="1539"/>
      <c r="EF17" s="1539"/>
      <c r="EG17" s="1539"/>
      <c r="EH17" s="1539"/>
      <c r="EI17" s="1539"/>
      <c r="EJ17" s="1539"/>
    </row>
    <row r="18" spans="1:140" s="1540" customFormat="1" ht="18" customHeight="1" thickTop="1" x14ac:dyDescent="0.3">
      <c r="A18" s="1540" t="s">
        <v>1028</v>
      </c>
    </row>
    <row r="19" spans="1:140" s="1540" customFormat="1" ht="18" customHeight="1" x14ac:dyDescent="0.3">
      <c r="A19" s="1540" t="s">
        <v>1029</v>
      </c>
    </row>
    <row r="20" spans="1:140" s="1540" customFormat="1" ht="18" customHeight="1" x14ac:dyDescent="0.3">
      <c r="A20" s="1541" t="s">
        <v>1030</v>
      </c>
    </row>
    <row r="21" spans="1:140" s="1542" customFormat="1" x14ac:dyDescent="0.25">
      <c r="A21" s="1542" t="s">
        <v>1031</v>
      </c>
      <c r="B21" s="1543"/>
      <c r="C21" s="1543"/>
      <c r="D21" s="1543"/>
      <c r="E21" s="1543"/>
      <c r="F21" s="1543"/>
      <c r="G21" s="1543"/>
      <c r="H21" s="1543"/>
      <c r="I21" s="1543"/>
      <c r="J21" s="1543"/>
      <c r="K21" s="1543"/>
      <c r="L21" s="1543"/>
      <c r="M21" s="1543"/>
      <c r="N21" s="1543"/>
      <c r="O21" s="1543"/>
      <c r="P21" s="1543"/>
      <c r="Q21" s="1543"/>
      <c r="R21" s="1543"/>
      <c r="S21" s="1543"/>
      <c r="T21" s="1543"/>
      <c r="U21" s="1543"/>
      <c r="V21" s="1543"/>
      <c r="W21" s="1543"/>
      <c r="X21" s="1543"/>
      <c r="Y21" s="1543"/>
      <c r="Z21" s="1543"/>
      <c r="AA21" s="1543"/>
      <c r="AB21" s="1543"/>
      <c r="AC21" s="1543"/>
      <c r="AD21" s="1543"/>
      <c r="AE21" s="1543"/>
      <c r="AF21" s="1543"/>
      <c r="AG21" s="1543"/>
      <c r="AH21" s="1543"/>
      <c r="AI21" s="1543"/>
      <c r="AJ21" s="1543"/>
      <c r="AK21" s="1543"/>
      <c r="AL21" s="1543"/>
      <c r="AM21" s="1543"/>
      <c r="AN21" s="1543"/>
      <c r="AO21" s="1543"/>
      <c r="AP21" s="1543"/>
      <c r="AQ21" s="1543"/>
      <c r="AR21" s="1543"/>
      <c r="AS21" s="1543"/>
      <c r="AT21" s="1543"/>
      <c r="AU21" s="1543"/>
      <c r="AV21" s="1543"/>
      <c r="AW21" s="1543"/>
      <c r="AX21" s="1543"/>
      <c r="AY21" s="1543"/>
      <c r="AZ21" s="1543"/>
      <c r="BA21" s="1543"/>
      <c r="BB21" s="1543"/>
      <c r="BC21" s="1543"/>
      <c r="BD21" s="1543"/>
      <c r="BE21" s="1543"/>
      <c r="BF21" s="1543"/>
      <c r="BG21" s="1543"/>
      <c r="BH21" s="1543"/>
      <c r="BI21" s="1543"/>
      <c r="BJ21" s="1543"/>
      <c r="BK21" s="1543"/>
      <c r="BL21" s="1543"/>
      <c r="BM21" s="1543"/>
      <c r="BN21" s="1543"/>
      <c r="BO21" s="1543"/>
      <c r="BP21" s="1543"/>
      <c r="BQ21" s="1543"/>
      <c r="BR21" s="1543"/>
      <c r="BS21" s="1543"/>
      <c r="BT21" s="1543"/>
      <c r="BU21" s="1544"/>
      <c r="BV21" s="1544"/>
      <c r="BW21" s="1545"/>
      <c r="BX21" s="1545"/>
      <c r="BY21" s="1545"/>
      <c r="BZ21" s="1545"/>
      <c r="CA21" s="1545"/>
      <c r="CB21" s="1545"/>
      <c r="CC21" s="1545"/>
      <c r="CD21" s="1545"/>
      <c r="CE21" s="1545"/>
      <c r="CF21" s="1546"/>
      <c r="CG21" s="1546"/>
      <c r="CH21" s="1546"/>
      <c r="CI21" s="1546"/>
      <c r="CJ21" s="1546"/>
      <c r="CK21" s="1546"/>
      <c r="CL21" s="1546"/>
      <c r="CM21" s="1546"/>
      <c r="CN21" s="1546"/>
      <c r="CO21" s="1546"/>
      <c r="CP21" s="1546"/>
      <c r="CQ21" s="1546"/>
      <c r="CR21" s="1546"/>
      <c r="CS21" s="1546"/>
      <c r="CT21" s="1546"/>
      <c r="CU21" s="1546"/>
      <c r="CV21" s="1546"/>
      <c r="CW21" s="1546"/>
      <c r="CX21" s="1546"/>
      <c r="CY21" s="1546"/>
      <c r="CZ21" s="1546"/>
      <c r="DA21" s="1546"/>
      <c r="DB21" s="1546"/>
      <c r="DC21" s="1546"/>
      <c r="DD21" s="1546"/>
      <c r="DE21" s="1546"/>
      <c r="DF21" s="1546"/>
      <c r="DG21" s="1546"/>
      <c r="DH21" s="1546"/>
      <c r="DI21" s="1546"/>
      <c r="DJ21" s="1546"/>
      <c r="DK21" s="1546"/>
      <c r="DL21" s="1546"/>
      <c r="DM21" s="1546"/>
      <c r="DN21" s="1546"/>
      <c r="DO21" s="1546"/>
      <c r="DP21" s="1546"/>
      <c r="DQ21" s="1544"/>
      <c r="DR21" s="1544"/>
      <c r="DS21" s="1544"/>
      <c r="DT21" s="1544"/>
      <c r="DU21" s="1544"/>
      <c r="DV21" s="1544"/>
      <c r="DW21" s="1544"/>
      <c r="DX21" s="1544"/>
      <c r="DY21" s="1544"/>
      <c r="DZ21" s="1544"/>
      <c r="EA21" s="1544"/>
      <c r="EB21" s="1544"/>
      <c r="EC21" s="1544"/>
      <c r="ED21" s="1544"/>
      <c r="EE21" s="1544"/>
      <c r="EF21" s="1544"/>
      <c r="EG21" s="1544"/>
      <c r="EH21" s="1544"/>
      <c r="EI21" s="1544"/>
    </row>
    <row r="22" spans="1:140" s="1543" customFormat="1" hidden="1" x14ac:dyDescent="0.35">
      <c r="B22" s="1544"/>
      <c r="C22" s="1544"/>
      <c r="D22" s="1544"/>
      <c r="E22" s="1544"/>
      <c r="F22" s="1544"/>
      <c r="G22" s="1544"/>
      <c r="H22" s="1544"/>
      <c r="I22" s="1544"/>
      <c r="J22" s="1544"/>
      <c r="K22" s="1544"/>
      <c r="L22" s="1544"/>
      <c r="M22" s="1544"/>
      <c r="N22" s="1544"/>
      <c r="O22" s="1544"/>
      <c r="P22" s="1544"/>
      <c r="Q22" s="1544"/>
      <c r="R22" s="1544"/>
      <c r="BT22" s="1458"/>
      <c r="BU22" s="1458"/>
      <c r="BV22" s="1458"/>
      <c r="BW22" s="1547"/>
      <c r="BX22" s="1547"/>
      <c r="BY22" s="1547"/>
      <c r="BZ22" s="1545"/>
      <c r="CA22" s="1545"/>
      <c r="CB22" s="1454"/>
      <c r="CC22" s="1454"/>
      <c r="CD22" s="1545"/>
      <c r="CE22" s="1545"/>
      <c r="CF22" s="1546"/>
      <c r="CG22" s="1545"/>
      <c r="CH22" s="1545"/>
      <c r="CI22" s="1545"/>
      <c r="CJ22" s="1545"/>
      <c r="CK22" s="1545"/>
      <c r="CL22" s="1545"/>
      <c r="CM22" s="1545"/>
      <c r="CN22" s="1545"/>
      <c r="CO22" s="1545"/>
      <c r="CP22" s="1545"/>
      <c r="CQ22" s="1545"/>
      <c r="CR22" s="1545"/>
      <c r="CS22" s="1545"/>
      <c r="CT22" s="1545"/>
      <c r="CU22" s="1545"/>
      <c r="CV22" s="1545"/>
      <c r="CW22" s="1545"/>
      <c r="CX22" s="1545"/>
      <c r="CY22" s="1545"/>
      <c r="CZ22" s="1545"/>
      <c r="DA22" s="1545"/>
      <c r="DB22" s="1545"/>
      <c r="DC22" s="1545"/>
      <c r="DD22" s="1545"/>
      <c r="DE22" s="1545"/>
      <c r="DF22" s="1545"/>
      <c r="DG22" s="1545"/>
      <c r="DH22" s="1545"/>
      <c r="DI22" s="1545"/>
      <c r="DJ22" s="1545"/>
      <c r="DK22" s="1545"/>
      <c r="DL22" s="1545"/>
      <c r="DM22" s="1545"/>
      <c r="DN22" s="1545"/>
      <c r="DO22" s="1545"/>
      <c r="DP22" s="1545"/>
      <c r="DQ22" s="1544"/>
      <c r="DR22" s="1544"/>
      <c r="DS22" s="1544"/>
      <c r="DT22" s="1544"/>
      <c r="DU22" s="1544"/>
      <c r="DV22" s="1544"/>
      <c r="DW22" s="1544"/>
      <c r="DX22" s="1544"/>
      <c r="DY22" s="1544"/>
      <c r="DZ22" s="1544"/>
      <c r="EA22" s="1544"/>
      <c r="EB22" s="1544"/>
      <c r="EC22" s="1544"/>
      <c r="ED22" s="1544"/>
      <c r="EE22" s="1544"/>
      <c r="EF22" s="1544"/>
      <c r="EG22" s="1544"/>
      <c r="EH22" s="1544"/>
      <c r="EI22" s="1544"/>
    </row>
    <row r="23" spans="1:140" s="1543" customFormat="1" x14ac:dyDescent="0.35">
      <c r="B23" s="1544"/>
      <c r="C23" s="1544"/>
      <c r="D23" s="1544"/>
      <c r="E23" s="1544"/>
      <c r="F23" s="1544"/>
      <c r="G23" s="1544"/>
      <c r="H23" s="1544"/>
      <c r="I23" s="1544"/>
      <c r="J23" s="1544"/>
      <c r="K23" s="1544"/>
      <c r="L23" s="1544"/>
      <c r="M23" s="1544"/>
      <c r="N23" s="1544"/>
      <c r="O23" s="1544"/>
      <c r="P23" s="1544"/>
      <c r="Q23" s="1544"/>
      <c r="R23" s="1544"/>
      <c r="BT23" s="1458"/>
      <c r="BU23" s="1458"/>
      <c r="BV23" s="1458"/>
      <c r="BW23" s="1547"/>
      <c r="BX23" s="1547"/>
      <c r="BY23" s="1547"/>
      <c r="BZ23" s="1545"/>
      <c r="CA23" s="1545"/>
      <c r="CB23" s="1454"/>
      <c r="CC23" s="1454"/>
      <c r="CD23" s="1545"/>
      <c r="CE23" s="1545"/>
      <c r="CF23" s="1546"/>
      <c r="CG23" s="1545"/>
      <c r="CH23" s="1545"/>
      <c r="CI23" s="1545"/>
      <c r="CJ23" s="1545"/>
      <c r="CK23" s="1545"/>
      <c r="CL23" s="1545"/>
      <c r="CM23" s="1545"/>
      <c r="CN23" s="1545"/>
      <c r="CO23" s="1545"/>
      <c r="CP23" s="1545"/>
      <c r="CQ23" s="1545"/>
      <c r="CR23" s="1545"/>
      <c r="CS23" s="1545"/>
      <c r="CT23" s="1545"/>
      <c r="CU23" s="1545"/>
      <c r="CV23" s="1545"/>
      <c r="CW23" s="1545"/>
      <c r="CX23" s="1545"/>
      <c r="CY23" s="1545"/>
      <c r="CZ23" s="1545"/>
      <c r="DA23" s="1545"/>
      <c r="DB23" s="1545"/>
      <c r="DC23" s="1545"/>
      <c r="DD23" s="1545"/>
      <c r="DE23" s="1545"/>
      <c r="DF23" s="1545"/>
      <c r="DG23" s="1545"/>
      <c r="DH23" s="1545"/>
      <c r="DI23" s="1545"/>
      <c r="DJ23" s="1545"/>
      <c r="DK23" s="1545"/>
      <c r="DL23" s="1545"/>
      <c r="DM23" s="1545"/>
      <c r="DN23" s="1545"/>
      <c r="DO23" s="1545"/>
      <c r="DP23" s="1545"/>
      <c r="DQ23" s="1544"/>
      <c r="DR23" s="1544"/>
      <c r="DS23" s="1544"/>
      <c r="DT23" s="1544"/>
      <c r="DU23" s="1544"/>
      <c r="DV23" s="1544"/>
      <c r="DW23" s="1544"/>
      <c r="DX23" s="1544"/>
      <c r="DY23" s="1544"/>
      <c r="DZ23" s="1544"/>
      <c r="EA23" s="1544"/>
      <c r="EB23" s="1544"/>
      <c r="EC23" s="1544"/>
      <c r="ED23" s="1544"/>
      <c r="EE23" s="1544"/>
      <c r="EF23" s="1544"/>
      <c r="EG23" s="1544"/>
      <c r="EH23" s="1544"/>
      <c r="EI23" s="1544"/>
    </row>
    <row r="24" spans="1:140" s="1456" customFormat="1" x14ac:dyDescent="0.35">
      <c r="A24" s="1451" t="s">
        <v>1032</v>
      </c>
      <c r="B24" s="1452"/>
      <c r="C24" s="1452"/>
      <c r="D24" s="1452"/>
      <c r="E24" s="1452"/>
      <c r="F24" s="1452"/>
      <c r="G24" s="1452"/>
      <c r="H24" s="1452"/>
      <c r="I24" s="1452"/>
      <c r="J24" s="1452"/>
      <c r="K24" s="1452"/>
      <c r="L24" s="1452"/>
      <c r="M24" s="1452"/>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c r="AL24" s="1452"/>
      <c r="AM24" s="1452"/>
      <c r="AN24" s="1452"/>
      <c r="AO24" s="1452"/>
      <c r="AP24" s="1452"/>
      <c r="AQ24" s="1452"/>
      <c r="AR24" s="1452"/>
      <c r="AS24" s="1452"/>
      <c r="AT24" s="1452"/>
      <c r="AU24" s="1452"/>
      <c r="AV24" s="1452"/>
      <c r="AW24" s="1452"/>
      <c r="AX24" s="1452"/>
      <c r="AY24" s="1452"/>
      <c r="AZ24" s="1452"/>
      <c r="BA24" s="1452"/>
      <c r="BB24" s="1452"/>
      <c r="BC24" s="1452"/>
      <c r="BD24" s="1452"/>
      <c r="BE24" s="1452"/>
      <c r="BF24" s="1452"/>
      <c r="BG24" s="1452"/>
      <c r="BH24" s="1452"/>
      <c r="BI24" s="1452"/>
      <c r="BJ24" s="1452"/>
      <c r="BK24" s="1452"/>
      <c r="BL24" s="1452"/>
      <c r="BM24" s="1452"/>
      <c r="BN24" s="1452"/>
      <c r="BO24" s="1452"/>
      <c r="BP24" s="1452"/>
      <c r="BQ24" s="1452"/>
      <c r="BR24" s="1452"/>
      <c r="BS24" s="1452"/>
      <c r="BT24" s="1452"/>
      <c r="BU24" s="1452"/>
      <c r="BV24" s="1452"/>
      <c r="BW24" s="1453"/>
      <c r="BX24" s="1453"/>
      <c r="BY24" s="1453"/>
      <c r="BZ24" s="1454"/>
      <c r="CA24" s="1454"/>
      <c r="CB24" s="1454"/>
      <c r="CC24" s="1454"/>
      <c r="CD24" s="1454"/>
      <c r="CE24" s="1454"/>
      <c r="CF24" s="1455"/>
      <c r="CG24" s="1454"/>
      <c r="CH24" s="1454"/>
      <c r="CI24" s="1454"/>
      <c r="CJ24" s="1454"/>
      <c r="CK24" s="1454"/>
      <c r="CL24" s="1454"/>
      <c r="CM24" s="1454"/>
      <c r="CN24" s="1454"/>
      <c r="CO24" s="1454"/>
      <c r="CP24" s="1454"/>
      <c r="CQ24" s="1454"/>
      <c r="CR24" s="1454"/>
      <c r="CS24" s="1454"/>
      <c r="CT24" s="1454"/>
      <c r="CU24" s="1454"/>
      <c r="CV24" s="1454"/>
      <c r="CW24" s="1454"/>
      <c r="CX24" s="1454"/>
      <c r="CY24" s="1454"/>
      <c r="CZ24" s="1454"/>
      <c r="DA24" s="1454"/>
      <c r="DB24" s="1454"/>
      <c r="DC24" s="1454"/>
      <c r="DD24" s="1454"/>
      <c r="DE24" s="1454"/>
      <c r="DF24" s="1454"/>
      <c r="DG24" s="1454"/>
      <c r="DH24" s="1454"/>
      <c r="DI24" s="1454"/>
      <c r="DJ24" s="1454"/>
      <c r="DK24" s="1454"/>
      <c r="DL24" s="1454"/>
      <c r="DM24" s="1454"/>
      <c r="DN24" s="1454"/>
      <c r="DO24" s="1454"/>
      <c r="DP24" s="1454"/>
      <c r="DQ24" s="1544"/>
      <c r="DR24" s="1544"/>
      <c r="DS24" s="1544"/>
      <c r="DT24" s="1544"/>
      <c r="DU24" s="1544"/>
      <c r="DV24" s="1544"/>
      <c r="DW24" s="1544"/>
      <c r="DX24" s="1544"/>
      <c r="DY24" s="1544"/>
      <c r="DZ24" s="1544"/>
      <c r="EA24" s="1544"/>
      <c r="EB24" s="1544"/>
      <c r="EC24" s="1544"/>
      <c r="ED24" s="1544"/>
      <c r="EE24" s="1544"/>
      <c r="EF24" s="1544"/>
      <c r="EG24" s="1544"/>
      <c r="EH24" s="1544"/>
      <c r="EI24" s="1544"/>
    </row>
    <row r="25" spans="1:140" s="1548" customFormat="1" ht="19.5" thickBot="1" x14ac:dyDescent="0.4">
      <c r="B25" s="1549"/>
      <c r="C25" s="1549"/>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1549"/>
      <c r="AM25" s="1549"/>
      <c r="AN25" s="1549"/>
      <c r="AO25" s="1549"/>
      <c r="AP25" s="1549"/>
      <c r="AQ25" s="1549"/>
      <c r="AR25" s="1549"/>
      <c r="AS25" s="1549"/>
      <c r="AT25" s="1549"/>
      <c r="AU25" s="1549"/>
      <c r="AV25" s="1549"/>
      <c r="AW25" s="1549"/>
      <c r="AX25" s="1549"/>
      <c r="AY25" s="1549"/>
      <c r="AZ25" s="1549"/>
      <c r="BA25" s="1549"/>
      <c r="BB25" s="1549"/>
      <c r="BC25" s="1549"/>
      <c r="BD25" s="1549"/>
      <c r="BE25" s="1549"/>
      <c r="BF25" s="1549"/>
      <c r="BG25" s="1549"/>
      <c r="BH25" s="1549"/>
      <c r="BI25" s="1549"/>
      <c r="BJ25" s="1549"/>
      <c r="BK25" s="1549"/>
      <c r="BL25" s="1549"/>
      <c r="BM25" s="1549"/>
      <c r="BN25" s="1549"/>
      <c r="BO25" s="1549"/>
      <c r="BP25" s="1549"/>
      <c r="BQ25" s="1549"/>
      <c r="BR25" s="1549"/>
      <c r="BS25" s="1549"/>
      <c r="BT25" s="1549"/>
      <c r="BU25" s="1549"/>
      <c r="BV25" s="1549"/>
      <c r="BW25" s="1453"/>
      <c r="BX25" s="1453"/>
      <c r="BY25" s="1453"/>
      <c r="BZ25" s="1454"/>
      <c r="CA25" s="1454"/>
      <c r="CB25" s="1454"/>
      <c r="CC25" s="1454"/>
      <c r="CD25" s="1454"/>
      <c r="CE25" s="1454"/>
      <c r="CF25" s="1454"/>
      <c r="CG25" s="1454"/>
      <c r="CH25" s="1454"/>
      <c r="CI25" s="1454"/>
      <c r="CJ25" s="1454"/>
      <c r="CK25" s="1454"/>
      <c r="CL25" s="1454"/>
      <c r="CM25" s="1454"/>
      <c r="CN25" s="1454"/>
      <c r="CO25" s="1454"/>
      <c r="CP25" s="1454"/>
      <c r="CQ25" s="1454"/>
      <c r="CR25" s="1454"/>
      <c r="CS25" s="1454"/>
      <c r="CT25" s="1454"/>
      <c r="CU25" s="1454"/>
      <c r="CV25" s="1454"/>
      <c r="CW25" s="1454"/>
      <c r="CX25" s="1454"/>
      <c r="CY25" s="1454"/>
      <c r="CZ25" s="1454"/>
      <c r="DA25" s="1454"/>
      <c r="DB25" s="1454"/>
      <c r="DC25" s="1454"/>
      <c r="DD25" s="1454"/>
      <c r="DE25" s="1454"/>
      <c r="DF25" s="1454"/>
      <c r="DG25" s="1454"/>
      <c r="DH25" s="1454"/>
      <c r="DI25" s="1454"/>
      <c r="DJ25" s="1454"/>
      <c r="DK25" s="1454"/>
      <c r="DL25" s="1454"/>
      <c r="DM25" s="1454"/>
      <c r="DN25" s="1454"/>
      <c r="DO25" s="1454"/>
      <c r="DP25" s="1454"/>
      <c r="DQ25" s="1544"/>
      <c r="DR25" s="1544"/>
      <c r="DS25" s="1544"/>
      <c r="DT25" s="1544"/>
      <c r="DU25" s="1544"/>
      <c r="DV25" s="1544"/>
      <c r="DW25" s="1544"/>
      <c r="DX25" s="1544"/>
      <c r="DY25" s="1544"/>
      <c r="DZ25" s="1544"/>
      <c r="EA25" s="1544"/>
      <c r="EB25" s="1544"/>
      <c r="EC25" s="1544"/>
      <c r="ED25" s="1544"/>
      <c r="EE25" s="1544"/>
      <c r="EF25" s="1544"/>
      <c r="EG25" s="1544"/>
      <c r="EH25" s="1544"/>
      <c r="EI25" s="1544"/>
    </row>
    <row r="26" spans="1:140" s="1551" customFormat="1" ht="21.75" thickTop="1" thickBot="1" x14ac:dyDescent="0.3">
      <c r="A26" s="1462"/>
      <c r="B26" s="1550">
        <v>40910</v>
      </c>
      <c r="C26" s="1550">
        <v>40941</v>
      </c>
      <c r="D26" s="1550">
        <v>40971</v>
      </c>
      <c r="E26" s="1550">
        <v>41003</v>
      </c>
      <c r="F26" s="1550">
        <v>41034</v>
      </c>
      <c r="G26" s="1550">
        <v>41066</v>
      </c>
      <c r="H26" s="1550">
        <v>41097</v>
      </c>
      <c r="I26" s="1550">
        <v>41129</v>
      </c>
      <c r="J26" s="1550">
        <v>41161</v>
      </c>
      <c r="K26" s="1550">
        <v>41192</v>
      </c>
      <c r="L26" s="1550">
        <v>41224</v>
      </c>
      <c r="M26" s="1550">
        <v>41255</v>
      </c>
      <c r="N26" s="1550">
        <v>41275</v>
      </c>
      <c r="O26" s="1550">
        <v>41307</v>
      </c>
      <c r="P26" s="1550">
        <v>41336</v>
      </c>
      <c r="Q26" s="1550">
        <f t="shared" ref="Q26:AL26" si="0">Q3</f>
        <v>41399</v>
      </c>
      <c r="R26" s="1550">
        <f t="shared" si="0"/>
        <v>41431</v>
      </c>
      <c r="S26" s="1550">
        <f t="shared" si="0"/>
        <v>41462</v>
      </c>
      <c r="T26" s="1550">
        <f t="shared" si="0"/>
        <v>41494</v>
      </c>
      <c r="U26" s="1550">
        <f t="shared" si="0"/>
        <v>41526</v>
      </c>
      <c r="V26" s="1550">
        <f t="shared" si="0"/>
        <v>41557</v>
      </c>
      <c r="W26" s="1550">
        <f t="shared" si="0"/>
        <v>41588</v>
      </c>
      <c r="X26" s="1550">
        <f t="shared" si="0"/>
        <v>41619</v>
      </c>
      <c r="Y26" s="1550">
        <f t="shared" si="0"/>
        <v>41640</v>
      </c>
      <c r="Z26" s="1550">
        <f t="shared" si="0"/>
        <v>41671</v>
      </c>
      <c r="AA26" s="1550">
        <f t="shared" si="0"/>
        <v>41700</v>
      </c>
      <c r="AB26" s="1550">
        <f t="shared" si="0"/>
        <v>41732</v>
      </c>
      <c r="AC26" s="1550">
        <f t="shared" si="0"/>
        <v>41762</v>
      </c>
      <c r="AD26" s="1550">
        <f t="shared" si="0"/>
        <v>41794</v>
      </c>
      <c r="AE26" s="1550">
        <f t="shared" si="0"/>
        <v>41825</v>
      </c>
      <c r="AF26" s="1550">
        <f t="shared" si="0"/>
        <v>41857</v>
      </c>
      <c r="AG26" s="1550">
        <f t="shared" si="0"/>
        <v>41889</v>
      </c>
      <c r="AH26" s="1550">
        <f t="shared" si="0"/>
        <v>41919</v>
      </c>
      <c r="AI26" s="1550">
        <f t="shared" si="0"/>
        <v>41950</v>
      </c>
      <c r="AJ26" s="1550">
        <f t="shared" si="0"/>
        <v>41980</v>
      </c>
      <c r="AK26" s="1550">
        <f t="shared" si="0"/>
        <v>42012</v>
      </c>
      <c r="AL26" s="1550">
        <f t="shared" si="0"/>
        <v>42037</v>
      </c>
      <c r="AM26" s="1550">
        <v>42064</v>
      </c>
      <c r="AN26" s="1550">
        <v>42096</v>
      </c>
      <c r="AO26" s="1550">
        <f t="shared" ref="AO26:AT26" si="1">AO3</f>
        <v>42127</v>
      </c>
      <c r="AP26" s="1550">
        <f t="shared" si="1"/>
        <v>42159</v>
      </c>
      <c r="AQ26" s="1550">
        <f t="shared" si="1"/>
        <v>42189</v>
      </c>
      <c r="AR26" s="1550">
        <f t="shared" si="1"/>
        <v>42220</v>
      </c>
      <c r="AS26" s="1550">
        <f t="shared" si="1"/>
        <v>42252</v>
      </c>
      <c r="AT26" s="1550">
        <f t="shared" si="1"/>
        <v>42282</v>
      </c>
      <c r="AU26" s="1550">
        <v>42313</v>
      </c>
      <c r="AV26" s="1550">
        <v>42343</v>
      </c>
      <c r="AW26" s="1550">
        <v>42375</v>
      </c>
      <c r="AX26" s="1550">
        <v>42401</v>
      </c>
      <c r="AY26" s="1550">
        <v>42430</v>
      </c>
      <c r="AZ26" s="1550">
        <v>42461</v>
      </c>
      <c r="BA26" s="1550">
        <v>42491</v>
      </c>
      <c r="BB26" s="1550">
        <v>42522</v>
      </c>
      <c r="BC26" s="1550">
        <v>42552</v>
      </c>
      <c r="BD26" s="1550">
        <v>42584</v>
      </c>
      <c r="BE26" s="1463">
        <v>42615</v>
      </c>
      <c r="BF26" s="1463">
        <v>42645</v>
      </c>
      <c r="BG26" s="1463">
        <v>42677</v>
      </c>
      <c r="BH26" s="1463">
        <f t="shared" ref="BH26:CD26" si="2">BH3</f>
        <v>42708</v>
      </c>
      <c r="BI26" s="1463">
        <f t="shared" si="2"/>
        <v>42739</v>
      </c>
      <c r="BJ26" s="1463">
        <f t="shared" si="2"/>
        <v>42771</v>
      </c>
      <c r="BK26" s="1463">
        <f t="shared" si="2"/>
        <v>42799</v>
      </c>
      <c r="BL26" s="1463">
        <f t="shared" si="2"/>
        <v>42830</v>
      </c>
      <c r="BM26" s="1463">
        <f t="shared" si="2"/>
        <v>42860</v>
      </c>
      <c r="BN26" s="1463">
        <f t="shared" si="2"/>
        <v>42891</v>
      </c>
      <c r="BO26" s="1463">
        <f t="shared" si="2"/>
        <v>42921</v>
      </c>
      <c r="BP26" s="1463">
        <f t="shared" si="2"/>
        <v>42953</v>
      </c>
      <c r="BQ26" s="1463">
        <f t="shared" si="2"/>
        <v>42984</v>
      </c>
      <c r="BR26" s="1463">
        <f t="shared" si="2"/>
        <v>43014</v>
      </c>
      <c r="BS26" s="1463">
        <f t="shared" si="2"/>
        <v>43045</v>
      </c>
      <c r="BT26" s="1463">
        <f t="shared" si="2"/>
        <v>43075</v>
      </c>
      <c r="BU26" s="1463">
        <f t="shared" si="2"/>
        <v>43106</v>
      </c>
      <c r="BV26" s="1463">
        <f t="shared" si="2"/>
        <v>43137</v>
      </c>
      <c r="BW26" s="1463">
        <f t="shared" si="2"/>
        <v>43165</v>
      </c>
      <c r="BX26" s="1463">
        <f t="shared" si="2"/>
        <v>43196</v>
      </c>
      <c r="BY26" s="1463">
        <f t="shared" si="2"/>
        <v>43226</v>
      </c>
      <c r="BZ26" s="1463">
        <f t="shared" si="2"/>
        <v>43258</v>
      </c>
      <c r="CA26" s="1463">
        <f t="shared" si="2"/>
        <v>43288</v>
      </c>
      <c r="CB26" s="1463">
        <f t="shared" si="2"/>
        <v>43321</v>
      </c>
      <c r="CC26" s="1463">
        <f t="shared" si="2"/>
        <v>43352</v>
      </c>
      <c r="CD26" s="1464">
        <f t="shared" si="2"/>
        <v>43382</v>
      </c>
      <c r="CE26" s="1464">
        <v>43414</v>
      </c>
      <c r="CF26" s="1464">
        <v>43445</v>
      </c>
      <c r="CG26" s="1464">
        <v>43476</v>
      </c>
      <c r="CH26" s="1464">
        <v>43507</v>
      </c>
      <c r="CI26" s="1463">
        <v>43535</v>
      </c>
      <c r="CJ26" s="1463">
        <v>43566</v>
      </c>
      <c r="CK26" s="1463">
        <v>43586</v>
      </c>
      <c r="CL26" s="1463">
        <v>43617</v>
      </c>
      <c r="CM26" s="1463">
        <v>43647</v>
      </c>
      <c r="CN26" s="1463">
        <v>43678</v>
      </c>
      <c r="CO26" s="1463">
        <v>43717</v>
      </c>
      <c r="CP26" s="1463">
        <v>43747</v>
      </c>
      <c r="CQ26" s="1463">
        <v>43778</v>
      </c>
      <c r="CR26" s="1463">
        <v>43808</v>
      </c>
      <c r="CS26" s="1463">
        <v>43839</v>
      </c>
      <c r="CT26" s="1463">
        <v>43870</v>
      </c>
      <c r="CU26" s="1463">
        <v>43899</v>
      </c>
      <c r="CV26" s="1464">
        <v>43930</v>
      </c>
      <c r="CW26" s="1466">
        <v>43960</v>
      </c>
      <c r="CX26" s="1466">
        <v>43991</v>
      </c>
      <c r="CY26" s="1466">
        <v>44021</v>
      </c>
      <c r="CZ26" s="1466">
        <v>44052</v>
      </c>
      <c r="DA26" s="1466">
        <v>44083</v>
      </c>
      <c r="DB26" s="1466">
        <v>44113</v>
      </c>
      <c r="DC26" s="1466">
        <v>44144</v>
      </c>
      <c r="DD26" s="1466">
        <v>44174</v>
      </c>
      <c r="DE26" s="1466">
        <v>44197</v>
      </c>
      <c r="DF26" s="1466">
        <v>44228</v>
      </c>
      <c r="DG26" s="1466">
        <v>44256</v>
      </c>
      <c r="DH26" s="1466">
        <v>44287</v>
      </c>
      <c r="DI26" s="1466">
        <v>44317</v>
      </c>
      <c r="DJ26" s="1466">
        <v>44348</v>
      </c>
      <c r="DK26" s="1466">
        <v>44378</v>
      </c>
      <c r="DL26" s="1466">
        <v>44409</v>
      </c>
      <c r="DM26" s="1466">
        <v>44440</v>
      </c>
      <c r="DN26" s="1466">
        <v>44470</v>
      </c>
      <c r="DO26" s="1466">
        <v>44501</v>
      </c>
      <c r="DP26" s="1466">
        <v>44531</v>
      </c>
      <c r="DQ26" s="1466">
        <v>44562</v>
      </c>
      <c r="DR26" s="1466">
        <v>44593</v>
      </c>
      <c r="DS26" s="1466">
        <v>44621</v>
      </c>
      <c r="DT26" s="1466">
        <v>44652</v>
      </c>
      <c r="DU26" s="1466">
        <v>44682</v>
      </c>
      <c r="DV26" s="1466">
        <v>44713</v>
      </c>
      <c r="DW26" s="1466">
        <v>44743</v>
      </c>
      <c r="DX26" s="1466">
        <v>44774</v>
      </c>
      <c r="DY26" s="1466">
        <v>44805</v>
      </c>
      <c r="DZ26" s="1466">
        <v>44835</v>
      </c>
      <c r="EA26" s="1466">
        <v>44866</v>
      </c>
      <c r="EB26" s="1466">
        <v>44896</v>
      </c>
      <c r="EC26" s="1466">
        <v>44927</v>
      </c>
      <c r="ED26" s="1466">
        <v>44958</v>
      </c>
      <c r="EE26" s="1466">
        <v>44986</v>
      </c>
      <c r="EF26" s="1466">
        <v>45017</v>
      </c>
      <c r="EG26" s="1466">
        <v>45047</v>
      </c>
      <c r="EH26" s="1466">
        <v>45078</v>
      </c>
      <c r="EI26" s="1466">
        <v>45108</v>
      </c>
      <c r="EJ26" s="1466">
        <v>45139</v>
      </c>
    </row>
    <row r="27" spans="1:140" s="1561" customFormat="1" x14ac:dyDescent="0.25">
      <c r="A27" s="1552"/>
      <c r="B27" s="1553"/>
      <c r="C27" s="1553"/>
      <c r="D27" s="1553"/>
      <c r="E27" s="1553"/>
      <c r="F27" s="1553"/>
      <c r="G27" s="1553"/>
      <c r="H27" s="1553"/>
      <c r="I27" s="1553"/>
      <c r="J27" s="1553"/>
      <c r="K27" s="1553"/>
      <c r="L27" s="1553"/>
      <c r="M27" s="1553"/>
      <c r="N27" s="1553"/>
      <c r="O27" s="1553"/>
      <c r="P27" s="1553"/>
      <c r="Q27" s="1553"/>
      <c r="R27" s="1553"/>
      <c r="S27" s="1553"/>
      <c r="T27" s="1553"/>
      <c r="U27" s="1553"/>
      <c r="V27" s="1553"/>
      <c r="W27" s="1553"/>
      <c r="X27" s="1553"/>
      <c r="Y27" s="1553"/>
      <c r="Z27" s="1553"/>
      <c r="AA27" s="1553"/>
      <c r="AB27" s="1553"/>
      <c r="AC27" s="1553"/>
      <c r="AD27" s="1553"/>
      <c r="AE27" s="1553"/>
      <c r="AF27" s="1553"/>
      <c r="AG27" s="1553"/>
      <c r="AH27" s="1553"/>
      <c r="AI27" s="1553"/>
      <c r="AJ27" s="1553"/>
      <c r="AK27" s="1553"/>
      <c r="AL27" s="1553"/>
      <c r="AM27" s="1553"/>
      <c r="AN27" s="1553"/>
      <c r="AO27" s="1553"/>
      <c r="AP27" s="1553"/>
      <c r="AQ27" s="1554"/>
      <c r="AR27" s="1554"/>
      <c r="AS27" s="1554"/>
      <c r="AT27" s="1554"/>
      <c r="AU27" s="1554"/>
      <c r="AV27" s="1554"/>
      <c r="AW27" s="1554"/>
      <c r="AX27" s="1554"/>
      <c r="AY27" s="1554"/>
      <c r="AZ27" s="1554"/>
      <c r="BA27" s="1554"/>
      <c r="BB27" s="1554"/>
      <c r="BC27" s="1554"/>
      <c r="BD27" s="1554"/>
      <c r="BE27" s="1554"/>
      <c r="BF27" s="1554"/>
      <c r="BG27" s="1554"/>
      <c r="BH27" s="1555"/>
      <c r="BI27" s="1555"/>
      <c r="BJ27" s="1555"/>
      <c r="BK27" s="1555"/>
      <c r="BL27" s="1555"/>
      <c r="BM27" s="1555"/>
      <c r="BN27" s="1555"/>
      <c r="BO27" s="1555"/>
      <c r="BP27" s="1555"/>
      <c r="BQ27" s="1555"/>
      <c r="BR27" s="1555"/>
      <c r="BS27" s="1555"/>
      <c r="BT27" s="1555"/>
      <c r="BU27" s="1555"/>
      <c r="BV27" s="1555"/>
      <c r="BW27" s="1556"/>
      <c r="BX27" s="1556"/>
      <c r="BY27" s="1556"/>
      <c r="BZ27" s="1556"/>
      <c r="CA27" s="1556"/>
      <c r="CB27" s="1556"/>
      <c r="CC27" s="1556"/>
      <c r="CD27" s="1557"/>
      <c r="CE27" s="1557"/>
      <c r="CF27" s="1557"/>
      <c r="CG27" s="1558"/>
      <c r="CH27" s="1559"/>
      <c r="CI27" s="1559"/>
      <c r="CJ27" s="1559"/>
      <c r="CK27" s="1559"/>
      <c r="CL27" s="1559"/>
      <c r="CM27" s="1559"/>
      <c r="CN27" s="1559"/>
      <c r="CO27" s="1559"/>
      <c r="CP27" s="1559"/>
      <c r="CQ27" s="1559"/>
      <c r="CR27" s="1559"/>
      <c r="CS27" s="1559"/>
      <c r="CT27" s="1559"/>
      <c r="CU27" s="1559"/>
      <c r="CV27" s="1560"/>
      <c r="CW27" s="1560"/>
      <c r="CX27" s="1560"/>
      <c r="CY27" s="1560"/>
      <c r="CZ27" s="1560"/>
      <c r="DA27" s="1560"/>
      <c r="DB27" s="1560"/>
      <c r="DC27" s="1560"/>
      <c r="DD27" s="1560"/>
      <c r="DE27" s="1560"/>
      <c r="DF27" s="1560"/>
      <c r="DG27" s="1560"/>
      <c r="DH27" s="1560"/>
      <c r="DI27" s="1560"/>
      <c r="DJ27" s="1560"/>
      <c r="DK27" s="1560"/>
      <c r="DL27" s="1560"/>
      <c r="DM27" s="1560"/>
      <c r="DN27" s="1560"/>
      <c r="DO27" s="1560"/>
      <c r="DP27" s="1560"/>
      <c r="DQ27" s="1560"/>
      <c r="DR27" s="1560"/>
      <c r="DS27" s="1560"/>
      <c r="DT27" s="1560"/>
      <c r="DU27" s="1560"/>
      <c r="DV27" s="1560"/>
      <c r="DW27" s="1560"/>
      <c r="DX27" s="1560"/>
      <c r="DY27" s="1560"/>
      <c r="DZ27" s="1560"/>
      <c r="EA27" s="1560"/>
      <c r="EB27" s="1560"/>
      <c r="EC27" s="1560"/>
      <c r="ED27" s="1560"/>
      <c r="EE27" s="1560"/>
      <c r="EF27" s="1560"/>
      <c r="EG27" s="1560"/>
      <c r="EH27" s="1560"/>
      <c r="EI27" s="1560"/>
      <c r="EJ27" s="1560"/>
    </row>
    <row r="28" spans="1:140" s="1482" customFormat="1" x14ac:dyDescent="0.25">
      <c r="A28" s="1469" t="s">
        <v>1033</v>
      </c>
      <c r="B28" s="1470">
        <v>218504</v>
      </c>
      <c r="C28" s="1470">
        <v>224119</v>
      </c>
      <c r="D28" s="1470">
        <v>228136</v>
      </c>
      <c r="E28" s="1470">
        <v>226594</v>
      </c>
      <c r="F28" s="1470">
        <v>231147</v>
      </c>
      <c r="G28" s="1470">
        <v>235129</v>
      </c>
      <c r="H28" s="1470">
        <v>239464</v>
      </c>
      <c r="I28" s="1470">
        <v>218381</v>
      </c>
      <c r="J28" s="1470">
        <v>220362</v>
      </c>
      <c r="K28" s="1470">
        <v>197884</v>
      </c>
      <c r="L28" s="1470">
        <v>196323</v>
      </c>
      <c r="M28" s="1470">
        <v>200345</v>
      </c>
      <c r="N28" s="1470">
        <v>204835</v>
      </c>
      <c r="O28" s="1470">
        <v>211679</v>
      </c>
      <c r="P28" s="1470">
        <v>216738</v>
      </c>
      <c r="Q28" s="1470">
        <v>225759</v>
      </c>
      <c r="R28" s="1470">
        <v>229500</v>
      </c>
      <c r="S28" s="1470">
        <v>234910</v>
      </c>
      <c r="T28" s="1470">
        <v>235346</v>
      </c>
      <c r="U28" s="1470">
        <v>234435</v>
      </c>
      <c r="V28" s="1470">
        <v>234949</v>
      </c>
      <c r="W28" s="1470">
        <v>237508</v>
      </c>
      <c r="X28" s="1470">
        <v>240808</v>
      </c>
      <c r="Y28" s="1470">
        <v>240601</v>
      </c>
      <c r="Z28" s="1470">
        <v>243965</v>
      </c>
      <c r="AA28" s="1470">
        <v>235627</v>
      </c>
      <c r="AB28" s="1470">
        <v>252507</v>
      </c>
      <c r="AC28" s="1470">
        <v>257288</v>
      </c>
      <c r="AD28" s="1470">
        <v>260171</v>
      </c>
      <c r="AE28" s="1470">
        <v>264655</v>
      </c>
      <c r="AF28" s="1470">
        <v>269188</v>
      </c>
      <c r="AG28" s="1470">
        <v>266521</v>
      </c>
      <c r="AH28" s="1470">
        <v>276104</v>
      </c>
      <c r="AI28" s="1470">
        <v>280712</v>
      </c>
      <c r="AJ28" s="1470">
        <v>285085</v>
      </c>
      <c r="AK28" s="1470">
        <v>288922</v>
      </c>
      <c r="AL28" s="1470">
        <v>294619</v>
      </c>
      <c r="AM28" s="1470">
        <v>299638</v>
      </c>
      <c r="AN28" s="1470">
        <v>217817</v>
      </c>
      <c r="AO28" s="1470">
        <v>300581</v>
      </c>
      <c r="AP28" s="1470">
        <v>278541</v>
      </c>
      <c r="AQ28" s="1470">
        <v>313550</v>
      </c>
      <c r="AR28" s="1471">
        <v>316850</v>
      </c>
      <c r="AS28" s="1471">
        <v>321076</v>
      </c>
      <c r="AT28" s="1471">
        <v>327319</v>
      </c>
      <c r="AU28" s="1471">
        <v>329258</v>
      </c>
      <c r="AV28" s="1471">
        <v>332711</v>
      </c>
      <c r="AW28" s="1471">
        <v>336839</v>
      </c>
      <c r="AX28" s="1471">
        <v>341151</v>
      </c>
      <c r="AY28" s="1471">
        <v>346276</v>
      </c>
      <c r="AZ28" s="1472">
        <v>350329</v>
      </c>
      <c r="BA28" s="1472">
        <v>350941</v>
      </c>
      <c r="BB28" s="1472">
        <v>356070</v>
      </c>
      <c r="BC28" s="1472">
        <v>361477</v>
      </c>
      <c r="BD28" s="1472">
        <v>368884</v>
      </c>
      <c r="BE28" s="1472">
        <v>366412</v>
      </c>
      <c r="BF28" s="1473">
        <v>345876</v>
      </c>
      <c r="BG28" s="1472">
        <v>349620</v>
      </c>
      <c r="BH28" s="1472">
        <v>355463</v>
      </c>
      <c r="BI28" s="1472">
        <v>360778</v>
      </c>
      <c r="BJ28" s="1472">
        <v>365140</v>
      </c>
      <c r="BK28" s="1472">
        <v>370891</v>
      </c>
      <c r="BL28" s="1472">
        <v>373385</v>
      </c>
      <c r="BM28" s="1472">
        <v>376192</v>
      </c>
      <c r="BN28" s="1472">
        <v>378131</v>
      </c>
      <c r="BO28" s="1472">
        <v>380447</v>
      </c>
      <c r="BP28" s="1472">
        <v>382733</v>
      </c>
      <c r="BQ28" s="1472">
        <v>384117</v>
      </c>
      <c r="BR28" s="1472">
        <v>385524</v>
      </c>
      <c r="BS28" s="1472">
        <v>387670</v>
      </c>
      <c r="BT28" s="1474">
        <v>389512</v>
      </c>
      <c r="BU28" s="1474">
        <v>390991</v>
      </c>
      <c r="BV28" s="1474">
        <v>396041</v>
      </c>
      <c r="BW28" s="1475">
        <v>400948</v>
      </c>
      <c r="BX28" s="1475">
        <v>408151</v>
      </c>
      <c r="BY28" s="1475">
        <f>415657+0</f>
        <v>415657</v>
      </c>
      <c r="BZ28" s="1475">
        <f>423453+150</f>
        <v>423603</v>
      </c>
      <c r="CA28" s="1507">
        <f>429831+162</f>
        <v>429993</v>
      </c>
      <c r="CB28" s="1507">
        <f>435931+167</f>
        <v>436098</v>
      </c>
      <c r="CC28" s="1507">
        <v>441213</v>
      </c>
      <c r="CD28" s="1508">
        <v>446245</v>
      </c>
      <c r="CE28" s="1508">
        <v>451203</v>
      </c>
      <c r="CF28" s="1508">
        <v>455689</v>
      </c>
      <c r="CG28" s="1562">
        <v>461502</v>
      </c>
      <c r="CH28" s="1510">
        <v>466635</v>
      </c>
      <c r="CI28" s="1563">
        <v>470190</v>
      </c>
      <c r="CJ28" s="1563">
        <v>475416</v>
      </c>
      <c r="CK28" s="1563">
        <v>481257</v>
      </c>
      <c r="CL28" s="1563">
        <v>486051</v>
      </c>
      <c r="CM28" s="1563">
        <v>491782</v>
      </c>
      <c r="CN28" s="1563">
        <v>497381</v>
      </c>
      <c r="CO28" s="1563">
        <v>502698</v>
      </c>
      <c r="CP28" s="1563">
        <v>507066</v>
      </c>
      <c r="CQ28" s="1563">
        <v>513510</v>
      </c>
      <c r="CR28" s="1563">
        <v>519023</v>
      </c>
      <c r="CS28" s="1563">
        <v>527498</v>
      </c>
      <c r="CT28" s="1563">
        <v>533446</v>
      </c>
      <c r="CU28" s="1563">
        <v>507325</v>
      </c>
      <c r="CV28" s="1564">
        <v>510726</v>
      </c>
      <c r="CW28" s="1564">
        <v>515289</v>
      </c>
      <c r="CX28" s="1564">
        <v>522816</v>
      </c>
      <c r="CY28" s="1564">
        <v>533344</v>
      </c>
      <c r="CZ28" s="1564">
        <v>540701</v>
      </c>
      <c r="DA28" s="1564">
        <v>548845</v>
      </c>
      <c r="DB28" s="1564">
        <v>552434</v>
      </c>
      <c r="DC28" s="1564">
        <v>556685</v>
      </c>
      <c r="DD28" s="1564">
        <v>561446</v>
      </c>
      <c r="DE28" s="1564">
        <v>565850</v>
      </c>
      <c r="DF28" s="1564">
        <v>570221</v>
      </c>
      <c r="DG28" s="1564">
        <v>574796</v>
      </c>
      <c r="DH28" s="1564">
        <v>577783</v>
      </c>
      <c r="DI28" s="1564">
        <v>582523</v>
      </c>
      <c r="DJ28" s="1564">
        <v>587878</v>
      </c>
      <c r="DK28" s="1564">
        <v>593025</v>
      </c>
      <c r="DL28" s="1564">
        <v>589158</v>
      </c>
      <c r="DM28" s="1564">
        <v>596548</v>
      </c>
      <c r="DN28" s="1564">
        <v>598636</v>
      </c>
      <c r="DO28" s="1564">
        <v>603435</v>
      </c>
      <c r="DP28" s="1564">
        <v>607929</v>
      </c>
      <c r="DQ28" s="1564">
        <v>613290</v>
      </c>
      <c r="DR28" s="1564">
        <v>617471</v>
      </c>
      <c r="DS28" s="1564">
        <v>595516</v>
      </c>
      <c r="DT28" s="1564">
        <v>596295</v>
      </c>
      <c r="DU28" s="1564">
        <v>601551</v>
      </c>
      <c r="DV28" s="1564">
        <v>607041</v>
      </c>
      <c r="DW28" s="1564">
        <v>612268</v>
      </c>
      <c r="DX28" s="1564">
        <v>617741</v>
      </c>
      <c r="DY28" s="1564">
        <v>622942</v>
      </c>
      <c r="DZ28" s="1564">
        <v>627998</v>
      </c>
      <c r="EA28" s="1564">
        <v>634138</v>
      </c>
      <c r="EB28" s="1564">
        <v>639096</v>
      </c>
      <c r="EC28" s="1564">
        <v>644084</v>
      </c>
      <c r="ED28" s="1564">
        <v>655869</v>
      </c>
      <c r="EE28" s="1564">
        <v>662216</v>
      </c>
      <c r="EF28" s="1564">
        <v>667624</v>
      </c>
      <c r="EG28" s="1564">
        <v>673184</v>
      </c>
      <c r="EH28" s="1564">
        <v>678615</v>
      </c>
      <c r="EI28" s="1564">
        <v>685055</v>
      </c>
      <c r="EJ28" s="1564">
        <v>691450</v>
      </c>
    </row>
    <row r="29" spans="1:140" s="1561" customFormat="1" ht="19.5" thickBot="1" x14ac:dyDescent="0.3">
      <c r="A29" s="1565"/>
      <c r="B29" s="1566"/>
      <c r="C29" s="1566"/>
      <c r="D29" s="1566"/>
      <c r="E29" s="1566"/>
      <c r="F29" s="1566"/>
      <c r="G29" s="1566"/>
      <c r="H29" s="1566"/>
      <c r="I29" s="1566"/>
      <c r="J29" s="1566"/>
      <c r="K29" s="1566"/>
      <c r="L29" s="1566"/>
      <c r="M29" s="1566"/>
      <c r="N29" s="1566"/>
      <c r="O29" s="1566"/>
      <c r="P29" s="1566"/>
      <c r="Q29" s="1566"/>
      <c r="R29" s="1566"/>
      <c r="S29" s="1566"/>
      <c r="T29" s="1566"/>
      <c r="U29" s="1566"/>
      <c r="V29" s="1566"/>
      <c r="W29" s="1566"/>
      <c r="X29" s="1566"/>
      <c r="Y29" s="1566"/>
      <c r="Z29" s="1566"/>
      <c r="AA29" s="1566"/>
      <c r="AB29" s="1566"/>
      <c r="AC29" s="1566"/>
      <c r="AD29" s="1566"/>
      <c r="AE29" s="1566"/>
      <c r="AF29" s="1566"/>
      <c r="AG29" s="1566"/>
      <c r="AH29" s="1566"/>
      <c r="AI29" s="1566"/>
      <c r="AJ29" s="1566"/>
      <c r="AK29" s="1566"/>
      <c r="AL29" s="1566"/>
      <c r="AM29" s="1566"/>
      <c r="AN29" s="1566"/>
      <c r="AO29" s="1566"/>
      <c r="AP29" s="1566"/>
      <c r="AQ29" s="1505"/>
      <c r="AR29" s="1505"/>
      <c r="AS29" s="1505"/>
      <c r="AT29" s="1505"/>
      <c r="AU29" s="1505"/>
      <c r="AV29" s="1505"/>
      <c r="AW29" s="1505"/>
      <c r="AX29" s="1505"/>
      <c r="AY29" s="1505"/>
      <c r="AZ29" s="1505"/>
      <c r="BA29" s="1505"/>
      <c r="BB29" s="1505"/>
      <c r="BC29" s="1505"/>
      <c r="BD29" s="1505"/>
      <c r="BE29" s="1505"/>
      <c r="BF29" s="1505"/>
      <c r="BG29" s="1505"/>
      <c r="BH29" s="1567"/>
      <c r="BI29" s="1567"/>
      <c r="BJ29" s="1567"/>
      <c r="BK29" s="1567"/>
      <c r="BL29" s="1567"/>
      <c r="BM29" s="1567"/>
      <c r="BN29" s="1567"/>
      <c r="BO29" s="1567"/>
      <c r="BP29" s="1567"/>
      <c r="BQ29" s="1567"/>
      <c r="BR29" s="1505"/>
      <c r="BS29" s="1505"/>
      <c r="BT29" s="1505"/>
      <c r="BU29" s="1505"/>
      <c r="BV29" s="1505"/>
      <c r="BW29" s="1568"/>
      <c r="BX29" s="1568"/>
      <c r="BY29" s="1568"/>
      <c r="BZ29" s="1568"/>
      <c r="CA29" s="1568"/>
      <c r="CB29" s="1568"/>
      <c r="CC29" s="1568"/>
      <c r="CD29" s="1569"/>
      <c r="CE29" s="1569"/>
      <c r="CF29" s="1569"/>
      <c r="CG29" s="1570"/>
      <c r="CH29" s="1505"/>
      <c r="CI29" s="1505"/>
      <c r="CJ29" s="1505"/>
      <c r="CK29" s="1505"/>
      <c r="CL29" s="1505"/>
      <c r="CM29" s="1505"/>
      <c r="CN29" s="1505"/>
      <c r="CO29" s="1505"/>
      <c r="CP29" s="1505"/>
      <c r="CQ29" s="1505"/>
      <c r="CR29" s="1505"/>
      <c r="CS29" s="1505"/>
      <c r="CT29" s="1505"/>
      <c r="CU29" s="1505"/>
      <c r="CV29" s="1571"/>
      <c r="CW29" s="1571"/>
      <c r="CX29" s="1571"/>
      <c r="CY29" s="1571"/>
      <c r="CZ29" s="1571"/>
      <c r="DA29" s="1571"/>
      <c r="DB29" s="1571"/>
      <c r="DC29" s="1571"/>
      <c r="DD29" s="1571"/>
      <c r="DE29" s="1571"/>
      <c r="DF29" s="1571"/>
      <c r="DG29" s="1571"/>
      <c r="DH29" s="1571"/>
      <c r="DI29" s="1571"/>
      <c r="DJ29" s="1571"/>
      <c r="DK29" s="1571"/>
      <c r="DL29" s="1571"/>
      <c r="DM29" s="1571"/>
      <c r="DN29" s="1571"/>
      <c r="DO29" s="1571"/>
      <c r="DP29" s="1571"/>
      <c r="DQ29" s="1571"/>
      <c r="DR29" s="1571"/>
      <c r="DS29" s="1571"/>
      <c r="DT29" s="1571"/>
      <c r="DU29" s="1571"/>
      <c r="DV29" s="1571"/>
      <c r="DW29" s="1571"/>
      <c r="DX29" s="1571"/>
      <c r="DY29" s="1571"/>
      <c r="DZ29" s="1571"/>
      <c r="EA29" s="1571"/>
      <c r="EB29" s="1571"/>
      <c r="EC29" s="1571"/>
      <c r="ED29" s="1571"/>
      <c r="EE29" s="1571"/>
      <c r="EF29" s="1571"/>
      <c r="EG29" s="1571"/>
      <c r="EH29" s="1571"/>
      <c r="EI29" s="1571"/>
      <c r="EJ29" s="1571"/>
    </row>
    <row r="30" spans="1:140" s="1561" customFormat="1" ht="19.5" thickTop="1" x14ac:dyDescent="0.25">
      <c r="A30" s="1565" t="s">
        <v>1001</v>
      </c>
      <c r="B30" s="1572">
        <v>238413</v>
      </c>
      <c r="C30" s="1572">
        <v>238093</v>
      </c>
      <c r="D30" s="1572">
        <v>261162</v>
      </c>
      <c r="E30" s="1572">
        <v>277292</v>
      </c>
      <c r="F30" s="1572">
        <v>283585</v>
      </c>
      <c r="G30" s="1572">
        <v>266059</v>
      </c>
      <c r="H30" s="1572">
        <v>290958</v>
      </c>
      <c r="I30" s="1572">
        <v>283367</v>
      </c>
      <c r="J30" s="1572">
        <v>264927</v>
      </c>
      <c r="K30" s="1572">
        <v>315412</v>
      </c>
      <c r="L30" s="1572">
        <v>295863</v>
      </c>
      <c r="M30" s="1572">
        <v>392058</v>
      </c>
      <c r="N30" s="1572">
        <v>351065</v>
      </c>
      <c r="O30" s="1572">
        <v>327122</v>
      </c>
      <c r="P30" s="1572">
        <v>380181</v>
      </c>
      <c r="Q30" s="1572">
        <v>385013</v>
      </c>
      <c r="R30" s="1572">
        <v>366954</v>
      </c>
      <c r="S30" s="1572">
        <v>406022</v>
      </c>
      <c r="T30" s="1572">
        <v>392209</v>
      </c>
      <c r="U30" s="1572">
        <v>375620</v>
      </c>
      <c r="V30" s="1572">
        <v>410190</v>
      </c>
      <c r="W30" s="1572">
        <v>398849</v>
      </c>
      <c r="X30" s="1572">
        <v>525624</v>
      </c>
      <c r="Y30" s="1572">
        <v>402112</v>
      </c>
      <c r="Z30" s="1572">
        <v>375413</v>
      </c>
      <c r="AA30" s="1572">
        <v>422037</v>
      </c>
      <c r="AB30" s="1572">
        <v>435923</v>
      </c>
      <c r="AC30" s="1572">
        <v>441066</v>
      </c>
      <c r="AD30" s="1572">
        <v>420177</v>
      </c>
      <c r="AE30" s="1572">
        <v>454337</v>
      </c>
      <c r="AF30" s="1572">
        <v>481938</v>
      </c>
      <c r="AG30" s="1572">
        <v>466579</v>
      </c>
      <c r="AH30" s="1572">
        <v>504400</v>
      </c>
      <c r="AI30" s="1572">
        <v>500404</v>
      </c>
      <c r="AJ30" s="1572">
        <v>614221</v>
      </c>
      <c r="AK30" s="1572">
        <v>506560</v>
      </c>
      <c r="AL30" s="1572">
        <v>482473</v>
      </c>
      <c r="AM30" s="1572">
        <v>540918</v>
      </c>
      <c r="AN30" s="1572">
        <v>534150</v>
      </c>
      <c r="AO30" s="1572">
        <v>545998</v>
      </c>
      <c r="AP30" s="1572">
        <v>533719</v>
      </c>
      <c r="AQ30" s="1505">
        <v>559970</v>
      </c>
      <c r="AR30" s="1505">
        <v>538596</v>
      </c>
      <c r="AS30" s="1505">
        <v>542153</v>
      </c>
      <c r="AT30" s="1505">
        <v>605573</v>
      </c>
      <c r="AU30" s="1505">
        <v>513673</v>
      </c>
      <c r="AV30" s="1505">
        <v>752770</v>
      </c>
      <c r="AW30" s="1505">
        <v>566194</v>
      </c>
      <c r="AX30" s="1505">
        <v>550438</v>
      </c>
      <c r="AY30" s="1505">
        <v>588246</v>
      </c>
      <c r="AZ30" s="1505">
        <v>580411</v>
      </c>
      <c r="BA30" s="1505">
        <v>601131</v>
      </c>
      <c r="BB30" s="1505">
        <v>582876</v>
      </c>
      <c r="BC30" s="1505">
        <v>626682</v>
      </c>
      <c r="BD30" s="1505">
        <v>584459</v>
      </c>
      <c r="BE30" s="1505">
        <v>573380</v>
      </c>
      <c r="BF30" s="1505">
        <v>604324</v>
      </c>
      <c r="BG30" s="1505">
        <v>607626</v>
      </c>
      <c r="BH30" s="1505">
        <v>830011</v>
      </c>
      <c r="BI30" s="1505">
        <v>605621</v>
      </c>
      <c r="BJ30" s="1505">
        <v>569487</v>
      </c>
      <c r="BK30" s="1505">
        <v>670574</v>
      </c>
      <c r="BL30" s="1505">
        <v>266338</v>
      </c>
      <c r="BM30" s="1505">
        <v>318235</v>
      </c>
      <c r="BN30" s="1505">
        <v>303887</v>
      </c>
      <c r="BO30" s="1505">
        <v>314580</v>
      </c>
      <c r="BP30" s="1505">
        <v>326762</v>
      </c>
      <c r="BQ30" s="1505">
        <v>316572</v>
      </c>
      <c r="BR30" s="1573">
        <v>361881</v>
      </c>
      <c r="BS30" s="1573">
        <v>331503</v>
      </c>
      <c r="BT30" s="1573">
        <v>381939</v>
      </c>
      <c r="BU30" s="1573">
        <v>310069</v>
      </c>
      <c r="BV30" s="1573">
        <v>315736</v>
      </c>
      <c r="BW30" s="1574">
        <v>410150</v>
      </c>
      <c r="BX30" s="1574">
        <v>343213</v>
      </c>
      <c r="BY30" s="1574">
        <f>364022+59</f>
        <v>364081</v>
      </c>
      <c r="BZ30" s="1574">
        <f>346906+46</f>
        <v>346952</v>
      </c>
      <c r="CA30" s="1574">
        <f>384232+61</f>
        <v>384293</v>
      </c>
      <c r="CB30" s="1574">
        <f>382381+45</f>
        <v>382426</v>
      </c>
      <c r="CC30" s="1574">
        <v>347187</v>
      </c>
      <c r="CD30" s="1575">
        <v>434379</v>
      </c>
      <c r="CE30" s="1575">
        <v>392034</v>
      </c>
      <c r="CF30" s="1575">
        <v>471570</v>
      </c>
      <c r="CG30" s="1576">
        <v>382403</v>
      </c>
      <c r="CH30" s="1573">
        <v>359646</v>
      </c>
      <c r="CI30" s="1577">
        <v>401041</v>
      </c>
      <c r="CJ30" s="1577">
        <v>432695</v>
      </c>
      <c r="CK30" s="1577">
        <v>436769</v>
      </c>
      <c r="CL30" s="1577">
        <v>391463</v>
      </c>
      <c r="CM30" s="1577">
        <v>460398</v>
      </c>
      <c r="CN30" s="1577">
        <v>438998</v>
      </c>
      <c r="CO30" s="1577">
        <v>434788</v>
      </c>
      <c r="CP30" s="1577">
        <v>481794</v>
      </c>
      <c r="CQ30" s="1577">
        <v>454131</v>
      </c>
      <c r="CR30" s="1577">
        <v>550557</v>
      </c>
      <c r="CS30" s="1577">
        <v>452332</v>
      </c>
      <c r="CT30" s="1577">
        <v>408965</v>
      </c>
      <c r="CU30" s="1577">
        <v>436592</v>
      </c>
      <c r="CV30" s="1578">
        <v>408663</v>
      </c>
      <c r="CW30" s="1578">
        <v>472585</v>
      </c>
      <c r="CX30" s="1578">
        <v>505108</v>
      </c>
      <c r="CY30" s="1578">
        <v>531608</v>
      </c>
      <c r="CZ30" s="1578">
        <v>501235</v>
      </c>
      <c r="DA30" s="1578">
        <v>514431</v>
      </c>
      <c r="DB30" s="1578">
        <v>539160</v>
      </c>
      <c r="DC30" s="1578">
        <v>519467</v>
      </c>
      <c r="DD30" s="1578">
        <v>659097</v>
      </c>
      <c r="DE30" s="1578">
        <v>457860</v>
      </c>
      <c r="DF30" s="1578">
        <v>468561</v>
      </c>
      <c r="DG30" s="1578">
        <v>512339</v>
      </c>
      <c r="DH30" s="1578">
        <v>509762</v>
      </c>
      <c r="DI30" s="1578">
        <v>558318</v>
      </c>
      <c r="DJ30" s="1578">
        <v>565232</v>
      </c>
      <c r="DK30" s="1578">
        <v>582322</v>
      </c>
      <c r="DL30" s="1578">
        <v>592587</v>
      </c>
      <c r="DM30" s="1578">
        <v>592159</v>
      </c>
      <c r="DN30" s="1578">
        <v>601888</v>
      </c>
      <c r="DO30" s="1578">
        <v>619190</v>
      </c>
      <c r="DP30" s="1578">
        <v>779421</v>
      </c>
      <c r="DQ30" s="1578">
        <v>562027</v>
      </c>
      <c r="DR30" s="1578">
        <v>543073</v>
      </c>
      <c r="DS30" s="1578">
        <v>660803</v>
      </c>
      <c r="DT30" s="1578">
        <v>623567</v>
      </c>
      <c r="DU30" s="1578">
        <v>664499</v>
      </c>
      <c r="DV30" s="1578">
        <v>640080</v>
      </c>
      <c r="DW30" s="1578">
        <v>644118</v>
      </c>
      <c r="DX30" s="1578">
        <v>671126</v>
      </c>
      <c r="DY30" s="1578">
        <v>663274</v>
      </c>
      <c r="DZ30" s="1578">
        <v>682154</v>
      </c>
      <c r="EA30" s="1578">
        <v>686697</v>
      </c>
      <c r="EB30" s="1578">
        <v>802844</v>
      </c>
      <c r="EC30" s="1578">
        <v>468464</v>
      </c>
      <c r="ED30" s="1578">
        <v>457935</v>
      </c>
      <c r="EE30" s="1578">
        <v>525149</v>
      </c>
      <c r="EF30" s="1578">
        <v>477956</v>
      </c>
      <c r="EG30" s="1578">
        <v>544364</v>
      </c>
      <c r="EH30" s="1578">
        <v>522030</v>
      </c>
      <c r="EI30" s="1578">
        <v>509467</v>
      </c>
      <c r="EJ30" s="1578">
        <v>533795</v>
      </c>
    </row>
    <row r="31" spans="1:140" s="1561" customFormat="1" x14ac:dyDescent="0.25">
      <c r="A31" s="1565" t="s">
        <v>1034</v>
      </c>
      <c r="B31" s="1505">
        <v>43475.962768999998</v>
      </c>
      <c r="C31" s="1505">
        <v>53599.680598999999</v>
      </c>
      <c r="D31" s="1505">
        <v>50754</v>
      </c>
      <c r="E31" s="1505">
        <v>44273.632428999998</v>
      </c>
      <c r="F31" s="1505">
        <v>56415.093000000001</v>
      </c>
      <c r="G31" s="1505">
        <v>69886.773830000006</v>
      </c>
      <c r="H31" s="1505">
        <v>95686.427930000005</v>
      </c>
      <c r="I31" s="1505">
        <v>99053.420203000001</v>
      </c>
      <c r="J31" s="1505">
        <v>109788.97238200001</v>
      </c>
      <c r="K31" s="1505">
        <v>94589.501147999996</v>
      </c>
      <c r="L31" s="1505">
        <v>111014.214874</v>
      </c>
      <c r="M31" s="1505">
        <v>135896.03765000001</v>
      </c>
      <c r="N31" s="1505">
        <v>91072.939985999998</v>
      </c>
      <c r="O31" s="1505">
        <v>105733.91310200001</v>
      </c>
      <c r="P31" s="1505">
        <v>156737.17344799999</v>
      </c>
      <c r="Q31" s="1505">
        <v>88654.171180000005</v>
      </c>
      <c r="R31" s="1505">
        <v>123315.401</v>
      </c>
      <c r="S31" s="1505">
        <v>110439.07325723401</v>
      </c>
      <c r="T31" s="1505">
        <v>83870.612330999997</v>
      </c>
      <c r="U31" s="1505">
        <v>131569.13808400001</v>
      </c>
      <c r="V31" s="1505">
        <v>105040.50852712478</v>
      </c>
      <c r="W31" s="1505">
        <v>84908.775735624222</v>
      </c>
      <c r="X31" s="1505">
        <v>187514.1931471756</v>
      </c>
      <c r="Y31" s="1505">
        <v>117692.056832556</v>
      </c>
      <c r="Z31" s="1505">
        <v>82396.713636</v>
      </c>
      <c r="AA31" s="1505">
        <v>104323</v>
      </c>
      <c r="AB31" s="1505">
        <v>97269</v>
      </c>
      <c r="AC31" s="1505">
        <v>126271.62020400001</v>
      </c>
      <c r="AD31" s="1505">
        <v>179424.24770530299</v>
      </c>
      <c r="AE31" s="1505">
        <v>143778.00127400001</v>
      </c>
      <c r="AF31" s="1505">
        <v>126622.30538200001</v>
      </c>
      <c r="AG31" s="1505">
        <v>146464.13355699999</v>
      </c>
      <c r="AH31" s="1505">
        <v>159790.540978</v>
      </c>
      <c r="AI31" s="1505">
        <v>201645.420835</v>
      </c>
      <c r="AJ31" s="1505">
        <v>268652.59542799997</v>
      </c>
      <c r="AK31" s="1505">
        <v>177035.007265758</v>
      </c>
      <c r="AL31" s="1505">
        <v>213554.44691599999</v>
      </c>
      <c r="AM31" s="1505">
        <f>254231630497.023/1000000</f>
        <v>254231.630497023</v>
      </c>
      <c r="AN31" s="1505">
        <v>212520</v>
      </c>
      <c r="AO31" s="1505">
        <v>170706.24584941001</v>
      </c>
      <c r="AP31" s="1505">
        <v>267765.77055000002</v>
      </c>
      <c r="AQ31" s="1505">
        <v>229795</v>
      </c>
      <c r="AR31" s="1505">
        <v>208017</v>
      </c>
      <c r="AS31" s="1505">
        <v>214494.343333</v>
      </c>
      <c r="AT31" s="1505">
        <v>190866</v>
      </c>
      <c r="AU31" s="1505">
        <v>203633</v>
      </c>
      <c r="AV31" s="1505">
        <v>351154.71471042</v>
      </c>
      <c r="AW31" s="1505">
        <v>181541.17812525001</v>
      </c>
      <c r="AX31" s="1505">
        <v>170732</v>
      </c>
      <c r="AY31" s="1505">
        <v>231749</v>
      </c>
      <c r="AZ31" s="1505">
        <v>168293</v>
      </c>
      <c r="BA31" s="1505">
        <v>234637.17565963001</v>
      </c>
      <c r="BB31" s="1505">
        <v>369827</v>
      </c>
      <c r="BC31" s="1505">
        <v>223513.18693299999</v>
      </c>
      <c r="BD31" s="1505">
        <v>245973</v>
      </c>
      <c r="BE31" s="1505">
        <v>287574</v>
      </c>
      <c r="BF31" s="1505">
        <v>249802.531403</v>
      </c>
      <c r="BG31" s="1505">
        <v>218255</v>
      </c>
      <c r="BH31" s="1505">
        <v>311998.57844089001</v>
      </c>
      <c r="BI31" s="1505">
        <v>231406</v>
      </c>
      <c r="BJ31" s="1505">
        <v>222901.55628799999</v>
      </c>
      <c r="BK31" s="1505">
        <v>471003</v>
      </c>
      <c r="BL31" s="1505">
        <v>284167.12</v>
      </c>
      <c r="BM31" s="1505">
        <v>296991</v>
      </c>
      <c r="BN31" s="1505">
        <v>380672.972014</v>
      </c>
      <c r="BO31" s="1505">
        <v>300937</v>
      </c>
      <c r="BP31" s="1505">
        <v>259888</v>
      </c>
      <c r="BQ31" s="1505">
        <v>313890</v>
      </c>
      <c r="BR31" s="1505">
        <v>296575</v>
      </c>
      <c r="BS31" s="1505">
        <v>398609</v>
      </c>
      <c r="BT31" s="1505">
        <v>401639</v>
      </c>
      <c r="BU31" s="1505">
        <v>289071</v>
      </c>
      <c r="BV31" s="1505">
        <v>270262</v>
      </c>
      <c r="BW31" s="1568">
        <v>388353</v>
      </c>
      <c r="BX31" s="1568">
        <v>292056</v>
      </c>
      <c r="BY31" s="1568">
        <f>311292+2</f>
        <v>311294</v>
      </c>
      <c r="BZ31" s="1568">
        <f>373884+2</f>
        <v>373886</v>
      </c>
      <c r="CA31" s="1568">
        <f>298804+2</f>
        <v>298806</v>
      </c>
      <c r="CB31" s="1568">
        <f>339210+2</f>
        <v>339212</v>
      </c>
      <c r="CC31" s="1568">
        <v>321597.18747480999</v>
      </c>
      <c r="CD31" s="1569">
        <v>329309.60892481002</v>
      </c>
      <c r="CE31" s="1569">
        <v>365251.01750399999</v>
      </c>
      <c r="CF31" s="1569">
        <v>354528.76387930999</v>
      </c>
      <c r="CG31" s="1570">
        <v>291526.25022301002</v>
      </c>
      <c r="CH31" s="1505">
        <v>237998.66055085001</v>
      </c>
      <c r="CI31" s="1505">
        <v>372384.59347870998</v>
      </c>
      <c r="CJ31" s="1505">
        <v>364550.99874079</v>
      </c>
      <c r="CK31" s="1505">
        <v>402105.84243333002</v>
      </c>
      <c r="CL31" s="1505">
        <v>354387</v>
      </c>
      <c r="CM31" s="1505">
        <v>324103.61021134997</v>
      </c>
      <c r="CN31" s="1505">
        <v>357967</v>
      </c>
      <c r="CO31" s="1505">
        <v>332116</v>
      </c>
      <c r="CP31" s="1505">
        <v>365609</v>
      </c>
      <c r="CQ31" s="1505">
        <v>431376</v>
      </c>
      <c r="CR31" s="1505">
        <v>474224</v>
      </c>
      <c r="CS31" s="1505">
        <v>336348</v>
      </c>
      <c r="CT31" s="1505">
        <v>300965.07863276004</v>
      </c>
      <c r="CU31" s="1505">
        <v>527479.36687073996</v>
      </c>
      <c r="CV31" s="1571">
        <v>332659</v>
      </c>
      <c r="CW31" s="1571">
        <v>264758</v>
      </c>
      <c r="CX31" s="1571">
        <v>357594</v>
      </c>
      <c r="CY31" s="1571">
        <v>358694</v>
      </c>
      <c r="CZ31" s="1571">
        <v>270862</v>
      </c>
      <c r="DA31" s="1571">
        <v>351200</v>
      </c>
      <c r="DB31" s="1571">
        <v>400406</v>
      </c>
      <c r="DC31" s="1571">
        <v>381424</v>
      </c>
      <c r="DD31" s="1571">
        <v>738638</v>
      </c>
      <c r="DE31" s="1571">
        <v>398739</v>
      </c>
      <c r="DF31" s="1571">
        <v>339677.39508828003</v>
      </c>
      <c r="DG31" s="1571">
        <v>678284.10450383998</v>
      </c>
      <c r="DH31" s="1571">
        <v>552198.35734986002</v>
      </c>
      <c r="DI31" s="1571">
        <v>470998.38149404997</v>
      </c>
      <c r="DJ31" s="1571">
        <v>721580.89309058001</v>
      </c>
      <c r="DK31" s="1571">
        <v>614693.26182973001</v>
      </c>
      <c r="DL31" s="1571">
        <v>666722.05019410001</v>
      </c>
      <c r="DM31" s="1571">
        <v>645419.89030676999</v>
      </c>
      <c r="DN31" s="1571">
        <v>616778.94836949999</v>
      </c>
      <c r="DO31" s="1571">
        <v>843956.75476699998</v>
      </c>
      <c r="DP31" s="1571">
        <v>769978.93461371993</v>
      </c>
      <c r="DQ31" s="1571">
        <v>446346.26044663001</v>
      </c>
      <c r="DR31" s="1571">
        <v>491519.54274305998</v>
      </c>
      <c r="DS31" s="1571">
        <v>695414.77442673</v>
      </c>
      <c r="DT31" s="1571">
        <v>543297.48919490003</v>
      </c>
      <c r="DU31" s="1571">
        <v>581849.09038713004</v>
      </c>
      <c r="DV31" s="1571">
        <v>620958.78801493999</v>
      </c>
      <c r="DW31" s="1571">
        <v>595257.4521394301</v>
      </c>
      <c r="DX31" s="1571">
        <v>661632.51665587001</v>
      </c>
      <c r="DY31" s="1571">
        <v>1120300.24133371</v>
      </c>
      <c r="DZ31" s="1571">
        <v>734744.53237360995</v>
      </c>
      <c r="EA31" s="1571">
        <v>717803.64546435</v>
      </c>
      <c r="EB31" s="1571">
        <v>761252.90315460996</v>
      </c>
      <c r="EC31" s="1571">
        <v>374609.36915550003</v>
      </c>
      <c r="ED31" s="1571">
        <v>441631.94114834</v>
      </c>
      <c r="EE31" s="1571">
        <v>578118</v>
      </c>
      <c r="EF31" s="1571">
        <v>590967</v>
      </c>
      <c r="EG31" s="1571">
        <v>636929</v>
      </c>
      <c r="EH31" s="1571">
        <v>568318.78967918002</v>
      </c>
      <c r="EI31" s="1571">
        <v>736121.63105037005</v>
      </c>
      <c r="EJ31" s="1571">
        <v>680702.09602177003</v>
      </c>
    </row>
    <row r="32" spans="1:140" s="1561" customFormat="1" ht="19.5" thickBot="1" x14ac:dyDescent="0.3">
      <c r="A32" s="1579" t="s">
        <v>1035</v>
      </c>
      <c r="B32" s="1580">
        <v>43475.962</v>
      </c>
      <c r="C32" s="1580">
        <v>48537.821684000002</v>
      </c>
      <c r="D32" s="1580">
        <v>49277</v>
      </c>
      <c r="E32" s="1580">
        <v>48025.854202000002</v>
      </c>
      <c r="F32" s="1580">
        <v>49703.701975999997</v>
      </c>
      <c r="G32" s="1580">
        <v>53067.547285000001</v>
      </c>
      <c r="H32" s="1580">
        <v>59155.958806000002</v>
      </c>
      <c r="I32" s="1580">
        <v>64143.141479999998</v>
      </c>
      <c r="J32" s="1580">
        <v>69214.900469</v>
      </c>
      <c r="K32" s="1580">
        <v>71752.360537</v>
      </c>
      <c r="L32" s="1580">
        <v>75321.620022000003</v>
      </c>
      <c r="M32" s="1580">
        <v>80369.488157999993</v>
      </c>
      <c r="N32" s="1580">
        <v>91072.939985999998</v>
      </c>
      <c r="O32" s="1580">
        <v>98403.426544000002</v>
      </c>
      <c r="P32" s="1580">
        <v>117848.008845</v>
      </c>
      <c r="Q32" s="1580">
        <v>115113.088988</v>
      </c>
      <c r="R32" s="1580">
        <v>116480.074398</v>
      </c>
      <c r="S32" s="1580">
        <v>115617.07399999999</v>
      </c>
      <c r="T32" s="1580">
        <v>111648.766497</v>
      </c>
      <c r="U32" s="1580">
        <v>113862.141118</v>
      </c>
      <c r="V32" s="1580">
        <v>112979.97785884212</v>
      </c>
      <c r="W32" s="1580">
        <v>110428.05039309504</v>
      </c>
      <c r="X32" s="1580">
        <v>116851.89562260175</v>
      </c>
      <c r="Y32" s="1580">
        <v>117692.05683255615</v>
      </c>
      <c r="Z32" s="1580">
        <v>100044.38523428794</v>
      </c>
      <c r="AA32" s="1580">
        <v>101471</v>
      </c>
      <c r="AB32" s="1580">
        <v>100420</v>
      </c>
      <c r="AC32" s="1580">
        <v>105590.64532</v>
      </c>
      <c r="AD32" s="1580">
        <v>117896.24571768557</v>
      </c>
      <c r="AE32" s="1580">
        <v>121593.60000000001</v>
      </c>
      <c r="AF32" s="1580">
        <v>122222.22262</v>
      </c>
      <c r="AG32" s="1580">
        <v>124915.768279893</v>
      </c>
      <c r="AH32" s="1580">
        <v>128403.24555000001</v>
      </c>
      <c r="AI32" s="1580">
        <v>135061.62512099999</v>
      </c>
      <c r="AJ32" s="1580">
        <v>146194.20597995099</v>
      </c>
      <c r="AK32" s="1580">
        <v>177035.007265758</v>
      </c>
      <c r="AL32" s="1580">
        <v>195294.72709080801</v>
      </c>
      <c r="AM32" s="1580">
        <v>214940</v>
      </c>
      <c r="AN32" s="1580">
        <v>214335</v>
      </c>
      <c r="AO32" s="1580">
        <v>205609</v>
      </c>
      <c r="AP32" s="1580">
        <v>215968.851</v>
      </c>
      <c r="AQ32" s="1580">
        <v>217944</v>
      </c>
      <c r="AR32" s="1580">
        <v>216703</v>
      </c>
      <c r="AS32" s="1580">
        <v>216457.7</v>
      </c>
      <c r="AT32" s="1580">
        <v>213899</v>
      </c>
      <c r="AU32" s="1580">
        <v>212965</v>
      </c>
      <c r="AV32" s="1580">
        <v>224481.08805775986</v>
      </c>
      <c r="AW32" s="1580">
        <v>181541.17812525001</v>
      </c>
      <c r="AX32" s="1580">
        <v>176137</v>
      </c>
      <c r="AY32" s="1580">
        <v>194674</v>
      </c>
      <c r="AZ32" s="1580">
        <v>188079</v>
      </c>
      <c r="BA32" s="1580">
        <v>197391</v>
      </c>
      <c r="BB32" s="1580">
        <v>226130</v>
      </c>
      <c r="BC32" s="1580">
        <v>225756.2</v>
      </c>
      <c r="BD32" s="1580">
        <v>228283</v>
      </c>
      <c r="BE32" s="1580">
        <v>234871</v>
      </c>
      <c r="BF32" s="1580">
        <v>236364.23817</v>
      </c>
      <c r="BG32" s="1580">
        <v>234718</v>
      </c>
      <c r="BH32" s="1580">
        <v>241157.990483</v>
      </c>
      <c r="BI32" s="1580">
        <v>231406</v>
      </c>
      <c r="BJ32" s="1580">
        <v>227153</v>
      </c>
      <c r="BK32" s="1580">
        <v>308437</v>
      </c>
      <c r="BL32" s="1580">
        <v>302369.43099999998</v>
      </c>
      <c r="BM32" s="1580">
        <v>301293.80719001801</v>
      </c>
      <c r="BN32" s="1580">
        <v>314523.66799400002</v>
      </c>
      <c r="BO32" s="1580">
        <v>312583</v>
      </c>
      <c r="BP32" s="1580">
        <v>305996</v>
      </c>
      <c r="BQ32" s="1580">
        <v>306873</v>
      </c>
      <c r="BR32" s="1580">
        <v>305843.20000000001</v>
      </c>
      <c r="BS32" s="1580">
        <v>314276</v>
      </c>
      <c r="BT32" s="1581">
        <v>321557</v>
      </c>
      <c r="BU32" s="1581">
        <v>289071</v>
      </c>
      <c r="BV32" s="1581">
        <v>279667</v>
      </c>
      <c r="BW32" s="1582">
        <v>315896</v>
      </c>
      <c r="BX32" s="1582">
        <v>309936</v>
      </c>
      <c r="BY32" s="1583">
        <v>310207.41610210802</v>
      </c>
      <c r="BZ32" s="1583">
        <v>320820.54713720502</v>
      </c>
      <c r="CA32" s="1583">
        <v>317675.62236045714</v>
      </c>
      <c r="CB32" s="1583">
        <v>320367.69940505625</v>
      </c>
      <c r="CC32" s="1582">
        <v>320503</v>
      </c>
      <c r="CD32" s="1584">
        <v>321384.83916400699</v>
      </c>
      <c r="CE32" s="1584">
        <v>325372.67355854198</v>
      </c>
      <c r="CF32" s="1584">
        <v>327802.34775193903</v>
      </c>
      <c r="CG32" s="1585">
        <v>291526.25022301002</v>
      </c>
      <c r="CH32" s="1586">
        <v>264762.45538692997</v>
      </c>
      <c r="CI32" s="1586">
        <v>300636.50141752302</v>
      </c>
      <c r="CJ32" s="1586">
        <v>316615.12574833998</v>
      </c>
      <c r="CK32" s="1586">
        <v>333713.26908533799</v>
      </c>
      <c r="CL32" s="1586">
        <v>337159</v>
      </c>
      <c r="CM32" s="1586">
        <v>335293.81808035</v>
      </c>
      <c r="CN32" s="1586">
        <v>338128</v>
      </c>
      <c r="CO32" s="1586">
        <v>337460</v>
      </c>
      <c r="CP32" s="1586">
        <v>340275</v>
      </c>
      <c r="CQ32" s="1586">
        <v>348557</v>
      </c>
      <c r="CR32" s="1586">
        <v>359029</v>
      </c>
      <c r="CS32" s="1586">
        <v>336348</v>
      </c>
      <c r="CT32" s="1586">
        <v>318656.68929003505</v>
      </c>
      <c r="CU32" s="1586">
        <v>388264.14850116667</v>
      </c>
      <c r="CV32" s="1587">
        <v>374363</v>
      </c>
      <c r="CW32" s="1587">
        <v>352442</v>
      </c>
      <c r="CX32" s="1587">
        <v>353301</v>
      </c>
      <c r="CY32" s="1587">
        <v>354071</v>
      </c>
      <c r="CZ32" s="1587">
        <v>343670</v>
      </c>
      <c r="DA32" s="1587">
        <v>344507</v>
      </c>
      <c r="DB32" s="1587">
        <v>350097</v>
      </c>
      <c r="DC32" s="1587">
        <v>352945</v>
      </c>
      <c r="DD32" s="1587">
        <v>385086</v>
      </c>
      <c r="DE32" s="1587">
        <v>398739</v>
      </c>
      <c r="DF32" s="1587">
        <v>369208.21791816002</v>
      </c>
      <c r="DG32" s="1587">
        <v>472233.51344672003</v>
      </c>
      <c r="DH32" s="1587">
        <v>492224.72442250501</v>
      </c>
      <c r="DI32" s="1587">
        <v>487979.45583681396</v>
      </c>
      <c r="DJ32" s="1587">
        <v>526913.02871244168</v>
      </c>
      <c r="DK32" s="1587">
        <v>539453.06201491144</v>
      </c>
      <c r="DL32" s="1587">
        <v>555361.68553730997</v>
      </c>
      <c r="DM32" s="1587">
        <v>565368.15273391665</v>
      </c>
      <c r="DN32" s="1587">
        <v>570509.23229747498</v>
      </c>
      <c r="DO32" s="1587">
        <v>595368.09797652275</v>
      </c>
      <c r="DP32" s="1587">
        <v>609919.00102962239</v>
      </c>
      <c r="DQ32" s="1587">
        <v>446346.26044663001</v>
      </c>
      <c r="DR32" s="1587">
        <v>468932.901594845</v>
      </c>
      <c r="DS32" s="1587">
        <v>544426.85920547333</v>
      </c>
      <c r="DT32" s="1587">
        <v>544144.51670282998</v>
      </c>
      <c r="DU32" s="1587">
        <v>551685.43143968994</v>
      </c>
      <c r="DV32" s="1587">
        <v>563230.99086889834</v>
      </c>
      <c r="DW32" s="1587">
        <v>567806.19962183142</v>
      </c>
      <c r="DX32" s="1587">
        <v>579534.48925108614</v>
      </c>
      <c r="DY32" s="1587">
        <v>639619.57281582209</v>
      </c>
      <c r="DZ32" s="1587">
        <v>649132.06877160096</v>
      </c>
      <c r="EA32" s="1587">
        <v>655374.93938003271</v>
      </c>
      <c r="EB32" s="1587">
        <v>664198.10302791419</v>
      </c>
      <c r="EC32" s="1587">
        <v>374609.36915550003</v>
      </c>
      <c r="ED32" s="1587">
        <v>408120.65515192004</v>
      </c>
      <c r="EE32" s="1587">
        <v>464786</v>
      </c>
      <c r="EF32" s="1587">
        <v>496332</v>
      </c>
      <c r="EG32" s="1587">
        <v>524451</v>
      </c>
      <c r="EH32" s="1587">
        <v>531762.31219007005</v>
      </c>
      <c r="EI32" s="1587">
        <v>560956.5005986843</v>
      </c>
      <c r="EJ32" s="1587">
        <v>575924.70002657012</v>
      </c>
    </row>
    <row r="33" spans="1:140" s="1540" customFormat="1" ht="18" customHeight="1" thickTop="1" x14ac:dyDescent="0.25">
      <c r="A33" s="1540" t="s">
        <v>1036</v>
      </c>
    </row>
    <row r="34" spans="1:140" s="1540" customFormat="1" ht="18" customHeight="1" x14ac:dyDescent="0.25">
      <c r="A34" s="1540" t="s">
        <v>1037</v>
      </c>
    </row>
    <row r="35" spans="1:140" x14ac:dyDescent="0.35">
      <c r="A35" s="1543"/>
      <c r="BO35" s="1588"/>
      <c r="CB35" s="1454"/>
      <c r="CC35" s="1454"/>
      <c r="DR35" s="1482"/>
      <c r="DS35" s="1482"/>
      <c r="DT35" s="1482"/>
      <c r="DU35" s="1482"/>
      <c r="DV35" s="1482"/>
      <c r="DW35" s="1482"/>
      <c r="DX35" s="1482"/>
      <c r="DY35" s="1482"/>
      <c r="DZ35" s="1482"/>
      <c r="EA35" s="1482"/>
      <c r="EB35" s="1482"/>
      <c r="EC35" s="1482"/>
      <c r="ED35" s="1482"/>
      <c r="EE35" s="1482"/>
      <c r="EF35" s="1482"/>
      <c r="EG35" s="1482"/>
      <c r="EH35" s="1482"/>
      <c r="EI35" s="1482"/>
    </row>
    <row r="36" spans="1:140" s="1456" customFormat="1" x14ac:dyDescent="0.35">
      <c r="A36" s="1589" t="s">
        <v>1038</v>
      </c>
      <c r="B36" s="1452"/>
      <c r="C36" s="1452"/>
      <c r="D36" s="1452"/>
      <c r="E36" s="1452"/>
      <c r="F36" s="1452"/>
      <c r="G36" s="1452"/>
      <c r="H36" s="1452"/>
      <c r="I36" s="1452"/>
      <c r="J36" s="1452"/>
      <c r="K36" s="1452"/>
      <c r="L36" s="1452"/>
      <c r="M36" s="1452"/>
      <c r="N36" s="1452"/>
      <c r="O36" s="1452"/>
      <c r="P36" s="1452"/>
      <c r="Q36" s="1452"/>
      <c r="R36" s="1452"/>
      <c r="S36" s="1452"/>
      <c r="T36" s="1452"/>
      <c r="U36" s="1452"/>
      <c r="V36" s="1452"/>
      <c r="W36" s="1452"/>
      <c r="X36" s="1452"/>
      <c r="Y36" s="1452"/>
      <c r="Z36" s="1452"/>
      <c r="AA36" s="1452"/>
      <c r="AB36" s="1452"/>
      <c r="AC36" s="1452"/>
      <c r="AD36" s="1452"/>
      <c r="AE36" s="1452"/>
      <c r="AF36" s="1452"/>
      <c r="AG36" s="1452"/>
      <c r="AH36" s="1452"/>
      <c r="AI36" s="1452"/>
      <c r="AJ36" s="1452"/>
      <c r="AK36" s="1452"/>
      <c r="AL36" s="1452"/>
      <c r="AM36" s="1452"/>
      <c r="AN36" s="1452"/>
      <c r="AO36" s="1452"/>
      <c r="AP36" s="1452"/>
      <c r="AQ36" s="1452"/>
      <c r="AR36" s="1452"/>
      <c r="AS36" s="1452"/>
      <c r="AT36" s="1452"/>
      <c r="AU36" s="1452"/>
      <c r="AV36" s="1452"/>
      <c r="AW36" s="1452"/>
      <c r="AX36" s="1452"/>
      <c r="AY36" s="1452"/>
      <c r="AZ36" s="1452"/>
      <c r="BA36" s="1452"/>
      <c r="BB36" s="1452"/>
      <c r="BC36" s="1452"/>
      <c r="BD36" s="1452"/>
      <c r="BE36" s="1452"/>
      <c r="BF36" s="1452"/>
      <c r="BG36" s="1452"/>
      <c r="BH36" s="1452"/>
      <c r="BI36" s="1452"/>
      <c r="BJ36" s="1452"/>
      <c r="BK36" s="1452"/>
      <c r="BL36" s="1452"/>
      <c r="BM36" s="1452"/>
      <c r="BN36" s="1452"/>
      <c r="BO36" s="1452"/>
      <c r="BP36" s="1452"/>
      <c r="BQ36" s="1452"/>
      <c r="BR36" s="1452"/>
      <c r="BS36" s="1452"/>
      <c r="BT36" s="1452"/>
      <c r="BU36" s="1452"/>
      <c r="BV36" s="1452"/>
      <c r="BW36" s="1453"/>
      <c r="BX36" s="1453"/>
      <c r="BY36" s="1453"/>
      <c r="BZ36" s="1454"/>
      <c r="CA36" s="1454"/>
      <c r="CB36" s="1454"/>
      <c r="CC36" s="1454"/>
      <c r="CD36" s="1454"/>
      <c r="CE36" s="1454"/>
      <c r="CF36" s="1454"/>
      <c r="CG36" s="1454"/>
      <c r="CH36" s="1454"/>
      <c r="CI36" s="1454"/>
      <c r="CJ36" s="1454"/>
      <c r="CK36" s="1454"/>
      <c r="CL36" s="1454"/>
      <c r="CM36" s="1454"/>
      <c r="CN36" s="1454"/>
      <c r="CO36" s="1454"/>
      <c r="CP36" s="1454"/>
      <c r="CQ36" s="1454"/>
      <c r="CR36" s="1454"/>
      <c r="CS36" s="1454"/>
      <c r="CT36" s="1454"/>
      <c r="CU36" s="1454"/>
      <c r="CV36" s="1454"/>
      <c r="CW36" s="1454"/>
      <c r="CX36" s="1454"/>
      <c r="CY36" s="1454"/>
      <c r="CZ36" s="1454"/>
      <c r="DA36" s="1454"/>
      <c r="DB36" s="1454"/>
      <c r="DC36" s="1454"/>
      <c r="DD36" s="1454"/>
      <c r="DE36" s="1454"/>
      <c r="DF36" s="1454"/>
      <c r="DG36" s="1454"/>
      <c r="DH36" s="1454"/>
      <c r="DI36" s="1454"/>
      <c r="DJ36" s="1454"/>
      <c r="DK36" s="1454"/>
      <c r="DL36" s="1454"/>
      <c r="DM36" s="1454"/>
      <c r="DN36" s="1454"/>
      <c r="DO36" s="1547"/>
      <c r="DP36" s="1547"/>
      <c r="DQ36" s="1547"/>
      <c r="DR36" s="1482"/>
      <c r="DS36" s="1482"/>
      <c r="DT36" s="1482"/>
      <c r="DU36" s="1482"/>
      <c r="DV36" s="1482"/>
      <c r="DW36" s="1482"/>
      <c r="DX36" s="1482"/>
      <c r="DY36" s="1482"/>
      <c r="DZ36" s="1482"/>
      <c r="EA36" s="1482"/>
      <c r="EB36" s="1482"/>
      <c r="EC36" s="1482"/>
      <c r="ED36" s="1482"/>
      <c r="EE36" s="1482"/>
      <c r="EF36" s="1482"/>
      <c r="EG36" s="1482"/>
      <c r="EH36" s="1482"/>
      <c r="EI36" s="1482"/>
    </row>
    <row r="37" spans="1:140" s="1548" customFormat="1" ht="19.5" thickBot="1" x14ac:dyDescent="0.4">
      <c r="B37" s="1549"/>
      <c r="C37" s="1549"/>
      <c r="D37" s="1549"/>
      <c r="E37" s="1549"/>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549"/>
      <c r="AM37" s="1549"/>
      <c r="AN37" s="1549"/>
      <c r="AO37" s="1549"/>
      <c r="AP37" s="1549"/>
      <c r="AQ37" s="1549"/>
      <c r="AR37" s="1549"/>
      <c r="AS37" s="1549"/>
      <c r="AT37" s="1549"/>
      <c r="AU37" s="1549"/>
      <c r="AV37" s="1549"/>
      <c r="AW37" s="1549"/>
      <c r="AX37" s="1549"/>
      <c r="AY37" s="1549"/>
      <c r="AZ37" s="1549"/>
      <c r="BA37" s="1549"/>
      <c r="BB37" s="1549"/>
      <c r="BC37" s="1549"/>
      <c r="BD37" s="1549"/>
      <c r="BE37" s="1549"/>
      <c r="BF37" s="1549"/>
      <c r="BG37" s="1549"/>
      <c r="BH37" s="1549"/>
      <c r="BI37" s="1549"/>
      <c r="BJ37" s="1549"/>
      <c r="BK37" s="1549"/>
      <c r="BL37" s="1549"/>
      <c r="BM37" s="1549"/>
      <c r="BN37" s="1549"/>
      <c r="BO37" s="1549"/>
      <c r="BP37" s="1549"/>
      <c r="BQ37" s="1549"/>
      <c r="BR37" s="1549"/>
      <c r="BS37" s="1549"/>
      <c r="BT37" s="1549"/>
      <c r="BU37" s="1549"/>
      <c r="BV37" s="1549"/>
      <c r="BW37" s="1453"/>
      <c r="BX37" s="1453"/>
      <c r="BY37" s="1453"/>
      <c r="BZ37" s="1454"/>
      <c r="CA37" s="1454"/>
      <c r="CB37" s="1454"/>
      <c r="CC37" s="1454"/>
      <c r="CD37" s="1454"/>
      <c r="CE37" s="1454"/>
      <c r="CF37" s="1454"/>
      <c r="CG37" s="1454"/>
      <c r="CH37" s="1454"/>
      <c r="CI37" s="1454"/>
      <c r="CJ37" s="1454"/>
      <c r="CK37" s="1454"/>
      <c r="CL37" s="1454"/>
      <c r="CM37" s="1454"/>
      <c r="CN37" s="1454"/>
      <c r="CO37" s="1454"/>
      <c r="CP37" s="1454"/>
      <c r="CQ37" s="1454"/>
      <c r="CR37" s="1454"/>
      <c r="CS37" s="1454"/>
      <c r="CT37" s="1454"/>
      <c r="CU37" s="1454"/>
      <c r="CV37" s="1454"/>
      <c r="CW37" s="1454"/>
      <c r="CX37" s="1454"/>
      <c r="CY37" s="1454"/>
      <c r="CZ37" s="1454"/>
      <c r="DA37" s="1454"/>
      <c r="DB37" s="1454"/>
      <c r="DC37" s="1454"/>
      <c r="DD37" s="1454"/>
      <c r="DE37" s="1454"/>
      <c r="DF37" s="1454"/>
      <c r="DG37" s="1454"/>
      <c r="DH37" s="1454"/>
      <c r="DI37" s="1590"/>
      <c r="DJ37" s="1590"/>
      <c r="DK37" s="1590"/>
      <c r="DL37" s="1590"/>
      <c r="DM37" s="1590"/>
      <c r="DN37" s="1590"/>
      <c r="DO37" s="1590"/>
      <c r="DP37" s="1591"/>
      <c r="DQ37" s="1591"/>
      <c r="DR37" s="1482"/>
      <c r="DS37" s="1482"/>
      <c r="DT37" s="1482"/>
      <c r="DU37" s="1482"/>
      <c r="DV37" s="1482"/>
      <c r="DW37" s="1482"/>
      <c r="DX37" s="1482"/>
      <c r="DY37" s="1482"/>
      <c r="DZ37" s="1482"/>
    </row>
    <row r="38" spans="1:140" s="1551" customFormat="1" ht="21.75" thickTop="1" thickBot="1" x14ac:dyDescent="0.3">
      <c r="A38" s="1462"/>
      <c r="B38" s="1592">
        <v>40910</v>
      </c>
      <c r="C38" s="1593">
        <v>40941</v>
      </c>
      <c r="D38" s="1593">
        <v>40971</v>
      </c>
      <c r="E38" s="1593">
        <v>41003</v>
      </c>
      <c r="F38" s="1593">
        <v>41034</v>
      </c>
      <c r="G38" s="1593">
        <v>41066</v>
      </c>
      <c r="H38" s="1593">
        <v>41097</v>
      </c>
      <c r="I38" s="1593">
        <v>41129</v>
      </c>
      <c r="J38" s="1593">
        <v>41161</v>
      </c>
      <c r="K38" s="1593">
        <v>41192</v>
      </c>
      <c r="L38" s="1593">
        <v>41224</v>
      </c>
      <c r="M38" s="1593">
        <v>41255</v>
      </c>
      <c r="N38" s="1593">
        <v>41275</v>
      </c>
      <c r="O38" s="1593">
        <v>41307</v>
      </c>
      <c r="P38" s="1593">
        <v>41336</v>
      </c>
      <c r="Q38" s="1593">
        <f t="shared" ref="Q38:AL38" si="3">Q16</f>
        <v>0</v>
      </c>
      <c r="R38" s="1593">
        <f t="shared" si="3"/>
        <v>115.1</v>
      </c>
      <c r="S38" s="1593">
        <f t="shared" si="3"/>
        <v>0</v>
      </c>
      <c r="T38" s="1593">
        <f t="shared" si="3"/>
        <v>0</v>
      </c>
      <c r="U38" s="1593">
        <f t="shared" si="3"/>
        <v>117.9</v>
      </c>
      <c r="V38" s="1593">
        <f t="shared" si="3"/>
        <v>0</v>
      </c>
      <c r="W38" s="1593">
        <f t="shared" si="3"/>
        <v>0</v>
      </c>
      <c r="X38" s="1593">
        <f t="shared" si="3"/>
        <v>124.21299999999999</v>
      </c>
      <c r="Y38" s="1593">
        <f t="shared" si="3"/>
        <v>0</v>
      </c>
      <c r="Z38" s="1593">
        <f t="shared" si="3"/>
        <v>0</v>
      </c>
      <c r="AA38" s="1593">
        <f t="shared" si="3"/>
        <v>139.63999999999999</v>
      </c>
      <c r="AB38" s="1593">
        <f t="shared" si="3"/>
        <v>0</v>
      </c>
      <c r="AC38" s="1593">
        <f t="shared" si="3"/>
        <v>0</v>
      </c>
      <c r="AD38" s="1593">
        <f t="shared" si="3"/>
        <v>150.70099999999999</v>
      </c>
      <c r="AE38" s="1593">
        <f t="shared" si="3"/>
        <v>0</v>
      </c>
      <c r="AF38" s="1593">
        <f t="shared" si="3"/>
        <v>0</v>
      </c>
      <c r="AG38" s="1593">
        <f t="shared" si="3"/>
        <v>158.79</v>
      </c>
      <c r="AH38" s="1593">
        <f t="shared" si="3"/>
        <v>0</v>
      </c>
      <c r="AI38" s="1593">
        <f t="shared" si="3"/>
        <v>0</v>
      </c>
      <c r="AJ38" s="1593">
        <f t="shared" si="3"/>
        <v>180.48079826594008</v>
      </c>
      <c r="AK38" s="1593">
        <f t="shared" si="3"/>
        <v>0</v>
      </c>
      <c r="AL38" s="1593">
        <f t="shared" si="3"/>
        <v>0</v>
      </c>
      <c r="AM38" s="1593">
        <v>42064</v>
      </c>
      <c r="AN38" s="1593">
        <v>42096</v>
      </c>
      <c r="AO38" s="1593">
        <f>AO16</f>
        <v>0</v>
      </c>
      <c r="AP38" s="1593">
        <v>42185</v>
      </c>
      <c r="AQ38" s="1593">
        <v>42186</v>
      </c>
      <c r="AR38" s="1593">
        <v>42218</v>
      </c>
      <c r="AS38" s="1593">
        <v>42250</v>
      </c>
      <c r="AT38" s="1593">
        <v>42281</v>
      </c>
      <c r="AU38" s="1593">
        <v>42313</v>
      </c>
      <c r="AV38" s="1593">
        <v>42343</v>
      </c>
      <c r="AW38" s="1593">
        <v>42375</v>
      </c>
      <c r="AX38" s="1593">
        <v>42401</v>
      </c>
      <c r="AY38" s="1593">
        <v>42430</v>
      </c>
      <c r="AZ38" s="1593">
        <v>42461</v>
      </c>
      <c r="BA38" s="1593">
        <v>42491</v>
      </c>
      <c r="BB38" s="1593">
        <v>42522</v>
      </c>
      <c r="BC38" s="1593">
        <v>42552</v>
      </c>
      <c r="BD38" s="1593">
        <v>42583</v>
      </c>
      <c r="BE38" s="1463">
        <v>42615</v>
      </c>
      <c r="BF38" s="1463">
        <v>42645</v>
      </c>
      <c r="BG38" s="1463">
        <v>42677</v>
      </c>
      <c r="BH38" s="1463">
        <f t="shared" ref="BH38:CD38" si="4">BH3</f>
        <v>42708</v>
      </c>
      <c r="BI38" s="1463">
        <f t="shared" si="4"/>
        <v>42739</v>
      </c>
      <c r="BJ38" s="1463">
        <f t="shared" si="4"/>
        <v>42771</v>
      </c>
      <c r="BK38" s="1463">
        <f t="shared" si="4"/>
        <v>42799</v>
      </c>
      <c r="BL38" s="1463">
        <f t="shared" si="4"/>
        <v>42830</v>
      </c>
      <c r="BM38" s="1463">
        <f t="shared" si="4"/>
        <v>42860</v>
      </c>
      <c r="BN38" s="1463">
        <f t="shared" si="4"/>
        <v>42891</v>
      </c>
      <c r="BO38" s="1463">
        <f t="shared" si="4"/>
        <v>42921</v>
      </c>
      <c r="BP38" s="1463">
        <f t="shared" si="4"/>
        <v>42953</v>
      </c>
      <c r="BQ38" s="1467">
        <f t="shared" si="4"/>
        <v>42984</v>
      </c>
      <c r="BR38" s="1463">
        <f t="shared" si="4"/>
        <v>43014</v>
      </c>
      <c r="BS38" s="1463">
        <f t="shared" si="4"/>
        <v>43045</v>
      </c>
      <c r="BT38" s="1463">
        <f t="shared" si="4"/>
        <v>43075</v>
      </c>
      <c r="BU38" s="1463">
        <f t="shared" si="4"/>
        <v>43106</v>
      </c>
      <c r="BV38" s="1463">
        <f t="shared" si="4"/>
        <v>43137</v>
      </c>
      <c r="BW38" s="1463">
        <f t="shared" si="4"/>
        <v>43165</v>
      </c>
      <c r="BX38" s="1463">
        <f t="shared" si="4"/>
        <v>43196</v>
      </c>
      <c r="BY38" s="1463">
        <f t="shared" si="4"/>
        <v>43226</v>
      </c>
      <c r="BZ38" s="1463">
        <f t="shared" si="4"/>
        <v>43258</v>
      </c>
      <c r="CA38" s="1463">
        <f t="shared" si="4"/>
        <v>43288</v>
      </c>
      <c r="CB38" s="1463">
        <f t="shared" si="4"/>
        <v>43321</v>
      </c>
      <c r="CC38" s="1463">
        <f t="shared" si="4"/>
        <v>43352</v>
      </c>
      <c r="CD38" s="1464">
        <f t="shared" si="4"/>
        <v>43382</v>
      </c>
      <c r="CE38" s="1464">
        <v>43414</v>
      </c>
      <c r="CF38" s="1464">
        <v>43445</v>
      </c>
      <c r="CG38" s="1464">
        <v>43476</v>
      </c>
      <c r="CH38" s="1464">
        <v>43507</v>
      </c>
      <c r="CI38" s="1463">
        <v>43535</v>
      </c>
      <c r="CJ38" s="1463">
        <v>43566</v>
      </c>
      <c r="CK38" s="1463">
        <v>43586</v>
      </c>
      <c r="CL38" s="1463">
        <v>43617</v>
      </c>
      <c r="CM38" s="1463">
        <v>43647</v>
      </c>
      <c r="CN38" s="1463">
        <v>43678</v>
      </c>
      <c r="CO38" s="1463">
        <v>43717</v>
      </c>
      <c r="CP38" s="1463">
        <v>43747</v>
      </c>
      <c r="CQ38" s="1463">
        <v>43778</v>
      </c>
      <c r="CR38" s="1463">
        <v>43808</v>
      </c>
      <c r="CS38" s="1463">
        <v>43839</v>
      </c>
      <c r="CT38" s="1467">
        <v>43870</v>
      </c>
      <c r="CU38" s="1463">
        <v>43899</v>
      </c>
      <c r="CV38" s="1466">
        <v>43930</v>
      </c>
      <c r="CW38" s="1466">
        <v>43960</v>
      </c>
      <c r="CX38" s="1466">
        <v>43991</v>
      </c>
      <c r="CY38" s="1466">
        <v>44021</v>
      </c>
      <c r="CZ38" s="1466">
        <v>44052</v>
      </c>
      <c r="DA38" s="1466">
        <v>44083</v>
      </c>
      <c r="DB38" s="1466">
        <v>44113</v>
      </c>
      <c r="DC38" s="1466">
        <v>44144</v>
      </c>
      <c r="DD38" s="1466">
        <v>44174</v>
      </c>
      <c r="DE38" s="1466">
        <v>44197</v>
      </c>
      <c r="DF38" s="1466">
        <v>44228</v>
      </c>
      <c r="DG38" s="1466">
        <v>44256</v>
      </c>
      <c r="DH38" s="1466">
        <v>44287</v>
      </c>
      <c r="DI38" s="1466">
        <v>44317</v>
      </c>
      <c r="DJ38" s="1466">
        <v>44348</v>
      </c>
      <c r="DK38" s="1466">
        <v>44378</v>
      </c>
      <c r="DL38" s="1466">
        <v>44409</v>
      </c>
      <c r="DM38" s="1466">
        <v>44440</v>
      </c>
      <c r="DN38" s="1466">
        <v>44470</v>
      </c>
      <c r="DO38" s="1466">
        <v>44501</v>
      </c>
      <c r="DP38" s="1466">
        <v>44531</v>
      </c>
      <c r="DQ38" s="1466">
        <v>44562</v>
      </c>
      <c r="DR38" s="1466">
        <v>44593</v>
      </c>
      <c r="DS38" s="1466">
        <v>44621</v>
      </c>
      <c r="DT38" s="1466">
        <v>44652</v>
      </c>
      <c r="DU38" s="1466">
        <v>44682</v>
      </c>
      <c r="DV38" s="1466">
        <v>44713</v>
      </c>
      <c r="DW38" s="1466">
        <v>44743</v>
      </c>
      <c r="DX38" s="1466">
        <v>44774</v>
      </c>
      <c r="DY38" s="1466">
        <v>44805</v>
      </c>
      <c r="DZ38" s="1466">
        <v>44835</v>
      </c>
      <c r="EA38" s="1466">
        <v>44866</v>
      </c>
      <c r="EB38" s="1466">
        <v>44896</v>
      </c>
      <c r="EC38" s="1466">
        <v>44927</v>
      </c>
      <c r="ED38" s="1466">
        <v>44958</v>
      </c>
      <c r="EE38" s="1466">
        <v>44986</v>
      </c>
      <c r="EF38" s="1466">
        <v>45017</v>
      </c>
      <c r="EG38" s="1466">
        <v>45047</v>
      </c>
      <c r="EH38" s="1466">
        <v>45078</v>
      </c>
      <c r="EI38" s="1466">
        <v>45108</v>
      </c>
      <c r="EJ38" s="1466">
        <v>45139</v>
      </c>
    </row>
    <row r="39" spans="1:140" s="1561" customFormat="1" ht="20.25" x14ac:dyDescent="0.25">
      <c r="A39" s="1594"/>
      <c r="B39" s="1595"/>
      <c r="C39" s="1595"/>
      <c r="D39" s="1595"/>
      <c r="E39" s="1595"/>
      <c r="F39" s="1595"/>
      <c r="G39" s="1595"/>
      <c r="H39" s="1595"/>
      <c r="I39" s="1595"/>
      <c r="J39" s="1595"/>
      <c r="K39" s="1595"/>
      <c r="L39" s="1595"/>
      <c r="M39" s="1595"/>
      <c r="N39" s="1595"/>
      <c r="O39" s="1595"/>
      <c r="P39" s="1595"/>
      <c r="Q39" s="1595"/>
      <c r="R39" s="1595"/>
      <c r="S39" s="1595"/>
      <c r="T39" s="1595"/>
      <c r="U39" s="1595"/>
      <c r="V39" s="1595"/>
      <c r="W39" s="1595"/>
      <c r="X39" s="1595"/>
      <c r="Y39" s="1595"/>
      <c r="Z39" s="1595"/>
      <c r="AA39" s="1595"/>
      <c r="AB39" s="1595"/>
      <c r="AC39" s="1595"/>
      <c r="AD39" s="1595"/>
      <c r="AE39" s="1595"/>
      <c r="AF39" s="1595"/>
      <c r="AG39" s="1595"/>
      <c r="AH39" s="1595"/>
      <c r="AI39" s="1595"/>
      <c r="AJ39" s="1595"/>
      <c r="AK39" s="1595"/>
      <c r="AL39" s="1595"/>
      <c r="AM39" s="1595"/>
      <c r="AN39" s="1595"/>
      <c r="AO39" s="1595"/>
      <c r="AP39" s="1595"/>
      <c r="AQ39" s="1596"/>
      <c r="AR39" s="1596"/>
      <c r="AS39" s="1596"/>
      <c r="AT39" s="1596"/>
      <c r="AU39" s="1596"/>
      <c r="AV39" s="1596"/>
      <c r="AW39" s="1596"/>
      <c r="AX39" s="1596"/>
      <c r="AY39" s="1596"/>
      <c r="AZ39" s="1596"/>
      <c r="BA39" s="1596"/>
      <c r="BB39" s="1596"/>
      <c r="BC39" s="1596"/>
      <c r="BD39" s="1596"/>
      <c r="BE39" s="1596"/>
      <c r="BF39" s="1596"/>
      <c r="BG39" s="1596"/>
      <c r="BH39" s="1596"/>
      <c r="BI39" s="1596"/>
      <c r="BJ39" s="1596"/>
      <c r="BK39" s="1596"/>
      <c r="BL39" s="1596"/>
      <c r="BM39" s="1596"/>
      <c r="BN39" s="1596"/>
      <c r="BO39" s="1596"/>
      <c r="BP39" s="1596"/>
      <c r="BQ39" s="1597"/>
      <c r="BR39" s="1554"/>
      <c r="BS39" s="1554"/>
      <c r="BT39" s="1598"/>
      <c r="BU39" s="1598"/>
      <c r="BV39" s="1598"/>
      <c r="BW39" s="1599"/>
      <c r="BX39" s="1599"/>
      <c r="BY39" s="1599"/>
      <c r="BZ39" s="1599"/>
      <c r="CA39" s="1599"/>
      <c r="CB39" s="1599"/>
      <c r="CC39" s="1599"/>
      <c r="CD39" s="1600"/>
      <c r="CE39" s="1600"/>
      <c r="CF39" s="1600"/>
      <c r="CG39" s="1601"/>
      <c r="CH39" s="1602"/>
      <c r="CI39" s="1602"/>
      <c r="CJ39" s="1602"/>
      <c r="CK39" s="1602"/>
      <c r="CL39" s="1602"/>
      <c r="CM39" s="1602"/>
      <c r="CN39" s="1602"/>
      <c r="CO39" s="1602"/>
      <c r="CP39" s="1602"/>
      <c r="CQ39" s="1602"/>
      <c r="CR39" s="1602"/>
      <c r="CS39" s="1602"/>
      <c r="CT39" s="1603"/>
      <c r="CU39" s="1602"/>
      <c r="CV39" s="1604"/>
      <c r="CW39" s="1604"/>
      <c r="CX39" s="1604"/>
      <c r="CY39" s="1604"/>
      <c r="CZ39" s="1604"/>
      <c r="DA39" s="1604"/>
      <c r="DB39" s="1604"/>
      <c r="DC39" s="1604"/>
      <c r="DD39" s="1604"/>
      <c r="DE39" s="1604"/>
      <c r="DF39" s="1604"/>
      <c r="DG39" s="1604"/>
      <c r="DH39" s="1604"/>
      <c r="DI39" s="1604"/>
      <c r="DJ39" s="1604"/>
      <c r="DK39" s="1604"/>
      <c r="DL39" s="1604"/>
      <c r="DM39" s="1604"/>
      <c r="DN39" s="1604"/>
      <c r="DO39" s="1604"/>
      <c r="DP39" s="1604"/>
      <c r="DQ39" s="1604"/>
      <c r="DR39" s="1604"/>
      <c r="DS39" s="1604"/>
      <c r="DT39" s="1604"/>
      <c r="DU39" s="1604"/>
      <c r="DV39" s="1604"/>
      <c r="DW39" s="1604"/>
      <c r="DX39" s="1604"/>
      <c r="DY39" s="1604"/>
      <c r="DZ39" s="1604"/>
      <c r="EA39" s="1604"/>
      <c r="EB39" s="1604"/>
      <c r="EC39" s="1604"/>
      <c r="ED39" s="1604"/>
      <c r="EE39" s="1604"/>
      <c r="EF39" s="1604"/>
      <c r="EG39" s="1604"/>
      <c r="EH39" s="1604"/>
      <c r="EI39" s="1604"/>
      <c r="EJ39" s="1604"/>
    </row>
    <row r="40" spans="1:140" s="1561" customFormat="1" ht="29.25" customHeight="1" x14ac:dyDescent="0.25">
      <c r="A40" s="1469" t="s">
        <v>1039</v>
      </c>
      <c r="B40" s="1605">
        <v>218504</v>
      </c>
      <c r="C40" s="1605">
        <v>224119</v>
      </c>
      <c r="D40" s="1605">
        <v>228136</v>
      </c>
      <c r="E40" s="1605">
        <v>226594</v>
      </c>
      <c r="F40" s="1605">
        <v>231147</v>
      </c>
      <c r="G40" s="1605">
        <v>235129</v>
      </c>
      <c r="H40" s="1605">
        <v>239464</v>
      </c>
      <c r="I40" s="1605">
        <v>218381</v>
      </c>
      <c r="J40" s="1605">
        <v>220362</v>
      </c>
      <c r="K40" s="1605">
        <v>197884</v>
      </c>
      <c r="L40" s="1605">
        <v>196323</v>
      </c>
      <c r="M40" s="1605">
        <v>200345</v>
      </c>
      <c r="N40" s="1605">
        <v>204835</v>
      </c>
      <c r="O40" s="1605">
        <v>211679</v>
      </c>
      <c r="P40" s="1605">
        <v>216738</v>
      </c>
      <c r="Q40" s="1605">
        <v>225759</v>
      </c>
      <c r="R40" s="1605">
        <v>229500</v>
      </c>
      <c r="S40" s="1605">
        <v>234910</v>
      </c>
      <c r="T40" s="1605">
        <v>235346</v>
      </c>
      <c r="U40" s="1605">
        <v>234435</v>
      </c>
      <c r="V40" s="1605">
        <v>234949</v>
      </c>
      <c r="W40" s="1605">
        <v>237508</v>
      </c>
      <c r="X40" s="1605">
        <v>240808</v>
      </c>
      <c r="Y40" s="1605">
        <v>240601</v>
      </c>
      <c r="Z40" s="1605">
        <v>243965</v>
      </c>
      <c r="AA40" s="1605">
        <v>235627</v>
      </c>
      <c r="AB40" s="1605">
        <v>252507</v>
      </c>
      <c r="AC40" s="1605">
        <v>257288</v>
      </c>
      <c r="AD40" s="1605">
        <v>260171</v>
      </c>
      <c r="AE40" s="1605">
        <v>264655</v>
      </c>
      <c r="AF40" s="1605">
        <v>269188</v>
      </c>
      <c r="AG40" s="1605">
        <v>266521</v>
      </c>
      <c r="AH40" s="1605">
        <v>276104</v>
      </c>
      <c r="AI40" s="1605">
        <v>280712</v>
      </c>
      <c r="AJ40" s="1605">
        <v>285085</v>
      </c>
      <c r="AK40" s="1605">
        <v>288922</v>
      </c>
      <c r="AL40" s="1605">
        <v>294619</v>
      </c>
      <c r="AM40" s="1605">
        <v>299638</v>
      </c>
      <c r="AN40" s="1605">
        <v>217817</v>
      </c>
      <c r="AO40" s="1605">
        <v>300581</v>
      </c>
      <c r="AP40" s="1605"/>
      <c r="AQ40" s="1605"/>
      <c r="AR40" s="1605"/>
      <c r="AS40" s="1605"/>
      <c r="AT40" s="1605"/>
      <c r="AU40" s="1605"/>
      <c r="AV40" s="1605"/>
      <c r="AW40" s="1605">
        <v>672570</v>
      </c>
      <c r="AX40" s="1605">
        <v>679467</v>
      </c>
      <c r="AY40" s="1605">
        <v>687041</v>
      </c>
      <c r="AZ40" s="1605">
        <v>693664</v>
      </c>
      <c r="BA40" s="1605">
        <v>702420</v>
      </c>
      <c r="BB40" s="1605">
        <v>710824</v>
      </c>
      <c r="BC40" s="1605">
        <v>719508</v>
      </c>
      <c r="BD40" s="1605">
        <v>731005</v>
      </c>
      <c r="BE40" s="1605">
        <v>758476</v>
      </c>
      <c r="BF40" s="1605">
        <v>832915</v>
      </c>
      <c r="BG40" s="1605">
        <v>858067</v>
      </c>
      <c r="BH40" s="1605">
        <v>879560</v>
      </c>
      <c r="BI40" s="1605">
        <v>889071</v>
      </c>
      <c r="BJ40" s="1605">
        <v>908689</v>
      </c>
      <c r="BK40" s="1605">
        <v>919742</v>
      </c>
      <c r="BL40" s="1605">
        <v>925848</v>
      </c>
      <c r="BM40" s="1605">
        <v>935242</v>
      </c>
      <c r="BN40" s="1605">
        <v>925194</v>
      </c>
      <c r="BO40" s="1605">
        <v>933381</v>
      </c>
      <c r="BP40" s="1605">
        <v>942015</v>
      </c>
      <c r="BQ40" s="1606">
        <v>940854</v>
      </c>
      <c r="BR40" s="1505">
        <v>949490</v>
      </c>
      <c r="BS40" s="1505">
        <v>955043</v>
      </c>
      <c r="BT40" s="1505">
        <v>941619</v>
      </c>
      <c r="BU40" s="1505">
        <v>948229</v>
      </c>
      <c r="BV40" s="1505">
        <v>948516</v>
      </c>
      <c r="BW40" s="1568">
        <v>964530</v>
      </c>
      <c r="BX40" s="1568">
        <v>970935</v>
      </c>
      <c r="BY40" s="1568">
        <v>951686</v>
      </c>
      <c r="BZ40" s="1568">
        <v>955733</v>
      </c>
      <c r="CA40" s="1568">
        <v>961636</v>
      </c>
      <c r="CB40" s="1568">
        <v>971144</v>
      </c>
      <c r="CC40" s="1568">
        <v>1020313</v>
      </c>
      <c r="CD40" s="1569">
        <v>1054427</v>
      </c>
      <c r="CE40" s="1569">
        <v>1063554</v>
      </c>
      <c r="CF40" s="1569">
        <v>1082866</v>
      </c>
      <c r="CG40" s="1570">
        <v>1099053</v>
      </c>
      <c r="CH40" s="1505">
        <v>1096488</v>
      </c>
      <c r="CI40" s="1505">
        <v>1103074</v>
      </c>
      <c r="CJ40" s="1505">
        <v>1027475</v>
      </c>
      <c r="CK40" s="1505">
        <v>1042447</v>
      </c>
      <c r="CL40" s="1505">
        <v>1052016</v>
      </c>
      <c r="CM40" s="1505">
        <v>1060931</v>
      </c>
      <c r="CN40" s="1505">
        <v>1076283</v>
      </c>
      <c r="CO40" s="1505">
        <v>1105684</v>
      </c>
      <c r="CP40" s="1505">
        <v>1111715</v>
      </c>
      <c r="CQ40" s="1505">
        <v>1131993</v>
      </c>
      <c r="CR40" s="1505">
        <v>1149028</v>
      </c>
      <c r="CS40" s="1505">
        <v>1164885</v>
      </c>
      <c r="CT40" s="1607">
        <v>1176052</v>
      </c>
      <c r="CU40" s="1505">
        <v>1184820</v>
      </c>
      <c r="CV40" s="1608">
        <v>1194417</v>
      </c>
      <c r="CW40" s="1608">
        <v>1208125</v>
      </c>
      <c r="CX40" s="1608">
        <v>1215189</v>
      </c>
      <c r="CY40" s="1608">
        <v>1234367</v>
      </c>
      <c r="CZ40" s="1608">
        <v>1245363</v>
      </c>
      <c r="DA40" s="1608">
        <v>1259364</v>
      </c>
      <c r="DB40" s="1608">
        <v>1277748</v>
      </c>
      <c r="DC40" s="1608">
        <v>1287327</v>
      </c>
      <c r="DD40" s="1608">
        <v>1299204</v>
      </c>
      <c r="DE40" s="1608">
        <v>1307420</v>
      </c>
      <c r="DF40" s="1608">
        <v>1305861</v>
      </c>
      <c r="DG40" s="1608">
        <v>1309959</v>
      </c>
      <c r="DH40" s="1608">
        <v>1315174</v>
      </c>
      <c r="DI40" s="1608">
        <v>1325954</v>
      </c>
      <c r="DJ40" s="1608">
        <v>1329927</v>
      </c>
      <c r="DK40" s="1608">
        <v>1318181</v>
      </c>
      <c r="DL40" s="1608">
        <v>1316640</v>
      </c>
      <c r="DM40" s="1608">
        <v>1321136</v>
      </c>
      <c r="DN40" s="1608">
        <v>1326357</v>
      </c>
      <c r="DO40" s="1608">
        <v>1326980</v>
      </c>
      <c r="DP40" s="1608">
        <v>1331221</v>
      </c>
      <c r="DQ40" s="1608">
        <v>1334910</v>
      </c>
      <c r="DR40" s="1608">
        <v>1322637</v>
      </c>
      <c r="DS40" s="1608">
        <v>1339490</v>
      </c>
      <c r="DT40" s="1608">
        <v>1354279</v>
      </c>
      <c r="DU40" s="1608">
        <v>1366846</v>
      </c>
      <c r="DV40" s="1608">
        <v>1374406</v>
      </c>
      <c r="DW40" s="1608">
        <v>1388313</v>
      </c>
      <c r="DX40" s="1608">
        <v>1402380</v>
      </c>
      <c r="DY40" s="1608">
        <v>1413905</v>
      </c>
      <c r="DZ40" s="1608">
        <v>1425978</v>
      </c>
      <c r="EA40" s="1608">
        <v>1434624</v>
      </c>
      <c r="EB40" s="1608">
        <v>1446752</v>
      </c>
      <c r="EC40" s="1608">
        <v>1458226</v>
      </c>
      <c r="ED40" s="1608">
        <v>1467926</v>
      </c>
      <c r="EE40" s="1608">
        <v>1481519</v>
      </c>
      <c r="EF40" s="1608">
        <v>1486380</v>
      </c>
      <c r="EG40" s="1608">
        <v>1490423</v>
      </c>
      <c r="EH40" s="1608">
        <v>1502572</v>
      </c>
      <c r="EI40" s="1608">
        <v>1520520</v>
      </c>
      <c r="EJ40" s="1608">
        <v>1529810</v>
      </c>
    </row>
    <row r="41" spans="1:140" s="1561" customFormat="1" ht="19.5" thickBot="1" x14ac:dyDescent="0.3">
      <c r="A41" s="1565" t="s">
        <v>1040</v>
      </c>
      <c r="B41" s="1609"/>
      <c r="C41" s="1609"/>
      <c r="D41" s="1609"/>
      <c r="E41" s="1609"/>
      <c r="F41" s="1609"/>
      <c r="G41" s="1609"/>
      <c r="H41" s="1609"/>
      <c r="I41" s="1609"/>
      <c r="J41" s="1609"/>
      <c r="K41" s="1609"/>
      <c r="L41" s="1609"/>
      <c r="M41" s="1609"/>
      <c r="N41" s="1609"/>
      <c r="O41" s="1609"/>
      <c r="P41" s="1609"/>
      <c r="Q41" s="1609"/>
      <c r="R41" s="1609"/>
      <c r="S41" s="1609"/>
      <c r="T41" s="1609"/>
      <c r="U41" s="1609"/>
      <c r="V41" s="1609"/>
      <c r="W41" s="1609"/>
      <c r="X41" s="1609"/>
      <c r="Y41" s="1609"/>
      <c r="Z41" s="1609"/>
      <c r="AA41" s="1609"/>
      <c r="AB41" s="1609"/>
      <c r="AC41" s="1609"/>
      <c r="AD41" s="1609"/>
      <c r="AE41" s="1609"/>
      <c r="AF41" s="1609"/>
      <c r="AG41" s="1609"/>
      <c r="AH41" s="1609"/>
      <c r="AI41" s="1609"/>
      <c r="AJ41" s="1609"/>
      <c r="AK41" s="1609"/>
      <c r="AL41" s="1609"/>
      <c r="AM41" s="1609"/>
      <c r="AN41" s="1609"/>
      <c r="AO41" s="1609"/>
      <c r="AP41" s="1609"/>
      <c r="AQ41" s="1605"/>
      <c r="AR41" s="1605"/>
      <c r="AS41" s="1605"/>
      <c r="AT41" s="1605"/>
      <c r="AU41" s="1605"/>
      <c r="AV41" s="1605"/>
      <c r="AW41" s="1605">
        <v>513</v>
      </c>
      <c r="AX41" s="1605">
        <v>529</v>
      </c>
      <c r="AY41" s="1605">
        <v>536</v>
      </c>
      <c r="AZ41" s="1605">
        <v>545</v>
      </c>
      <c r="BA41" s="1605">
        <v>581</v>
      </c>
      <c r="BB41" s="1605">
        <v>564</v>
      </c>
      <c r="BC41" s="1605">
        <v>579</v>
      </c>
      <c r="BD41" s="1605">
        <v>366</v>
      </c>
      <c r="BE41" s="1605">
        <v>349</v>
      </c>
      <c r="BF41" s="1605">
        <v>373</v>
      </c>
      <c r="BG41" s="1605">
        <v>381</v>
      </c>
      <c r="BH41" s="1605">
        <v>446</v>
      </c>
      <c r="BI41" s="1605">
        <v>383</v>
      </c>
      <c r="BJ41" s="1605">
        <v>371</v>
      </c>
      <c r="BK41" s="1605">
        <v>394</v>
      </c>
      <c r="BL41" s="1605">
        <v>412</v>
      </c>
      <c r="BM41" s="1605">
        <v>447</v>
      </c>
      <c r="BN41" s="1605">
        <v>414</v>
      </c>
      <c r="BO41" s="1605">
        <v>428</v>
      </c>
      <c r="BP41" s="1605">
        <v>435</v>
      </c>
      <c r="BQ41" s="1606">
        <v>426</v>
      </c>
      <c r="BR41" s="1505">
        <v>349</v>
      </c>
      <c r="BS41" s="1505">
        <v>352</v>
      </c>
      <c r="BT41" s="1505">
        <v>456</v>
      </c>
      <c r="BU41" s="1505">
        <v>366</v>
      </c>
      <c r="BV41" s="1505">
        <v>393</v>
      </c>
      <c r="BW41" s="1568">
        <v>257</v>
      </c>
      <c r="BX41" s="1568">
        <v>424</v>
      </c>
      <c r="BY41" s="1568">
        <v>476</v>
      </c>
      <c r="BZ41" s="1568">
        <v>452</v>
      </c>
      <c r="CA41" s="1568">
        <v>465</v>
      </c>
      <c r="CB41" s="1568">
        <v>453</v>
      </c>
      <c r="CC41" s="1568">
        <v>479</v>
      </c>
      <c r="CD41" s="1569">
        <v>501</v>
      </c>
      <c r="CE41" s="1569">
        <v>501</v>
      </c>
      <c r="CF41" s="1569">
        <v>594</v>
      </c>
      <c r="CG41" s="1570">
        <v>516</v>
      </c>
      <c r="CH41" s="1505">
        <v>516</v>
      </c>
      <c r="CI41" s="1505">
        <v>601</v>
      </c>
      <c r="CJ41" s="1505">
        <v>565</v>
      </c>
      <c r="CK41" s="1505">
        <v>617</v>
      </c>
      <c r="CL41" s="1505">
        <v>657</v>
      </c>
      <c r="CM41" s="1505">
        <v>536</v>
      </c>
      <c r="CN41" s="1505">
        <v>1356</v>
      </c>
      <c r="CO41" s="1505">
        <v>1453</v>
      </c>
      <c r="CP41" s="1505">
        <v>1524</v>
      </c>
      <c r="CQ41" s="1505">
        <v>1656</v>
      </c>
      <c r="CR41" s="1505">
        <v>2109</v>
      </c>
      <c r="CS41" s="1505">
        <v>2001</v>
      </c>
      <c r="CT41" s="1607">
        <v>2242</v>
      </c>
      <c r="CU41" s="1505">
        <v>1910</v>
      </c>
      <c r="CV41" s="1608">
        <v>766</v>
      </c>
      <c r="CW41" s="1608">
        <v>1421</v>
      </c>
      <c r="CX41" s="1608">
        <v>2320</v>
      </c>
      <c r="CY41" s="1608">
        <v>2777</v>
      </c>
      <c r="CZ41" s="1608">
        <v>3072</v>
      </c>
      <c r="DA41" s="1608">
        <v>3162</v>
      </c>
      <c r="DB41" s="1608">
        <v>3489</v>
      </c>
      <c r="DC41" s="1608">
        <v>3588</v>
      </c>
      <c r="DD41" s="1608">
        <v>4317</v>
      </c>
      <c r="DE41" s="1608">
        <v>4011</v>
      </c>
      <c r="DF41" s="1608">
        <v>4132</v>
      </c>
      <c r="DG41" s="1608">
        <v>3399</v>
      </c>
      <c r="DH41" s="1608">
        <v>3406</v>
      </c>
      <c r="DI41" s="1608">
        <v>3648</v>
      </c>
      <c r="DJ41" s="1608">
        <v>4543</v>
      </c>
      <c r="DK41" s="1608">
        <v>4866</v>
      </c>
      <c r="DL41" s="1608">
        <v>4706</v>
      </c>
      <c r="DM41" s="1608">
        <v>4447</v>
      </c>
      <c r="DN41" s="1608">
        <v>4442</v>
      </c>
      <c r="DO41" s="1608">
        <v>4026</v>
      </c>
      <c r="DP41" s="1608">
        <v>3868</v>
      </c>
      <c r="DQ41" s="1608">
        <v>3998</v>
      </c>
      <c r="DR41" s="1608">
        <v>6428</v>
      </c>
      <c r="DS41" s="1608">
        <v>6633</v>
      </c>
      <c r="DT41" s="1608">
        <v>6686</v>
      </c>
      <c r="DU41" s="1608">
        <v>6667</v>
      </c>
      <c r="DV41" s="1608">
        <v>6488</v>
      </c>
      <c r="DW41" s="1608">
        <v>6639</v>
      </c>
      <c r="DX41" s="1608">
        <v>6744</v>
      </c>
      <c r="DY41" s="1608">
        <v>7022</v>
      </c>
      <c r="DZ41" s="1608">
        <v>7430</v>
      </c>
      <c r="EA41" s="1608">
        <v>7426</v>
      </c>
      <c r="EB41" s="1608">
        <v>8104</v>
      </c>
      <c r="EC41" s="1608">
        <v>7406</v>
      </c>
      <c r="ED41" s="1608">
        <v>7659</v>
      </c>
      <c r="EE41" s="1608">
        <v>7635</v>
      </c>
      <c r="EF41" s="1608">
        <v>8058</v>
      </c>
      <c r="EG41" s="1608">
        <v>8486</v>
      </c>
      <c r="EH41" s="1608">
        <v>8563</v>
      </c>
      <c r="EI41" s="1608">
        <v>8664</v>
      </c>
      <c r="EJ41" s="1608">
        <v>8817</v>
      </c>
    </row>
    <row r="42" spans="1:140" s="1561" customFormat="1" ht="19.5" thickBot="1" x14ac:dyDescent="0.3">
      <c r="A42" s="1565"/>
      <c r="B42" s="1605"/>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1605"/>
      <c r="AJ42" s="1605"/>
      <c r="AK42" s="1605"/>
      <c r="AL42" s="1605"/>
      <c r="AM42" s="1605"/>
      <c r="AN42" s="1605"/>
      <c r="AO42" s="1605"/>
      <c r="AP42" s="1605"/>
      <c r="AQ42" s="1606"/>
      <c r="AR42" s="1605"/>
      <c r="AS42" s="1605"/>
      <c r="AT42" s="1605"/>
      <c r="AU42" s="1605"/>
      <c r="AV42" s="1605"/>
      <c r="AW42" s="1605"/>
      <c r="AX42" s="1605"/>
      <c r="AY42" s="1605"/>
      <c r="AZ42" s="1605"/>
      <c r="BA42" s="1605"/>
      <c r="BB42" s="1605"/>
      <c r="BC42" s="1605"/>
      <c r="BD42" s="1605"/>
      <c r="BE42" s="1605"/>
      <c r="BF42" s="1605"/>
      <c r="BG42" s="1605"/>
      <c r="BH42" s="1610"/>
      <c r="BI42" s="1611"/>
      <c r="BJ42" s="1611"/>
      <c r="BK42" s="1611"/>
      <c r="BL42" s="1611"/>
      <c r="BM42" s="1611"/>
      <c r="BN42" s="1611"/>
      <c r="BO42" s="1611"/>
      <c r="BP42" s="1611"/>
      <c r="BQ42" s="1612"/>
      <c r="BR42" s="1505"/>
      <c r="BS42" s="1505"/>
      <c r="BT42" s="1505"/>
      <c r="BU42" s="1505"/>
      <c r="BV42" s="1505"/>
      <c r="BW42" s="1568"/>
      <c r="BX42" s="1568"/>
      <c r="BY42" s="1568"/>
      <c r="BZ42" s="1568"/>
      <c r="CA42" s="1568"/>
      <c r="CB42" s="1568"/>
      <c r="CC42" s="1568"/>
      <c r="CD42" s="1569"/>
      <c r="CE42" s="1569"/>
      <c r="CF42" s="1569"/>
      <c r="CG42" s="1570"/>
      <c r="CH42" s="1505"/>
      <c r="CI42" s="1505"/>
      <c r="CJ42" s="1505"/>
      <c r="CK42" s="1505"/>
      <c r="CL42" s="1505"/>
      <c r="CM42" s="1505"/>
      <c r="CN42" s="1505"/>
      <c r="CO42" s="1505"/>
      <c r="CP42" s="1505"/>
      <c r="CQ42" s="1505"/>
      <c r="CR42" s="1505"/>
      <c r="CS42" s="1505"/>
      <c r="CT42" s="1607"/>
      <c r="CU42" s="1505"/>
      <c r="CV42" s="1608"/>
      <c r="CW42" s="1608"/>
      <c r="CX42" s="1608"/>
      <c r="CY42" s="1608"/>
      <c r="CZ42" s="1608"/>
      <c r="DA42" s="1608"/>
      <c r="DB42" s="1608"/>
      <c r="DC42" s="1608"/>
      <c r="DD42" s="1608"/>
      <c r="DE42" s="1608"/>
      <c r="DF42" s="1608"/>
      <c r="DG42" s="1608"/>
      <c r="DH42" s="1608"/>
      <c r="DI42" s="1608"/>
      <c r="DJ42" s="1608"/>
      <c r="DK42" s="1608"/>
      <c r="DL42" s="1608"/>
      <c r="DM42" s="1608"/>
      <c r="DN42" s="1608"/>
      <c r="DO42" s="1608"/>
      <c r="DP42" s="1608"/>
      <c r="DQ42" s="1608"/>
      <c r="DR42" s="1608"/>
      <c r="DS42" s="1608"/>
      <c r="DT42" s="1608"/>
      <c r="DU42" s="1608"/>
      <c r="DV42" s="1608"/>
      <c r="DW42" s="1608"/>
      <c r="DX42" s="1608"/>
      <c r="DY42" s="1608"/>
      <c r="DZ42" s="1608"/>
      <c r="EA42" s="1608"/>
      <c r="EB42" s="1608"/>
      <c r="EC42" s="1608"/>
      <c r="ED42" s="1608"/>
      <c r="EE42" s="1608"/>
      <c r="EF42" s="1608"/>
      <c r="EG42" s="1608"/>
      <c r="EH42" s="1608"/>
      <c r="EI42" s="1608"/>
      <c r="EJ42" s="1608"/>
    </row>
    <row r="43" spans="1:140" s="1561" customFormat="1" ht="19.5" thickTop="1" x14ac:dyDescent="0.25">
      <c r="A43" s="1565" t="s">
        <v>1041</v>
      </c>
      <c r="B43" s="1613">
        <v>238413</v>
      </c>
      <c r="C43" s="1613">
        <v>238093</v>
      </c>
      <c r="D43" s="1613">
        <v>261162</v>
      </c>
      <c r="E43" s="1613">
        <v>277292</v>
      </c>
      <c r="F43" s="1613">
        <v>283585</v>
      </c>
      <c r="G43" s="1613">
        <v>266059</v>
      </c>
      <c r="H43" s="1613">
        <v>290958</v>
      </c>
      <c r="I43" s="1613">
        <v>283367</v>
      </c>
      <c r="J43" s="1613">
        <v>264927</v>
      </c>
      <c r="K43" s="1613">
        <v>315412</v>
      </c>
      <c r="L43" s="1613">
        <v>295863</v>
      </c>
      <c r="M43" s="1613">
        <v>392058</v>
      </c>
      <c r="N43" s="1613">
        <v>351065</v>
      </c>
      <c r="O43" s="1613">
        <v>327122</v>
      </c>
      <c r="P43" s="1613">
        <v>380181</v>
      </c>
      <c r="Q43" s="1613">
        <v>385013</v>
      </c>
      <c r="R43" s="1613">
        <v>366954</v>
      </c>
      <c r="S43" s="1613">
        <v>406022</v>
      </c>
      <c r="T43" s="1613">
        <v>392209</v>
      </c>
      <c r="U43" s="1613">
        <v>375620</v>
      </c>
      <c r="V43" s="1613">
        <v>410190</v>
      </c>
      <c r="W43" s="1613">
        <v>398849</v>
      </c>
      <c r="X43" s="1613">
        <v>525624</v>
      </c>
      <c r="Y43" s="1613">
        <v>402112</v>
      </c>
      <c r="Z43" s="1613">
        <v>375413</v>
      </c>
      <c r="AA43" s="1613">
        <v>422037</v>
      </c>
      <c r="AB43" s="1613">
        <v>435923</v>
      </c>
      <c r="AC43" s="1613">
        <v>441066</v>
      </c>
      <c r="AD43" s="1613">
        <v>420177</v>
      </c>
      <c r="AE43" s="1613">
        <v>454337</v>
      </c>
      <c r="AF43" s="1613">
        <v>481938</v>
      </c>
      <c r="AG43" s="1613">
        <v>466579</v>
      </c>
      <c r="AH43" s="1613">
        <v>504400</v>
      </c>
      <c r="AI43" s="1613">
        <v>500404</v>
      </c>
      <c r="AJ43" s="1613">
        <v>614221</v>
      </c>
      <c r="AK43" s="1613">
        <v>506560</v>
      </c>
      <c r="AL43" s="1613">
        <v>482473</v>
      </c>
      <c r="AM43" s="1613">
        <v>540918</v>
      </c>
      <c r="AN43" s="1613">
        <v>534150</v>
      </c>
      <c r="AO43" s="1613">
        <v>545998</v>
      </c>
      <c r="AP43" s="1613"/>
      <c r="AQ43" s="1606"/>
      <c r="AR43" s="1614"/>
      <c r="AS43" s="1614"/>
      <c r="AT43" s="1614"/>
      <c r="AU43" s="1614"/>
      <c r="AV43" s="1614"/>
      <c r="AW43" s="1614">
        <v>484014</v>
      </c>
      <c r="AX43" s="1614">
        <v>441607</v>
      </c>
      <c r="AY43" s="1614">
        <v>478285</v>
      </c>
      <c r="AZ43" s="1614">
        <v>472079</v>
      </c>
      <c r="BA43" s="1614">
        <v>492814</v>
      </c>
      <c r="BB43" s="1614">
        <v>464036</v>
      </c>
      <c r="BC43" s="1614">
        <v>509329</v>
      </c>
      <c r="BD43" s="1614">
        <v>516251</v>
      </c>
      <c r="BE43" s="1614">
        <v>510762</v>
      </c>
      <c r="BF43" s="1614">
        <v>557220</v>
      </c>
      <c r="BG43" s="1614">
        <v>552943</v>
      </c>
      <c r="BH43" s="1614">
        <v>689013</v>
      </c>
      <c r="BI43" s="1614">
        <v>618500</v>
      </c>
      <c r="BJ43" s="1614">
        <v>574868</v>
      </c>
      <c r="BK43" s="1614">
        <v>655362</v>
      </c>
      <c r="BL43" s="1614">
        <v>653193</v>
      </c>
      <c r="BM43" s="1614">
        <v>706131</v>
      </c>
      <c r="BN43" s="1614">
        <v>665428</v>
      </c>
      <c r="BO43" s="1614">
        <v>715621</v>
      </c>
      <c r="BP43" s="1614">
        <v>722923</v>
      </c>
      <c r="BQ43" s="1615">
        <v>700193</v>
      </c>
      <c r="BR43" s="1573">
        <v>763127</v>
      </c>
      <c r="BS43" s="1573">
        <v>754532</v>
      </c>
      <c r="BT43" s="1573">
        <v>928264</v>
      </c>
      <c r="BU43" s="1573">
        <v>802564</v>
      </c>
      <c r="BV43" s="1573">
        <v>758901</v>
      </c>
      <c r="BW43" s="1574">
        <v>876852</v>
      </c>
      <c r="BX43" s="1574">
        <v>862030</v>
      </c>
      <c r="BY43" s="1574">
        <v>913581</v>
      </c>
      <c r="BZ43" s="1574">
        <v>874714</v>
      </c>
      <c r="CA43" s="1574">
        <v>949522</v>
      </c>
      <c r="CB43" s="1574">
        <v>948363</v>
      </c>
      <c r="CC43" s="1574">
        <v>926335</v>
      </c>
      <c r="CD43" s="1575">
        <v>1015480</v>
      </c>
      <c r="CE43" s="1575">
        <v>1004407</v>
      </c>
      <c r="CF43" s="1575">
        <v>1244147</v>
      </c>
      <c r="CG43" s="1576">
        <v>1067960</v>
      </c>
      <c r="CH43" s="1573">
        <v>1028234</v>
      </c>
      <c r="CI43" s="1573">
        <v>1095154</v>
      </c>
      <c r="CJ43" s="1573">
        <v>1207603</v>
      </c>
      <c r="CK43" s="1573">
        <v>1282690</v>
      </c>
      <c r="CL43" s="1573">
        <v>1252951</v>
      </c>
      <c r="CM43" s="1573">
        <v>1323761</v>
      </c>
      <c r="CN43" s="1573">
        <v>1388106</v>
      </c>
      <c r="CO43" s="1573">
        <v>1390360</v>
      </c>
      <c r="CP43" s="1573">
        <v>1518406</v>
      </c>
      <c r="CQ43" s="1573">
        <v>1507734</v>
      </c>
      <c r="CR43" s="1573">
        <v>1833650</v>
      </c>
      <c r="CS43" s="1573">
        <v>1596940</v>
      </c>
      <c r="CT43" s="1616">
        <v>1565197</v>
      </c>
      <c r="CU43" s="1573">
        <v>1680379</v>
      </c>
      <c r="CV43" s="1617">
        <v>1601207</v>
      </c>
      <c r="CW43" s="1617">
        <v>1892092</v>
      </c>
      <c r="CX43" s="1617">
        <v>1898007</v>
      </c>
      <c r="CY43" s="1617">
        <v>2041337</v>
      </c>
      <c r="CZ43" s="1617">
        <v>2068502</v>
      </c>
      <c r="DA43" s="1617">
        <v>2035378</v>
      </c>
      <c r="DB43" s="1617">
        <v>2250420</v>
      </c>
      <c r="DC43" s="1617">
        <v>2203339</v>
      </c>
      <c r="DD43" s="1617">
        <v>2827459</v>
      </c>
      <c r="DE43" s="1617">
        <v>2311418</v>
      </c>
      <c r="DF43" s="1617">
        <v>2189605</v>
      </c>
      <c r="DG43" s="1617">
        <v>2216750</v>
      </c>
      <c r="DH43" s="1617">
        <v>2513901</v>
      </c>
      <c r="DI43" s="1617">
        <v>2799194</v>
      </c>
      <c r="DJ43" s="1617">
        <v>2642710</v>
      </c>
      <c r="DK43" s="1617">
        <v>2738685</v>
      </c>
      <c r="DL43" s="1617">
        <v>2499803</v>
      </c>
      <c r="DM43" s="1617">
        <v>3085848</v>
      </c>
      <c r="DN43" s="1617">
        <v>3416214</v>
      </c>
      <c r="DO43" s="1617">
        <v>3223538</v>
      </c>
      <c r="DP43" s="1617">
        <v>3861364</v>
      </c>
      <c r="DQ43" s="1617">
        <v>3361620</v>
      </c>
      <c r="DR43" s="1617">
        <v>3239624</v>
      </c>
      <c r="DS43" s="1617">
        <v>3600226</v>
      </c>
      <c r="DT43" s="1617">
        <v>3935687</v>
      </c>
      <c r="DU43" s="1617">
        <v>4213025</v>
      </c>
      <c r="DV43" s="1617">
        <v>4029105</v>
      </c>
      <c r="DW43" s="1617">
        <v>4469025</v>
      </c>
      <c r="DX43" s="1617">
        <v>4598964</v>
      </c>
      <c r="DY43" s="1617">
        <v>4601099</v>
      </c>
      <c r="DZ43" s="1617">
        <v>5017463</v>
      </c>
      <c r="EA43" s="1617">
        <v>4874134</v>
      </c>
      <c r="EB43" s="1617">
        <v>6266390</v>
      </c>
      <c r="EC43" s="1617">
        <v>4994745</v>
      </c>
      <c r="ED43" s="1617">
        <v>4960313</v>
      </c>
      <c r="EE43" s="1617">
        <v>5857169</v>
      </c>
      <c r="EF43" s="1617">
        <v>5678392</v>
      </c>
      <c r="EG43" s="1617">
        <v>6334729</v>
      </c>
      <c r="EH43" s="1617">
        <v>6046800</v>
      </c>
      <c r="EI43" s="1617">
        <v>6718646</v>
      </c>
      <c r="EJ43" s="1617">
        <v>6786041</v>
      </c>
    </row>
    <row r="44" spans="1:140" s="1513" customFormat="1" ht="19.5" thickBot="1" x14ac:dyDescent="0.3">
      <c r="A44" s="1579" t="s">
        <v>1042</v>
      </c>
      <c r="B44" s="1618">
        <v>43475.962768999998</v>
      </c>
      <c r="C44" s="1618">
        <v>53599.680598999999</v>
      </c>
      <c r="D44" s="1618">
        <v>50754</v>
      </c>
      <c r="E44" s="1618">
        <v>44273.632428999998</v>
      </c>
      <c r="F44" s="1618">
        <v>56415.093000000001</v>
      </c>
      <c r="G44" s="1618">
        <v>69886.773830000006</v>
      </c>
      <c r="H44" s="1618">
        <v>95686.427930000005</v>
      </c>
      <c r="I44" s="1618">
        <v>99053.420203000001</v>
      </c>
      <c r="J44" s="1618">
        <v>109788.97238200001</v>
      </c>
      <c r="K44" s="1618">
        <v>94589.501147999996</v>
      </c>
      <c r="L44" s="1618">
        <v>111014.214874</v>
      </c>
      <c r="M44" s="1618">
        <v>135896.03765000001</v>
      </c>
      <c r="N44" s="1618">
        <v>91072.939985999998</v>
      </c>
      <c r="O44" s="1618">
        <v>105733.91310200001</v>
      </c>
      <c r="P44" s="1618">
        <v>156737.17344799999</v>
      </c>
      <c r="Q44" s="1618">
        <v>88654.171180000005</v>
      </c>
      <c r="R44" s="1618">
        <v>123315.401</v>
      </c>
      <c r="S44" s="1618">
        <v>110439.07325723401</v>
      </c>
      <c r="T44" s="1618">
        <v>83870.612330999997</v>
      </c>
      <c r="U44" s="1618">
        <v>131569.13808400001</v>
      </c>
      <c r="V44" s="1618">
        <v>105040.50852712478</v>
      </c>
      <c r="W44" s="1618">
        <v>84908.775735624222</v>
      </c>
      <c r="X44" s="1618">
        <v>187514.1931471756</v>
      </c>
      <c r="Y44" s="1618">
        <v>117692.056832556</v>
      </c>
      <c r="Z44" s="1618">
        <v>82396.713636</v>
      </c>
      <c r="AA44" s="1618">
        <v>104323</v>
      </c>
      <c r="AB44" s="1618">
        <v>97269</v>
      </c>
      <c r="AC44" s="1618">
        <v>126271.62020400001</v>
      </c>
      <c r="AD44" s="1618">
        <v>179424.24770530299</v>
      </c>
      <c r="AE44" s="1618">
        <v>143778.00127400001</v>
      </c>
      <c r="AF44" s="1618">
        <v>126622.30538200001</v>
      </c>
      <c r="AG44" s="1618">
        <v>146464.13355699999</v>
      </c>
      <c r="AH44" s="1618">
        <v>159790.540978</v>
      </c>
      <c r="AI44" s="1618">
        <v>201645.420835</v>
      </c>
      <c r="AJ44" s="1618">
        <v>268652.59542799997</v>
      </c>
      <c r="AK44" s="1618">
        <v>177035.007265758</v>
      </c>
      <c r="AL44" s="1618">
        <v>213554.44691599999</v>
      </c>
      <c r="AM44" s="1618">
        <f>254231630497.023/1000000</f>
        <v>254231.630497023</v>
      </c>
      <c r="AN44" s="1618">
        <v>212520</v>
      </c>
      <c r="AO44" s="1618">
        <v>170706.24584941001</v>
      </c>
      <c r="AP44" s="1618"/>
      <c r="AQ44" s="1619"/>
      <c r="AR44" s="1620"/>
      <c r="AS44" s="1620"/>
      <c r="AT44" s="1620"/>
      <c r="AU44" s="1620"/>
      <c r="AV44" s="1620"/>
      <c r="AW44" s="1620">
        <v>144.076719</v>
      </c>
      <c r="AX44" s="1620">
        <v>139.514498</v>
      </c>
      <c r="AY44" s="1620">
        <v>151.15639999999999</v>
      </c>
      <c r="AZ44" s="1620">
        <v>152.35351800000001</v>
      </c>
      <c r="BA44" s="1620">
        <v>171.221</v>
      </c>
      <c r="BB44" s="1620">
        <v>165.06743270000001</v>
      </c>
      <c r="BC44" s="1620">
        <v>191.357879</v>
      </c>
      <c r="BD44" s="1620">
        <v>198</v>
      </c>
      <c r="BE44" s="1620">
        <v>209</v>
      </c>
      <c r="BF44" s="1620">
        <v>240.162262</v>
      </c>
      <c r="BG44" s="1620">
        <v>254</v>
      </c>
      <c r="BH44" s="1620">
        <v>356.887002</v>
      </c>
      <c r="BI44" s="1620">
        <v>261</v>
      </c>
      <c r="BJ44" s="1620">
        <v>264.89435500000002</v>
      </c>
      <c r="BK44" s="1620">
        <v>319.31384800000001</v>
      </c>
      <c r="BL44" s="1620">
        <v>318.80098099999998</v>
      </c>
      <c r="BM44" s="1620">
        <v>371</v>
      </c>
      <c r="BN44" s="1620">
        <v>359.79</v>
      </c>
      <c r="BO44" s="1620">
        <v>387</v>
      </c>
      <c r="BP44" s="1620">
        <v>411</v>
      </c>
      <c r="BQ44" s="1619">
        <v>414</v>
      </c>
      <c r="BR44" s="1580">
        <v>462</v>
      </c>
      <c r="BS44" s="1580">
        <v>494</v>
      </c>
      <c r="BT44" s="1580">
        <v>683</v>
      </c>
      <c r="BU44" s="1581">
        <v>445</v>
      </c>
      <c r="BV44" s="1580">
        <v>498</v>
      </c>
      <c r="BW44" s="1621">
        <v>628</v>
      </c>
      <c r="BX44" s="1621">
        <v>598</v>
      </c>
      <c r="BY44" s="1621">
        <v>685</v>
      </c>
      <c r="BZ44" s="1621">
        <v>658</v>
      </c>
      <c r="CA44" s="1621">
        <v>740</v>
      </c>
      <c r="CB44" s="1621">
        <v>746</v>
      </c>
      <c r="CC44" s="1621">
        <v>750</v>
      </c>
      <c r="CD44" s="1622">
        <v>883.54638162000003</v>
      </c>
      <c r="CE44" s="1622">
        <v>892.819615</v>
      </c>
      <c r="CF44" s="1622">
        <v>1259.60703582</v>
      </c>
      <c r="CG44" s="1623">
        <v>912.87033027999996</v>
      </c>
      <c r="CH44" s="1580">
        <v>942.25861424000004</v>
      </c>
      <c r="CI44" s="1580">
        <v>1131.9104803</v>
      </c>
      <c r="CJ44" s="1580">
        <v>1201.6992961200001</v>
      </c>
      <c r="CK44" s="1580">
        <v>1365</v>
      </c>
      <c r="CL44" s="1580">
        <v>1323</v>
      </c>
      <c r="CM44" s="1580">
        <v>1485.02323998</v>
      </c>
      <c r="CN44" s="1580">
        <v>1547</v>
      </c>
      <c r="CO44" s="1580">
        <v>1550</v>
      </c>
      <c r="CP44" s="1580">
        <v>1780</v>
      </c>
      <c r="CQ44" s="1580">
        <v>1733</v>
      </c>
      <c r="CR44" s="1580">
        <v>2382</v>
      </c>
      <c r="CS44" s="1624">
        <v>1790</v>
      </c>
      <c r="CT44" s="1586">
        <v>1813.2225481200001</v>
      </c>
      <c r="CU44" s="1586">
        <v>1754.5599538699998</v>
      </c>
      <c r="CV44" s="1625">
        <v>1719</v>
      </c>
      <c r="CW44" s="1625">
        <v>2336</v>
      </c>
      <c r="CX44" s="1625">
        <v>2420</v>
      </c>
      <c r="CY44" s="1625">
        <v>2678</v>
      </c>
      <c r="CZ44" s="1625">
        <v>2669.7463369700004</v>
      </c>
      <c r="DA44" s="1625">
        <v>2666</v>
      </c>
      <c r="DB44" s="1625">
        <v>2979</v>
      </c>
      <c r="DC44" s="1625">
        <v>2906</v>
      </c>
      <c r="DD44" s="1625">
        <v>4209</v>
      </c>
      <c r="DE44" s="1625">
        <v>2871</v>
      </c>
      <c r="DF44" s="1625">
        <v>3005.8193708700001</v>
      </c>
      <c r="DG44" s="1625">
        <v>2919.8340456999999</v>
      </c>
      <c r="DH44" s="1625">
        <v>3318.7448654999998</v>
      </c>
      <c r="DI44" s="1625">
        <v>3914.1980994300002</v>
      </c>
      <c r="DJ44" s="1625">
        <v>3812.0738489</v>
      </c>
      <c r="DK44" s="1625">
        <v>3764.3706108999995</v>
      </c>
      <c r="DL44" s="1625">
        <v>3091.8570486100002</v>
      </c>
      <c r="DM44" s="1625">
        <v>6126.0944170300008</v>
      </c>
      <c r="DN44" s="1625">
        <v>7021.6901569299989</v>
      </c>
      <c r="DO44" s="1625">
        <v>6479.6133391899994</v>
      </c>
      <c r="DP44" s="1625">
        <v>8690.42861189</v>
      </c>
      <c r="DQ44" s="1625">
        <v>6852.8685000300011</v>
      </c>
      <c r="DR44" s="1625">
        <v>6656.3948762300006</v>
      </c>
      <c r="DS44" s="1625">
        <v>8165.8812512600007</v>
      </c>
      <c r="DT44" s="1625">
        <v>8260.9904197100004</v>
      </c>
      <c r="DU44" s="1625">
        <v>8647.8423638700006</v>
      </c>
      <c r="DV44" s="1625">
        <v>8643.4561872099985</v>
      </c>
      <c r="DW44" s="1625">
        <v>9424.3679649500009</v>
      </c>
      <c r="DX44" s="1625">
        <v>9551.5281976799979</v>
      </c>
      <c r="DY44" s="1625">
        <v>9843.6364013500006</v>
      </c>
      <c r="DZ44" s="1625">
        <v>10891.385319319999</v>
      </c>
      <c r="EA44" s="1625">
        <v>10162.50715327</v>
      </c>
      <c r="EB44" s="1625">
        <v>14537.617704939999</v>
      </c>
      <c r="EC44" s="1625">
        <v>11024.503392410001</v>
      </c>
      <c r="ED44" s="1625">
        <v>11118.273338370002</v>
      </c>
      <c r="EE44" s="1625">
        <v>13269</v>
      </c>
      <c r="EF44" s="1625">
        <v>12111</v>
      </c>
      <c r="EG44" s="1625">
        <v>13527</v>
      </c>
      <c r="EH44" s="1625">
        <v>13071.03947225</v>
      </c>
      <c r="EI44" s="1625">
        <v>14253.771567219999</v>
      </c>
      <c r="EJ44" s="1625">
        <v>14396.08350124</v>
      </c>
    </row>
    <row r="45" spans="1:140" s="1427" customFormat="1" ht="18" customHeight="1" thickTop="1" x14ac:dyDescent="0.25">
      <c r="A45" s="1626" t="s">
        <v>1043</v>
      </c>
      <c r="B45" s="1627"/>
      <c r="C45" s="1627"/>
      <c r="D45" s="1627"/>
      <c r="F45" s="1628"/>
      <c r="G45" s="1628"/>
      <c r="H45" s="1628"/>
      <c r="I45" s="1629"/>
      <c r="J45" s="1629"/>
      <c r="K45" s="1629"/>
    </row>
    <row r="46" spans="1:140" s="1427" customFormat="1" ht="18" customHeight="1" x14ac:dyDescent="0.25">
      <c r="A46" s="1626" t="s">
        <v>1044</v>
      </c>
      <c r="B46" s="1627"/>
      <c r="C46" s="1627"/>
      <c r="D46" s="1627"/>
      <c r="F46" s="1628"/>
      <c r="G46" s="1628"/>
      <c r="H46" s="1628"/>
      <c r="I46" s="1629"/>
      <c r="J46" s="1629"/>
      <c r="K46" s="1629"/>
      <c r="BH46" s="1427" t="s">
        <v>1045</v>
      </c>
    </row>
    <row r="47" spans="1:140" s="1427" customFormat="1" ht="17.25" customHeight="1" x14ac:dyDescent="0.25">
      <c r="A47" s="1626" t="s">
        <v>1046</v>
      </c>
      <c r="B47" s="1627"/>
      <c r="C47" s="1627"/>
      <c r="D47" s="1627"/>
      <c r="F47" s="1628"/>
      <c r="G47" s="1628"/>
      <c r="H47" s="1628"/>
      <c r="I47" s="1629"/>
      <c r="J47" s="1629"/>
      <c r="K47" s="1629"/>
    </row>
    <row r="48" spans="1:140" x14ac:dyDescent="0.25">
      <c r="DP48" s="1630"/>
      <c r="DQ48" s="1630"/>
      <c r="DR48" s="1630"/>
      <c r="DS48" s="1630"/>
      <c r="DT48" s="1630"/>
      <c r="DU48" s="1630"/>
      <c r="DV48" s="1630"/>
      <c r="DW48" s="1630"/>
      <c r="DX48" s="1630"/>
      <c r="DY48" s="1630"/>
      <c r="DZ48" s="1630"/>
    </row>
    <row r="52" spans="1:2" x14ac:dyDescent="0.25">
      <c r="A52" s="330"/>
      <c r="B52" s="330" t="s">
        <v>1047</v>
      </c>
    </row>
    <row r="53" spans="1:2" x14ac:dyDescent="0.25">
      <c r="A53" s="330"/>
      <c r="B53" s="330" t="s">
        <v>1048</v>
      </c>
    </row>
    <row r="54" spans="1:2" x14ac:dyDescent="0.25">
      <c r="A54" s="330"/>
      <c r="B54" s="330" t="s">
        <v>1049</v>
      </c>
    </row>
    <row r="55" spans="1:2" x14ac:dyDescent="0.25">
      <c r="A55" s="330"/>
      <c r="B55" s="330" t="s">
        <v>1050</v>
      </c>
    </row>
  </sheetData>
  <pageMargins left="0.7" right="0.7" top="0.75" bottom="0.75" header="0.3" footer="0.3"/>
  <pageSetup scale="4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EL48"/>
  <sheetViews>
    <sheetView zoomScale="80" zoomScaleNormal="80" zoomScaleSheetLayoutView="100" zoomScalePageLayoutView="70" workbookViewId="0">
      <selection activeCell="A38" sqref="A38"/>
    </sheetView>
  </sheetViews>
  <sheetFormatPr defaultColWidth="9.140625" defaultRowHeight="12.75" x14ac:dyDescent="0.2"/>
  <cols>
    <col min="1" max="1" width="54.42578125" style="1634" customWidth="1"/>
    <col min="2" max="32" width="13.42578125" style="1634" hidden="1" customWidth="1"/>
    <col min="33" max="33" width="3" style="1634" hidden="1" customWidth="1"/>
    <col min="34" max="49" width="13.42578125" style="1634" hidden="1" customWidth="1"/>
    <col min="50" max="50" width="10.42578125" style="1634" hidden="1" customWidth="1"/>
    <col min="51" max="51" width="9.140625" style="1634" hidden="1" customWidth="1"/>
    <col min="52" max="54" width="13.85546875" style="1634" hidden="1" customWidth="1"/>
    <col min="55" max="57" width="11.5703125" style="1634" hidden="1" customWidth="1"/>
    <col min="58" max="58" width="15.42578125" style="1634" hidden="1" customWidth="1"/>
    <col min="59" max="59" width="15.140625" style="1634" hidden="1" customWidth="1"/>
    <col min="60" max="60" width="15.42578125" style="1634" hidden="1" customWidth="1"/>
    <col min="61" max="61" width="14.85546875" style="1634" hidden="1" customWidth="1"/>
    <col min="62" max="62" width="15.42578125" style="1634" hidden="1" customWidth="1"/>
    <col min="63" max="64" width="15.140625" style="1634" hidden="1" customWidth="1"/>
    <col min="65" max="67" width="15.42578125" style="1634" hidden="1" customWidth="1"/>
    <col min="68" max="68" width="14.85546875" style="1634" hidden="1" customWidth="1"/>
    <col min="69" max="70" width="14.5703125" style="1634" hidden="1" customWidth="1"/>
    <col min="71" max="71" width="14.85546875" style="1634" hidden="1" customWidth="1"/>
    <col min="72" max="76" width="14.5703125" style="1634" hidden="1" customWidth="1"/>
    <col min="77" max="78" width="12.42578125" style="1634" hidden="1" customWidth="1"/>
    <col min="79" max="99" width="12.140625" style="1634" hidden="1" customWidth="1"/>
    <col min="100" max="106" width="10.85546875" style="1634" hidden="1" customWidth="1"/>
    <col min="107" max="107" width="13.140625" style="1634" hidden="1" customWidth="1"/>
    <col min="108" max="114" width="10.28515625" style="1634" hidden="1" customWidth="1"/>
    <col min="115" max="125" width="12.140625" style="1634" hidden="1" customWidth="1"/>
    <col min="126" max="138" width="12.140625" style="1634" customWidth="1"/>
    <col min="139" max="16384" width="9.140625" style="1634"/>
  </cols>
  <sheetData>
    <row r="1" spans="1:138" ht="18.75" x14ac:dyDescent="0.3">
      <c r="A1" s="1631" t="s">
        <v>1051</v>
      </c>
      <c r="B1" s="1632"/>
      <c r="C1" s="1632"/>
      <c r="D1" s="1632"/>
      <c r="E1" s="1632"/>
      <c r="F1" s="1632"/>
      <c r="G1" s="1632"/>
      <c r="H1" s="1632"/>
      <c r="I1" s="1632"/>
      <c r="J1" s="1632"/>
      <c r="K1" s="1632"/>
      <c r="L1" s="1632"/>
      <c r="M1" s="1632"/>
      <c r="N1" s="1632"/>
      <c r="O1" s="1632"/>
      <c r="P1" s="1632"/>
      <c r="Q1" s="1632"/>
      <c r="R1" s="1632"/>
      <c r="S1" s="1632"/>
      <c r="T1" s="1632"/>
      <c r="U1" s="1632"/>
      <c r="V1" s="1632"/>
      <c r="W1" s="1632"/>
      <c r="X1" s="1632"/>
      <c r="Y1" s="1632"/>
      <c r="Z1" s="1632"/>
      <c r="AA1" s="1632"/>
      <c r="AB1" s="1632"/>
      <c r="AC1" s="1632"/>
      <c r="AD1" s="1632"/>
      <c r="AE1" s="1632"/>
      <c r="AF1" s="1632"/>
      <c r="AG1" s="1632"/>
      <c r="AH1" s="1632"/>
      <c r="AI1" s="1632"/>
      <c r="AJ1" s="1632"/>
      <c r="AK1" s="1632"/>
      <c r="AL1" s="1632"/>
      <c r="AM1" s="1632"/>
      <c r="AN1" s="1632"/>
      <c r="AO1" s="1632"/>
      <c r="AP1" s="1632"/>
      <c r="AQ1" s="1632"/>
      <c r="AR1" s="1632"/>
      <c r="AS1" s="1632"/>
      <c r="AT1" s="1632"/>
      <c r="AU1" s="1632"/>
      <c r="AV1" s="1632"/>
      <c r="AW1" s="1632"/>
      <c r="AX1" s="1632"/>
      <c r="AY1" s="1632"/>
      <c r="AZ1" s="1632"/>
      <c r="BA1" s="1632"/>
      <c r="BB1" s="1632"/>
      <c r="BC1" s="1632"/>
      <c r="BD1" s="1632"/>
      <c r="BE1" s="1632"/>
      <c r="BF1" s="1632"/>
      <c r="BG1" s="1632"/>
      <c r="BH1" s="1632"/>
      <c r="BI1" s="1632"/>
      <c r="BJ1" s="1632"/>
      <c r="BK1" s="1632"/>
      <c r="BL1" s="1632"/>
      <c r="BM1" s="1632"/>
      <c r="BN1" s="1632"/>
      <c r="BO1" s="1632"/>
      <c r="BP1" s="1632"/>
      <c r="BQ1" s="1632"/>
      <c r="BR1" s="1632"/>
      <c r="BS1" s="1632"/>
      <c r="BT1" s="1632"/>
      <c r="BU1" s="1632"/>
      <c r="BV1" s="1632"/>
      <c r="BW1" s="1633"/>
      <c r="BX1" s="1632"/>
    </row>
    <row r="2" spans="1:138" ht="16.5" thickBot="1" x14ac:dyDescent="0.3">
      <c r="A2" s="1635"/>
      <c r="B2" s="1636"/>
      <c r="C2" s="1636"/>
      <c r="D2" s="1636"/>
      <c r="E2" s="1636"/>
      <c r="F2" s="1636"/>
      <c r="G2" s="1636"/>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2"/>
      <c r="AR2" s="1636"/>
      <c r="AS2" s="1636"/>
      <c r="AT2" s="1632"/>
      <c r="AU2" s="1632"/>
      <c r="AV2" s="1636"/>
      <c r="AW2" s="1636"/>
      <c r="AX2" s="1632"/>
      <c r="AY2" s="1636"/>
      <c r="AZ2" s="1637"/>
      <c r="BA2" s="1637"/>
      <c r="BB2" s="1637"/>
      <c r="BC2" s="1632"/>
      <c r="BD2" s="1632"/>
      <c r="BE2" s="1632"/>
      <c r="BF2" s="1632"/>
      <c r="BG2" s="1632"/>
      <c r="BH2" s="1632"/>
      <c r="BI2" s="1637"/>
      <c r="BJ2" s="1637"/>
      <c r="BK2" s="1637"/>
      <c r="BL2" s="1638"/>
      <c r="BM2" s="1638"/>
      <c r="BN2" s="1638"/>
      <c r="BO2" s="1638"/>
      <c r="BP2" s="1638"/>
      <c r="BQ2" s="1638"/>
      <c r="BR2" s="1638"/>
      <c r="BS2" s="1638"/>
      <c r="BT2" s="1638"/>
      <c r="BU2" s="1638"/>
      <c r="BV2" s="1638"/>
      <c r="BX2" s="1638"/>
      <c r="CS2" s="1638"/>
      <c r="CT2" s="1638"/>
      <c r="CU2" s="1638"/>
      <c r="CV2" s="1638"/>
      <c r="CW2" s="1638"/>
      <c r="CX2" s="1638"/>
      <c r="CY2" s="1638"/>
      <c r="CZ2" s="1638"/>
      <c r="DA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t="s">
        <v>281</v>
      </c>
    </row>
    <row r="3" spans="1:138" ht="18" thickTop="1" x14ac:dyDescent="0.3">
      <c r="A3" s="1639" t="s">
        <v>1052</v>
      </c>
      <c r="B3" s="1640">
        <v>40940</v>
      </c>
      <c r="C3" s="1640">
        <v>40969</v>
      </c>
      <c r="D3" s="1640">
        <v>41000</v>
      </c>
      <c r="E3" s="1640">
        <v>41030</v>
      </c>
      <c r="F3" s="1640">
        <v>41061</v>
      </c>
      <c r="G3" s="1640">
        <v>41091</v>
      </c>
      <c r="H3" s="1640">
        <v>41122</v>
      </c>
      <c r="I3" s="1640">
        <v>41153</v>
      </c>
      <c r="J3" s="1640">
        <v>41183</v>
      </c>
      <c r="K3" s="1640">
        <v>41214</v>
      </c>
      <c r="L3" s="1640">
        <v>41244</v>
      </c>
      <c r="M3" s="1640">
        <v>41275</v>
      </c>
      <c r="N3" s="1640">
        <v>41306</v>
      </c>
      <c r="O3" s="1640">
        <v>41334</v>
      </c>
      <c r="P3" s="1640">
        <v>41365</v>
      </c>
      <c r="Q3" s="1640">
        <v>41395</v>
      </c>
      <c r="R3" s="1640">
        <v>41426</v>
      </c>
      <c r="S3" s="1640">
        <v>41456</v>
      </c>
      <c r="T3" s="1640">
        <v>41487</v>
      </c>
      <c r="U3" s="1640">
        <v>41518</v>
      </c>
      <c r="V3" s="1640">
        <v>41548</v>
      </c>
      <c r="W3" s="1640">
        <v>41579</v>
      </c>
      <c r="X3" s="1640">
        <v>41609</v>
      </c>
      <c r="Y3" s="1640">
        <v>41640</v>
      </c>
      <c r="Z3" s="1640">
        <v>41671</v>
      </c>
      <c r="AA3" s="1640">
        <v>41699</v>
      </c>
      <c r="AB3" s="1640">
        <v>41730</v>
      </c>
      <c r="AC3" s="1640">
        <v>41760</v>
      </c>
      <c r="AD3" s="1640">
        <v>41791</v>
      </c>
      <c r="AE3" s="1640">
        <v>41821</v>
      </c>
      <c r="AF3" s="1640">
        <v>41852</v>
      </c>
      <c r="AG3" s="1640">
        <v>41883</v>
      </c>
      <c r="AH3" s="1640">
        <v>41913</v>
      </c>
      <c r="AI3" s="1640">
        <v>41944</v>
      </c>
      <c r="AJ3" s="1640">
        <v>41974</v>
      </c>
      <c r="AK3" s="1640">
        <v>42005</v>
      </c>
      <c r="AL3" s="1640">
        <v>42036</v>
      </c>
      <c r="AM3" s="1640">
        <v>42064</v>
      </c>
      <c r="AN3" s="1640">
        <v>42095</v>
      </c>
      <c r="AO3" s="1640">
        <v>42125</v>
      </c>
      <c r="AP3" s="1640">
        <v>42156</v>
      </c>
      <c r="AQ3" s="1640">
        <v>42186</v>
      </c>
      <c r="AR3" s="1640">
        <v>42217</v>
      </c>
      <c r="AS3" s="1640">
        <v>42248</v>
      </c>
      <c r="AT3" s="1640">
        <v>42278</v>
      </c>
      <c r="AU3" s="1640">
        <v>42309</v>
      </c>
      <c r="AV3" s="1640">
        <v>42339</v>
      </c>
      <c r="AW3" s="1640">
        <v>42370</v>
      </c>
      <c r="AX3" s="1640">
        <v>42401</v>
      </c>
      <c r="AY3" s="1640">
        <v>42430</v>
      </c>
      <c r="AZ3" s="1640">
        <v>42461</v>
      </c>
      <c r="BA3" s="1640">
        <v>42491</v>
      </c>
      <c r="BB3" s="1640">
        <v>42522</v>
      </c>
      <c r="BC3" s="1640">
        <v>42552</v>
      </c>
      <c r="BD3" s="1640">
        <v>42583</v>
      </c>
      <c r="BE3" s="1640">
        <v>42644</v>
      </c>
      <c r="BF3" s="1640">
        <v>42675</v>
      </c>
      <c r="BG3" s="1640">
        <v>42705</v>
      </c>
      <c r="BH3" s="1640">
        <v>42736</v>
      </c>
      <c r="BI3" s="1640">
        <v>42767</v>
      </c>
      <c r="BJ3" s="1640">
        <v>42795</v>
      </c>
      <c r="BK3" s="1640">
        <v>42826</v>
      </c>
      <c r="BL3" s="1640">
        <v>42856</v>
      </c>
      <c r="BM3" s="1640">
        <v>42887</v>
      </c>
      <c r="BN3" s="1640">
        <v>42917</v>
      </c>
      <c r="BO3" s="1640">
        <v>42948</v>
      </c>
      <c r="BP3" s="1640">
        <v>42979</v>
      </c>
      <c r="BQ3" s="1640">
        <v>43009</v>
      </c>
      <c r="BR3" s="1640">
        <v>43040</v>
      </c>
      <c r="BS3" s="1640">
        <v>43070</v>
      </c>
      <c r="BT3" s="1640">
        <v>43101</v>
      </c>
      <c r="BU3" s="1640">
        <v>43132</v>
      </c>
      <c r="BV3" s="1640">
        <v>43160</v>
      </c>
      <c r="BW3" s="1640">
        <v>43191</v>
      </c>
      <c r="BX3" s="1640">
        <v>43221</v>
      </c>
      <c r="BY3" s="1640">
        <v>43252</v>
      </c>
      <c r="BZ3" s="1640">
        <v>43282</v>
      </c>
      <c r="CA3" s="1640">
        <v>43313</v>
      </c>
      <c r="CB3" s="1640">
        <v>43344</v>
      </c>
      <c r="CC3" s="1640">
        <v>43374</v>
      </c>
      <c r="CD3" s="1640">
        <v>43405</v>
      </c>
      <c r="CE3" s="1640">
        <v>43435</v>
      </c>
      <c r="CF3" s="1640">
        <v>43466</v>
      </c>
      <c r="CG3" s="1640">
        <v>43497</v>
      </c>
      <c r="CH3" s="1640">
        <v>43525</v>
      </c>
      <c r="CI3" s="1640">
        <v>43556</v>
      </c>
      <c r="CJ3" s="1640">
        <v>43586</v>
      </c>
      <c r="CK3" s="1640" t="s">
        <v>1053</v>
      </c>
      <c r="CL3" s="1640">
        <v>43647</v>
      </c>
      <c r="CM3" s="1640">
        <v>43678</v>
      </c>
      <c r="CN3" s="1640">
        <v>43709</v>
      </c>
      <c r="CO3" s="1640">
        <v>43739</v>
      </c>
      <c r="CP3" s="1640">
        <v>43770</v>
      </c>
      <c r="CQ3" s="1640">
        <v>43800</v>
      </c>
      <c r="CR3" s="1640">
        <v>43831</v>
      </c>
      <c r="CS3" s="1640">
        <v>43862</v>
      </c>
      <c r="CT3" s="1640">
        <v>43891</v>
      </c>
      <c r="CU3" s="1640">
        <v>43922</v>
      </c>
      <c r="CV3" s="1640">
        <v>43952</v>
      </c>
      <c r="CW3" s="1640">
        <v>43983</v>
      </c>
      <c r="CX3" s="1640">
        <v>44013</v>
      </c>
      <c r="CY3" s="1640">
        <v>44044</v>
      </c>
      <c r="CZ3" s="1640">
        <v>44075</v>
      </c>
      <c r="DA3" s="1640">
        <v>44105</v>
      </c>
      <c r="DB3" s="1640">
        <v>44136</v>
      </c>
      <c r="DC3" s="1640">
        <v>44166</v>
      </c>
      <c r="DD3" s="1640">
        <v>44228</v>
      </c>
      <c r="DE3" s="1640">
        <v>44256</v>
      </c>
      <c r="DF3" s="1640">
        <v>44287</v>
      </c>
      <c r="DG3" s="1640">
        <v>44317</v>
      </c>
      <c r="DH3" s="1640">
        <v>44348</v>
      </c>
      <c r="DI3" s="1640">
        <v>44378</v>
      </c>
      <c r="DJ3" s="1640">
        <v>44409</v>
      </c>
      <c r="DK3" s="1640">
        <v>44440</v>
      </c>
      <c r="DL3" s="1640">
        <v>44470</v>
      </c>
      <c r="DM3" s="1640">
        <v>44501</v>
      </c>
      <c r="DN3" s="1640">
        <v>44531</v>
      </c>
      <c r="DO3" s="1640">
        <v>44562</v>
      </c>
      <c r="DP3" s="1640">
        <v>44593</v>
      </c>
      <c r="DQ3" s="1640">
        <v>44621</v>
      </c>
      <c r="DR3" s="1640">
        <v>44652</v>
      </c>
      <c r="DS3" s="1640">
        <v>44682</v>
      </c>
      <c r="DT3" s="1640">
        <v>44713</v>
      </c>
      <c r="DU3" s="1640">
        <v>44743</v>
      </c>
      <c r="DV3" s="1640">
        <v>44774</v>
      </c>
      <c r="DW3" s="1640">
        <v>44805</v>
      </c>
      <c r="DX3" s="1640">
        <v>44835</v>
      </c>
      <c r="DY3" s="1640">
        <v>44866</v>
      </c>
      <c r="DZ3" s="1640">
        <v>44896</v>
      </c>
      <c r="EA3" s="1640">
        <v>44927</v>
      </c>
      <c r="EB3" s="1640">
        <v>44958</v>
      </c>
      <c r="EC3" s="1640">
        <v>44986</v>
      </c>
      <c r="ED3" s="1641">
        <v>45017</v>
      </c>
      <c r="EE3" s="1641">
        <v>45047</v>
      </c>
      <c r="EF3" s="1641">
        <v>45078</v>
      </c>
      <c r="EG3" s="1641">
        <v>45108</v>
      </c>
      <c r="EH3" s="1641">
        <v>45139</v>
      </c>
    </row>
    <row r="4" spans="1:138" ht="15.75" x14ac:dyDescent="0.3">
      <c r="A4" s="1642" t="s">
        <v>1054</v>
      </c>
      <c r="B4" s="1643">
        <v>3784.9486335699999</v>
      </c>
      <c r="C4" s="1643">
        <v>4146.7953958849994</v>
      </c>
      <c r="D4" s="1643">
        <v>4022.084003985</v>
      </c>
      <c r="E4" s="1643">
        <v>3584.497060485</v>
      </c>
      <c r="F4" s="1643">
        <v>3225.2424225109999</v>
      </c>
      <c r="G4" s="1643">
        <v>3388.0164518410006</v>
      </c>
      <c r="H4" s="1643">
        <v>3213.4017549810055</v>
      </c>
      <c r="I4" s="1643">
        <v>3294.4372535110065</v>
      </c>
      <c r="J4" s="1643">
        <v>3154.4285983910063</v>
      </c>
      <c r="K4" s="1643">
        <v>3148.0892080410067</v>
      </c>
      <c r="L4" s="1643">
        <v>3345.1358636110058</v>
      </c>
      <c r="M4" s="1643">
        <v>3128.3774049100002</v>
      </c>
      <c r="N4" s="1643">
        <v>3203.3190910810063</v>
      </c>
      <c r="O4" s="1643">
        <v>3322.5468090010063</v>
      </c>
      <c r="P4" s="1643">
        <v>3313.392617461006</v>
      </c>
      <c r="Q4" s="1643">
        <v>3325.3249562447063</v>
      </c>
      <c r="R4" s="1643">
        <v>3428.9582647047064</v>
      </c>
      <c r="S4" s="1643">
        <v>3200.2595633639089</v>
      </c>
      <c r="T4" s="1643">
        <v>3427.7854060795316</v>
      </c>
      <c r="U4" s="1643">
        <v>3675.1366027608988</v>
      </c>
      <c r="V4" s="1643">
        <v>3458.5248819868975</v>
      </c>
      <c r="W4" s="1643">
        <v>3286.6199989168977</v>
      </c>
      <c r="X4" s="1643">
        <v>3316.0467721327036</v>
      </c>
      <c r="Y4" s="1643">
        <v>3201.0535848027043</v>
      </c>
      <c r="Z4" s="1643">
        <v>3244.2693786322957</v>
      </c>
      <c r="AA4" s="1643">
        <v>3209.5673300822955</v>
      </c>
      <c r="AB4" s="1643">
        <v>3372.8599289422968</v>
      </c>
      <c r="AC4" s="1643">
        <v>3262.1931688182876</v>
      </c>
      <c r="AD4" s="1643">
        <v>3357.269089338251</v>
      </c>
      <c r="AE4" s="1643">
        <v>3454.970170245861</v>
      </c>
      <c r="AF4" s="1643">
        <v>3199.8626864938701</v>
      </c>
      <c r="AG4" s="1643">
        <v>3611.2009549747509</v>
      </c>
      <c r="AH4" s="1643">
        <v>3738.534652824751</v>
      </c>
      <c r="AI4" s="1643">
        <v>3669.9878765200015</v>
      </c>
      <c r="AJ4" s="1643">
        <v>3829.0192880300006</v>
      </c>
      <c r="AK4" s="1643">
        <v>3696.6955143384366</v>
      </c>
      <c r="AL4" s="1643">
        <v>3877.2012400383878</v>
      </c>
      <c r="AM4" s="1643">
        <v>4057.4989944483882</v>
      </c>
      <c r="AN4" s="1643">
        <v>3787.1285439083886</v>
      </c>
      <c r="AO4" s="1643">
        <v>3805.8541573683879</v>
      </c>
      <c r="AP4" s="1643">
        <v>4098.195514651612</v>
      </c>
      <c r="AQ4" s="1643">
        <v>3667.253724035113</v>
      </c>
      <c r="AR4" s="1643">
        <v>3618.0046117023244</v>
      </c>
      <c r="AS4" s="1643">
        <v>3759.7951593273237</v>
      </c>
      <c r="AT4" s="1643">
        <v>3443.2439499577231</v>
      </c>
      <c r="AU4" s="1643">
        <v>3699.9854227800001</v>
      </c>
      <c r="AV4" s="1643">
        <v>3589.3408642577242</v>
      </c>
      <c r="AW4" s="1643">
        <v>3539.1884541786817</v>
      </c>
      <c r="AX4" s="1644">
        <v>3434.3436062520545</v>
      </c>
      <c r="AY4" s="1644">
        <v>3436.3616314499141</v>
      </c>
      <c r="AZ4" s="1644">
        <v>3330.2070528821923</v>
      </c>
      <c r="BA4" s="1644">
        <v>3342.136397937531</v>
      </c>
      <c r="BB4" s="1644">
        <v>3255.9114061509599</v>
      </c>
      <c r="BC4" s="1644">
        <v>3231.9418372969235</v>
      </c>
      <c r="BD4" s="1644">
        <v>3305.8552276699997</v>
      </c>
      <c r="BE4" s="1644">
        <v>3221.5421643699992</v>
      </c>
      <c r="BF4" s="1645">
        <v>3382.4812056800001</v>
      </c>
      <c r="BG4" s="1645">
        <v>3566.3286025253437</v>
      </c>
      <c r="BH4" s="1645">
        <v>3580.7706822065197</v>
      </c>
      <c r="BI4" s="1645">
        <v>3418.2423842825847</v>
      </c>
      <c r="BJ4" s="1645">
        <v>3346.9676388092034</v>
      </c>
      <c r="BK4" s="1645">
        <v>3290.9979959106026</v>
      </c>
      <c r="BL4" s="1645">
        <v>3481.8736139576454</v>
      </c>
      <c r="BM4" s="1645">
        <v>3372.4845592000429</v>
      </c>
      <c r="BN4" s="1645">
        <v>3193.7501008400004</v>
      </c>
      <c r="BO4" s="1645">
        <v>3183.0088155795152</v>
      </c>
      <c r="BP4" s="1645">
        <v>3255.9923272794731</v>
      </c>
      <c r="BQ4" s="1645">
        <v>3457.1440935294727</v>
      </c>
      <c r="BR4" s="1645">
        <v>3303.5069186194714</v>
      </c>
      <c r="BS4" s="1645">
        <v>3412.5936237753435</v>
      </c>
      <c r="BT4" s="1645">
        <v>3486.0294211585842</v>
      </c>
      <c r="BU4" s="1645">
        <v>3535.175439468585</v>
      </c>
      <c r="BV4" s="1645">
        <v>3433.8636157149781</v>
      </c>
      <c r="BW4" s="1645">
        <v>3388.134565612771</v>
      </c>
      <c r="BX4" s="1645">
        <v>3331.923867919978</v>
      </c>
      <c r="BY4" s="1645">
        <v>3237.1330915855106</v>
      </c>
      <c r="BZ4" s="1645">
        <v>3534.4659213856103</v>
      </c>
      <c r="CA4" s="1645">
        <v>3217.5155723172534</v>
      </c>
      <c r="CB4" s="1645">
        <v>3347.5619971200003</v>
      </c>
      <c r="CC4" s="1645">
        <v>2954.4473322599993</v>
      </c>
      <c r="CD4" s="1645">
        <v>2924.5198030900001</v>
      </c>
      <c r="CE4" s="1645">
        <v>2904.8976847799991</v>
      </c>
      <c r="CF4" s="1645">
        <v>3002.7589270400008</v>
      </c>
      <c r="CG4" s="1645">
        <v>2890.9727017300002</v>
      </c>
      <c r="CH4" s="1645">
        <v>2960.3916371599998</v>
      </c>
      <c r="CI4" s="1645">
        <v>5177.8026126500017</v>
      </c>
      <c r="CJ4" s="1645">
        <v>3257.1300759900009</v>
      </c>
      <c r="CK4" s="1646">
        <v>3233.3277186799987</v>
      </c>
      <c r="CL4" s="1646">
        <v>3377.4766460300007</v>
      </c>
      <c r="CM4" s="1646">
        <v>3467.4551905399994</v>
      </c>
      <c r="CN4" s="1646">
        <v>3573.971948129999</v>
      </c>
      <c r="CO4" s="1646">
        <v>3398.2836036400008</v>
      </c>
      <c r="CP4" s="1646">
        <v>3368.4167591</v>
      </c>
      <c r="CQ4" s="1646">
        <v>3511.7614057499991</v>
      </c>
      <c r="CR4" s="1646">
        <v>3245.9720668800001</v>
      </c>
      <c r="CS4" s="1646">
        <v>2553.6873245899997</v>
      </c>
      <c r="CT4" s="1646">
        <v>2818.9719614099999</v>
      </c>
      <c r="CU4" s="1646">
        <v>2713.8473133699999</v>
      </c>
      <c r="CV4" s="1646">
        <v>2765.6148307799999</v>
      </c>
      <c r="CW4" s="1646">
        <v>2866.9301137399989</v>
      </c>
      <c r="CX4" s="1646">
        <v>2688.5757228400003</v>
      </c>
      <c r="CY4" s="1646">
        <v>2618.9709778699998</v>
      </c>
      <c r="CZ4" s="1646">
        <v>2559.2510686999999</v>
      </c>
      <c r="DA4" s="1646">
        <v>2494.5765320100004</v>
      </c>
      <c r="DB4" s="1646">
        <v>2661.2007842200001</v>
      </c>
      <c r="DC4" s="1646">
        <v>2179.4268062000001</v>
      </c>
      <c r="DD4" s="1646">
        <v>2144.0418746299997</v>
      </c>
      <c r="DE4" s="1646">
        <v>2145.9126493200006</v>
      </c>
      <c r="DF4" s="1646">
        <v>2336.5686450999988</v>
      </c>
      <c r="DG4" s="1646">
        <v>2235.3195117200003</v>
      </c>
      <c r="DH4" s="1646">
        <v>2008.1151922200002</v>
      </c>
      <c r="DI4" s="1646">
        <v>2023.4652011100002</v>
      </c>
      <c r="DJ4" s="1646">
        <v>1994.0606252599998</v>
      </c>
      <c r="DK4" s="1646">
        <v>1993.3080667699994</v>
      </c>
      <c r="DL4" s="1646">
        <v>2180.2495719000008</v>
      </c>
      <c r="DM4" s="1646">
        <v>2116.16486248</v>
      </c>
      <c r="DN4" s="1646">
        <v>1956.33387771</v>
      </c>
      <c r="DO4" s="1646">
        <v>2168.5804613099999</v>
      </c>
      <c r="DP4" s="1646">
        <v>2127.4561860800009</v>
      </c>
      <c r="DQ4" s="1646">
        <v>2188.6794145500003</v>
      </c>
      <c r="DR4" s="1646">
        <v>2022.6903272400002</v>
      </c>
      <c r="DS4" s="1646">
        <v>2009.2872240699996</v>
      </c>
      <c r="DT4" s="1646">
        <v>2008.8835627600001</v>
      </c>
      <c r="DU4" s="1646">
        <v>1997.5372664700001</v>
      </c>
      <c r="DV4" s="1646">
        <v>1926.9734473000003</v>
      </c>
      <c r="DW4" s="1646">
        <v>1842.7198895200002</v>
      </c>
      <c r="DX4" s="1646">
        <v>1741.2882941599999</v>
      </c>
      <c r="DY4" s="1646">
        <v>1700.45334744</v>
      </c>
      <c r="DZ4" s="1646">
        <v>1603.7795399800004</v>
      </c>
      <c r="EA4" s="1646">
        <v>1698.1819054899993</v>
      </c>
      <c r="EB4" s="1646">
        <v>1927.4409357</v>
      </c>
      <c r="EC4" s="1646">
        <v>2043.2740054900007</v>
      </c>
      <c r="ED4" s="1647">
        <v>1835.1156110800007</v>
      </c>
      <c r="EE4" s="1647">
        <v>1780.1101887700006</v>
      </c>
      <c r="EF4" s="1647">
        <v>1826.8741431300004</v>
      </c>
      <c r="EG4" s="1647">
        <v>2149.9543247000006</v>
      </c>
      <c r="EH4" s="1647">
        <v>2227.6520143100001</v>
      </c>
    </row>
    <row r="5" spans="1:138" ht="15.75" x14ac:dyDescent="0.3">
      <c r="A5" s="1642" t="s">
        <v>1055</v>
      </c>
      <c r="B5" s="1648">
        <v>9316.2234302199995</v>
      </c>
      <c r="C5" s="1648">
        <v>9415.8096210905005</v>
      </c>
      <c r="D5" s="1648">
        <v>9535.3307578904987</v>
      </c>
      <c r="E5" s="1648">
        <v>7634.3834235704999</v>
      </c>
      <c r="F5" s="1648">
        <v>7685.6638522344992</v>
      </c>
      <c r="G5" s="1648">
        <v>7769.0335341344999</v>
      </c>
      <c r="H5" s="1648">
        <v>7781.6829723244946</v>
      </c>
      <c r="I5" s="1648">
        <v>7825.2223860644945</v>
      </c>
      <c r="J5" s="1648">
        <v>7905.8672250044929</v>
      </c>
      <c r="K5" s="1648">
        <v>7949.0957587237699</v>
      </c>
      <c r="L5" s="1648">
        <v>8093.0274049682712</v>
      </c>
      <c r="M5" s="1648">
        <v>8105.9256304500004</v>
      </c>
      <c r="N5" s="1648">
        <v>8122.4054758394614</v>
      </c>
      <c r="O5" s="1648">
        <v>8173.5077580255911</v>
      </c>
      <c r="P5" s="1648">
        <v>8181.4418704855907</v>
      </c>
      <c r="Q5" s="1648">
        <v>8248.0292083418917</v>
      </c>
      <c r="R5" s="1648">
        <v>8327.257198237392</v>
      </c>
      <c r="S5" s="1648">
        <v>8362.6018428981879</v>
      </c>
      <c r="T5" s="1648">
        <v>8616.3561014105671</v>
      </c>
      <c r="U5" s="1648">
        <v>8540.2080518612001</v>
      </c>
      <c r="V5" s="1648">
        <v>8725.4808364296132</v>
      </c>
      <c r="W5" s="1648">
        <v>8992.3185840638089</v>
      </c>
      <c r="X5" s="1648">
        <v>9146.039682133809</v>
      </c>
      <c r="Y5" s="1648">
        <v>9175.2192890207971</v>
      </c>
      <c r="Z5" s="1648">
        <v>9165.592346084215</v>
      </c>
      <c r="AA5" s="1648">
        <v>9268.3452642042157</v>
      </c>
      <c r="AB5" s="1648">
        <v>9265.6731395319603</v>
      </c>
      <c r="AC5" s="1648">
        <v>9443.9182049919418</v>
      </c>
      <c r="AD5" s="1648">
        <v>9436.8506816582358</v>
      </c>
      <c r="AE5" s="1648">
        <v>9484.7520766305843</v>
      </c>
      <c r="AF5" s="1648">
        <v>9672.0489355405734</v>
      </c>
      <c r="AG5" s="1648">
        <v>9624.0057615456135</v>
      </c>
      <c r="AH5" s="1648">
        <v>9714.1897551355596</v>
      </c>
      <c r="AI5" s="1648">
        <v>9831.3831511399912</v>
      </c>
      <c r="AJ5" s="1648">
        <v>9827.8521064000015</v>
      </c>
      <c r="AK5" s="1648">
        <v>9877.0160043965298</v>
      </c>
      <c r="AL5" s="1648">
        <v>9829.7011622365717</v>
      </c>
      <c r="AM5" s="1648">
        <v>9871.1268300740157</v>
      </c>
      <c r="AN5" s="1648">
        <v>9952.575729425751</v>
      </c>
      <c r="AO5" s="1648">
        <v>9997.967484201452</v>
      </c>
      <c r="AP5" s="1648">
        <v>10008.43832362624</v>
      </c>
      <c r="AQ5" s="1643">
        <v>10011.175122769673</v>
      </c>
      <c r="AR5" s="1643">
        <v>10098.517125396067</v>
      </c>
      <c r="AS5" s="1643">
        <v>10207.617707772424</v>
      </c>
      <c r="AT5" s="1643">
        <v>10276.030584333654</v>
      </c>
      <c r="AU5" s="1643">
        <v>10275.747553329642</v>
      </c>
      <c r="AV5" s="1648">
        <v>10416.145620100175</v>
      </c>
      <c r="AW5" s="1648">
        <v>10420.027987303169</v>
      </c>
      <c r="AX5" s="1649">
        <v>10446.55052447</v>
      </c>
      <c r="AY5" s="1649">
        <v>10267.802319351869</v>
      </c>
      <c r="AZ5" s="1649">
        <v>10295.257761591469</v>
      </c>
      <c r="BA5" s="1649">
        <v>10406.18839023574</v>
      </c>
      <c r="BB5" s="1649">
        <v>10420.132125957958</v>
      </c>
      <c r="BC5" s="1649">
        <v>10486.575870950001</v>
      </c>
      <c r="BD5" s="1649">
        <v>10404.078447350003</v>
      </c>
      <c r="BE5" s="1649">
        <v>10455.245300459999</v>
      </c>
      <c r="BF5" s="1645">
        <v>10487.004091872937</v>
      </c>
      <c r="BG5" s="1645">
        <v>10595.847004370002</v>
      </c>
      <c r="BH5" s="1645">
        <v>10555.723294758551</v>
      </c>
      <c r="BI5" s="1645">
        <v>10564.848610890002</v>
      </c>
      <c r="BJ5" s="1645">
        <v>10585.225225872317</v>
      </c>
      <c r="BK5" s="1645">
        <v>10696.128538712366</v>
      </c>
      <c r="BL5" s="1645">
        <v>10693.562981864117</v>
      </c>
      <c r="BM5" s="1645">
        <v>10793.652550687009</v>
      </c>
      <c r="BN5" s="1645">
        <v>10821.048894110001</v>
      </c>
      <c r="BO5" s="1645">
        <v>10990.127980758189</v>
      </c>
      <c r="BP5" s="1645">
        <v>11161.601316493718</v>
      </c>
      <c r="BQ5" s="1645">
        <v>11086.740416211544</v>
      </c>
      <c r="BR5" s="1645">
        <v>11049.012123037299</v>
      </c>
      <c r="BS5" s="1645">
        <v>11130.687904006198</v>
      </c>
      <c r="BT5" s="1645">
        <v>10986.460070315505</v>
      </c>
      <c r="BU5" s="1645">
        <v>10928.236304384853</v>
      </c>
      <c r="BV5" s="1645">
        <v>10885.062431834207</v>
      </c>
      <c r="BW5" s="1645">
        <v>10804.267953934148</v>
      </c>
      <c r="BX5" s="1645">
        <v>10823.030231112705</v>
      </c>
      <c r="BY5" s="1645">
        <v>10891.283317666115</v>
      </c>
      <c r="BZ5" s="1645">
        <v>10753.64870686372</v>
      </c>
      <c r="CA5" s="1645">
        <v>10035.742398616119</v>
      </c>
      <c r="CB5" s="1645">
        <v>10128.934947061927</v>
      </c>
      <c r="CC5" s="1645">
        <v>10741.174664139999</v>
      </c>
      <c r="CD5" s="1645">
        <v>10784.08233904</v>
      </c>
      <c r="CE5" s="1645">
        <v>10880.33550273</v>
      </c>
      <c r="CF5" s="1645">
        <v>10845.40741473</v>
      </c>
      <c r="CG5" s="1645">
        <v>10841.094995360001</v>
      </c>
      <c r="CH5" s="1645">
        <v>10921.82078048</v>
      </c>
      <c r="CI5" s="1645">
        <v>10953.249745680001</v>
      </c>
      <c r="CJ5" s="1645">
        <v>11100.908133199999</v>
      </c>
      <c r="CK5" s="1646">
        <v>11307.71703166</v>
      </c>
      <c r="CL5" s="1646">
        <v>11304.880539899998</v>
      </c>
      <c r="CM5" s="1646">
        <v>11407.119554700001</v>
      </c>
      <c r="CN5" s="1646">
        <v>11418.316977</v>
      </c>
      <c r="CO5" s="1646">
        <v>11412.526587209999</v>
      </c>
      <c r="CP5" s="1646">
        <v>11479.616208559999</v>
      </c>
      <c r="CQ5" s="1646">
        <v>11533.463798950001</v>
      </c>
      <c r="CR5" s="1646">
        <v>11074.710026889999</v>
      </c>
      <c r="CS5" s="1646">
        <v>8395.4991969999992</v>
      </c>
      <c r="CT5" s="1646">
        <v>8287.3424818399999</v>
      </c>
      <c r="CU5" s="1646">
        <v>8194.4442972300003</v>
      </c>
      <c r="CV5" s="1646">
        <v>8151.1309433100005</v>
      </c>
      <c r="CW5" s="1646">
        <v>8087.8467201600006</v>
      </c>
      <c r="CX5" s="1646">
        <v>8198.1116782900008</v>
      </c>
      <c r="CY5" s="1646">
        <v>8210.9020460600004</v>
      </c>
      <c r="CZ5" s="1646">
        <v>8205.7690273500011</v>
      </c>
      <c r="DA5" s="1646">
        <v>8217.4175259399999</v>
      </c>
      <c r="DB5" s="1646">
        <v>8171.0251405400013</v>
      </c>
      <c r="DC5" s="1646">
        <v>8137.3519900699994</v>
      </c>
      <c r="DD5" s="1646">
        <v>8292.1547225899994</v>
      </c>
      <c r="DE5" s="1646">
        <v>8178.1027759899998</v>
      </c>
      <c r="DF5" s="1646">
        <v>8119.29053062</v>
      </c>
      <c r="DG5" s="1646">
        <v>8109.9018063099993</v>
      </c>
      <c r="DH5" s="1646">
        <v>8321.0410951900012</v>
      </c>
      <c r="DI5" s="1646">
        <v>8393.0169604599996</v>
      </c>
      <c r="DJ5" s="1646">
        <v>8519.3300747800004</v>
      </c>
      <c r="DK5" s="1646">
        <v>8527.9288655499986</v>
      </c>
      <c r="DL5" s="1646">
        <v>8306.0232380800007</v>
      </c>
      <c r="DM5" s="1646">
        <v>8175.4853429700006</v>
      </c>
      <c r="DN5" s="1646">
        <v>8295.6964840899982</v>
      </c>
      <c r="DO5" s="1646">
        <v>8248.6635576499993</v>
      </c>
      <c r="DP5" s="1646">
        <v>8194.8146508299997</v>
      </c>
      <c r="DQ5" s="1646">
        <v>8212.043595279998</v>
      </c>
      <c r="DR5" s="1646">
        <v>8274.0184861200014</v>
      </c>
      <c r="DS5" s="1646">
        <v>8274.0210919500005</v>
      </c>
      <c r="DT5" s="1646">
        <v>8412.3875526200009</v>
      </c>
      <c r="DU5" s="1646">
        <v>8515.8462228400003</v>
      </c>
      <c r="DV5" s="1646">
        <v>8577.95055168</v>
      </c>
      <c r="DW5" s="1646">
        <v>8639.4189941900004</v>
      </c>
      <c r="DX5" s="1646">
        <v>8744.6207570499992</v>
      </c>
      <c r="DY5" s="1646">
        <v>8807.2541630600008</v>
      </c>
      <c r="DZ5" s="1646">
        <v>8967.2215359099991</v>
      </c>
      <c r="EA5" s="1646">
        <v>8940.8042850300008</v>
      </c>
      <c r="EB5" s="1646">
        <v>9007.7231510700003</v>
      </c>
      <c r="EC5" s="1646">
        <v>9168.1149371800002</v>
      </c>
      <c r="ED5" s="1647">
        <v>9359.1882197899995</v>
      </c>
      <c r="EE5" s="1647">
        <v>9392.3186144600004</v>
      </c>
      <c r="EF5" s="1647">
        <v>9574.9277808299994</v>
      </c>
      <c r="EG5" s="1647">
        <v>9494.3347225100006</v>
      </c>
      <c r="EH5" s="1647">
        <v>9530.5362682999985</v>
      </c>
    </row>
    <row r="6" spans="1:138" ht="15.75" x14ac:dyDescent="0.3">
      <c r="A6" s="1642" t="s">
        <v>1056</v>
      </c>
      <c r="B6" s="1643">
        <v>1290.6051660000001</v>
      </c>
      <c r="C6" s="1643">
        <v>1277.0112658987998</v>
      </c>
      <c r="D6" s="1643">
        <v>1278.857266</v>
      </c>
      <c r="E6" s="1643">
        <v>1051.3130000000001</v>
      </c>
      <c r="F6" s="1643">
        <v>1106.2239999999999</v>
      </c>
      <c r="G6" s="1643">
        <v>1106.097</v>
      </c>
      <c r="H6" s="1643">
        <v>1105.9380000000001</v>
      </c>
      <c r="I6" s="1643">
        <v>1106.499</v>
      </c>
      <c r="J6" s="1643">
        <v>1186.9690000000001</v>
      </c>
      <c r="K6" s="1643">
        <v>1211.5940000000001</v>
      </c>
      <c r="L6" s="1643">
        <v>1212.627</v>
      </c>
      <c r="M6" s="1643">
        <v>1398.2760000000001</v>
      </c>
      <c r="N6" s="1643">
        <v>1399.2170000000001</v>
      </c>
      <c r="O6" s="1643">
        <v>1399.761</v>
      </c>
      <c r="P6" s="1643">
        <v>1193.356</v>
      </c>
      <c r="Q6" s="1643">
        <v>1130.297</v>
      </c>
      <c r="R6" s="1643">
        <v>1101.19</v>
      </c>
      <c r="S6" s="1643">
        <v>1057.5060000000001</v>
      </c>
      <c r="T6" s="1643">
        <v>1058.1569999999999</v>
      </c>
      <c r="U6" s="1643">
        <v>1110.588</v>
      </c>
      <c r="V6" s="1643">
        <v>1061.039</v>
      </c>
      <c r="W6" s="1643">
        <v>1061.634</v>
      </c>
      <c r="X6" s="1643">
        <v>1061.9880000000001</v>
      </c>
      <c r="Y6" s="1643">
        <v>957.51099999999997</v>
      </c>
      <c r="Z6" s="1643">
        <v>1007.919</v>
      </c>
      <c r="AA6" s="1643">
        <v>1110.106</v>
      </c>
      <c r="AB6" s="1643">
        <v>1135.75</v>
      </c>
      <c r="AC6" s="1643">
        <v>1168.5239999999999</v>
      </c>
      <c r="AD6" s="1643">
        <v>1173.8989999999999</v>
      </c>
      <c r="AE6" s="1643">
        <v>1173.9290000000001</v>
      </c>
      <c r="AF6" s="1643">
        <v>1128.962</v>
      </c>
      <c r="AG6" s="1643">
        <v>1153.1197500000001</v>
      </c>
      <c r="AH6" s="1643">
        <v>1099.771</v>
      </c>
      <c r="AI6" s="1643">
        <v>1093.9359999999999</v>
      </c>
      <c r="AJ6" s="1643">
        <v>1094.367</v>
      </c>
      <c r="AK6" s="1643">
        <v>1015.933</v>
      </c>
      <c r="AL6" s="1643">
        <v>939.09500000000003</v>
      </c>
      <c r="AM6" s="1643">
        <v>982.322</v>
      </c>
      <c r="AN6" s="1643">
        <v>1027.1479999999999</v>
      </c>
      <c r="AO6" s="1643">
        <v>838.95699999999999</v>
      </c>
      <c r="AP6" s="1643">
        <v>787.16300000000001</v>
      </c>
      <c r="AQ6" s="1643">
        <v>827.42700000000002</v>
      </c>
      <c r="AR6" s="1643">
        <v>826.66099999999994</v>
      </c>
      <c r="AS6" s="1643">
        <v>817.45899999999995</v>
      </c>
      <c r="AT6" s="1643">
        <v>819.81299999999999</v>
      </c>
      <c r="AU6" s="1643">
        <v>831.47699999999998</v>
      </c>
      <c r="AV6" s="1643">
        <v>831.27599999999995</v>
      </c>
      <c r="AW6" s="1643">
        <v>829.80799999999999</v>
      </c>
      <c r="AX6" s="1644">
        <v>832.09500000000003</v>
      </c>
      <c r="AY6" s="1644">
        <v>836.91200000000003</v>
      </c>
      <c r="AZ6" s="1644">
        <v>835.41600000000005</v>
      </c>
      <c r="BA6" s="1644">
        <v>815.03308300000003</v>
      </c>
      <c r="BB6" s="1644">
        <v>858.86400000000003</v>
      </c>
      <c r="BC6" s="1644">
        <v>859.16800000000001</v>
      </c>
      <c r="BD6" s="1644">
        <v>859.18100000000004</v>
      </c>
      <c r="BE6" s="1644">
        <v>860.077</v>
      </c>
      <c r="BF6" s="1645">
        <v>860.46299999999997</v>
      </c>
      <c r="BG6" s="1645">
        <v>860.46199999999999</v>
      </c>
      <c r="BH6" s="1645">
        <v>861.11</v>
      </c>
      <c r="BI6" s="1645">
        <v>861.55899999999997</v>
      </c>
      <c r="BJ6" s="1645">
        <v>861.86400000000003</v>
      </c>
      <c r="BK6" s="1645">
        <v>881.48500000000001</v>
      </c>
      <c r="BL6" s="1645">
        <v>850.40499999999997</v>
      </c>
      <c r="BM6" s="1645">
        <v>810.14</v>
      </c>
      <c r="BN6" s="1645">
        <v>809.48699999999997</v>
      </c>
      <c r="BO6" s="1645">
        <v>809.52</v>
      </c>
      <c r="BP6" s="1645">
        <v>809.47299999999996</v>
      </c>
      <c r="BQ6" s="1645">
        <v>729.78399999999999</v>
      </c>
      <c r="BR6" s="1645">
        <v>731.16200000000003</v>
      </c>
      <c r="BS6" s="1645">
        <v>731.67</v>
      </c>
      <c r="BT6" s="1645">
        <v>732.577</v>
      </c>
      <c r="BU6" s="1645">
        <v>732.44200000000001</v>
      </c>
      <c r="BV6" s="1645">
        <v>731.65599999999995</v>
      </c>
      <c r="BW6" s="1645">
        <v>679.86699999999996</v>
      </c>
      <c r="BX6" s="1645">
        <v>679.15099999999995</v>
      </c>
      <c r="BY6" s="1645">
        <v>598.44200000000001</v>
      </c>
      <c r="BZ6" s="1645">
        <v>556.83000000000004</v>
      </c>
      <c r="CA6" s="1645">
        <v>556.84500000000003</v>
      </c>
      <c r="CB6" s="1645">
        <v>34.301259999999999</v>
      </c>
      <c r="CC6" s="1645">
        <v>35.474803000000001</v>
      </c>
      <c r="CD6" s="1645">
        <v>34.104927000000004</v>
      </c>
      <c r="CE6" s="1645">
        <v>33.114283</v>
      </c>
      <c r="CF6" s="1645">
        <v>34.170343000000003</v>
      </c>
      <c r="CG6" s="1645">
        <v>34.697569000000001</v>
      </c>
      <c r="CH6" s="1645">
        <v>34.954011999999999</v>
      </c>
      <c r="CI6" s="1645">
        <v>35.728226999999997</v>
      </c>
      <c r="CJ6" s="1645">
        <v>35.321415000000002</v>
      </c>
      <c r="CK6" s="1646">
        <v>35.618599000000003</v>
      </c>
      <c r="CL6" s="1646">
        <v>34.930272000000002</v>
      </c>
      <c r="CM6" s="1646">
        <v>34.930272000000002</v>
      </c>
      <c r="CN6" s="1646">
        <v>34.930272000000002</v>
      </c>
      <c r="CO6" s="1646">
        <v>36.956513999999999</v>
      </c>
      <c r="CP6" s="1646">
        <v>36.956513999999999</v>
      </c>
      <c r="CQ6" s="1646">
        <v>36.956513999999999</v>
      </c>
      <c r="CR6" s="1646">
        <v>38.050826999999998</v>
      </c>
      <c r="CS6" s="1646">
        <v>38.965769000000002</v>
      </c>
      <c r="CT6" s="1646">
        <v>31.885622999999999</v>
      </c>
      <c r="CU6" s="1646">
        <v>33.37547</v>
      </c>
      <c r="CV6" s="1646">
        <v>36.303910999999999</v>
      </c>
      <c r="CW6" s="1646">
        <v>38.062595999999999</v>
      </c>
      <c r="CX6" s="1646">
        <v>36.976022</v>
      </c>
      <c r="CY6" s="1646">
        <v>36.976022</v>
      </c>
      <c r="CZ6" s="1646">
        <v>36.976022</v>
      </c>
      <c r="DA6" s="1646">
        <v>39.153762999999998</v>
      </c>
      <c r="DB6" s="1646">
        <v>39.558233999999999</v>
      </c>
      <c r="DC6" s="1646">
        <v>43.344686000000003</v>
      </c>
      <c r="DD6" s="1646">
        <v>45.176014000000002</v>
      </c>
      <c r="DE6" s="1646">
        <v>44.561261000000002</v>
      </c>
      <c r="DF6" s="1646">
        <v>45.133375999999998</v>
      </c>
      <c r="DG6" s="1646">
        <v>45.060105</v>
      </c>
      <c r="DH6" s="1646">
        <v>46.403885000000002</v>
      </c>
      <c r="DI6" s="1646">
        <v>48.559156999999999</v>
      </c>
      <c r="DJ6" s="1646">
        <v>48.559156999999999</v>
      </c>
      <c r="DK6" s="1646">
        <v>48.826329000000001</v>
      </c>
      <c r="DL6" s="1646">
        <v>49.961770000000001</v>
      </c>
      <c r="DM6" s="1646">
        <v>50.078941999999998</v>
      </c>
      <c r="DN6" s="1646">
        <v>50.017161999999999</v>
      </c>
      <c r="DO6" s="1646">
        <v>53.172651000000002</v>
      </c>
      <c r="DP6" s="1646">
        <v>53.139651000000001</v>
      </c>
      <c r="DQ6" s="1646">
        <v>49.543244000000001</v>
      </c>
      <c r="DR6" s="1646">
        <v>49.630243999999998</v>
      </c>
      <c r="DS6" s="1646">
        <v>49.630243999999998</v>
      </c>
      <c r="DT6" s="1646">
        <v>42.084395000000001</v>
      </c>
      <c r="DU6" s="1646">
        <v>42.084395000000001</v>
      </c>
      <c r="DV6" s="1646">
        <v>42.141492999999997</v>
      </c>
      <c r="DW6" s="1646">
        <v>39.737254999999998</v>
      </c>
      <c r="DX6" s="1646">
        <v>42.578741999999998</v>
      </c>
      <c r="DY6" s="1646">
        <v>43.940264999999997</v>
      </c>
      <c r="DZ6" s="1646">
        <v>43.367201999999999</v>
      </c>
      <c r="EA6" s="1646">
        <v>45.960616000000002</v>
      </c>
      <c r="EB6" s="1646">
        <v>46.610145000000003</v>
      </c>
      <c r="EC6" s="1646">
        <v>45.942611999999997</v>
      </c>
      <c r="ED6" s="1647">
        <v>46.629001000000002</v>
      </c>
      <c r="EE6" s="1647">
        <v>47.408166000000001</v>
      </c>
      <c r="EF6" s="1647">
        <v>46.710019000000003</v>
      </c>
      <c r="EG6" s="1647">
        <v>46.710019000000003</v>
      </c>
      <c r="EH6" s="1647">
        <v>47.033726000000001</v>
      </c>
    </row>
    <row r="7" spans="1:138" ht="15.75" x14ac:dyDescent="0.3">
      <c r="A7" s="1642" t="s">
        <v>1057</v>
      </c>
      <c r="B7" s="1648">
        <v>1049.5340839299993</v>
      </c>
      <c r="C7" s="1648">
        <v>1035.4049702700015</v>
      </c>
      <c r="D7" s="1648">
        <v>1040.5369035600033</v>
      </c>
      <c r="E7" s="1648">
        <v>1017.7621709900027</v>
      </c>
      <c r="F7" s="1648">
        <v>1053.8905977500001</v>
      </c>
      <c r="G7" s="1648">
        <v>1026.8778699199981</v>
      </c>
      <c r="H7" s="1648">
        <v>1029.0696868600005</v>
      </c>
      <c r="I7" s="1648">
        <v>1066.4551997700005</v>
      </c>
      <c r="J7" s="1648">
        <v>1035.9338482200012</v>
      </c>
      <c r="K7" s="1648">
        <v>1101.7836990000019</v>
      </c>
      <c r="L7" s="1648">
        <v>1101.4117712299994</v>
      </c>
      <c r="M7" s="1648">
        <v>1059.8975900900002</v>
      </c>
      <c r="N7" s="1648">
        <v>1144.7319792299995</v>
      </c>
      <c r="O7" s="1648">
        <v>1145.6658957799989</v>
      </c>
      <c r="P7" s="1648">
        <v>1034.1520761699983</v>
      </c>
      <c r="Q7" s="1648">
        <v>1024.829464619999</v>
      </c>
      <c r="R7" s="1648">
        <v>1116.2583365200005</v>
      </c>
      <c r="S7" s="1648">
        <v>1038.7184114700012</v>
      </c>
      <c r="T7" s="1648">
        <v>1128.2178182700004</v>
      </c>
      <c r="U7" s="1648">
        <v>1022.4848672200012</v>
      </c>
      <c r="V7" s="1648">
        <v>959.63591970000073</v>
      </c>
      <c r="W7" s="1648">
        <v>982.01230300999828</v>
      </c>
      <c r="X7" s="1648">
        <v>939.57567293000034</v>
      </c>
      <c r="Y7" s="1648">
        <v>939.52300000000002</v>
      </c>
      <c r="Z7" s="1648">
        <v>949.51946127000429</v>
      </c>
      <c r="AA7" s="1648">
        <v>944.67310577999501</v>
      </c>
      <c r="AB7" s="1648">
        <v>922.92985149999618</v>
      </c>
      <c r="AC7" s="1648">
        <v>925.58467952999501</v>
      </c>
      <c r="AD7" s="1648">
        <v>929.61111616999813</v>
      </c>
      <c r="AE7" s="1648">
        <v>927.90292083999634</v>
      </c>
      <c r="AF7" s="1648">
        <v>950.25936095999907</v>
      </c>
      <c r="AG7" s="1648">
        <v>947.22736095999903</v>
      </c>
      <c r="AH7" s="1648">
        <v>405.63400000000001</v>
      </c>
      <c r="AI7" s="1648">
        <v>973.7171097900009</v>
      </c>
      <c r="AJ7" s="1648">
        <v>2915.3857860599974</v>
      </c>
      <c r="AK7" s="1648">
        <v>914.95158881999964</v>
      </c>
      <c r="AL7" s="1648">
        <v>940.64749199000164</v>
      </c>
      <c r="AM7" s="1648">
        <v>898.06081856999776</v>
      </c>
      <c r="AN7" s="1648">
        <v>904.00015748000044</v>
      </c>
      <c r="AO7" s="1648">
        <v>923.54817405000017</v>
      </c>
      <c r="AP7" s="1648">
        <v>900.22477961999994</v>
      </c>
      <c r="AQ7" s="1643">
        <v>893.62689414000317</v>
      </c>
      <c r="AR7" s="1643">
        <v>889.35303468999575</v>
      </c>
      <c r="AS7" s="1643">
        <v>888.45204606999971</v>
      </c>
      <c r="AT7" s="1643">
        <v>886.67939750000187</v>
      </c>
      <c r="AU7" s="1643">
        <v>882.29426043999581</v>
      </c>
      <c r="AV7" s="1648">
        <v>867.77306620999627</v>
      </c>
      <c r="AW7" s="1648">
        <v>890.79272574999618</v>
      </c>
      <c r="AX7" s="1649">
        <v>865.89003259000015</v>
      </c>
      <c r="AY7" s="1649">
        <v>862.42203259000303</v>
      </c>
      <c r="AZ7" s="1649">
        <v>864.14684803000546</v>
      </c>
      <c r="BA7" s="1649">
        <v>832.32920728000545</v>
      </c>
      <c r="BB7" s="1649">
        <v>821.41062785000042</v>
      </c>
      <c r="BC7" s="1649">
        <v>809.73011337000366</v>
      </c>
      <c r="BD7" s="1649">
        <v>809.34795873999599</v>
      </c>
      <c r="BE7" s="1649">
        <v>805.44527805000405</v>
      </c>
      <c r="BF7" s="1645">
        <v>796.79824873999496</v>
      </c>
      <c r="BG7" s="1645">
        <v>784.50463398000522</v>
      </c>
      <c r="BH7" s="1645">
        <v>777.34836773000336</v>
      </c>
      <c r="BI7" s="1645">
        <v>806.32457499000077</v>
      </c>
      <c r="BJ7" s="1645">
        <v>759.17105713999933</v>
      </c>
      <c r="BK7" s="1645">
        <v>761.57717086000162</v>
      </c>
      <c r="BL7" s="1645">
        <v>753.41104232999896</v>
      </c>
      <c r="BM7" s="1645">
        <v>754.83266102999971</v>
      </c>
      <c r="BN7" s="1645">
        <v>743.80834210999967</v>
      </c>
      <c r="BO7" s="1645">
        <v>736.88053032000062</v>
      </c>
      <c r="BP7" s="1645">
        <v>736.79850226999565</v>
      </c>
      <c r="BQ7" s="1645">
        <v>728.58022912000558</v>
      </c>
      <c r="BR7" s="1645">
        <v>729.12772949999908</v>
      </c>
      <c r="BS7" s="1645">
        <v>708.40426999000169</v>
      </c>
      <c r="BT7" s="1645">
        <v>700.73462714000323</v>
      </c>
      <c r="BU7" s="1645">
        <v>699.36815859000012</v>
      </c>
      <c r="BV7" s="1645">
        <v>684.57219224999619</v>
      </c>
      <c r="BW7" s="1645">
        <v>678.17628963999846</v>
      </c>
      <c r="BX7" s="1645">
        <v>670.31701698999495</v>
      </c>
      <c r="BY7" s="1645">
        <v>661.88812798999686</v>
      </c>
      <c r="BZ7" s="1645">
        <v>643.95422869000345</v>
      </c>
      <c r="CA7" s="1645">
        <v>8758.9444633199982</v>
      </c>
      <c r="CB7" s="1645">
        <v>8931.7593750799988</v>
      </c>
      <c r="CC7" s="1645">
        <v>8359.4482119999993</v>
      </c>
      <c r="CD7" s="1645">
        <v>8649.1316550699994</v>
      </c>
      <c r="CE7" s="1645">
        <v>9435.271027069999</v>
      </c>
      <c r="CF7" s="1645">
        <v>9593.4583346700019</v>
      </c>
      <c r="CG7" s="1645">
        <v>9589.4959349599994</v>
      </c>
      <c r="CH7" s="1645">
        <v>9585.5187096499976</v>
      </c>
      <c r="CI7" s="1645">
        <v>9557.0524584100003</v>
      </c>
      <c r="CJ7" s="1645">
        <v>9771.0577860700032</v>
      </c>
      <c r="CK7" s="1646">
        <v>9934.0239732000045</v>
      </c>
      <c r="CL7" s="1646">
        <v>9955.8853331800001</v>
      </c>
      <c r="CM7" s="1646">
        <v>9981.711063849998</v>
      </c>
      <c r="CN7" s="1646">
        <v>10080.034618780002</v>
      </c>
      <c r="CO7" s="1646">
        <v>10195.415309740001</v>
      </c>
      <c r="CP7" s="1646">
        <v>10632.042160270001</v>
      </c>
      <c r="CQ7" s="1646">
        <v>11485.857830200004</v>
      </c>
      <c r="CR7" s="1646">
        <v>11700.614681569996</v>
      </c>
      <c r="CS7" s="1646">
        <v>154.03517099999999</v>
      </c>
      <c r="CT7" s="1646">
        <v>157.76047700000001</v>
      </c>
      <c r="CU7" s="1646">
        <v>143.24761599999999</v>
      </c>
      <c r="CV7" s="1646">
        <v>136.0367</v>
      </c>
      <c r="CW7" s="1646">
        <v>119.11210900000381</v>
      </c>
      <c r="CX7" s="1646">
        <v>117.69924400000382</v>
      </c>
      <c r="CY7" s="1646">
        <v>119.34532800000382</v>
      </c>
      <c r="CZ7" s="1646">
        <v>122.493312</v>
      </c>
      <c r="DA7" s="1646">
        <v>122.530125</v>
      </c>
      <c r="DB7" s="1646">
        <v>129.075661</v>
      </c>
      <c r="DC7" s="1646">
        <v>123.765981</v>
      </c>
      <c r="DD7" s="1646">
        <v>113.026855</v>
      </c>
      <c r="DE7" s="1646">
        <v>107.59680899999999</v>
      </c>
      <c r="DF7" s="1646">
        <v>102.126037</v>
      </c>
      <c r="DG7" s="1646">
        <v>96.614234999999994</v>
      </c>
      <c r="DH7" s="1646">
        <v>91.061094999999995</v>
      </c>
      <c r="DI7" s="1646">
        <v>85.466306000000003</v>
      </c>
      <c r="DJ7" s="1646">
        <v>79.829554999999999</v>
      </c>
      <c r="DK7" s="1646">
        <v>74.150530000000003</v>
      </c>
      <c r="DL7" s="1646">
        <v>407.24284519000247</v>
      </c>
      <c r="DM7" s="1646">
        <v>432.30088218999481</v>
      </c>
      <c r="DN7" s="1646">
        <v>452.12051519000244</v>
      </c>
      <c r="DO7" s="1646">
        <v>447.54344219000245</v>
      </c>
      <c r="DP7" s="1646">
        <v>488.385987</v>
      </c>
      <c r="DQ7" s="1646">
        <v>488.385987</v>
      </c>
      <c r="DR7" s="1646">
        <v>488.38598699999238</v>
      </c>
      <c r="DS7" s="1646">
        <v>553.81073600000002</v>
      </c>
      <c r="DT7" s="1646">
        <v>553.8107359999924</v>
      </c>
      <c r="DU7" s="1646">
        <v>553.81073600000002</v>
      </c>
      <c r="DV7" s="1646">
        <v>553.81073600000002</v>
      </c>
      <c r="DW7" s="1646">
        <v>553.8107359999924</v>
      </c>
      <c r="DX7" s="1646">
        <v>553.81073600000002</v>
      </c>
      <c r="DY7" s="1646">
        <v>553.81073600000002</v>
      </c>
      <c r="DZ7" s="1646">
        <v>553.81073600000764</v>
      </c>
      <c r="EA7" s="1646">
        <v>553.81073600000002</v>
      </c>
      <c r="EB7" s="1646">
        <v>553.81073600000002</v>
      </c>
      <c r="EC7" s="1646">
        <v>553.81073600000764</v>
      </c>
      <c r="ED7" s="1647">
        <v>553.81073600000002</v>
      </c>
      <c r="EE7" s="1647">
        <v>553.8107359999924</v>
      </c>
      <c r="EF7" s="1647">
        <v>553.81073600000002</v>
      </c>
      <c r="EG7" s="1647">
        <v>705.19753797000124</v>
      </c>
      <c r="EH7" s="1647">
        <v>705.25784599999997</v>
      </c>
    </row>
    <row r="8" spans="1:138" ht="15.75" x14ac:dyDescent="0.3">
      <c r="A8" s="1642" t="s">
        <v>1058</v>
      </c>
      <c r="B8" s="1643">
        <v>1753.9680650199998</v>
      </c>
      <c r="C8" s="1643">
        <v>1774.1520941600004</v>
      </c>
      <c r="D8" s="1643">
        <v>1787.8331137299999</v>
      </c>
      <c r="E8" s="1643">
        <v>1395.2307854299997</v>
      </c>
      <c r="F8" s="1643">
        <v>1472.85677018</v>
      </c>
      <c r="G8" s="1643">
        <v>1475.1329524554644</v>
      </c>
      <c r="H8" s="1643">
        <v>1467.34213931</v>
      </c>
      <c r="I8" s="1643">
        <v>1470.5541987900001</v>
      </c>
      <c r="J8" s="1643">
        <v>1491.4065421199998</v>
      </c>
      <c r="K8" s="1643">
        <v>1518.9228208700001</v>
      </c>
      <c r="L8" s="1643">
        <v>1594.0724050400001</v>
      </c>
      <c r="M8" s="1643">
        <v>1606.2662365599999</v>
      </c>
      <c r="N8" s="1643">
        <v>1605.2700167499995</v>
      </c>
      <c r="O8" s="1643">
        <v>1585.0209128299998</v>
      </c>
      <c r="P8" s="1643">
        <v>1581.5227964000001</v>
      </c>
      <c r="Q8" s="1643">
        <v>1594.7889929200001</v>
      </c>
      <c r="R8" s="1643">
        <v>1633.2042625899996</v>
      </c>
      <c r="S8" s="1643">
        <v>1628.5791776099998</v>
      </c>
      <c r="T8" s="1643">
        <v>1607.4693381700001</v>
      </c>
      <c r="U8" s="1643">
        <v>1580.6486043600003</v>
      </c>
      <c r="V8" s="1643">
        <v>1608.4649095600003</v>
      </c>
      <c r="W8" s="1643">
        <v>1604.9155631599999</v>
      </c>
      <c r="X8" s="1643">
        <v>1595.2074937100001</v>
      </c>
      <c r="Y8" s="1643">
        <v>1586.6967480300002</v>
      </c>
      <c r="Z8" s="1643">
        <v>1576.4994108699998</v>
      </c>
      <c r="AA8" s="1643">
        <v>1587.5429659400004</v>
      </c>
      <c r="AB8" s="1643">
        <v>1582.2983194999997</v>
      </c>
      <c r="AC8" s="1643">
        <v>1610.9319729000001</v>
      </c>
      <c r="AD8" s="1643">
        <v>1633.3828057500002</v>
      </c>
      <c r="AE8" s="1643">
        <v>1636.210760430793</v>
      </c>
      <c r="AF8" s="1643">
        <v>1689.0061177341456</v>
      </c>
      <c r="AG8" s="1643">
        <v>1683.9681872263866</v>
      </c>
      <c r="AH8" s="1643">
        <v>1728.4101491355852</v>
      </c>
      <c r="AI8" s="1643">
        <v>1749.15051756</v>
      </c>
      <c r="AJ8" s="1643">
        <v>1784.8334949700002</v>
      </c>
      <c r="AK8" s="1643">
        <v>1746.4247669700007</v>
      </c>
      <c r="AL8" s="1643">
        <v>1723.7254569800004</v>
      </c>
      <c r="AM8" s="1643">
        <v>1703.6596541400013</v>
      </c>
      <c r="AN8" s="1643">
        <v>1772.4242830200019</v>
      </c>
      <c r="AO8" s="1643">
        <v>1734.3680079200019</v>
      </c>
      <c r="AP8" s="1643">
        <v>1732.5763233996006</v>
      </c>
      <c r="AQ8" s="1643">
        <v>1738.1832551200009</v>
      </c>
      <c r="AR8" s="1643">
        <v>1759.5888913400015</v>
      </c>
      <c r="AS8" s="1643">
        <v>1767.1726364899998</v>
      </c>
      <c r="AT8" s="1643">
        <v>1785.8085636100016</v>
      </c>
      <c r="AU8" s="1643">
        <v>1771.8237305300022</v>
      </c>
      <c r="AV8" s="1643">
        <v>1774.7141900800025</v>
      </c>
      <c r="AW8" s="1643">
        <v>1750.6291802500009</v>
      </c>
      <c r="AX8" s="1644">
        <v>1765.3181984400001</v>
      </c>
      <c r="AY8" s="1644">
        <v>1778.51572848</v>
      </c>
      <c r="AZ8" s="1644">
        <v>1779.0533431599999</v>
      </c>
      <c r="BA8" s="1644">
        <v>1767.1911027200003</v>
      </c>
      <c r="BB8" s="1644">
        <v>1770.6957691399996</v>
      </c>
      <c r="BC8" s="1644">
        <v>1850.1265258600004</v>
      </c>
      <c r="BD8" s="1644">
        <v>1907.9891711700004</v>
      </c>
      <c r="BE8" s="1644">
        <v>1965.7905880699993</v>
      </c>
      <c r="BF8" s="1645">
        <v>1969.7836855899995</v>
      </c>
      <c r="BG8" s="1645">
        <v>2020.07404434</v>
      </c>
      <c r="BH8" s="1645">
        <v>2033.9373661200002</v>
      </c>
      <c r="BI8" s="1645">
        <v>2021.4640648399998</v>
      </c>
      <c r="BJ8" s="1645">
        <v>2051.7948176799996</v>
      </c>
      <c r="BK8" s="1645">
        <v>2040.7888594000003</v>
      </c>
      <c r="BL8" s="1645">
        <v>2053.5333177099997</v>
      </c>
      <c r="BM8" s="1645">
        <v>2097.8477168999998</v>
      </c>
      <c r="BN8" s="1645">
        <v>1963.8983324200001</v>
      </c>
      <c r="BO8" s="1645">
        <v>1953.9416905599996</v>
      </c>
      <c r="BP8" s="1645">
        <v>2107.2825110299996</v>
      </c>
      <c r="BQ8" s="1645">
        <v>1929.1298746099992</v>
      </c>
      <c r="BR8" s="1645">
        <v>1951.9851741</v>
      </c>
      <c r="BS8" s="1645">
        <v>1988.2734670100003</v>
      </c>
      <c r="BT8" s="1645">
        <v>2009.1717503879865</v>
      </c>
      <c r="BU8" s="1645">
        <v>2000.0690951354125</v>
      </c>
      <c r="BV8" s="1645">
        <v>1967.921119195413</v>
      </c>
      <c r="BW8" s="1645">
        <v>1969.9923339354114</v>
      </c>
      <c r="BX8" s="1645">
        <v>1972.5862931954121</v>
      </c>
      <c r="BY8" s="1645">
        <v>1988.853291895412</v>
      </c>
      <c r="BZ8" s="1645">
        <v>2037.8929519334995</v>
      </c>
      <c r="CA8" s="1645">
        <v>2093.6818314200004</v>
      </c>
      <c r="CB8" s="1645">
        <v>2102.3850738292358</v>
      </c>
      <c r="CC8" s="1645">
        <v>2085.2485445000002</v>
      </c>
      <c r="CD8" s="1645">
        <v>2079.3270957899999</v>
      </c>
      <c r="CE8" s="1645">
        <v>2121.1740398700003</v>
      </c>
      <c r="CF8" s="1645">
        <v>2114.5340962600003</v>
      </c>
      <c r="CG8" s="1645">
        <v>2110.9854613900002</v>
      </c>
      <c r="CH8" s="1645">
        <v>2129.1517925099997</v>
      </c>
      <c r="CI8" s="1645">
        <v>2100.8678946299997</v>
      </c>
      <c r="CJ8" s="1645">
        <v>2118.20864123</v>
      </c>
      <c r="CK8" s="1646">
        <v>2184.2538326499998</v>
      </c>
      <c r="CL8" s="1646">
        <v>2182.0527085999997</v>
      </c>
      <c r="CM8" s="1646">
        <v>2168.8708081499999</v>
      </c>
      <c r="CN8" s="1646">
        <v>2169.3520079600003</v>
      </c>
      <c r="CO8" s="1646">
        <v>2286.21979732</v>
      </c>
      <c r="CP8" s="1646">
        <v>2262.4907271399998</v>
      </c>
      <c r="CQ8" s="1646">
        <v>2210.4441525399998</v>
      </c>
      <c r="CR8" s="1646">
        <v>2132.2550996999994</v>
      </c>
      <c r="CS8" s="1646">
        <v>1551.7062860800002</v>
      </c>
      <c r="CT8" s="1646">
        <v>1548.6014849600001</v>
      </c>
      <c r="CU8" s="1646">
        <v>1537.0287342100005</v>
      </c>
      <c r="CV8" s="1646">
        <v>1517.6163643199998</v>
      </c>
      <c r="CW8" s="1646">
        <v>1483.1605060099998</v>
      </c>
      <c r="CX8" s="1646">
        <v>1461.80394871</v>
      </c>
      <c r="CY8" s="1646">
        <v>1434.3886450199998</v>
      </c>
      <c r="CZ8" s="1646">
        <v>1420.4574956999998</v>
      </c>
      <c r="DA8" s="1646">
        <v>1422.7599289000002</v>
      </c>
      <c r="DB8" s="1646">
        <v>1421.6200500600003</v>
      </c>
      <c r="DC8" s="1646">
        <v>1393.9033389200004</v>
      </c>
      <c r="DD8" s="1646">
        <v>1425.4449284599996</v>
      </c>
      <c r="DE8" s="1646">
        <v>1423.0155749400001</v>
      </c>
      <c r="DF8" s="1646">
        <v>1420.2394278799995</v>
      </c>
      <c r="DG8" s="1646">
        <v>1429.2195515000001</v>
      </c>
      <c r="DH8" s="1646">
        <v>1440.4878230800005</v>
      </c>
      <c r="DI8" s="1646">
        <v>1407.4369956800003</v>
      </c>
      <c r="DJ8" s="1646">
        <v>1418.5652214300003</v>
      </c>
      <c r="DK8" s="1646">
        <v>1442.4595841299997</v>
      </c>
      <c r="DL8" s="1646">
        <v>1451.9413082799997</v>
      </c>
      <c r="DM8" s="1646">
        <v>1472.74722148</v>
      </c>
      <c r="DN8" s="1646">
        <v>1505.57684937</v>
      </c>
      <c r="DO8" s="1646">
        <v>1487.3791836000005</v>
      </c>
      <c r="DP8" s="1646">
        <v>1493.4799954900002</v>
      </c>
      <c r="DQ8" s="1646">
        <v>1481.3932220800002</v>
      </c>
      <c r="DR8" s="1646">
        <v>1500.9386581399999</v>
      </c>
      <c r="DS8" s="1646">
        <v>1487.2963980899997</v>
      </c>
      <c r="DT8" s="1646">
        <v>1499.6113301500002</v>
      </c>
      <c r="DU8" s="1646">
        <v>1493.0486083699998</v>
      </c>
      <c r="DV8" s="1646">
        <v>1500.6495079200006</v>
      </c>
      <c r="DW8" s="1646">
        <v>1539.0137431300002</v>
      </c>
      <c r="DX8" s="1646">
        <v>1535.5337705600002</v>
      </c>
      <c r="DY8" s="1646">
        <v>1573.4499827599998</v>
      </c>
      <c r="DZ8" s="1646">
        <v>1602.3600608499996</v>
      </c>
      <c r="EA8" s="1646">
        <v>1594.8241608000003</v>
      </c>
      <c r="EB8" s="1646">
        <v>1648.645845</v>
      </c>
      <c r="EC8" s="1646">
        <v>1680.9073967099998</v>
      </c>
      <c r="ED8" s="1647">
        <v>1711.5738475799994</v>
      </c>
      <c r="EE8" s="1647">
        <v>1737.5871416199998</v>
      </c>
      <c r="EF8" s="1647">
        <v>1753.7818912200005</v>
      </c>
      <c r="EG8" s="1647">
        <v>1715.018785</v>
      </c>
      <c r="EH8" s="1647">
        <v>1714.16124242</v>
      </c>
    </row>
    <row r="9" spans="1:138" ht="16.5" thickBot="1" x14ac:dyDescent="0.35">
      <c r="A9" s="1642" t="s">
        <v>1059</v>
      </c>
      <c r="B9" s="1643">
        <v>3615.5609109199995</v>
      </c>
      <c r="C9" s="1643">
        <v>3591.6548253400001</v>
      </c>
      <c r="D9" s="1643">
        <v>3469.77614696</v>
      </c>
      <c r="E9" s="1643">
        <v>2711.2755812099999</v>
      </c>
      <c r="F9" s="1643">
        <v>2822.6144497200007</v>
      </c>
      <c r="G9" s="1643">
        <v>2681.4932744534253</v>
      </c>
      <c r="H9" s="1643">
        <v>2726.8820131899997</v>
      </c>
      <c r="I9" s="1643">
        <v>2798.1972356799997</v>
      </c>
      <c r="J9" s="1643">
        <v>2723.2698446399995</v>
      </c>
      <c r="K9" s="1643">
        <v>2718.6264536499998</v>
      </c>
      <c r="L9" s="1643">
        <v>2999.4531696499989</v>
      </c>
      <c r="M9" s="1643">
        <v>3074.4410800299988</v>
      </c>
      <c r="N9" s="1643">
        <v>3047.1624065300002</v>
      </c>
      <c r="O9" s="1643">
        <v>3136.2570574599995</v>
      </c>
      <c r="P9" s="1643">
        <v>3092.3309591300003</v>
      </c>
      <c r="Q9" s="1643">
        <v>3105.6022608900003</v>
      </c>
      <c r="R9" s="1643">
        <v>3188.7636856999998</v>
      </c>
      <c r="S9" s="1643">
        <v>3189.1649630400011</v>
      </c>
      <c r="T9" s="1643">
        <v>3188.2292967999992</v>
      </c>
      <c r="U9" s="1643">
        <v>3216.6004821800002</v>
      </c>
      <c r="V9" s="1643">
        <v>3217.7280058900005</v>
      </c>
      <c r="W9" s="1643">
        <v>3258.1434047400003</v>
      </c>
      <c r="X9" s="1643">
        <v>3448.6695504000004</v>
      </c>
      <c r="Y9" s="1643">
        <v>3562.8312456199988</v>
      </c>
      <c r="Z9" s="1643">
        <v>3494.8946900800001</v>
      </c>
      <c r="AA9" s="1643">
        <v>3446.7721609599998</v>
      </c>
      <c r="AB9" s="1643">
        <v>3386.3477944199999</v>
      </c>
      <c r="AC9" s="1643">
        <v>3332.902685234656</v>
      </c>
      <c r="AD9" s="1643">
        <v>3373.7901256299992</v>
      </c>
      <c r="AE9" s="1643">
        <v>3338.8892463825368</v>
      </c>
      <c r="AF9" s="1643">
        <v>3538.4120660798635</v>
      </c>
      <c r="AG9" s="1643">
        <v>3459.2873462780199</v>
      </c>
      <c r="AH9" s="1643">
        <v>3960.929102158429</v>
      </c>
      <c r="AI9" s="1643">
        <v>3676.5465251399992</v>
      </c>
      <c r="AJ9" s="1643">
        <v>1918.3702627100001</v>
      </c>
      <c r="AK9" s="1643">
        <v>4101.9822124599987</v>
      </c>
      <c r="AL9" s="1643">
        <v>3974.5677442600004</v>
      </c>
      <c r="AM9" s="1643">
        <v>3907.3169374400004</v>
      </c>
      <c r="AN9" s="1643">
        <v>3932.8893692599986</v>
      </c>
      <c r="AO9" s="1643">
        <v>4071.0051506499985</v>
      </c>
      <c r="AP9" s="1643">
        <v>3970.4546269400007</v>
      </c>
      <c r="AQ9" s="1643">
        <v>3792.8778268299998</v>
      </c>
      <c r="AR9" s="1643">
        <v>3905.8351481799987</v>
      </c>
      <c r="AS9" s="1643">
        <v>4102.1663902500004</v>
      </c>
      <c r="AT9" s="1643">
        <v>4309.1927375200003</v>
      </c>
      <c r="AU9" s="1643">
        <v>4409.7743337169986</v>
      </c>
      <c r="AV9" s="1643">
        <v>5040.55307825</v>
      </c>
      <c r="AW9" s="1643">
        <v>5257.3123353199999</v>
      </c>
      <c r="AX9" s="1644">
        <v>5404.6482547279456</v>
      </c>
      <c r="AY9" s="1644">
        <v>5517.1750307478087</v>
      </c>
      <c r="AZ9" s="1644">
        <v>5794.3018848178081</v>
      </c>
      <c r="BA9" s="1644">
        <v>5799.6647953700012</v>
      </c>
      <c r="BB9" s="1644">
        <v>6049.0979057590403</v>
      </c>
      <c r="BC9" s="1644">
        <v>6235.9105228057606</v>
      </c>
      <c r="BD9" s="1644">
        <v>5854.078689500001</v>
      </c>
      <c r="BE9" s="1644">
        <v>6096.3414357699994</v>
      </c>
      <c r="BF9" s="1644">
        <v>6242.0639767800003</v>
      </c>
      <c r="BG9" s="1644">
        <v>6959.9584637746584</v>
      </c>
      <c r="BH9" s="1644">
        <v>6990.2804771100009</v>
      </c>
      <c r="BI9" s="1644">
        <v>6945.4745610999998</v>
      </c>
      <c r="BJ9" s="1644">
        <v>7018.6468945046627</v>
      </c>
      <c r="BK9" s="1644">
        <v>7205.4743059000039</v>
      </c>
      <c r="BL9" s="1644">
        <v>7215.9122242600024</v>
      </c>
      <c r="BM9" s="1644">
        <v>7240.9308674599997</v>
      </c>
      <c r="BN9" s="1644">
        <v>7340.3482645699987</v>
      </c>
      <c r="BO9" s="1644">
        <v>7313.0490872499986</v>
      </c>
      <c r="BP9" s="1644">
        <v>7036.4660422000006</v>
      </c>
      <c r="BQ9" s="1644">
        <v>7180.533444040002</v>
      </c>
      <c r="BR9" s="1644">
        <v>7340.0354730299996</v>
      </c>
      <c r="BS9" s="1644">
        <v>8036.3584187899969</v>
      </c>
      <c r="BT9" s="1644">
        <v>8010.254095250003</v>
      </c>
      <c r="BU9" s="1644">
        <v>7882.1737642000035</v>
      </c>
      <c r="BV9" s="1644">
        <v>7934.8145341399995</v>
      </c>
      <c r="BW9" s="1644">
        <v>7992.4139697523779</v>
      </c>
      <c r="BX9" s="1644">
        <v>8019.9271820499998</v>
      </c>
      <c r="BY9" s="1644">
        <v>8299.6088669300061</v>
      </c>
      <c r="BZ9" s="1644">
        <v>8131.7831726184786</v>
      </c>
      <c r="CA9" s="1644">
        <v>768.15630477999969</v>
      </c>
      <c r="CB9" s="1644">
        <v>957.1301575171999</v>
      </c>
      <c r="CC9" s="1644">
        <v>1353.0431392999999</v>
      </c>
      <c r="CD9" s="1644">
        <v>1366.08720842</v>
      </c>
      <c r="CE9" s="1644">
        <v>1410.8095556999999</v>
      </c>
      <c r="CF9" s="1644">
        <v>1358.3498900500001</v>
      </c>
      <c r="CG9" s="1644">
        <v>1344.1976070800001</v>
      </c>
      <c r="CH9" s="1644">
        <v>1290.3821467200003</v>
      </c>
      <c r="CI9" s="1644">
        <v>986.76968858000021</v>
      </c>
      <c r="CJ9" s="1644">
        <v>865.03184806000002</v>
      </c>
      <c r="CK9" s="1650">
        <v>731.97166060000006</v>
      </c>
      <c r="CL9" s="1650">
        <v>717.37302149000004</v>
      </c>
      <c r="CM9" s="1650">
        <v>423.60048712000003</v>
      </c>
      <c r="CN9" s="1650">
        <v>529.81110969000008</v>
      </c>
      <c r="CO9" s="1650">
        <v>447.93289992000007</v>
      </c>
      <c r="CP9" s="1650">
        <v>528.46085170999993</v>
      </c>
      <c r="CQ9" s="1650">
        <v>398.76389963999998</v>
      </c>
      <c r="CR9" s="1650">
        <v>407.26832591999982</v>
      </c>
      <c r="CS9" s="1650">
        <v>175.45543506000007</v>
      </c>
      <c r="CT9" s="1650">
        <v>197.16542909999995</v>
      </c>
      <c r="CU9" s="1650">
        <v>183.90454299999996</v>
      </c>
      <c r="CV9" s="1650">
        <v>181.75300367000003</v>
      </c>
      <c r="CW9" s="1650">
        <v>175.71409212000009</v>
      </c>
      <c r="CX9" s="1650">
        <v>168.98558159000001</v>
      </c>
      <c r="CY9" s="1650">
        <v>212.47395988999989</v>
      </c>
      <c r="CZ9" s="1650">
        <v>231.37985306999997</v>
      </c>
      <c r="DA9" s="1650">
        <v>235.61096356999994</v>
      </c>
      <c r="DB9" s="1650">
        <v>250.1513601499999</v>
      </c>
      <c r="DC9" s="1650">
        <v>269.5532668300001</v>
      </c>
      <c r="DD9" s="1650">
        <v>262.98124150999996</v>
      </c>
      <c r="DE9" s="1650">
        <v>226.13817932999993</v>
      </c>
      <c r="DF9" s="1650">
        <v>251.24888951999998</v>
      </c>
      <c r="DG9" s="1650">
        <v>223.85927175999993</v>
      </c>
      <c r="DH9" s="1650">
        <v>224.16625164999994</v>
      </c>
      <c r="DI9" s="1650">
        <v>199.51149889000004</v>
      </c>
      <c r="DJ9" s="1650">
        <v>191.40802091999996</v>
      </c>
      <c r="DK9" s="1650">
        <v>227.07354495999999</v>
      </c>
      <c r="DL9" s="1650">
        <v>214.37176287999998</v>
      </c>
      <c r="DM9" s="1650">
        <v>232.52194745999998</v>
      </c>
      <c r="DN9" s="1650">
        <v>235.9213303199999</v>
      </c>
      <c r="DO9" s="1650">
        <v>227.73296420999998</v>
      </c>
      <c r="DP9" s="1650">
        <v>180.63810407999998</v>
      </c>
      <c r="DQ9" s="1650">
        <v>182.29864284999999</v>
      </c>
      <c r="DR9" s="1650">
        <v>183.69499040000002</v>
      </c>
      <c r="DS9" s="1650">
        <v>216.49935486999999</v>
      </c>
      <c r="DT9" s="1650">
        <v>173.80562914999996</v>
      </c>
      <c r="DU9" s="1650">
        <v>179.95256862000005</v>
      </c>
      <c r="DV9" s="1650">
        <v>233.4178885899999</v>
      </c>
      <c r="DW9" s="1650">
        <v>216.65700853000004</v>
      </c>
      <c r="DX9" s="1650">
        <v>225.80785274000007</v>
      </c>
      <c r="DY9" s="1650">
        <v>263.17197135999993</v>
      </c>
      <c r="DZ9" s="1650">
        <v>284.27301355999992</v>
      </c>
      <c r="EA9" s="1650">
        <v>294.84112126999992</v>
      </c>
      <c r="EB9" s="1650">
        <v>304.59363617999998</v>
      </c>
      <c r="EC9" s="1650">
        <v>258.31865266</v>
      </c>
      <c r="ED9" s="1651">
        <v>252.64822373000001</v>
      </c>
      <c r="EE9" s="1651">
        <v>225.55339375000003</v>
      </c>
      <c r="EF9" s="1651">
        <v>280.14747191000009</v>
      </c>
      <c r="EG9" s="1651">
        <v>312.09038847999989</v>
      </c>
      <c r="EH9" s="1651">
        <v>294.23489302999997</v>
      </c>
    </row>
    <row r="10" spans="1:138" ht="16.5" thickBot="1" x14ac:dyDescent="0.35">
      <c r="A10" s="1652" t="s">
        <v>1060</v>
      </c>
      <c r="B10" s="1653">
        <v>20810.840289659995</v>
      </c>
      <c r="C10" s="1653">
        <v>21240.828172644302</v>
      </c>
      <c r="D10" s="1653">
        <v>21134.4181921255</v>
      </c>
      <c r="E10" s="1653">
        <v>17394.462021685504</v>
      </c>
      <c r="F10" s="1653">
        <v>17366.4920923955</v>
      </c>
      <c r="G10" s="1653">
        <v>17446.651082804387</v>
      </c>
      <c r="H10" s="1653">
        <v>17324.316566665497</v>
      </c>
      <c r="I10" s="1653">
        <v>17561.3652738155</v>
      </c>
      <c r="J10" s="1653">
        <v>17497.875058375503</v>
      </c>
      <c r="K10" s="1653">
        <v>17648.11194028478</v>
      </c>
      <c r="L10" s="1653">
        <v>18345.727614499276</v>
      </c>
      <c r="M10" s="1654">
        <v>18373.183942039999</v>
      </c>
      <c r="N10" s="1654">
        <v>18522.105969430468</v>
      </c>
      <c r="O10" s="1654">
        <v>18762.759433096595</v>
      </c>
      <c r="P10" s="1654">
        <v>18396.196319646595</v>
      </c>
      <c r="Q10" s="1654">
        <v>18428.871883016596</v>
      </c>
      <c r="R10" s="1654">
        <v>18795.631747752101</v>
      </c>
      <c r="S10" s="1654">
        <v>18476.829958382099</v>
      </c>
      <c r="T10" s="1654">
        <v>19026.214960730096</v>
      </c>
      <c r="U10" s="1654">
        <v>19145.6666083821</v>
      </c>
      <c r="V10" s="1654">
        <v>19030.873553566511</v>
      </c>
      <c r="W10" s="1654">
        <v>19185.643853890706</v>
      </c>
      <c r="X10" s="1654">
        <v>19507.527171306516</v>
      </c>
      <c r="Y10" s="1654">
        <v>19422.834867473503</v>
      </c>
      <c r="Z10" s="1654">
        <v>19438.694286936516</v>
      </c>
      <c r="AA10" s="1654">
        <v>19567.006826966506</v>
      </c>
      <c r="AB10" s="1654">
        <v>19665.859033894252</v>
      </c>
      <c r="AC10" s="1654">
        <v>19744.054711474877</v>
      </c>
      <c r="AD10" s="1654">
        <v>19904.802818546483</v>
      </c>
      <c r="AE10" s="1654">
        <v>20016.654174529769</v>
      </c>
      <c r="AF10" s="1654">
        <v>20178.551166808451</v>
      </c>
      <c r="AG10" s="1654">
        <v>20478.809360984771</v>
      </c>
      <c r="AH10" s="1654">
        <v>20647.468659254326</v>
      </c>
      <c r="AI10" s="1654">
        <v>20994.721180149991</v>
      </c>
      <c r="AJ10" s="1654">
        <v>21369.827938169998</v>
      </c>
      <c r="AK10" s="1654">
        <v>21353.003086984969</v>
      </c>
      <c r="AL10" s="1654">
        <v>21284.93809550496</v>
      </c>
      <c r="AM10" s="1654">
        <v>21419.985234672407</v>
      </c>
      <c r="AN10" s="1654">
        <v>21376.166083094144</v>
      </c>
      <c r="AO10" s="1654">
        <v>21371.69997418984</v>
      </c>
      <c r="AP10" s="1654">
        <v>21497.052568237454</v>
      </c>
      <c r="AQ10" s="1654">
        <v>20930.54382289479</v>
      </c>
      <c r="AR10" s="1654">
        <v>21097.959811308388</v>
      </c>
      <c r="AS10" s="1654">
        <v>21542.662939909751</v>
      </c>
      <c r="AT10" s="1654">
        <v>21520.768232921379</v>
      </c>
      <c r="AU10" s="1654">
        <v>21871.10230079664</v>
      </c>
      <c r="AV10" s="1654">
        <v>22519.802818897897</v>
      </c>
      <c r="AW10" s="1654">
        <v>22687.758682801847</v>
      </c>
      <c r="AX10" s="1655">
        <v>22748.845616479997</v>
      </c>
      <c r="AY10" s="1655">
        <v>22699.188742619597</v>
      </c>
      <c r="AZ10" s="1655">
        <v>22898.382890481473</v>
      </c>
      <c r="BA10" s="1655">
        <v>22962.542976543278</v>
      </c>
      <c r="BB10" s="1655">
        <v>23176.111834857958</v>
      </c>
      <c r="BC10" s="1655">
        <v>23473.452870282686</v>
      </c>
      <c r="BD10" s="1655">
        <v>23140.530494430001</v>
      </c>
      <c r="BE10" s="1655">
        <v>23404.44176672</v>
      </c>
      <c r="BF10" s="1655">
        <v>23738.594208662929</v>
      </c>
      <c r="BG10" s="1655">
        <v>24787.174748990008</v>
      </c>
      <c r="BH10" s="1655">
        <v>24799.170187925076</v>
      </c>
      <c r="BI10" s="1655">
        <v>24617.913196102585</v>
      </c>
      <c r="BJ10" s="1655">
        <v>24623.669634006179</v>
      </c>
      <c r="BK10" s="1655">
        <v>24876.451870782974</v>
      </c>
      <c r="BL10" s="1655">
        <v>25048.698180121763</v>
      </c>
      <c r="BM10" s="1655">
        <v>25069.888355277049</v>
      </c>
      <c r="BN10" s="1655">
        <v>24872.34093405</v>
      </c>
      <c r="BO10" s="1655">
        <v>24986.528104467703</v>
      </c>
      <c r="BP10" s="1655">
        <v>25107.613699273188</v>
      </c>
      <c r="BQ10" s="1655">
        <v>25111.912057511021</v>
      </c>
      <c r="BR10" s="1655">
        <v>25104.829418286768</v>
      </c>
      <c r="BS10" s="1655">
        <v>26007.98768357154</v>
      </c>
      <c r="BT10" s="1655">
        <v>25925.226964252081</v>
      </c>
      <c r="BU10" s="1655">
        <v>25777.464761778854</v>
      </c>
      <c r="BV10" s="1655">
        <v>25637.889893134598</v>
      </c>
      <c r="BW10" s="1655">
        <v>25512.852112874705</v>
      </c>
      <c r="BX10" s="1655">
        <v>25496.935591268088</v>
      </c>
      <c r="BY10" s="1655">
        <v>25677.208696067042</v>
      </c>
      <c r="BZ10" s="1655">
        <v>25658.574981491311</v>
      </c>
      <c r="CA10" s="1655">
        <v>25430.885570453371</v>
      </c>
      <c r="CB10" s="1655">
        <v>25502.072810608362</v>
      </c>
      <c r="CC10" s="1655">
        <v>25528.836695199996</v>
      </c>
      <c r="CD10" s="1655">
        <v>25837.253028409999</v>
      </c>
      <c r="CE10" s="1655">
        <v>26785.602093149999</v>
      </c>
      <c r="CF10" s="1655">
        <v>26948.679005750007</v>
      </c>
      <c r="CG10" s="1655">
        <v>26811.444269520001</v>
      </c>
      <c r="CH10" s="1655">
        <v>26922.219078519996</v>
      </c>
      <c r="CI10" s="1655">
        <v>28811.470626949998</v>
      </c>
      <c r="CJ10" s="1655">
        <v>27147.657899550002</v>
      </c>
      <c r="CK10" s="1656">
        <v>27426.912815790005</v>
      </c>
      <c r="CL10" s="1656">
        <v>27572.598521200001</v>
      </c>
      <c r="CM10" s="1656">
        <v>27483.687376360002</v>
      </c>
      <c r="CN10" s="1656">
        <v>27806.416933559998</v>
      </c>
      <c r="CO10" s="1656">
        <v>27777.334711830001</v>
      </c>
      <c r="CP10" s="1656">
        <v>28307.983220779999</v>
      </c>
      <c r="CQ10" s="1656">
        <v>29177.247601080002</v>
      </c>
      <c r="CR10" s="1656">
        <v>28598.871027959991</v>
      </c>
      <c r="CS10" s="1656">
        <v>12869.349182729999</v>
      </c>
      <c r="CT10" s="1656">
        <v>13041.727457309998</v>
      </c>
      <c r="CU10" s="1656">
        <v>12805.847973810003</v>
      </c>
      <c r="CV10" s="1656">
        <v>12788.455753080003</v>
      </c>
      <c r="CW10" s="1656">
        <v>12770.826137030002</v>
      </c>
      <c r="CX10" s="1656">
        <v>12672.152197430003</v>
      </c>
      <c r="CY10" s="1656">
        <v>12633.056978840004</v>
      </c>
      <c r="CZ10" s="1656">
        <v>12576.326778820003</v>
      </c>
      <c r="DA10" s="1656">
        <v>12532.04883842</v>
      </c>
      <c r="DB10" s="1656">
        <v>12672.631229970002</v>
      </c>
      <c r="DC10" s="1656">
        <v>12147.346069020001</v>
      </c>
      <c r="DD10" s="1656">
        <v>12282.82563619</v>
      </c>
      <c r="DE10" s="1656">
        <v>12125.327249580003</v>
      </c>
      <c r="DF10" s="1656">
        <v>12274.60690612</v>
      </c>
      <c r="DG10" s="1656">
        <v>12139.974481289999</v>
      </c>
      <c r="DH10" s="1656">
        <v>12131.275342140001</v>
      </c>
      <c r="DI10" s="1656">
        <v>12157.456119140001</v>
      </c>
      <c r="DJ10" s="1656">
        <v>12251.75265439</v>
      </c>
      <c r="DK10" s="1656">
        <v>12313.746920409998</v>
      </c>
      <c r="DL10" s="1656">
        <v>12609.790496330004</v>
      </c>
      <c r="DM10" s="1656">
        <v>12479.299198579996</v>
      </c>
      <c r="DN10" s="1656">
        <v>12495.66621868</v>
      </c>
      <c r="DO10" s="1656">
        <v>12633.072259960001</v>
      </c>
      <c r="DP10" s="1656">
        <v>12537.914574480001</v>
      </c>
      <c r="DQ10" s="1656">
        <v>12602.344105759999</v>
      </c>
      <c r="DR10" s="1656">
        <v>12519.358692899992</v>
      </c>
      <c r="DS10" s="1656">
        <v>12590.545048980001</v>
      </c>
      <c r="DT10" s="1656">
        <v>12690.583205679994</v>
      </c>
      <c r="DU10" s="1656">
        <v>12782.2797973</v>
      </c>
      <c r="DV10" s="1656">
        <v>12834.943624490001</v>
      </c>
      <c r="DW10" s="1656">
        <v>12831.357626369994</v>
      </c>
      <c r="DX10" s="1656">
        <v>12843.640152509997</v>
      </c>
      <c r="DY10" s="1656">
        <v>12942.080465619998</v>
      </c>
      <c r="DZ10" s="1656">
        <v>13054.812088300007</v>
      </c>
      <c r="EA10" s="1656">
        <v>13128.422824589999</v>
      </c>
      <c r="EB10" s="1656">
        <v>13488.824448950001</v>
      </c>
      <c r="EC10" s="1656">
        <v>13750.36834004001</v>
      </c>
      <c r="ED10" s="1657">
        <v>13758.965639179998</v>
      </c>
      <c r="EE10" s="1657">
        <v>13736.788240599992</v>
      </c>
      <c r="EF10" s="1657">
        <v>14036.25204209</v>
      </c>
      <c r="EG10" s="1657">
        <v>14423.305777660002</v>
      </c>
      <c r="EH10" s="1657">
        <v>14518.875990059998</v>
      </c>
    </row>
    <row r="11" spans="1:138" ht="16.5" thickTop="1" x14ac:dyDescent="0.3">
      <c r="A11" s="1658"/>
      <c r="B11" s="1659"/>
      <c r="C11" s="1659"/>
      <c r="D11" s="1659"/>
      <c r="E11" s="1659"/>
      <c r="F11" s="1659"/>
      <c r="G11" s="1659"/>
      <c r="H11" s="1659"/>
      <c r="I11" s="1659"/>
      <c r="J11" s="1659"/>
      <c r="K11" s="1659"/>
      <c r="L11" s="1659"/>
      <c r="M11" s="1659"/>
      <c r="N11" s="1659"/>
      <c r="O11" s="1659"/>
      <c r="P11" s="1659"/>
      <c r="Q11" s="1659"/>
      <c r="R11" s="1659"/>
      <c r="S11" s="1659"/>
      <c r="T11" s="1659"/>
      <c r="U11" s="1659"/>
      <c r="V11" s="1659"/>
      <c r="W11" s="1659"/>
      <c r="X11" s="1659"/>
      <c r="Y11" s="1659"/>
      <c r="Z11" s="1659"/>
      <c r="AA11" s="1659"/>
      <c r="AB11" s="1659"/>
      <c r="AC11" s="1659"/>
      <c r="AD11" s="1659"/>
      <c r="AE11" s="1659"/>
      <c r="AF11" s="1659"/>
      <c r="AG11" s="1659"/>
      <c r="AH11" s="1659"/>
      <c r="AI11" s="1659"/>
      <c r="AJ11" s="1659"/>
      <c r="AK11" s="1659"/>
      <c r="AL11" s="1659"/>
      <c r="AM11" s="1659"/>
      <c r="AN11" s="1659"/>
      <c r="AO11" s="1659"/>
      <c r="AP11" s="1659"/>
      <c r="AQ11" s="1659"/>
      <c r="AR11" s="1659"/>
      <c r="AS11" s="1659"/>
      <c r="AT11" s="1659"/>
      <c r="AU11" s="1659"/>
      <c r="AV11" s="1659"/>
      <c r="AW11" s="1659"/>
      <c r="AX11" s="1659"/>
      <c r="AY11" s="1659"/>
      <c r="AZ11" s="1659"/>
      <c r="BA11" s="1659"/>
      <c r="BB11" s="1659"/>
      <c r="BC11" s="1659"/>
      <c r="BD11" s="1660"/>
      <c r="BE11" s="1660"/>
      <c r="BF11" s="1660"/>
      <c r="BG11" s="1660"/>
      <c r="BH11" s="1660"/>
      <c r="BI11" s="1659"/>
      <c r="BJ11" s="1659"/>
      <c r="BK11" s="1659"/>
      <c r="BL11" s="1659"/>
      <c r="BM11" s="1659"/>
      <c r="BN11" s="1659"/>
      <c r="BO11" s="1659"/>
      <c r="BP11" s="1659"/>
      <c r="BQ11" s="1659"/>
      <c r="BR11" s="1659"/>
      <c r="BS11" s="1659"/>
      <c r="BT11" s="1632"/>
      <c r="BU11" s="1632"/>
      <c r="BV11" s="1632"/>
      <c r="BW11" s="1632"/>
      <c r="BX11" s="1632"/>
    </row>
    <row r="12" spans="1:138" ht="16.5" thickBot="1" x14ac:dyDescent="0.35">
      <c r="A12" s="1661"/>
      <c r="B12" s="1662"/>
      <c r="C12" s="1662"/>
      <c r="D12" s="1662"/>
      <c r="E12" s="1662"/>
      <c r="F12" s="1662"/>
      <c r="G12" s="1662"/>
      <c r="H12" s="1662"/>
      <c r="I12" s="1662"/>
      <c r="J12" s="1662"/>
      <c r="K12" s="1662"/>
      <c r="L12" s="1662"/>
      <c r="M12" s="1662"/>
      <c r="N12" s="1662"/>
      <c r="O12" s="1662"/>
      <c r="P12" s="1662"/>
      <c r="Q12" s="1662"/>
      <c r="R12" s="1662"/>
      <c r="S12" s="1662"/>
      <c r="T12" s="1662"/>
      <c r="U12" s="1662"/>
      <c r="V12" s="1662"/>
      <c r="W12" s="1662"/>
      <c r="X12" s="1662"/>
      <c r="Y12" s="1662"/>
      <c r="Z12" s="1662"/>
      <c r="AA12" s="1662"/>
      <c r="AB12" s="1662"/>
      <c r="AC12" s="1662"/>
      <c r="AD12" s="1662"/>
      <c r="AE12" s="1662"/>
      <c r="AF12" s="1662"/>
      <c r="AG12" s="1662"/>
      <c r="AH12" s="1662"/>
      <c r="AI12" s="1662"/>
      <c r="AJ12" s="1662"/>
      <c r="AK12" s="1662"/>
      <c r="AL12" s="1662"/>
      <c r="AM12" s="1662"/>
      <c r="AN12" s="1662"/>
      <c r="AO12" s="1662"/>
      <c r="AP12" s="1662"/>
      <c r="AQ12" s="1662"/>
      <c r="AR12" s="1662"/>
      <c r="AS12" s="1662"/>
      <c r="AT12" s="1660"/>
      <c r="AU12" s="1660"/>
      <c r="AV12" s="1662"/>
      <c r="AW12" s="1662"/>
      <c r="AX12" s="1662"/>
      <c r="AY12" s="1662"/>
      <c r="AZ12" s="1662"/>
      <c r="BA12" s="1662"/>
      <c r="BB12" s="1662"/>
      <c r="BC12" s="1660"/>
      <c r="BD12" s="1662"/>
      <c r="BE12" s="1662"/>
      <c r="BF12" s="1662"/>
      <c r="BG12" s="1662"/>
      <c r="BH12" s="1662"/>
      <c r="BI12" s="1662"/>
      <c r="BJ12" s="1662"/>
      <c r="BK12" s="1662"/>
      <c r="BL12" s="1662"/>
      <c r="BM12" s="1662"/>
      <c r="BN12" s="1662"/>
      <c r="BO12" s="1662"/>
      <c r="BP12" s="1662"/>
      <c r="BQ12" s="1662"/>
      <c r="BR12" s="1662"/>
      <c r="BS12" s="1662"/>
      <c r="BT12" s="1662"/>
      <c r="BU12" s="1662"/>
      <c r="BV12" s="1662"/>
      <c r="BX12" s="1662"/>
      <c r="CS12" s="1662"/>
      <c r="CT12" s="1662"/>
      <c r="CU12" s="1662"/>
      <c r="CV12" s="1662"/>
      <c r="CW12" s="1662"/>
      <c r="CX12" s="1662"/>
      <c r="CY12" s="1662"/>
      <c r="CZ12" s="1662"/>
      <c r="DA12" s="1662"/>
      <c r="DD12" s="1662"/>
      <c r="DE12" s="1662"/>
      <c r="DF12" s="1662"/>
      <c r="DG12" s="1638"/>
      <c r="DH12" s="1638"/>
      <c r="DI12" s="1638"/>
      <c r="DJ12" s="1638"/>
      <c r="DK12" s="1638"/>
      <c r="DL12" s="1638"/>
      <c r="DM12" s="1638"/>
      <c r="DN12" s="1638"/>
      <c r="DO12" s="1638"/>
      <c r="DP12" s="1638"/>
      <c r="DQ12" s="1638"/>
      <c r="DR12" s="1638"/>
      <c r="DS12" s="1638"/>
      <c r="DT12" s="1638"/>
      <c r="DU12" s="1638"/>
      <c r="DV12" s="1638"/>
      <c r="DW12" s="1638"/>
      <c r="DX12" s="1638"/>
      <c r="DY12" s="1638"/>
      <c r="DZ12" s="1638"/>
      <c r="EA12" s="1638"/>
      <c r="EB12" s="1638"/>
      <c r="EC12" s="1638"/>
      <c r="ED12" s="1638"/>
      <c r="EE12" s="1638"/>
      <c r="EF12" s="1638"/>
      <c r="EG12" s="1638"/>
      <c r="EH12" s="1638" t="s">
        <v>281</v>
      </c>
    </row>
    <row r="13" spans="1:138" ht="18" thickTop="1" x14ac:dyDescent="0.3">
      <c r="A13" s="1639" t="s">
        <v>1061</v>
      </c>
      <c r="B13" s="1640">
        <v>40940</v>
      </c>
      <c r="C13" s="1640">
        <v>40969</v>
      </c>
      <c r="D13" s="1640">
        <v>41000</v>
      </c>
      <c r="E13" s="1640">
        <v>41030</v>
      </c>
      <c r="F13" s="1640">
        <v>41061</v>
      </c>
      <c r="G13" s="1640">
        <v>41091</v>
      </c>
      <c r="H13" s="1640">
        <v>41122</v>
      </c>
      <c r="I13" s="1640">
        <v>41153</v>
      </c>
      <c r="J13" s="1640">
        <v>41183</v>
      </c>
      <c r="K13" s="1640">
        <v>41214</v>
      </c>
      <c r="L13" s="1640">
        <v>41244</v>
      </c>
      <c r="M13" s="1640">
        <v>41275</v>
      </c>
      <c r="N13" s="1640">
        <v>41306</v>
      </c>
      <c r="O13" s="1640">
        <v>41334</v>
      </c>
      <c r="P13" s="1640">
        <v>41365</v>
      </c>
      <c r="Q13" s="1640">
        <v>41395</v>
      </c>
      <c r="R13" s="1640">
        <v>41426</v>
      </c>
      <c r="S13" s="1640">
        <v>41456</v>
      </c>
      <c r="T13" s="1640">
        <v>41487</v>
      </c>
      <c r="U13" s="1640">
        <v>41518</v>
      </c>
      <c r="V13" s="1640">
        <v>41548</v>
      </c>
      <c r="W13" s="1640">
        <v>41579</v>
      </c>
      <c r="X13" s="1640">
        <v>41609</v>
      </c>
      <c r="Y13" s="1640">
        <v>41640</v>
      </c>
      <c r="Z13" s="1640">
        <v>41671</v>
      </c>
      <c r="AA13" s="1640">
        <v>41699</v>
      </c>
      <c r="AB13" s="1640">
        <v>41730</v>
      </c>
      <c r="AC13" s="1640">
        <v>41760</v>
      </c>
      <c r="AD13" s="1640">
        <v>41791</v>
      </c>
      <c r="AE13" s="1640">
        <v>41821</v>
      </c>
      <c r="AF13" s="1640">
        <v>41852</v>
      </c>
      <c r="AG13" s="1640">
        <v>41883</v>
      </c>
      <c r="AH13" s="1640">
        <v>41913</v>
      </c>
      <c r="AI13" s="1640">
        <v>41944</v>
      </c>
      <c r="AJ13" s="1640">
        <v>41974</v>
      </c>
      <c r="AK13" s="1640">
        <v>42005</v>
      </c>
      <c r="AL13" s="1640">
        <v>42036</v>
      </c>
      <c r="AM13" s="1640">
        <v>42064</v>
      </c>
      <c r="AN13" s="1640">
        <v>42095</v>
      </c>
      <c r="AO13" s="1640">
        <v>42125</v>
      </c>
      <c r="AP13" s="1640">
        <v>42156</v>
      </c>
      <c r="AQ13" s="1640">
        <v>42186</v>
      </c>
      <c r="AR13" s="1640">
        <v>42217</v>
      </c>
      <c r="AS13" s="1640">
        <v>42248</v>
      </c>
      <c r="AT13" s="1640">
        <v>42278</v>
      </c>
      <c r="AU13" s="1640">
        <v>42309</v>
      </c>
      <c r="AV13" s="1640">
        <v>42339</v>
      </c>
      <c r="AW13" s="1640">
        <v>42370</v>
      </c>
      <c r="AX13" s="1640">
        <v>42401</v>
      </c>
      <c r="AY13" s="1640">
        <v>42430</v>
      </c>
      <c r="AZ13" s="1640">
        <v>42461</v>
      </c>
      <c r="BA13" s="1640">
        <v>42491</v>
      </c>
      <c r="BB13" s="1640">
        <v>42522</v>
      </c>
      <c r="BC13" s="1640">
        <v>42552</v>
      </c>
      <c r="BD13" s="1640">
        <v>42583</v>
      </c>
      <c r="BE13" s="1640">
        <v>42644</v>
      </c>
      <c r="BF13" s="1640">
        <v>42675</v>
      </c>
      <c r="BG13" s="1640">
        <v>42705</v>
      </c>
      <c r="BH13" s="1640">
        <v>42736</v>
      </c>
      <c r="BI13" s="1640">
        <v>42767</v>
      </c>
      <c r="BJ13" s="1640">
        <v>42795</v>
      </c>
      <c r="BK13" s="1640">
        <v>42826</v>
      </c>
      <c r="BL13" s="1640">
        <v>42856</v>
      </c>
      <c r="BM13" s="1640">
        <v>42887</v>
      </c>
      <c r="BN13" s="1640">
        <v>42917</v>
      </c>
      <c r="BO13" s="1640">
        <v>42948</v>
      </c>
      <c r="BP13" s="1640">
        <v>42979</v>
      </c>
      <c r="BQ13" s="1640">
        <v>43009</v>
      </c>
      <c r="BR13" s="1640">
        <v>43040</v>
      </c>
      <c r="BS13" s="1640">
        <v>43070</v>
      </c>
      <c r="BT13" s="1640">
        <v>43101</v>
      </c>
      <c r="BU13" s="1640">
        <v>43132</v>
      </c>
      <c r="BV13" s="1640">
        <v>43160</v>
      </c>
      <c r="BW13" s="1640">
        <f>+BW3</f>
        <v>43191</v>
      </c>
      <c r="BX13" s="1640">
        <f>+BX3</f>
        <v>43221</v>
      </c>
      <c r="BY13" s="1640">
        <f>+BY3</f>
        <v>43252</v>
      </c>
      <c r="BZ13" s="1640">
        <f>+BZ3</f>
        <v>43282</v>
      </c>
      <c r="CA13" s="1640">
        <f>+CA3</f>
        <v>43313</v>
      </c>
      <c r="CB13" s="1640">
        <v>43344</v>
      </c>
      <c r="CC13" s="1640">
        <v>43374</v>
      </c>
      <c r="CD13" s="1640">
        <v>43405</v>
      </c>
      <c r="CE13" s="1640">
        <v>43435</v>
      </c>
      <c r="CF13" s="1640">
        <v>43466</v>
      </c>
      <c r="CG13" s="1640">
        <v>43497</v>
      </c>
      <c r="CH13" s="1640">
        <v>43525</v>
      </c>
      <c r="CI13" s="1640">
        <v>43556</v>
      </c>
      <c r="CJ13" s="1640">
        <v>43586</v>
      </c>
      <c r="CK13" s="1640" t="s">
        <v>1053</v>
      </c>
      <c r="CL13" s="1640">
        <v>43647</v>
      </c>
      <c r="CM13" s="1640">
        <v>43678</v>
      </c>
      <c r="CN13" s="1640">
        <v>43709</v>
      </c>
      <c r="CO13" s="1640">
        <v>43739</v>
      </c>
      <c r="CP13" s="1640">
        <v>43770</v>
      </c>
      <c r="CQ13" s="1640">
        <v>43800</v>
      </c>
      <c r="CR13" s="1640">
        <v>43831</v>
      </c>
      <c r="CS13" s="1640">
        <v>43862</v>
      </c>
      <c r="CT13" s="1640">
        <v>43891</v>
      </c>
      <c r="CU13" s="1640">
        <v>43922</v>
      </c>
      <c r="CV13" s="1640">
        <v>43952</v>
      </c>
      <c r="CW13" s="1640">
        <v>43983</v>
      </c>
      <c r="CX13" s="1640">
        <v>44013</v>
      </c>
      <c r="CY13" s="1640">
        <v>44044</v>
      </c>
      <c r="CZ13" s="1640">
        <v>44075</v>
      </c>
      <c r="DA13" s="1640">
        <v>44105</v>
      </c>
      <c r="DB13" s="1640">
        <v>44136</v>
      </c>
      <c r="DC13" s="1640">
        <v>44166</v>
      </c>
      <c r="DD13" s="1640">
        <v>44228</v>
      </c>
      <c r="DE13" s="1640">
        <v>44256</v>
      </c>
      <c r="DF13" s="1640">
        <v>44287</v>
      </c>
      <c r="DG13" s="1640">
        <v>44317</v>
      </c>
      <c r="DH13" s="1640">
        <v>44348</v>
      </c>
      <c r="DI13" s="1640">
        <v>44378</v>
      </c>
      <c r="DJ13" s="1640">
        <v>44409</v>
      </c>
      <c r="DK13" s="1640">
        <v>44440</v>
      </c>
      <c r="DL13" s="1640">
        <v>44470</v>
      </c>
      <c r="DM13" s="1640">
        <v>44501</v>
      </c>
      <c r="DN13" s="1640">
        <v>44531</v>
      </c>
      <c r="DO13" s="1640">
        <v>44562</v>
      </c>
      <c r="DP13" s="1640">
        <v>44593</v>
      </c>
      <c r="DQ13" s="1640">
        <v>44621</v>
      </c>
      <c r="DR13" s="1640">
        <v>44652</v>
      </c>
      <c r="DS13" s="1640">
        <v>44682</v>
      </c>
      <c r="DT13" s="1640">
        <v>44713</v>
      </c>
      <c r="DU13" s="1640">
        <v>44743</v>
      </c>
      <c r="DV13" s="1640">
        <v>44774</v>
      </c>
      <c r="DW13" s="1640">
        <v>44805</v>
      </c>
      <c r="DX13" s="1640">
        <v>44835</v>
      </c>
      <c r="DY13" s="1640">
        <v>44866</v>
      </c>
      <c r="DZ13" s="1640">
        <v>44896</v>
      </c>
      <c r="EA13" s="1640">
        <v>44927</v>
      </c>
      <c r="EB13" s="1640">
        <v>44958</v>
      </c>
      <c r="EC13" s="1640">
        <v>44986</v>
      </c>
      <c r="ED13" s="1641">
        <v>45017</v>
      </c>
      <c r="EE13" s="1641">
        <v>45047</v>
      </c>
      <c r="EF13" s="1641">
        <v>45078</v>
      </c>
      <c r="EG13" s="1641">
        <v>45108</v>
      </c>
      <c r="EH13" s="1641">
        <v>45139</v>
      </c>
    </row>
    <row r="14" spans="1:138" ht="15.75" x14ac:dyDescent="0.3">
      <c r="A14" s="1642" t="s">
        <v>1062</v>
      </c>
      <c r="B14" s="1663">
        <v>1746.58243204</v>
      </c>
      <c r="C14" s="1663">
        <v>1746.58243204</v>
      </c>
      <c r="D14" s="1663">
        <v>1746.5824324499997</v>
      </c>
      <c r="E14" s="1663">
        <v>1325.00000004</v>
      </c>
      <c r="F14" s="1663">
        <v>1325.00000004</v>
      </c>
      <c r="G14" s="1663">
        <v>1325.00000004</v>
      </c>
      <c r="H14" s="1663">
        <v>1325.00000004</v>
      </c>
      <c r="I14" s="1663">
        <v>1325.00000004</v>
      </c>
      <c r="J14" s="1663">
        <v>1325.00000004</v>
      </c>
      <c r="K14" s="1663">
        <v>1325.00000004</v>
      </c>
      <c r="L14" s="1663">
        <v>1325.00000004</v>
      </c>
      <c r="M14" s="1663">
        <v>1325.00000004</v>
      </c>
      <c r="N14" s="1663">
        <v>1325.00000004</v>
      </c>
      <c r="O14" s="1663">
        <v>1325.00000004</v>
      </c>
      <c r="P14" s="1663">
        <v>1325.00000004</v>
      </c>
      <c r="Q14" s="1663">
        <v>1325.00000004</v>
      </c>
      <c r="R14" s="1663">
        <v>1325.00000004</v>
      </c>
      <c r="S14" s="1663">
        <v>1325.00000004</v>
      </c>
      <c r="T14" s="1663">
        <v>1325.00000004</v>
      </c>
      <c r="U14" s="1663">
        <v>1325.00000004</v>
      </c>
      <c r="V14" s="1663">
        <v>1325.00000004</v>
      </c>
      <c r="W14" s="1663">
        <v>1325.00000004</v>
      </c>
      <c r="X14" s="1663">
        <v>1325.00000004</v>
      </c>
      <c r="Y14" s="1663">
        <v>1325.00000004</v>
      </c>
      <c r="Z14" s="1663">
        <v>1325.00000004</v>
      </c>
      <c r="AA14" s="1663">
        <v>1325.00000004</v>
      </c>
      <c r="AB14" s="1663">
        <v>1325.00000004</v>
      </c>
      <c r="AC14" s="1663">
        <v>1325.00000004</v>
      </c>
      <c r="AD14" s="1663">
        <v>1325.00000004</v>
      </c>
      <c r="AE14" s="1663">
        <v>1325.00000004</v>
      </c>
      <c r="AF14" s="1663">
        <v>1325.00000004</v>
      </c>
      <c r="AG14" s="1663">
        <v>1325.00000004</v>
      </c>
      <c r="AH14" s="1663">
        <v>1325.00000004</v>
      </c>
      <c r="AI14" s="1663">
        <v>1325.00000004</v>
      </c>
      <c r="AJ14" s="1663">
        <v>1325.00000004</v>
      </c>
      <c r="AK14" s="1663">
        <v>1325.00000004</v>
      </c>
      <c r="AL14" s="1663">
        <v>1475.00000004</v>
      </c>
      <c r="AM14" s="1663">
        <v>1475.00000004</v>
      </c>
      <c r="AN14" s="1663">
        <v>1475.00000004</v>
      </c>
      <c r="AO14" s="1663">
        <v>1475.00000004</v>
      </c>
      <c r="AP14" s="1663">
        <v>1475.00000004</v>
      </c>
      <c r="AQ14" s="1663">
        <v>1475.00000004</v>
      </c>
      <c r="AR14" s="1663">
        <v>1475.00000004</v>
      </c>
      <c r="AS14" s="1663">
        <v>1475.00000004</v>
      </c>
      <c r="AT14" s="1663">
        <v>1475.00000004</v>
      </c>
      <c r="AU14" s="1663">
        <v>1775.00000004</v>
      </c>
      <c r="AV14" s="1663">
        <v>1775.00000004</v>
      </c>
      <c r="AW14" s="1663">
        <v>1775.00000004</v>
      </c>
      <c r="AX14" s="1644">
        <v>1775.00000004</v>
      </c>
      <c r="AY14" s="1644">
        <v>1775.00000004</v>
      </c>
      <c r="AZ14" s="1644">
        <v>1775.00000004</v>
      </c>
      <c r="BA14" s="1644">
        <v>1775</v>
      </c>
      <c r="BB14" s="1644">
        <v>1825</v>
      </c>
      <c r="BC14" s="1644">
        <v>1825.00000004</v>
      </c>
      <c r="BD14" s="1644">
        <v>1825.00000004</v>
      </c>
      <c r="BE14" s="1644">
        <v>1825.00000004</v>
      </c>
      <c r="BF14" s="1645">
        <v>1825.00000004</v>
      </c>
      <c r="BG14" s="1645">
        <v>1975.00000004</v>
      </c>
      <c r="BH14" s="1645">
        <v>1975.00000004</v>
      </c>
      <c r="BI14" s="1645">
        <v>1975.00000004</v>
      </c>
      <c r="BJ14" s="1645">
        <v>1975.00000004</v>
      </c>
      <c r="BK14" s="1645">
        <v>1975.00000004</v>
      </c>
      <c r="BL14" s="1645">
        <v>1975.00000004</v>
      </c>
      <c r="BM14" s="1645">
        <v>1975.00000004</v>
      </c>
      <c r="BN14" s="1645">
        <v>1975.00000004</v>
      </c>
      <c r="BO14" s="1645">
        <v>1975.00000004</v>
      </c>
      <c r="BP14" s="1645">
        <v>2150.00000004</v>
      </c>
      <c r="BQ14" s="1645">
        <v>2150.00000004</v>
      </c>
      <c r="BR14" s="1645">
        <v>2150.00000004</v>
      </c>
      <c r="BS14" s="1645">
        <v>2150.00000004</v>
      </c>
      <c r="BT14" s="1645">
        <v>2150.00000004</v>
      </c>
      <c r="BU14" s="1645">
        <v>2150.00000004</v>
      </c>
      <c r="BV14" s="1645">
        <v>2150.00000004</v>
      </c>
      <c r="BW14" s="1645">
        <v>2150.00000004</v>
      </c>
      <c r="BX14" s="1645">
        <v>2150.00000004</v>
      </c>
      <c r="BY14" s="1645">
        <v>2350.00000004</v>
      </c>
      <c r="BZ14" s="1645">
        <v>2350.00000004</v>
      </c>
      <c r="CA14" s="1645">
        <v>2350.00000004</v>
      </c>
      <c r="CB14" s="1645">
        <v>2350.00000004</v>
      </c>
      <c r="CC14" s="1645">
        <v>2349.9867880000002</v>
      </c>
      <c r="CD14" s="1645">
        <v>2350.00000004</v>
      </c>
      <c r="CE14" s="1645">
        <v>2550.00000004</v>
      </c>
      <c r="CF14" s="1645">
        <v>2550.00000004</v>
      </c>
      <c r="CG14" s="1645">
        <v>2550.00000004</v>
      </c>
      <c r="CH14" s="1645">
        <v>2550.00000004</v>
      </c>
      <c r="CI14" s="1645">
        <v>2550.00000004</v>
      </c>
      <c r="CJ14" s="1645">
        <v>2550.00000004</v>
      </c>
      <c r="CK14" s="1646">
        <v>2550.00000004</v>
      </c>
      <c r="CL14" s="1646">
        <v>2550.00000004</v>
      </c>
      <c r="CM14" s="1646">
        <v>2350.00000004</v>
      </c>
      <c r="CN14" s="1646">
        <v>2350.00000004</v>
      </c>
      <c r="CO14" s="1646">
        <v>2350.00000004</v>
      </c>
      <c r="CP14" s="1646">
        <v>2550.00000004</v>
      </c>
      <c r="CQ14" s="1646">
        <v>2550.00000004</v>
      </c>
      <c r="CR14" s="1646">
        <v>1860.00000004</v>
      </c>
      <c r="CS14" s="1646">
        <v>1000</v>
      </c>
      <c r="CT14" s="1646">
        <v>1000</v>
      </c>
      <c r="CU14" s="1646">
        <v>1000</v>
      </c>
      <c r="CV14" s="1646">
        <v>1000</v>
      </c>
      <c r="CW14" s="1646">
        <v>1000</v>
      </c>
      <c r="CX14" s="1646">
        <v>1000</v>
      </c>
      <c r="CY14" s="1646">
        <v>1000</v>
      </c>
      <c r="CZ14" s="1646">
        <v>1000</v>
      </c>
      <c r="DA14" s="1646">
        <v>1000</v>
      </c>
      <c r="DB14" s="1646">
        <v>1000</v>
      </c>
      <c r="DC14" s="1646">
        <v>1000</v>
      </c>
      <c r="DD14" s="1646">
        <v>1000</v>
      </c>
      <c r="DE14" s="1646">
        <v>1000</v>
      </c>
      <c r="DF14" s="1646">
        <v>1000</v>
      </c>
      <c r="DG14" s="1646">
        <v>1000</v>
      </c>
      <c r="DH14" s="1646">
        <v>1000</v>
      </c>
      <c r="DI14" s="1646">
        <v>1000</v>
      </c>
      <c r="DJ14" s="1646">
        <v>1000</v>
      </c>
      <c r="DK14" s="1646">
        <v>1000</v>
      </c>
      <c r="DL14" s="1646">
        <v>1000</v>
      </c>
      <c r="DM14" s="1646">
        <v>1000</v>
      </c>
      <c r="DN14" s="1646">
        <v>1000</v>
      </c>
      <c r="DO14" s="1646">
        <v>1000</v>
      </c>
      <c r="DP14" s="1646">
        <v>1000</v>
      </c>
      <c r="DQ14" s="1646">
        <v>1000</v>
      </c>
      <c r="DR14" s="1646">
        <v>1000</v>
      </c>
      <c r="DS14" s="1646">
        <v>1000</v>
      </c>
      <c r="DT14" s="1646">
        <v>1000</v>
      </c>
      <c r="DU14" s="1646">
        <v>1000</v>
      </c>
      <c r="DV14" s="1646">
        <v>1000</v>
      </c>
      <c r="DW14" s="1646">
        <v>1000</v>
      </c>
      <c r="DX14" s="1646">
        <v>1000</v>
      </c>
      <c r="DY14" s="1646">
        <v>1000</v>
      </c>
      <c r="DZ14" s="1646">
        <v>1000</v>
      </c>
      <c r="EA14" s="1646">
        <v>1000</v>
      </c>
      <c r="EB14" s="1646">
        <v>1000</v>
      </c>
      <c r="EC14" s="1646">
        <v>1000</v>
      </c>
      <c r="ED14" s="1647">
        <v>1000</v>
      </c>
      <c r="EE14" s="1647">
        <v>1000</v>
      </c>
      <c r="EF14" s="1647">
        <v>1000</v>
      </c>
      <c r="EG14" s="1647">
        <v>1000</v>
      </c>
      <c r="EH14" s="1647">
        <v>1000</v>
      </c>
    </row>
    <row r="15" spans="1:138" ht="15.75" x14ac:dyDescent="0.3">
      <c r="A15" s="1642" t="s">
        <v>1063</v>
      </c>
      <c r="B15" s="1663">
        <v>599.53232722149994</v>
      </c>
      <c r="C15" s="1663">
        <v>597.48768222150011</v>
      </c>
      <c r="D15" s="1663">
        <v>585.08768969800064</v>
      </c>
      <c r="E15" s="1663">
        <v>550.85495347150015</v>
      </c>
      <c r="F15" s="1663">
        <v>550.85495377149937</v>
      </c>
      <c r="G15" s="1663">
        <v>645.15164702100037</v>
      </c>
      <c r="H15" s="1663">
        <v>646.24856795400092</v>
      </c>
      <c r="I15" s="1663">
        <v>672.13719595400096</v>
      </c>
      <c r="J15" s="1663">
        <v>719.21607130400037</v>
      </c>
      <c r="K15" s="1663">
        <v>719.21607129400115</v>
      </c>
      <c r="L15" s="1663">
        <v>694.21606729400105</v>
      </c>
      <c r="M15" s="1663">
        <v>670.71247913400077</v>
      </c>
      <c r="N15" s="1663">
        <v>670.71248195892997</v>
      </c>
      <c r="O15" s="1663">
        <v>670.71248957391742</v>
      </c>
      <c r="P15" s="1663">
        <v>670.71248505391691</v>
      </c>
      <c r="Q15" s="1663">
        <v>660.71248457391744</v>
      </c>
      <c r="R15" s="1663">
        <v>610.71248834191704</v>
      </c>
      <c r="S15" s="1663">
        <v>734.33972089841654</v>
      </c>
      <c r="T15" s="1663">
        <v>733.24190232691672</v>
      </c>
      <c r="U15" s="1663">
        <v>733.7838401344161</v>
      </c>
      <c r="V15" s="1663">
        <v>782.94232321041534</v>
      </c>
      <c r="W15" s="1663">
        <v>782.85444522441719</v>
      </c>
      <c r="X15" s="1663">
        <v>752.85457930648761</v>
      </c>
      <c r="Y15" s="1663">
        <v>763.24215569149976</v>
      </c>
      <c r="Z15" s="1663">
        <v>763.24215869149975</v>
      </c>
      <c r="AA15" s="1663">
        <v>763.24215869149975</v>
      </c>
      <c r="AB15" s="1663">
        <v>748.24215869149975</v>
      </c>
      <c r="AC15" s="1663">
        <v>748.32769254350285</v>
      </c>
      <c r="AD15" s="1663">
        <v>747.54909254350275</v>
      </c>
      <c r="AE15" s="1663">
        <v>773.27414996748257</v>
      </c>
      <c r="AF15" s="1663">
        <v>795.52384592534258</v>
      </c>
      <c r="AG15" s="1663">
        <v>793.82143868338437</v>
      </c>
      <c r="AH15" s="1663">
        <v>860.00679545936248</v>
      </c>
      <c r="AI15" s="1663">
        <v>866.69740693486267</v>
      </c>
      <c r="AJ15" s="1663">
        <v>832.47084905478573</v>
      </c>
      <c r="AK15" s="1663">
        <v>833.7203840475006</v>
      </c>
      <c r="AL15" s="1663">
        <v>832.06366670750049</v>
      </c>
      <c r="AM15" s="1663">
        <v>832.4695897075004</v>
      </c>
      <c r="AN15" s="1663">
        <v>832.06366825008206</v>
      </c>
      <c r="AO15" s="1663">
        <v>832.06366843008232</v>
      </c>
      <c r="AP15" s="1663">
        <v>833.32054886750029</v>
      </c>
      <c r="AQ15" s="1663">
        <v>771.86210399964807</v>
      </c>
      <c r="AR15" s="1663">
        <v>785.97295392969988</v>
      </c>
      <c r="AS15" s="1663">
        <v>770.83561280299853</v>
      </c>
      <c r="AT15" s="1663">
        <v>814.82260084253028</v>
      </c>
      <c r="AU15" s="1663">
        <v>809.20022965300086</v>
      </c>
      <c r="AV15" s="1663">
        <v>808.7943096896505</v>
      </c>
      <c r="AW15" s="1663">
        <v>831.23117294492624</v>
      </c>
      <c r="AX15" s="1644">
        <v>831.23116803964899</v>
      </c>
      <c r="AY15" s="1644">
        <v>831.23116803965002</v>
      </c>
      <c r="AZ15" s="1644">
        <v>831.23116816365052</v>
      </c>
      <c r="BA15" s="1644">
        <v>819.23116751314922</v>
      </c>
      <c r="BB15" s="1644">
        <v>819.23116751314922</v>
      </c>
      <c r="BC15" s="1644">
        <v>847.19829774964808</v>
      </c>
      <c r="BD15" s="1644">
        <v>634.12934612630363</v>
      </c>
      <c r="BE15" s="1644">
        <v>659.80150435696885</v>
      </c>
      <c r="BF15" s="1645">
        <v>659.80147525396637</v>
      </c>
      <c r="BG15" s="1645">
        <v>659.80147510061363</v>
      </c>
      <c r="BH15" s="1645">
        <v>671.07288027696802</v>
      </c>
      <c r="BI15" s="1645">
        <v>668.57317798975748</v>
      </c>
      <c r="BJ15" s="1645">
        <v>668.57317774810792</v>
      </c>
      <c r="BK15" s="1645">
        <v>668.57317774810792</v>
      </c>
      <c r="BL15" s="1645">
        <v>668.57519103810785</v>
      </c>
      <c r="BM15" s="1645">
        <v>667.74699060810849</v>
      </c>
      <c r="BN15" s="1645">
        <v>627.73927389179801</v>
      </c>
      <c r="BO15" s="1645">
        <v>623.63595936744684</v>
      </c>
      <c r="BP15" s="1645">
        <v>646.160986537447</v>
      </c>
      <c r="BQ15" s="1645">
        <v>645.51458674544904</v>
      </c>
      <c r="BR15" s="1645">
        <v>645.97069004545017</v>
      </c>
      <c r="BS15" s="1645">
        <v>736.02729373544889</v>
      </c>
      <c r="BT15" s="1645">
        <v>741.86641447545242</v>
      </c>
      <c r="BU15" s="1645">
        <v>742.28299121699524</v>
      </c>
      <c r="BV15" s="1645">
        <v>742.3659997070198</v>
      </c>
      <c r="BW15" s="1645">
        <v>742.37109340658947</v>
      </c>
      <c r="BX15" s="1645">
        <v>743.00982729658892</v>
      </c>
      <c r="BY15" s="1645">
        <v>743.00982592658806</v>
      </c>
      <c r="BZ15" s="1645">
        <v>725.28222232658766</v>
      </c>
      <c r="CA15" s="1645">
        <v>729.46949401523023</v>
      </c>
      <c r="CB15" s="1645">
        <v>745.4181760313644</v>
      </c>
      <c r="CC15" s="1645">
        <v>684.04040308999822</v>
      </c>
      <c r="CD15" s="1645">
        <v>934.8544641299992</v>
      </c>
      <c r="CE15" s="1645">
        <v>889.03632279999738</v>
      </c>
      <c r="CF15" s="1645">
        <v>906.98005563999561</v>
      </c>
      <c r="CG15" s="1645">
        <v>894.10478247999959</v>
      </c>
      <c r="CH15" s="1645">
        <v>885.43462012000089</v>
      </c>
      <c r="CI15" s="1645">
        <v>894.10478268000031</v>
      </c>
      <c r="CJ15" s="1645">
        <v>894.10478268000031</v>
      </c>
      <c r="CK15" s="1646">
        <v>886.61161057999993</v>
      </c>
      <c r="CL15" s="1646">
        <v>1014.2556434899998</v>
      </c>
      <c r="CM15" s="1646">
        <v>1168.5206182900008</v>
      </c>
      <c r="CN15" s="1646">
        <v>1280.2511898500022</v>
      </c>
      <c r="CO15" s="1646">
        <v>1298.7462345800018</v>
      </c>
      <c r="CP15" s="1646">
        <v>1168.8941123500003</v>
      </c>
      <c r="CQ15" s="1646">
        <v>1127.5642732800006</v>
      </c>
      <c r="CR15" s="1646">
        <v>1571.9663310799999</v>
      </c>
      <c r="CS15" s="1646">
        <v>632.71908140999983</v>
      </c>
      <c r="CT15" s="1646">
        <v>656.57499901999859</v>
      </c>
      <c r="CU15" s="1646">
        <v>656.57499901999859</v>
      </c>
      <c r="CV15" s="1646">
        <v>656.57499901999859</v>
      </c>
      <c r="CW15" s="1646">
        <v>654.03009902000042</v>
      </c>
      <c r="CX15" s="1646">
        <v>697.10580215000152</v>
      </c>
      <c r="CY15" s="1646">
        <v>701.41517633000183</v>
      </c>
      <c r="CZ15" s="1646">
        <v>760.99380193000002</v>
      </c>
      <c r="DA15" s="1646">
        <v>746.30348192999872</v>
      </c>
      <c r="DB15" s="1646">
        <v>760.93980192999993</v>
      </c>
      <c r="DC15" s="1646">
        <v>761.00880193000194</v>
      </c>
      <c r="DD15" s="1646">
        <v>777.21471474999908</v>
      </c>
      <c r="DE15" s="1646">
        <v>775.51572893000082</v>
      </c>
      <c r="DF15" s="1646">
        <v>786.57281357000045</v>
      </c>
      <c r="DG15" s="1646">
        <v>786.57281356999965</v>
      </c>
      <c r="DH15" s="1646">
        <v>764.57281357000068</v>
      </c>
      <c r="DI15" s="1646">
        <v>837.15649626999982</v>
      </c>
      <c r="DJ15" s="1646">
        <v>892.59514620999846</v>
      </c>
      <c r="DK15" s="1646">
        <v>863.72530468999912</v>
      </c>
      <c r="DL15" s="1646">
        <v>862.2445715700004</v>
      </c>
      <c r="DM15" s="1646">
        <v>864.63739357000065</v>
      </c>
      <c r="DN15" s="1646">
        <v>864.64639357000215</v>
      </c>
      <c r="DO15" s="1646">
        <v>852.67458521999743</v>
      </c>
      <c r="DP15" s="1646">
        <v>816.49693939999952</v>
      </c>
      <c r="DQ15" s="1646">
        <v>813.60469209000132</v>
      </c>
      <c r="DR15" s="1646">
        <v>813.69169208999892</v>
      </c>
      <c r="DS15" s="1646">
        <v>813.6916920900004</v>
      </c>
      <c r="DT15" s="1646">
        <v>782.37418208999986</v>
      </c>
      <c r="DU15" s="1646">
        <v>934.29134368999632</v>
      </c>
      <c r="DV15" s="1646">
        <v>930.71557159999975</v>
      </c>
      <c r="DW15" s="1646">
        <v>907.27672723999979</v>
      </c>
      <c r="DX15" s="1646">
        <v>907.23472724000214</v>
      </c>
      <c r="DY15" s="1646">
        <v>907.23472723999839</v>
      </c>
      <c r="DZ15" s="1646">
        <v>897.25572723999835</v>
      </c>
      <c r="EA15" s="1646">
        <v>932.39620975000037</v>
      </c>
      <c r="EB15" s="1646">
        <v>930.3806495599988</v>
      </c>
      <c r="EC15" s="1646">
        <v>926.56443155999966</v>
      </c>
      <c r="ED15" s="1647">
        <v>926.56443156000375</v>
      </c>
      <c r="EE15" s="1647">
        <v>881.56443155999762</v>
      </c>
      <c r="EF15" s="1647">
        <v>876.57643155999904</v>
      </c>
      <c r="EG15" s="1647">
        <v>956.2401396199997</v>
      </c>
      <c r="EH15" s="1647">
        <v>934.75404962000084</v>
      </c>
    </row>
    <row r="16" spans="1:138" ht="18" x14ac:dyDescent="0.3">
      <c r="A16" s="1642" t="s">
        <v>1064</v>
      </c>
      <c r="B16" s="1663">
        <v>0</v>
      </c>
      <c r="C16" s="1663">
        <v>0</v>
      </c>
      <c r="D16" s="1663">
        <v>0</v>
      </c>
      <c r="E16" s="1663">
        <v>0</v>
      </c>
      <c r="F16" s="1663">
        <v>0</v>
      </c>
      <c r="G16" s="1663">
        <v>0</v>
      </c>
      <c r="H16" s="1663">
        <v>0</v>
      </c>
      <c r="I16" s="1663">
        <v>0</v>
      </c>
      <c r="J16" s="1663">
        <v>0</v>
      </c>
      <c r="K16" s="1663">
        <v>0</v>
      </c>
      <c r="L16" s="1663">
        <v>0</v>
      </c>
      <c r="M16" s="1663">
        <v>0</v>
      </c>
      <c r="N16" s="1663">
        <v>0</v>
      </c>
      <c r="O16" s="1663">
        <v>0</v>
      </c>
      <c r="P16" s="1663">
        <v>0</v>
      </c>
      <c r="Q16" s="1663">
        <v>0</v>
      </c>
      <c r="R16" s="1663">
        <v>0</v>
      </c>
      <c r="S16" s="1663">
        <v>0</v>
      </c>
      <c r="T16" s="1663">
        <v>0</v>
      </c>
      <c r="U16" s="1663">
        <v>0</v>
      </c>
      <c r="V16" s="1663">
        <v>0</v>
      </c>
      <c r="W16" s="1663">
        <v>0</v>
      </c>
      <c r="X16" s="1663">
        <v>0</v>
      </c>
      <c r="Y16" s="1663">
        <v>0</v>
      </c>
      <c r="Z16" s="1663">
        <v>0</v>
      </c>
      <c r="AA16" s="1663">
        <v>0</v>
      </c>
      <c r="AB16" s="1663">
        <v>0</v>
      </c>
      <c r="AC16" s="1663">
        <v>0</v>
      </c>
      <c r="AD16" s="1663">
        <v>0</v>
      </c>
      <c r="AE16" s="1663">
        <v>0</v>
      </c>
      <c r="AF16" s="1663">
        <v>0</v>
      </c>
      <c r="AG16" s="1663">
        <v>0</v>
      </c>
      <c r="AH16" s="1663">
        <v>0</v>
      </c>
      <c r="AI16" s="1663">
        <v>0</v>
      </c>
      <c r="AJ16" s="1663">
        <v>0</v>
      </c>
      <c r="AK16" s="1663">
        <v>0</v>
      </c>
      <c r="AL16" s="1663">
        <v>0</v>
      </c>
      <c r="AM16" s="1663">
        <v>0</v>
      </c>
      <c r="AN16" s="1663">
        <v>0</v>
      </c>
      <c r="AO16" s="1663">
        <v>0</v>
      </c>
      <c r="AP16" s="1663">
        <v>0</v>
      </c>
      <c r="AQ16" s="1663">
        <v>0</v>
      </c>
      <c r="AR16" s="1663">
        <v>0</v>
      </c>
      <c r="AS16" s="1663">
        <v>0</v>
      </c>
      <c r="AT16" s="1663">
        <v>0</v>
      </c>
      <c r="AU16" s="1663">
        <v>0</v>
      </c>
      <c r="AV16" s="1663">
        <v>0</v>
      </c>
      <c r="AW16" s="1663">
        <v>0</v>
      </c>
      <c r="AX16" s="1644">
        <v>0</v>
      </c>
      <c r="AY16" s="1644">
        <v>0</v>
      </c>
      <c r="AZ16" s="1644">
        <v>0</v>
      </c>
      <c r="BA16" s="1644">
        <v>0</v>
      </c>
      <c r="BB16" s="1644">
        <v>0</v>
      </c>
      <c r="BC16" s="1644">
        <v>0</v>
      </c>
      <c r="BD16" s="1644">
        <v>0</v>
      </c>
      <c r="BE16" s="1644">
        <v>0</v>
      </c>
      <c r="BF16" s="1645">
        <v>0</v>
      </c>
      <c r="BG16" s="1645">
        <v>0</v>
      </c>
      <c r="BH16" s="1645">
        <v>0</v>
      </c>
      <c r="BI16" s="1645">
        <v>0</v>
      </c>
      <c r="BJ16" s="1645">
        <v>0</v>
      </c>
      <c r="BK16" s="1645">
        <v>0</v>
      </c>
      <c r="BL16" s="1645">
        <v>0</v>
      </c>
      <c r="BM16" s="1645">
        <v>0</v>
      </c>
      <c r="BN16" s="1645">
        <v>0</v>
      </c>
      <c r="BO16" s="1645">
        <v>0</v>
      </c>
      <c r="BP16" s="1645">
        <v>0</v>
      </c>
      <c r="BQ16" s="1645">
        <v>0</v>
      </c>
      <c r="BR16" s="1645">
        <v>0</v>
      </c>
      <c r="BS16" s="1645">
        <v>0</v>
      </c>
      <c r="BT16" s="1645">
        <v>0</v>
      </c>
      <c r="BU16" s="1645">
        <v>0</v>
      </c>
      <c r="BV16" s="1645">
        <v>0</v>
      </c>
      <c r="BW16" s="1645">
        <v>0</v>
      </c>
      <c r="BX16" s="1645">
        <v>0</v>
      </c>
      <c r="BY16" s="1645">
        <v>0</v>
      </c>
      <c r="BZ16" s="1645">
        <v>0</v>
      </c>
      <c r="CA16" s="1645">
        <v>0</v>
      </c>
      <c r="CB16" s="1645">
        <v>0</v>
      </c>
      <c r="CC16" s="1664" t="s">
        <v>1065</v>
      </c>
      <c r="CD16" s="1664">
        <v>1397</v>
      </c>
      <c r="CE16" s="1664">
        <v>1396</v>
      </c>
      <c r="CF16" s="1664">
        <v>2264</v>
      </c>
      <c r="CG16" s="1664">
        <v>2234</v>
      </c>
      <c r="CH16" s="1664">
        <v>1785</v>
      </c>
      <c r="CI16" s="1664">
        <v>1734</v>
      </c>
      <c r="CJ16" s="1645">
        <v>2123</v>
      </c>
      <c r="CK16" s="1646">
        <v>1897</v>
      </c>
      <c r="CL16" s="1646">
        <v>1438</v>
      </c>
      <c r="CM16" s="1646">
        <v>1918</v>
      </c>
      <c r="CN16" s="1646">
        <v>2139</v>
      </c>
      <c r="CO16" s="1646">
        <v>2397</v>
      </c>
      <c r="CP16" s="1646">
        <v>3097</v>
      </c>
      <c r="CQ16" s="1646">
        <v>3877.1078760999999</v>
      </c>
      <c r="CR16" s="1646">
        <v>4178.0000705000002</v>
      </c>
      <c r="CS16" s="1646">
        <v>50.107876099999999</v>
      </c>
      <c r="CT16" s="1646">
        <v>0</v>
      </c>
      <c r="CU16" s="1646">
        <v>0</v>
      </c>
      <c r="CV16" s="1646">
        <v>0</v>
      </c>
      <c r="CW16" s="1646">
        <v>0</v>
      </c>
      <c r="CX16" s="1646">
        <v>14.322710599999999</v>
      </c>
      <c r="CY16" s="1646">
        <v>40.7857561</v>
      </c>
      <c r="CZ16" s="1646">
        <v>40.094357799999997</v>
      </c>
      <c r="DA16" s="1646">
        <v>49.347673999999998</v>
      </c>
      <c r="DB16" s="1646">
        <v>0</v>
      </c>
      <c r="DC16" s="1646">
        <v>55.146943189999995</v>
      </c>
      <c r="DD16" s="1646">
        <v>85.309603719999998</v>
      </c>
      <c r="DE16" s="1646">
        <v>82.563379999999995</v>
      </c>
      <c r="DF16" s="1646">
        <v>0</v>
      </c>
      <c r="DG16" s="1646">
        <v>0</v>
      </c>
      <c r="DH16" s="1646">
        <v>0</v>
      </c>
      <c r="DI16" s="1646">
        <v>0</v>
      </c>
      <c r="DJ16" s="1646">
        <v>0</v>
      </c>
      <c r="DK16" s="1646">
        <v>0</v>
      </c>
      <c r="DL16" s="1646">
        <v>0</v>
      </c>
      <c r="DM16" s="1646">
        <v>0</v>
      </c>
      <c r="DN16" s="1646">
        <v>0</v>
      </c>
      <c r="DO16" s="1646">
        <v>0</v>
      </c>
      <c r="DP16" s="1646">
        <v>0</v>
      </c>
      <c r="DQ16" s="1646">
        <v>0</v>
      </c>
      <c r="DR16" s="1646">
        <v>0</v>
      </c>
      <c r="DS16" s="1646">
        <v>0</v>
      </c>
      <c r="DT16" s="1646">
        <v>0</v>
      </c>
      <c r="DU16" s="1646">
        <v>0</v>
      </c>
      <c r="DV16" s="1646">
        <v>0</v>
      </c>
      <c r="DW16" s="1646">
        <v>0</v>
      </c>
      <c r="DX16" s="1646">
        <v>0</v>
      </c>
      <c r="DY16" s="1646">
        <v>0</v>
      </c>
      <c r="DZ16" s="1646">
        <v>0</v>
      </c>
      <c r="EA16" s="1646">
        <v>0</v>
      </c>
      <c r="EB16" s="1646">
        <v>0</v>
      </c>
      <c r="EC16" s="1646">
        <v>0</v>
      </c>
      <c r="ED16" s="1647">
        <v>0</v>
      </c>
      <c r="EE16" s="1647">
        <v>0</v>
      </c>
      <c r="EF16" s="1647">
        <v>0</v>
      </c>
      <c r="EG16" s="1647">
        <v>0</v>
      </c>
      <c r="EH16" s="1647">
        <v>0</v>
      </c>
    </row>
    <row r="17" spans="1:142" ht="15.75" x14ac:dyDescent="0.3">
      <c r="A17" s="1642" t="s">
        <v>1066</v>
      </c>
      <c r="B17" s="1663">
        <v>174.68465315537588</v>
      </c>
      <c r="C17" s="1663">
        <v>138.83161136000064</v>
      </c>
      <c r="D17" s="1663">
        <v>166.05437092823649</v>
      </c>
      <c r="E17" s="1663">
        <v>184.09390129199969</v>
      </c>
      <c r="F17" s="1663">
        <v>214.51573574299965</v>
      </c>
      <c r="G17" s="1663">
        <v>152.83371287038995</v>
      </c>
      <c r="H17" s="1663">
        <v>183.68492711000061</v>
      </c>
      <c r="I17" s="1663">
        <v>97.722879887501534</v>
      </c>
      <c r="J17" s="1663">
        <v>78.951812543999964</v>
      </c>
      <c r="K17" s="1663">
        <v>106.59191788399994</v>
      </c>
      <c r="L17" s="1663">
        <v>129.06181087241649</v>
      </c>
      <c r="M17" s="1663">
        <v>138.63510564942897</v>
      </c>
      <c r="N17" s="1663">
        <v>174.03551509249951</v>
      </c>
      <c r="O17" s="1663">
        <v>138.81410591500051</v>
      </c>
      <c r="P17" s="1663">
        <v>166.94650340549961</v>
      </c>
      <c r="Q17" s="1663">
        <v>202.46809445749884</v>
      </c>
      <c r="R17" s="1663">
        <v>238.49052996700198</v>
      </c>
      <c r="S17" s="1663">
        <v>168.69020238549959</v>
      </c>
      <c r="T17" s="1663">
        <v>195.02616721850077</v>
      </c>
      <c r="U17" s="1663">
        <v>92.981908756502534</v>
      </c>
      <c r="V17" s="1663">
        <v>80.497340199501778</v>
      </c>
      <c r="W17" s="1663">
        <v>110.35300234900004</v>
      </c>
      <c r="X17" s="1663">
        <v>132.31135786501284</v>
      </c>
      <c r="Y17" s="1663">
        <v>154.90767153200554</v>
      </c>
      <c r="Z17" s="1663">
        <v>191.2673920019993</v>
      </c>
      <c r="AA17" s="1663">
        <v>134.18046513999943</v>
      </c>
      <c r="AB17" s="1663">
        <v>169.56187140749978</v>
      </c>
      <c r="AC17" s="1663">
        <v>204.00408966017156</v>
      </c>
      <c r="AD17" s="1663">
        <v>162.03582013999878</v>
      </c>
      <c r="AE17" s="1663">
        <v>181.02625737277651</v>
      </c>
      <c r="AF17" s="1663">
        <v>169.9038893095867</v>
      </c>
      <c r="AG17" s="1663">
        <v>186.86123331597574</v>
      </c>
      <c r="AH17" s="1663">
        <v>90.006159540000084</v>
      </c>
      <c r="AI17" s="1663">
        <v>102.00333708000016</v>
      </c>
      <c r="AJ17" s="1663">
        <v>150.19311207821463</v>
      </c>
      <c r="AK17" s="1663">
        <v>-216.06557044155002</v>
      </c>
      <c r="AL17" s="1663">
        <v>209.65880384789824</v>
      </c>
      <c r="AM17" s="1663">
        <v>150.29535886365224</v>
      </c>
      <c r="AN17" s="1663">
        <v>158.84471261826491</v>
      </c>
      <c r="AO17" s="1663">
        <v>194.65759772665669</v>
      </c>
      <c r="AP17" s="1663">
        <v>239.42893458454776</v>
      </c>
      <c r="AQ17" s="1663">
        <v>172.04503190000008</v>
      </c>
      <c r="AR17" s="1663">
        <v>169.00169310994983</v>
      </c>
      <c r="AS17" s="1663">
        <v>85.847129245998914</v>
      </c>
      <c r="AT17" s="1663">
        <v>70.68240364646995</v>
      </c>
      <c r="AU17" s="1663">
        <v>107.70849731405603</v>
      </c>
      <c r="AV17" s="1663">
        <v>134.06343513600004</v>
      </c>
      <c r="AW17" s="1663">
        <v>139.82272541743328</v>
      </c>
      <c r="AX17" s="1644">
        <v>165.65544617525006</v>
      </c>
      <c r="AY17" s="1644">
        <v>106.80229341558814</v>
      </c>
      <c r="AZ17" s="1644">
        <v>138.557794619622</v>
      </c>
      <c r="BA17" s="1644">
        <v>170.65712077381801</v>
      </c>
      <c r="BB17" s="1644">
        <v>202.02155803649973</v>
      </c>
      <c r="BC17" s="1644">
        <v>185.60365223580055</v>
      </c>
      <c r="BD17" s="1644">
        <v>213.32282774911232</v>
      </c>
      <c r="BE17" s="1644">
        <v>76.283308970000022</v>
      </c>
      <c r="BF17" s="1645">
        <v>110.54931157376718</v>
      </c>
      <c r="BG17" s="1645">
        <v>167.09030305206204</v>
      </c>
      <c r="BH17" s="1645">
        <v>164.47564709906888</v>
      </c>
      <c r="BI17" s="1645">
        <v>194.79945758999634</v>
      </c>
      <c r="BJ17" s="1645">
        <v>209.29435350919366</v>
      </c>
      <c r="BK17" s="1645">
        <v>248.62936686845492</v>
      </c>
      <c r="BL17" s="1645">
        <v>280.82475814068653</v>
      </c>
      <c r="BM17" s="1645">
        <v>291.21956197858856</v>
      </c>
      <c r="BN17" s="1645">
        <v>252.50854629277066</v>
      </c>
      <c r="BO17" s="1645">
        <v>283.36200757933454</v>
      </c>
      <c r="BP17" s="1645">
        <v>128.7036083100102</v>
      </c>
      <c r="BQ17" s="1645">
        <v>150.70864823000281</v>
      </c>
      <c r="BR17" s="1645">
        <v>180.80212667599844</v>
      </c>
      <c r="BS17" s="1645">
        <v>116.48133193643523</v>
      </c>
      <c r="BT17" s="1645">
        <v>137.1555063735546</v>
      </c>
      <c r="BU17" s="1645">
        <v>171.93324952029562</v>
      </c>
      <c r="BV17" s="1645">
        <v>208.82559758646107</v>
      </c>
      <c r="BW17" s="1645">
        <v>241.33477175041176</v>
      </c>
      <c r="BX17" s="1645">
        <v>268.03565540246035</v>
      </c>
      <c r="BY17" s="1645">
        <v>302.25995946770337</v>
      </c>
      <c r="BZ17" s="1645">
        <v>279.87000616121685</v>
      </c>
      <c r="CA17" s="1645">
        <v>312.43621396634239</v>
      </c>
      <c r="CB17" s="1645">
        <v>290.55729616229615</v>
      </c>
      <c r="CC17" s="1645">
        <v>328.83564994999995</v>
      </c>
      <c r="CD17" s="1645">
        <v>112.24536213999998</v>
      </c>
      <c r="CE17" s="1645">
        <v>-47.166363429999947</v>
      </c>
      <c r="CF17" s="1645">
        <v>-27.400076799999951</v>
      </c>
      <c r="CG17" s="1645">
        <v>14.091280479999901</v>
      </c>
      <c r="CH17" s="1645">
        <v>56.337394970000027</v>
      </c>
      <c r="CI17" s="1645">
        <v>95.774723420000072</v>
      </c>
      <c r="CJ17" s="1645">
        <v>127.6425096400001</v>
      </c>
      <c r="CK17" s="1646">
        <v>187.27607280000018</v>
      </c>
      <c r="CL17" s="1646">
        <v>111.43825767999982</v>
      </c>
      <c r="CM17" s="1646">
        <v>-154.39618263999986</v>
      </c>
      <c r="CN17" s="1646">
        <v>188.46717269000004</v>
      </c>
      <c r="CO17" s="1646">
        <v>197.17778993999988</v>
      </c>
      <c r="CP17" s="1646">
        <v>142.02343580000007</v>
      </c>
      <c r="CQ17" s="1646">
        <v>181.30471326000011</v>
      </c>
      <c r="CR17" s="1646">
        <v>244.12778694999992</v>
      </c>
      <c r="CS17" s="1646">
        <v>123.44266997000003</v>
      </c>
      <c r="CT17" s="1646">
        <v>109.33319537999988</v>
      </c>
      <c r="CU17" s="1646">
        <v>106.17590707999993</v>
      </c>
      <c r="CV17" s="1646">
        <v>105.82817207999993</v>
      </c>
      <c r="CW17" s="1646">
        <v>106.61301096000004</v>
      </c>
      <c r="CX17" s="1646">
        <v>79.683708969999998</v>
      </c>
      <c r="CY17" s="1646">
        <v>107.73703015000001</v>
      </c>
      <c r="CZ17" s="1646">
        <v>37.959577990000007</v>
      </c>
      <c r="DA17" s="1646">
        <v>67.458603179999955</v>
      </c>
      <c r="DB17" s="1646">
        <v>71.227789820000055</v>
      </c>
      <c r="DC17" s="1646">
        <v>78.154069740000011</v>
      </c>
      <c r="DD17" s="1646">
        <v>115.45730788000012</v>
      </c>
      <c r="DE17" s="1646">
        <v>108.49021367999983</v>
      </c>
      <c r="DF17" s="1646">
        <v>125.38755776999975</v>
      </c>
      <c r="DG17" s="1646">
        <v>139.48289299999999</v>
      </c>
      <c r="DH17" s="1646">
        <v>156.57536396000003</v>
      </c>
      <c r="DI17" s="1646">
        <v>99.070005140000021</v>
      </c>
      <c r="DJ17" s="1646">
        <v>59.691348139999988</v>
      </c>
      <c r="DK17" s="1646">
        <v>63.054055349999963</v>
      </c>
      <c r="DL17" s="1646">
        <v>85.045975200000044</v>
      </c>
      <c r="DM17" s="1646">
        <v>81.389450699999813</v>
      </c>
      <c r="DN17" s="1646">
        <v>91.667819860000009</v>
      </c>
      <c r="DO17" s="1646">
        <v>89.246288079999928</v>
      </c>
      <c r="DP17" s="1646">
        <v>101.1225109899999</v>
      </c>
      <c r="DQ17" s="1646">
        <v>99.584437379999869</v>
      </c>
      <c r="DR17" s="1646">
        <v>111.89167845000004</v>
      </c>
      <c r="DS17" s="1646">
        <v>128.87787276</v>
      </c>
      <c r="DT17" s="1646">
        <v>150.2766804100001</v>
      </c>
      <c r="DU17" s="1646">
        <v>37.456163900000007</v>
      </c>
      <c r="DV17" s="1646">
        <v>59.339106390000012</v>
      </c>
      <c r="DW17" s="1646">
        <v>60.737436000000002</v>
      </c>
      <c r="DX17" s="1646">
        <v>83.042919270000041</v>
      </c>
      <c r="DY17" s="1646">
        <v>108.5209573499999</v>
      </c>
      <c r="DZ17" s="1646">
        <v>134.62334226999999</v>
      </c>
      <c r="EA17" s="1646">
        <v>116.84948060000002</v>
      </c>
      <c r="EB17" s="1646">
        <v>140.95074054999995</v>
      </c>
      <c r="EC17" s="1646">
        <v>158.68832177000021</v>
      </c>
      <c r="ED17" s="1647">
        <v>183.69152701999997</v>
      </c>
      <c r="EE17" s="1647">
        <v>195.15320784000016</v>
      </c>
      <c r="EF17" s="1647">
        <v>225.90094804999973</v>
      </c>
      <c r="EG17" s="1647">
        <v>198.77769544999998</v>
      </c>
      <c r="EH17" s="1647">
        <v>204.95292392000007</v>
      </c>
    </row>
    <row r="18" spans="1:142" ht="15.75" x14ac:dyDescent="0.3">
      <c r="A18" s="1642" t="s">
        <v>1067</v>
      </c>
      <c r="B18" s="1663">
        <v>14673.987694020007</v>
      </c>
      <c r="C18" s="1663">
        <v>15022.280191680002</v>
      </c>
      <c r="D18" s="1663">
        <v>14950.51709168</v>
      </c>
      <c r="E18" s="1663">
        <v>12226.293971069999</v>
      </c>
      <c r="F18" s="1663">
        <v>11892.032891719997</v>
      </c>
      <c r="G18" s="1663">
        <v>12056.502985439998</v>
      </c>
      <c r="H18" s="1663">
        <v>12136.8419505</v>
      </c>
      <c r="I18" s="1663">
        <v>12195.952606729999</v>
      </c>
      <c r="J18" s="1663">
        <v>12297.28802287</v>
      </c>
      <c r="K18" s="1663">
        <v>12244.178058209996</v>
      </c>
      <c r="L18" s="1663">
        <v>12481.682409219993</v>
      </c>
      <c r="M18" s="1663">
        <v>12805.170594069996</v>
      </c>
      <c r="N18" s="1663">
        <v>12881.226528809995</v>
      </c>
      <c r="O18" s="1663">
        <v>13034.154719470002</v>
      </c>
      <c r="P18" s="1663">
        <v>12777.125437519997</v>
      </c>
      <c r="Q18" s="1663">
        <v>12855.538266410002</v>
      </c>
      <c r="R18" s="1663">
        <v>12936.980305380001</v>
      </c>
      <c r="S18" s="1663">
        <v>12753.110069369999</v>
      </c>
      <c r="T18" s="1663">
        <v>12769.440596630004</v>
      </c>
      <c r="U18" s="1663">
        <v>12859.20819573</v>
      </c>
      <c r="V18" s="1663">
        <v>12841.551802059997</v>
      </c>
      <c r="W18" s="1663">
        <v>12847.820847959993</v>
      </c>
      <c r="X18" s="1663">
        <v>12681.677415169997</v>
      </c>
      <c r="Y18" s="1663">
        <v>12598.589176169999</v>
      </c>
      <c r="Z18" s="1663">
        <v>12606.652558670003</v>
      </c>
      <c r="AA18" s="1663">
        <v>12516.867773700002</v>
      </c>
      <c r="AB18" s="1663">
        <v>12728.165184020003</v>
      </c>
      <c r="AC18" s="1663">
        <v>12619.011896249995</v>
      </c>
      <c r="AD18" s="1663">
        <v>12670.801787809994</v>
      </c>
      <c r="AE18" s="1663">
        <v>12746.752611029999</v>
      </c>
      <c r="AF18" s="1663">
        <v>12640.080890633646</v>
      </c>
      <c r="AG18" s="1663">
        <v>12886.816174719101</v>
      </c>
      <c r="AH18" s="1663">
        <v>12980.330780480786</v>
      </c>
      <c r="AI18" s="1663">
        <v>12986.737583169997</v>
      </c>
      <c r="AJ18" s="1663">
        <v>13046.342853210004</v>
      </c>
      <c r="AK18" s="1663">
        <v>12912.732273344805</v>
      </c>
      <c r="AL18" s="1663">
        <v>12792.471171226414</v>
      </c>
      <c r="AM18" s="1663">
        <v>12875.36210425326</v>
      </c>
      <c r="AN18" s="1663">
        <v>13219.451940166635</v>
      </c>
      <c r="AO18" s="1663">
        <v>13105.709520297352</v>
      </c>
      <c r="AP18" s="1663">
        <v>13265.866946603664</v>
      </c>
      <c r="AQ18" s="1663">
        <v>13048.951064894271</v>
      </c>
      <c r="AR18" s="1663">
        <v>12982.570250911642</v>
      </c>
      <c r="AS18" s="1663">
        <v>13009.324764056431</v>
      </c>
      <c r="AT18" s="1663">
        <v>13221.405926468185</v>
      </c>
      <c r="AU18" s="1663">
        <v>13242.494205370045</v>
      </c>
      <c r="AV18" s="1663">
        <v>13263.809498084305</v>
      </c>
      <c r="AW18" s="1663">
        <v>13256.534100927116</v>
      </c>
      <c r="AX18" s="1644">
        <v>13256.360152814792</v>
      </c>
      <c r="AY18" s="1644">
        <v>13288.908411514871</v>
      </c>
      <c r="AZ18" s="1644">
        <v>16875.40673020258</v>
      </c>
      <c r="BA18" s="1644">
        <v>16765.248431349995</v>
      </c>
      <c r="BB18" s="1644">
        <v>17137.679123249982</v>
      </c>
      <c r="BC18" s="1644">
        <v>17376.099993186908</v>
      </c>
      <c r="BD18" s="1644">
        <v>17428.407302862764</v>
      </c>
      <c r="BE18" s="1644">
        <v>17738.381566440814</v>
      </c>
      <c r="BF18" s="1645">
        <v>17946.484293900001</v>
      </c>
      <c r="BG18" s="1645">
        <v>18285.0117527652</v>
      </c>
      <c r="BH18" s="1645">
        <v>18783.867083362984</v>
      </c>
      <c r="BI18" s="1645">
        <v>18611.171095912996</v>
      </c>
      <c r="BJ18" s="1645">
        <v>18739.13105871269</v>
      </c>
      <c r="BK18" s="1645">
        <v>18979.902545366847</v>
      </c>
      <c r="BL18" s="1645">
        <v>19422.48212747624</v>
      </c>
      <c r="BM18" s="1645">
        <v>19255.956116455152</v>
      </c>
      <c r="BN18" s="1645">
        <v>19478.635069266849</v>
      </c>
      <c r="BO18" s="1645">
        <v>19654.114805928912</v>
      </c>
      <c r="BP18" s="1645">
        <v>19720.579716469994</v>
      </c>
      <c r="BQ18" s="1645">
        <v>19595.554687976426</v>
      </c>
      <c r="BR18" s="1645">
        <v>19595.345502093642</v>
      </c>
      <c r="BS18" s="1645">
        <v>19698.614263014544</v>
      </c>
      <c r="BT18" s="1645">
        <v>20097.099789499138</v>
      </c>
      <c r="BU18" s="1645">
        <v>20015.516292392971</v>
      </c>
      <c r="BV18" s="1645">
        <v>20067.93109543555</v>
      </c>
      <c r="BW18" s="1645">
        <v>19791.407510068606</v>
      </c>
      <c r="BX18" s="1645">
        <v>19737.624061193732</v>
      </c>
      <c r="BY18" s="1645">
        <v>19616.509121218231</v>
      </c>
      <c r="BZ18" s="1645">
        <v>19714.675410455322</v>
      </c>
      <c r="CA18" s="1645">
        <v>19501.64549568266</v>
      </c>
      <c r="CB18" s="1645">
        <v>18986.31109443316</v>
      </c>
      <c r="CC18" s="1645">
        <v>18134.248618940008</v>
      </c>
      <c r="CD18" s="1645">
        <v>18069.70585432</v>
      </c>
      <c r="CE18" s="1645">
        <v>18233.509130710005</v>
      </c>
      <c r="CF18" s="1645">
        <v>18005.402947099996</v>
      </c>
      <c r="CG18" s="1645">
        <v>17996.918063909998</v>
      </c>
      <c r="CH18" s="1645">
        <v>18539.59464512</v>
      </c>
      <c r="CI18" s="1645">
        <v>19934.907353239996</v>
      </c>
      <c r="CJ18" s="1645">
        <v>17377.186205500006</v>
      </c>
      <c r="CK18" s="1646">
        <v>18068.048031860002</v>
      </c>
      <c r="CL18" s="1646">
        <v>18628.192461040002</v>
      </c>
      <c r="CM18" s="1646">
        <v>18191.71929325</v>
      </c>
      <c r="CN18" s="1646">
        <v>18196.297847480004</v>
      </c>
      <c r="CO18" s="1646">
        <v>17754.194019840004</v>
      </c>
      <c r="CP18" s="1646">
        <v>17442.81957163</v>
      </c>
      <c r="CQ18" s="1646">
        <v>17112.736399590001</v>
      </c>
      <c r="CR18" s="1646">
        <v>17392.291893730002</v>
      </c>
      <c r="CS18" s="1646">
        <v>10469.148986530003</v>
      </c>
      <c r="CT18" s="1646">
        <v>10571.531087239993</v>
      </c>
      <c r="CU18" s="1646">
        <v>10402.904414350001</v>
      </c>
      <c r="CV18" s="1646">
        <v>10320.10921373</v>
      </c>
      <c r="CW18" s="1646">
        <v>10310.399606170002</v>
      </c>
      <c r="CX18" s="1646">
        <v>10114.099764160008</v>
      </c>
      <c r="CY18" s="1646">
        <v>10028.465335939994</v>
      </c>
      <c r="CZ18" s="1646">
        <v>10052.468762219998</v>
      </c>
      <c r="DA18" s="1646">
        <v>9988.6774175499995</v>
      </c>
      <c r="DB18" s="1646">
        <v>10108.67275184</v>
      </c>
      <c r="DC18" s="1646">
        <v>9505.9741238099941</v>
      </c>
      <c r="DD18" s="1646">
        <v>9538.6086657800097</v>
      </c>
      <c r="DE18" s="1646">
        <v>9399.0016920499984</v>
      </c>
      <c r="DF18" s="1646">
        <v>9590.4538876200022</v>
      </c>
      <c r="DG18" s="1646">
        <v>9578.1975383799982</v>
      </c>
      <c r="DH18" s="1646">
        <v>9458.932866060004</v>
      </c>
      <c r="DI18" s="1646">
        <v>9582.1285942500017</v>
      </c>
      <c r="DJ18" s="1646">
        <v>9634.20901108</v>
      </c>
      <c r="DK18" s="1646">
        <v>9699.3061282600029</v>
      </c>
      <c r="DL18" s="1646">
        <v>9923.3525450100005</v>
      </c>
      <c r="DM18" s="1646">
        <v>9887.1031229899982</v>
      </c>
      <c r="DN18" s="1646">
        <v>9780.023218119999</v>
      </c>
      <c r="DO18" s="1646">
        <v>9873.2640052299957</v>
      </c>
      <c r="DP18" s="1646">
        <v>9942.6164899899995</v>
      </c>
      <c r="DQ18" s="1646">
        <v>10036.43945975</v>
      </c>
      <c r="DR18" s="1646">
        <v>9908.1420795300055</v>
      </c>
      <c r="DS18" s="1646">
        <v>9953.5553188300037</v>
      </c>
      <c r="DT18" s="1646">
        <v>10077.165494400004</v>
      </c>
      <c r="DU18" s="1646">
        <v>10130.680367540004</v>
      </c>
      <c r="DV18" s="1646">
        <v>10125.493109330002</v>
      </c>
      <c r="DW18" s="1646">
        <v>10069.94612199</v>
      </c>
      <c r="DX18" s="1646">
        <v>10048.458453630001</v>
      </c>
      <c r="DY18" s="1646">
        <v>10143.677905439999</v>
      </c>
      <c r="DZ18" s="1646">
        <v>10193.110358240005</v>
      </c>
      <c r="EA18" s="1646">
        <v>10282.703675860006</v>
      </c>
      <c r="EB18" s="1646">
        <v>10417.704749320006</v>
      </c>
      <c r="EC18" s="1646">
        <v>10488.256571919997</v>
      </c>
      <c r="ED18" s="1647">
        <v>10401.655715479996</v>
      </c>
      <c r="EE18" s="1647">
        <v>10521.706786540004</v>
      </c>
      <c r="EF18" s="1647">
        <v>10700.691111390001</v>
      </c>
      <c r="EG18" s="1647">
        <v>10987.904575150002</v>
      </c>
      <c r="EH18" s="1647">
        <v>11037.664881920009</v>
      </c>
    </row>
    <row r="19" spans="1:142" ht="15.75" x14ac:dyDescent="0.3">
      <c r="A19" s="1665" t="s">
        <v>1068</v>
      </c>
      <c r="B19" s="1666">
        <v>14551.555964250007</v>
      </c>
      <c r="C19" s="1666">
        <v>14902.643488680002</v>
      </c>
      <c r="D19" s="1666">
        <v>14831.144394680001</v>
      </c>
      <c r="E19" s="1666">
        <v>12109.832539069999</v>
      </c>
      <c r="F19" s="1666">
        <v>11778.019082239998</v>
      </c>
      <c r="G19" s="1666">
        <v>11949.233858439999</v>
      </c>
      <c r="H19" s="1666">
        <v>12026.675456499999</v>
      </c>
      <c r="I19" s="1666">
        <v>12076.429211659999</v>
      </c>
      <c r="J19" s="1666">
        <v>12177.216458729999</v>
      </c>
      <c r="K19" s="1666">
        <v>12127.075089559998</v>
      </c>
      <c r="L19" s="1666">
        <v>12370.895662509995</v>
      </c>
      <c r="M19" s="1666">
        <v>12696.615796389995</v>
      </c>
      <c r="N19" s="1666">
        <v>12774.912824429997</v>
      </c>
      <c r="O19" s="1666">
        <v>12930.049730080002</v>
      </c>
      <c r="P19" s="1666">
        <v>12675.321549519997</v>
      </c>
      <c r="Q19" s="1666">
        <v>12755.96350263</v>
      </c>
      <c r="R19" s="1666">
        <v>12794.52027936</v>
      </c>
      <c r="S19" s="1666">
        <v>12588.450738419999</v>
      </c>
      <c r="T19" s="1666">
        <v>12593.328752050003</v>
      </c>
      <c r="U19" s="1666">
        <v>12687.318257049999</v>
      </c>
      <c r="V19" s="1666">
        <v>12673.612646059997</v>
      </c>
      <c r="W19" s="1666">
        <v>12678.074341059993</v>
      </c>
      <c r="X19" s="1666">
        <v>12495.064819719997</v>
      </c>
      <c r="Y19" s="1666">
        <v>12416.832218329999</v>
      </c>
      <c r="Z19" s="1666">
        <v>12416.327303240001</v>
      </c>
      <c r="AA19" s="1666">
        <v>12398.51194604</v>
      </c>
      <c r="AB19" s="1666">
        <v>12612.756203890003</v>
      </c>
      <c r="AC19" s="1666">
        <v>12506.284809149995</v>
      </c>
      <c r="AD19" s="1666">
        <v>12560.846690849994</v>
      </c>
      <c r="AE19" s="1666">
        <v>12619.01920137</v>
      </c>
      <c r="AF19" s="1666">
        <v>12515.133505893646</v>
      </c>
      <c r="AG19" s="1666">
        <v>12762.893653859101</v>
      </c>
      <c r="AH19" s="1666">
        <v>12856.408259620786</v>
      </c>
      <c r="AI19" s="1666">
        <v>12846.057671599998</v>
      </c>
      <c r="AJ19" s="1666">
        <v>12898.127239020005</v>
      </c>
      <c r="AK19" s="1666">
        <v>12775.631758314805</v>
      </c>
      <c r="AL19" s="1666">
        <v>12655.370656226414</v>
      </c>
      <c r="AM19" s="1666">
        <v>12738.261589223259</v>
      </c>
      <c r="AN19" s="1666">
        <v>13043.080241426636</v>
      </c>
      <c r="AO19" s="1666">
        <v>12932.628574297352</v>
      </c>
      <c r="AP19" s="1666">
        <v>13100.456734923664</v>
      </c>
      <c r="AQ19" s="1663">
        <v>12861.953987354271</v>
      </c>
      <c r="AR19" s="1663">
        <v>12802.991847871643</v>
      </c>
      <c r="AS19" s="1663">
        <v>12833.000492556432</v>
      </c>
      <c r="AT19" s="1663">
        <v>13047.897504268185</v>
      </c>
      <c r="AU19" s="1663">
        <v>13076.869333600045</v>
      </c>
      <c r="AV19" s="1666">
        <v>13101.419448314304</v>
      </c>
      <c r="AW19" s="1666">
        <v>13095.686274477115</v>
      </c>
      <c r="AX19" s="1667">
        <v>13103.118408104794</v>
      </c>
      <c r="AY19" s="1667">
        <v>13138.767070704873</v>
      </c>
      <c r="AZ19" s="1667">
        <v>13196.305067102581</v>
      </c>
      <c r="BA19" s="1667">
        <v>13080.319003549996</v>
      </c>
      <c r="BB19" s="1667">
        <v>13466.830935869984</v>
      </c>
      <c r="BC19" s="1667">
        <v>13642.682349716908</v>
      </c>
      <c r="BD19" s="1667">
        <v>13753.828811512767</v>
      </c>
      <c r="BE19" s="1667">
        <v>13796.306534330814</v>
      </c>
      <c r="BF19" s="1668">
        <v>13970.039204050003</v>
      </c>
      <c r="BG19" s="1668">
        <v>14043.5684854552</v>
      </c>
      <c r="BH19" s="1668">
        <v>14093.767107802982</v>
      </c>
      <c r="BI19" s="1668">
        <v>14063.318879082992</v>
      </c>
      <c r="BJ19" s="1668">
        <v>14080.719229781658</v>
      </c>
      <c r="BK19" s="1668">
        <v>14267.990155636848</v>
      </c>
      <c r="BL19" s="1668">
        <v>14401.093353559501</v>
      </c>
      <c r="BM19" s="1668">
        <v>14153.43733946051</v>
      </c>
      <c r="BN19" s="1668">
        <v>14361.434246488636</v>
      </c>
      <c r="BO19" s="1668">
        <v>14493.219530117947</v>
      </c>
      <c r="BP19" s="1668">
        <v>14508.222435969994</v>
      </c>
      <c r="BQ19" s="1668">
        <v>14492.574901636444</v>
      </c>
      <c r="BR19" s="1668">
        <v>14480.520392113644</v>
      </c>
      <c r="BS19" s="1668">
        <v>14603.007379394547</v>
      </c>
      <c r="BT19" s="1668">
        <v>14622.110016742759</v>
      </c>
      <c r="BU19" s="1668">
        <v>14647.56082974289</v>
      </c>
      <c r="BV19" s="1668">
        <v>14524.018021467758</v>
      </c>
      <c r="BW19" s="1668">
        <v>14293.914609431813</v>
      </c>
      <c r="BX19" s="1668">
        <v>14104.649268106255</v>
      </c>
      <c r="BY19" s="1668">
        <v>13914.33140980873</v>
      </c>
      <c r="BZ19" s="1668">
        <v>13655.45052684982</v>
      </c>
      <c r="CA19" s="1668">
        <v>13570.384336272658</v>
      </c>
      <c r="CB19" s="1668">
        <v>13315.642535143157</v>
      </c>
      <c r="CC19" s="1668">
        <v>13540.276955940006</v>
      </c>
      <c r="CD19" s="1668">
        <v>13497.6459593</v>
      </c>
      <c r="CE19" s="1668">
        <v>13439.656781300004</v>
      </c>
      <c r="CF19" s="1668">
        <v>13496.106846619996</v>
      </c>
      <c r="CG19" s="1668">
        <v>13232.221416189996</v>
      </c>
      <c r="CH19" s="1668">
        <v>13087.630669079997</v>
      </c>
      <c r="CI19" s="1668">
        <v>12884.829017889999</v>
      </c>
      <c r="CJ19" s="1668">
        <v>10057.531552380005</v>
      </c>
      <c r="CK19" s="1669">
        <v>10049.96511714</v>
      </c>
      <c r="CL19" s="1669">
        <v>10230.350620600002</v>
      </c>
      <c r="CM19" s="1669">
        <v>10236.641656669999</v>
      </c>
      <c r="CN19" s="1669">
        <v>10208.519348650001</v>
      </c>
      <c r="CO19" s="1669">
        <v>10233.664571470004</v>
      </c>
      <c r="CP19" s="1669">
        <v>10312.852694499999</v>
      </c>
      <c r="CQ19" s="1669">
        <v>10311.262601639999</v>
      </c>
      <c r="CR19" s="1669">
        <v>10402.329297860004</v>
      </c>
      <c r="CS19" s="1669">
        <v>10469.148986530003</v>
      </c>
      <c r="CT19" s="1669">
        <v>10571.531087239993</v>
      </c>
      <c r="CU19" s="1669">
        <v>10402.904414350001</v>
      </c>
      <c r="CV19" s="1669">
        <v>10319.49421373</v>
      </c>
      <c r="CW19" s="1669">
        <v>10309.784606170002</v>
      </c>
      <c r="CX19" s="1669">
        <v>10114.099764160008</v>
      </c>
      <c r="CY19" s="1669">
        <v>10028.465335939994</v>
      </c>
      <c r="CZ19" s="1669">
        <v>10052.468762219998</v>
      </c>
      <c r="DA19" s="1669">
        <v>9988.6774175499995</v>
      </c>
      <c r="DB19" s="1669">
        <v>10057.25084864</v>
      </c>
      <c r="DC19" s="1669">
        <v>9505.9741238099941</v>
      </c>
      <c r="DD19" s="1669">
        <v>9538.6086657800097</v>
      </c>
      <c r="DE19" s="1669">
        <v>9399.0016920499984</v>
      </c>
      <c r="DF19" s="1669">
        <v>9505.0825623900037</v>
      </c>
      <c r="DG19" s="1669">
        <v>9489.4891785899963</v>
      </c>
      <c r="DH19" s="1669">
        <v>9360.5100836600031</v>
      </c>
      <c r="DI19" s="1669">
        <v>9485.5549379900021</v>
      </c>
      <c r="DJ19" s="1669">
        <v>9514.4868477500004</v>
      </c>
      <c r="DK19" s="1669">
        <v>9580.1091774700017</v>
      </c>
      <c r="DL19" s="1669">
        <v>9806.0339125200007</v>
      </c>
      <c r="DM19" s="1669">
        <v>9796.6651381899992</v>
      </c>
      <c r="DN19" s="1669">
        <v>9691.4682132599992</v>
      </c>
      <c r="DO19" s="1669">
        <v>9761.5943154599954</v>
      </c>
      <c r="DP19" s="1669">
        <v>9828.9003040900006</v>
      </c>
      <c r="DQ19" s="1669">
        <v>9919.1565840700005</v>
      </c>
      <c r="DR19" s="1669">
        <v>9767.9099239800071</v>
      </c>
      <c r="DS19" s="1669">
        <v>9786.3762962000037</v>
      </c>
      <c r="DT19" s="1669">
        <v>9894.7931705200044</v>
      </c>
      <c r="DU19" s="1669">
        <v>9969.1276073600038</v>
      </c>
      <c r="DV19" s="1669">
        <v>9991.462526880001</v>
      </c>
      <c r="DW19" s="1669">
        <v>9963.4403343699996</v>
      </c>
      <c r="DX19" s="1669">
        <v>9944.4800809299995</v>
      </c>
      <c r="DY19" s="1669">
        <v>9992.2295708900001</v>
      </c>
      <c r="DZ19" s="1669">
        <v>9994.1946880100058</v>
      </c>
      <c r="EA19" s="1669">
        <v>10011.323299260006</v>
      </c>
      <c r="EB19" s="1669">
        <v>10148.862298670007</v>
      </c>
      <c r="EC19" s="1669">
        <v>10346.954682669999</v>
      </c>
      <c r="ED19" s="1670">
        <v>10287.897026119996</v>
      </c>
      <c r="EE19" s="1670">
        <v>10410.493938630005</v>
      </c>
      <c r="EF19" s="1670">
        <v>10517.026692950001</v>
      </c>
      <c r="EG19" s="1670">
        <v>10781.791290520001</v>
      </c>
      <c r="EH19" s="1670">
        <v>10792.33768994001</v>
      </c>
    </row>
    <row r="20" spans="1:142" ht="15.75" x14ac:dyDescent="0.3">
      <c r="A20" s="1642" t="s">
        <v>1069</v>
      </c>
      <c r="B20" s="1663">
        <v>1816.2484834300003</v>
      </c>
      <c r="C20" s="1663">
        <v>1871.3934472400003</v>
      </c>
      <c r="D20" s="1663">
        <v>1823.9683416599994</v>
      </c>
      <c r="E20" s="1663">
        <v>1415.7926568399998</v>
      </c>
      <c r="F20" s="1663">
        <v>1740.0558439700003</v>
      </c>
      <c r="G20" s="1663">
        <v>1573.7345048299999</v>
      </c>
      <c r="H20" s="1663">
        <v>1401.1215261600003</v>
      </c>
      <c r="I20" s="1663">
        <v>1583.2044379400002</v>
      </c>
      <c r="J20" s="1663">
        <v>1385.15929467</v>
      </c>
      <c r="K20" s="1663">
        <v>1459.4611832399996</v>
      </c>
      <c r="L20" s="1663">
        <v>1770.0614025900002</v>
      </c>
      <c r="M20" s="1663">
        <v>1850.4168175099996</v>
      </c>
      <c r="N20" s="1663">
        <v>1810.5282499099999</v>
      </c>
      <c r="O20" s="1663">
        <v>1949.0623081799997</v>
      </c>
      <c r="P20" s="1663">
        <v>1804.3358888600001</v>
      </c>
      <c r="Q20" s="1663">
        <v>1640.3018918900004</v>
      </c>
      <c r="R20" s="1663">
        <v>1865.9683750199999</v>
      </c>
      <c r="S20" s="1663">
        <v>1545.2656388999997</v>
      </c>
      <c r="T20" s="1663">
        <v>1910.7907514600001</v>
      </c>
      <c r="U20" s="1663">
        <v>2070.54935471</v>
      </c>
      <c r="V20" s="1663">
        <v>2120.6724401199999</v>
      </c>
      <c r="W20" s="1663">
        <v>2192.7014391800003</v>
      </c>
      <c r="X20" s="1663">
        <v>2396.9668014700001</v>
      </c>
      <c r="Y20" s="1663">
        <v>2595.5052623199995</v>
      </c>
      <c r="Z20" s="1663">
        <v>2580.2813334799998</v>
      </c>
      <c r="AA20" s="1663">
        <v>2899.7717887999997</v>
      </c>
      <c r="AB20" s="1663">
        <v>2793.1222935299993</v>
      </c>
      <c r="AC20" s="1663">
        <v>2960.8303499099993</v>
      </c>
      <c r="AD20" s="1663">
        <v>3078.3956087700003</v>
      </c>
      <c r="AE20" s="1663">
        <v>3025.6830691499995</v>
      </c>
      <c r="AF20" s="1663">
        <v>3254.0411064189998</v>
      </c>
      <c r="AG20" s="1663">
        <v>3301.8126503000003</v>
      </c>
      <c r="AH20" s="1663">
        <v>3477.2955768400002</v>
      </c>
      <c r="AI20" s="1663">
        <v>3575.1337587800008</v>
      </c>
      <c r="AJ20" s="1663">
        <v>3625.4098094999999</v>
      </c>
      <c r="AK20" s="1663">
        <v>3451.3163360500002</v>
      </c>
      <c r="AL20" s="1663">
        <v>4002.4317127300001</v>
      </c>
      <c r="AM20" s="1663">
        <v>4099.3227502899999</v>
      </c>
      <c r="AN20" s="1663">
        <v>3668.6098897894985</v>
      </c>
      <c r="AO20" s="1663">
        <v>3559.3600213699997</v>
      </c>
      <c r="AP20" s="1663">
        <v>3687.7407699099999</v>
      </c>
      <c r="AQ20" s="1663">
        <v>3517.0215815446663</v>
      </c>
      <c r="AR20" s="1663">
        <v>3661.6867347200005</v>
      </c>
      <c r="AS20" s="1663">
        <v>4000.0865004936004</v>
      </c>
      <c r="AT20" s="1663">
        <v>3541.0446523508986</v>
      </c>
      <c r="AU20" s="1663">
        <v>3606.1145415144665</v>
      </c>
      <c r="AV20" s="1663">
        <v>3835.5236469627248</v>
      </c>
      <c r="AW20" s="1663">
        <v>4389.8431062571372</v>
      </c>
      <c r="AX20" s="1644">
        <v>4365.9022720600005</v>
      </c>
      <c r="AY20" s="1644">
        <v>4434.2311773900001</v>
      </c>
      <c r="AZ20" s="1644">
        <v>1023.4398458400002</v>
      </c>
      <c r="BA20" s="1644">
        <v>974.06662237</v>
      </c>
      <c r="BB20" s="1644">
        <v>933.80490799000006</v>
      </c>
      <c r="BC20" s="1644">
        <v>946.5549568199998</v>
      </c>
      <c r="BD20" s="1644">
        <v>942.84598686999993</v>
      </c>
      <c r="BE20" s="1644">
        <v>803.54577884999992</v>
      </c>
      <c r="BF20" s="1645">
        <v>847.59292643000026</v>
      </c>
      <c r="BG20" s="1645">
        <v>843.35158961000013</v>
      </c>
      <c r="BH20" s="1645">
        <v>869.21577429999991</v>
      </c>
      <c r="BI20" s="1645">
        <v>928.78164730000015</v>
      </c>
      <c r="BJ20" s="1645">
        <v>805.91581670999994</v>
      </c>
      <c r="BK20" s="1645">
        <v>772.23062445999994</v>
      </c>
      <c r="BL20" s="1645">
        <v>232.99213406999993</v>
      </c>
      <c r="BM20" s="1645">
        <v>351.58679354000009</v>
      </c>
      <c r="BN20" s="1645">
        <v>124.15683064000005</v>
      </c>
      <c r="BO20" s="1645">
        <v>114.48455827000009</v>
      </c>
      <c r="BP20" s="1645">
        <v>174.86522035000007</v>
      </c>
      <c r="BQ20" s="1645">
        <v>247.86141871999985</v>
      </c>
      <c r="BR20" s="1645">
        <v>85.678532419999954</v>
      </c>
      <c r="BS20" s="1645">
        <v>225.11379834999997</v>
      </c>
      <c r="BT20" s="1645">
        <v>183.21921305000001</v>
      </c>
      <c r="BU20" s="1645">
        <v>160.13195795999991</v>
      </c>
      <c r="BV20" s="1645">
        <v>60.235424429999945</v>
      </c>
      <c r="BW20" s="1645">
        <v>214.33766721000001</v>
      </c>
      <c r="BX20" s="1645">
        <v>55.77295925</v>
      </c>
      <c r="BY20" s="1645">
        <v>181.95448250999999</v>
      </c>
      <c r="BZ20" s="1645">
        <v>52.407413439999999</v>
      </c>
      <c r="CA20" s="1645">
        <v>0</v>
      </c>
      <c r="CB20" s="1645">
        <v>465.06986664000004</v>
      </c>
      <c r="CC20" s="1645">
        <v>295.25656327000047</v>
      </c>
      <c r="CD20" s="1645">
        <v>323.15296814999959</v>
      </c>
      <c r="CE20" s="1645">
        <v>416.67540065999987</v>
      </c>
      <c r="CF20" s="1645">
        <v>400.23098097000025</v>
      </c>
      <c r="CG20" s="1645">
        <v>307.44968061999987</v>
      </c>
      <c r="CH20" s="1645">
        <v>303.98506186999987</v>
      </c>
      <c r="CI20" s="1645">
        <v>800.43821095999817</v>
      </c>
      <c r="CJ20" s="1645">
        <v>912.24071331000039</v>
      </c>
      <c r="CK20" s="1646">
        <v>937.28445207000061</v>
      </c>
      <c r="CL20" s="1646">
        <v>897.94564272999855</v>
      </c>
      <c r="CM20" s="1646">
        <v>910.73430867000195</v>
      </c>
      <c r="CN20" s="1646">
        <v>901.81463099999996</v>
      </c>
      <c r="CO20" s="1646">
        <v>893.1705803699989</v>
      </c>
      <c r="CP20" s="1646">
        <v>853.27631388000009</v>
      </c>
      <c r="CQ20" s="1646">
        <v>694.74676272999955</v>
      </c>
      <c r="CR20" s="1646">
        <v>27.976828530000688</v>
      </c>
      <c r="CS20" s="1646">
        <v>3.4355739099999667</v>
      </c>
      <c r="CT20" s="1646">
        <v>77.000799870000009</v>
      </c>
      <c r="CU20" s="1646">
        <v>76.893432389999987</v>
      </c>
      <c r="CV20" s="1646">
        <v>48.992732360000012</v>
      </c>
      <c r="CW20" s="1646">
        <v>45.820342389999986</v>
      </c>
      <c r="CX20" s="1646">
        <v>44.174074910000087</v>
      </c>
      <c r="CY20" s="1646">
        <v>41.597661110000011</v>
      </c>
      <c r="CZ20" s="1646">
        <v>38.388861030000093</v>
      </c>
      <c r="DA20" s="1646">
        <v>41.387002429999946</v>
      </c>
      <c r="DB20" s="1646">
        <v>35.899933120000007</v>
      </c>
      <c r="DC20" s="1646">
        <v>166.37858211000002</v>
      </c>
      <c r="DD20" s="1646">
        <v>139.53297325000005</v>
      </c>
      <c r="DE20" s="1646">
        <v>167.46980770999997</v>
      </c>
      <c r="DF20" s="1646">
        <v>162.15675029000002</v>
      </c>
      <c r="DG20" s="1646">
        <v>31.170513950000046</v>
      </c>
      <c r="DH20" s="1646">
        <v>129.56919865000003</v>
      </c>
      <c r="DI20" s="1646">
        <v>71.592963070000053</v>
      </c>
      <c r="DJ20" s="1646">
        <v>73.210562809999999</v>
      </c>
      <c r="DK20" s="1646">
        <v>101.16260649000002</v>
      </c>
      <c r="DL20" s="1646">
        <v>70.117100459999975</v>
      </c>
      <c r="DM20" s="1646">
        <v>28.78521128999996</v>
      </c>
      <c r="DN20" s="1646">
        <v>147.75430795999998</v>
      </c>
      <c r="DO20" s="1646">
        <v>101.44319439000004</v>
      </c>
      <c r="DP20" s="1646">
        <v>55.411914129999992</v>
      </c>
      <c r="DQ20" s="1646">
        <v>24.394006900000036</v>
      </c>
      <c r="DR20" s="1646">
        <v>22.598069449999986</v>
      </c>
      <c r="DS20" s="1646">
        <v>21.787183290000023</v>
      </c>
      <c r="DT20" s="1646">
        <v>20.665731520000012</v>
      </c>
      <c r="DU20" s="1646">
        <v>19.640028360000013</v>
      </c>
      <c r="DV20" s="1646">
        <v>48.371482050000012</v>
      </c>
      <c r="DW20" s="1646">
        <v>17.165301160000027</v>
      </c>
      <c r="DX20" s="1646">
        <v>66.140237689999992</v>
      </c>
      <c r="DY20" s="1646">
        <v>45.165070259999993</v>
      </c>
      <c r="DZ20" s="1646">
        <v>204.96269705000006</v>
      </c>
      <c r="EA20" s="1646">
        <v>133.90909641999997</v>
      </c>
      <c r="EB20" s="1646">
        <v>332.38281594999995</v>
      </c>
      <c r="EC20" s="1646">
        <v>490.23570518000002</v>
      </c>
      <c r="ED20" s="1647">
        <v>486.57461582999991</v>
      </c>
      <c r="EE20" s="1647">
        <v>432.21472814999998</v>
      </c>
      <c r="EF20" s="1647">
        <v>456.80084409000006</v>
      </c>
      <c r="EG20" s="1647">
        <v>533.29842758999996</v>
      </c>
      <c r="EH20" s="1647">
        <v>534.72864587000004</v>
      </c>
    </row>
    <row r="21" spans="1:142" ht="16.5" thickBot="1" x14ac:dyDescent="0.35">
      <c r="A21" s="1642" t="s">
        <v>1070</v>
      </c>
      <c r="B21" s="1663">
        <v>1799.8046994554986</v>
      </c>
      <c r="C21" s="1663">
        <v>1864.2528078224993</v>
      </c>
      <c r="D21" s="1663">
        <v>1862.2082661299992</v>
      </c>
      <c r="E21" s="1663">
        <v>1692.4265391454996</v>
      </c>
      <c r="F21" s="1663">
        <v>1644.0326673576606</v>
      </c>
      <c r="G21" s="1663">
        <v>1693.4282335971793</v>
      </c>
      <c r="H21" s="1663">
        <v>1631.4195957471791</v>
      </c>
      <c r="I21" s="1663">
        <v>1687.3481527838196</v>
      </c>
      <c r="J21" s="1663">
        <v>1692.2598568708188</v>
      </c>
      <c r="K21" s="1663">
        <v>1793.6647095710955</v>
      </c>
      <c r="L21" s="1663">
        <v>1945.7059241178026</v>
      </c>
      <c r="M21" s="1663">
        <v>1583.2489452885827</v>
      </c>
      <c r="N21" s="1663">
        <v>1660.603190898051</v>
      </c>
      <c r="O21" s="1663">
        <v>1645.0158121701809</v>
      </c>
      <c r="P21" s="1663">
        <v>1652.0760039620964</v>
      </c>
      <c r="Q21" s="1663">
        <v>1744.851146639181</v>
      </c>
      <c r="R21" s="1663">
        <v>1818.4800479889018</v>
      </c>
      <c r="S21" s="1663">
        <v>1950.424325898819</v>
      </c>
      <c r="T21" s="1663">
        <v>2092.7155430588191</v>
      </c>
      <c r="U21" s="1663">
        <v>2064.1435028648857</v>
      </c>
      <c r="V21" s="1663">
        <v>1880.2096480220112</v>
      </c>
      <c r="W21" s="1663">
        <v>1926.9139964014933</v>
      </c>
      <c r="X21" s="1663">
        <v>2218.7168944220116</v>
      </c>
      <c r="Y21" s="1663">
        <v>1985.5904765195039</v>
      </c>
      <c r="Z21" s="1663">
        <v>1972.2507203140117</v>
      </c>
      <c r="AA21" s="1663">
        <v>1927.9445168920113</v>
      </c>
      <c r="AB21" s="1663">
        <v>1901.7674149797515</v>
      </c>
      <c r="AC21" s="1663">
        <v>1886.8805592166605</v>
      </c>
      <c r="AD21" s="1663">
        <v>1921.0224354300935</v>
      </c>
      <c r="AE21" s="1663">
        <v>1964.920014049894</v>
      </c>
      <c r="AF21" s="1663">
        <v>1994.0033608783267</v>
      </c>
      <c r="AG21" s="1663">
        <v>1984.4977902220121</v>
      </c>
      <c r="AH21" s="1663">
        <v>1914.8292231520109</v>
      </c>
      <c r="AI21" s="1663">
        <v>2139.14897036</v>
      </c>
      <c r="AJ21" s="1663">
        <v>2390.4111904900005</v>
      </c>
      <c r="AK21" s="1663">
        <v>3046.2996005074833</v>
      </c>
      <c r="AL21" s="1663">
        <v>1973.312739295822</v>
      </c>
      <c r="AM21" s="1663">
        <v>1987.5354303920108</v>
      </c>
      <c r="AN21" s="1663">
        <v>2022.1958714371826</v>
      </c>
      <c r="AO21" s="1663">
        <v>2204.9091645160111</v>
      </c>
      <c r="AP21" s="1663">
        <v>1995.6953669103707</v>
      </c>
      <c r="AQ21" s="1663">
        <v>1945.6640394770111</v>
      </c>
      <c r="AR21" s="1663">
        <v>2023.7281758620102</v>
      </c>
      <c r="AS21" s="1663">
        <v>2201.5689331232115</v>
      </c>
      <c r="AT21" s="1663">
        <v>2397.8126471387277</v>
      </c>
      <c r="AU21" s="1663">
        <v>2330.5848261245992</v>
      </c>
      <c r="AV21" s="1663">
        <v>2702.6119290699999</v>
      </c>
      <c r="AW21" s="1663">
        <v>2295.3275763679453</v>
      </c>
      <c r="AX21" s="1644">
        <v>2354.6965760959711</v>
      </c>
      <c r="AY21" s="1644">
        <v>2263.0156921693228</v>
      </c>
      <c r="AZ21" s="1644">
        <v>2254.747353292119</v>
      </c>
      <c r="BA21" s="1644">
        <v>2458.3396344982448</v>
      </c>
      <c r="BB21" s="1644">
        <v>2258.3750768500004</v>
      </c>
      <c r="BC21" s="1644">
        <v>2292.995968752999</v>
      </c>
      <c r="BD21" s="1644">
        <v>2096.8250312299992</v>
      </c>
      <c r="BE21" s="1644">
        <v>2301.4296075299999</v>
      </c>
      <c r="BF21" s="1645">
        <v>2349.1662012700003</v>
      </c>
      <c r="BG21" s="1645">
        <v>2856.9196301800002</v>
      </c>
      <c r="BH21" s="1645">
        <v>2335.5388014096661</v>
      </c>
      <c r="BI21" s="1645">
        <v>2239.5878153600679</v>
      </c>
      <c r="BJ21" s="1645">
        <v>2225.755809337013</v>
      </c>
      <c r="BK21" s="1645">
        <v>2232.1164126844119</v>
      </c>
      <c r="BL21" s="1645">
        <v>2468.823968792758</v>
      </c>
      <c r="BM21" s="1645">
        <v>2528.3813496002363</v>
      </c>
      <c r="BN21" s="1645">
        <v>2414.3012149571473</v>
      </c>
      <c r="BO21" s="1645">
        <v>2335.9307743360346</v>
      </c>
      <c r="BP21" s="1645">
        <v>2287.3041683760366</v>
      </c>
      <c r="BQ21" s="1645">
        <v>2322.2727170301641</v>
      </c>
      <c r="BR21" s="1645">
        <v>2447.0325683601636</v>
      </c>
      <c r="BS21" s="1645">
        <v>3081.7509952360351</v>
      </c>
      <c r="BT21" s="1645">
        <v>2615.8860403160361</v>
      </c>
      <c r="BU21" s="1645">
        <v>2537.6002708696424</v>
      </c>
      <c r="BV21" s="1645">
        <v>2408.5317776354759</v>
      </c>
      <c r="BW21" s="1645">
        <v>2373.4010716632329</v>
      </c>
      <c r="BX21" s="1645">
        <v>2542.4930889532357</v>
      </c>
      <c r="BY21" s="1645">
        <v>2483.4753081454041</v>
      </c>
      <c r="BZ21" s="1645">
        <v>2536.3399269157626</v>
      </c>
      <c r="CA21" s="1645">
        <v>2537.3343583177648</v>
      </c>
      <c r="CB21" s="1645">
        <v>2664.7170697805786</v>
      </c>
      <c r="CC21" s="1645">
        <v>2517.3925789500004</v>
      </c>
      <c r="CD21" s="1645">
        <v>2650.2943796300005</v>
      </c>
      <c r="CE21" s="1645">
        <v>3347.5476023699998</v>
      </c>
      <c r="CF21" s="1645">
        <v>2849.4650987999985</v>
      </c>
      <c r="CG21" s="1645">
        <v>2814.8804619899984</v>
      </c>
      <c r="CH21" s="1645">
        <v>2801.8673563999996</v>
      </c>
      <c r="CI21" s="1645">
        <v>2802.2455566100007</v>
      </c>
      <c r="CJ21" s="1645">
        <v>3163.4836883800003</v>
      </c>
      <c r="CK21" s="1646">
        <v>2900.6926484400001</v>
      </c>
      <c r="CL21" s="1646">
        <v>2932.7665162200001</v>
      </c>
      <c r="CM21" s="1646">
        <v>3099.1093387500005</v>
      </c>
      <c r="CN21" s="1646">
        <v>2750.5860924999993</v>
      </c>
      <c r="CO21" s="1646">
        <v>2887.04608706</v>
      </c>
      <c r="CP21" s="1646">
        <v>3053.9697870799996</v>
      </c>
      <c r="CQ21" s="1646">
        <v>3633.7875760800002</v>
      </c>
      <c r="CR21" s="1646">
        <v>3324.5081167200001</v>
      </c>
      <c r="CS21" s="1646">
        <v>590.49499439999988</v>
      </c>
      <c r="CT21" s="1646">
        <v>627.2873757999995</v>
      </c>
      <c r="CU21" s="1646">
        <v>563.29922097000031</v>
      </c>
      <c r="CV21" s="1646">
        <v>656.95063589000085</v>
      </c>
      <c r="CW21" s="1646">
        <v>653.96307848999982</v>
      </c>
      <c r="CX21" s="1646">
        <v>722.76613664000013</v>
      </c>
      <c r="CY21" s="1646">
        <v>713.05601921000016</v>
      </c>
      <c r="CZ21" s="1646">
        <v>646.42141785000035</v>
      </c>
      <c r="DA21" s="1646">
        <v>638.87465932999987</v>
      </c>
      <c r="DB21" s="1646">
        <v>695.89095325999972</v>
      </c>
      <c r="DC21" s="1646">
        <v>580.68354824000028</v>
      </c>
      <c r="DD21" s="1646">
        <v>626.70237080999948</v>
      </c>
      <c r="DE21" s="1646">
        <v>592.2864272099996</v>
      </c>
      <c r="DF21" s="1646">
        <v>610.03589686999987</v>
      </c>
      <c r="DG21" s="1646">
        <v>604.55072238999992</v>
      </c>
      <c r="DH21" s="1646">
        <v>621.62509990000012</v>
      </c>
      <c r="DI21" s="1646">
        <v>567.50806041000078</v>
      </c>
      <c r="DJ21" s="1646">
        <v>592.0465861499996</v>
      </c>
      <c r="DK21" s="1646">
        <v>586.49882562000084</v>
      </c>
      <c r="DL21" s="1646">
        <v>669.03030409000064</v>
      </c>
      <c r="DM21" s="1646">
        <v>617.38402002999931</v>
      </c>
      <c r="DN21" s="1646">
        <v>611.57447917000013</v>
      </c>
      <c r="DO21" s="1646">
        <v>716.44418703999997</v>
      </c>
      <c r="DP21" s="1646">
        <v>622.26671996999983</v>
      </c>
      <c r="DQ21" s="1646">
        <v>628.32150964000039</v>
      </c>
      <c r="DR21" s="1646">
        <v>663.03517337999915</v>
      </c>
      <c r="DS21" s="1646">
        <v>672.63298201000021</v>
      </c>
      <c r="DT21" s="1646">
        <v>660.10111726000025</v>
      </c>
      <c r="DU21" s="1646">
        <v>660.21189380999942</v>
      </c>
      <c r="DV21" s="1646">
        <v>671.02435511999988</v>
      </c>
      <c r="DW21" s="1646">
        <v>776.29724831000044</v>
      </c>
      <c r="DX21" s="1646">
        <v>738.76381467999988</v>
      </c>
      <c r="DY21" s="1646">
        <v>737.48180532999947</v>
      </c>
      <c r="DZ21" s="1646">
        <v>624.8599635000005</v>
      </c>
      <c r="EA21" s="1646">
        <v>662.5643619600005</v>
      </c>
      <c r="EB21" s="1646">
        <v>667.40549356999975</v>
      </c>
      <c r="EC21" s="1646">
        <v>686.62330960999964</v>
      </c>
      <c r="ED21" s="1647">
        <v>760.47934928999996</v>
      </c>
      <c r="EE21" s="1647">
        <v>706.14908650999973</v>
      </c>
      <c r="EF21" s="1647">
        <v>776.2827069999995</v>
      </c>
      <c r="EG21" s="1647">
        <v>747.08493984999939</v>
      </c>
      <c r="EH21" s="1647">
        <v>806.77548872999955</v>
      </c>
    </row>
    <row r="22" spans="1:142" ht="16.5" thickBot="1" x14ac:dyDescent="0.35">
      <c r="A22" s="1671" t="s">
        <v>1071</v>
      </c>
      <c r="B22" s="1672">
        <v>20810.840289322379</v>
      </c>
      <c r="C22" s="1672">
        <v>21240.828172364003</v>
      </c>
      <c r="D22" s="1672">
        <v>21134.418192546233</v>
      </c>
      <c r="E22" s="1672">
        <v>17394.462021858999</v>
      </c>
      <c r="F22" s="1672">
        <v>17366.492092602155</v>
      </c>
      <c r="G22" s="1672">
        <v>17446.651083798566</v>
      </c>
      <c r="H22" s="1672">
        <v>17324.316567511185</v>
      </c>
      <c r="I22" s="1672">
        <v>17561.365273335323</v>
      </c>
      <c r="J22" s="1672">
        <v>17497.875058298818</v>
      </c>
      <c r="K22" s="1672">
        <v>17648.11194023909</v>
      </c>
      <c r="L22" s="1672">
        <v>18345.727614134215</v>
      </c>
      <c r="M22" s="1673">
        <v>18373.183941692008</v>
      </c>
      <c r="N22" s="1673">
        <v>18522.105966709474</v>
      </c>
      <c r="O22" s="1673">
        <v>18762.7594353491</v>
      </c>
      <c r="P22" s="1673">
        <v>18396.19631884151</v>
      </c>
      <c r="Q22" s="1673">
        <v>18428.871884010601</v>
      </c>
      <c r="R22" s="1673">
        <v>18795.631746737821</v>
      </c>
      <c r="S22" s="1673">
        <v>18476.829957492737</v>
      </c>
      <c r="T22" s="1673">
        <v>19026.214960734244</v>
      </c>
      <c r="U22" s="1673">
        <v>19145.666802235803</v>
      </c>
      <c r="V22" s="1673">
        <v>19030.873553651923</v>
      </c>
      <c r="W22" s="1673">
        <v>19185.643731154905</v>
      </c>
      <c r="X22" s="1673">
        <v>19507.527048273507</v>
      </c>
      <c r="Y22" s="1673">
        <v>19422.834742273008</v>
      </c>
      <c r="Z22" s="1673">
        <v>19438.694163197513</v>
      </c>
      <c r="AA22" s="1673">
        <v>19567.006703263512</v>
      </c>
      <c r="AB22" s="1673">
        <v>19665.858922668755</v>
      </c>
      <c r="AC22" s="1673">
        <v>19744.054587620329</v>
      </c>
      <c r="AD22" s="1673">
        <v>19904.804744733592</v>
      </c>
      <c r="AE22" s="1673">
        <v>20016.656101610151</v>
      </c>
      <c r="AF22" s="1673">
        <v>20178.553093205905</v>
      </c>
      <c r="AG22" s="1673">
        <v>20478.809287280474</v>
      </c>
      <c r="AH22" s="1673">
        <v>20647.468535512158</v>
      </c>
      <c r="AI22" s="1673">
        <v>20994.721056364862</v>
      </c>
      <c r="AJ22" s="1673">
        <v>21369.827814373006</v>
      </c>
      <c r="AK22" s="1673">
        <v>21353.003023548241</v>
      </c>
      <c r="AL22" s="1673">
        <v>21284.938093847635</v>
      </c>
      <c r="AM22" s="1673">
        <v>21419.985233546424</v>
      </c>
      <c r="AN22" s="1673">
        <v>21376.166082301665</v>
      </c>
      <c r="AO22" s="1673">
        <v>21371.699972380102</v>
      </c>
      <c r="AP22" s="1673">
        <v>21497.052566916085</v>
      </c>
      <c r="AQ22" s="1673">
        <v>20930.543821855597</v>
      </c>
      <c r="AR22" s="1673">
        <v>21097.959808573301</v>
      </c>
      <c r="AS22" s="1673">
        <v>21542.662939762246</v>
      </c>
      <c r="AT22" s="1673">
        <v>21520.768230486814</v>
      </c>
      <c r="AU22" s="1673">
        <v>21871.102300016169</v>
      </c>
      <c r="AV22" s="1673">
        <v>22519.80281898268</v>
      </c>
      <c r="AW22" s="1673">
        <v>22687.758681954558</v>
      </c>
      <c r="AX22" s="1655">
        <v>22748.845615225662</v>
      </c>
      <c r="AY22" s="1655">
        <v>22699.188742569433</v>
      </c>
      <c r="AZ22" s="1655">
        <v>22898.38289215797</v>
      </c>
      <c r="BA22" s="1655">
        <v>22962.542976505203</v>
      </c>
      <c r="BB22" s="1655">
        <v>23176.111833639632</v>
      </c>
      <c r="BC22" s="1655">
        <v>23473.452868785356</v>
      </c>
      <c r="BD22" s="1655">
        <v>23140.530494878181</v>
      </c>
      <c r="BE22" s="1655">
        <v>23404.441766187781</v>
      </c>
      <c r="BF22" s="1674">
        <v>23738.594208467734</v>
      </c>
      <c r="BG22" s="1674">
        <v>24787.174750747876</v>
      </c>
      <c r="BH22" s="1674">
        <v>24799.170186488685</v>
      </c>
      <c r="BI22" s="1674">
        <v>24617.913194192817</v>
      </c>
      <c r="BJ22" s="1674">
        <v>24623.670216057006</v>
      </c>
      <c r="BK22" s="1674">
        <v>24876.452127167824</v>
      </c>
      <c r="BL22" s="1674">
        <v>25048.698179557789</v>
      </c>
      <c r="BM22" s="1674">
        <v>25069.890812222086</v>
      </c>
      <c r="BN22" s="1674">
        <v>24872.340935088567</v>
      </c>
      <c r="BO22" s="1674">
        <v>24986.528105521727</v>
      </c>
      <c r="BP22" s="1674">
        <v>25107.613700083486</v>
      </c>
      <c r="BQ22" s="1674">
        <v>25111.91205874204</v>
      </c>
      <c r="BR22" s="1674">
        <v>25104.829419635251</v>
      </c>
      <c r="BS22" s="1674">
        <v>26007.987682312465</v>
      </c>
      <c r="BT22" s="1674">
        <v>25925.226963754183</v>
      </c>
      <c r="BU22" s="1674">
        <v>25777.464761999905</v>
      </c>
      <c r="BV22" s="1674">
        <v>25637.889894834505</v>
      </c>
      <c r="BW22" s="1674">
        <v>25512.852114138837</v>
      </c>
      <c r="BX22" s="1674">
        <v>25496.935592136018</v>
      </c>
      <c r="BY22" s="1674">
        <v>25677.208697307924</v>
      </c>
      <c r="BZ22" s="1674">
        <v>25658.57497933889</v>
      </c>
      <c r="CA22" s="1674">
        <v>25430.885562021998</v>
      </c>
      <c r="CB22" s="1674">
        <v>25502.073503087398</v>
      </c>
      <c r="CC22" s="1674">
        <v>25528.836695200007</v>
      </c>
      <c r="CD22" s="1674">
        <v>25837.253028410003</v>
      </c>
      <c r="CE22" s="1674">
        <v>26785.602093150006</v>
      </c>
      <c r="CF22" s="1674">
        <v>26948.679005749997</v>
      </c>
      <c r="CG22" s="1674">
        <v>26811.44426951999</v>
      </c>
      <c r="CH22" s="1674">
        <v>26922.21907852</v>
      </c>
      <c r="CI22" s="1674">
        <v>28811.470626949995</v>
      </c>
      <c r="CJ22" s="1674">
        <v>27147.657899550006</v>
      </c>
      <c r="CK22" s="1675">
        <v>27426.912815790001</v>
      </c>
      <c r="CL22" s="1675">
        <v>27572.598521199994</v>
      </c>
      <c r="CM22" s="1675">
        <v>27483.687376360002</v>
      </c>
      <c r="CN22" s="1675">
        <v>27806.416933560009</v>
      </c>
      <c r="CO22" s="1675">
        <v>27777.334711830008</v>
      </c>
      <c r="CP22" s="1675">
        <v>28307.983220779999</v>
      </c>
      <c r="CQ22" s="1675">
        <v>29177.247601080006</v>
      </c>
      <c r="CR22" s="1675">
        <v>28598.871027550002</v>
      </c>
      <c r="CS22" s="1675">
        <v>12869.349182320002</v>
      </c>
      <c r="CT22" s="1675">
        <v>13041.727457309989</v>
      </c>
      <c r="CU22" s="1675">
        <v>12805.847973809998</v>
      </c>
      <c r="CV22" s="1675">
        <v>12788.455753079999</v>
      </c>
      <c r="CW22" s="1675">
        <v>12770.826137030004</v>
      </c>
      <c r="CX22" s="1675">
        <v>12672.152197430009</v>
      </c>
      <c r="CY22" s="1675">
        <v>12633.056978839997</v>
      </c>
      <c r="CZ22" s="1675">
        <v>12576.326778820001</v>
      </c>
      <c r="DA22" s="1675">
        <v>12532.048838419996</v>
      </c>
      <c r="DB22" s="1675">
        <v>12672.63122997</v>
      </c>
      <c r="DC22" s="1675">
        <v>12147.346069019995</v>
      </c>
      <c r="DD22" s="1675">
        <v>12282.825636190008</v>
      </c>
      <c r="DE22" s="1675">
        <v>12125.327249579997</v>
      </c>
      <c r="DF22" s="1675">
        <v>12274.606906120001</v>
      </c>
      <c r="DG22" s="1675">
        <v>12139.974481289999</v>
      </c>
      <c r="DH22" s="1675">
        <v>12131.275342140005</v>
      </c>
      <c r="DI22" s="1675">
        <v>12157.456119140004</v>
      </c>
      <c r="DJ22" s="1675">
        <v>12251.752654389997</v>
      </c>
      <c r="DK22" s="1675">
        <v>12313.746920410003</v>
      </c>
      <c r="DL22" s="1675">
        <v>12609.790496329999</v>
      </c>
      <c r="DM22" s="1675">
        <v>12479.299198579998</v>
      </c>
      <c r="DN22" s="1675">
        <v>12495.666218680002</v>
      </c>
      <c r="DO22" s="1675">
        <v>12633.072259959998</v>
      </c>
      <c r="DP22" s="1675">
        <v>12537.914574479999</v>
      </c>
      <c r="DQ22" s="1675">
        <v>12602.344105760005</v>
      </c>
      <c r="DR22" s="1675">
        <v>12519.358692900003</v>
      </c>
      <c r="DS22" s="1675">
        <v>12590.545048980002</v>
      </c>
      <c r="DT22" s="1675">
        <v>12690.583205680005</v>
      </c>
      <c r="DU22" s="1675">
        <v>12782.2797973</v>
      </c>
      <c r="DV22" s="1675">
        <v>12834.943624489999</v>
      </c>
      <c r="DW22" s="1675">
        <v>12831.422834699999</v>
      </c>
      <c r="DX22" s="1675">
        <v>12843.640152510001</v>
      </c>
      <c r="DY22" s="1675">
        <v>12942.08046562</v>
      </c>
      <c r="DZ22" s="1675">
        <v>13054.812088299999</v>
      </c>
      <c r="EA22" s="1675">
        <v>13128.422824590009</v>
      </c>
      <c r="EB22" s="1675">
        <v>13488.824448950007</v>
      </c>
      <c r="EC22" s="1675">
        <v>13750.368340039997</v>
      </c>
      <c r="ED22" s="1676">
        <v>13758.965639179996</v>
      </c>
      <c r="EE22" s="1676">
        <v>13736.788240600001</v>
      </c>
      <c r="EF22" s="1676">
        <v>14036.252042090002</v>
      </c>
      <c r="EG22" s="1676">
        <v>14423.305777660002</v>
      </c>
      <c r="EH22" s="1676">
        <v>14518.875990060009</v>
      </c>
    </row>
    <row r="23" spans="1:142" s="1540" customFormat="1" ht="15" thickTop="1" x14ac:dyDescent="0.25">
      <c r="A23" s="1540" t="s">
        <v>173</v>
      </c>
      <c r="EJ23" s="1677"/>
      <c r="EK23" s="1677"/>
      <c r="EL23" s="1677"/>
    </row>
    <row r="24" spans="1:142" s="1540" customFormat="1" ht="15.75" x14ac:dyDescent="0.25">
      <c r="A24" s="1540" t="s">
        <v>1072</v>
      </c>
      <c r="AD24" s="1540">
        <v>0.75129096898639425</v>
      </c>
      <c r="EJ24" s="1677"/>
      <c r="EK24" s="1677"/>
      <c r="EL24" s="1677"/>
    </row>
    <row r="25" spans="1:142" s="1540" customFormat="1" ht="14.25" x14ac:dyDescent="0.25">
      <c r="A25" s="1540" t="s">
        <v>1046</v>
      </c>
      <c r="EJ25" s="1677"/>
      <c r="EK25" s="1677"/>
      <c r="EL25" s="1677"/>
    </row>
    <row r="26" spans="1:142" x14ac:dyDescent="0.2">
      <c r="A26" s="1678"/>
      <c r="B26" s="1679"/>
      <c r="C26" s="1679"/>
      <c r="D26" s="1679"/>
      <c r="E26" s="1679"/>
      <c r="F26" s="1679"/>
      <c r="G26" s="1679"/>
      <c r="H26" s="1679"/>
      <c r="I26" s="1679"/>
      <c r="J26" s="1679"/>
      <c r="K26" s="1679"/>
      <c r="L26" s="1679"/>
      <c r="M26" s="1679"/>
      <c r="N26" s="1679"/>
      <c r="O26" s="1679"/>
      <c r="P26" s="1679"/>
      <c r="Q26" s="1679"/>
      <c r="R26" s="1679"/>
      <c r="S26" s="1679"/>
      <c r="T26" s="1679"/>
      <c r="U26" s="1679"/>
      <c r="V26" s="1679"/>
      <c r="W26" s="1679"/>
      <c r="X26" s="1679"/>
      <c r="Y26" s="1679"/>
      <c r="Z26" s="1679"/>
      <c r="AA26" s="1679"/>
      <c r="AB26" s="1679"/>
      <c r="AC26" s="1679"/>
      <c r="AD26" s="1679"/>
      <c r="AE26" s="1679"/>
      <c r="AF26" s="1679"/>
      <c r="AG26" s="1679"/>
      <c r="AH26" s="1679"/>
      <c r="AI26" s="1679"/>
      <c r="AJ26" s="1679"/>
      <c r="AK26" s="1679"/>
      <c r="AL26" s="1679"/>
      <c r="AM26" s="1679"/>
      <c r="AN26" s="1679"/>
      <c r="AO26" s="1679"/>
      <c r="AP26" s="1679"/>
      <c r="AQ26" s="1679"/>
      <c r="AR26" s="1679"/>
      <c r="AS26" s="1679"/>
      <c r="AT26" s="1679"/>
      <c r="AU26" s="1679"/>
      <c r="AV26" s="1679"/>
      <c r="AW26" s="1679"/>
      <c r="AX26" s="1679"/>
      <c r="AY26" s="1679"/>
      <c r="AZ26" s="1679"/>
      <c r="BA26" s="1679"/>
      <c r="BB26" s="1679"/>
      <c r="BC26" s="1679"/>
      <c r="BD26" s="1679"/>
      <c r="BE26" s="1679"/>
      <c r="BF26" s="1679"/>
      <c r="BG26" s="1679"/>
      <c r="BH26" s="1679"/>
      <c r="BI26" s="1679"/>
      <c r="BJ26" s="1679"/>
      <c r="BK26" s="1679"/>
      <c r="BL26" s="1679"/>
      <c r="BM26" s="1679"/>
      <c r="BN26" s="1679"/>
      <c r="BO26" s="1679"/>
      <c r="BP26" s="1679"/>
      <c r="BQ26" s="1679"/>
      <c r="BR26" s="1679"/>
      <c r="BS26" s="1679"/>
      <c r="BT26" s="1679"/>
      <c r="BU26" s="1679"/>
      <c r="BV26" s="1679"/>
      <c r="BW26" s="1679"/>
      <c r="BX26" s="1679"/>
      <c r="BY26" s="1680"/>
      <c r="BZ26" s="1680"/>
      <c r="CA26" s="1680"/>
      <c r="CB26" s="1680"/>
      <c r="CC26" s="1680"/>
      <c r="CD26" s="1680"/>
      <c r="CE26" s="1680"/>
      <c r="CF26" s="1680"/>
      <c r="CG26" s="1680"/>
      <c r="CH26" s="1680"/>
      <c r="CI26" s="1680"/>
      <c r="CJ26" s="1680"/>
      <c r="CK26" s="1680"/>
      <c r="CL26" s="1680"/>
      <c r="CM26" s="1680"/>
      <c r="CN26" s="1680"/>
      <c r="CO26" s="1680"/>
      <c r="CP26" s="1680"/>
      <c r="CQ26" s="1680"/>
      <c r="CR26" s="1680"/>
      <c r="CS26" s="1680"/>
      <c r="CT26" s="1680"/>
      <c r="CU26" s="1680"/>
      <c r="CV26" s="1680"/>
      <c r="CW26" s="1680"/>
      <c r="CX26" s="1680"/>
      <c r="CY26" s="1680"/>
      <c r="CZ26" s="1680"/>
      <c r="DA26" s="1680"/>
      <c r="DB26" s="1680"/>
      <c r="DC26" s="1678"/>
      <c r="DD26" s="1680"/>
    </row>
    <row r="27" spans="1:142" ht="15.75" x14ac:dyDescent="0.3">
      <c r="A27" s="1678"/>
      <c r="B27" s="1681"/>
      <c r="C27" s="1681"/>
      <c r="D27" s="1681"/>
      <c r="E27" s="1681"/>
      <c r="F27" s="1681"/>
      <c r="G27" s="1681"/>
      <c r="H27" s="1681"/>
      <c r="I27" s="1681"/>
      <c r="J27" s="1681"/>
      <c r="K27" s="1681"/>
      <c r="L27" s="1681"/>
      <c r="M27" s="1681"/>
      <c r="N27" s="1681"/>
      <c r="O27" s="1681"/>
      <c r="P27" s="1681"/>
      <c r="Q27" s="1681"/>
      <c r="R27" s="1682"/>
      <c r="S27" s="1681"/>
      <c r="T27" s="1681"/>
      <c r="U27" s="1681"/>
      <c r="V27" s="1681"/>
      <c r="W27" s="1681"/>
      <c r="X27" s="1681"/>
      <c r="Y27" s="1681"/>
      <c r="Z27" s="1681"/>
      <c r="AA27" s="1681"/>
      <c r="AB27" s="1681"/>
      <c r="AC27" s="1682"/>
      <c r="AD27" s="1682"/>
      <c r="AE27" s="1682"/>
      <c r="AF27" s="1682"/>
      <c r="AG27" s="1682"/>
      <c r="AH27" s="1682"/>
      <c r="AI27" s="1682"/>
      <c r="AJ27" s="1682"/>
      <c r="AK27" s="1682"/>
      <c r="AL27" s="1682"/>
      <c r="AM27" s="1682"/>
      <c r="AN27" s="1682"/>
      <c r="AO27" s="1682"/>
      <c r="AP27" s="1682"/>
      <c r="AQ27" s="1682"/>
      <c r="AR27" s="1682"/>
      <c r="AS27" s="1682"/>
      <c r="AT27" s="1679"/>
      <c r="AU27" s="1679"/>
      <c r="AV27" s="1679"/>
      <c r="AW27" s="1679"/>
      <c r="AX27" s="1679"/>
      <c r="AY27" s="1679"/>
      <c r="AZ27" s="1682"/>
      <c r="BA27" s="1682"/>
      <c r="BB27" s="1682"/>
      <c r="BC27" s="1682"/>
      <c r="BD27" s="1679"/>
      <c r="BE27" s="1679"/>
      <c r="BF27" s="1679"/>
      <c r="BG27" s="1679"/>
      <c r="BH27" s="1679"/>
      <c r="BI27" s="1679"/>
      <c r="BJ27" s="1679"/>
      <c r="BK27" s="1679"/>
      <c r="BL27" s="1679"/>
      <c r="BM27" s="1679"/>
      <c r="BN27" s="1679"/>
      <c r="BO27" s="1679"/>
      <c r="BP27" s="1679"/>
      <c r="BQ27" s="1679"/>
      <c r="BR27" s="1679"/>
      <c r="BS27" s="1679"/>
      <c r="BT27" s="1679"/>
      <c r="BU27" s="1679"/>
      <c r="BV27" s="1679"/>
      <c r="BW27" s="1679"/>
      <c r="BX27" s="1679"/>
      <c r="BY27" s="1680"/>
      <c r="BZ27" s="1680"/>
      <c r="CA27" s="1680"/>
      <c r="CB27" s="1680"/>
      <c r="CC27" s="1680"/>
      <c r="CD27" s="1680"/>
      <c r="CE27" s="1680"/>
      <c r="CF27" s="1680"/>
      <c r="CG27" s="1680"/>
      <c r="CH27" s="1680"/>
      <c r="CI27" s="1680"/>
      <c r="CJ27" s="1680"/>
      <c r="CK27" s="1680"/>
      <c r="CL27" s="1680"/>
      <c r="CM27" s="1680"/>
      <c r="CN27" s="1680"/>
      <c r="CO27" s="1680"/>
      <c r="CP27" s="1680"/>
      <c r="CQ27" s="1680"/>
      <c r="CR27" s="1680"/>
      <c r="CS27" s="1680"/>
      <c r="CT27" s="1680"/>
      <c r="CU27" s="1680"/>
      <c r="CV27" s="1680"/>
      <c r="CW27" s="1680"/>
      <c r="CX27" s="1680"/>
      <c r="CY27" s="1680"/>
      <c r="CZ27" s="1680"/>
      <c r="DA27" s="1680"/>
      <c r="DB27" s="1683"/>
      <c r="DC27" s="1678"/>
      <c r="DD27" s="1683"/>
      <c r="DE27" s="1683"/>
      <c r="DF27" s="1683"/>
      <c r="DG27" s="1683"/>
    </row>
    <row r="28" spans="1:142" ht="15.75" x14ac:dyDescent="0.3">
      <c r="A28" s="1678"/>
      <c r="B28" s="1679"/>
      <c r="C28" s="1679"/>
      <c r="D28" s="1679"/>
      <c r="E28" s="1679"/>
      <c r="F28" s="1679"/>
      <c r="G28" s="1679"/>
      <c r="H28" s="1679"/>
      <c r="I28" s="1679"/>
      <c r="J28" s="1679"/>
      <c r="K28" s="1679"/>
      <c r="L28" s="1679"/>
      <c r="M28" s="1679"/>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c r="AL28" s="1679"/>
      <c r="AM28" s="1679"/>
      <c r="AN28" s="1679"/>
      <c r="AO28" s="1679"/>
      <c r="AP28" s="1679"/>
      <c r="AQ28" s="1679"/>
      <c r="AR28" s="1679"/>
      <c r="AS28" s="1679"/>
      <c r="AT28" s="1679"/>
      <c r="AU28" s="1679"/>
      <c r="AV28" s="1679"/>
      <c r="AW28" s="1679"/>
      <c r="AX28" s="1679"/>
      <c r="AY28" s="1679"/>
      <c r="AZ28" s="1679"/>
      <c r="BA28" s="1679"/>
      <c r="BB28" s="1679"/>
      <c r="BC28" s="1679"/>
      <c r="BD28" s="1679"/>
      <c r="BE28" s="1679"/>
      <c r="BF28" s="1679"/>
      <c r="BG28" s="1679"/>
      <c r="BH28" s="1679"/>
      <c r="BI28" s="1679"/>
      <c r="BJ28" s="1679"/>
      <c r="BK28" s="1679"/>
      <c r="BL28" s="1679"/>
      <c r="BM28" s="1679"/>
      <c r="BN28" s="1679"/>
      <c r="BO28" s="1679"/>
      <c r="BP28" s="1679"/>
      <c r="BQ28" s="1679"/>
      <c r="BR28" s="1679"/>
      <c r="BS28" s="1679"/>
      <c r="BT28" s="1679"/>
      <c r="BU28" s="1679"/>
      <c r="BV28" s="1679"/>
      <c r="BW28" s="1679"/>
      <c r="BX28" s="1679"/>
      <c r="BY28" s="1680"/>
      <c r="BZ28" s="1680"/>
      <c r="CA28" s="1680"/>
      <c r="CB28" s="1680"/>
      <c r="CC28" s="1680"/>
      <c r="CD28" s="1680"/>
      <c r="CE28" s="1680"/>
      <c r="CF28" s="1680"/>
      <c r="CG28" s="1680"/>
      <c r="CH28" s="1680"/>
      <c r="CI28" s="1680"/>
      <c r="CJ28" s="1680"/>
      <c r="CK28" s="1680"/>
      <c r="CL28" s="1680"/>
      <c r="CM28" s="1680"/>
      <c r="CN28" s="1680"/>
      <c r="CO28" s="1680"/>
      <c r="CP28" s="1680"/>
      <c r="CQ28" s="1680"/>
      <c r="CR28" s="1680"/>
      <c r="CS28" s="1680"/>
      <c r="CT28" s="1680"/>
      <c r="CU28" s="1680"/>
      <c r="CV28" s="1680"/>
      <c r="CW28" s="1680"/>
      <c r="CX28" s="1680"/>
      <c r="CY28" s="1680"/>
      <c r="CZ28" s="1680"/>
      <c r="DA28" s="1680"/>
      <c r="DB28" s="1683"/>
      <c r="DC28" s="1678"/>
      <c r="DD28" s="1683"/>
      <c r="DE28" s="1683"/>
      <c r="DF28" s="1683"/>
      <c r="DG28" s="1683"/>
    </row>
    <row r="29" spans="1:142" ht="15.75" x14ac:dyDescent="0.3">
      <c r="A29" s="1678"/>
      <c r="B29" s="1680"/>
      <c r="C29" s="1680"/>
      <c r="D29" s="1680"/>
      <c r="E29" s="1680"/>
      <c r="F29" s="1680"/>
      <c r="G29" s="1680"/>
      <c r="H29" s="1680"/>
      <c r="I29" s="1680"/>
      <c r="J29" s="1680"/>
      <c r="K29" s="1680"/>
      <c r="L29" s="1680"/>
      <c r="M29" s="1680"/>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c r="AL29" s="1680"/>
      <c r="AM29" s="1680"/>
      <c r="AN29" s="1680"/>
      <c r="AO29" s="1680"/>
      <c r="AP29" s="1680"/>
      <c r="AQ29" s="1680"/>
      <c r="AR29" s="1680"/>
      <c r="AS29" s="1680"/>
      <c r="AT29" s="1680"/>
      <c r="AU29" s="1680"/>
      <c r="AV29" s="1680"/>
      <c r="AW29" s="1680"/>
      <c r="AX29" s="1680"/>
      <c r="AY29" s="1680"/>
      <c r="AZ29" s="1680"/>
      <c r="BA29" s="1680"/>
      <c r="BB29" s="1680"/>
      <c r="BC29" s="1680"/>
      <c r="BD29" s="1680"/>
      <c r="BE29" s="1680"/>
      <c r="BF29" s="1680"/>
      <c r="BG29" s="1680"/>
      <c r="BH29" s="1680"/>
      <c r="BI29" s="1680"/>
      <c r="BJ29" s="1680"/>
      <c r="BK29" s="1680"/>
      <c r="BL29" s="1680"/>
      <c r="BM29" s="1680"/>
      <c r="BN29" s="1680"/>
      <c r="BO29" s="1680"/>
      <c r="BP29" s="1680"/>
      <c r="BQ29" s="1680"/>
      <c r="BR29" s="1680"/>
      <c r="BS29" s="1680"/>
      <c r="BT29" s="1680"/>
      <c r="BU29" s="1680"/>
      <c r="BV29" s="1680"/>
      <c r="BW29" s="1680"/>
      <c r="BX29" s="1680"/>
      <c r="BY29" s="1680"/>
      <c r="BZ29" s="1680"/>
      <c r="CA29" s="1680"/>
      <c r="CB29" s="1680"/>
      <c r="CC29" s="1680"/>
      <c r="CD29" s="1680"/>
      <c r="CE29" s="1680"/>
      <c r="CF29" s="1680"/>
      <c r="CG29" s="1680"/>
      <c r="CH29" s="1680"/>
      <c r="CI29" s="1680"/>
      <c r="CJ29" s="1680"/>
      <c r="CK29" s="1680"/>
      <c r="CL29" s="1680"/>
      <c r="CM29" s="1680"/>
      <c r="CN29" s="1680"/>
      <c r="CO29" s="1680"/>
      <c r="CP29" s="1680"/>
      <c r="CQ29" s="1680"/>
      <c r="CR29" s="1680"/>
      <c r="CS29" s="1680"/>
      <c r="CT29" s="1680"/>
      <c r="CU29" s="1680"/>
      <c r="CV29" s="1680"/>
      <c r="CW29" s="1680"/>
      <c r="CX29" s="1680"/>
      <c r="CY29" s="1680"/>
      <c r="CZ29" s="1680"/>
      <c r="DA29" s="1680"/>
      <c r="DB29" s="1683"/>
      <c r="DC29" s="1678"/>
      <c r="DD29" s="1683"/>
      <c r="DE29" s="1683"/>
      <c r="DF29" s="1683"/>
      <c r="DG29" s="1683"/>
    </row>
    <row r="30" spans="1:142" ht="15.75" x14ac:dyDescent="0.3">
      <c r="DB30" s="1683"/>
      <c r="DC30" s="1683"/>
      <c r="DD30" s="1683"/>
      <c r="DE30" s="1683"/>
      <c r="DF30" s="1683"/>
      <c r="DG30" s="1683"/>
    </row>
    <row r="31" spans="1:142" ht="15.75" x14ac:dyDescent="0.3">
      <c r="DB31" s="1683"/>
      <c r="DC31" s="1683"/>
      <c r="DD31" s="1683"/>
      <c r="DE31" s="1683"/>
      <c r="DF31" s="1683"/>
      <c r="DG31" s="1683"/>
    </row>
    <row r="32" spans="1:142" ht="15.75" x14ac:dyDescent="0.3">
      <c r="DB32" s="1684"/>
      <c r="DC32" s="1684"/>
      <c r="DD32" s="1684"/>
      <c r="DE32" s="1684"/>
      <c r="DF32" s="1684"/>
      <c r="DG32" s="1684"/>
    </row>
    <row r="33" spans="106:111" ht="15.75" x14ac:dyDescent="0.3">
      <c r="DB33" s="1683"/>
      <c r="DC33" s="1683"/>
      <c r="DD33" s="1683"/>
      <c r="DE33" s="1683"/>
      <c r="DF33" s="1683"/>
      <c r="DG33" s="1683"/>
    </row>
    <row r="34" spans="106:111" ht="15.75" x14ac:dyDescent="0.3">
      <c r="DB34" s="1683"/>
      <c r="DC34" s="1683"/>
      <c r="DD34" s="1683"/>
      <c r="DE34" s="1683"/>
      <c r="DF34" s="1683"/>
      <c r="DG34" s="1683"/>
    </row>
    <row r="35" spans="106:111" ht="15.75" x14ac:dyDescent="0.3">
      <c r="DB35" s="1685"/>
      <c r="DC35" s="1685"/>
      <c r="DD35" s="1685"/>
      <c r="DE35" s="1685"/>
      <c r="DF35" s="1685"/>
      <c r="DG35" s="1685"/>
    </row>
    <row r="36" spans="106:111" x14ac:dyDescent="0.2">
      <c r="DB36" s="1680"/>
      <c r="DC36" s="1680"/>
      <c r="DD36" s="1680"/>
      <c r="DE36" s="1680"/>
      <c r="DF36" s="1680"/>
      <c r="DG36" s="1680"/>
    </row>
    <row r="37" spans="106:111" x14ac:dyDescent="0.2">
      <c r="DB37" s="1686"/>
      <c r="DC37" s="1686"/>
      <c r="DD37" s="1686"/>
      <c r="DE37" s="1686"/>
      <c r="DF37" s="1686"/>
      <c r="DG37" s="1686"/>
    </row>
    <row r="38" spans="106:111" x14ac:dyDescent="0.2">
      <c r="DB38" s="1686"/>
      <c r="DC38" s="1686"/>
      <c r="DD38" s="1686"/>
      <c r="DE38" s="1686"/>
      <c r="DF38" s="1686"/>
      <c r="DG38" s="1686"/>
    </row>
    <row r="39" spans="106:111" x14ac:dyDescent="0.2">
      <c r="DB39" s="1686"/>
      <c r="DC39" s="1686"/>
      <c r="DD39" s="1686"/>
      <c r="DE39" s="1686"/>
      <c r="DF39" s="1686"/>
      <c r="DG39" s="1686"/>
    </row>
    <row r="40" spans="106:111" x14ac:dyDescent="0.2">
      <c r="DB40" s="1686"/>
      <c r="DC40" s="1686"/>
      <c r="DD40" s="1686"/>
      <c r="DE40" s="1686"/>
      <c r="DF40" s="1686"/>
      <c r="DG40" s="1686"/>
    </row>
    <row r="41" spans="106:111" x14ac:dyDescent="0.2">
      <c r="DB41" s="1686"/>
      <c r="DC41" s="1686"/>
      <c r="DD41" s="1686"/>
      <c r="DE41" s="1686"/>
      <c r="DF41" s="1686"/>
      <c r="DG41" s="1686"/>
    </row>
    <row r="42" spans="106:111" x14ac:dyDescent="0.2">
      <c r="DB42" s="1686"/>
      <c r="DC42" s="1686"/>
      <c r="DD42" s="1686"/>
      <c r="DE42" s="1686"/>
      <c r="DF42" s="1686"/>
      <c r="DG42" s="1686"/>
    </row>
    <row r="43" spans="106:111" x14ac:dyDescent="0.2">
      <c r="DB43" s="1686"/>
      <c r="DC43" s="1686"/>
      <c r="DD43" s="1686"/>
      <c r="DE43" s="1686"/>
      <c r="DF43" s="1686"/>
      <c r="DG43" s="1686"/>
    </row>
    <row r="44" spans="106:111" x14ac:dyDescent="0.2">
      <c r="DB44" s="1686"/>
      <c r="DC44" s="1686"/>
      <c r="DD44" s="1686"/>
      <c r="DE44" s="1686"/>
      <c r="DF44" s="1686"/>
      <c r="DG44" s="1686"/>
    </row>
    <row r="45" spans="106:111" x14ac:dyDescent="0.2">
      <c r="DB45" s="1686"/>
      <c r="DC45" s="1686"/>
      <c r="DD45" s="1686"/>
      <c r="DE45" s="1686"/>
      <c r="DF45" s="1686"/>
      <c r="DG45" s="1686"/>
    </row>
    <row r="46" spans="106:111" x14ac:dyDescent="0.2">
      <c r="DB46" s="1687"/>
      <c r="DC46" s="1680"/>
      <c r="DD46" s="1680"/>
      <c r="DE46" s="1680"/>
      <c r="DF46" s="1680"/>
      <c r="DG46" s="1680"/>
    </row>
    <row r="47" spans="106:111" x14ac:dyDescent="0.2">
      <c r="DB47" s="1688"/>
    </row>
    <row r="48" spans="106:111" x14ac:dyDescent="0.2">
      <c r="DB48" s="1688"/>
    </row>
  </sheetData>
  <pageMargins left="0.7" right="0.7" top="0.75" bottom="0.75" header="0.3" footer="0.3"/>
  <pageSetup paperSize="9" scale="61"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EG30"/>
  <sheetViews>
    <sheetView zoomScale="90" zoomScaleNormal="90" zoomScaleSheetLayoutView="70" workbookViewId="0">
      <pane xSplit="18" ySplit="3" topLeftCell="AI4" activePane="bottomRight" state="frozen"/>
      <selection activeCell="A38" sqref="A38"/>
      <selection pane="topRight" activeCell="A38" sqref="A38"/>
      <selection pane="bottomLeft" activeCell="A38" sqref="A38"/>
      <selection pane="bottomRight" activeCell="A38" sqref="A38"/>
    </sheetView>
  </sheetViews>
  <sheetFormatPr defaultColWidth="9.140625" defaultRowHeight="16.5" x14ac:dyDescent="0.3"/>
  <cols>
    <col min="1" max="1" width="58" style="1692" customWidth="1"/>
    <col min="2" max="2" width="10.5703125" style="1692" hidden="1" customWidth="1"/>
    <col min="3" max="3" width="11.85546875" style="1692" hidden="1" customWidth="1"/>
    <col min="4" max="4" width="9.85546875" style="1692" hidden="1" customWidth="1"/>
    <col min="5" max="5" width="10.42578125" style="1692" hidden="1" customWidth="1"/>
    <col min="6" max="8" width="10.85546875" style="1692" hidden="1" customWidth="1"/>
    <col min="9" max="10" width="10.7109375" style="1692" hidden="1" customWidth="1"/>
    <col min="11" max="11" width="7.7109375" style="1692" hidden="1" customWidth="1"/>
    <col min="12" max="12" width="8" style="1692" hidden="1" customWidth="1"/>
    <col min="13" max="13" width="7.28515625" style="1692" hidden="1" customWidth="1"/>
    <col min="14" max="15" width="7.7109375" style="1692" hidden="1" customWidth="1"/>
    <col min="16" max="16" width="8" style="1692" hidden="1" customWidth="1"/>
    <col min="17" max="17" width="7.28515625" style="1692" hidden="1" customWidth="1"/>
    <col min="18" max="19" width="7.7109375" style="1692" hidden="1" customWidth="1"/>
    <col min="20" max="20" width="8" style="1692" hidden="1" customWidth="1"/>
    <col min="21" max="21" width="7.28515625" style="1692" hidden="1" customWidth="1"/>
    <col min="22" max="23" width="7.7109375" style="1692" hidden="1" customWidth="1"/>
    <col min="24" max="24" width="8" style="1692" hidden="1" customWidth="1"/>
    <col min="25" max="25" width="7.28515625" style="1692" hidden="1" customWidth="1"/>
    <col min="26" max="27" width="7.7109375" style="1692" hidden="1" customWidth="1"/>
    <col min="28" max="28" width="8" style="1692" hidden="1" customWidth="1"/>
    <col min="29" max="29" width="7.28515625" style="1692" hidden="1" customWidth="1"/>
    <col min="30" max="30" width="8.28515625" style="1692" hidden="1" customWidth="1"/>
    <col min="31" max="34" width="0" style="1692" hidden="1" customWidth="1"/>
    <col min="35" max="35" width="10.140625" style="1692" customWidth="1"/>
    <col min="36" max="37" width="9.5703125" style="1692" customWidth="1"/>
    <col min="38" max="38" width="10.42578125" style="1692" bestFit="1" customWidth="1"/>
    <col min="39" max="44" width="10.42578125" style="1692" customWidth="1"/>
    <col min="45" max="45" width="10.42578125" style="1692" bestFit="1" customWidth="1"/>
    <col min="46" max="52" width="10.42578125" style="1692" customWidth="1"/>
    <col min="53" max="53" width="10" style="1692" customWidth="1"/>
    <col min="54" max="16384" width="9.140625" style="1692"/>
  </cols>
  <sheetData>
    <row r="1" spans="1:53" s="624" customFormat="1" ht="18.75" x14ac:dyDescent="0.3">
      <c r="A1" s="1689" t="s">
        <v>1073</v>
      </c>
      <c r="B1" s="1689"/>
      <c r="C1" s="1689"/>
      <c r="D1" s="1689"/>
      <c r="E1" s="1689"/>
      <c r="F1" s="1689"/>
      <c r="G1" s="1689"/>
      <c r="H1" s="1689"/>
      <c r="I1" s="1689"/>
      <c r="J1" s="1689"/>
      <c r="K1" s="1689"/>
      <c r="L1" s="1689"/>
      <c r="M1" s="1689"/>
      <c r="N1" s="1689"/>
      <c r="O1" s="1689"/>
      <c r="P1" s="1689"/>
      <c r="Q1" s="1689"/>
      <c r="R1" s="1689"/>
      <c r="S1" s="1689"/>
      <c r="T1" s="1689"/>
      <c r="U1" s="1689"/>
    </row>
    <row r="2" spans="1:53" ht="17.25" thickBot="1" x14ac:dyDescent="0.35">
      <c r="A2" s="1690"/>
      <c r="B2" s="1691"/>
      <c r="C2" s="1691"/>
      <c r="E2" s="1693"/>
      <c r="F2" s="1693"/>
      <c r="G2" s="1693"/>
      <c r="H2" s="1693"/>
      <c r="Y2" s="1428"/>
      <c r="Z2" s="1428"/>
      <c r="AA2" s="1428"/>
      <c r="AB2" s="1428"/>
      <c r="AC2" s="1428"/>
      <c r="AD2" s="1428"/>
      <c r="AE2" s="1428"/>
      <c r="AF2" s="1428"/>
      <c r="AG2" s="1428"/>
      <c r="AH2" s="1428"/>
      <c r="AI2" s="1428"/>
      <c r="AJ2" s="1428"/>
      <c r="AK2" s="1428"/>
      <c r="AL2" s="1428"/>
      <c r="AM2" s="1428"/>
      <c r="AN2" s="1428"/>
      <c r="AO2" s="1428"/>
      <c r="AP2" s="1428"/>
      <c r="AQ2" s="1428"/>
      <c r="AR2" s="1428"/>
      <c r="AS2" s="1428"/>
      <c r="AT2" s="1428"/>
      <c r="AU2" s="1428"/>
      <c r="AV2" s="1428"/>
      <c r="AW2" s="1428"/>
      <c r="AX2" s="1428"/>
      <c r="AY2" s="1428"/>
      <c r="AZ2" s="1694"/>
      <c r="BA2" s="1694" t="s">
        <v>281</v>
      </c>
    </row>
    <row r="3" spans="1:53" s="1699" customFormat="1" ht="21.75" customHeight="1" thickTop="1" thickBot="1" x14ac:dyDescent="0.35">
      <c r="A3" s="1695"/>
      <c r="B3" s="1696">
        <v>40451</v>
      </c>
      <c r="C3" s="1697">
        <v>40543</v>
      </c>
      <c r="D3" s="1697">
        <v>40633</v>
      </c>
      <c r="E3" s="1697">
        <v>40724</v>
      </c>
      <c r="F3" s="1697">
        <v>40816</v>
      </c>
      <c r="G3" s="1697">
        <v>40907</v>
      </c>
      <c r="H3" s="1697">
        <v>40969</v>
      </c>
      <c r="I3" s="1697">
        <v>41061</v>
      </c>
      <c r="J3" s="1697">
        <v>41153</v>
      </c>
      <c r="K3" s="1697">
        <v>41244</v>
      </c>
      <c r="L3" s="1697">
        <v>41334</v>
      </c>
      <c r="M3" s="1697">
        <v>41426</v>
      </c>
      <c r="N3" s="1697">
        <v>41518</v>
      </c>
      <c r="O3" s="1697">
        <v>41609</v>
      </c>
      <c r="P3" s="1697">
        <v>41699</v>
      </c>
      <c r="Q3" s="1697">
        <v>41791</v>
      </c>
      <c r="R3" s="1697">
        <v>41883</v>
      </c>
      <c r="S3" s="1697">
        <v>41974</v>
      </c>
      <c r="T3" s="1697">
        <v>42064</v>
      </c>
      <c r="U3" s="1697">
        <v>42156</v>
      </c>
      <c r="V3" s="1697">
        <v>42248</v>
      </c>
      <c r="W3" s="1697">
        <v>42339</v>
      </c>
      <c r="X3" s="1697">
        <v>42430</v>
      </c>
      <c r="Y3" s="1697">
        <v>42522</v>
      </c>
      <c r="Z3" s="1697">
        <v>42614</v>
      </c>
      <c r="AA3" s="1697">
        <v>42705</v>
      </c>
      <c r="AB3" s="1697">
        <v>42795</v>
      </c>
      <c r="AC3" s="1697">
        <v>42887</v>
      </c>
      <c r="AD3" s="1697">
        <v>42979</v>
      </c>
      <c r="AE3" s="1697">
        <v>43070</v>
      </c>
      <c r="AF3" s="1697">
        <v>43160</v>
      </c>
      <c r="AG3" s="1697">
        <v>43252</v>
      </c>
      <c r="AH3" s="1697">
        <v>43344</v>
      </c>
      <c r="AI3" s="1697">
        <v>43435</v>
      </c>
      <c r="AJ3" s="1697">
        <v>43525</v>
      </c>
      <c r="AK3" s="1697">
        <v>43617</v>
      </c>
      <c r="AL3" s="1697">
        <v>43709</v>
      </c>
      <c r="AM3" s="1697">
        <v>43800</v>
      </c>
      <c r="AN3" s="1697">
        <v>43891</v>
      </c>
      <c r="AO3" s="1697">
        <v>43983</v>
      </c>
      <c r="AP3" s="1697">
        <v>44075</v>
      </c>
      <c r="AQ3" s="1697">
        <v>44166</v>
      </c>
      <c r="AR3" s="1697">
        <v>44256</v>
      </c>
      <c r="AS3" s="1697">
        <v>44348</v>
      </c>
      <c r="AT3" s="1697">
        <v>44440</v>
      </c>
      <c r="AU3" s="1698" t="s">
        <v>487</v>
      </c>
      <c r="AV3" s="1698" t="s">
        <v>1074</v>
      </c>
      <c r="AW3" s="1698" t="s">
        <v>1075</v>
      </c>
      <c r="AX3" s="1698" t="s">
        <v>496</v>
      </c>
      <c r="AY3" s="1698" t="s">
        <v>499</v>
      </c>
      <c r="AZ3" s="1698" t="s">
        <v>502</v>
      </c>
      <c r="BA3" s="1698">
        <v>45078</v>
      </c>
    </row>
    <row r="4" spans="1:53" s="1699" customFormat="1" ht="21.75" customHeight="1" thickTop="1" x14ac:dyDescent="0.3">
      <c r="A4" s="1700" t="s">
        <v>1076</v>
      </c>
      <c r="B4" s="1701">
        <v>472.36257554000002</v>
      </c>
      <c r="C4" s="1702">
        <v>510</v>
      </c>
      <c r="D4" s="1702">
        <v>491</v>
      </c>
      <c r="E4" s="1702">
        <v>498</v>
      </c>
      <c r="F4" s="1702">
        <v>497</v>
      </c>
      <c r="G4" s="1702">
        <v>476</v>
      </c>
      <c r="H4" s="1702">
        <v>491</v>
      </c>
      <c r="I4" s="1702">
        <v>422</v>
      </c>
      <c r="J4" s="1702">
        <v>408.45183361999989</v>
      </c>
      <c r="K4" s="1702">
        <v>408</v>
      </c>
      <c r="L4" s="1702">
        <v>415</v>
      </c>
      <c r="M4" s="1702">
        <v>400</v>
      </c>
      <c r="N4" s="1702">
        <v>408</v>
      </c>
      <c r="O4" s="1702">
        <v>399</v>
      </c>
      <c r="P4" s="1702">
        <v>405</v>
      </c>
      <c r="Q4" s="1702">
        <v>412</v>
      </c>
      <c r="R4" s="1702">
        <v>400</v>
      </c>
      <c r="S4" s="1702">
        <v>398</v>
      </c>
      <c r="T4" s="1702">
        <v>414</v>
      </c>
      <c r="U4" s="1702">
        <v>406</v>
      </c>
      <c r="V4" s="1702">
        <v>401.86626766947501</v>
      </c>
      <c r="W4" s="1702">
        <v>395.52858592927186</v>
      </c>
      <c r="X4" s="1702">
        <v>418</v>
      </c>
      <c r="Y4" s="1702">
        <v>433</v>
      </c>
      <c r="Z4" s="1702">
        <v>434</v>
      </c>
      <c r="AA4" s="1702">
        <v>444</v>
      </c>
      <c r="AB4" s="1702">
        <v>462</v>
      </c>
      <c r="AC4" s="1702">
        <v>480</v>
      </c>
      <c r="AD4" s="1702">
        <v>529</v>
      </c>
      <c r="AE4" s="1702">
        <v>480</v>
      </c>
      <c r="AF4" s="1702">
        <v>483</v>
      </c>
      <c r="AG4" s="1702">
        <v>505</v>
      </c>
      <c r="AH4" s="1702">
        <v>509.74441149</v>
      </c>
      <c r="AI4" s="1702">
        <v>596.64842377999992</v>
      </c>
      <c r="AJ4" s="1702">
        <v>697.02543480999998</v>
      </c>
      <c r="AK4" s="1702">
        <v>965.54258916999993</v>
      </c>
      <c r="AL4" s="1702">
        <v>587.64968397000007</v>
      </c>
      <c r="AM4" s="1702">
        <v>676.22714891999999</v>
      </c>
      <c r="AN4" s="1702">
        <v>315.88571576999999</v>
      </c>
      <c r="AO4" s="1702">
        <v>366.47707080000004</v>
      </c>
      <c r="AP4" s="1702">
        <v>165.87705930999999</v>
      </c>
      <c r="AQ4" s="1702">
        <v>226.10274924999999</v>
      </c>
      <c r="AR4" s="1702">
        <v>289.08222619999998</v>
      </c>
      <c r="AS4" s="1702">
        <v>350.64344282000002</v>
      </c>
      <c r="AT4" s="1702">
        <v>166.80889119999998</v>
      </c>
      <c r="AU4" s="1702">
        <v>167.24659002999999</v>
      </c>
      <c r="AV4" s="1702">
        <v>165.72353547</v>
      </c>
      <c r="AW4" s="1702">
        <v>172.56743154000003</v>
      </c>
      <c r="AX4" s="1702">
        <v>174.08661916999998</v>
      </c>
      <c r="AY4" s="1702">
        <v>192.31115371999999</v>
      </c>
      <c r="AZ4" s="1702">
        <v>193.42846100999998</v>
      </c>
      <c r="BA4" s="1702">
        <v>216.91941724</v>
      </c>
    </row>
    <row r="5" spans="1:53" s="1699" customFormat="1" ht="21.75" customHeight="1" x14ac:dyDescent="0.3">
      <c r="A5" s="1700" t="s">
        <v>1077</v>
      </c>
      <c r="B5" s="1701">
        <v>335.91336057999996</v>
      </c>
      <c r="C5" s="1702">
        <v>357</v>
      </c>
      <c r="D5" s="1702">
        <v>319</v>
      </c>
      <c r="E5" s="1702">
        <v>321</v>
      </c>
      <c r="F5" s="1702">
        <v>324</v>
      </c>
      <c r="G5" s="1702">
        <v>304</v>
      </c>
      <c r="H5" s="1702">
        <v>304</v>
      </c>
      <c r="I5" s="1702">
        <v>241</v>
      </c>
      <c r="J5" s="1702">
        <v>235.49498532999999</v>
      </c>
      <c r="K5" s="1702">
        <v>234</v>
      </c>
      <c r="L5" s="1702">
        <v>228</v>
      </c>
      <c r="M5" s="1702">
        <v>235</v>
      </c>
      <c r="N5" s="1702">
        <v>231</v>
      </c>
      <c r="O5" s="1702">
        <v>229</v>
      </c>
      <c r="P5" s="1702">
        <v>223</v>
      </c>
      <c r="Q5" s="1702">
        <v>224</v>
      </c>
      <c r="R5" s="1702">
        <v>224</v>
      </c>
      <c r="S5" s="1702">
        <v>219</v>
      </c>
      <c r="T5" s="1702">
        <v>241</v>
      </c>
      <c r="U5" s="1702">
        <v>231</v>
      </c>
      <c r="V5" s="1702">
        <v>224.83341470972292</v>
      </c>
      <c r="W5" s="1702">
        <v>229.86400646224232</v>
      </c>
      <c r="X5" s="1702">
        <v>229</v>
      </c>
      <c r="Y5" s="1702">
        <v>229</v>
      </c>
      <c r="Z5" s="1702">
        <v>235</v>
      </c>
      <c r="AA5" s="1702">
        <v>235</v>
      </c>
      <c r="AB5" s="1702">
        <v>233</v>
      </c>
      <c r="AC5" s="1702">
        <v>232</v>
      </c>
      <c r="AD5" s="1702">
        <v>235</v>
      </c>
      <c r="AE5" s="1702">
        <v>233</v>
      </c>
      <c r="AF5" s="1702">
        <v>225</v>
      </c>
      <c r="AG5" s="1702">
        <v>222</v>
      </c>
      <c r="AH5" s="1702">
        <v>216.54254553999999</v>
      </c>
      <c r="AI5" s="1702">
        <v>260.03473246000004</v>
      </c>
      <c r="AJ5" s="1702">
        <v>308.30074027999996</v>
      </c>
      <c r="AK5" s="1702">
        <v>360.08495305000002</v>
      </c>
      <c r="AL5" s="1702">
        <v>226.18893376</v>
      </c>
      <c r="AM5" s="1702">
        <v>277.37223548000003</v>
      </c>
      <c r="AN5" s="1702">
        <v>205.51292752000001</v>
      </c>
      <c r="AO5" s="1702">
        <v>242.80348332</v>
      </c>
      <c r="AP5" s="1702">
        <v>100.19423251000001</v>
      </c>
      <c r="AQ5" s="1702">
        <v>133.92486477</v>
      </c>
      <c r="AR5" s="1702">
        <v>159.99429061000001</v>
      </c>
      <c r="AS5" s="1702">
        <v>193.63288853999998</v>
      </c>
      <c r="AT5" s="1702">
        <v>83.927365409999993</v>
      </c>
      <c r="AU5" s="1702">
        <v>82.326566759999992</v>
      </c>
      <c r="AV5" s="1702">
        <v>79.659873439999998</v>
      </c>
      <c r="AW5" s="1702">
        <v>81.025246280000005</v>
      </c>
      <c r="AX5" s="1702">
        <v>79.137664139999998</v>
      </c>
      <c r="AY5" s="1702">
        <v>84.387708779999997</v>
      </c>
      <c r="AZ5" s="1702">
        <v>88.493529620000004</v>
      </c>
      <c r="BA5" s="1702">
        <v>107.84509537000001</v>
      </c>
    </row>
    <row r="6" spans="1:53" s="1699" customFormat="1" ht="21.75" customHeight="1" x14ac:dyDescent="0.3">
      <c r="A6" s="1703" t="s">
        <v>1078</v>
      </c>
      <c r="B6" s="1704">
        <v>136.44921496000006</v>
      </c>
      <c r="C6" s="1705">
        <v>153</v>
      </c>
      <c r="D6" s="1705">
        <f>D4-D5</f>
        <v>172</v>
      </c>
      <c r="E6" s="1705">
        <f>E4-E5</f>
        <v>177</v>
      </c>
      <c r="F6" s="1705">
        <f>F4-F5</f>
        <v>173</v>
      </c>
      <c r="G6" s="1705">
        <v>172</v>
      </c>
      <c r="H6" s="1705">
        <f>H4-H5</f>
        <v>187</v>
      </c>
      <c r="I6" s="1705">
        <f>I4-I5</f>
        <v>181</v>
      </c>
      <c r="J6" s="1705">
        <f t="shared" ref="J6:O6" si="0">J4-J5</f>
        <v>172.9568482899999</v>
      </c>
      <c r="K6" s="1705">
        <v>174</v>
      </c>
      <c r="L6" s="1705">
        <f t="shared" si="0"/>
        <v>187</v>
      </c>
      <c r="M6" s="1705">
        <f t="shared" si="0"/>
        <v>165</v>
      </c>
      <c r="N6" s="1705">
        <f t="shared" si="0"/>
        <v>177</v>
      </c>
      <c r="O6" s="1705">
        <f t="shared" si="0"/>
        <v>170</v>
      </c>
      <c r="P6" s="1705">
        <v>182</v>
      </c>
      <c r="Q6" s="1705">
        <v>188</v>
      </c>
      <c r="R6" s="1705">
        <f>R4-R5</f>
        <v>176</v>
      </c>
      <c r="S6" s="1705">
        <f>S4-S5</f>
        <v>179</v>
      </c>
      <c r="T6" s="1705">
        <v>173</v>
      </c>
      <c r="U6" s="1705">
        <f>U4-U5</f>
        <v>175</v>
      </c>
      <c r="V6" s="1705">
        <v>177.03285295975209</v>
      </c>
      <c r="W6" s="1705">
        <v>165.66457946702954</v>
      </c>
      <c r="X6" s="1705">
        <v>189</v>
      </c>
      <c r="Y6" s="1705">
        <v>204</v>
      </c>
      <c r="Z6" s="1705">
        <v>199</v>
      </c>
      <c r="AA6" s="1705">
        <v>209</v>
      </c>
      <c r="AB6" s="1705">
        <v>229</v>
      </c>
      <c r="AC6" s="1705">
        <v>248</v>
      </c>
      <c r="AD6" s="1705">
        <v>294</v>
      </c>
      <c r="AE6" s="1705">
        <v>247</v>
      </c>
      <c r="AF6" s="1705">
        <v>258</v>
      </c>
      <c r="AG6" s="1705">
        <v>283</v>
      </c>
      <c r="AH6" s="1705">
        <v>293.20186595000001</v>
      </c>
      <c r="AI6" s="1705">
        <v>336.61369131999999</v>
      </c>
      <c r="AJ6" s="1705">
        <v>388.72469452999997</v>
      </c>
      <c r="AK6" s="1705">
        <v>605.45763611999996</v>
      </c>
      <c r="AL6" s="1705">
        <f>AL4-AL5</f>
        <v>361.46075021000007</v>
      </c>
      <c r="AM6" s="1705">
        <v>398.85491343999996</v>
      </c>
      <c r="AN6" s="1705">
        <v>110.37278824999999</v>
      </c>
      <c r="AO6" s="1705">
        <v>123.67358748000004</v>
      </c>
      <c r="AP6" s="1705">
        <v>65.682826799999987</v>
      </c>
      <c r="AQ6" s="1705">
        <v>92.177884479999989</v>
      </c>
      <c r="AR6" s="1705">
        <v>129.08793558999997</v>
      </c>
      <c r="AS6" s="1705">
        <v>157.01055428000004</v>
      </c>
      <c r="AT6" s="1705">
        <v>82.881525789999984</v>
      </c>
      <c r="AU6" s="1705">
        <v>84.920023270000002</v>
      </c>
      <c r="AV6" s="1705">
        <v>86.063662030000003</v>
      </c>
      <c r="AW6" s="1705">
        <v>91.542185259999997</v>
      </c>
      <c r="AX6" s="1705">
        <v>94.948955029999979</v>
      </c>
      <c r="AY6" s="1705">
        <v>107.92344494</v>
      </c>
      <c r="AZ6" s="1705">
        <v>104.93493138999997</v>
      </c>
      <c r="BA6" s="1705">
        <v>109.07432186999999</v>
      </c>
    </row>
    <row r="7" spans="1:53" s="1699" customFormat="1" ht="21.75" customHeight="1" x14ac:dyDescent="0.3">
      <c r="A7" s="1700"/>
      <c r="B7" s="1701"/>
      <c r="C7" s="1702"/>
      <c r="D7" s="1702"/>
      <c r="E7" s="1702"/>
      <c r="F7" s="1702"/>
      <c r="G7" s="1702"/>
      <c r="H7" s="1702"/>
      <c r="I7" s="1702"/>
      <c r="J7" s="1702"/>
      <c r="K7" s="1702"/>
      <c r="L7" s="1702"/>
      <c r="M7" s="1702"/>
      <c r="N7" s="1702"/>
      <c r="O7" s="1702"/>
      <c r="P7" s="1702"/>
      <c r="Q7" s="1702"/>
      <c r="R7" s="1702"/>
      <c r="S7" s="1702"/>
      <c r="T7" s="1702"/>
      <c r="U7" s="1702"/>
      <c r="V7" s="1702"/>
      <c r="W7" s="1702"/>
      <c r="X7" s="1702"/>
      <c r="Y7" s="1702"/>
      <c r="Z7" s="1702"/>
      <c r="AA7" s="1702"/>
      <c r="AB7" s="1702"/>
      <c r="AC7" s="1702"/>
      <c r="AD7" s="1702"/>
      <c r="AE7" s="1702"/>
      <c r="AF7" s="1702"/>
      <c r="AG7" s="1702"/>
      <c r="AH7" s="1702"/>
      <c r="AI7" s="1702"/>
      <c r="AJ7" s="1702"/>
      <c r="AK7" s="1702"/>
      <c r="AL7" s="1702"/>
      <c r="AM7" s="1702"/>
      <c r="AN7" s="1702"/>
      <c r="AO7" s="1702"/>
      <c r="AP7" s="1702"/>
      <c r="AQ7" s="1702"/>
      <c r="AR7" s="1702"/>
      <c r="AS7" s="1702"/>
      <c r="AT7" s="1702"/>
      <c r="AU7" s="1702"/>
      <c r="AV7" s="1702"/>
      <c r="AW7" s="1702"/>
      <c r="AX7" s="1702"/>
      <c r="AY7" s="1702"/>
      <c r="AZ7" s="1702"/>
      <c r="BA7" s="1702"/>
    </row>
    <row r="8" spans="1:53" s="1699" customFormat="1" ht="21.75" customHeight="1" x14ac:dyDescent="0.3">
      <c r="A8" s="1703" t="s">
        <v>1079</v>
      </c>
      <c r="B8" s="1704">
        <v>184.51846550000002</v>
      </c>
      <c r="C8" s="1705">
        <v>202</v>
      </c>
      <c r="D8" s="1705">
        <f>D9+D10</f>
        <v>168.01905119000003</v>
      </c>
      <c r="E8" s="1705">
        <f>E9+E10</f>
        <v>175</v>
      </c>
      <c r="F8" s="1705">
        <f>F9+F10</f>
        <v>185</v>
      </c>
      <c r="G8" s="1705">
        <v>184</v>
      </c>
      <c r="H8" s="1705">
        <f>H9+H10</f>
        <v>189</v>
      </c>
      <c r="I8" s="1705">
        <f>I9+I10</f>
        <v>167</v>
      </c>
      <c r="J8" s="1705">
        <v>177.96196124999997</v>
      </c>
      <c r="K8" s="1705">
        <v>185</v>
      </c>
      <c r="L8" s="1705">
        <f>L9+L10</f>
        <v>182</v>
      </c>
      <c r="M8" s="1705">
        <f>M9+M10</f>
        <v>198</v>
      </c>
      <c r="N8" s="1705">
        <f>N9+N10</f>
        <v>193</v>
      </c>
      <c r="O8" s="1705">
        <f t="shared" ref="O8:S8" si="1">O9+O10</f>
        <v>202</v>
      </c>
      <c r="P8" s="1705">
        <v>191</v>
      </c>
      <c r="Q8" s="1705">
        <v>194</v>
      </c>
      <c r="R8" s="1705">
        <f t="shared" si="1"/>
        <v>197</v>
      </c>
      <c r="S8" s="1705">
        <f t="shared" si="1"/>
        <v>214</v>
      </c>
      <c r="T8" s="1705">
        <v>197</v>
      </c>
      <c r="U8" s="1705">
        <f t="shared" ref="U8" si="2">U9+U10</f>
        <v>210</v>
      </c>
      <c r="V8" s="1705">
        <v>222.59457931750001</v>
      </c>
      <c r="W8" s="1705">
        <v>229.45092545999995</v>
      </c>
      <c r="X8" s="1705">
        <v>234</v>
      </c>
      <c r="Y8" s="1705">
        <v>247</v>
      </c>
      <c r="Z8" s="1705">
        <v>237</v>
      </c>
      <c r="AA8" s="1705">
        <v>262</v>
      </c>
      <c r="AB8" s="1705">
        <v>242</v>
      </c>
      <c r="AC8" s="1705">
        <v>263</v>
      </c>
      <c r="AD8" s="1705">
        <v>194</v>
      </c>
      <c r="AE8" s="1705">
        <v>238</v>
      </c>
      <c r="AF8" s="1705">
        <v>258</v>
      </c>
      <c r="AG8" s="1705">
        <v>219</v>
      </c>
      <c r="AH8" s="1705">
        <f t="shared" ref="AH8:AL8" si="3">AH9+AH10</f>
        <v>210.96831672000002</v>
      </c>
      <c r="AI8" s="1705">
        <f t="shared" si="3"/>
        <v>271.08882468000002</v>
      </c>
      <c r="AJ8" s="1705">
        <f t="shared" si="3"/>
        <v>322.99070518000002</v>
      </c>
      <c r="AK8" s="1705">
        <f t="shared" si="3"/>
        <v>188.48268381999998</v>
      </c>
      <c r="AL8" s="1705">
        <f t="shared" si="3"/>
        <v>227.95095777</v>
      </c>
      <c r="AM8" s="1705">
        <v>289.31414397999998</v>
      </c>
      <c r="AN8" s="1705">
        <v>232.92367715</v>
      </c>
      <c r="AO8" s="1705">
        <v>291.93065766000001</v>
      </c>
      <c r="AP8" s="1705">
        <v>123.65602158</v>
      </c>
      <c r="AQ8" s="1705">
        <v>174.04292397999998</v>
      </c>
      <c r="AR8" s="1705">
        <v>230.20917188999999</v>
      </c>
      <c r="AS8" s="1705">
        <v>287.40490003000002</v>
      </c>
      <c r="AT8" s="1705">
        <v>121.13334047000001</v>
      </c>
      <c r="AU8" s="1705">
        <v>123.12628581</v>
      </c>
      <c r="AV8" s="1705">
        <v>110.27773814000001</v>
      </c>
      <c r="AW8" s="1705">
        <v>118.73121218000001</v>
      </c>
      <c r="AX8" s="1705">
        <v>114.42571809</v>
      </c>
      <c r="AY8" s="1705">
        <v>125.75335128999998</v>
      </c>
      <c r="AZ8" s="1705">
        <v>130.53628019999999</v>
      </c>
      <c r="BA8" s="1705">
        <v>141.79948759999999</v>
      </c>
    </row>
    <row r="9" spans="1:53" s="1699" customFormat="1" ht="21.75" customHeight="1" x14ac:dyDescent="0.3">
      <c r="A9" s="1700" t="s">
        <v>1080</v>
      </c>
      <c r="B9" s="1701">
        <v>55.894596980000038</v>
      </c>
      <c r="C9" s="1702">
        <v>65</v>
      </c>
      <c r="D9" s="1702">
        <v>58.019051190000013</v>
      </c>
      <c r="E9" s="1702">
        <v>65</v>
      </c>
      <c r="F9" s="1702">
        <v>67</v>
      </c>
      <c r="G9" s="1702">
        <v>67</v>
      </c>
      <c r="H9" s="1702">
        <v>66</v>
      </c>
      <c r="I9" s="1702">
        <v>67</v>
      </c>
      <c r="J9" s="1702">
        <v>70.554284209999977</v>
      </c>
      <c r="K9" s="1702">
        <v>72</v>
      </c>
      <c r="L9" s="1702">
        <v>70</v>
      </c>
      <c r="M9" s="1702">
        <v>78</v>
      </c>
      <c r="N9" s="1702">
        <v>79</v>
      </c>
      <c r="O9" s="1702">
        <v>79</v>
      </c>
      <c r="P9" s="1702">
        <v>73</v>
      </c>
      <c r="Q9" s="1702">
        <v>81</v>
      </c>
      <c r="R9" s="1702">
        <v>81</v>
      </c>
      <c r="S9" s="1702">
        <v>97</v>
      </c>
      <c r="T9" s="1702">
        <v>83</v>
      </c>
      <c r="U9" s="1702">
        <v>91</v>
      </c>
      <c r="V9" s="1702">
        <v>89.594579317500006</v>
      </c>
      <c r="W9" s="1702">
        <v>110.45092545999997</v>
      </c>
      <c r="X9" s="1702">
        <v>115</v>
      </c>
      <c r="Y9" s="1702">
        <v>118</v>
      </c>
      <c r="Z9" s="1702">
        <v>106</v>
      </c>
      <c r="AA9" s="1702">
        <v>112</v>
      </c>
      <c r="AB9" s="1702">
        <v>112</v>
      </c>
      <c r="AC9" s="1702">
        <v>109</v>
      </c>
      <c r="AD9" s="1702">
        <v>97</v>
      </c>
      <c r="AE9" s="1702">
        <v>104</v>
      </c>
      <c r="AF9" s="1702">
        <v>98</v>
      </c>
      <c r="AG9" s="1702">
        <v>99</v>
      </c>
      <c r="AH9" s="1702">
        <v>92.566607439999999</v>
      </c>
      <c r="AI9" s="1702">
        <v>102.39047675</v>
      </c>
      <c r="AJ9" s="1702">
        <v>99.877142500000005</v>
      </c>
      <c r="AK9" s="1702">
        <v>101.8499003</v>
      </c>
      <c r="AL9" s="1702">
        <v>153.47649256</v>
      </c>
      <c r="AM9" s="1702">
        <v>211.66970603999999</v>
      </c>
      <c r="AN9" s="1702">
        <v>164.58963600000001</v>
      </c>
      <c r="AO9" s="1702">
        <v>214.57063902000002</v>
      </c>
      <c r="AP9" s="1702">
        <v>62.378458299999998</v>
      </c>
      <c r="AQ9" s="1702">
        <v>109.51042548999999</v>
      </c>
      <c r="AR9" s="1702">
        <v>161.05729466</v>
      </c>
      <c r="AS9" s="1702">
        <v>201.76117211000002</v>
      </c>
      <c r="AT9" s="1702">
        <v>63.190762599999999</v>
      </c>
      <c r="AU9" s="1702">
        <v>66.933428760000012</v>
      </c>
      <c r="AV9" s="1702">
        <v>66.013472550000003</v>
      </c>
      <c r="AW9" s="1702">
        <v>67.191992970000001</v>
      </c>
      <c r="AX9" s="1702">
        <v>69.474128579999999</v>
      </c>
      <c r="AY9" s="1702">
        <v>73.188621879999999</v>
      </c>
      <c r="AZ9" s="1702">
        <v>77.224379749999997</v>
      </c>
      <c r="BA9" s="1702">
        <v>88.635178719999999</v>
      </c>
    </row>
    <row r="10" spans="1:53" s="1699" customFormat="1" ht="21.75" customHeight="1" x14ac:dyDescent="0.3">
      <c r="A10" s="1700" t="s">
        <v>1081</v>
      </c>
      <c r="B10" s="1701">
        <v>128.62386851999997</v>
      </c>
      <c r="C10" s="1702">
        <v>137</v>
      </c>
      <c r="D10" s="1702">
        <v>110</v>
      </c>
      <c r="E10" s="1702">
        <v>110</v>
      </c>
      <c r="F10" s="1702">
        <v>118</v>
      </c>
      <c r="G10" s="1702">
        <v>117</v>
      </c>
      <c r="H10" s="1702">
        <v>123</v>
      </c>
      <c r="I10" s="1702">
        <v>100</v>
      </c>
      <c r="J10" s="1702">
        <v>107.40767704</v>
      </c>
      <c r="K10" s="1702">
        <v>113</v>
      </c>
      <c r="L10" s="1702">
        <v>112</v>
      </c>
      <c r="M10" s="1702">
        <v>120</v>
      </c>
      <c r="N10" s="1702">
        <v>114</v>
      </c>
      <c r="O10" s="1702">
        <v>123</v>
      </c>
      <c r="P10" s="1702">
        <v>118</v>
      </c>
      <c r="Q10" s="1702">
        <v>113</v>
      </c>
      <c r="R10" s="1702">
        <v>116</v>
      </c>
      <c r="S10" s="1702">
        <v>117</v>
      </c>
      <c r="T10" s="1702">
        <v>114</v>
      </c>
      <c r="U10" s="1702">
        <v>119</v>
      </c>
      <c r="V10" s="1702">
        <v>133</v>
      </c>
      <c r="W10" s="1702">
        <v>119</v>
      </c>
      <c r="X10" s="1702">
        <v>119</v>
      </c>
      <c r="Y10" s="1702">
        <v>129</v>
      </c>
      <c r="Z10" s="1702">
        <v>131</v>
      </c>
      <c r="AA10" s="1702">
        <v>150</v>
      </c>
      <c r="AB10" s="1702">
        <v>130</v>
      </c>
      <c r="AC10" s="1702">
        <v>154</v>
      </c>
      <c r="AD10" s="1702">
        <v>97</v>
      </c>
      <c r="AE10" s="1702">
        <v>134</v>
      </c>
      <c r="AF10" s="1702">
        <v>160</v>
      </c>
      <c r="AG10" s="1702">
        <v>120</v>
      </c>
      <c r="AH10" s="1702">
        <v>118.40170928000001</v>
      </c>
      <c r="AI10" s="1702">
        <v>168.69834793000001</v>
      </c>
      <c r="AJ10" s="1702">
        <v>223.11356268</v>
      </c>
      <c r="AK10" s="1702">
        <v>86.63278351999999</v>
      </c>
      <c r="AL10" s="1702">
        <v>74.474465209999991</v>
      </c>
      <c r="AM10" s="1702">
        <v>77.644437940000003</v>
      </c>
      <c r="AN10" s="1702">
        <v>68.334041150000004</v>
      </c>
      <c r="AO10" s="1702">
        <v>77.360018639999993</v>
      </c>
      <c r="AP10" s="1702">
        <v>61.277563280000003</v>
      </c>
      <c r="AQ10" s="1702">
        <v>64.532498489999995</v>
      </c>
      <c r="AR10" s="1702">
        <v>69.151877229999997</v>
      </c>
      <c r="AS10" s="1702">
        <v>85.643727920000003</v>
      </c>
      <c r="AT10" s="1702">
        <v>57.942577870000001</v>
      </c>
      <c r="AU10" s="1702">
        <v>56.181457049999992</v>
      </c>
      <c r="AV10" s="1702">
        <v>44.264265589999994</v>
      </c>
      <c r="AW10" s="1702">
        <v>49.105489210000002</v>
      </c>
      <c r="AX10" s="1702">
        <v>44.951589509999998</v>
      </c>
      <c r="AY10" s="1702">
        <v>52.564729409999991</v>
      </c>
      <c r="AZ10" s="1702">
        <v>53.311900450000003</v>
      </c>
      <c r="BA10" s="1702">
        <v>53.16430888</v>
      </c>
    </row>
    <row r="11" spans="1:53" s="1699" customFormat="1" ht="21.75" customHeight="1" x14ac:dyDescent="0.3">
      <c r="A11" s="1700"/>
      <c r="B11" s="1701"/>
      <c r="C11" s="1702"/>
      <c r="D11" s="1702"/>
      <c r="E11" s="1702"/>
      <c r="F11" s="1702"/>
      <c r="G11" s="1702"/>
      <c r="H11" s="1702"/>
      <c r="I11" s="1702"/>
      <c r="J11" s="1702"/>
      <c r="K11" s="1702"/>
      <c r="L11" s="1702"/>
      <c r="M11" s="1702"/>
      <c r="N11" s="1702"/>
      <c r="O11" s="1702"/>
      <c r="P11" s="1702"/>
      <c r="Q11" s="1702"/>
      <c r="R11" s="1702"/>
      <c r="S11" s="1702"/>
      <c r="T11" s="1702"/>
      <c r="U11" s="1702"/>
      <c r="V11" s="1702"/>
      <c r="W11" s="1702"/>
      <c r="X11" s="1702"/>
      <c r="Y11" s="1702"/>
      <c r="Z11" s="1702"/>
      <c r="AA11" s="1702"/>
      <c r="AB11" s="1702"/>
      <c r="AC11" s="1702"/>
      <c r="AD11" s="1702"/>
      <c r="AE11" s="1702"/>
      <c r="AF11" s="1702"/>
      <c r="AG11" s="1702"/>
      <c r="AH11" s="1702"/>
      <c r="AI11" s="1702"/>
      <c r="AJ11" s="1702"/>
      <c r="AK11" s="1702"/>
      <c r="AL11" s="1702"/>
      <c r="AM11" s="1702"/>
      <c r="AN11" s="1702"/>
      <c r="AO11" s="1702"/>
      <c r="AP11" s="1702"/>
      <c r="AQ11" s="1702"/>
      <c r="AR11" s="1702"/>
      <c r="AS11" s="1702"/>
      <c r="AT11" s="1702"/>
      <c r="AU11" s="1702"/>
      <c r="AV11" s="1702"/>
      <c r="AW11" s="1702"/>
      <c r="AX11" s="1702"/>
      <c r="AY11" s="1702"/>
      <c r="AZ11" s="1702"/>
      <c r="BA11" s="1702"/>
    </row>
    <row r="12" spans="1:53" s="1699" customFormat="1" ht="21.75" customHeight="1" x14ac:dyDescent="0.3">
      <c r="A12" s="1703" t="s">
        <v>1082</v>
      </c>
      <c r="B12" s="1704">
        <v>320.96768046000011</v>
      </c>
      <c r="C12" s="1705">
        <v>355</v>
      </c>
      <c r="D12" s="1705">
        <f>D6+D8</f>
        <v>340.01905119000003</v>
      </c>
      <c r="E12" s="1705">
        <f>E6+E8</f>
        <v>352</v>
      </c>
      <c r="F12" s="1705">
        <f>F6+F8</f>
        <v>358</v>
      </c>
      <c r="G12" s="1705">
        <v>356</v>
      </c>
      <c r="H12" s="1705">
        <f>H6+H8</f>
        <v>376</v>
      </c>
      <c r="I12" s="1705">
        <f>I6+I8</f>
        <v>348</v>
      </c>
      <c r="J12" s="1705">
        <v>350.91880953999987</v>
      </c>
      <c r="K12" s="1705">
        <v>359</v>
      </c>
      <c r="L12" s="1705">
        <f>L6+L8</f>
        <v>369</v>
      </c>
      <c r="M12" s="1705">
        <f>M6+M8</f>
        <v>363</v>
      </c>
      <c r="N12" s="1705">
        <f>N6+N8</f>
        <v>370</v>
      </c>
      <c r="O12" s="1705">
        <f t="shared" ref="O12" si="4">O6+O8</f>
        <v>372</v>
      </c>
      <c r="P12" s="1705">
        <v>373</v>
      </c>
      <c r="Q12" s="1705">
        <v>382</v>
      </c>
      <c r="R12" s="1705">
        <f>R6+R8</f>
        <v>373</v>
      </c>
      <c r="S12" s="1705">
        <f>S6+S8</f>
        <v>393</v>
      </c>
      <c r="T12" s="1705">
        <v>370</v>
      </c>
      <c r="U12" s="1705">
        <f>U6+U8</f>
        <v>385</v>
      </c>
      <c r="V12" s="1705">
        <v>399.62743227725207</v>
      </c>
      <c r="W12" s="1705">
        <v>395.11550492702952</v>
      </c>
      <c r="X12" s="1705">
        <v>423</v>
      </c>
      <c r="Y12" s="1705">
        <v>451</v>
      </c>
      <c r="Z12" s="1705">
        <v>436</v>
      </c>
      <c r="AA12" s="1705">
        <v>471</v>
      </c>
      <c r="AB12" s="1705">
        <v>471</v>
      </c>
      <c r="AC12" s="1705">
        <v>511</v>
      </c>
      <c r="AD12" s="1705">
        <v>488</v>
      </c>
      <c r="AE12" s="1705">
        <v>485</v>
      </c>
      <c r="AF12" s="1705">
        <v>516</v>
      </c>
      <c r="AG12" s="1705">
        <v>502</v>
      </c>
      <c r="AH12" s="1705">
        <f t="shared" ref="AH12:AL12" si="5">AH6+AH8</f>
        <v>504.17018267000003</v>
      </c>
      <c r="AI12" s="1705">
        <f t="shared" si="5"/>
        <v>607.70251600000006</v>
      </c>
      <c r="AJ12" s="1705">
        <f t="shared" si="5"/>
        <v>711.71539970999993</v>
      </c>
      <c r="AK12" s="1705">
        <f t="shared" si="5"/>
        <v>793.94031993999988</v>
      </c>
      <c r="AL12" s="1705">
        <f t="shared" si="5"/>
        <v>589.41170798000007</v>
      </c>
      <c r="AM12" s="1705">
        <v>688.16905741999994</v>
      </c>
      <c r="AN12" s="1705">
        <v>343.29646539999999</v>
      </c>
      <c r="AO12" s="1705">
        <v>415.60424514000005</v>
      </c>
      <c r="AP12" s="1705">
        <v>189.33884838</v>
      </c>
      <c r="AQ12" s="1705">
        <v>266.22080845999994</v>
      </c>
      <c r="AR12" s="1705">
        <v>359.29710747999997</v>
      </c>
      <c r="AS12" s="1705">
        <v>444.41545431000009</v>
      </c>
      <c r="AT12" s="1705">
        <v>204.01486625999999</v>
      </c>
      <c r="AU12" s="1705">
        <v>208.04630907999999</v>
      </c>
      <c r="AV12" s="1705">
        <v>196.34140017000001</v>
      </c>
      <c r="AW12" s="1705">
        <v>210.27339744</v>
      </c>
      <c r="AX12" s="1705">
        <v>209.37467311999998</v>
      </c>
      <c r="AY12" s="1705">
        <v>233.67679622999998</v>
      </c>
      <c r="AZ12" s="1705">
        <v>235.47121158999997</v>
      </c>
      <c r="BA12" s="1705">
        <v>250.87380946999997</v>
      </c>
    </row>
    <row r="13" spans="1:53" s="1699" customFormat="1" ht="21.75" customHeight="1" x14ac:dyDescent="0.3">
      <c r="A13" s="1703"/>
      <c r="B13" s="1701"/>
      <c r="C13" s="1702"/>
      <c r="D13" s="1702"/>
      <c r="E13" s="1702"/>
      <c r="F13" s="1702"/>
      <c r="G13" s="1702"/>
      <c r="H13" s="1702"/>
      <c r="I13" s="1702"/>
      <c r="J13" s="1702"/>
      <c r="K13" s="1702"/>
      <c r="L13" s="1702"/>
      <c r="M13" s="1702"/>
      <c r="N13" s="1702"/>
      <c r="O13" s="1702"/>
      <c r="P13" s="1702"/>
      <c r="Q13" s="1702"/>
      <c r="R13" s="1702"/>
      <c r="S13" s="1702"/>
      <c r="T13" s="1702"/>
      <c r="U13" s="1702"/>
      <c r="V13" s="1702"/>
      <c r="W13" s="1702"/>
      <c r="X13" s="1702"/>
      <c r="Y13" s="1702"/>
      <c r="Z13" s="1702"/>
      <c r="AA13" s="1702"/>
      <c r="AB13" s="1702"/>
      <c r="AC13" s="1702"/>
      <c r="AD13" s="1702"/>
      <c r="AE13" s="1702"/>
      <c r="AF13" s="1702"/>
      <c r="AG13" s="1702"/>
      <c r="AH13" s="1702"/>
      <c r="AI13" s="1702"/>
      <c r="AJ13" s="1702"/>
      <c r="AK13" s="1702"/>
      <c r="AL13" s="1702"/>
      <c r="AM13" s="1702"/>
      <c r="AN13" s="1702"/>
      <c r="AO13" s="1702"/>
      <c r="AP13" s="1702"/>
      <c r="AQ13" s="1702"/>
      <c r="AR13" s="1702"/>
      <c r="AS13" s="1702"/>
      <c r="AT13" s="1702"/>
      <c r="AU13" s="1702"/>
      <c r="AV13" s="1702"/>
      <c r="AW13" s="1702"/>
      <c r="AX13" s="1702"/>
      <c r="AY13" s="1702"/>
      <c r="AZ13" s="1702"/>
      <c r="BA13" s="1702"/>
    </row>
    <row r="14" spans="1:53" s="1699" customFormat="1" ht="21.75" customHeight="1" x14ac:dyDescent="0.3">
      <c r="A14" s="1703" t="s">
        <v>1083</v>
      </c>
      <c r="B14" s="1704">
        <v>209.14297093000002</v>
      </c>
      <c r="C14" s="1705">
        <v>244</v>
      </c>
      <c r="D14" s="1705">
        <f>D15+D16</f>
        <v>231</v>
      </c>
      <c r="E14" s="1705">
        <f>E15+E16</f>
        <v>241</v>
      </c>
      <c r="F14" s="1705">
        <f>F15+F16</f>
        <v>251</v>
      </c>
      <c r="G14" s="1705">
        <v>240</v>
      </c>
      <c r="H14" s="1705">
        <f>H15+H16</f>
        <v>246</v>
      </c>
      <c r="I14" s="1705">
        <f>I15+I16</f>
        <v>225</v>
      </c>
      <c r="J14" s="1705">
        <v>223.43907991</v>
      </c>
      <c r="K14" s="1705">
        <v>240</v>
      </c>
      <c r="L14" s="1705">
        <f>L15+L16</f>
        <v>243</v>
      </c>
      <c r="M14" s="1705">
        <f>M15+M16</f>
        <v>220</v>
      </c>
      <c r="N14" s="1705">
        <f>N15+N16</f>
        <v>246</v>
      </c>
      <c r="O14" s="1705">
        <f t="shared" ref="O14:S14" si="6">O15+O16</f>
        <v>239</v>
      </c>
      <c r="P14" s="1705">
        <v>246</v>
      </c>
      <c r="Q14" s="1705">
        <v>248</v>
      </c>
      <c r="R14" s="1705">
        <f t="shared" si="6"/>
        <v>247</v>
      </c>
      <c r="S14" s="1705">
        <f t="shared" si="6"/>
        <v>265</v>
      </c>
      <c r="T14" s="1705">
        <v>273</v>
      </c>
      <c r="U14" s="1705">
        <f t="shared" ref="U14" si="7">U15+U16</f>
        <v>277</v>
      </c>
      <c r="V14" s="1705">
        <v>310.5876818328307</v>
      </c>
      <c r="W14" s="1705">
        <v>263</v>
      </c>
      <c r="X14" s="1705">
        <v>289</v>
      </c>
      <c r="Y14" s="1705">
        <v>291</v>
      </c>
      <c r="Z14" s="1705">
        <v>304</v>
      </c>
      <c r="AA14" s="1705">
        <v>305</v>
      </c>
      <c r="AB14" s="1705">
        <v>341</v>
      </c>
      <c r="AC14" s="1705">
        <v>315</v>
      </c>
      <c r="AD14" s="1705">
        <v>327</v>
      </c>
      <c r="AE14" s="1705">
        <v>322</v>
      </c>
      <c r="AF14" s="1705">
        <v>331</v>
      </c>
      <c r="AG14" s="1705">
        <v>328</v>
      </c>
      <c r="AH14" s="1705">
        <f t="shared" ref="AH14:AL14" si="8">AH15+AH16</f>
        <v>344</v>
      </c>
      <c r="AI14" s="1705">
        <f t="shared" si="8"/>
        <v>405.90323859</v>
      </c>
      <c r="AJ14" s="1705">
        <f t="shared" si="8"/>
        <v>470.28197757999999</v>
      </c>
      <c r="AK14" s="1705">
        <f t="shared" si="8"/>
        <v>532.04234343999997</v>
      </c>
      <c r="AL14" s="1705">
        <f t="shared" si="8"/>
        <v>398.55719883</v>
      </c>
      <c r="AM14" s="1705">
        <v>463.82865828000001</v>
      </c>
      <c r="AN14" s="1705">
        <v>261.10737827999998</v>
      </c>
      <c r="AO14" s="1705">
        <v>320.64548165999997</v>
      </c>
      <c r="AP14" s="1705">
        <v>137.57623566000001</v>
      </c>
      <c r="AQ14" s="1705">
        <v>187.92603947000001</v>
      </c>
      <c r="AR14" s="1705">
        <v>263.02101099999999</v>
      </c>
      <c r="AS14" s="1705">
        <v>313.09946719999999</v>
      </c>
      <c r="AT14" s="1705">
        <v>141.67153751000001</v>
      </c>
      <c r="AU14" s="1705">
        <v>150</v>
      </c>
      <c r="AV14" s="1705">
        <v>148.72221463999998</v>
      </c>
      <c r="AW14" s="1705">
        <v>165.71496203999999</v>
      </c>
      <c r="AX14" s="1705">
        <v>149.56893056000001</v>
      </c>
      <c r="AY14" s="1705">
        <v>159.60069967000001</v>
      </c>
      <c r="AZ14" s="1705">
        <v>154.23099250000001</v>
      </c>
      <c r="BA14" s="1705">
        <v>170.17837432000002</v>
      </c>
    </row>
    <row r="15" spans="1:53" s="1699" customFormat="1" ht="21.75" customHeight="1" x14ac:dyDescent="0.3">
      <c r="A15" s="1700" t="s">
        <v>1084</v>
      </c>
      <c r="B15" s="1701">
        <v>61.287354260000001</v>
      </c>
      <c r="C15" s="1702">
        <v>66</v>
      </c>
      <c r="D15" s="1702">
        <v>64</v>
      </c>
      <c r="E15" s="1702">
        <v>67</v>
      </c>
      <c r="F15" s="1702">
        <v>73</v>
      </c>
      <c r="G15" s="1702">
        <v>68</v>
      </c>
      <c r="H15" s="1702">
        <v>71</v>
      </c>
      <c r="I15" s="1702">
        <v>59</v>
      </c>
      <c r="J15" s="1702">
        <v>56.377752529999903</v>
      </c>
      <c r="K15" s="1702">
        <v>64</v>
      </c>
      <c r="L15" s="1702">
        <v>65</v>
      </c>
      <c r="M15" s="1702">
        <v>64</v>
      </c>
      <c r="N15" s="1702">
        <v>61</v>
      </c>
      <c r="O15" s="1702">
        <v>65</v>
      </c>
      <c r="P15" s="1702">
        <v>68</v>
      </c>
      <c r="Q15" s="1702">
        <v>66</v>
      </c>
      <c r="R15" s="1702">
        <v>70</v>
      </c>
      <c r="S15" s="1702">
        <v>71</v>
      </c>
      <c r="T15" s="1702">
        <v>91</v>
      </c>
      <c r="U15" s="1702">
        <v>88</v>
      </c>
      <c r="V15" s="1702">
        <v>74.79489670000001</v>
      </c>
      <c r="W15" s="1702">
        <v>66</v>
      </c>
      <c r="X15" s="1702">
        <v>82</v>
      </c>
      <c r="Y15" s="1702">
        <v>85</v>
      </c>
      <c r="Z15" s="1702">
        <v>90</v>
      </c>
      <c r="AA15" s="1702">
        <v>91</v>
      </c>
      <c r="AB15" s="1702">
        <v>101</v>
      </c>
      <c r="AC15" s="1702">
        <v>97</v>
      </c>
      <c r="AD15" s="1702">
        <v>99</v>
      </c>
      <c r="AE15" s="1702">
        <v>102</v>
      </c>
      <c r="AF15" s="1702">
        <v>110</v>
      </c>
      <c r="AG15" s="1702">
        <v>123</v>
      </c>
      <c r="AH15" s="1702">
        <v>131</v>
      </c>
      <c r="AI15" s="1702">
        <v>138.60010142000002</v>
      </c>
      <c r="AJ15" s="1702">
        <v>153.41401752000002</v>
      </c>
      <c r="AK15" s="1702">
        <v>160.19509493000001</v>
      </c>
      <c r="AL15" s="1702">
        <v>131.90624733999999</v>
      </c>
      <c r="AM15" s="1702">
        <v>160.64252921000002</v>
      </c>
      <c r="AN15" s="1702">
        <v>54.36428729</v>
      </c>
      <c r="AO15" s="1702">
        <v>63.185571780000004</v>
      </c>
      <c r="AP15" s="1702">
        <v>32.005464539999998</v>
      </c>
      <c r="AQ15" s="1702">
        <v>44.184956179999993</v>
      </c>
      <c r="AR15" s="1702">
        <v>54.898523329999996</v>
      </c>
      <c r="AS15" s="1702">
        <v>61.768729630000003</v>
      </c>
      <c r="AT15" s="1702">
        <v>32.966185879999998</v>
      </c>
      <c r="AU15" s="1702">
        <v>35.259388940000001</v>
      </c>
      <c r="AV15" s="1702">
        <v>38.647877260000001</v>
      </c>
      <c r="AW15" s="1702">
        <v>35.337815670000005</v>
      </c>
      <c r="AX15" s="1702">
        <v>38.891574149999997</v>
      </c>
      <c r="AY15" s="1702">
        <v>45.589859650000001</v>
      </c>
      <c r="AZ15" s="1702">
        <v>40.11356902</v>
      </c>
      <c r="BA15" s="1702">
        <v>43.078910360000002</v>
      </c>
    </row>
    <row r="16" spans="1:53" s="1699" customFormat="1" ht="21.75" customHeight="1" x14ac:dyDescent="0.3">
      <c r="A16" s="1700" t="s">
        <v>1085</v>
      </c>
      <c r="B16" s="1701">
        <v>147.85561667000002</v>
      </c>
      <c r="C16" s="1702">
        <v>178</v>
      </c>
      <c r="D16" s="1702">
        <v>167</v>
      </c>
      <c r="E16" s="1702">
        <v>174</v>
      </c>
      <c r="F16" s="1702">
        <v>178</v>
      </c>
      <c r="G16" s="1702">
        <v>172</v>
      </c>
      <c r="H16" s="1702">
        <v>175</v>
      </c>
      <c r="I16" s="1702">
        <v>166</v>
      </c>
      <c r="J16" s="1702">
        <v>167.06132738000011</v>
      </c>
      <c r="K16" s="1702">
        <v>176</v>
      </c>
      <c r="L16" s="1702">
        <v>178</v>
      </c>
      <c r="M16" s="1702">
        <v>156</v>
      </c>
      <c r="N16" s="1702">
        <v>185</v>
      </c>
      <c r="O16" s="1702">
        <v>174</v>
      </c>
      <c r="P16" s="1702">
        <v>178</v>
      </c>
      <c r="Q16" s="1702">
        <v>182</v>
      </c>
      <c r="R16" s="1702">
        <v>177</v>
      </c>
      <c r="S16" s="1702">
        <v>194</v>
      </c>
      <c r="T16" s="1702">
        <v>182</v>
      </c>
      <c r="U16" s="1702">
        <v>189</v>
      </c>
      <c r="V16" s="1702">
        <v>235.79278513283069</v>
      </c>
      <c r="W16" s="1702">
        <v>196.98818191637574</v>
      </c>
      <c r="X16" s="1702">
        <v>207</v>
      </c>
      <c r="Y16" s="1702">
        <v>206</v>
      </c>
      <c r="Z16" s="1702">
        <v>214</v>
      </c>
      <c r="AA16" s="1702">
        <v>214</v>
      </c>
      <c r="AB16" s="1702">
        <v>240</v>
      </c>
      <c r="AC16" s="1702">
        <v>218</v>
      </c>
      <c r="AD16" s="1702">
        <v>228</v>
      </c>
      <c r="AE16" s="1702">
        <v>220</v>
      </c>
      <c r="AF16" s="1702">
        <v>221</v>
      </c>
      <c r="AG16" s="1702">
        <v>205</v>
      </c>
      <c r="AH16" s="1702">
        <v>213</v>
      </c>
      <c r="AI16" s="1702">
        <v>267.30313717000001</v>
      </c>
      <c r="AJ16" s="1702">
        <v>316.86796005999997</v>
      </c>
      <c r="AK16" s="1702">
        <v>371.84724850999999</v>
      </c>
      <c r="AL16" s="1702">
        <v>266.65095149000001</v>
      </c>
      <c r="AM16" s="1702">
        <v>303.18612906999999</v>
      </c>
      <c r="AN16" s="1702">
        <v>206.74309098999998</v>
      </c>
      <c r="AO16" s="1702">
        <v>257.45990988</v>
      </c>
      <c r="AP16" s="1702">
        <v>105.57077112</v>
      </c>
      <c r="AQ16" s="1702">
        <v>143.74108329000001</v>
      </c>
      <c r="AR16" s="1702">
        <v>208.12248767</v>
      </c>
      <c r="AS16" s="1702">
        <v>251.33073757</v>
      </c>
      <c r="AT16" s="1702">
        <v>108.70535163</v>
      </c>
      <c r="AU16" s="1702">
        <v>115.45057233999998</v>
      </c>
      <c r="AV16" s="1702">
        <v>110.07433737999997</v>
      </c>
      <c r="AW16" s="1702">
        <v>131</v>
      </c>
      <c r="AX16" s="1702">
        <v>110.67735641</v>
      </c>
      <c r="AY16" s="1702">
        <v>113.71084002000001</v>
      </c>
      <c r="AZ16" s="1702">
        <v>113.81742348</v>
      </c>
      <c r="BA16" s="1702">
        <v>126.79946396</v>
      </c>
    </row>
    <row r="17" spans="1:137" s="1699" customFormat="1" ht="21.75" customHeight="1" x14ac:dyDescent="0.3">
      <c r="A17" s="1700"/>
      <c r="B17" s="1701"/>
      <c r="C17" s="1702"/>
      <c r="D17" s="1702"/>
      <c r="E17" s="1702"/>
      <c r="F17" s="1702"/>
      <c r="G17" s="1702"/>
      <c r="H17" s="1702"/>
      <c r="I17" s="1702"/>
      <c r="J17" s="1702"/>
      <c r="K17" s="1702"/>
      <c r="L17" s="1702"/>
      <c r="M17" s="1702"/>
      <c r="N17" s="1702"/>
      <c r="O17" s="1702"/>
      <c r="P17" s="1702"/>
      <c r="Q17" s="1702"/>
      <c r="R17" s="1702"/>
      <c r="S17" s="1702"/>
      <c r="T17" s="1702"/>
      <c r="U17" s="1702"/>
      <c r="V17" s="1702"/>
      <c r="W17" s="1702"/>
      <c r="X17" s="1702"/>
      <c r="Y17" s="1702"/>
      <c r="Z17" s="1702"/>
      <c r="AA17" s="1702"/>
      <c r="AB17" s="1702"/>
      <c r="AC17" s="1702"/>
      <c r="AD17" s="1702"/>
      <c r="AE17" s="1702"/>
      <c r="AF17" s="1702"/>
      <c r="AG17" s="1702"/>
      <c r="AH17" s="1702"/>
      <c r="AI17" s="1702"/>
      <c r="AJ17" s="1702"/>
      <c r="AK17" s="1702"/>
      <c r="AL17" s="1702"/>
      <c r="AM17" s="1702"/>
      <c r="AN17" s="1702"/>
      <c r="AO17" s="1702"/>
      <c r="AP17" s="1702"/>
      <c r="AQ17" s="1702"/>
      <c r="AR17" s="1702"/>
      <c r="AS17" s="1702"/>
      <c r="AT17" s="1702"/>
      <c r="AU17" s="1702"/>
      <c r="AV17" s="1702"/>
      <c r="AW17" s="1702"/>
      <c r="AX17" s="1702"/>
      <c r="AY17" s="1702"/>
      <c r="AZ17" s="1702"/>
      <c r="BA17" s="1702"/>
    </row>
    <row r="18" spans="1:137" s="1699" customFormat="1" ht="21.75" customHeight="1" x14ac:dyDescent="0.3">
      <c r="A18" s="1703" t="s">
        <v>1086</v>
      </c>
      <c r="B18" s="1704">
        <v>111.82470953000009</v>
      </c>
      <c r="C18" s="1705">
        <v>111</v>
      </c>
      <c r="D18" s="1705">
        <f>D12-D14</f>
        <v>109.01905119000003</v>
      </c>
      <c r="E18" s="1705">
        <f>E12-E14</f>
        <v>111</v>
      </c>
      <c r="F18" s="1705">
        <f>F12-F14</f>
        <v>107</v>
      </c>
      <c r="G18" s="1705">
        <v>116</v>
      </c>
      <c r="H18" s="1705">
        <f>H12-H14</f>
        <v>130</v>
      </c>
      <c r="I18" s="1705">
        <f>I12-I14</f>
        <v>123</v>
      </c>
      <c r="J18" s="1705">
        <v>128</v>
      </c>
      <c r="K18" s="1705">
        <v>119</v>
      </c>
      <c r="L18" s="1705">
        <f t="shared" ref="L18:S18" si="9">L12-L14</f>
        <v>126</v>
      </c>
      <c r="M18" s="1705">
        <f t="shared" si="9"/>
        <v>143</v>
      </c>
      <c r="N18" s="1705">
        <f t="shared" si="9"/>
        <v>124</v>
      </c>
      <c r="O18" s="1705">
        <f t="shared" si="9"/>
        <v>133</v>
      </c>
      <c r="P18" s="1705">
        <v>127</v>
      </c>
      <c r="Q18" s="1705">
        <v>134</v>
      </c>
      <c r="R18" s="1705">
        <f t="shared" si="9"/>
        <v>126</v>
      </c>
      <c r="S18" s="1705">
        <f t="shared" si="9"/>
        <v>128</v>
      </c>
      <c r="T18" s="1705">
        <v>97</v>
      </c>
      <c r="U18" s="1705">
        <f t="shared" ref="U18" si="10">U12-U14</f>
        <v>108</v>
      </c>
      <c r="V18" s="1705">
        <v>89.039750444421372</v>
      </c>
      <c r="W18" s="1705">
        <v>131.50715414465378</v>
      </c>
      <c r="X18" s="1705">
        <v>134</v>
      </c>
      <c r="Y18" s="1705">
        <v>160</v>
      </c>
      <c r="Z18" s="1705">
        <v>132</v>
      </c>
      <c r="AA18" s="1705">
        <v>166</v>
      </c>
      <c r="AB18" s="1705">
        <v>130</v>
      </c>
      <c r="AC18" s="1705">
        <v>196</v>
      </c>
      <c r="AD18" s="1705">
        <v>161</v>
      </c>
      <c r="AE18" s="1705">
        <v>163</v>
      </c>
      <c r="AF18" s="1705">
        <v>185</v>
      </c>
      <c r="AG18" s="1705">
        <v>174</v>
      </c>
      <c r="AH18" s="1705">
        <f t="shared" ref="AH18:AL18" si="11">AH12-AH14</f>
        <v>160.17018267000003</v>
      </c>
      <c r="AI18" s="1705">
        <f t="shared" si="11"/>
        <v>201.79927741000006</v>
      </c>
      <c r="AJ18" s="1705">
        <f t="shared" si="11"/>
        <v>241.43342212999994</v>
      </c>
      <c r="AK18" s="1705">
        <f t="shared" si="11"/>
        <v>261.89797649999991</v>
      </c>
      <c r="AL18" s="1705">
        <f t="shared" si="11"/>
        <v>190.85450915000007</v>
      </c>
      <c r="AM18" s="1705">
        <v>224.34039913999993</v>
      </c>
      <c r="AN18" s="1705">
        <v>82.189087120000011</v>
      </c>
      <c r="AO18" s="1705">
        <v>94.958763480000073</v>
      </c>
      <c r="AP18" s="1705">
        <v>51.762612719999993</v>
      </c>
      <c r="AQ18" s="1705">
        <v>78.294768989999938</v>
      </c>
      <c r="AR18" s="1705">
        <v>96.276096479999978</v>
      </c>
      <c r="AS18" s="1705">
        <v>131.31598711000009</v>
      </c>
      <c r="AT18" s="1705">
        <v>62.343328749999984</v>
      </c>
      <c r="AU18" s="1705">
        <v>58</v>
      </c>
      <c r="AV18" s="1705">
        <v>47.619185530000003</v>
      </c>
      <c r="AW18" s="1705">
        <v>44.5584354</v>
      </c>
      <c r="AX18" s="1705">
        <v>59.80574255999997</v>
      </c>
      <c r="AY18" s="1705">
        <v>74.076096559999968</v>
      </c>
      <c r="AZ18" s="1705">
        <v>81.240219089999954</v>
      </c>
      <c r="BA18" s="1705">
        <v>80.695435149999952</v>
      </c>
    </row>
    <row r="19" spans="1:137" s="1699" customFormat="1" ht="21.75" customHeight="1" x14ac:dyDescent="0.3">
      <c r="A19" s="1700"/>
      <c r="B19" s="1701"/>
      <c r="C19" s="1702"/>
      <c r="D19" s="1702"/>
      <c r="E19" s="1702"/>
      <c r="F19" s="1702"/>
      <c r="G19" s="1702"/>
      <c r="H19" s="1702"/>
      <c r="I19" s="1702"/>
      <c r="J19" s="1702"/>
      <c r="K19" s="1702"/>
      <c r="L19" s="1702"/>
      <c r="M19" s="1702"/>
      <c r="N19" s="1702"/>
      <c r="O19" s="1702"/>
      <c r="P19" s="1702"/>
      <c r="Q19" s="1702"/>
      <c r="R19" s="1702"/>
      <c r="S19" s="1702"/>
      <c r="T19" s="1702"/>
      <c r="U19" s="1702"/>
      <c r="V19" s="1702"/>
      <c r="W19" s="1702"/>
      <c r="X19" s="1702"/>
      <c r="Y19" s="1702"/>
      <c r="Z19" s="1702"/>
      <c r="AA19" s="1702"/>
      <c r="AB19" s="1702"/>
      <c r="AC19" s="1702"/>
      <c r="AD19" s="1702"/>
      <c r="AE19" s="1702"/>
      <c r="AF19" s="1702"/>
      <c r="AG19" s="1702"/>
      <c r="AH19" s="1702"/>
      <c r="AI19" s="1702"/>
      <c r="AJ19" s="1702"/>
      <c r="AK19" s="1702"/>
      <c r="AL19" s="1702"/>
      <c r="AM19" s="1702"/>
      <c r="AN19" s="1702"/>
      <c r="AO19" s="1702"/>
      <c r="AP19" s="1702"/>
      <c r="AQ19" s="1702"/>
      <c r="AR19" s="1702"/>
      <c r="AS19" s="1702"/>
      <c r="AT19" s="1702"/>
      <c r="AU19" s="1702"/>
      <c r="AV19" s="1702"/>
      <c r="AW19" s="1702"/>
      <c r="AX19" s="1702"/>
      <c r="AY19" s="1702"/>
      <c r="AZ19" s="1702"/>
      <c r="BA19" s="1702"/>
    </row>
    <row r="20" spans="1:137" s="1699" customFormat="1" ht="21.75" customHeight="1" x14ac:dyDescent="0.3">
      <c r="A20" s="1700" t="s">
        <v>1087</v>
      </c>
      <c r="B20" s="1701">
        <v>26.476855660000002</v>
      </c>
      <c r="C20" s="1702">
        <v>34</v>
      </c>
      <c r="D20" s="1702">
        <v>14</v>
      </c>
      <c r="E20" s="1702">
        <v>50</v>
      </c>
      <c r="F20" s="1702">
        <v>22</v>
      </c>
      <c r="G20" s="1702">
        <v>13</v>
      </c>
      <c r="H20" s="1702">
        <v>17</v>
      </c>
      <c r="I20" s="1702">
        <v>17</v>
      </c>
      <c r="J20" s="1702">
        <v>13.67015</v>
      </c>
      <c r="K20" s="1702">
        <v>22</v>
      </c>
      <c r="L20" s="1702">
        <v>17</v>
      </c>
      <c r="M20" s="1702">
        <v>17</v>
      </c>
      <c r="N20" s="1702">
        <v>12</v>
      </c>
      <c r="O20" s="1702">
        <v>31</v>
      </c>
      <c r="P20" s="1702">
        <v>17</v>
      </c>
      <c r="Q20" s="1702">
        <v>7</v>
      </c>
      <c r="R20" s="1706">
        <v>0.4</v>
      </c>
      <c r="S20" s="1702">
        <v>10</v>
      </c>
      <c r="T20" s="1702">
        <v>30</v>
      </c>
      <c r="U20" s="1702">
        <v>5</v>
      </c>
      <c r="V20" s="1702">
        <v>-21.500401710000002</v>
      </c>
      <c r="W20" s="1702">
        <v>62.864840700000002</v>
      </c>
      <c r="X20" s="1702">
        <v>115</v>
      </c>
      <c r="Y20" s="1702">
        <v>73</v>
      </c>
      <c r="Z20" s="1702">
        <v>59</v>
      </c>
      <c r="AA20" s="1702">
        <v>56</v>
      </c>
      <c r="AB20" s="1702">
        <v>56</v>
      </c>
      <c r="AC20" s="1702">
        <v>74</v>
      </c>
      <c r="AD20" s="1702">
        <v>72</v>
      </c>
      <c r="AE20" s="1702">
        <v>81</v>
      </c>
      <c r="AF20" s="1702">
        <v>84</v>
      </c>
      <c r="AG20" s="1702">
        <v>53</v>
      </c>
      <c r="AH20" s="1702">
        <v>47</v>
      </c>
      <c r="AI20" s="1702">
        <v>61.826489909999999</v>
      </c>
      <c r="AJ20" s="1702">
        <v>52.6</v>
      </c>
      <c r="AK20" s="1702">
        <v>55.893227600000003</v>
      </c>
      <c r="AL20" s="1702">
        <v>38.033402680000002</v>
      </c>
      <c r="AM20" s="1702">
        <v>57.155543999999999</v>
      </c>
      <c r="AN20" s="1702">
        <v>10.534893</v>
      </c>
      <c r="AO20" s="1702">
        <v>20.333593710000002</v>
      </c>
      <c r="AP20" s="1702">
        <v>21.44578881</v>
      </c>
      <c r="AQ20" s="1702">
        <v>5.6639371000000001</v>
      </c>
      <c r="AR20" s="1702">
        <v>24.300773660000001</v>
      </c>
      <c r="AS20" s="1702">
        <v>23.216955719999998</v>
      </c>
      <c r="AT20" s="1702">
        <v>7.2961763299999998</v>
      </c>
      <c r="AU20" s="1702">
        <v>5.5398964500000005</v>
      </c>
      <c r="AV20" s="1702">
        <v>13.74169328</v>
      </c>
      <c r="AW20" s="1702">
        <v>-25</v>
      </c>
      <c r="AX20" s="1702">
        <v>-4.3415090999999997</v>
      </c>
      <c r="AY20" s="1702">
        <v>4.0977176599999998</v>
      </c>
      <c r="AZ20" s="1702">
        <v>-5.7072638800000002</v>
      </c>
      <c r="BA20" s="1702">
        <v>2.3582149500000003</v>
      </c>
    </row>
    <row r="21" spans="1:137" s="1699" customFormat="1" ht="21.75" customHeight="1" x14ac:dyDescent="0.3">
      <c r="A21" s="1700"/>
      <c r="B21" s="1701"/>
      <c r="C21" s="1702"/>
      <c r="D21" s="1702"/>
      <c r="E21" s="1702"/>
      <c r="F21" s="1702"/>
      <c r="G21" s="1702"/>
      <c r="H21" s="1702"/>
      <c r="I21" s="1702"/>
      <c r="J21" s="1702"/>
      <c r="K21" s="1702"/>
      <c r="L21" s="1702"/>
      <c r="M21" s="1702"/>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c r="AL21" s="1702"/>
      <c r="AM21" s="1702"/>
      <c r="AN21" s="1702"/>
      <c r="AO21" s="1702"/>
      <c r="AP21" s="1702"/>
      <c r="AQ21" s="1702"/>
      <c r="AR21" s="1702"/>
      <c r="AS21" s="1702"/>
      <c r="AT21" s="1702"/>
      <c r="AU21" s="1702"/>
      <c r="AV21" s="1702"/>
      <c r="AW21" s="1702"/>
      <c r="AX21" s="1702"/>
      <c r="AY21" s="1702"/>
      <c r="AZ21" s="1702"/>
      <c r="BA21" s="1702"/>
    </row>
    <row r="22" spans="1:137" s="1699" customFormat="1" ht="21.75" customHeight="1" x14ac:dyDescent="0.3">
      <c r="A22" s="1703" t="s">
        <v>1088</v>
      </c>
      <c r="B22" s="1704">
        <v>86</v>
      </c>
      <c r="C22" s="1705">
        <v>77</v>
      </c>
      <c r="D22" s="1705">
        <f>D18-D20</f>
        <v>95.019051190000027</v>
      </c>
      <c r="E22" s="1705">
        <f>E18-E20</f>
        <v>61</v>
      </c>
      <c r="F22" s="1705">
        <f>F18-F20</f>
        <v>85</v>
      </c>
      <c r="G22" s="1705">
        <v>103</v>
      </c>
      <c r="H22" s="1705">
        <f>H18-H20</f>
        <v>113</v>
      </c>
      <c r="I22" s="1705">
        <f>I18-I20</f>
        <v>106</v>
      </c>
      <c r="J22" s="1705">
        <v>114.32984999999999</v>
      </c>
      <c r="K22" s="1705">
        <v>97</v>
      </c>
      <c r="L22" s="1705">
        <f>L18-L20</f>
        <v>109</v>
      </c>
      <c r="M22" s="1705">
        <f>M18-M20</f>
        <v>126</v>
      </c>
      <c r="N22" s="1705">
        <f>N18-N20</f>
        <v>112</v>
      </c>
      <c r="O22" s="1705">
        <f t="shared" ref="O22:S22" si="12">O18-O20</f>
        <v>102</v>
      </c>
      <c r="P22" s="1705">
        <v>110</v>
      </c>
      <c r="Q22" s="1705">
        <v>127</v>
      </c>
      <c r="R22" s="1705">
        <f t="shared" si="12"/>
        <v>125.6</v>
      </c>
      <c r="S22" s="1705">
        <f t="shared" si="12"/>
        <v>118</v>
      </c>
      <c r="T22" s="1705">
        <v>67</v>
      </c>
      <c r="U22" s="1705">
        <f t="shared" ref="U22" si="13">U18-U20</f>
        <v>103</v>
      </c>
      <c r="V22" s="1705">
        <v>110.54015215442138</v>
      </c>
      <c r="W22" s="1705">
        <v>68.64231344465378</v>
      </c>
      <c r="X22" s="1705">
        <v>20</v>
      </c>
      <c r="Y22" s="1705">
        <v>87</v>
      </c>
      <c r="Z22" s="1705">
        <v>73</v>
      </c>
      <c r="AA22" s="1705">
        <v>110</v>
      </c>
      <c r="AB22" s="1705">
        <v>74</v>
      </c>
      <c r="AC22" s="1705">
        <v>122</v>
      </c>
      <c r="AD22" s="1705">
        <v>89</v>
      </c>
      <c r="AE22" s="1705">
        <v>82</v>
      </c>
      <c r="AF22" s="1705">
        <v>101</v>
      </c>
      <c r="AG22" s="1705">
        <v>121</v>
      </c>
      <c r="AH22" s="1705">
        <f t="shared" ref="AH22:AL22" si="14">AH18-AH20</f>
        <v>113.17018267000003</v>
      </c>
      <c r="AI22" s="1705">
        <f t="shared" si="14"/>
        <v>139.97278750000007</v>
      </c>
      <c r="AJ22" s="1705">
        <f t="shared" si="14"/>
        <v>188.83342212999995</v>
      </c>
      <c r="AK22" s="1705">
        <f t="shared" si="14"/>
        <v>206.00474889999992</v>
      </c>
      <c r="AL22" s="1705">
        <f t="shared" si="14"/>
        <v>152.82110647000007</v>
      </c>
      <c r="AM22" s="1705">
        <v>167.18485513999994</v>
      </c>
      <c r="AN22" s="1705">
        <v>71.654194120000014</v>
      </c>
      <c r="AO22" s="1705">
        <v>74.62516977000007</v>
      </c>
      <c r="AP22" s="1705">
        <v>30.316823909999993</v>
      </c>
      <c r="AQ22" s="1705">
        <v>72.630831889999939</v>
      </c>
      <c r="AR22" s="1705">
        <v>71.975322819999974</v>
      </c>
      <c r="AS22" s="1705">
        <v>108.09903139000009</v>
      </c>
      <c r="AT22" s="1705">
        <v>55.047152419999982</v>
      </c>
      <c r="AU22" s="1705">
        <v>51.796451349999998</v>
      </c>
      <c r="AV22" s="1705">
        <v>33.877492250000003</v>
      </c>
      <c r="AW22" s="1705">
        <v>70.433800419999997</v>
      </c>
      <c r="AX22" s="1705">
        <v>64.147251659999966</v>
      </c>
      <c r="AY22" s="1705">
        <v>69.978378899999967</v>
      </c>
      <c r="AZ22" s="1705">
        <v>86.947482969999953</v>
      </c>
      <c r="BA22" s="1705">
        <v>79</v>
      </c>
    </row>
    <row r="23" spans="1:137" s="1699" customFormat="1" ht="21.75" customHeight="1" x14ac:dyDescent="0.3">
      <c r="A23" s="1700"/>
      <c r="B23" s="1701"/>
      <c r="C23" s="1702"/>
      <c r="D23" s="1702"/>
      <c r="E23" s="1702"/>
      <c r="F23" s="1702"/>
      <c r="G23" s="1702"/>
      <c r="H23" s="1702"/>
      <c r="I23" s="1702"/>
      <c r="J23" s="1702"/>
      <c r="K23" s="1702"/>
      <c r="L23" s="1702"/>
      <c r="M23" s="1702"/>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c r="AL23" s="1702"/>
      <c r="AM23" s="1702"/>
      <c r="AN23" s="1702"/>
      <c r="AO23" s="1702"/>
      <c r="AP23" s="1702"/>
      <c r="AQ23" s="1702"/>
      <c r="AR23" s="1702"/>
      <c r="AS23" s="1702"/>
      <c r="AT23" s="1702"/>
      <c r="AU23" s="1702"/>
      <c r="AV23" s="1702"/>
      <c r="AW23" s="1702"/>
      <c r="AX23" s="1702"/>
      <c r="AY23" s="1702"/>
      <c r="AZ23" s="1702"/>
      <c r="BA23" s="1702"/>
    </row>
    <row r="24" spans="1:137" s="1699" customFormat="1" ht="21.75" customHeight="1" x14ac:dyDescent="0.3">
      <c r="A24" s="1700" t="s">
        <v>1089</v>
      </c>
      <c r="B24" s="1701">
        <v>13.971818000000001</v>
      </c>
      <c r="C24" s="1702">
        <v>12</v>
      </c>
      <c r="D24" s="1702">
        <v>13</v>
      </c>
      <c r="E24" s="1702">
        <v>17</v>
      </c>
      <c r="F24" s="1702">
        <v>14</v>
      </c>
      <c r="G24" s="1702">
        <v>17</v>
      </c>
      <c r="H24" s="1702">
        <v>17</v>
      </c>
      <c r="I24" s="1702">
        <v>18</v>
      </c>
      <c r="J24" s="1702">
        <v>18.839625000000002</v>
      </c>
      <c r="K24" s="1702">
        <v>18</v>
      </c>
      <c r="L24" s="1702">
        <v>18</v>
      </c>
      <c r="M24" s="1702">
        <v>22</v>
      </c>
      <c r="N24" s="1702">
        <v>18</v>
      </c>
      <c r="O24" s="1702">
        <v>18</v>
      </c>
      <c r="P24" s="1702">
        <v>20</v>
      </c>
      <c r="Q24" s="1702">
        <v>12</v>
      </c>
      <c r="R24" s="1702">
        <v>18</v>
      </c>
      <c r="S24" s="1702">
        <v>19</v>
      </c>
      <c r="T24" s="1702">
        <v>21</v>
      </c>
      <c r="U24" s="1702">
        <v>20</v>
      </c>
      <c r="V24" s="1702">
        <v>14.644615752414341</v>
      </c>
      <c r="W24" s="1702">
        <v>18.636109964079402</v>
      </c>
      <c r="X24" s="1702">
        <v>22</v>
      </c>
      <c r="Y24" s="1702">
        <v>21</v>
      </c>
      <c r="Z24" s="1702">
        <v>12</v>
      </c>
      <c r="AA24" s="1702">
        <v>25</v>
      </c>
      <c r="AB24" s="1702">
        <v>21</v>
      </c>
      <c r="AC24" s="1702">
        <v>32</v>
      </c>
      <c r="AD24" s="1702">
        <v>-1</v>
      </c>
      <c r="AE24" s="1702">
        <v>13</v>
      </c>
      <c r="AF24" s="1702">
        <v>19</v>
      </c>
      <c r="AG24" s="1702">
        <v>15</v>
      </c>
      <c r="AH24" s="1702">
        <v>18</v>
      </c>
      <c r="AI24" s="1702">
        <v>19.671657530000001</v>
      </c>
      <c r="AJ24" s="1702">
        <v>32.6</v>
      </c>
      <c r="AK24" s="1702">
        <v>34.609895479999999</v>
      </c>
      <c r="AL24" s="1702">
        <v>0.230213</v>
      </c>
      <c r="AM24" s="1702">
        <v>16.956762000000001</v>
      </c>
      <c r="AN24" s="1702">
        <v>-8.9106000000000005E-2</v>
      </c>
      <c r="AO24" s="1702">
        <v>13.9007425</v>
      </c>
      <c r="AP24" s="1702">
        <v>2.7808959999999998</v>
      </c>
      <c r="AQ24" s="1702">
        <v>7.7626816700000001</v>
      </c>
      <c r="AR24" s="1702">
        <v>5.9641339999999996</v>
      </c>
      <c r="AS24" s="1702">
        <v>18.405094200000001</v>
      </c>
      <c r="AT24" s="1702">
        <v>6.7663425099999994</v>
      </c>
      <c r="AU24" s="1702">
        <v>7.8114233899999999</v>
      </c>
      <c r="AV24" s="1702">
        <v>5.2157776600000005</v>
      </c>
      <c r="AW24" s="1702">
        <v>8.3169300499999999</v>
      </c>
      <c r="AX24" s="1702">
        <v>11.05461114</v>
      </c>
      <c r="AY24" s="1702">
        <v>12.42632367</v>
      </c>
      <c r="AZ24" s="1702">
        <v>14.32130533</v>
      </c>
      <c r="BA24" s="1702">
        <v>12.9321261</v>
      </c>
    </row>
    <row r="25" spans="1:137" s="1699" customFormat="1" ht="21.75" customHeight="1" x14ac:dyDescent="0.3">
      <c r="A25" s="1700"/>
      <c r="B25" s="1701"/>
      <c r="C25" s="1702"/>
      <c r="D25" s="1702"/>
      <c r="E25" s="1702"/>
      <c r="F25" s="1702"/>
      <c r="G25" s="1702"/>
      <c r="H25" s="1702"/>
      <c r="I25" s="1702"/>
      <c r="J25" s="1702"/>
      <c r="K25" s="1702"/>
      <c r="L25" s="1702"/>
      <c r="M25" s="1702"/>
      <c r="N25" s="1702"/>
      <c r="O25" s="1702"/>
      <c r="P25" s="1702"/>
      <c r="Q25" s="1702"/>
      <c r="R25" s="1702"/>
      <c r="S25" s="1702"/>
      <c r="T25" s="1702"/>
      <c r="U25" s="1702"/>
      <c r="V25" s="1702"/>
      <c r="W25" s="1702"/>
      <c r="X25" s="1702"/>
      <c r="Y25" s="1702"/>
      <c r="Z25" s="1702"/>
      <c r="AA25" s="1702"/>
      <c r="AB25" s="1702"/>
      <c r="AC25" s="1702"/>
      <c r="AD25" s="1702"/>
      <c r="AE25" s="1702"/>
      <c r="AF25" s="1702"/>
      <c r="AG25" s="1702"/>
      <c r="AH25" s="1702"/>
      <c r="AI25" s="1702"/>
      <c r="AJ25" s="1702"/>
      <c r="AK25" s="1702"/>
      <c r="AL25" s="1702"/>
      <c r="AM25" s="1702"/>
      <c r="AN25" s="1702"/>
      <c r="AO25" s="1702"/>
      <c r="AP25" s="1702"/>
      <c r="AQ25" s="1702"/>
      <c r="AR25" s="1702"/>
      <c r="AS25" s="1702"/>
      <c r="AT25" s="1702"/>
      <c r="AU25" s="1702"/>
      <c r="AV25" s="1702"/>
      <c r="AW25" s="1702"/>
      <c r="AX25" s="1702"/>
      <c r="AY25" s="1702"/>
      <c r="AZ25" s="1702"/>
      <c r="BA25" s="1702"/>
    </row>
    <row r="26" spans="1:137" s="1699" customFormat="1" ht="21.75" customHeight="1" thickBot="1" x14ac:dyDescent="0.35">
      <c r="A26" s="1707" t="s">
        <v>1090</v>
      </c>
      <c r="B26" s="1708">
        <v>72.028182000000001</v>
      </c>
      <c r="C26" s="1709">
        <v>65</v>
      </c>
      <c r="D26" s="1709">
        <f>D22-D24</f>
        <v>82.019051190000027</v>
      </c>
      <c r="E26" s="1709">
        <f>E22-E24</f>
        <v>44</v>
      </c>
      <c r="F26" s="1709">
        <f>F22-F24</f>
        <v>71</v>
      </c>
      <c r="G26" s="1709">
        <v>86</v>
      </c>
      <c r="H26" s="1709">
        <f>H22-H24</f>
        <v>96</v>
      </c>
      <c r="I26" s="1709">
        <f>I22-I24</f>
        <v>88</v>
      </c>
      <c r="J26" s="1709">
        <v>95.490224999999995</v>
      </c>
      <c r="K26" s="1709">
        <v>79</v>
      </c>
      <c r="L26" s="1709">
        <f>L22-L24</f>
        <v>91</v>
      </c>
      <c r="M26" s="1709">
        <f>M22-M24</f>
        <v>104</v>
      </c>
      <c r="N26" s="1709">
        <f>N22-N24</f>
        <v>94</v>
      </c>
      <c r="O26" s="1709">
        <f t="shared" ref="O26:S26" si="15">O22-O24</f>
        <v>84</v>
      </c>
      <c r="P26" s="1709">
        <v>90</v>
      </c>
      <c r="Q26" s="1709">
        <v>115</v>
      </c>
      <c r="R26" s="1709">
        <f t="shared" si="15"/>
        <v>107.6</v>
      </c>
      <c r="S26" s="1709">
        <f t="shared" si="15"/>
        <v>99</v>
      </c>
      <c r="T26" s="1709">
        <v>46</v>
      </c>
      <c r="U26" s="1709">
        <f t="shared" ref="U26" si="16">U22-U24</f>
        <v>83</v>
      </c>
      <c r="V26" s="1709">
        <v>95.895536402007039</v>
      </c>
      <c r="W26" s="1709">
        <v>50.006203480574378</v>
      </c>
      <c r="X26" s="1709">
        <v>-2</v>
      </c>
      <c r="Y26" s="1709">
        <v>66</v>
      </c>
      <c r="Z26" s="1709">
        <v>61</v>
      </c>
      <c r="AA26" s="1709">
        <v>85</v>
      </c>
      <c r="AB26" s="1709">
        <v>53</v>
      </c>
      <c r="AC26" s="1709">
        <v>90</v>
      </c>
      <c r="AD26" s="1709">
        <v>90</v>
      </c>
      <c r="AE26" s="1709">
        <v>69</v>
      </c>
      <c r="AF26" s="1709">
        <v>82</v>
      </c>
      <c r="AG26" s="1709">
        <v>106</v>
      </c>
      <c r="AH26" s="1709">
        <f t="shared" ref="AH26:AL26" si="17">AH22-AH24</f>
        <v>95.170182670000031</v>
      </c>
      <c r="AI26" s="1709">
        <f t="shared" si="17"/>
        <v>120.30112997000006</v>
      </c>
      <c r="AJ26" s="1709">
        <f t="shared" si="17"/>
        <v>156.23342212999995</v>
      </c>
      <c r="AK26" s="1709">
        <f t="shared" si="17"/>
        <v>171.39485341999992</v>
      </c>
      <c r="AL26" s="1709">
        <f t="shared" si="17"/>
        <v>152.59089347000008</v>
      </c>
      <c r="AM26" s="1709">
        <v>150.22809313999994</v>
      </c>
      <c r="AN26" s="1709">
        <v>71.743300120000015</v>
      </c>
      <c r="AO26" s="1709">
        <v>60.724427270000071</v>
      </c>
      <c r="AP26" s="1709">
        <v>27.535927909999995</v>
      </c>
      <c r="AQ26" s="1709">
        <v>64.868150219999933</v>
      </c>
      <c r="AR26" s="1709">
        <v>66.011188819999973</v>
      </c>
      <c r="AS26" s="1709">
        <v>89.693937190000099</v>
      </c>
      <c r="AT26" s="1709">
        <v>48.280809909999981</v>
      </c>
      <c r="AU26" s="1709">
        <v>43.985027960000004</v>
      </c>
      <c r="AV26" s="1709">
        <v>28.661714589999999</v>
      </c>
      <c r="AW26" s="1709">
        <v>62.116870369999994</v>
      </c>
      <c r="AX26" s="1709">
        <v>53.092640519999968</v>
      </c>
      <c r="AY26" s="1709">
        <v>57.552055229999965</v>
      </c>
      <c r="AZ26" s="1709">
        <v>72.626177639999952</v>
      </c>
      <c r="BA26" s="1709">
        <v>66</v>
      </c>
    </row>
    <row r="27" spans="1:137" s="1540" customFormat="1" thickTop="1" x14ac:dyDescent="0.25">
      <c r="A27" s="1540" t="s">
        <v>1091</v>
      </c>
      <c r="EE27" s="1677"/>
      <c r="EF27" s="1677"/>
      <c r="EG27" s="1677"/>
    </row>
    <row r="28" spans="1:137" s="1540" customFormat="1" ht="14.25" x14ac:dyDescent="0.25">
      <c r="A28" s="1540" t="s">
        <v>1092</v>
      </c>
      <c r="EE28" s="1677"/>
      <c r="EF28" s="1677"/>
      <c r="EG28" s="1677"/>
    </row>
    <row r="29" spans="1:137" s="1543" customFormat="1" ht="16.5" customHeight="1" x14ac:dyDescent="0.25">
      <c r="A29" s="1543" t="s">
        <v>1046</v>
      </c>
      <c r="EE29" s="1710"/>
      <c r="EF29" s="1710"/>
      <c r="EG29" s="1710"/>
    </row>
    <row r="30" spans="1:137" s="1711" customFormat="1" x14ac:dyDescent="0.3">
      <c r="B30" s="1428"/>
      <c r="C30" s="1428"/>
      <c r="D30" s="1428"/>
      <c r="E30" s="1428"/>
      <c r="F30" s="1428"/>
      <c r="G30" s="1428"/>
      <c r="H30" s="1428"/>
      <c r="I30" s="1428"/>
      <c r="J30" s="1428"/>
      <c r="K30" s="1428"/>
      <c r="L30" s="1428"/>
      <c r="M30" s="1428"/>
      <c r="N30" s="1428"/>
      <c r="O30" s="1428"/>
    </row>
  </sheetData>
  <pageMargins left="0.7" right="0.7" top="0.75" bottom="0.75" header="0.3" footer="0.3"/>
  <pageSetup paperSize="9" scale="4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EF29"/>
  <sheetViews>
    <sheetView zoomScale="60" zoomScaleNormal="60" zoomScaleSheetLayoutView="70" workbookViewId="0">
      <selection activeCell="A38" sqref="A38"/>
    </sheetView>
  </sheetViews>
  <sheetFormatPr defaultRowHeight="15" x14ac:dyDescent="0.25"/>
  <cols>
    <col min="1" max="1" width="76.7109375" style="1027" customWidth="1"/>
    <col min="2" max="10" width="19.140625" style="1027" customWidth="1"/>
    <col min="11" max="16384" width="9.140625" style="1027"/>
  </cols>
  <sheetData>
    <row r="1" spans="1:10" ht="20.25" x14ac:dyDescent="0.35">
      <c r="A1" s="1712" t="s">
        <v>1093</v>
      </c>
      <c r="B1" s="1713"/>
      <c r="C1" s="1713"/>
      <c r="D1" s="1713"/>
      <c r="E1" s="1713"/>
      <c r="F1" s="330"/>
      <c r="G1" s="330"/>
      <c r="H1" s="330"/>
      <c r="I1" s="330"/>
      <c r="J1" s="330"/>
    </row>
    <row r="2" spans="1:10" ht="15.75" thickBot="1" x14ac:dyDescent="0.3">
      <c r="A2" s="1714"/>
      <c r="B2" s="1714"/>
      <c r="C2" s="1714"/>
      <c r="D2" s="1714"/>
      <c r="E2" s="1714"/>
      <c r="F2" s="1715"/>
      <c r="G2" s="1715"/>
      <c r="H2" s="1715"/>
      <c r="I2" s="1715"/>
      <c r="J2" s="1716" t="s">
        <v>281</v>
      </c>
    </row>
    <row r="3" spans="1:10" s="1717" customFormat="1" ht="30" customHeight="1" thickTop="1" thickBot="1" x14ac:dyDescent="0.3">
      <c r="A3" s="3321" t="s">
        <v>1094</v>
      </c>
      <c r="B3" s="3324" t="s">
        <v>1095</v>
      </c>
      <c r="C3" s="3324" t="s">
        <v>1057</v>
      </c>
      <c r="D3" s="3324" t="s">
        <v>1096</v>
      </c>
      <c r="E3" s="3324" t="s">
        <v>1097</v>
      </c>
      <c r="F3" s="3327" t="s">
        <v>1098</v>
      </c>
      <c r="G3" s="3328"/>
      <c r="H3" s="3328"/>
      <c r="I3" s="3329"/>
      <c r="J3" s="3330" t="s">
        <v>387</v>
      </c>
    </row>
    <row r="4" spans="1:10" s="1717" customFormat="1" ht="30" customHeight="1" x14ac:dyDescent="0.25">
      <c r="A4" s="3322"/>
      <c r="B4" s="3325"/>
      <c r="C4" s="3325"/>
      <c r="D4" s="3325"/>
      <c r="E4" s="3325"/>
      <c r="F4" s="3333" t="s">
        <v>1099</v>
      </c>
      <c r="G4" s="3333" t="s">
        <v>1100</v>
      </c>
      <c r="H4" s="3333" t="s">
        <v>1101</v>
      </c>
      <c r="I4" s="3333" t="s">
        <v>1102</v>
      </c>
      <c r="J4" s="3331"/>
    </row>
    <row r="5" spans="1:10" s="1717" customFormat="1" ht="30" customHeight="1" thickBot="1" x14ac:dyDescent="0.3">
      <c r="A5" s="3323"/>
      <c r="B5" s="3326"/>
      <c r="C5" s="3326"/>
      <c r="D5" s="3326"/>
      <c r="E5" s="3326"/>
      <c r="F5" s="3326"/>
      <c r="G5" s="3326"/>
      <c r="H5" s="3326"/>
      <c r="I5" s="3326"/>
      <c r="J5" s="3332"/>
    </row>
    <row r="6" spans="1:10" s="1717" customFormat="1" ht="30" customHeight="1" x14ac:dyDescent="0.25">
      <c r="A6" s="1718" t="s">
        <v>230</v>
      </c>
      <c r="B6" s="1719">
        <v>48.962238599999999</v>
      </c>
      <c r="C6" s="1719">
        <v>2935.1977358612098</v>
      </c>
      <c r="D6" s="1719">
        <v>107.75379753</v>
      </c>
      <c r="E6" s="1719">
        <v>0</v>
      </c>
      <c r="F6" s="1719">
        <v>0</v>
      </c>
      <c r="G6" s="1719">
        <v>0</v>
      </c>
      <c r="H6" s="1719">
        <v>0</v>
      </c>
      <c r="I6" s="1719">
        <v>0</v>
      </c>
      <c r="J6" s="1720">
        <v>3091.9137719912101</v>
      </c>
    </row>
    <row r="7" spans="1:10" s="1717" customFormat="1" ht="30" customHeight="1" x14ac:dyDescent="0.25">
      <c r="A7" s="1718" t="s">
        <v>228</v>
      </c>
      <c r="B7" s="1719">
        <v>139.16366447999999</v>
      </c>
      <c r="C7" s="1719">
        <v>23634.713121544701</v>
      </c>
      <c r="D7" s="1719">
        <v>0</v>
      </c>
      <c r="E7" s="1719">
        <v>11.593550199999999</v>
      </c>
      <c r="F7" s="1719">
        <v>0.16615871108999999</v>
      </c>
      <c r="G7" s="1719">
        <v>0</v>
      </c>
      <c r="H7" s="1719">
        <v>0</v>
      </c>
      <c r="I7" s="1719">
        <v>0</v>
      </c>
      <c r="J7" s="1720">
        <v>23785.636494935789</v>
      </c>
    </row>
    <row r="8" spans="1:10" s="1717" customFormat="1" ht="30" customHeight="1" x14ac:dyDescent="0.25">
      <c r="A8" s="1718" t="s">
        <v>226</v>
      </c>
      <c r="B8" s="1719">
        <v>0.1453719</v>
      </c>
      <c r="C8" s="1719">
        <v>22518.4306283447</v>
      </c>
      <c r="D8" s="1719">
        <v>1288.7611356</v>
      </c>
      <c r="E8" s="1719">
        <v>161.00196251372998</v>
      </c>
      <c r="F8" s="1719">
        <v>8.9765260599266998</v>
      </c>
      <c r="G8" s="1719">
        <v>0</v>
      </c>
      <c r="H8" s="1719">
        <v>104.70443870999999</v>
      </c>
      <c r="I8" s="1719">
        <v>0</v>
      </c>
      <c r="J8" s="1720">
        <v>24082.020063128355</v>
      </c>
    </row>
    <row r="9" spans="1:10" s="1717" customFormat="1" ht="30" customHeight="1" x14ac:dyDescent="0.25">
      <c r="A9" s="1718" t="s">
        <v>224</v>
      </c>
      <c r="B9" s="1719">
        <v>1.6889999499999999</v>
      </c>
      <c r="C9" s="1719">
        <v>20513.676495331201</v>
      </c>
      <c r="D9" s="1719">
        <v>0</v>
      </c>
      <c r="E9" s="1719">
        <v>0</v>
      </c>
      <c r="F9" s="1719">
        <v>0</v>
      </c>
      <c r="G9" s="1719">
        <v>0</v>
      </c>
      <c r="H9" s="1719">
        <v>0</v>
      </c>
      <c r="I9" s="1719">
        <v>35.484694490000003</v>
      </c>
      <c r="J9" s="1720">
        <v>20550.850189771201</v>
      </c>
    </row>
    <row r="10" spans="1:10" s="1717" customFormat="1" ht="30" customHeight="1" x14ac:dyDescent="0.25">
      <c r="A10" s="1721" t="s">
        <v>222</v>
      </c>
      <c r="B10" s="1719">
        <v>0</v>
      </c>
      <c r="C10" s="1719">
        <v>246.93896784670699</v>
      </c>
      <c r="D10" s="1719">
        <v>0</v>
      </c>
      <c r="E10" s="1719">
        <v>0</v>
      </c>
      <c r="F10" s="1719">
        <v>0</v>
      </c>
      <c r="G10" s="1719">
        <v>0</v>
      </c>
      <c r="H10" s="1719">
        <v>0</v>
      </c>
      <c r="I10" s="1719">
        <v>0</v>
      </c>
      <c r="J10" s="1720">
        <v>246.93896784670699</v>
      </c>
    </row>
    <row r="11" spans="1:10" s="1717" customFormat="1" ht="30" customHeight="1" x14ac:dyDescent="0.25">
      <c r="A11" s="1718" t="s">
        <v>220</v>
      </c>
      <c r="B11" s="1719">
        <v>38.118939795354095</v>
      </c>
      <c r="C11" s="1719">
        <v>10533.518351489845</v>
      </c>
      <c r="D11" s="1719">
        <v>0</v>
      </c>
      <c r="E11" s="1719">
        <v>0</v>
      </c>
      <c r="F11" s="1719">
        <v>0</v>
      </c>
      <c r="G11" s="1719">
        <v>0</v>
      </c>
      <c r="H11" s="1719">
        <v>1436.1225244725799</v>
      </c>
      <c r="I11" s="1719">
        <v>0</v>
      </c>
      <c r="J11" s="1720">
        <v>12007.75981575778</v>
      </c>
    </row>
    <row r="12" spans="1:10" s="1717" customFormat="1" ht="30" customHeight="1" x14ac:dyDescent="0.25">
      <c r="A12" s="1721" t="s">
        <v>1103</v>
      </c>
      <c r="B12" s="1719">
        <v>1603.6549986043601</v>
      </c>
      <c r="C12" s="1719">
        <v>25647.865473505641</v>
      </c>
      <c r="D12" s="1719">
        <v>10001.730849898</v>
      </c>
      <c r="E12" s="1719">
        <v>73541.114396999998</v>
      </c>
      <c r="F12" s="1719">
        <v>0</v>
      </c>
      <c r="G12" s="1719">
        <v>0</v>
      </c>
      <c r="H12" s="1719">
        <v>0</v>
      </c>
      <c r="I12" s="1719">
        <v>371.30439648999999</v>
      </c>
      <c r="J12" s="1720">
        <v>111165.670115498</v>
      </c>
    </row>
    <row r="13" spans="1:10" s="1717" customFormat="1" ht="30" customHeight="1" x14ac:dyDescent="0.25">
      <c r="A13" s="1718" t="s">
        <v>216</v>
      </c>
      <c r="B13" s="1719">
        <v>5.8296516299999999</v>
      </c>
      <c r="C13" s="1719">
        <v>11120.6516546723</v>
      </c>
      <c r="D13" s="1719">
        <v>0</v>
      </c>
      <c r="E13" s="1719">
        <v>0</v>
      </c>
      <c r="F13" s="1719">
        <v>7.6150000000000008E-5</v>
      </c>
      <c r="G13" s="1719">
        <v>0</v>
      </c>
      <c r="H13" s="1719">
        <v>0.16341671999999999</v>
      </c>
      <c r="I13" s="1719">
        <v>0</v>
      </c>
      <c r="J13" s="1720">
        <v>11126.6447991723</v>
      </c>
    </row>
    <row r="14" spans="1:10" s="1717" customFormat="1" ht="30" customHeight="1" x14ac:dyDescent="0.25">
      <c r="A14" s="1718" t="s">
        <v>214</v>
      </c>
      <c r="B14" s="1719">
        <v>447.54798024000002</v>
      </c>
      <c r="C14" s="1719">
        <v>9512.80156747</v>
      </c>
      <c r="D14" s="1719">
        <v>0</v>
      </c>
      <c r="E14" s="1719">
        <v>0</v>
      </c>
      <c r="F14" s="1719">
        <v>0</v>
      </c>
      <c r="G14" s="1719">
        <v>0</v>
      </c>
      <c r="H14" s="1719">
        <v>0</v>
      </c>
      <c r="I14" s="1719">
        <v>0</v>
      </c>
      <c r="J14" s="1720">
        <v>9960.3495477100005</v>
      </c>
    </row>
    <row r="15" spans="1:10" s="1717" customFormat="1" ht="30" customHeight="1" x14ac:dyDescent="0.25">
      <c r="A15" s="1718" t="s">
        <v>212</v>
      </c>
      <c r="B15" s="1719">
        <v>22.935451929999999</v>
      </c>
      <c r="C15" s="1719">
        <v>15427.598548108899</v>
      </c>
      <c r="D15" s="1719">
        <v>0</v>
      </c>
      <c r="E15" s="1719">
        <v>0</v>
      </c>
      <c r="F15" s="1719">
        <v>0</v>
      </c>
      <c r="G15" s="1719">
        <v>0</v>
      </c>
      <c r="H15" s="1719">
        <v>0</v>
      </c>
      <c r="I15" s="1719">
        <v>0</v>
      </c>
      <c r="J15" s="1720">
        <v>15450.534000038899</v>
      </c>
    </row>
    <row r="16" spans="1:10" s="1717" customFormat="1" ht="30" customHeight="1" x14ac:dyDescent="0.25">
      <c r="A16" s="1718" t="s">
        <v>208</v>
      </c>
      <c r="B16" s="1719">
        <v>117.08158460999999</v>
      </c>
      <c r="C16" s="1719">
        <v>11792.573991602199</v>
      </c>
      <c r="D16" s="1719">
        <v>0</v>
      </c>
      <c r="E16" s="1719">
        <v>0</v>
      </c>
      <c r="F16" s="1719">
        <v>115.46195016</v>
      </c>
      <c r="G16" s="1719">
        <v>0</v>
      </c>
      <c r="H16" s="1719">
        <v>12739.624887457701</v>
      </c>
      <c r="I16" s="1719">
        <v>0</v>
      </c>
      <c r="J16" s="1720">
        <v>24764.742413829899</v>
      </c>
    </row>
    <row r="17" spans="1:136" s="1717" customFormat="1" ht="30" customHeight="1" x14ac:dyDescent="0.25">
      <c r="A17" s="1718" t="s">
        <v>206</v>
      </c>
      <c r="B17" s="1719">
        <v>92.755454069999999</v>
      </c>
      <c r="C17" s="1719">
        <v>9747.1257365300007</v>
      </c>
      <c r="D17" s="1719">
        <v>0</v>
      </c>
      <c r="E17" s="1719">
        <v>0</v>
      </c>
      <c r="F17" s="1719">
        <v>0</v>
      </c>
      <c r="G17" s="1719">
        <v>0</v>
      </c>
      <c r="H17" s="1719">
        <v>0</v>
      </c>
      <c r="I17" s="1719">
        <v>0</v>
      </c>
      <c r="J17" s="1720">
        <v>9839.881190600001</v>
      </c>
    </row>
    <row r="18" spans="1:136" s="1717" customFormat="1" ht="30" customHeight="1" x14ac:dyDescent="0.25">
      <c r="A18" s="1718" t="s">
        <v>204</v>
      </c>
      <c r="B18" s="1719">
        <v>12.045341779999999</v>
      </c>
      <c r="C18" s="1719">
        <v>4806.3278565371602</v>
      </c>
      <c r="D18" s="1719">
        <v>108.93468557999999</v>
      </c>
      <c r="E18" s="1719">
        <v>0</v>
      </c>
      <c r="F18" s="1719">
        <v>0</v>
      </c>
      <c r="G18" s="1719">
        <v>0</v>
      </c>
      <c r="H18" s="1719">
        <v>3223.9894226700003</v>
      </c>
      <c r="I18" s="1719">
        <v>0</v>
      </c>
      <c r="J18" s="1720">
        <v>8151.2973065671613</v>
      </c>
    </row>
    <row r="19" spans="1:136" s="1717" customFormat="1" ht="30" customHeight="1" x14ac:dyDescent="0.25">
      <c r="A19" s="1718" t="s">
        <v>200</v>
      </c>
      <c r="B19" s="1719">
        <v>8.9687000000000002E-4</v>
      </c>
      <c r="C19" s="1719">
        <v>4.9809999999999945E-5</v>
      </c>
      <c r="D19" s="1719">
        <v>0</v>
      </c>
      <c r="E19" s="1719">
        <v>0</v>
      </c>
      <c r="F19" s="1719">
        <v>0</v>
      </c>
      <c r="G19" s="1719">
        <v>0</v>
      </c>
      <c r="H19" s="1719">
        <v>0</v>
      </c>
      <c r="I19" s="1719">
        <v>0</v>
      </c>
      <c r="J19" s="1720">
        <v>9.4667999999999998E-4</v>
      </c>
    </row>
    <row r="20" spans="1:136" s="1717" customFormat="1" ht="30" customHeight="1" x14ac:dyDescent="0.25">
      <c r="A20" s="1718" t="s">
        <v>198</v>
      </c>
      <c r="B20" s="1719">
        <v>2.5548599999999999E-3</v>
      </c>
      <c r="C20" s="1719">
        <v>489.278778868225</v>
      </c>
      <c r="D20" s="1719">
        <v>0</v>
      </c>
      <c r="E20" s="1719">
        <v>0</v>
      </c>
      <c r="F20" s="1719">
        <v>0</v>
      </c>
      <c r="G20" s="1719">
        <v>0</v>
      </c>
      <c r="H20" s="1719">
        <v>0</v>
      </c>
      <c r="I20" s="1719">
        <v>0</v>
      </c>
      <c r="J20" s="1720">
        <v>489.28133372822498</v>
      </c>
    </row>
    <row r="21" spans="1:136" s="1717" customFormat="1" ht="30" customHeight="1" x14ac:dyDescent="0.25">
      <c r="A21" s="1718" t="s">
        <v>196</v>
      </c>
      <c r="B21" s="1719">
        <v>1.2537069999999999E-2</v>
      </c>
      <c r="C21" s="1719">
        <v>0</v>
      </c>
      <c r="D21" s="1719">
        <v>0</v>
      </c>
      <c r="E21" s="1719">
        <v>0</v>
      </c>
      <c r="F21" s="1719">
        <v>0</v>
      </c>
      <c r="G21" s="1719">
        <v>0</v>
      </c>
      <c r="H21" s="1719">
        <v>0</v>
      </c>
      <c r="I21" s="1719">
        <v>0</v>
      </c>
      <c r="J21" s="1720">
        <v>1.2537069999999999E-2</v>
      </c>
    </row>
    <row r="22" spans="1:136" s="1717" customFormat="1" ht="30" customHeight="1" x14ac:dyDescent="0.25">
      <c r="A22" s="1718" t="s">
        <v>194</v>
      </c>
      <c r="B22" s="1719">
        <v>34.971531849999998</v>
      </c>
      <c r="C22" s="1719">
        <v>1678.3310451935201</v>
      </c>
      <c r="D22" s="1719">
        <v>0</v>
      </c>
      <c r="E22" s="1719">
        <v>0</v>
      </c>
      <c r="F22" s="1719">
        <v>0</v>
      </c>
      <c r="G22" s="1719">
        <v>0</v>
      </c>
      <c r="H22" s="1719">
        <v>0</v>
      </c>
      <c r="I22" s="1719">
        <v>0</v>
      </c>
      <c r="J22" s="1720">
        <v>1713.3025770435202</v>
      </c>
    </row>
    <row r="23" spans="1:136" s="1717" customFormat="1" ht="30" customHeight="1" x14ac:dyDescent="0.25">
      <c r="A23" s="1718" t="s">
        <v>1104</v>
      </c>
      <c r="B23" s="1719">
        <v>1120.3196613400003</v>
      </c>
      <c r="C23" s="1719">
        <v>5392.6233949298903</v>
      </c>
      <c r="D23" s="1719">
        <v>0</v>
      </c>
      <c r="E23" s="1719">
        <v>0</v>
      </c>
      <c r="F23" s="1719">
        <v>0</v>
      </c>
      <c r="G23" s="1719">
        <v>0</v>
      </c>
      <c r="H23" s="1719">
        <v>0</v>
      </c>
      <c r="I23" s="1719">
        <v>0</v>
      </c>
      <c r="J23" s="1720">
        <v>6512.9430562698908</v>
      </c>
    </row>
    <row r="24" spans="1:136" s="1717" customFormat="1" ht="30" customHeight="1" thickBot="1" x14ac:dyDescent="0.3">
      <c r="A24" s="1718" t="s">
        <v>1105</v>
      </c>
      <c r="B24" s="1719">
        <v>1867.7005975587078</v>
      </c>
      <c r="C24" s="1719">
        <v>144668.15815790099</v>
      </c>
      <c r="D24" s="1719">
        <v>45133.724464172898</v>
      </c>
      <c r="E24" s="1719">
        <v>3572.9361777800004</v>
      </c>
      <c r="F24" s="1719">
        <v>10672.456768844311</v>
      </c>
      <c r="G24" s="1719">
        <v>0</v>
      </c>
      <c r="H24" s="1719">
        <v>23816.918037608182</v>
      </c>
      <c r="I24" s="1719">
        <v>272151.76182775362</v>
      </c>
      <c r="J24" s="1720">
        <v>501883.65603161871</v>
      </c>
    </row>
    <row r="25" spans="1:136" s="1717" customFormat="1" ht="30" customHeight="1" thickBot="1" x14ac:dyDescent="0.3">
      <c r="A25" s="1722" t="s">
        <v>387</v>
      </c>
      <c r="B25" s="1723">
        <v>5552.9374571384224</v>
      </c>
      <c r="C25" s="1723">
        <v>320665.81155554717</v>
      </c>
      <c r="D25" s="1723">
        <v>56640.904932780897</v>
      </c>
      <c r="E25" s="1723">
        <v>77286.646087493718</v>
      </c>
      <c r="F25" s="1723">
        <v>10797.061479925327</v>
      </c>
      <c r="G25" s="1723">
        <v>0</v>
      </c>
      <c r="H25" s="1723">
        <v>41321.522727638468</v>
      </c>
      <c r="I25" s="1723">
        <v>272558.55091873364</v>
      </c>
      <c r="J25" s="1724">
        <v>784823.43515925761</v>
      </c>
    </row>
    <row r="26" spans="1:136" s="1543" customFormat="1" ht="28.5" customHeight="1" thickTop="1" x14ac:dyDescent="0.25">
      <c r="A26" s="3320" t="s">
        <v>1106</v>
      </c>
      <c r="B26" s="3320"/>
      <c r="C26" s="3320"/>
      <c r="D26" s="3320"/>
      <c r="E26" s="3320"/>
      <c r="F26" s="3320"/>
      <c r="G26" s="3320"/>
      <c r="H26" s="3320"/>
      <c r="I26" s="3320"/>
      <c r="J26" s="3320"/>
      <c r="ED26" s="1710"/>
      <c r="EE26" s="1710"/>
      <c r="EF26" s="1710"/>
    </row>
    <row r="27" spans="1:136" s="1543" customFormat="1" ht="14.25" x14ac:dyDescent="0.25">
      <c r="A27" s="1543" t="s">
        <v>173</v>
      </c>
      <c r="ED27" s="1710"/>
      <c r="EE27" s="1710"/>
      <c r="EF27" s="1710"/>
    </row>
    <row r="28" spans="1:136" s="1543" customFormat="1" ht="14.25" x14ac:dyDescent="0.25">
      <c r="A28" s="1543" t="s">
        <v>1046</v>
      </c>
      <c r="ED28" s="1710"/>
      <c r="EE28" s="1710"/>
      <c r="EF28" s="1710"/>
    </row>
    <row r="29" spans="1:136" ht="28.5" customHeight="1" x14ac:dyDescent="0.25"/>
  </sheetData>
  <mergeCells count="12">
    <mergeCell ref="A26:J26"/>
    <mergeCell ref="A3:A5"/>
    <mergeCell ref="B3:B5"/>
    <mergeCell ref="C3:C5"/>
    <mergeCell ref="D3:D5"/>
    <mergeCell ref="E3:E5"/>
    <mergeCell ref="F3:I3"/>
    <mergeCell ref="J3:J5"/>
    <mergeCell ref="F4:F5"/>
    <mergeCell ref="G4:G5"/>
    <mergeCell ref="H4:H5"/>
    <mergeCell ref="I4:I5"/>
  </mergeCells>
  <pageMargins left="0.7" right="0.7" top="0.75" bottom="0.75" header="0.3" footer="0.3"/>
  <pageSetup scale="49" orientation="landscape" r:id="rId1"/>
  <colBreaks count="1" manualBreakCount="1">
    <brk id="10"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EF32"/>
  <sheetViews>
    <sheetView zoomScale="85" zoomScaleNormal="85" zoomScaleSheetLayoutView="80" workbookViewId="0">
      <pane xSplit="2" topLeftCell="C1" activePane="topRight" state="frozen"/>
      <selection activeCell="A38" sqref="A38"/>
      <selection pane="topRight" activeCell="A38" sqref="A38"/>
    </sheetView>
  </sheetViews>
  <sheetFormatPr defaultColWidth="8.85546875" defaultRowHeight="20.100000000000001" customHeight="1" x14ac:dyDescent="0.25"/>
  <cols>
    <col min="1" max="1" width="4.85546875" style="1728" customWidth="1"/>
    <col min="2" max="2" width="40.42578125" style="1728" bestFit="1" customWidth="1"/>
    <col min="3" max="3" width="14" style="1728" bestFit="1" customWidth="1"/>
    <col min="4" max="5" width="14.42578125" style="1728" bestFit="1" customWidth="1"/>
    <col min="6" max="6" width="14" style="1728" bestFit="1" customWidth="1"/>
    <col min="7" max="7" width="14.42578125" style="1728" bestFit="1" customWidth="1"/>
    <col min="8" max="8" width="14.5703125" style="1728" bestFit="1" customWidth="1"/>
    <col min="9" max="9" width="14" style="1728" bestFit="1" customWidth="1"/>
    <col min="10" max="10" width="13.5703125" style="1728" bestFit="1" customWidth="1"/>
    <col min="11" max="11" width="13.7109375" style="1728" customWidth="1"/>
    <col min="12" max="12" width="14.42578125" style="1728" customWidth="1"/>
    <col min="13" max="13" width="13.28515625" style="1728" customWidth="1"/>
    <col min="14" max="14" width="13.5703125" style="1728" customWidth="1"/>
    <col min="15" max="15" width="13.42578125" style="1728" customWidth="1"/>
    <col min="16" max="16" width="12.5703125" style="1728" customWidth="1"/>
    <col min="17" max="18" width="8.85546875" style="1728"/>
    <col min="19" max="19" width="13.5703125" style="1728" bestFit="1" customWidth="1"/>
    <col min="20" max="20" width="8.85546875" style="1728"/>
    <col min="21" max="21" width="11.140625" style="1728" bestFit="1" customWidth="1"/>
    <col min="22" max="16384" width="8.85546875" style="1728"/>
  </cols>
  <sheetData>
    <row r="1" spans="1:136" ht="17.25" x14ac:dyDescent="0.25">
      <c r="A1" s="1725" t="s">
        <v>1107</v>
      </c>
      <c r="B1" s="1726"/>
      <c r="C1" s="1726"/>
      <c r="D1" s="1726"/>
      <c r="E1" s="1726"/>
      <c r="F1" s="1726"/>
      <c r="G1" s="1726"/>
      <c r="H1" s="1726"/>
      <c r="I1" s="1726"/>
      <c r="J1" s="1726"/>
      <c r="K1" s="1726"/>
      <c r="L1" s="1727"/>
      <c r="M1" s="1727"/>
      <c r="N1" s="1727"/>
      <c r="O1" s="1727"/>
    </row>
    <row r="2" spans="1:136" ht="18" thickBot="1" x14ac:dyDescent="0.3">
      <c r="A2" s="1729"/>
      <c r="B2" s="1729"/>
      <c r="C2" s="1730"/>
      <c r="D2" s="1730"/>
      <c r="E2" s="1730"/>
      <c r="F2" s="1730"/>
      <c r="H2" s="1731"/>
      <c r="I2" s="1732"/>
      <c r="J2" s="1733" t="s">
        <v>1108</v>
      </c>
      <c r="N2" s="1727"/>
    </row>
    <row r="3" spans="1:136" s="1551" customFormat="1" ht="17.25" thickBot="1" x14ac:dyDescent="0.3">
      <c r="A3" s="3334"/>
      <c r="B3" s="3335"/>
      <c r="C3" s="3336" t="s">
        <v>1109</v>
      </c>
      <c r="D3" s="3337"/>
      <c r="E3" s="3337"/>
      <c r="F3" s="3337"/>
      <c r="G3" s="3337"/>
      <c r="H3" s="3338"/>
      <c r="I3" s="1734" t="s">
        <v>176</v>
      </c>
      <c r="J3" s="1734" t="s">
        <v>176</v>
      </c>
    </row>
    <row r="4" spans="1:136" s="1551" customFormat="1" ht="17.25" thickBot="1" x14ac:dyDescent="0.3">
      <c r="A4" s="1735"/>
      <c r="B4" s="1736"/>
      <c r="C4" s="1737">
        <v>45176</v>
      </c>
      <c r="D4" s="1737">
        <v>45177</v>
      </c>
      <c r="E4" s="1737">
        <v>45183</v>
      </c>
      <c r="F4" s="1737">
        <v>45190</v>
      </c>
      <c r="G4" s="1737">
        <v>45191</v>
      </c>
      <c r="H4" s="1737">
        <v>45197</v>
      </c>
      <c r="I4" s="1738">
        <v>45139</v>
      </c>
      <c r="J4" s="1738">
        <v>45170</v>
      </c>
    </row>
    <row r="5" spans="1:136" ht="17.25" x14ac:dyDescent="0.25">
      <c r="A5" s="1739"/>
      <c r="B5" s="1740"/>
      <c r="C5" s="1741" t="s">
        <v>306</v>
      </c>
      <c r="D5" s="1741"/>
      <c r="E5" s="1741"/>
      <c r="F5" s="1741"/>
      <c r="G5" s="1741"/>
      <c r="H5" s="1741"/>
      <c r="I5" s="1742"/>
      <c r="J5" s="1742"/>
      <c r="K5" s="1743"/>
    </row>
    <row r="6" spans="1:136" ht="17.25" x14ac:dyDescent="0.25">
      <c r="A6" s="1744">
        <v>1</v>
      </c>
      <c r="B6" s="1745" t="s">
        <v>1110</v>
      </c>
      <c r="C6" s="1746">
        <v>500</v>
      </c>
      <c r="D6" s="1746">
        <v>0</v>
      </c>
      <c r="E6" s="1746">
        <v>500</v>
      </c>
      <c r="F6" s="1746">
        <v>500</v>
      </c>
      <c r="G6" s="1746">
        <v>0</v>
      </c>
      <c r="H6" s="1746">
        <v>700</v>
      </c>
      <c r="I6" s="1747">
        <v>3700</v>
      </c>
      <c r="J6" s="1747">
        <f>SUM(C6:H6)</f>
        <v>2200</v>
      </c>
      <c r="K6" s="1743"/>
    </row>
    <row r="7" spans="1:136" ht="17.25" x14ac:dyDescent="0.25">
      <c r="A7" s="1744">
        <v>2</v>
      </c>
      <c r="B7" s="1745" t="s">
        <v>1111</v>
      </c>
      <c r="C7" s="1746">
        <v>1000</v>
      </c>
      <c r="D7" s="1746">
        <v>0</v>
      </c>
      <c r="E7" s="1746">
        <v>1450</v>
      </c>
      <c r="F7" s="1746">
        <v>1300</v>
      </c>
      <c r="G7" s="1746">
        <v>0</v>
      </c>
      <c r="H7" s="1746">
        <v>2310</v>
      </c>
      <c r="I7" s="1746">
        <v>9220</v>
      </c>
      <c r="J7" s="1746">
        <f>SUM(C7:H7)</f>
        <v>6060</v>
      </c>
    </row>
    <row r="8" spans="1:136" ht="17.25" x14ac:dyDescent="0.25">
      <c r="A8" s="1744">
        <v>3</v>
      </c>
      <c r="B8" s="1748" t="s">
        <v>1112</v>
      </c>
      <c r="C8" s="1746">
        <v>500</v>
      </c>
      <c r="D8" s="1746">
        <v>0</v>
      </c>
      <c r="E8" s="1746">
        <v>500</v>
      </c>
      <c r="F8" s="1746">
        <v>850</v>
      </c>
      <c r="G8" s="1746">
        <v>0</v>
      </c>
      <c r="H8" s="1746">
        <v>1100</v>
      </c>
      <c r="I8" s="1746">
        <v>3700</v>
      </c>
      <c r="J8" s="1746">
        <f>SUM(C8:H8)</f>
        <v>2950</v>
      </c>
    </row>
    <row r="9" spans="1:136" ht="17.25" x14ac:dyDescent="0.25">
      <c r="A9" s="1744">
        <v>4</v>
      </c>
      <c r="B9" s="1745" t="s">
        <v>1113</v>
      </c>
      <c r="C9" s="1746">
        <v>0</v>
      </c>
      <c r="D9" s="1746">
        <v>600</v>
      </c>
      <c r="E9" s="1746">
        <v>800</v>
      </c>
      <c r="F9" s="1746">
        <v>0</v>
      </c>
      <c r="G9" s="1746">
        <v>500</v>
      </c>
      <c r="H9" s="1746">
        <v>800</v>
      </c>
      <c r="I9" s="1747">
        <v>4600</v>
      </c>
      <c r="J9" s="1747">
        <f>SUM(C9:H9)</f>
        <v>2700</v>
      </c>
      <c r="K9" s="1743"/>
    </row>
    <row r="10" spans="1:136" ht="17.25" x14ac:dyDescent="0.25">
      <c r="A10" s="1744">
        <v>5</v>
      </c>
      <c r="B10" s="1745" t="s">
        <v>1114</v>
      </c>
      <c r="C10" s="1746">
        <f>C8-C9</f>
        <v>500</v>
      </c>
      <c r="D10" s="1746">
        <f t="shared" ref="D10:H10" si="0">D8-D9</f>
        <v>-600</v>
      </c>
      <c r="E10" s="1746">
        <f t="shared" si="0"/>
        <v>-300</v>
      </c>
      <c r="F10" s="1746">
        <f t="shared" si="0"/>
        <v>850</v>
      </c>
      <c r="G10" s="1746">
        <f t="shared" si="0"/>
        <v>-500</v>
      </c>
      <c r="H10" s="1746">
        <f t="shared" si="0"/>
        <v>300</v>
      </c>
      <c r="I10" s="1746">
        <v>-900</v>
      </c>
      <c r="J10" s="1746">
        <f>SUM(C10:H10)</f>
        <v>250</v>
      </c>
    </row>
    <row r="11" spans="1:136" ht="18" thickBot="1" x14ac:dyDescent="0.3">
      <c r="A11" s="1744"/>
      <c r="B11" s="1749"/>
      <c r="C11" s="1750"/>
      <c r="D11" s="1751"/>
      <c r="E11" s="1750"/>
      <c r="F11" s="1751"/>
      <c r="G11" s="1751"/>
      <c r="H11" s="1750"/>
      <c r="I11" s="1751"/>
      <c r="J11" s="1751"/>
    </row>
    <row r="12" spans="1:136" s="1540" customFormat="1" ht="14.25" x14ac:dyDescent="0.25">
      <c r="A12" s="1752" t="s">
        <v>173</v>
      </c>
      <c r="B12" s="1752"/>
      <c r="C12" s="1752"/>
      <c r="E12" s="1752"/>
      <c r="H12" s="1752"/>
      <c r="I12" s="1752"/>
      <c r="EA12" s="1677"/>
      <c r="EB12" s="1677"/>
      <c r="EC12" s="1677"/>
    </row>
    <row r="13" spans="1:136" s="1540" customFormat="1" ht="14.25" x14ac:dyDescent="0.25">
      <c r="A13" s="1540" t="s">
        <v>0</v>
      </c>
      <c r="ED13" s="1677"/>
      <c r="EE13" s="1677"/>
      <c r="EF13" s="1677"/>
    </row>
    <row r="14" spans="1:136" ht="17.25" x14ac:dyDescent="0.25">
      <c r="A14" s="1727"/>
      <c r="B14" s="1726"/>
      <c r="C14" s="1726"/>
      <c r="D14" s="1726"/>
      <c r="E14" s="1726"/>
      <c r="F14" s="1726"/>
      <c r="G14" s="1726"/>
      <c r="H14" s="1726"/>
      <c r="I14" s="1726"/>
      <c r="J14" s="1726"/>
      <c r="K14" s="1726"/>
      <c r="L14" s="1727"/>
      <c r="M14" s="1727"/>
      <c r="N14" s="1753"/>
      <c r="O14" s="1727"/>
    </row>
    <row r="15" spans="1:136" ht="17.25" x14ac:dyDescent="0.25">
      <c r="A15" s="1725" t="s">
        <v>1115</v>
      </c>
      <c r="B15" s="1727"/>
      <c r="C15" s="1727"/>
      <c r="D15" s="1727"/>
      <c r="E15" s="1727"/>
      <c r="F15" s="1727"/>
      <c r="G15" s="1730"/>
    </row>
    <row r="16" spans="1:136" ht="18" thickBot="1" x14ac:dyDescent="0.3">
      <c r="A16" s="1726"/>
      <c r="B16" s="1727"/>
      <c r="C16" s="1727"/>
      <c r="D16" s="1727"/>
      <c r="E16" s="1727"/>
      <c r="F16" s="1727"/>
      <c r="G16" s="1754"/>
      <c r="H16" s="1754"/>
      <c r="I16" s="1754"/>
      <c r="J16" s="1754"/>
      <c r="K16" s="1754"/>
      <c r="L16" s="1754"/>
      <c r="M16" s="1754"/>
      <c r="N16" s="1754"/>
      <c r="O16" s="1755" t="s">
        <v>281</v>
      </c>
      <c r="P16" s="1730"/>
    </row>
    <row r="17" spans="1:136" s="1551" customFormat="1" ht="18" thickTop="1" thickBot="1" x14ac:dyDescent="0.3">
      <c r="A17" s="3339"/>
      <c r="B17" s="3340"/>
      <c r="C17" s="1756">
        <v>44805</v>
      </c>
      <c r="D17" s="1756">
        <v>44835</v>
      </c>
      <c r="E17" s="1756">
        <v>44866</v>
      </c>
      <c r="F17" s="1756">
        <v>44896</v>
      </c>
      <c r="G17" s="1756">
        <v>44927</v>
      </c>
      <c r="H17" s="1756">
        <v>44958</v>
      </c>
      <c r="I17" s="1756">
        <v>44986</v>
      </c>
      <c r="J17" s="1757">
        <v>45017</v>
      </c>
      <c r="K17" s="1756">
        <v>45047</v>
      </c>
      <c r="L17" s="1756">
        <v>45078</v>
      </c>
      <c r="M17" s="1756">
        <v>45108</v>
      </c>
      <c r="N17" s="1758">
        <v>45139</v>
      </c>
      <c r="O17" s="1758">
        <v>45170</v>
      </c>
    </row>
    <row r="18" spans="1:136" ht="17.25" x14ac:dyDescent="0.25">
      <c r="A18" s="1759"/>
      <c r="B18" s="1760"/>
      <c r="C18" s="1761"/>
      <c r="D18" s="1761"/>
      <c r="E18" s="1761"/>
      <c r="F18" s="1761"/>
      <c r="G18" s="1761"/>
      <c r="H18" s="1761"/>
      <c r="I18" s="1761"/>
      <c r="J18" s="1762"/>
      <c r="K18" s="1761"/>
      <c r="L18" s="1761"/>
      <c r="M18" s="1761"/>
      <c r="N18" s="1763"/>
      <c r="O18" s="1763"/>
    </row>
    <row r="19" spans="1:136" ht="17.25" x14ac:dyDescent="0.25">
      <c r="A19" s="1744">
        <v>1</v>
      </c>
      <c r="B19" s="1764" t="s">
        <v>1116</v>
      </c>
      <c r="C19" s="1765">
        <v>2500</v>
      </c>
      <c r="D19" s="1765">
        <v>2000</v>
      </c>
      <c r="E19" s="1765">
        <v>2400</v>
      </c>
      <c r="F19" s="1765">
        <v>2500</v>
      </c>
      <c r="G19" s="1765">
        <v>1500</v>
      </c>
      <c r="H19" s="1765">
        <v>2000</v>
      </c>
      <c r="I19" s="1765">
        <v>4000</v>
      </c>
      <c r="J19" s="1766">
        <v>3200</v>
      </c>
      <c r="K19" s="1765">
        <v>3200</v>
      </c>
      <c r="L19" s="1765">
        <v>3000</v>
      </c>
      <c r="M19" s="1765">
        <v>2000</v>
      </c>
      <c r="N19" s="1767">
        <v>3700</v>
      </c>
      <c r="O19" s="1767">
        <v>2200</v>
      </c>
    </row>
    <row r="20" spans="1:136" ht="17.25" x14ac:dyDescent="0.25">
      <c r="A20" s="1768"/>
      <c r="B20" s="1764"/>
      <c r="C20" s="1769"/>
      <c r="D20" s="1769"/>
      <c r="E20" s="1769"/>
      <c r="F20" s="1769"/>
      <c r="G20" s="1769"/>
      <c r="H20" s="1769"/>
      <c r="I20" s="1769"/>
      <c r="J20" s="1770"/>
      <c r="K20" s="1769"/>
      <c r="L20" s="1769"/>
      <c r="M20" s="1769"/>
      <c r="N20" s="1771"/>
      <c r="O20" s="1771"/>
    </row>
    <row r="21" spans="1:136" ht="17.25" x14ac:dyDescent="0.25">
      <c r="A21" s="1744">
        <v>2</v>
      </c>
      <c r="B21" s="1764" t="s">
        <v>1117</v>
      </c>
      <c r="C21" s="1765">
        <v>6500</v>
      </c>
      <c r="D21" s="1765">
        <v>5100</v>
      </c>
      <c r="E21" s="1765">
        <v>5100</v>
      </c>
      <c r="F21" s="1765">
        <v>5900</v>
      </c>
      <c r="G21" s="1765">
        <v>6000</v>
      </c>
      <c r="H21" s="1765">
        <v>7400</v>
      </c>
      <c r="I21" s="1765">
        <v>10950</v>
      </c>
      <c r="J21" s="1766">
        <v>8700</v>
      </c>
      <c r="K21" s="1765">
        <v>7190</v>
      </c>
      <c r="L21" s="1765">
        <v>8940</v>
      </c>
      <c r="M21" s="1765">
        <v>8000</v>
      </c>
      <c r="N21" s="1767">
        <f>SUM(N22:N24)</f>
        <v>9220</v>
      </c>
      <c r="O21" s="1767">
        <f>SUM(O22:O24)</f>
        <v>6060</v>
      </c>
    </row>
    <row r="22" spans="1:136" ht="17.25" x14ac:dyDescent="0.25">
      <c r="A22" s="1768"/>
      <c r="B22" s="1772" t="s">
        <v>1118</v>
      </c>
      <c r="C22" s="1773">
        <v>0</v>
      </c>
      <c r="D22" s="1773">
        <v>0</v>
      </c>
      <c r="E22" s="1773">
        <v>0</v>
      </c>
      <c r="F22" s="1773">
        <v>0</v>
      </c>
      <c r="G22" s="1773">
        <v>0</v>
      </c>
      <c r="H22" s="1773">
        <v>2000</v>
      </c>
      <c r="I22" s="1773">
        <v>2500</v>
      </c>
      <c r="J22" s="1774">
        <v>2150</v>
      </c>
      <c r="K22" s="1773">
        <v>1650</v>
      </c>
      <c r="L22" s="1773">
        <v>1580</v>
      </c>
      <c r="M22" s="1773">
        <v>2000</v>
      </c>
      <c r="N22" s="1775">
        <v>2400</v>
      </c>
      <c r="O22" s="1775">
        <v>2450</v>
      </c>
    </row>
    <row r="23" spans="1:136" ht="17.25" x14ac:dyDescent="0.25">
      <c r="A23" s="1768"/>
      <c r="B23" s="1764" t="s">
        <v>1119</v>
      </c>
      <c r="C23" s="1769">
        <v>4350</v>
      </c>
      <c r="D23" s="1769">
        <v>2400</v>
      </c>
      <c r="E23" s="1769">
        <v>2360</v>
      </c>
      <c r="F23" s="1769">
        <v>2450</v>
      </c>
      <c r="G23" s="1769">
        <v>2000</v>
      </c>
      <c r="H23" s="1769">
        <v>3400</v>
      </c>
      <c r="I23" s="1769">
        <v>4100</v>
      </c>
      <c r="J23" s="1770">
        <v>2200</v>
      </c>
      <c r="K23" s="1769">
        <v>3390</v>
      </c>
      <c r="L23" s="1769">
        <v>3980</v>
      </c>
      <c r="M23" s="1769">
        <v>2000</v>
      </c>
      <c r="N23" s="1771">
        <v>3860</v>
      </c>
      <c r="O23" s="1771">
        <v>2310</v>
      </c>
    </row>
    <row r="24" spans="1:136" ht="17.25" x14ac:dyDescent="0.25">
      <c r="A24" s="1768"/>
      <c r="B24" s="1764" t="s">
        <v>1120</v>
      </c>
      <c r="C24" s="1776">
        <v>2150</v>
      </c>
      <c r="D24" s="1776">
        <v>2700</v>
      </c>
      <c r="E24" s="1776">
        <v>2740</v>
      </c>
      <c r="F24" s="1776">
        <v>3450</v>
      </c>
      <c r="G24" s="1776">
        <v>4000</v>
      </c>
      <c r="H24" s="1776">
        <v>2000</v>
      </c>
      <c r="I24" s="1776">
        <v>4350</v>
      </c>
      <c r="J24" s="1777">
        <v>4350</v>
      </c>
      <c r="K24" s="1769">
        <v>2150</v>
      </c>
      <c r="L24" s="1769">
        <v>3380</v>
      </c>
      <c r="M24" s="1769">
        <v>4000</v>
      </c>
      <c r="N24" s="1771">
        <v>2960</v>
      </c>
      <c r="O24" s="1771">
        <v>1300</v>
      </c>
    </row>
    <row r="25" spans="1:136" ht="17.25" x14ac:dyDescent="0.25">
      <c r="A25" s="1744">
        <v>3</v>
      </c>
      <c r="B25" s="1772" t="s">
        <v>1121</v>
      </c>
      <c r="C25" s="1778">
        <v>3100</v>
      </c>
      <c r="D25" s="1778">
        <v>2000</v>
      </c>
      <c r="E25" s="1778">
        <v>2400</v>
      </c>
      <c r="F25" s="1778">
        <v>1250</v>
      </c>
      <c r="G25" s="1778">
        <v>1500</v>
      </c>
      <c r="H25" s="1778">
        <v>2000</v>
      </c>
      <c r="I25" s="1778">
        <v>4000</v>
      </c>
      <c r="J25" s="1779">
        <v>3200</v>
      </c>
      <c r="K25" s="1765">
        <v>3200</v>
      </c>
      <c r="L25" s="1765">
        <v>2780</v>
      </c>
      <c r="M25" s="1765">
        <v>2500</v>
      </c>
      <c r="N25" s="1767">
        <f>SUM(N26:N28)</f>
        <v>3700</v>
      </c>
      <c r="O25" s="1767">
        <f>SUM(O26:O28)</f>
        <v>2950</v>
      </c>
    </row>
    <row r="26" spans="1:136" ht="17.25" x14ac:dyDescent="0.25">
      <c r="A26" s="1744"/>
      <c r="B26" s="1772" t="s">
        <v>1118</v>
      </c>
      <c r="C26" s="1769">
        <v>0</v>
      </c>
      <c r="D26" s="1769">
        <v>0</v>
      </c>
      <c r="E26" s="1776">
        <v>0</v>
      </c>
      <c r="F26" s="1776">
        <v>0</v>
      </c>
      <c r="G26" s="1776">
        <v>0</v>
      </c>
      <c r="H26" s="1776">
        <v>500</v>
      </c>
      <c r="I26" s="1776">
        <v>800</v>
      </c>
      <c r="J26" s="1777">
        <v>800</v>
      </c>
      <c r="K26" s="1769">
        <v>800</v>
      </c>
      <c r="L26" s="1769">
        <v>600</v>
      </c>
      <c r="M26" s="1769">
        <v>500</v>
      </c>
      <c r="N26" s="1771">
        <v>800</v>
      </c>
      <c r="O26" s="1771">
        <v>1000</v>
      </c>
    </row>
    <row r="27" spans="1:136" ht="17.25" x14ac:dyDescent="0.25">
      <c r="A27" s="1768"/>
      <c r="B27" s="1764" t="s">
        <v>1119</v>
      </c>
      <c r="C27" s="1776">
        <v>2000</v>
      </c>
      <c r="D27" s="1776">
        <v>1000</v>
      </c>
      <c r="E27" s="1776">
        <v>1200</v>
      </c>
      <c r="F27" s="1776">
        <v>750</v>
      </c>
      <c r="G27" s="1776">
        <v>500</v>
      </c>
      <c r="H27" s="1776">
        <v>1000</v>
      </c>
      <c r="I27" s="1776">
        <v>1600</v>
      </c>
      <c r="J27" s="1777">
        <v>800</v>
      </c>
      <c r="K27" s="1769">
        <v>1600</v>
      </c>
      <c r="L27" s="1769">
        <v>600</v>
      </c>
      <c r="M27" s="1769">
        <v>500</v>
      </c>
      <c r="N27" s="1771">
        <v>1500</v>
      </c>
      <c r="O27" s="1771">
        <v>1100</v>
      </c>
    </row>
    <row r="28" spans="1:136" ht="17.25" x14ac:dyDescent="0.25">
      <c r="A28" s="1768"/>
      <c r="B28" s="1764" t="s">
        <v>1120</v>
      </c>
      <c r="C28" s="1776">
        <v>1100</v>
      </c>
      <c r="D28" s="1776">
        <v>1000</v>
      </c>
      <c r="E28" s="1776">
        <v>1200</v>
      </c>
      <c r="F28" s="1776">
        <v>500</v>
      </c>
      <c r="G28" s="1776">
        <v>1000</v>
      </c>
      <c r="H28" s="1776">
        <v>500</v>
      </c>
      <c r="I28" s="1776">
        <v>1600</v>
      </c>
      <c r="J28" s="1777">
        <v>1600</v>
      </c>
      <c r="K28" s="1769">
        <v>800</v>
      </c>
      <c r="L28" s="1769">
        <v>1580</v>
      </c>
      <c r="M28" s="1769">
        <v>1500</v>
      </c>
      <c r="N28" s="1771">
        <v>1400</v>
      </c>
      <c r="O28" s="1771">
        <v>850</v>
      </c>
    </row>
    <row r="29" spans="1:136" ht="18" thickBot="1" x14ac:dyDescent="0.3">
      <c r="A29" s="1780"/>
      <c r="B29" s="1781"/>
      <c r="C29" s="1782"/>
      <c r="D29" s="1782"/>
      <c r="E29" s="1782"/>
      <c r="F29" s="1782"/>
      <c r="G29" s="1782"/>
      <c r="H29" s="1782"/>
      <c r="I29" s="1782"/>
      <c r="J29" s="1783"/>
      <c r="K29" s="1784"/>
      <c r="L29" s="1784"/>
      <c r="M29" s="1784"/>
      <c r="N29" s="1785"/>
      <c r="O29" s="1785"/>
    </row>
    <row r="30" spans="1:136" s="1540" customFormat="1" ht="18" customHeight="1" thickTop="1" x14ac:dyDescent="0.25">
      <c r="A30" s="1540" t="s">
        <v>173</v>
      </c>
      <c r="ED30" s="1677"/>
      <c r="EE30" s="1677"/>
      <c r="EF30" s="1677"/>
    </row>
    <row r="31" spans="1:136" s="1543" customFormat="1" ht="21.75" customHeight="1" x14ac:dyDescent="0.25">
      <c r="A31" s="1543" t="s">
        <v>0</v>
      </c>
      <c r="ED31" s="1710"/>
      <c r="EE31" s="1710"/>
      <c r="EF31" s="1710"/>
    </row>
    <row r="32" spans="1:136" ht="17.25" x14ac:dyDescent="0.25">
      <c r="A32" s="1753"/>
      <c r="B32" s="1726"/>
      <c r="C32" s="1726"/>
      <c r="D32" s="1726"/>
      <c r="E32" s="1726"/>
      <c r="F32" s="1726"/>
      <c r="G32" s="1726"/>
      <c r="H32" s="1726"/>
      <c r="I32" s="1726"/>
      <c r="J32" s="1726"/>
      <c r="K32" s="1726"/>
      <c r="L32" s="1727"/>
      <c r="M32" s="1727"/>
      <c r="N32" s="1727"/>
      <c r="O32" s="1727"/>
    </row>
  </sheetData>
  <mergeCells count="3">
    <mergeCell ref="A3:B3"/>
    <mergeCell ref="C3:H3"/>
    <mergeCell ref="A17:B17"/>
  </mergeCells>
  <pageMargins left="0.7" right="0.7" top="0.75" bottom="0.75" header="0.3" footer="0.3"/>
  <pageSetup paperSize="9" scale="57" fitToHeight="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EF35"/>
  <sheetViews>
    <sheetView zoomScale="85" zoomScaleNormal="85" zoomScaleSheetLayoutView="90" workbookViewId="0">
      <pane xSplit="2" topLeftCell="C1" activePane="topRight" state="frozen"/>
      <selection activeCell="A38" sqref="A38"/>
      <selection pane="topRight" activeCell="A38" sqref="A38"/>
    </sheetView>
  </sheetViews>
  <sheetFormatPr defaultColWidth="9.140625" defaultRowHeight="20.100000000000001" customHeight="1" x14ac:dyDescent="0.25"/>
  <cols>
    <col min="1" max="1" width="5.140625" style="1786" customWidth="1"/>
    <col min="2" max="2" width="40.42578125" style="1786" bestFit="1" customWidth="1"/>
    <col min="3" max="3" width="14" style="1786" bestFit="1" customWidth="1"/>
    <col min="4" max="5" width="14.28515625" style="1786" bestFit="1" customWidth="1"/>
    <col min="6" max="6" width="14" style="1786" bestFit="1" customWidth="1"/>
    <col min="7" max="7" width="14.28515625" style="1786" bestFit="1" customWidth="1"/>
    <col min="8" max="8" width="16.28515625" style="1786" customWidth="1"/>
    <col min="9" max="9" width="14.28515625" style="1786" bestFit="1" customWidth="1"/>
    <col min="10" max="15" width="11.7109375" style="1786" customWidth="1"/>
    <col min="16" max="16" width="1.28515625" style="1786" customWidth="1"/>
    <col min="17" max="16384" width="9.140625" style="1786"/>
  </cols>
  <sheetData>
    <row r="1" spans="1:136" ht="17.25" x14ac:dyDescent="0.25">
      <c r="A1" s="1725" t="s">
        <v>1122</v>
      </c>
      <c r="B1" s="1726"/>
      <c r="C1" s="1726"/>
      <c r="D1" s="1726"/>
      <c r="E1" s="1726"/>
      <c r="F1" s="1726"/>
      <c r="G1" s="1726"/>
      <c r="H1" s="1726"/>
      <c r="I1" s="1726"/>
      <c r="J1" s="1727"/>
    </row>
    <row r="2" spans="1:136" ht="18" thickBot="1" x14ac:dyDescent="0.3">
      <c r="A2" s="1726"/>
      <c r="B2" s="1726"/>
      <c r="C2" s="1787"/>
      <c r="D2" s="1730"/>
      <c r="H2" s="1730"/>
      <c r="I2" s="1755"/>
      <c r="J2" s="1730"/>
      <c r="K2" s="1755" t="s">
        <v>1123</v>
      </c>
    </row>
    <row r="3" spans="1:136" ht="18.75" thickTop="1" thickBot="1" x14ac:dyDescent="0.3">
      <c r="A3" s="3341"/>
      <c r="B3" s="3342"/>
      <c r="C3" s="3336" t="s">
        <v>1109</v>
      </c>
      <c r="D3" s="3337"/>
      <c r="E3" s="3337"/>
      <c r="F3" s="3337"/>
      <c r="G3" s="3337"/>
      <c r="H3" s="3337"/>
      <c r="I3" s="3338"/>
      <c r="J3" s="1788" t="s">
        <v>176</v>
      </c>
      <c r="K3" s="1789" t="s">
        <v>176</v>
      </c>
    </row>
    <row r="4" spans="1:136" ht="18" thickBot="1" x14ac:dyDescent="0.3">
      <c r="A4" s="1790"/>
      <c r="B4" s="1791"/>
      <c r="C4" s="1737">
        <v>45170</v>
      </c>
      <c r="D4" s="1737">
        <v>45176</v>
      </c>
      <c r="E4" s="1737">
        <v>45183</v>
      </c>
      <c r="F4" s="1737">
        <v>45184</v>
      </c>
      <c r="G4" s="1737">
        <v>45190</v>
      </c>
      <c r="H4" s="1737">
        <v>45197</v>
      </c>
      <c r="I4" s="1737">
        <v>45198</v>
      </c>
      <c r="J4" s="1792">
        <v>45139</v>
      </c>
      <c r="K4" s="1793">
        <v>45170</v>
      </c>
      <c r="L4" s="1727"/>
      <c r="M4" s="1727"/>
      <c r="N4" s="1794"/>
      <c r="P4" s="1727"/>
      <c r="Q4" s="1727"/>
      <c r="R4" s="1727"/>
      <c r="S4" s="1727"/>
      <c r="T4" s="1727"/>
    </row>
    <row r="5" spans="1:136" ht="17.25" x14ac:dyDescent="0.25">
      <c r="A5" s="1795"/>
      <c r="B5" s="1796"/>
      <c r="C5" s="1797"/>
      <c r="D5" s="1797"/>
      <c r="E5" s="1797"/>
      <c r="F5" s="1797"/>
      <c r="G5" s="1797"/>
      <c r="H5" s="1797"/>
      <c r="I5" s="1797"/>
      <c r="J5" s="1797"/>
      <c r="K5" s="1798"/>
      <c r="L5" s="1727"/>
      <c r="M5" s="1727"/>
      <c r="N5" s="1799"/>
      <c r="P5" s="1727"/>
      <c r="Q5" s="1727"/>
      <c r="R5" s="1727"/>
      <c r="S5" s="1727"/>
      <c r="T5" s="1727"/>
      <c r="U5" s="1727"/>
      <c r="V5" s="1727"/>
      <c r="W5" s="1727"/>
      <c r="X5" s="1727"/>
      <c r="Y5" s="1727"/>
    </row>
    <row r="6" spans="1:136" ht="17.25" x14ac:dyDescent="0.25">
      <c r="A6" s="1744">
        <v>1</v>
      </c>
      <c r="B6" s="1800" t="s">
        <v>1110</v>
      </c>
      <c r="C6" s="1801">
        <v>0</v>
      </c>
      <c r="D6" s="1801">
        <v>8000</v>
      </c>
      <c r="E6" s="1801">
        <v>8000</v>
      </c>
      <c r="F6" s="1801">
        <v>0</v>
      </c>
      <c r="G6" s="1801">
        <v>8000</v>
      </c>
      <c r="H6" s="1801">
        <v>8000</v>
      </c>
      <c r="I6" s="1801">
        <v>0</v>
      </c>
      <c r="J6" s="1801">
        <v>15000</v>
      </c>
      <c r="K6" s="1802">
        <f>SUM(C6:I6)</f>
        <v>32000</v>
      </c>
      <c r="N6" s="1803"/>
    </row>
    <row r="7" spans="1:136" ht="17.25" x14ac:dyDescent="0.25">
      <c r="A7" s="1744">
        <v>2</v>
      </c>
      <c r="B7" s="1800" t="s">
        <v>1111</v>
      </c>
      <c r="C7" s="1801">
        <v>0</v>
      </c>
      <c r="D7" s="1801">
        <v>14300</v>
      </c>
      <c r="E7" s="1801">
        <v>15350</v>
      </c>
      <c r="F7" s="1801">
        <v>0</v>
      </c>
      <c r="G7" s="1801">
        <v>17200</v>
      </c>
      <c r="H7" s="1801">
        <v>15600</v>
      </c>
      <c r="I7" s="1801">
        <v>0</v>
      </c>
      <c r="J7" s="1801">
        <v>42050</v>
      </c>
      <c r="K7" s="1802">
        <f>SUM(C7:I7)</f>
        <v>62450</v>
      </c>
      <c r="N7" s="1803"/>
    </row>
    <row r="8" spans="1:136" ht="17.25" x14ac:dyDescent="0.25">
      <c r="A8" s="1744">
        <v>3</v>
      </c>
      <c r="B8" s="1804" t="s">
        <v>1112</v>
      </c>
      <c r="C8" s="1801">
        <v>0</v>
      </c>
      <c r="D8" s="1801">
        <v>8000</v>
      </c>
      <c r="E8" s="1801">
        <v>8000</v>
      </c>
      <c r="F8" s="1801">
        <v>0</v>
      </c>
      <c r="G8" s="1801">
        <v>8000</v>
      </c>
      <c r="H8" s="1801">
        <v>8000</v>
      </c>
      <c r="I8" s="1801">
        <v>0</v>
      </c>
      <c r="J8" s="1801">
        <v>15000</v>
      </c>
      <c r="K8" s="1802">
        <f>SUM(C8:I8)</f>
        <v>32000</v>
      </c>
      <c r="N8" s="1803"/>
    </row>
    <row r="9" spans="1:136" ht="17.25" x14ac:dyDescent="0.25">
      <c r="A9" s="1744">
        <v>4</v>
      </c>
      <c r="B9" s="1800" t="s">
        <v>1113</v>
      </c>
      <c r="C9" s="1801">
        <v>100</v>
      </c>
      <c r="D9" s="1801">
        <v>0</v>
      </c>
      <c r="E9" s="1801">
        <v>0</v>
      </c>
      <c r="F9" s="1801">
        <v>500</v>
      </c>
      <c r="G9" s="1801">
        <v>0</v>
      </c>
      <c r="H9" s="1801">
        <v>0</v>
      </c>
      <c r="I9" s="1801">
        <v>2900</v>
      </c>
      <c r="J9" s="1801">
        <v>2500</v>
      </c>
      <c r="K9" s="1802">
        <f>SUM(C9:I9)</f>
        <v>3500</v>
      </c>
      <c r="N9" s="1803"/>
    </row>
    <row r="10" spans="1:136" ht="17.25" x14ac:dyDescent="0.25">
      <c r="A10" s="1744">
        <v>5</v>
      </c>
      <c r="B10" s="1800" t="s">
        <v>1114</v>
      </c>
      <c r="C10" s="1801">
        <f t="shared" ref="C10:I10" si="0">C8-C9</f>
        <v>-100</v>
      </c>
      <c r="D10" s="1801">
        <f t="shared" si="0"/>
        <v>8000</v>
      </c>
      <c r="E10" s="1801">
        <f t="shared" si="0"/>
        <v>8000</v>
      </c>
      <c r="F10" s="1801">
        <f t="shared" si="0"/>
        <v>-500</v>
      </c>
      <c r="G10" s="1801">
        <f t="shared" si="0"/>
        <v>8000</v>
      </c>
      <c r="H10" s="1801">
        <f t="shared" si="0"/>
        <v>8000</v>
      </c>
      <c r="I10" s="1801">
        <f t="shared" si="0"/>
        <v>-2900</v>
      </c>
      <c r="J10" s="1801">
        <v>12500</v>
      </c>
      <c r="K10" s="1802">
        <f>K8-K9</f>
        <v>28500</v>
      </c>
      <c r="L10" s="1805"/>
      <c r="N10" s="1803"/>
    </row>
    <row r="11" spans="1:136" ht="18" thickBot="1" x14ac:dyDescent="0.3">
      <c r="A11" s="1806"/>
      <c r="B11" s="1807"/>
      <c r="C11" s="1808"/>
      <c r="D11" s="1808"/>
      <c r="E11" s="1808"/>
      <c r="F11" s="1808"/>
      <c r="G11" s="1808"/>
      <c r="H11" s="1808"/>
      <c r="I11" s="1808"/>
      <c r="J11" s="1808"/>
      <c r="K11" s="1809"/>
      <c r="N11" s="1799"/>
    </row>
    <row r="12" spans="1:136" s="1540" customFormat="1" ht="15" thickTop="1" x14ac:dyDescent="0.25">
      <c r="A12" s="1540" t="s">
        <v>173</v>
      </c>
      <c r="ED12" s="1677"/>
      <c r="EE12" s="1677"/>
      <c r="EF12" s="1677"/>
    </row>
    <row r="13" spans="1:136" s="1540" customFormat="1" ht="14.25" x14ac:dyDescent="0.25">
      <c r="A13" s="1540" t="s">
        <v>0</v>
      </c>
      <c r="ED13" s="1677"/>
      <c r="EE13" s="1677"/>
      <c r="EF13" s="1677"/>
    </row>
    <row r="15" spans="1:136" ht="17.25" x14ac:dyDescent="0.25">
      <c r="A15" s="1725" t="s">
        <v>1124</v>
      </c>
      <c r="B15" s="1726"/>
    </row>
    <row r="16" spans="1:136" ht="18" thickBot="1" x14ac:dyDescent="0.3">
      <c r="A16" s="1726"/>
      <c r="B16" s="1726"/>
      <c r="C16" s="1730"/>
      <c r="K16" s="1730"/>
      <c r="O16" s="1755" t="s">
        <v>281</v>
      </c>
      <c r="P16" s="1730"/>
    </row>
    <row r="17" spans="1:136" ht="18.75" thickTop="1" thickBot="1" x14ac:dyDescent="0.3">
      <c r="A17" s="3343"/>
      <c r="B17" s="3344"/>
      <c r="C17" s="1756">
        <v>44805</v>
      </c>
      <c r="D17" s="1756">
        <v>44835</v>
      </c>
      <c r="E17" s="1756">
        <v>44866</v>
      </c>
      <c r="F17" s="1756">
        <v>44896</v>
      </c>
      <c r="G17" s="1756">
        <v>44927</v>
      </c>
      <c r="H17" s="1757">
        <v>44958</v>
      </c>
      <c r="I17" s="1756">
        <v>44986</v>
      </c>
      <c r="J17" s="1756">
        <v>45017</v>
      </c>
      <c r="K17" s="1756">
        <v>45047</v>
      </c>
      <c r="L17" s="1756">
        <v>45078</v>
      </c>
      <c r="M17" s="1758">
        <v>45108</v>
      </c>
      <c r="N17" s="1758">
        <v>45139</v>
      </c>
      <c r="O17" s="1758">
        <v>45170</v>
      </c>
    </row>
    <row r="18" spans="1:136" ht="17.25" x14ac:dyDescent="0.25">
      <c r="A18" s="1810"/>
      <c r="B18" s="1811"/>
      <c r="C18" s="1812"/>
      <c r="D18" s="1812"/>
      <c r="E18" s="1812"/>
      <c r="F18" s="1812"/>
      <c r="G18" s="1812"/>
      <c r="H18" s="1813"/>
      <c r="I18" s="1814"/>
      <c r="J18" s="1814"/>
      <c r="K18" s="1815"/>
      <c r="L18" s="1815"/>
      <c r="M18" s="1816"/>
      <c r="N18" s="1816"/>
      <c r="O18" s="1816"/>
    </row>
    <row r="19" spans="1:136" ht="17.25" x14ac:dyDescent="0.25">
      <c r="A19" s="1817">
        <v>1</v>
      </c>
      <c r="B19" s="1764" t="s">
        <v>1116</v>
      </c>
      <c r="C19" s="1818">
        <v>10000</v>
      </c>
      <c r="D19" s="1818">
        <v>10000</v>
      </c>
      <c r="E19" s="1818">
        <v>9000</v>
      </c>
      <c r="F19" s="1818">
        <v>12000</v>
      </c>
      <c r="G19" s="1818">
        <v>2000</v>
      </c>
      <c r="H19" s="1819">
        <v>2000</v>
      </c>
      <c r="I19" s="1820" t="s">
        <v>1014</v>
      </c>
      <c r="J19" s="1820" t="s">
        <v>1014</v>
      </c>
      <c r="K19" s="1820" t="s">
        <v>1014</v>
      </c>
      <c r="L19" s="1820" t="s">
        <v>1014</v>
      </c>
      <c r="M19" s="1821" t="s">
        <v>1014</v>
      </c>
      <c r="N19" s="1821">
        <v>15000</v>
      </c>
      <c r="O19" s="1821">
        <v>32000</v>
      </c>
    </row>
    <row r="20" spans="1:136" ht="17.25" x14ac:dyDescent="0.25">
      <c r="A20" s="1810"/>
      <c r="B20" s="1764"/>
      <c r="C20" s="1812"/>
      <c r="D20" s="1812"/>
      <c r="E20" s="1812"/>
      <c r="F20" s="1812"/>
      <c r="G20" s="1812"/>
      <c r="H20" s="1813"/>
      <c r="I20" s="1814"/>
      <c r="J20" s="1814"/>
      <c r="K20" s="1814"/>
      <c r="L20" s="1814"/>
      <c r="M20" s="1822"/>
      <c r="N20" s="1822"/>
      <c r="O20" s="1822"/>
    </row>
    <row r="21" spans="1:136" ht="17.25" x14ac:dyDescent="0.25">
      <c r="A21" s="1817">
        <v>2</v>
      </c>
      <c r="B21" s="1764" t="s">
        <v>1117</v>
      </c>
      <c r="C21" s="1818">
        <v>32250</v>
      </c>
      <c r="D21" s="1818">
        <v>39300</v>
      </c>
      <c r="E21" s="1818">
        <v>19100</v>
      </c>
      <c r="F21" s="1818">
        <v>27650</v>
      </c>
      <c r="G21" s="1818">
        <v>5900</v>
      </c>
      <c r="H21" s="1819">
        <v>7250</v>
      </c>
      <c r="I21" s="1820" t="s">
        <v>1014</v>
      </c>
      <c r="J21" s="1820" t="s">
        <v>1014</v>
      </c>
      <c r="K21" s="1820" t="s">
        <v>1014</v>
      </c>
      <c r="L21" s="1820" t="s">
        <v>1014</v>
      </c>
      <c r="M21" s="1821" t="s">
        <v>1014</v>
      </c>
      <c r="N21" s="1821">
        <f>SUM(N22:N24)</f>
        <v>42050</v>
      </c>
      <c r="O21" s="1821">
        <f>SUM(O22:O24)</f>
        <v>62450</v>
      </c>
    </row>
    <row r="22" spans="1:136" ht="17.25" x14ac:dyDescent="0.25">
      <c r="A22" s="1810"/>
      <c r="B22" s="1772" t="s">
        <v>1118</v>
      </c>
      <c r="C22" s="1812">
        <v>25650</v>
      </c>
      <c r="D22" s="1812">
        <v>32500</v>
      </c>
      <c r="E22" s="1812">
        <v>19100</v>
      </c>
      <c r="F22" s="1812">
        <v>15750</v>
      </c>
      <c r="G22" s="1812">
        <v>4100</v>
      </c>
      <c r="H22" s="1813" t="s">
        <v>1014</v>
      </c>
      <c r="I22" s="1814" t="s">
        <v>1014</v>
      </c>
      <c r="J22" s="1814" t="s">
        <v>1014</v>
      </c>
      <c r="K22" s="1814" t="s">
        <v>1014</v>
      </c>
      <c r="L22" s="1814" t="s">
        <v>1014</v>
      </c>
      <c r="M22" s="1822" t="s">
        <v>1014</v>
      </c>
      <c r="N22" s="1822">
        <v>26900</v>
      </c>
      <c r="O22" s="1822">
        <v>19000</v>
      </c>
    </row>
    <row r="23" spans="1:136" ht="17.25" x14ac:dyDescent="0.25">
      <c r="A23" s="1810"/>
      <c r="B23" s="1764" t="s">
        <v>1119</v>
      </c>
      <c r="C23" s="1812">
        <v>1800</v>
      </c>
      <c r="D23" s="1812">
        <v>6800</v>
      </c>
      <c r="E23" s="1812" t="s">
        <v>1014</v>
      </c>
      <c r="F23" s="1812">
        <v>4850</v>
      </c>
      <c r="G23" s="1812">
        <v>650</v>
      </c>
      <c r="H23" s="1813">
        <v>7250</v>
      </c>
      <c r="I23" s="1814" t="s">
        <v>1014</v>
      </c>
      <c r="J23" s="1814" t="s">
        <v>1014</v>
      </c>
      <c r="K23" s="1814" t="s">
        <v>1014</v>
      </c>
      <c r="L23" s="1814" t="s">
        <v>1014</v>
      </c>
      <c r="M23" s="1822" t="s">
        <v>1014</v>
      </c>
      <c r="N23" s="1822">
        <v>9300</v>
      </c>
      <c r="O23" s="1822">
        <v>20500</v>
      </c>
    </row>
    <row r="24" spans="1:136" ht="17.25" x14ac:dyDescent="0.25">
      <c r="A24" s="1810"/>
      <c r="B24" s="1764" t="s">
        <v>1120</v>
      </c>
      <c r="C24" s="1812">
        <v>4800</v>
      </c>
      <c r="D24" s="1812" t="s">
        <v>1014</v>
      </c>
      <c r="E24" s="1812" t="s">
        <v>1014</v>
      </c>
      <c r="F24" s="1812">
        <v>7050</v>
      </c>
      <c r="G24" s="1812">
        <v>1150</v>
      </c>
      <c r="H24" s="1813" t="s">
        <v>1014</v>
      </c>
      <c r="I24" s="1814" t="s">
        <v>1014</v>
      </c>
      <c r="J24" s="1814" t="s">
        <v>1014</v>
      </c>
      <c r="K24" s="1814" t="s">
        <v>1014</v>
      </c>
      <c r="L24" s="1814" t="s">
        <v>1014</v>
      </c>
      <c r="M24" s="1822" t="s">
        <v>1014</v>
      </c>
      <c r="N24" s="1822">
        <v>5850</v>
      </c>
      <c r="O24" s="1822">
        <v>22950</v>
      </c>
    </row>
    <row r="25" spans="1:136" ht="17.25" x14ac:dyDescent="0.25">
      <c r="A25" s="1817">
        <v>3</v>
      </c>
      <c r="B25" s="1772" t="s">
        <v>1121</v>
      </c>
      <c r="C25" s="1818">
        <v>24000</v>
      </c>
      <c r="D25" s="1818">
        <v>18450</v>
      </c>
      <c r="E25" s="1818">
        <v>7500</v>
      </c>
      <c r="F25" s="1818">
        <v>7700</v>
      </c>
      <c r="G25" s="1818" t="s">
        <v>1014</v>
      </c>
      <c r="H25" s="1819">
        <v>2000</v>
      </c>
      <c r="I25" s="1820" t="s">
        <v>1014</v>
      </c>
      <c r="J25" s="1820" t="s">
        <v>1014</v>
      </c>
      <c r="K25" s="1820" t="s">
        <v>1014</v>
      </c>
      <c r="L25" s="1820" t="s">
        <v>1014</v>
      </c>
      <c r="M25" s="1821" t="s">
        <v>1014</v>
      </c>
      <c r="N25" s="1821">
        <f>SUM(N26:N28)</f>
        <v>15000</v>
      </c>
      <c r="O25" s="1821">
        <f>SUM(O26:O28)</f>
        <v>32000</v>
      </c>
    </row>
    <row r="26" spans="1:136" ht="17.25" x14ac:dyDescent="0.25">
      <c r="A26" s="1810"/>
      <c r="B26" s="1772" t="s">
        <v>1118</v>
      </c>
      <c r="C26" s="1812">
        <v>19500</v>
      </c>
      <c r="D26" s="1812">
        <v>15650</v>
      </c>
      <c r="E26" s="1812">
        <v>7500</v>
      </c>
      <c r="F26" s="1812">
        <v>5200</v>
      </c>
      <c r="G26" s="1812" t="s">
        <v>1014</v>
      </c>
      <c r="H26" s="1813" t="s">
        <v>1014</v>
      </c>
      <c r="I26" s="1814" t="s">
        <v>1014</v>
      </c>
      <c r="J26" s="1814" t="s">
        <v>1014</v>
      </c>
      <c r="K26" s="1814" t="s">
        <v>1014</v>
      </c>
      <c r="L26" s="1814" t="s">
        <v>1014</v>
      </c>
      <c r="M26" s="1822" t="s">
        <v>1014</v>
      </c>
      <c r="N26" s="1822">
        <v>10336.700000000001</v>
      </c>
      <c r="O26" s="1822">
        <v>8000</v>
      </c>
    </row>
    <row r="27" spans="1:136" ht="17.25" x14ac:dyDescent="0.25">
      <c r="A27" s="1810"/>
      <c r="B27" s="1764" t="s">
        <v>1119</v>
      </c>
      <c r="C27" s="1812">
        <v>1000</v>
      </c>
      <c r="D27" s="1812">
        <v>2800</v>
      </c>
      <c r="E27" s="1812" t="s">
        <v>1014</v>
      </c>
      <c r="F27" s="1812" t="s">
        <v>1014</v>
      </c>
      <c r="G27" s="1812" t="s">
        <v>1014</v>
      </c>
      <c r="H27" s="1813">
        <v>2000</v>
      </c>
      <c r="I27" s="1814" t="s">
        <v>1014</v>
      </c>
      <c r="J27" s="1814" t="s">
        <v>1014</v>
      </c>
      <c r="K27" s="1814" t="s">
        <v>1014</v>
      </c>
      <c r="L27" s="1814" t="s">
        <v>1014</v>
      </c>
      <c r="M27" s="1822" t="s">
        <v>1014</v>
      </c>
      <c r="N27" s="1822">
        <v>2972.5</v>
      </c>
      <c r="O27" s="1822">
        <v>12000</v>
      </c>
    </row>
    <row r="28" spans="1:136" ht="17.25" x14ac:dyDescent="0.25">
      <c r="A28" s="1810"/>
      <c r="B28" s="1764" t="s">
        <v>1120</v>
      </c>
      <c r="C28" s="1812">
        <v>3500</v>
      </c>
      <c r="D28" s="1812" t="s">
        <v>1014</v>
      </c>
      <c r="E28" s="1812" t="s">
        <v>1014</v>
      </c>
      <c r="F28" s="1812">
        <v>2500</v>
      </c>
      <c r="G28" s="1812" t="s">
        <v>1014</v>
      </c>
      <c r="H28" s="1813" t="s">
        <v>1014</v>
      </c>
      <c r="I28" s="1814" t="s">
        <v>1014</v>
      </c>
      <c r="J28" s="1814" t="s">
        <v>1014</v>
      </c>
      <c r="K28" s="1814" t="s">
        <v>1014</v>
      </c>
      <c r="L28" s="1814" t="s">
        <v>1014</v>
      </c>
      <c r="M28" s="1822" t="s">
        <v>1014</v>
      </c>
      <c r="N28" s="1822">
        <v>1690.8</v>
      </c>
      <c r="O28" s="1822">
        <v>12000</v>
      </c>
    </row>
    <row r="29" spans="1:136" ht="18" thickBot="1" x14ac:dyDescent="0.3">
      <c r="A29" s="1823"/>
      <c r="B29" s="1736"/>
      <c r="C29" s="1782"/>
      <c r="D29" s="1782"/>
      <c r="E29" s="1782"/>
      <c r="F29" s="1782"/>
      <c r="G29" s="1782"/>
      <c r="H29" s="1824"/>
      <c r="I29" s="1784"/>
      <c r="J29" s="1784"/>
      <c r="K29" s="1784"/>
      <c r="L29" s="1784"/>
      <c r="M29" s="1785"/>
      <c r="N29" s="1785"/>
      <c r="O29" s="1785"/>
    </row>
    <row r="30" spans="1:136" s="1540" customFormat="1" ht="14.25" x14ac:dyDescent="0.25">
      <c r="A30" s="1540" t="s">
        <v>173</v>
      </c>
      <c r="ED30" s="1677"/>
      <c r="EE30" s="1677"/>
      <c r="EF30" s="1677"/>
    </row>
    <row r="31" spans="1:136" s="1540" customFormat="1" ht="14.25" x14ac:dyDescent="0.25">
      <c r="A31" s="1540" t="s">
        <v>1125</v>
      </c>
      <c r="ED31" s="1677"/>
      <c r="EE31" s="1677"/>
      <c r="EF31" s="1677"/>
    </row>
    <row r="32" spans="1:136" s="1540" customFormat="1" ht="14.25" x14ac:dyDescent="0.25">
      <c r="A32" s="1540" t="s">
        <v>1126</v>
      </c>
      <c r="ED32" s="1677"/>
      <c r="EE32" s="1677"/>
      <c r="EF32" s="1677"/>
    </row>
    <row r="33" spans="1:136" s="1543" customFormat="1" ht="16.5" customHeight="1" x14ac:dyDescent="0.25">
      <c r="A33" s="1543" t="s">
        <v>0</v>
      </c>
      <c r="ED33" s="1710"/>
      <c r="EE33" s="1710"/>
      <c r="EF33" s="1710"/>
    </row>
    <row r="34" spans="1:136" s="1827" customFormat="1" ht="17.25" x14ac:dyDescent="0.3">
      <c r="A34" s="1825"/>
      <c r="B34" s="1826"/>
    </row>
    <row r="35" spans="1:136" ht="17.25" x14ac:dyDescent="0.25">
      <c r="I35" s="1786" t="s">
        <v>1127</v>
      </c>
    </row>
  </sheetData>
  <mergeCells count="3">
    <mergeCell ref="A3:B3"/>
    <mergeCell ref="C3:I3"/>
    <mergeCell ref="A17:B17"/>
  </mergeCells>
  <pageMargins left="0.7" right="0.7" top="0.75" bottom="0.75" header="0.3" footer="0.3"/>
  <pageSetup paperSize="9" scale="60" fitToHeight="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EF23"/>
  <sheetViews>
    <sheetView zoomScale="85" zoomScaleNormal="85" zoomScaleSheetLayoutView="90" workbookViewId="0">
      <pane xSplit="2" topLeftCell="C1" activePane="topRight" state="frozen"/>
      <selection activeCell="A38" sqref="A38"/>
      <selection pane="topRight" activeCell="A38" sqref="A38"/>
    </sheetView>
  </sheetViews>
  <sheetFormatPr defaultRowHeight="20.100000000000001" customHeight="1" x14ac:dyDescent="0.25"/>
  <cols>
    <col min="1" max="1" width="5.7109375" style="1830" customWidth="1"/>
    <col min="2" max="2" width="25.85546875" style="1830" bestFit="1" customWidth="1"/>
    <col min="3" max="6" width="12.42578125" style="1830" bestFit="1" customWidth="1"/>
    <col min="7" max="7" width="12.140625" style="1830" bestFit="1" customWidth="1"/>
    <col min="8" max="15" width="11.7109375" style="1830" customWidth="1"/>
    <col min="16" max="245" width="9.140625" style="1830"/>
    <col min="246" max="246" width="3.140625" style="1830" customWidth="1"/>
    <col min="247" max="247" width="47.7109375" style="1830" customWidth="1"/>
    <col min="248" max="248" width="12.28515625" style="1830" customWidth="1"/>
    <col min="249" max="249" width="13.140625" style="1830" customWidth="1"/>
    <col min="250" max="250" width="11.7109375" style="1830" customWidth="1"/>
    <col min="251" max="251" width="12.85546875" style="1830" customWidth="1"/>
    <col min="252" max="252" width="11.5703125" style="1830" customWidth="1"/>
    <col min="253" max="253" width="10.5703125" style="1830" customWidth="1"/>
    <col min="254" max="254" width="11.28515625" style="1830" customWidth="1"/>
    <col min="255" max="256" width="9.85546875" style="1830" customWidth="1"/>
    <col min="257" max="257" width="9.85546875" style="1830" bestFit="1" customWidth="1"/>
    <col min="258" max="258" width="9.140625" style="1830"/>
    <col min="259" max="259" width="9.42578125" style="1830" bestFit="1" customWidth="1"/>
    <col min="260" max="261" width="9.28515625" style="1830" bestFit="1" customWidth="1"/>
    <col min="262" max="264" width="9.28515625" style="1830" customWidth="1"/>
    <col min="265" max="265" width="9.28515625" style="1830" bestFit="1" customWidth="1"/>
    <col min="266" max="501" width="9.140625" style="1830"/>
    <col min="502" max="502" width="3.140625" style="1830" customWidth="1"/>
    <col min="503" max="503" width="47.7109375" style="1830" customWidth="1"/>
    <col min="504" max="504" width="12.28515625" style="1830" customWidth="1"/>
    <col min="505" max="505" width="13.140625" style="1830" customWidth="1"/>
    <col min="506" max="506" width="11.7109375" style="1830" customWidth="1"/>
    <col min="507" max="507" width="12.85546875" style="1830" customWidth="1"/>
    <col min="508" max="508" width="11.5703125" style="1830" customWidth="1"/>
    <col min="509" max="509" width="10.5703125" style="1830" customWidth="1"/>
    <col min="510" max="510" width="11.28515625" style="1830" customWidth="1"/>
    <col min="511" max="512" width="9.85546875" style="1830" customWidth="1"/>
    <col min="513" max="513" width="9.85546875" style="1830" bestFit="1" customWidth="1"/>
    <col min="514" max="514" width="9.140625" style="1830"/>
    <col min="515" max="515" width="9.42578125" style="1830" bestFit="1" customWidth="1"/>
    <col min="516" max="517" width="9.28515625" style="1830" bestFit="1" customWidth="1"/>
    <col min="518" max="520" width="9.28515625" style="1830" customWidth="1"/>
    <col min="521" max="521" width="9.28515625" style="1830" bestFit="1" customWidth="1"/>
    <col min="522" max="757" width="9.140625" style="1830"/>
    <col min="758" max="758" width="3.140625" style="1830" customWidth="1"/>
    <col min="759" max="759" width="47.7109375" style="1830" customWidth="1"/>
    <col min="760" max="760" width="12.28515625" style="1830" customWidth="1"/>
    <col min="761" max="761" width="13.140625" style="1830" customWidth="1"/>
    <col min="762" max="762" width="11.7109375" style="1830" customWidth="1"/>
    <col min="763" max="763" width="12.85546875" style="1830" customWidth="1"/>
    <col min="764" max="764" width="11.5703125" style="1830" customWidth="1"/>
    <col min="765" max="765" width="10.5703125" style="1830" customWidth="1"/>
    <col min="766" max="766" width="11.28515625" style="1830" customWidth="1"/>
    <col min="767" max="768" width="9.85546875" style="1830" customWidth="1"/>
    <col min="769" max="769" width="9.85546875" style="1830" bestFit="1" customWidth="1"/>
    <col min="770" max="770" width="9.140625" style="1830"/>
    <col min="771" max="771" width="9.42578125" style="1830" bestFit="1" customWidth="1"/>
    <col min="772" max="773" width="9.28515625" style="1830" bestFit="1" customWidth="1"/>
    <col min="774" max="776" width="9.28515625" style="1830" customWidth="1"/>
    <col min="777" max="777" width="9.28515625" style="1830" bestFit="1" customWidth="1"/>
    <col min="778" max="1013" width="9.140625" style="1830"/>
    <col min="1014" max="1014" width="3.140625" style="1830" customWidth="1"/>
    <col min="1015" max="1015" width="47.7109375" style="1830" customWidth="1"/>
    <col min="1016" max="1016" width="12.28515625" style="1830" customWidth="1"/>
    <col min="1017" max="1017" width="13.140625" style="1830" customWidth="1"/>
    <col min="1018" max="1018" width="11.7109375" style="1830" customWidth="1"/>
    <col min="1019" max="1019" width="12.85546875" style="1830" customWidth="1"/>
    <col min="1020" max="1020" width="11.5703125" style="1830" customWidth="1"/>
    <col min="1021" max="1021" width="10.5703125" style="1830" customWidth="1"/>
    <col min="1022" max="1022" width="11.28515625" style="1830" customWidth="1"/>
    <col min="1023" max="1024" width="9.85546875" style="1830" customWidth="1"/>
    <col min="1025" max="1025" width="9.85546875" style="1830" bestFit="1" customWidth="1"/>
    <col min="1026" max="1026" width="9.140625" style="1830"/>
    <col min="1027" max="1027" width="9.42578125" style="1830" bestFit="1" customWidth="1"/>
    <col min="1028" max="1029" width="9.28515625" style="1830" bestFit="1" customWidth="1"/>
    <col min="1030" max="1032" width="9.28515625" style="1830" customWidth="1"/>
    <col min="1033" max="1033" width="9.28515625" style="1830" bestFit="1" customWidth="1"/>
    <col min="1034" max="1269" width="9.140625" style="1830"/>
    <col min="1270" max="1270" width="3.140625" style="1830" customWidth="1"/>
    <col min="1271" max="1271" width="47.7109375" style="1830" customWidth="1"/>
    <col min="1272" max="1272" width="12.28515625" style="1830" customWidth="1"/>
    <col min="1273" max="1273" width="13.140625" style="1830" customWidth="1"/>
    <col min="1274" max="1274" width="11.7109375" style="1830" customWidth="1"/>
    <col min="1275" max="1275" width="12.85546875" style="1830" customWidth="1"/>
    <col min="1276" max="1276" width="11.5703125" style="1830" customWidth="1"/>
    <col min="1277" max="1277" width="10.5703125" style="1830" customWidth="1"/>
    <col min="1278" max="1278" width="11.28515625" style="1830" customWidth="1"/>
    <col min="1279" max="1280" width="9.85546875" style="1830" customWidth="1"/>
    <col min="1281" max="1281" width="9.85546875" style="1830" bestFit="1" customWidth="1"/>
    <col min="1282" max="1282" width="9.140625" style="1830"/>
    <col min="1283" max="1283" width="9.42578125" style="1830" bestFit="1" customWidth="1"/>
    <col min="1284" max="1285" width="9.28515625" style="1830" bestFit="1" customWidth="1"/>
    <col min="1286" max="1288" width="9.28515625" style="1830" customWidth="1"/>
    <col min="1289" max="1289" width="9.28515625" style="1830" bestFit="1" customWidth="1"/>
    <col min="1290" max="1525" width="9.140625" style="1830"/>
    <col min="1526" max="1526" width="3.140625" style="1830" customWidth="1"/>
    <col min="1527" max="1527" width="47.7109375" style="1830" customWidth="1"/>
    <col min="1528" max="1528" width="12.28515625" style="1830" customWidth="1"/>
    <col min="1529" max="1529" width="13.140625" style="1830" customWidth="1"/>
    <col min="1530" max="1530" width="11.7109375" style="1830" customWidth="1"/>
    <col min="1531" max="1531" width="12.85546875" style="1830" customWidth="1"/>
    <col min="1532" max="1532" width="11.5703125" style="1830" customWidth="1"/>
    <col min="1533" max="1533" width="10.5703125" style="1830" customWidth="1"/>
    <col min="1534" max="1534" width="11.28515625" style="1830" customWidth="1"/>
    <col min="1535" max="1536" width="9.85546875" style="1830" customWidth="1"/>
    <col min="1537" max="1537" width="9.85546875" style="1830" bestFit="1" customWidth="1"/>
    <col min="1538" max="1538" width="9.140625" style="1830"/>
    <col min="1539" max="1539" width="9.42578125" style="1830" bestFit="1" customWidth="1"/>
    <col min="1540" max="1541" width="9.28515625" style="1830" bestFit="1" customWidth="1"/>
    <col min="1542" max="1544" width="9.28515625" style="1830" customWidth="1"/>
    <col min="1545" max="1545" width="9.28515625" style="1830" bestFit="1" customWidth="1"/>
    <col min="1546" max="1781" width="9.140625" style="1830"/>
    <col min="1782" max="1782" width="3.140625" style="1830" customWidth="1"/>
    <col min="1783" max="1783" width="47.7109375" style="1830" customWidth="1"/>
    <col min="1784" max="1784" width="12.28515625" style="1830" customWidth="1"/>
    <col min="1785" max="1785" width="13.140625" style="1830" customWidth="1"/>
    <col min="1786" max="1786" width="11.7109375" style="1830" customWidth="1"/>
    <col min="1787" max="1787" width="12.85546875" style="1830" customWidth="1"/>
    <col min="1788" max="1788" width="11.5703125" style="1830" customWidth="1"/>
    <col min="1789" max="1789" width="10.5703125" style="1830" customWidth="1"/>
    <col min="1790" max="1790" width="11.28515625" style="1830" customWidth="1"/>
    <col min="1791" max="1792" width="9.85546875" style="1830" customWidth="1"/>
    <col min="1793" max="1793" width="9.85546875" style="1830" bestFit="1" customWidth="1"/>
    <col min="1794" max="1794" width="9.140625" style="1830"/>
    <col min="1795" max="1795" width="9.42578125" style="1830" bestFit="1" customWidth="1"/>
    <col min="1796" max="1797" width="9.28515625" style="1830" bestFit="1" customWidth="1"/>
    <col min="1798" max="1800" width="9.28515625" style="1830" customWidth="1"/>
    <col min="1801" max="1801" width="9.28515625" style="1830" bestFit="1" customWidth="1"/>
    <col min="1802" max="2037" width="9.140625" style="1830"/>
    <col min="2038" max="2038" width="3.140625" style="1830" customWidth="1"/>
    <col min="2039" max="2039" width="47.7109375" style="1830" customWidth="1"/>
    <col min="2040" max="2040" width="12.28515625" style="1830" customWidth="1"/>
    <col min="2041" max="2041" width="13.140625" style="1830" customWidth="1"/>
    <col min="2042" max="2042" width="11.7109375" style="1830" customWidth="1"/>
    <col min="2043" max="2043" width="12.85546875" style="1830" customWidth="1"/>
    <col min="2044" max="2044" width="11.5703125" style="1830" customWidth="1"/>
    <col min="2045" max="2045" width="10.5703125" style="1830" customWidth="1"/>
    <col min="2046" max="2046" width="11.28515625" style="1830" customWidth="1"/>
    <col min="2047" max="2048" width="9.85546875" style="1830" customWidth="1"/>
    <col min="2049" max="2049" width="9.85546875" style="1830" bestFit="1" customWidth="1"/>
    <col min="2050" max="2050" width="9.140625" style="1830"/>
    <col min="2051" max="2051" width="9.42578125" style="1830" bestFit="1" customWidth="1"/>
    <col min="2052" max="2053" width="9.28515625" style="1830" bestFit="1" customWidth="1"/>
    <col min="2054" max="2056" width="9.28515625" style="1830" customWidth="1"/>
    <col min="2057" max="2057" width="9.28515625" style="1830" bestFit="1" customWidth="1"/>
    <col min="2058" max="2293" width="9.140625" style="1830"/>
    <col min="2294" max="2294" width="3.140625" style="1830" customWidth="1"/>
    <col min="2295" max="2295" width="47.7109375" style="1830" customWidth="1"/>
    <col min="2296" max="2296" width="12.28515625" style="1830" customWidth="1"/>
    <col min="2297" max="2297" width="13.140625" style="1830" customWidth="1"/>
    <col min="2298" max="2298" width="11.7109375" style="1830" customWidth="1"/>
    <col min="2299" max="2299" width="12.85546875" style="1830" customWidth="1"/>
    <col min="2300" max="2300" width="11.5703125" style="1830" customWidth="1"/>
    <col min="2301" max="2301" width="10.5703125" style="1830" customWidth="1"/>
    <col min="2302" max="2302" width="11.28515625" style="1830" customWidth="1"/>
    <col min="2303" max="2304" width="9.85546875" style="1830" customWidth="1"/>
    <col min="2305" max="2305" width="9.85546875" style="1830" bestFit="1" customWidth="1"/>
    <col min="2306" max="2306" width="9.140625" style="1830"/>
    <col min="2307" max="2307" width="9.42578125" style="1830" bestFit="1" customWidth="1"/>
    <col min="2308" max="2309" width="9.28515625" style="1830" bestFit="1" customWidth="1"/>
    <col min="2310" max="2312" width="9.28515625" style="1830" customWidth="1"/>
    <col min="2313" max="2313" width="9.28515625" style="1830" bestFit="1" customWidth="1"/>
    <col min="2314" max="2549" width="9.140625" style="1830"/>
    <col min="2550" max="2550" width="3.140625" style="1830" customWidth="1"/>
    <col min="2551" max="2551" width="47.7109375" style="1830" customWidth="1"/>
    <col min="2552" max="2552" width="12.28515625" style="1830" customWidth="1"/>
    <col min="2553" max="2553" width="13.140625" style="1830" customWidth="1"/>
    <col min="2554" max="2554" width="11.7109375" style="1830" customWidth="1"/>
    <col min="2555" max="2555" width="12.85546875" style="1830" customWidth="1"/>
    <col min="2556" max="2556" width="11.5703125" style="1830" customWidth="1"/>
    <col min="2557" max="2557" width="10.5703125" style="1830" customWidth="1"/>
    <col min="2558" max="2558" width="11.28515625" style="1830" customWidth="1"/>
    <col min="2559" max="2560" width="9.85546875" style="1830" customWidth="1"/>
    <col min="2561" max="2561" width="9.85546875" style="1830" bestFit="1" customWidth="1"/>
    <col min="2562" max="2562" width="9.140625" style="1830"/>
    <col min="2563" max="2563" width="9.42578125" style="1830" bestFit="1" customWidth="1"/>
    <col min="2564" max="2565" width="9.28515625" style="1830" bestFit="1" customWidth="1"/>
    <col min="2566" max="2568" width="9.28515625" style="1830" customWidth="1"/>
    <col min="2569" max="2569" width="9.28515625" style="1830" bestFit="1" customWidth="1"/>
    <col min="2570" max="2805" width="9.140625" style="1830"/>
    <col min="2806" max="2806" width="3.140625" style="1830" customWidth="1"/>
    <col min="2807" max="2807" width="47.7109375" style="1830" customWidth="1"/>
    <col min="2808" max="2808" width="12.28515625" style="1830" customWidth="1"/>
    <col min="2809" max="2809" width="13.140625" style="1830" customWidth="1"/>
    <col min="2810" max="2810" width="11.7109375" style="1830" customWidth="1"/>
    <col min="2811" max="2811" width="12.85546875" style="1830" customWidth="1"/>
    <col min="2812" max="2812" width="11.5703125" style="1830" customWidth="1"/>
    <col min="2813" max="2813" width="10.5703125" style="1830" customWidth="1"/>
    <col min="2814" max="2814" width="11.28515625" style="1830" customWidth="1"/>
    <col min="2815" max="2816" width="9.85546875" style="1830" customWidth="1"/>
    <col min="2817" max="2817" width="9.85546875" style="1830" bestFit="1" customWidth="1"/>
    <col min="2818" max="2818" width="9.140625" style="1830"/>
    <col min="2819" max="2819" width="9.42578125" style="1830" bestFit="1" customWidth="1"/>
    <col min="2820" max="2821" width="9.28515625" style="1830" bestFit="1" customWidth="1"/>
    <col min="2822" max="2824" width="9.28515625" style="1830" customWidth="1"/>
    <col min="2825" max="2825" width="9.28515625" style="1830" bestFit="1" customWidth="1"/>
    <col min="2826" max="3061" width="9.140625" style="1830"/>
    <col min="3062" max="3062" width="3.140625" style="1830" customWidth="1"/>
    <col min="3063" max="3063" width="47.7109375" style="1830" customWidth="1"/>
    <col min="3064" max="3064" width="12.28515625" style="1830" customWidth="1"/>
    <col min="3065" max="3065" width="13.140625" style="1830" customWidth="1"/>
    <col min="3066" max="3066" width="11.7109375" style="1830" customWidth="1"/>
    <col min="3067" max="3067" width="12.85546875" style="1830" customWidth="1"/>
    <col min="3068" max="3068" width="11.5703125" style="1830" customWidth="1"/>
    <col min="3069" max="3069" width="10.5703125" style="1830" customWidth="1"/>
    <col min="3070" max="3070" width="11.28515625" style="1830" customWidth="1"/>
    <col min="3071" max="3072" width="9.85546875" style="1830" customWidth="1"/>
    <col min="3073" max="3073" width="9.85546875" style="1830" bestFit="1" customWidth="1"/>
    <col min="3074" max="3074" width="9.140625" style="1830"/>
    <col min="3075" max="3075" width="9.42578125" style="1830" bestFit="1" customWidth="1"/>
    <col min="3076" max="3077" width="9.28515625" style="1830" bestFit="1" customWidth="1"/>
    <col min="3078" max="3080" width="9.28515625" style="1830" customWidth="1"/>
    <col min="3081" max="3081" width="9.28515625" style="1830" bestFit="1" customWidth="1"/>
    <col min="3082" max="3317" width="9.140625" style="1830"/>
    <col min="3318" max="3318" width="3.140625" style="1830" customWidth="1"/>
    <col min="3319" max="3319" width="47.7109375" style="1830" customWidth="1"/>
    <col min="3320" max="3320" width="12.28515625" style="1830" customWidth="1"/>
    <col min="3321" max="3321" width="13.140625" style="1830" customWidth="1"/>
    <col min="3322" max="3322" width="11.7109375" style="1830" customWidth="1"/>
    <col min="3323" max="3323" width="12.85546875" style="1830" customWidth="1"/>
    <col min="3324" max="3324" width="11.5703125" style="1830" customWidth="1"/>
    <col min="3325" max="3325" width="10.5703125" style="1830" customWidth="1"/>
    <col min="3326" max="3326" width="11.28515625" style="1830" customWidth="1"/>
    <col min="3327" max="3328" width="9.85546875" style="1830" customWidth="1"/>
    <col min="3329" max="3329" width="9.85546875" style="1830" bestFit="1" customWidth="1"/>
    <col min="3330" max="3330" width="9.140625" style="1830"/>
    <col min="3331" max="3331" width="9.42578125" style="1830" bestFit="1" customWidth="1"/>
    <col min="3332" max="3333" width="9.28515625" style="1830" bestFit="1" customWidth="1"/>
    <col min="3334" max="3336" width="9.28515625" style="1830" customWidth="1"/>
    <col min="3337" max="3337" width="9.28515625" style="1830" bestFit="1" customWidth="1"/>
    <col min="3338" max="3573" width="9.140625" style="1830"/>
    <col min="3574" max="3574" width="3.140625" style="1830" customWidth="1"/>
    <col min="3575" max="3575" width="47.7109375" style="1830" customWidth="1"/>
    <col min="3576" max="3576" width="12.28515625" style="1830" customWidth="1"/>
    <col min="3577" max="3577" width="13.140625" style="1830" customWidth="1"/>
    <col min="3578" max="3578" width="11.7109375" style="1830" customWidth="1"/>
    <col min="3579" max="3579" width="12.85546875" style="1830" customWidth="1"/>
    <col min="3580" max="3580" width="11.5703125" style="1830" customWidth="1"/>
    <col min="3581" max="3581" width="10.5703125" style="1830" customWidth="1"/>
    <col min="3582" max="3582" width="11.28515625" style="1830" customWidth="1"/>
    <col min="3583" max="3584" width="9.85546875" style="1830" customWidth="1"/>
    <col min="3585" max="3585" width="9.85546875" style="1830" bestFit="1" customWidth="1"/>
    <col min="3586" max="3586" width="9.140625" style="1830"/>
    <col min="3587" max="3587" width="9.42578125" style="1830" bestFit="1" customWidth="1"/>
    <col min="3588" max="3589" width="9.28515625" style="1830" bestFit="1" customWidth="1"/>
    <col min="3590" max="3592" width="9.28515625" style="1830" customWidth="1"/>
    <col min="3593" max="3593" width="9.28515625" style="1830" bestFit="1" customWidth="1"/>
    <col min="3594" max="3829" width="9.140625" style="1830"/>
    <col min="3830" max="3830" width="3.140625" style="1830" customWidth="1"/>
    <col min="3831" max="3831" width="47.7109375" style="1830" customWidth="1"/>
    <col min="3832" max="3832" width="12.28515625" style="1830" customWidth="1"/>
    <col min="3833" max="3833" width="13.140625" style="1830" customWidth="1"/>
    <col min="3834" max="3834" width="11.7109375" style="1830" customWidth="1"/>
    <col min="3835" max="3835" width="12.85546875" style="1830" customWidth="1"/>
    <col min="3836" max="3836" width="11.5703125" style="1830" customWidth="1"/>
    <col min="3837" max="3837" width="10.5703125" style="1830" customWidth="1"/>
    <col min="3838" max="3838" width="11.28515625" style="1830" customWidth="1"/>
    <col min="3839" max="3840" width="9.85546875" style="1830" customWidth="1"/>
    <col min="3841" max="3841" width="9.85546875" style="1830" bestFit="1" customWidth="1"/>
    <col min="3842" max="3842" width="9.140625" style="1830"/>
    <col min="3843" max="3843" width="9.42578125" style="1830" bestFit="1" customWidth="1"/>
    <col min="3844" max="3845" width="9.28515625" style="1830" bestFit="1" customWidth="1"/>
    <col min="3846" max="3848" width="9.28515625" style="1830" customWidth="1"/>
    <col min="3849" max="3849" width="9.28515625" style="1830" bestFit="1" customWidth="1"/>
    <col min="3850" max="4085" width="9.140625" style="1830"/>
    <col min="4086" max="4086" width="3.140625" style="1830" customWidth="1"/>
    <col min="4087" max="4087" width="47.7109375" style="1830" customWidth="1"/>
    <col min="4088" max="4088" width="12.28515625" style="1830" customWidth="1"/>
    <col min="4089" max="4089" width="13.140625" style="1830" customWidth="1"/>
    <col min="4090" max="4090" width="11.7109375" style="1830" customWidth="1"/>
    <col min="4091" max="4091" width="12.85546875" style="1830" customWidth="1"/>
    <col min="4092" max="4092" width="11.5703125" style="1830" customWidth="1"/>
    <col min="4093" max="4093" width="10.5703125" style="1830" customWidth="1"/>
    <col min="4094" max="4094" width="11.28515625" style="1830" customWidth="1"/>
    <col min="4095" max="4096" width="9.85546875" style="1830" customWidth="1"/>
    <col min="4097" max="4097" width="9.85546875" style="1830" bestFit="1" customWidth="1"/>
    <col min="4098" max="4098" width="9.140625" style="1830"/>
    <col min="4099" max="4099" width="9.42578125" style="1830" bestFit="1" customWidth="1"/>
    <col min="4100" max="4101" width="9.28515625" style="1830" bestFit="1" customWidth="1"/>
    <col min="4102" max="4104" width="9.28515625" style="1830" customWidth="1"/>
    <col min="4105" max="4105" width="9.28515625" style="1830" bestFit="1" customWidth="1"/>
    <col min="4106" max="4341" width="9.140625" style="1830"/>
    <col min="4342" max="4342" width="3.140625" style="1830" customWidth="1"/>
    <col min="4343" max="4343" width="47.7109375" style="1830" customWidth="1"/>
    <col min="4344" max="4344" width="12.28515625" style="1830" customWidth="1"/>
    <col min="4345" max="4345" width="13.140625" style="1830" customWidth="1"/>
    <col min="4346" max="4346" width="11.7109375" style="1830" customWidth="1"/>
    <col min="4347" max="4347" width="12.85546875" style="1830" customWidth="1"/>
    <col min="4348" max="4348" width="11.5703125" style="1830" customWidth="1"/>
    <col min="4349" max="4349" width="10.5703125" style="1830" customWidth="1"/>
    <col min="4350" max="4350" width="11.28515625" style="1830" customWidth="1"/>
    <col min="4351" max="4352" width="9.85546875" style="1830" customWidth="1"/>
    <col min="4353" max="4353" width="9.85546875" style="1830" bestFit="1" customWidth="1"/>
    <col min="4354" max="4354" width="9.140625" style="1830"/>
    <col min="4355" max="4355" width="9.42578125" style="1830" bestFit="1" customWidth="1"/>
    <col min="4356" max="4357" width="9.28515625" style="1830" bestFit="1" customWidth="1"/>
    <col min="4358" max="4360" width="9.28515625" style="1830" customWidth="1"/>
    <col min="4361" max="4361" width="9.28515625" style="1830" bestFit="1" customWidth="1"/>
    <col min="4362" max="4597" width="9.140625" style="1830"/>
    <col min="4598" max="4598" width="3.140625" style="1830" customWidth="1"/>
    <col min="4599" max="4599" width="47.7109375" style="1830" customWidth="1"/>
    <col min="4600" max="4600" width="12.28515625" style="1830" customWidth="1"/>
    <col min="4601" max="4601" width="13.140625" style="1830" customWidth="1"/>
    <col min="4602" max="4602" width="11.7109375" style="1830" customWidth="1"/>
    <col min="4603" max="4603" width="12.85546875" style="1830" customWidth="1"/>
    <col min="4604" max="4604" width="11.5703125" style="1830" customWidth="1"/>
    <col min="4605" max="4605" width="10.5703125" style="1830" customWidth="1"/>
    <col min="4606" max="4606" width="11.28515625" style="1830" customWidth="1"/>
    <col min="4607" max="4608" width="9.85546875" style="1830" customWidth="1"/>
    <col min="4609" max="4609" width="9.85546875" style="1830" bestFit="1" customWidth="1"/>
    <col min="4610" max="4610" width="9.140625" style="1830"/>
    <col min="4611" max="4611" width="9.42578125" style="1830" bestFit="1" customWidth="1"/>
    <col min="4612" max="4613" width="9.28515625" style="1830" bestFit="1" customWidth="1"/>
    <col min="4614" max="4616" width="9.28515625" style="1830" customWidth="1"/>
    <col min="4617" max="4617" width="9.28515625" style="1830" bestFit="1" customWidth="1"/>
    <col min="4618" max="4853" width="9.140625" style="1830"/>
    <col min="4854" max="4854" width="3.140625" style="1830" customWidth="1"/>
    <col min="4855" max="4855" width="47.7109375" style="1830" customWidth="1"/>
    <col min="4856" max="4856" width="12.28515625" style="1830" customWidth="1"/>
    <col min="4857" max="4857" width="13.140625" style="1830" customWidth="1"/>
    <col min="4858" max="4858" width="11.7109375" style="1830" customWidth="1"/>
    <col min="4859" max="4859" width="12.85546875" style="1830" customWidth="1"/>
    <col min="4860" max="4860" width="11.5703125" style="1830" customWidth="1"/>
    <col min="4861" max="4861" width="10.5703125" style="1830" customWidth="1"/>
    <col min="4862" max="4862" width="11.28515625" style="1830" customWidth="1"/>
    <col min="4863" max="4864" width="9.85546875" style="1830" customWidth="1"/>
    <col min="4865" max="4865" width="9.85546875" style="1830" bestFit="1" customWidth="1"/>
    <col min="4866" max="4866" width="9.140625" style="1830"/>
    <col min="4867" max="4867" width="9.42578125" style="1830" bestFit="1" customWidth="1"/>
    <col min="4868" max="4869" width="9.28515625" style="1830" bestFit="1" customWidth="1"/>
    <col min="4870" max="4872" width="9.28515625" style="1830" customWidth="1"/>
    <col min="4873" max="4873" width="9.28515625" style="1830" bestFit="1" customWidth="1"/>
    <col min="4874" max="5109" width="9.140625" style="1830"/>
    <col min="5110" max="5110" width="3.140625" style="1830" customWidth="1"/>
    <col min="5111" max="5111" width="47.7109375" style="1830" customWidth="1"/>
    <col min="5112" max="5112" width="12.28515625" style="1830" customWidth="1"/>
    <col min="5113" max="5113" width="13.140625" style="1830" customWidth="1"/>
    <col min="5114" max="5114" width="11.7109375" style="1830" customWidth="1"/>
    <col min="5115" max="5115" width="12.85546875" style="1830" customWidth="1"/>
    <col min="5116" max="5116" width="11.5703125" style="1830" customWidth="1"/>
    <col min="5117" max="5117" width="10.5703125" style="1830" customWidth="1"/>
    <col min="5118" max="5118" width="11.28515625" style="1830" customWidth="1"/>
    <col min="5119" max="5120" width="9.85546875" style="1830" customWidth="1"/>
    <col min="5121" max="5121" width="9.85546875" style="1830" bestFit="1" customWidth="1"/>
    <col min="5122" max="5122" width="9.140625" style="1830"/>
    <col min="5123" max="5123" width="9.42578125" style="1830" bestFit="1" customWidth="1"/>
    <col min="5124" max="5125" width="9.28515625" style="1830" bestFit="1" customWidth="1"/>
    <col min="5126" max="5128" width="9.28515625" style="1830" customWidth="1"/>
    <col min="5129" max="5129" width="9.28515625" style="1830" bestFit="1" customWidth="1"/>
    <col min="5130" max="5365" width="9.140625" style="1830"/>
    <col min="5366" max="5366" width="3.140625" style="1830" customWidth="1"/>
    <col min="5367" max="5367" width="47.7109375" style="1830" customWidth="1"/>
    <col min="5368" max="5368" width="12.28515625" style="1830" customWidth="1"/>
    <col min="5369" max="5369" width="13.140625" style="1830" customWidth="1"/>
    <col min="5370" max="5370" width="11.7109375" style="1830" customWidth="1"/>
    <col min="5371" max="5371" width="12.85546875" style="1830" customWidth="1"/>
    <col min="5372" max="5372" width="11.5703125" style="1830" customWidth="1"/>
    <col min="5373" max="5373" width="10.5703125" style="1830" customWidth="1"/>
    <col min="5374" max="5374" width="11.28515625" style="1830" customWidth="1"/>
    <col min="5375" max="5376" width="9.85546875" style="1830" customWidth="1"/>
    <col min="5377" max="5377" width="9.85546875" style="1830" bestFit="1" customWidth="1"/>
    <col min="5378" max="5378" width="9.140625" style="1830"/>
    <col min="5379" max="5379" width="9.42578125" style="1830" bestFit="1" customWidth="1"/>
    <col min="5380" max="5381" width="9.28515625" style="1830" bestFit="1" customWidth="1"/>
    <col min="5382" max="5384" width="9.28515625" style="1830" customWidth="1"/>
    <col min="5385" max="5385" width="9.28515625" style="1830" bestFit="1" customWidth="1"/>
    <col min="5386" max="5621" width="9.140625" style="1830"/>
    <col min="5622" max="5622" width="3.140625" style="1830" customWidth="1"/>
    <col min="5623" max="5623" width="47.7109375" style="1830" customWidth="1"/>
    <col min="5624" max="5624" width="12.28515625" style="1830" customWidth="1"/>
    <col min="5625" max="5625" width="13.140625" style="1830" customWidth="1"/>
    <col min="5626" max="5626" width="11.7109375" style="1830" customWidth="1"/>
    <col min="5627" max="5627" width="12.85546875" style="1830" customWidth="1"/>
    <col min="5628" max="5628" width="11.5703125" style="1830" customWidth="1"/>
    <col min="5629" max="5629" width="10.5703125" style="1830" customWidth="1"/>
    <col min="5630" max="5630" width="11.28515625" style="1830" customWidth="1"/>
    <col min="5631" max="5632" width="9.85546875" style="1830" customWidth="1"/>
    <col min="5633" max="5633" width="9.85546875" style="1830" bestFit="1" customWidth="1"/>
    <col min="5634" max="5634" width="9.140625" style="1830"/>
    <col min="5635" max="5635" width="9.42578125" style="1830" bestFit="1" customWidth="1"/>
    <col min="5636" max="5637" width="9.28515625" style="1830" bestFit="1" customWidth="1"/>
    <col min="5638" max="5640" width="9.28515625" style="1830" customWidth="1"/>
    <col min="5641" max="5641" width="9.28515625" style="1830" bestFit="1" customWidth="1"/>
    <col min="5642" max="5877" width="9.140625" style="1830"/>
    <col min="5878" max="5878" width="3.140625" style="1830" customWidth="1"/>
    <col min="5879" max="5879" width="47.7109375" style="1830" customWidth="1"/>
    <col min="5880" max="5880" width="12.28515625" style="1830" customWidth="1"/>
    <col min="5881" max="5881" width="13.140625" style="1830" customWidth="1"/>
    <col min="5882" max="5882" width="11.7109375" style="1830" customWidth="1"/>
    <col min="5883" max="5883" width="12.85546875" style="1830" customWidth="1"/>
    <col min="5884" max="5884" width="11.5703125" style="1830" customWidth="1"/>
    <col min="5885" max="5885" width="10.5703125" style="1830" customWidth="1"/>
    <col min="5886" max="5886" width="11.28515625" style="1830" customWidth="1"/>
    <col min="5887" max="5888" width="9.85546875" style="1830" customWidth="1"/>
    <col min="5889" max="5889" width="9.85546875" style="1830" bestFit="1" customWidth="1"/>
    <col min="5890" max="5890" width="9.140625" style="1830"/>
    <col min="5891" max="5891" width="9.42578125" style="1830" bestFit="1" customWidth="1"/>
    <col min="5892" max="5893" width="9.28515625" style="1830" bestFit="1" customWidth="1"/>
    <col min="5894" max="5896" width="9.28515625" style="1830" customWidth="1"/>
    <col min="5897" max="5897" width="9.28515625" style="1830" bestFit="1" customWidth="1"/>
    <col min="5898" max="6133" width="9.140625" style="1830"/>
    <col min="6134" max="6134" width="3.140625" style="1830" customWidth="1"/>
    <col min="6135" max="6135" width="47.7109375" style="1830" customWidth="1"/>
    <col min="6136" max="6136" width="12.28515625" style="1830" customWidth="1"/>
    <col min="6137" max="6137" width="13.140625" style="1830" customWidth="1"/>
    <col min="6138" max="6138" width="11.7109375" style="1830" customWidth="1"/>
    <col min="6139" max="6139" width="12.85546875" style="1830" customWidth="1"/>
    <col min="6140" max="6140" width="11.5703125" style="1830" customWidth="1"/>
    <col min="6141" max="6141" width="10.5703125" style="1830" customWidth="1"/>
    <col min="6142" max="6142" width="11.28515625" style="1830" customWidth="1"/>
    <col min="6143" max="6144" width="9.85546875" style="1830" customWidth="1"/>
    <col min="6145" max="6145" width="9.85546875" style="1830" bestFit="1" customWidth="1"/>
    <col min="6146" max="6146" width="9.140625" style="1830"/>
    <col min="6147" max="6147" width="9.42578125" style="1830" bestFit="1" customWidth="1"/>
    <col min="6148" max="6149" width="9.28515625" style="1830" bestFit="1" customWidth="1"/>
    <col min="6150" max="6152" width="9.28515625" style="1830" customWidth="1"/>
    <col min="6153" max="6153" width="9.28515625" style="1830" bestFit="1" customWidth="1"/>
    <col min="6154" max="6389" width="9.140625" style="1830"/>
    <col min="6390" max="6390" width="3.140625" style="1830" customWidth="1"/>
    <col min="6391" max="6391" width="47.7109375" style="1830" customWidth="1"/>
    <col min="6392" max="6392" width="12.28515625" style="1830" customWidth="1"/>
    <col min="6393" max="6393" width="13.140625" style="1830" customWidth="1"/>
    <col min="6394" max="6394" width="11.7109375" style="1830" customWidth="1"/>
    <col min="6395" max="6395" width="12.85546875" style="1830" customWidth="1"/>
    <col min="6396" max="6396" width="11.5703125" style="1830" customWidth="1"/>
    <col min="6397" max="6397" width="10.5703125" style="1830" customWidth="1"/>
    <col min="6398" max="6398" width="11.28515625" style="1830" customWidth="1"/>
    <col min="6399" max="6400" width="9.85546875" style="1830" customWidth="1"/>
    <col min="6401" max="6401" width="9.85546875" style="1830" bestFit="1" customWidth="1"/>
    <col min="6402" max="6402" width="9.140625" style="1830"/>
    <col min="6403" max="6403" width="9.42578125" style="1830" bestFit="1" customWidth="1"/>
    <col min="6404" max="6405" width="9.28515625" style="1830" bestFit="1" customWidth="1"/>
    <col min="6406" max="6408" width="9.28515625" style="1830" customWidth="1"/>
    <col min="6409" max="6409" width="9.28515625" style="1830" bestFit="1" customWidth="1"/>
    <col min="6410" max="6645" width="9.140625" style="1830"/>
    <col min="6646" max="6646" width="3.140625" style="1830" customWidth="1"/>
    <col min="6647" max="6647" width="47.7109375" style="1830" customWidth="1"/>
    <col min="6648" max="6648" width="12.28515625" style="1830" customWidth="1"/>
    <col min="6649" max="6649" width="13.140625" style="1830" customWidth="1"/>
    <col min="6650" max="6650" width="11.7109375" style="1830" customWidth="1"/>
    <col min="6651" max="6651" width="12.85546875" style="1830" customWidth="1"/>
    <col min="6652" max="6652" width="11.5703125" style="1830" customWidth="1"/>
    <col min="6653" max="6653" width="10.5703125" style="1830" customWidth="1"/>
    <col min="6654" max="6654" width="11.28515625" style="1830" customWidth="1"/>
    <col min="6655" max="6656" width="9.85546875" style="1830" customWidth="1"/>
    <col min="6657" max="6657" width="9.85546875" style="1830" bestFit="1" customWidth="1"/>
    <col min="6658" max="6658" width="9.140625" style="1830"/>
    <col min="6659" max="6659" width="9.42578125" style="1830" bestFit="1" customWidth="1"/>
    <col min="6660" max="6661" width="9.28515625" style="1830" bestFit="1" customWidth="1"/>
    <col min="6662" max="6664" width="9.28515625" style="1830" customWidth="1"/>
    <col min="6665" max="6665" width="9.28515625" style="1830" bestFit="1" customWidth="1"/>
    <col min="6666" max="6901" width="9.140625" style="1830"/>
    <col min="6902" max="6902" width="3.140625" style="1830" customWidth="1"/>
    <col min="6903" max="6903" width="47.7109375" style="1830" customWidth="1"/>
    <col min="6904" max="6904" width="12.28515625" style="1830" customWidth="1"/>
    <col min="6905" max="6905" width="13.140625" style="1830" customWidth="1"/>
    <col min="6906" max="6906" width="11.7109375" style="1830" customWidth="1"/>
    <col min="6907" max="6907" width="12.85546875" style="1830" customWidth="1"/>
    <col min="6908" max="6908" width="11.5703125" style="1830" customWidth="1"/>
    <col min="6909" max="6909" width="10.5703125" style="1830" customWidth="1"/>
    <col min="6910" max="6910" width="11.28515625" style="1830" customWidth="1"/>
    <col min="6911" max="6912" width="9.85546875" style="1830" customWidth="1"/>
    <col min="6913" max="6913" width="9.85546875" style="1830" bestFit="1" customWidth="1"/>
    <col min="6914" max="6914" width="9.140625" style="1830"/>
    <col min="6915" max="6915" width="9.42578125" style="1830" bestFit="1" customWidth="1"/>
    <col min="6916" max="6917" width="9.28515625" style="1830" bestFit="1" customWidth="1"/>
    <col min="6918" max="6920" width="9.28515625" style="1830" customWidth="1"/>
    <col min="6921" max="6921" width="9.28515625" style="1830" bestFit="1" customWidth="1"/>
    <col min="6922" max="7157" width="9.140625" style="1830"/>
    <col min="7158" max="7158" width="3.140625" style="1830" customWidth="1"/>
    <col min="7159" max="7159" width="47.7109375" style="1830" customWidth="1"/>
    <col min="7160" max="7160" width="12.28515625" style="1830" customWidth="1"/>
    <col min="7161" max="7161" width="13.140625" style="1830" customWidth="1"/>
    <col min="7162" max="7162" width="11.7109375" style="1830" customWidth="1"/>
    <col min="7163" max="7163" width="12.85546875" style="1830" customWidth="1"/>
    <col min="7164" max="7164" width="11.5703125" style="1830" customWidth="1"/>
    <col min="7165" max="7165" width="10.5703125" style="1830" customWidth="1"/>
    <col min="7166" max="7166" width="11.28515625" style="1830" customWidth="1"/>
    <col min="7167" max="7168" width="9.85546875" style="1830" customWidth="1"/>
    <col min="7169" max="7169" width="9.85546875" style="1830" bestFit="1" customWidth="1"/>
    <col min="7170" max="7170" width="9.140625" style="1830"/>
    <col min="7171" max="7171" width="9.42578125" style="1830" bestFit="1" customWidth="1"/>
    <col min="7172" max="7173" width="9.28515625" style="1830" bestFit="1" customWidth="1"/>
    <col min="7174" max="7176" width="9.28515625" style="1830" customWidth="1"/>
    <col min="7177" max="7177" width="9.28515625" style="1830" bestFit="1" customWidth="1"/>
    <col min="7178" max="7413" width="9.140625" style="1830"/>
    <col min="7414" max="7414" width="3.140625" style="1830" customWidth="1"/>
    <col min="7415" max="7415" width="47.7109375" style="1830" customWidth="1"/>
    <col min="7416" max="7416" width="12.28515625" style="1830" customWidth="1"/>
    <col min="7417" max="7417" width="13.140625" style="1830" customWidth="1"/>
    <col min="7418" max="7418" width="11.7109375" style="1830" customWidth="1"/>
    <col min="7419" max="7419" width="12.85546875" style="1830" customWidth="1"/>
    <col min="7420" max="7420" width="11.5703125" style="1830" customWidth="1"/>
    <col min="7421" max="7421" width="10.5703125" style="1830" customWidth="1"/>
    <col min="7422" max="7422" width="11.28515625" style="1830" customWidth="1"/>
    <col min="7423" max="7424" width="9.85546875" style="1830" customWidth="1"/>
    <col min="7425" max="7425" width="9.85546875" style="1830" bestFit="1" customWidth="1"/>
    <col min="7426" max="7426" width="9.140625" style="1830"/>
    <col min="7427" max="7427" width="9.42578125" style="1830" bestFit="1" customWidth="1"/>
    <col min="7428" max="7429" width="9.28515625" style="1830" bestFit="1" customWidth="1"/>
    <col min="7430" max="7432" width="9.28515625" style="1830" customWidth="1"/>
    <col min="7433" max="7433" width="9.28515625" style="1830" bestFit="1" customWidth="1"/>
    <col min="7434" max="7669" width="9.140625" style="1830"/>
    <col min="7670" max="7670" width="3.140625" style="1830" customWidth="1"/>
    <col min="7671" max="7671" width="47.7109375" style="1830" customWidth="1"/>
    <col min="7672" max="7672" width="12.28515625" style="1830" customWidth="1"/>
    <col min="7673" max="7673" width="13.140625" style="1830" customWidth="1"/>
    <col min="7674" max="7674" width="11.7109375" style="1830" customWidth="1"/>
    <col min="7675" max="7675" width="12.85546875" style="1830" customWidth="1"/>
    <col min="7676" max="7676" width="11.5703125" style="1830" customWidth="1"/>
    <col min="7677" max="7677" width="10.5703125" style="1830" customWidth="1"/>
    <col min="7678" max="7678" width="11.28515625" style="1830" customWidth="1"/>
    <col min="7679" max="7680" width="9.85546875" style="1830" customWidth="1"/>
    <col min="7681" max="7681" width="9.85546875" style="1830" bestFit="1" customWidth="1"/>
    <col min="7682" max="7682" width="9.140625" style="1830"/>
    <col min="7683" max="7683" width="9.42578125" style="1830" bestFit="1" customWidth="1"/>
    <col min="7684" max="7685" width="9.28515625" style="1830" bestFit="1" customWidth="1"/>
    <col min="7686" max="7688" width="9.28515625" style="1830" customWidth="1"/>
    <col min="7689" max="7689" width="9.28515625" style="1830" bestFit="1" customWidth="1"/>
    <col min="7690" max="7925" width="9.140625" style="1830"/>
    <col min="7926" max="7926" width="3.140625" style="1830" customWidth="1"/>
    <col min="7927" max="7927" width="47.7109375" style="1830" customWidth="1"/>
    <col min="7928" max="7928" width="12.28515625" style="1830" customWidth="1"/>
    <col min="7929" max="7929" width="13.140625" style="1830" customWidth="1"/>
    <col min="7930" max="7930" width="11.7109375" style="1830" customWidth="1"/>
    <col min="7931" max="7931" width="12.85546875" style="1830" customWidth="1"/>
    <col min="7932" max="7932" width="11.5703125" style="1830" customWidth="1"/>
    <col min="7933" max="7933" width="10.5703125" style="1830" customWidth="1"/>
    <col min="7934" max="7934" width="11.28515625" style="1830" customWidth="1"/>
    <col min="7935" max="7936" width="9.85546875" style="1830" customWidth="1"/>
    <col min="7937" max="7937" width="9.85546875" style="1830" bestFit="1" customWidth="1"/>
    <col min="7938" max="7938" width="9.140625" style="1830"/>
    <col min="7939" max="7939" width="9.42578125" style="1830" bestFit="1" customWidth="1"/>
    <col min="7940" max="7941" width="9.28515625" style="1830" bestFit="1" customWidth="1"/>
    <col min="7942" max="7944" width="9.28515625" style="1830" customWidth="1"/>
    <col min="7945" max="7945" width="9.28515625" style="1830" bestFit="1" customWidth="1"/>
    <col min="7946" max="8181" width="9.140625" style="1830"/>
    <col min="8182" max="8182" width="3.140625" style="1830" customWidth="1"/>
    <col min="8183" max="8183" width="47.7109375" style="1830" customWidth="1"/>
    <col min="8184" max="8184" width="12.28515625" style="1830" customWidth="1"/>
    <col min="8185" max="8185" width="13.140625" style="1830" customWidth="1"/>
    <col min="8186" max="8186" width="11.7109375" style="1830" customWidth="1"/>
    <col min="8187" max="8187" width="12.85546875" style="1830" customWidth="1"/>
    <col min="8188" max="8188" width="11.5703125" style="1830" customWidth="1"/>
    <col min="8189" max="8189" width="10.5703125" style="1830" customWidth="1"/>
    <col min="8190" max="8190" width="11.28515625" style="1830" customWidth="1"/>
    <col min="8191" max="8192" width="9.85546875" style="1830" customWidth="1"/>
    <col min="8193" max="8193" width="9.85546875" style="1830" bestFit="1" customWidth="1"/>
    <col min="8194" max="8194" width="9.140625" style="1830"/>
    <col min="8195" max="8195" width="9.42578125" style="1830" bestFit="1" customWidth="1"/>
    <col min="8196" max="8197" width="9.28515625" style="1830" bestFit="1" customWidth="1"/>
    <col min="8198" max="8200" width="9.28515625" style="1830" customWidth="1"/>
    <col min="8201" max="8201" width="9.28515625" style="1830" bestFit="1" customWidth="1"/>
    <col min="8202" max="8437" width="9.140625" style="1830"/>
    <col min="8438" max="8438" width="3.140625" style="1830" customWidth="1"/>
    <col min="8439" max="8439" width="47.7109375" style="1830" customWidth="1"/>
    <col min="8440" max="8440" width="12.28515625" style="1830" customWidth="1"/>
    <col min="8441" max="8441" width="13.140625" style="1830" customWidth="1"/>
    <col min="8442" max="8442" width="11.7109375" style="1830" customWidth="1"/>
    <col min="8443" max="8443" width="12.85546875" style="1830" customWidth="1"/>
    <col min="8444" max="8444" width="11.5703125" style="1830" customWidth="1"/>
    <col min="8445" max="8445" width="10.5703125" style="1830" customWidth="1"/>
    <col min="8446" max="8446" width="11.28515625" style="1830" customWidth="1"/>
    <col min="8447" max="8448" width="9.85546875" style="1830" customWidth="1"/>
    <col min="8449" max="8449" width="9.85546875" style="1830" bestFit="1" customWidth="1"/>
    <col min="8450" max="8450" width="9.140625" style="1830"/>
    <col min="8451" max="8451" width="9.42578125" style="1830" bestFit="1" customWidth="1"/>
    <col min="8452" max="8453" width="9.28515625" style="1830" bestFit="1" customWidth="1"/>
    <col min="8454" max="8456" width="9.28515625" style="1830" customWidth="1"/>
    <col min="8457" max="8457" width="9.28515625" style="1830" bestFit="1" customWidth="1"/>
    <col min="8458" max="8693" width="9.140625" style="1830"/>
    <col min="8694" max="8694" width="3.140625" style="1830" customWidth="1"/>
    <col min="8695" max="8695" width="47.7109375" style="1830" customWidth="1"/>
    <col min="8696" max="8696" width="12.28515625" style="1830" customWidth="1"/>
    <col min="8697" max="8697" width="13.140625" style="1830" customWidth="1"/>
    <col min="8698" max="8698" width="11.7109375" style="1830" customWidth="1"/>
    <col min="8699" max="8699" width="12.85546875" style="1830" customWidth="1"/>
    <col min="8700" max="8700" width="11.5703125" style="1830" customWidth="1"/>
    <col min="8701" max="8701" width="10.5703125" style="1830" customWidth="1"/>
    <col min="8702" max="8702" width="11.28515625" style="1830" customWidth="1"/>
    <col min="8703" max="8704" width="9.85546875" style="1830" customWidth="1"/>
    <col min="8705" max="8705" width="9.85546875" style="1830" bestFit="1" customWidth="1"/>
    <col min="8706" max="8706" width="9.140625" style="1830"/>
    <col min="8707" max="8707" width="9.42578125" style="1830" bestFit="1" customWidth="1"/>
    <col min="8708" max="8709" width="9.28515625" style="1830" bestFit="1" customWidth="1"/>
    <col min="8710" max="8712" width="9.28515625" style="1830" customWidth="1"/>
    <col min="8713" max="8713" width="9.28515625" style="1830" bestFit="1" customWidth="1"/>
    <col min="8714" max="8949" width="9.140625" style="1830"/>
    <col min="8950" max="8950" width="3.140625" style="1830" customWidth="1"/>
    <col min="8951" max="8951" width="47.7109375" style="1830" customWidth="1"/>
    <col min="8952" max="8952" width="12.28515625" style="1830" customWidth="1"/>
    <col min="8953" max="8953" width="13.140625" style="1830" customWidth="1"/>
    <col min="8954" max="8954" width="11.7109375" style="1830" customWidth="1"/>
    <col min="8955" max="8955" width="12.85546875" style="1830" customWidth="1"/>
    <col min="8956" max="8956" width="11.5703125" style="1830" customWidth="1"/>
    <col min="8957" max="8957" width="10.5703125" style="1830" customWidth="1"/>
    <col min="8958" max="8958" width="11.28515625" style="1830" customWidth="1"/>
    <col min="8959" max="8960" width="9.85546875" style="1830" customWidth="1"/>
    <col min="8961" max="8961" width="9.85546875" style="1830" bestFit="1" customWidth="1"/>
    <col min="8962" max="8962" width="9.140625" style="1830"/>
    <col min="8963" max="8963" width="9.42578125" style="1830" bestFit="1" customWidth="1"/>
    <col min="8964" max="8965" width="9.28515625" style="1830" bestFit="1" customWidth="1"/>
    <col min="8966" max="8968" width="9.28515625" style="1830" customWidth="1"/>
    <col min="8969" max="8969" width="9.28515625" style="1830" bestFit="1" customWidth="1"/>
    <col min="8970" max="9205" width="9.140625" style="1830"/>
    <col min="9206" max="9206" width="3.140625" style="1830" customWidth="1"/>
    <col min="9207" max="9207" width="47.7109375" style="1830" customWidth="1"/>
    <col min="9208" max="9208" width="12.28515625" style="1830" customWidth="1"/>
    <col min="9209" max="9209" width="13.140625" style="1830" customWidth="1"/>
    <col min="9210" max="9210" width="11.7109375" style="1830" customWidth="1"/>
    <col min="9211" max="9211" width="12.85546875" style="1830" customWidth="1"/>
    <col min="9212" max="9212" width="11.5703125" style="1830" customWidth="1"/>
    <col min="9213" max="9213" width="10.5703125" style="1830" customWidth="1"/>
    <col min="9214" max="9214" width="11.28515625" style="1830" customWidth="1"/>
    <col min="9215" max="9216" width="9.85546875" style="1830" customWidth="1"/>
    <col min="9217" max="9217" width="9.85546875" style="1830" bestFit="1" customWidth="1"/>
    <col min="9218" max="9218" width="9.140625" style="1830"/>
    <col min="9219" max="9219" width="9.42578125" style="1830" bestFit="1" customWidth="1"/>
    <col min="9220" max="9221" width="9.28515625" style="1830" bestFit="1" customWidth="1"/>
    <col min="9222" max="9224" width="9.28515625" style="1830" customWidth="1"/>
    <col min="9225" max="9225" width="9.28515625" style="1830" bestFit="1" customWidth="1"/>
    <col min="9226" max="9461" width="9.140625" style="1830"/>
    <col min="9462" max="9462" width="3.140625" style="1830" customWidth="1"/>
    <col min="9463" max="9463" width="47.7109375" style="1830" customWidth="1"/>
    <col min="9464" max="9464" width="12.28515625" style="1830" customWidth="1"/>
    <col min="9465" max="9465" width="13.140625" style="1830" customWidth="1"/>
    <col min="9466" max="9466" width="11.7109375" style="1830" customWidth="1"/>
    <col min="9467" max="9467" width="12.85546875" style="1830" customWidth="1"/>
    <col min="9468" max="9468" width="11.5703125" style="1830" customWidth="1"/>
    <col min="9469" max="9469" width="10.5703125" style="1830" customWidth="1"/>
    <col min="9470" max="9470" width="11.28515625" style="1830" customWidth="1"/>
    <col min="9471" max="9472" width="9.85546875" style="1830" customWidth="1"/>
    <col min="9473" max="9473" width="9.85546875" style="1830" bestFit="1" customWidth="1"/>
    <col min="9474" max="9474" width="9.140625" style="1830"/>
    <col min="9475" max="9475" width="9.42578125" style="1830" bestFit="1" customWidth="1"/>
    <col min="9476" max="9477" width="9.28515625" style="1830" bestFit="1" customWidth="1"/>
    <col min="9478" max="9480" width="9.28515625" style="1830" customWidth="1"/>
    <col min="9481" max="9481" width="9.28515625" style="1830" bestFit="1" customWidth="1"/>
    <col min="9482" max="9717" width="9.140625" style="1830"/>
    <col min="9718" max="9718" width="3.140625" style="1830" customWidth="1"/>
    <col min="9719" max="9719" width="47.7109375" style="1830" customWidth="1"/>
    <col min="9720" max="9720" width="12.28515625" style="1830" customWidth="1"/>
    <col min="9721" max="9721" width="13.140625" style="1830" customWidth="1"/>
    <col min="9722" max="9722" width="11.7109375" style="1830" customWidth="1"/>
    <col min="9723" max="9723" width="12.85546875" style="1830" customWidth="1"/>
    <col min="9724" max="9724" width="11.5703125" style="1830" customWidth="1"/>
    <col min="9725" max="9725" width="10.5703125" style="1830" customWidth="1"/>
    <col min="9726" max="9726" width="11.28515625" style="1830" customWidth="1"/>
    <col min="9727" max="9728" width="9.85546875" style="1830" customWidth="1"/>
    <col min="9729" max="9729" width="9.85546875" style="1830" bestFit="1" customWidth="1"/>
    <col min="9730" max="9730" width="9.140625" style="1830"/>
    <col min="9731" max="9731" width="9.42578125" style="1830" bestFit="1" customWidth="1"/>
    <col min="9732" max="9733" width="9.28515625" style="1830" bestFit="1" customWidth="1"/>
    <col min="9734" max="9736" width="9.28515625" style="1830" customWidth="1"/>
    <col min="9737" max="9737" width="9.28515625" style="1830" bestFit="1" customWidth="1"/>
    <col min="9738" max="9973" width="9.140625" style="1830"/>
    <col min="9974" max="9974" width="3.140625" style="1830" customWidth="1"/>
    <col min="9975" max="9975" width="47.7109375" style="1830" customWidth="1"/>
    <col min="9976" max="9976" width="12.28515625" style="1830" customWidth="1"/>
    <col min="9977" max="9977" width="13.140625" style="1830" customWidth="1"/>
    <col min="9978" max="9978" width="11.7109375" style="1830" customWidth="1"/>
    <col min="9979" max="9979" width="12.85546875" style="1830" customWidth="1"/>
    <col min="9980" max="9980" width="11.5703125" style="1830" customWidth="1"/>
    <col min="9981" max="9981" width="10.5703125" style="1830" customWidth="1"/>
    <col min="9982" max="9982" width="11.28515625" style="1830" customWidth="1"/>
    <col min="9983" max="9984" width="9.85546875" style="1830" customWidth="1"/>
    <col min="9985" max="9985" width="9.85546875" style="1830" bestFit="1" customWidth="1"/>
    <col min="9986" max="9986" width="9.140625" style="1830"/>
    <col min="9987" max="9987" width="9.42578125" style="1830" bestFit="1" customWidth="1"/>
    <col min="9988" max="9989" width="9.28515625" style="1830" bestFit="1" customWidth="1"/>
    <col min="9990" max="9992" width="9.28515625" style="1830" customWidth="1"/>
    <col min="9993" max="9993" width="9.28515625" style="1830" bestFit="1" customWidth="1"/>
    <col min="9994" max="10229" width="9.140625" style="1830"/>
    <col min="10230" max="10230" width="3.140625" style="1830" customWidth="1"/>
    <col min="10231" max="10231" width="47.7109375" style="1830" customWidth="1"/>
    <col min="10232" max="10232" width="12.28515625" style="1830" customWidth="1"/>
    <col min="10233" max="10233" width="13.140625" style="1830" customWidth="1"/>
    <col min="10234" max="10234" width="11.7109375" style="1830" customWidth="1"/>
    <col min="10235" max="10235" width="12.85546875" style="1830" customWidth="1"/>
    <col min="10236" max="10236" width="11.5703125" style="1830" customWidth="1"/>
    <col min="10237" max="10237" width="10.5703125" style="1830" customWidth="1"/>
    <col min="10238" max="10238" width="11.28515625" style="1830" customWidth="1"/>
    <col min="10239" max="10240" width="9.85546875" style="1830" customWidth="1"/>
    <col min="10241" max="10241" width="9.85546875" style="1830" bestFit="1" customWidth="1"/>
    <col min="10242" max="10242" width="9.140625" style="1830"/>
    <col min="10243" max="10243" width="9.42578125" style="1830" bestFit="1" customWidth="1"/>
    <col min="10244" max="10245" width="9.28515625" style="1830" bestFit="1" customWidth="1"/>
    <col min="10246" max="10248" width="9.28515625" style="1830" customWidth="1"/>
    <col min="10249" max="10249" width="9.28515625" style="1830" bestFit="1" customWidth="1"/>
    <col min="10250" max="10485" width="9.140625" style="1830"/>
    <col min="10486" max="10486" width="3.140625" style="1830" customWidth="1"/>
    <col min="10487" max="10487" width="47.7109375" style="1830" customWidth="1"/>
    <col min="10488" max="10488" width="12.28515625" style="1830" customWidth="1"/>
    <col min="10489" max="10489" width="13.140625" style="1830" customWidth="1"/>
    <col min="10490" max="10490" width="11.7109375" style="1830" customWidth="1"/>
    <col min="10491" max="10491" width="12.85546875" style="1830" customWidth="1"/>
    <col min="10492" max="10492" width="11.5703125" style="1830" customWidth="1"/>
    <col min="10493" max="10493" width="10.5703125" style="1830" customWidth="1"/>
    <col min="10494" max="10494" width="11.28515625" style="1830" customWidth="1"/>
    <col min="10495" max="10496" width="9.85546875" style="1830" customWidth="1"/>
    <col min="10497" max="10497" width="9.85546875" style="1830" bestFit="1" customWidth="1"/>
    <col min="10498" max="10498" width="9.140625" style="1830"/>
    <col min="10499" max="10499" width="9.42578125" style="1830" bestFit="1" customWidth="1"/>
    <col min="10500" max="10501" width="9.28515625" style="1830" bestFit="1" customWidth="1"/>
    <col min="10502" max="10504" width="9.28515625" style="1830" customWidth="1"/>
    <col min="10505" max="10505" width="9.28515625" style="1830" bestFit="1" customWidth="1"/>
    <col min="10506" max="10741" width="9.140625" style="1830"/>
    <col min="10742" max="10742" width="3.140625" style="1830" customWidth="1"/>
    <col min="10743" max="10743" width="47.7109375" style="1830" customWidth="1"/>
    <col min="10744" max="10744" width="12.28515625" style="1830" customWidth="1"/>
    <col min="10745" max="10745" width="13.140625" style="1830" customWidth="1"/>
    <col min="10746" max="10746" width="11.7109375" style="1830" customWidth="1"/>
    <col min="10747" max="10747" width="12.85546875" style="1830" customWidth="1"/>
    <col min="10748" max="10748" width="11.5703125" style="1830" customWidth="1"/>
    <col min="10749" max="10749" width="10.5703125" style="1830" customWidth="1"/>
    <col min="10750" max="10750" width="11.28515625" style="1830" customWidth="1"/>
    <col min="10751" max="10752" width="9.85546875" style="1830" customWidth="1"/>
    <col min="10753" max="10753" width="9.85546875" style="1830" bestFit="1" customWidth="1"/>
    <col min="10754" max="10754" width="9.140625" style="1830"/>
    <col min="10755" max="10755" width="9.42578125" style="1830" bestFit="1" customWidth="1"/>
    <col min="10756" max="10757" width="9.28515625" style="1830" bestFit="1" customWidth="1"/>
    <col min="10758" max="10760" width="9.28515625" style="1830" customWidth="1"/>
    <col min="10761" max="10761" width="9.28515625" style="1830" bestFit="1" customWidth="1"/>
    <col min="10762" max="10997" width="9.140625" style="1830"/>
    <col min="10998" max="10998" width="3.140625" style="1830" customWidth="1"/>
    <col min="10999" max="10999" width="47.7109375" style="1830" customWidth="1"/>
    <col min="11000" max="11000" width="12.28515625" style="1830" customWidth="1"/>
    <col min="11001" max="11001" width="13.140625" style="1830" customWidth="1"/>
    <col min="11002" max="11002" width="11.7109375" style="1830" customWidth="1"/>
    <col min="11003" max="11003" width="12.85546875" style="1830" customWidth="1"/>
    <col min="11004" max="11004" width="11.5703125" style="1830" customWidth="1"/>
    <col min="11005" max="11005" width="10.5703125" style="1830" customWidth="1"/>
    <col min="11006" max="11006" width="11.28515625" style="1830" customWidth="1"/>
    <col min="11007" max="11008" width="9.85546875" style="1830" customWidth="1"/>
    <col min="11009" max="11009" width="9.85546875" style="1830" bestFit="1" customWidth="1"/>
    <col min="11010" max="11010" width="9.140625" style="1830"/>
    <col min="11011" max="11011" width="9.42578125" style="1830" bestFit="1" customWidth="1"/>
    <col min="11012" max="11013" width="9.28515625" style="1830" bestFit="1" customWidth="1"/>
    <col min="11014" max="11016" width="9.28515625" style="1830" customWidth="1"/>
    <col min="11017" max="11017" width="9.28515625" style="1830" bestFit="1" customWidth="1"/>
    <col min="11018" max="11253" width="9.140625" style="1830"/>
    <col min="11254" max="11254" width="3.140625" style="1830" customWidth="1"/>
    <col min="11255" max="11255" width="47.7109375" style="1830" customWidth="1"/>
    <col min="11256" max="11256" width="12.28515625" style="1830" customWidth="1"/>
    <col min="11257" max="11257" width="13.140625" style="1830" customWidth="1"/>
    <col min="11258" max="11258" width="11.7109375" style="1830" customWidth="1"/>
    <col min="11259" max="11259" width="12.85546875" style="1830" customWidth="1"/>
    <col min="11260" max="11260" width="11.5703125" style="1830" customWidth="1"/>
    <col min="11261" max="11261" width="10.5703125" style="1830" customWidth="1"/>
    <col min="11262" max="11262" width="11.28515625" style="1830" customWidth="1"/>
    <col min="11263" max="11264" width="9.85546875" style="1830" customWidth="1"/>
    <col min="11265" max="11265" width="9.85546875" style="1830" bestFit="1" customWidth="1"/>
    <col min="11266" max="11266" width="9.140625" style="1830"/>
    <col min="11267" max="11267" width="9.42578125" style="1830" bestFit="1" customWidth="1"/>
    <col min="11268" max="11269" width="9.28515625" style="1830" bestFit="1" customWidth="1"/>
    <col min="11270" max="11272" width="9.28515625" style="1830" customWidth="1"/>
    <col min="11273" max="11273" width="9.28515625" style="1830" bestFit="1" customWidth="1"/>
    <col min="11274" max="11509" width="9.140625" style="1830"/>
    <col min="11510" max="11510" width="3.140625" style="1830" customWidth="1"/>
    <col min="11511" max="11511" width="47.7109375" style="1830" customWidth="1"/>
    <col min="11512" max="11512" width="12.28515625" style="1830" customWidth="1"/>
    <col min="11513" max="11513" width="13.140625" style="1830" customWidth="1"/>
    <col min="11514" max="11514" width="11.7109375" style="1830" customWidth="1"/>
    <col min="11515" max="11515" width="12.85546875" style="1830" customWidth="1"/>
    <col min="11516" max="11516" width="11.5703125" style="1830" customWidth="1"/>
    <col min="11517" max="11517" width="10.5703125" style="1830" customWidth="1"/>
    <col min="11518" max="11518" width="11.28515625" style="1830" customWidth="1"/>
    <col min="11519" max="11520" width="9.85546875" style="1830" customWidth="1"/>
    <col min="11521" max="11521" width="9.85546875" style="1830" bestFit="1" customWidth="1"/>
    <col min="11522" max="11522" width="9.140625" style="1830"/>
    <col min="11523" max="11523" width="9.42578125" style="1830" bestFit="1" customWidth="1"/>
    <col min="11524" max="11525" width="9.28515625" style="1830" bestFit="1" customWidth="1"/>
    <col min="11526" max="11528" width="9.28515625" style="1830" customWidth="1"/>
    <col min="11529" max="11529" width="9.28515625" style="1830" bestFit="1" customWidth="1"/>
    <col min="11530" max="11765" width="9.140625" style="1830"/>
    <col min="11766" max="11766" width="3.140625" style="1830" customWidth="1"/>
    <col min="11767" max="11767" width="47.7109375" style="1830" customWidth="1"/>
    <col min="11768" max="11768" width="12.28515625" style="1830" customWidth="1"/>
    <col min="11769" max="11769" width="13.140625" style="1830" customWidth="1"/>
    <col min="11770" max="11770" width="11.7109375" style="1830" customWidth="1"/>
    <col min="11771" max="11771" width="12.85546875" style="1830" customWidth="1"/>
    <col min="11772" max="11772" width="11.5703125" style="1830" customWidth="1"/>
    <col min="11773" max="11773" width="10.5703125" style="1830" customWidth="1"/>
    <col min="11774" max="11774" width="11.28515625" style="1830" customWidth="1"/>
    <col min="11775" max="11776" width="9.85546875" style="1830" customWidth="1"/>
    <col min="11777" max="11777" width="9.85546875" style="1830" bestFit="1" customWidth="1"/>
    <col min="11778" max="11778" width="9.140625" style="1830"/>
    <col min="11779" max="11779" width="9.42578125" style="1830" bestFit="1" customWidth="1"/>
    <col min="11780" max="11781" width="9.28515625" style="1830" bestFit="1" customWidth="1"/>
    <col min="11782" max="11784" width="9.28515625" style="1830" customWidth="1"/>
    <col min="11785" max="11785" width="9.28515625" style="1830" bestFit="1" customWidth="1"/>
    <col min="11786" max="12021" width="9.140625" style="1830"/>
    <col min="12022" max="12022" width="3.140625" style="1830" customWidth="1"/>
    <col min="12023" max="12023" width="47.7109375" style="1830" customWidth="1"/>
    <col min="12024" max="12024" width="12.28515625" style="1830" customWidth="1"/>
    <col min="12025" max="12025" width="13.140625" style="1830" customWidth="1"/>
    <col min="12026" max="12026" width="11.7109375" style="1830" customWidth="1"/>
    <col min="12027" max="12027" width="12.85546875" style="1830" customWidth="1"/>
    <col min="12028" max="12028" width="11.5703125" style="1830" customWidth="1"/>
    <col min="12029" max="12029" width="10.5703125" style="1830" customWidth="1"/>
    <col min="12030" max="12030" width="11.28515625" style="1830" customWidth="1"/>
    <col min="12031" max="12032" width="9.85546875" style="1830" customWidth="1"/>
    <col min="12033" max="12033" width="9.85546875" style="1830" bestFit="1" customWidth="1"/>
    <col min="12034" max="12034" width="9.140625" style="1830"/>
    <col min="12035" max="12035" width="9.42578125" style="1830" bestFit="1" customWidth="1"/>
    <col min="12036" max="12037" width="9.28515625" style="1830" bestFit="1" customWidth="1"/>
    <col min="12038" max="12040" width="9.28515625" style="1830" customWidth="1"/>
    <col min="12041" max="12041" width="9.28515625" style="1830" bestFit="1" customWidth="1"/>
    <col min="12042" max="12277" width="9.140625" style="1830"/>
    <col min="12278" max="12278" width="3.140625" style="1830" customWidth="1"/>
    <col min="12279" max="12279" width="47.7109375" style="1830" customWidth="1"/>
    <col min="12280" max="12280" width="12.28515625" style="1830" customWidth="1"/>
    <col min="12281" max="12281" width="13.140625" style="1830" customWidth="1"/>
    <col min="12282" max="12282" width="11.7109375" style="1830" customWidth="1"/>
    <col min="12283" max="12283" width="12.85546875" style="1830" customWidth="1"/>
    <col min="12284" max="12284" width="11.5703125" style="1830" customWidth="1"/>
    <col min="12285" max="12285" width="10.5703125" style="1830" customWidth="1"/>
    <col min="12286" max="12286" width="11.28515625" style="1830" customWidth="1"/>
    <col min="12287" max="12288" width="9.85546875" style="1830" customWidth="1"/>
    <col min="12289" max="12289" width="9.85546875" style="1830" bestFit="1" customWidth="1"/>
    <col min="12290" max="12290" width="9.140625" style="1830"/>
    <col min="12291" max="12291" width="9.42578125" style="1830" bestFit="1" customWidth="1"/>
    <col min="12292" max="12293" width="9.28515625" style="1830" bestFit="1" customWidth="1"/>
    <col min="12294" max="12296" width="9.28515625" style="1830" customWidth="1"/>
    <col min="12297" max="12297" width="9.28515625" style="1830" bestFit="1" customWidth="1"/>
    <col min="12298" max="12533" width="9.140625" style="1830"/>
    <col min="12534" max="12534" width="3.140625" style="1830" customWidth="1"/>
    <col min="12535" max="12535" width="47.7109375" style="1830" customWidth="1"/>
    <col min="12536" max="12536" width="12.28515625" style="1830" customWidth="1"/>
    <col min="12537" max="12537" width="13.140625" style="1830" customWidth="1"/>
    <col min="12538" max="12538" width="11.7109375" style="1830" customWidth="1"/>
    <col min="12539" max="12539" width="12.85546875" style="1830" customWidth="1"/>
    <col min="12540" max="12540" width="11.5703125" style="1830" customWidth="1"/>
    <col min="12541" max="12541" width="10.5703125" style="1830" customWidth="1"/>
    <col min="12542" max="12542" width="11.28515625" style="1830" customWidth="1"/>
    <col min="12543" max="12544" width="9.85546875" style="1830" customWidth="1"/>
    <col min="12545" max="12545" width="9.85546875" style="1830" bestFit="1" customWidth="1"/>
    <col min="12546" max="12546" width="9.140625" style="1830"/>
    <col min="12547" max="12547" width="9.42578125" style="1830" bestFit="1" customWidth="1"/>
    <col min="12548" max="12549" width="9.28515625" style="1830" bestFit="1" customWidth="1"/>
    <col min="12550" max="12552" width="9.28515625" style="1830" customWidth="1"/>
    <col min="12553" max="12553" width="9.28515625" style="1830" bestFit="1" customWidth="1"/>
    <col min="12554" max="12789" width="9.140625" style="1830"/>
    <col min="12790" max="12790" width="3.140625" style="1830" customWidth="1"/>
    <col min="12791" max="12791" width="47.7109375" style="1830" customWidth="1"/>
    <col min="12792" max="12792" width="12.28515625" style="1830" customWidth="1"/>
    <col min="12793" max="12793" width="13.140625" style="1830" customWidth="1"/>
    <col min="12794" max="12794" width="11.7109375" style="1830" customWidth="1"/>
    <col min="12795" max="12795" width="12.85546875" style="1830" customWidth="1"/>
    <col min="12796" max="12796" width="11.5703125" style="1830" customWidth="1"/>
    <col min="12797" max="12797" width="10.5703125" style="1830" customWidth="1"/>
    <col min="12798" max="12798" width="11.28515625" style="1830" customWidth="1"/>
    <col min="12799" max="12800" width="9.85546875" style="1830" customWidth="1"/>
    <col min="12801" max="12801" width="9.85546875" style="1830" bestFit="1" customWidth="1"/>
    <col min="12802" max="12802" width="9.140625" style="1830"/>
    <col min="12803" max="12803" width="9.42578125" style="1830" bestFit="1" customWidth="1"/>
    <col min="12804" max="12805" width="9.28515625" style="1830" bestFit="1" customWidth="1"/>
    <col min="12806" max="12808" width="9.28515625" style="1830" customWidth="1"/>
    <col min="12809" max="12809" width="9.28515625" style="1830" bestFit="1" customWidth="1"/>
    <col min="12810" max="13045" width="9.140625" style="1830"/>
    <col min="13046" max="13046" width="3.140625" style="1830" customWidth="1"/>
    <col min="13047" max="13047" width="47.7109375" style="1830" customWidth="1"/>
    <col min="13048" max="13048" width="12.28515625" style="1830" customWidth="1"/>
    <col min="13049" max="13049" width="13.140625" style="1830" customWidth="1"/>
    <col min="13050" max="13050" width="11.7109375" style="1830" customWidth="1"/>
    <col min="13051" max="13051" width="12.85546875" style="1830" customWidth="1"/>
    <col min="13052" max="13052" width="11.5703125" style="1830" customWidth="1"/>
    <col min="13053" max="13053" width="10.5703125" style="1830" customWidth="1"/>
    <col min="13054" max="13054" width="11.28515625" style="1830" customWidth="1"/>
    <col min="13055" max="13056" width="9.85546875" style="1830" customWidth="1"/>
    <col min="13057" max="13057" width="9.85546875" style="1830" bestFit="1" customWidth="1"/>
    <col min="13058" max="13058" width="9.140625" style="1830"/>
    <col min="13059" max="13059" width="9.42578125" style="1830" bestFit="1" customWidth="1"/>
    <col min="13060" max="13061" width="9.28515625" style="1830" bestFit="1" customWidth="1"/>
    <col min="13062" max="13064" width="9.28515625" style="1830" customWidth="1"/>
    <col min="13065" max="13065" width="9.28515625" style="1830" bestFit="1" customWidth="1"/>
    <col min="13066" max="13301" width="9.140625" style="1830"/>
    <col min="13302" max="13302" width="3.140625" style="1830" customWidth="1"/>
    <col min="13303" max="13303" width="47.7109375" style="1830" customWidth="1"/>
    <col min="13304" max="13304" width="12.28515625" style="1830" customWidth="1"/>
    <col min="13305" max="13305" width="13.140625" style="1830" customWidth="1"/>
    <col min="13306" max="13306" width="11.7109375" style="1830" customWidth="1"/>
    <col min="13307" max="13307" width="12.85546875" style="1830" customWidth="1"/>
    <col min="13308" max="13308" width="11.5703125" style="1830" customWidth="1"/>
    <col min="13309" max="13309" width="10.5703125" style="1830" customWidth="1"/>
    <col min="13310" max="13310" width="11.28515625" style="1830" customWidth="1"/>
    <col min="13311" max="13312" width="9.85546875" style="1830" customWidth="1"/>
    <col min="13313" max="13313" width="9.85546875" style="1830" bestFit="1" customWidth="1"/>
    <col min="13314" max="13314" width="9.140625" style="1830"/>
    <col min="13315" max="13315" width="9.42578125" style="1830" bestFit="1" customWidth="1"/>
    <col min="13316" max="13317" width="9.28515625" style="1830" bestFit="1" customWidth="1"/>
    <col min="13318" max="13320" width="9.28515625" style="1830" customWidth="1"/>
    <col min="13321" max="13321" width="9.28515625" style="1830" bestFit="1" customWidth="1"/>
    <col min="13322" max="13557" width="9.140625" style="1830"/>
    <col min="13558" max="13558" width="3.140625" style="1830" customWidth="1"/>
    <col min="13559" max="13559" width="47.7109375" style="1830" customWidth="1"/>
    <col min="13560" max="13560" width="12.28515625" style="1830" customWidth="1"/>
    <col min="13561" max="13561" width="13.140625" style="1830" customWidth="1"/>
    <col min="13562" max="13562" width="11.7109375" style="1830" customWidth="1"/>
    <col min="13563" max="13563" width="12.85546875" style="1830" customWidth="1"/>
    <col min="13564" max="13564" width="11.5703125" style="1830" customWidth="1"/>
    <col min="13565" max="13565" width="10.5703125" style="1830" customWidth="1"/>
    <col min="13566" max="13566" width="11.28515625" style="1830" customWidth="1"/>
    <col min="13567" max="13568" width="9.85546875" style="1830" customWidth="1"/>
    <col min="13569" max="13569" width="9.85546875" style="1830" bestFit="1" customWidth="1"/>
    <col min="13570" max="13570" width="9.140625" style="1830"/>
    <col min="13571" max="13571" width="9.42578125" style="1830" bestFit="1" customWidth="1"/>
    <col min="13572" max="13573" width="9.28515625" style="1830" bestFit="1" customWidth="1"/>
    <col min="13574" max="13576" width="9.28515625" style="1830" customWidth="1"/>
    <col min="13577" max="13577" width="9.28515625" style="1830" bestFit="1" customWidth="1"/>
    <col min="13578" max="13813" width="9.140625" style="1830"/>
    <col min="13814" max="13814" width="3.140625" style="1830" customWidth="1"/>
    <col min="13815" max="13815" width="47.7109375" style="1830" customWidth="1"/>
    <col min="13816" max="13816" width="12.28515625" style="1830" customWidth="1"/>
    <col min="13817" max="13817" width="13.140625" style="1830" customWidth="1"/>
    <col min="13818" max="13818" width="11.7109375" style="1830" customWidth="1"/>
    <col min="13819" max="13819" width="12.85546875" style="1830" customWidth="1"/>
    <col min="13820" max="13820" width="11.5703125" style="1830" customWidth="1"/>
    <col min="13821" max="13821" width="10.5703125" style="1830" customWidth="1"/>
    <col min="13822" max="13822" width="11.28515625" style="1830" customWidth="1"/>
    <col min="13823" max="13824" width="9.85546875" style="1830" customWidth="1"/>
    <col min="13825" max="13825" width="9.85546875" style="1830" bestFit="1" customWidth="1"/>
    <col min="13826" max="13826" width="9.140625" style="1830"/>
    <col min="13827" max="13827" width="9.42578125" style="1830" bestFit="1" customWidth="1"/>
    <col min="13828" max="13829" width="9.28515625" style="1830" bestFit="1" customWidth="1"/>
    <col min="13830" max="13832" width="9.28515625" style="1830" customWidth="1"/>
    <col min="13833" max="13833" width="9.28515625" style="1830" bestFit="1" customWidth="1"/>
    <col min="13834" max="14069" width="9.140625" style="1830"/>
    <col min="14070" max="14070" width="3.140625" style="1830" customWidth="1"/>
    <col min="14071" max="14071" width="47.7109375" style="1830" customWidth="1"/>
    <col min="14072" max="14072" width="12.28515625" style="1830" customWidth="1"/>
    <col min="14073" max="14073" width="13.140625" style="1830" customWidth="1"/>
    <col min="14074" max="14074" width="11.7109375" style="1830" customWidth="1"/>
    <col min="14075" max="14075" width="12.85546875" style="1830" customWidth="1"/>
    <col min="14076" max="14076" width="11.5703125" style="1830" customWidth="1"/>
    <col min="14077" max="14077" width="10.5703125" style="1830" customWidth="1"/>
    <col min="14078" max="14078" width="11.28515625" style="1830" customWidth="1"/>
    <col min="14079" max="14080" width="9.85546875" style="1830" customWidth="1"/>
    <col min="14081" max="14081" width="9.85546875" style="1830" bestFit="1" customWidth="1"/>
    <col min="14082" max="14082" width="9.140625" style="1830"/>
    <col min="14083" max="14083" width="9.42578125" style="1830" bestFit="1" customWidth="1"/>
    <col min="14084" max="14085" width="9.28515625" style="1830" bestFit="1" customWidth="1"/>
    <col min="14086" max="14088" width="9.28515625" style="1830" customWidth="1"/>
    <col min="14089" max="14089" width="9.28515625" style="1830" bestFit="1" customWidth="1"/>
    <col min="14090" max="14325" width="9.140625" style="1830"/>
    <col min="14326" max="14326" width="3.140625" style="1830" customWidth="1"/>
    <col min="14327" max="14327" width="47.7109375" style="1830" customWidth="1"/>
    <col min="14328" max="14328" width="12.28515625" style="1830" customWidth="1"/>
    <col min="14329" max="14329" width="13.140625" style="1830" customWidth="1"/>
    <col min="14330" max="14330" width="11.7109375" style="1830" customWidth="1"/>
    <col min="14331" max="14331" width="12.85546875" style="1830" customWidth="1"/>
    <col min="14332" max="14332" width="11.5703125" style="1830" customWidth="1"/>
    <col min="14333" max="14333" width="10.5703125" style="1830" customWidth="1"/>
    <col min="14334" max="14334" width="11.28515625" style="1830" customWidth="1"/>
    <col min="14335" max="14336" width="9.85546875" style="1830" customWidth="1"/>
    <col min="14337" max="14337" width="9.85546875" style="1830" bestFit="1" customWidth="1"/>
    <col min="14338" max="14338" width="9.140625" style="1830"/>
    <col min="14339" max="14339" width="9.42578125" style="1830" bestFit="1" customWidth="1"/>
    <col min="14340" max="14341" width="9.28515625" style="1830" bestFit="1" customWidth="1"/>
    <col min="14342" max="14344" width="9.28515625" style="1830" customWidth="1"/>
    <col min="14345" max="14345" width="9.28515625" style="1830" bestFit="1" customWidth="1"/>
    <col min="14346" max="14581" width="9.140625" style="1830"/>
    <col min="14582" max="14582" width="3.140625" style="1830" customWidth="1"/>
    <col min="14583" max="14583" width="47.7109375" style="1830" customWidth="1"/>
    <col min="14584" max="14584" width="12.28515625" style="1830" customWidth="1"/>
    <col min="14585" max="14585" width="13.140625" style="1830" customWidth="1"/>
    <col min="14586" max="14586" width="11.7109375" style="1830" customWidth="1"/>
    <col min="14587" max="14587" width="12.85546875" style="1830" customWidth="1"/>
    <col min="14588" max="14588" width="11.5703125" style="1830" customWidth="1"/>
    <col min="14589" max="14589" width="10.5703125" style="1830" customWidth="1"/>
    <col min="14590" max="14590" width="11.28515625" style="1830" customWidth="1"/>
    <col min="14591" max="14592" width="9.85546875" style="1830" customWidth="1"/>
    <col min="14593" max="14593" width="9.85546875" style="1830" bestFit="1" customWidth="1"/>
    <col min="14594" max="14594" width="9.140625" style="1830"/>
    <col min="14595" max="14595" width="9.42578125" style="1830" bestFit="1" customWidth="1"/>
    <col min="14596" max="14597" width="9.28515625" style="1830" bestFit="1" customWidth="1"/>
    <col min="14598" max="14600" width="9.28515625" style="1830" customWidth="1"/>
    <col min="14601" max="14601" width="9.28515625" style="1830" bestFit="1" customWidth="1"/>
    <col min="14602" max="14837" width="9.140625" style="1830"/>
    <col min="14838" max="14838" width="3.140625" style="1830" customWidth="1"/>
    <col min="14839" max="14839" width="47.7109375" style="1830" customWidth="1"/>
    <col min="14840" max="14840" width="12.28515625" style="1830" customWidth="1"/>
    <col min="14841" max="14841" width="13.140625" style="1830" customWidth="1"/>
    <col min="14842" max="14842" width="11.7109375" style="1830" customWidth="1"/>
    <col min="14843" max="14843" width="12.85546875" style="1830" customWidth="1"/>
    <col min="14844" max="14844" width="11.5703125" style="1830" customWidth="1"/>
    <col min="14845" max="14845" width="10.5703125" style="1830" customWidth="1"/>
    <col min="14846" max="14846" width="11.28515625" style="1830" customWidth="1"/>
    <col min="14847" max="14848" width="9.85546875" style="1830" customWidth="1"/>
    <col min="14849" max="14849" width="9.85546875" style="1830" bestFit="1" customWidth="1"/>
    <col min="14850" max="14850" width="9.140625" style="1830"/>
    <col min="14851" max="14851" width="9.42578125" style="1830" bestFit="1" customWidth="1"/>
    <col min="14852" max="14853" width="9.28515625" style="1830" bestFit="1" customWidth="1"/>
    <col min="14854" max="14856" width="9.28515625" style="1830" customWidth="1"/>
    <col min="14857" max="14857" width="9.28515625" style="1830" bestFit="1" customWidth="1"/>
    <col min="14858" max="15093" width="9.140625" style="1830"/>
    <col min="15094" max="15094" width="3.140625" style="1830" customWidth="1"/>
    <col min="15095" max="15095" width="47.7109375" style="1830" customWidth="1"/>
    <col min="15096" max="15096" width="12.28515625" style="1830" customWidth="1"/>
    <col min="15097" max="15097" width="13.140625" style="1830" customWidth="1"/>
    <col min="15098" max="15098" width="11.7109375" style="1830" customWidth="1"/>
    <col min="15099" max="15099" width="12.85546875" style="1830" customWidth="1"/>
    <col min="15100" max="15100" width="11.5703125" style="1830" customWidth="1"/>
    <col min="15101" max="15101" width="10.5703125" style="1830" customWidth="1"/>
    <col min="15102" max="15102" width="11.28515625" style="1830" customWidth="1"/>
    <col min="15103" max="15104" width="9.85546875" style="1830" customWidth="1"/>
    <col min="15105" max="15105" width="9.85546875" style="1830" bestFit="1" customWidth="1"/>
    <col min="15106" max="15106" width="9.140625" style="1830"/>
    <col min="15107" max="15107" width="9.42578125" style="1830" bestFit="1" customWidth="1"/>
    <col min="15108" max="15109" width="9.28515625" style="1830" bestFit="1" customWidth="1"/>
    <col min="15110" max="15112" width="9.28515625" style="1830" customWidth="1"/>
    <col min="15113" max="15113" width="9.28515625" style="1830" bestFit="1" customWidth="1"/>
    <col min="15114" max="15349" width="9.140625" style="1830"/>
    <col min="15350" max="15350" width="3.140625" style="1830" customWidth="1"/>
    <col min="15351" max="15351" width="47.7109375" style="1830" customWidth="1"/>
    <col min="15352" max="15352" width="12.28515625" style="1830" customWidth="1"/>
    <col min="15353" max="15353" width="13.140625" style="1830" customWidth="1"/>
    <col min="15354" max="15354" width="11.7109375" style="1830" customWidth="1"/>
    <col min="15355" max="15355" width="12.85546875" style="1830" customWidth="1"/>
    <col min="15356" max="15356" width="11.5703125" style="1830" customWidth="1"/>
    <col min="15357" max="15357" width="10.5703125" style="1830" customWidth="1"/>
    <col min="15358" max="15358" width="11.28515625" style="1830" customWidth="1"/>
    <col min="15359" max="15360" width="9.85546875" style="1830" customWidth="1"/>
    <col min="15361" max="15361" width="9.85546875" style="1830" bestFit="1" customWidth="1"/>
    <col min="15362" max="15362" width="9.140625" style="1830"/>
    <col min="15363" max="15363" width="9.42578125" style="1830" bestFit="1" customWidth="1"/>
    <col min="15364" max="15365" width="9.28515625" style="1830" bestFit="1" customWidth="1"/>
    <col min="15366" max="15368" width="9.28515625" style="1830" customWidth="1"/>
    <col min="15369" max="15369" width="9.28515625" style="1830" bestFit="1" customWidth="1"/>
    <col min="15370" max="15605" width="9.140625" style="1830"/>
    <col min="15606" max="15606" width="3.140625" style="1830" customWidth="1"/>
    <col min="15607" max="15607" width="47.7109375" style="1830" customWidth="1"/>
    <col min="15608" max="15608" width="12.28515625" style="1830" customWidth="1"/>
    <col min="15609" max="15609" width="13.140625" style="1830" customWidth="1"/>
    <col min="15610" max="15610" width="11.7109375" style="1830" customWidth="1"/>
    <col min="15611" max="15611" width="12.85546875" style="1830" customWidth="1"/>
    <col min="15612" max="15612" width="11.5703125" style="1830" customWidth="1"/>
    <col min="15613" max="15613" width="10.5703125" style="1830" customWidth="1"/>
    <col min="15614" max="15614" width="11.28515625" style="1830" customWidth="1"/>
    <col min="15615" max="15616" width="9.85546875" style="1830" customWidth="1"/>
    <col min="15617" max="15617" width="9.85546875" style="1830" bestFit="1" customWidth="1"/>
    <col min="15618" max="15618" width="9.140625" style="1830"/>
    <col min="15619" max="15619" width="9.42578125" style="1830" bestFit="1" customWidth="1"/>
    <col min="15620" max="15621" width="9.28515625" style="1830" bestFit="1" customWidth="1"/>
    <col min="15622" max="15624" width="9.28515625" style="1830" customWidth="1"/>
    <col min="15625" max="15625" width="9.28515625" style="1830" bestFit="1" customWidth="1"/>
    <col min="15626" max="15861" width="9.140625" style="1830"/>
    <col min="15862" max="15862" width="3.140625" style="1830" customWidth="1"/>
    <col min="15863" max="15863" width="47.7109375" style="1830" customWidth="1"/>
    <col min="15864" max="15864" width="12.28515625" style="1830" customWidth="1"/>
    <col min="15865" max="15865" width="13.140625" style="1830" customWidth="1"/>
    <col min="15866" max="15866" width="11.7109375" style="1830" customWidth="1"/>
    <col min="15867" max="15867" width="12.85546875" style="1830" customWidth="1"/>
    <col min="15868" max="15868" width="11.5703125" style="1830" customWidth="1"/>
    <col min="15869" max="15869" width="10.5703125" style="1830" customWidth="1"/>
    <col min="15870" max="15870" width="11.28515625" style="1830" customWidth="1"/>
    <col min="15871" max="15872" width="9.85546875" style="1830" customWidth="1"/>
    <col min="15873" max="15873" width="9.85546875" style="1830" bestFit="1" customWidth="1"/>
    <col min="15874" max="15874" width="9.140625" style="1830"/>
    <col min="15875" max="15875" width="9.42578125" style="1830" bestFit="1" customWidth="1"/>
    <col min="15876" max="15877" width="9.28515625" style="1830" bestFit="1" customWidth="1"/>
    <col min="15878" max="15880" width="9.28515625" style="1830" customWidth="1"/>
    <col min="15881" max="15881" width="9.28515625" style="1830" bestFit="1" customWidth="1"/>
    <col min="15882" max="16117" width="9.140625" style="1830"/>
    <col min="16118" max="16118" width="3.140625" style="1830" customWidth="1"/>
    <col min="16119" max="16119" width="47.7109375" style="1830" customWidth="1"/>
    <col min="16120" max="16120" width="12.28515625" style="1830" customWidth="1"/>
    <col min="16121" max="16121" width="13.140625" style="1830" customWidth="1"/>
    <col min="16122" max="16122" width="11.7109375" style="1830" customWidth="1"/>
    <col min="16123" max="16123" width="12.85546875" style="1830" customWidth="1"/>
    <col min="16124" max="16124" width="11.5703125" style="1830" customWidth="1"/>
    <col min="16125" max="16125" width="10.5703125" style="1830" customWidth="1"/>
    <col min="16126" max="16126" width="11.28515625" style="1830" customWidth="1"/>
    <col min="16127" max="16128" width="9.85546875" style="1830" customWidth="1"/>
    <col min="16129" max="16129" width="9.85546875" style="1830" bestFit="1" customWidth="1"/>
    <col min="16130" max="16130" width="9.140625" style="1830"/>
    <col min="16131" max="16131" width="9.42578125" style="1830" bestFit="1" customWidth="1"/>
    <col min="16132" max="16133" width="9.28515625" style="1830" bestFit="1" customWidth="1"/>
    <col min="16134" max="16136" width="9.28515625" style="1830" customWidth="1"/>
    <col min="16137" max="16137" width="9.28515625" style="1830" bestFit="1" customWidth="1"/>
    <col min="16138" max="16384" width="9.140625" style="1830"/>
  </cols>
  <sheetData>
    <row r="1" spans="1:136" ht="17.25" x14ac:dyDescent="0.25">
      <c r="A1" s="1828" t="s">
        <v>1128</v>
      </c>
      <c r="B1" s="1829"/>
      <c r="C1" s="1829"/>
      <c r="D1" s="1829"/>
    </row>
    <row r="2" spans="1:136" ht="18" thickBot="1" x14ac:dyDescent="0.3">
      <c r="A2" s="1831"/>
      <c r="B2" s="1832"/>
      <c r="C2" s="1833"/>
      <c r="D2" s="1834"/>
      <c r="F2" s="1835" t="s">
        <v>1129</v>
      </c>
    </row>
    <row r="3" spans="1:136" ht="18" thickBot="1" x14ac:dyDescent="0.3">
      <c r="A3" s="1836"/>
      <c r="B3" s="1837"/>
      <c r="C3" s="3345" t="s">
        <v>1130</v>
      </c>
      <c r="D3" s="3346"/>
      <c r="E3" s="3346"/>
      <c r="F3" s="3346"/>
      <c r="G3" s="1838"/>
    </row>
    <row r="4" spans="1:136" ht="18" thickBot="1" x14ac:dyDescent="0.3">
      <c r="A4" s="1839"/>
      <c r="B4" s="1840"/>
      <c r="C4" s="1841">
        <v>45176</v>
      </c>
      <c r="D4" s="1841">
        <v>45183</v>
      </c>
      <c r="E4" s="1842">
        <v>45190</v>
      </c>
      <c r="F4" s="1842">
        <v>45197</v>
      </c>
    </row>
    <row r="5" spans="1:136" ht="17.25" x14ac:dyDescent="0.25">
      <c r="A5" s="1843"/>
      <c r="B5" s="1844" t="s">
        <v>1131</v>
      </c>
      <c r="C5" s="1845"/>
      <c r="D5" s="1846"/>
      <c r="E5" s="1846"/>
      <c r="F5" s="1846"/>
    </row>
    <row r="6" spans="1:136" ht="17.25" x14ac:dyDescent="0.25">
      <c r="A6" s="1847">
        <v>1</v>
      </c>
      <c r="B6" s="1848" t="s">
        <v>1132</v>
      </c>
      <c r="C6" s="1849">
        <v>3.23</v>
      </c>
      <c r="D6" s="1849">
        <v>3.26</v>
      </c>
      <c r="E6" s="1849">
        <v>3.26</v>
      </c>
      <c r="F6" s="1849">
        <v>3.27</v>
      </c>
    </row>
    <row r="7" spans="1:136" ht="17.25" x14ac:dyDescent="0.25">
      <c r="A7" s="1847">
        <v>2</v>
      </c>
      <c r="B7" s="1850" t="s">
        <v>1133</v>
      </c>
      <c r="C7" s="1849">
        <v>3.31</v>
      </c>
      <c r="D7" s="1849">
        <v>3.38</v>
      </c>
      <c r="E7" s="1849">
        <v>3.42</v>
      </c>
      <c r="F7" s="1849">
        <v>3.43</v>
      </c>
    </row>
    <row r="8" spans="1:136" ht="17.25" x14ac:dyDescent="0.25">
      <c r="A8" s="1847">
        <v>3</v>
      </c>
      <c r="B8" s="1850" t="s">
        <v>1134</v>
      </c>
      <c r="C8" s="1849">
        <v>3.5</v>
      </c>
      <c r="D8" s="1849">
        <v>3.56</v>
      </c>
      <c r="E8" s="1849">
        <v>3.59</v>
      </c>
      <c r="F8" s="1849">
        <v>3.6</v>
      </c>
    </row>
    <row r="9" spans="1:136" ht="18" thickBot="1" x14ac:dyDescent="0.3">
      <c r="A9" s="1839"/>
      <c r="B9" s="1851"/>
      <c r="C9" s="1852"/>
      <c r="D9" s="1853"/>
      <c r="E9" s="1853"/>
      <c r="F9" s="1853"/>
    </row>
    <row r="10" spans="1:136" s="1540" customFormat="1" ht="14.25" x14ac:dyDescent="0.25">
      <c r="A10" s="1540" t="s">
        <v>1125</v>
      </c>
      <c r="ED10" s="1677"/>
      <c r="EE10" s="1677"/>
      <c r="EF10" s="1677"/>
    </row>
    <row r="11" spans="1:136" s="1540" customFormat="1" ht="14.25" x14ac:dyDescent="0.25">
      <c r="A11" s="1540" t="s">
        <v>0</v>
      </c>
      <c r="ED11" s="1677"/>
      <c r="EE11" s="1677"/>
      <c r="EF11" s="1677"/>
    </row>
    <row r="12" spans="1:136" s="62" customFormat="1" ht="17.100000000000001" customHeight="1" x14ac:dyDescent="0.25">
      <c r="A12" s="1854"/>
      <c r="B12" s="1855"/>
      <c r="C12" s="1855"/>
      <c r="D12" s="1855"/>
    </row>
    <row r="13" spans="1:136" s="1728" customFormat="1" ht="20.100000000000001" customHeight="1" x14ac:dyDescent="0.25">
      <c r="A13" s="1725" t="s">
        <v>1135</v>
      </c>
      <c r="B13" s="1727"/>
      <c r="C13" s="1727"/>
      <c r="D13" s="1727"/>
      <c r="E13" s="1727"/>
      <c r="F13" s="1730"/>
    </row>
    <row r="14" spans="1:136" s="1728" customFormat="1" ht="20.100000000000001" customHeight="1" thickBot="1" x14ac:dyDescent="0.3">
      <c r="A14" s="1725"/>
      <c r="B14" s="1727"/>
      <c r="C14" s="1727"/>
      <c r="D14" s="1727"/>
      <c r="E14" s="1727"/>
      <c r="F14" s="1754"/>
      <c r="G14" s="1754"/>
      <c r="H14" s="1754"/>
      <c r="I14" s="1754"/>
      <c r="J14" s="1754"/>
      <c r="K14" s="1754"/>
      <c r="L14" s="1754"/>
      <c r="M14" s="1754"/>
      <c r="N14" s="1730"/>
      <c r="O14" s="1755" t="s">
        <v>1129</v>
      </c>
      <c r="P14" s="1730"/>
    </row>
    <row r="15" spans="1:136" s="1551" customFormat="1" ht="20.100000000000001" customHeight="1" thickTop="1" thickBot="1" x14ac:dyDescent="0.3">
      <c r="A15" s="1856"/>
      <c r="B15" s="1857"/>
      <c r="C15" s="1756">
        <v>44805</v>
      </c>
      <c r="D15" s="1756">
        <v>44835</v>
      </c>
      <c r="E15" s="1756">
        <v>44866</v>
      </c>
      <c r="F15" s="1756">
        <v>44896</v>
      </c>
      <c r="G15" s="1756">
        <v>44927</v>
      </c>
      <c r="H15" s="1757">
        <v>44958</v>
      </c>
      <c r="I15" s="1756">
        <v>44986</v>
      </c>
      <c r="J15" s="1756">
        <v>45017</v>
      </c>
      <c r="K15" s="1756">
        <v>45047</v>
      </c>
      <c r="L15" s="1756">
        <v>45078</v>
      </c>
      <c r="M15" s="1758">
        <v>45108</v>
      </c>
      <c r="N15" s="1758">
        <v>45139</v>
      </c>
      <c r="O15" s="1758">
        <v>45170</v>
      </c>
    </row>
    <row r="16" spans="1:136" s="1728" customFormat="1" ht="20.100000000000001" customHeight="1" x14ac:dyDescent="0.25">
      <c r="A16" s="3334" t="s">
        <v>1136</v>
      </c>
      <c r="B16" s="3335"/>
      <c r="C16" s="1858"/>
      <c r="D16" s="1858"/>
      <c r="E16" s="1858"/>
      <c r="F16" s="1858"/>
      <c r="G16" s="1858"/>
      <c r="H16" s="1859"/>
      <c r="I16" s="1858"/>
      <c r="J16" s="1858"/>
      <c r="K16" s="1858"/>
      <c r="L16" s="1858"/>
      <c r="M16" s="1860"/>
      <c r="N16" s="1860"/>
      <c r="O16" s="1860"/>
    </row>
    <row r="17" spans="1:136" s="1728" customFormat="1" ht="20.100000000000001" customHeight="1" x14ac:dyDescent="0.25">
      <c r="A17" s="1768"/>
      <c r="B17" s="1772" t="s">
        <v>1118</v>
      </c>
      <c r="C17" s="1861">
        <v>1.27</v>
      </c>
      <c r="D17" s="1861">
        <v>1.71</v>
      </c>
      <c r="E17" s="1861">
        <v>2.58</v>
      </c>
      <c r="F17" s="1861">
        <v>3.33</v>
      </c>
      <c r="G17" s="1861" t="s">
        <v>1014</v>
      </c>
      <c r="H17" s="1862">
        <v>4.28</v>
      </c>
      <c r="I17" s="1861">
        <v>4.26</v>
      </c>
      <c r="J17" s="1861">
        <v>4.55</v>
      </c>
      <c r="K17" s="1861">
        <v>4.55</v>
      </c>
      <c r="L17" s="1861">
        <v>4.72</v>
      </c>
      <c r="M17" s="1863">
        <v>4.1500000000000004</v>
      </c>
      <c r="N17" s="1863">
        <v>3.11</v>
      </c>
      <c r="O17" s="1863">
        <v>3.26</v>
      </c>
    </row>
    <row r="18" spans="1:136" s="1728" customFormat="1" ht="20.100000000000001" customHeight="1" x14ac:dyDescent="0.25">
      <c r="A18" s="1768"/>
      <c r="B18" s="1764" t="s">
        <v>1119</v>
      </c>
      <c r="C18" s="1861">
        <v>1.22</v>
      </c>
      <c r="D18" s="1861">
        <v>1.83</v>
      </c>
      <c r="E18" s="1861">
        <v>2.99</v>
      </c>
      <c r="F18" s="1861">
        <v>4.2699999999999996</v>
      </c>
      <c r="G18" s="1861">
        <v>4.5199999999999996</v>
      </c>
      <c r="H18" s="1862">
        <v>4.49</v>
      </c>
      <c r="I18" s="1861">
        <v>4.51</v>
      </c>
      <c r="J18" s="1861">
        <v>4.58</v>
      </c>
      <c r="K18" s="1861">
        <v>4.7699999999999996</v>
      </c>
      <c r="L18" s="1861">
        <v>4.58</v>
      </c>
      <c r="M18" s="1863">
        <v>3.43</v>
      </c>
      <c r="N18" s="1863">
        <v>3.2</v>
      </c>
      <c r="O18" s="1863">
        <v>3.38</v>
      </c>
    </row>
    <row r="19" spans="1:136" s="1728" customFormat="1" ht="20.100000000000001" customHeight="1" x14ac:dyDescent="0.25">
      <c r="A19" s="1768"/>
      <c r="B19" s="1764" t="s">
        <v>1120</v>
      </c>
      <c r="C19" s="1861">
        <v>1.71</v>
      </c>
      <c r="D19" s="1861">
        <v>1.98</v>
      </c>
      <c r="E19" s="1861">
        <v>2.96</v>
      </c>
      <c r="F19" s="1861">
        <v>4.45</v>
      </c>
      <c r="G19" s="1861">
        <v>4.3099999999999996</v>
      </c>
      <c r="H19" s="1862">
        <v>4.47</v>
      </c>
      <c r="I19" s="1861">
        <v>4.5599999999999996</v>
      </c>
      <c r="J19" s="1861">
        <v>4.7</v>
      </c>
      <c r="K19" s="1861">
        <v>4.8499999999999996</v>
      </c>
      <c r="L19" s="1861">
        <v>4.87</v>
      </c>
      <c r="M19" s="1863">
        <v>3.54</v>
      </c>
      <c r="N19" s="1863">
        <v>3.32</v>
      </c>
      <c r="O19" s="1863">
        <v>3.56</v>
      </c>
    </row>
    <row r="20" spans="1:136" s="1728" customFormat="1" ht="20.100000000000001" customHeight="1" x14ac:dyDescent="0.25">
      <c r="A20" s="3347" t="s">
        <v>1137</v>
      </c>
      <c r="B20" s="3348"/>
      <c r="C20" s="1861">
        <v>1.33</v>
      </c>
      <c r="D20" s="1861">
        <v>1.75</v>
      </c>
      <c r="E20" s="1861">
        <v>2.68</v>
      </c>
      <c r="F20" s="1861">
        <v>3.78</v>
      </c>
      <c r="G20" s="1861">
        <v>4.38</v>
      </c>
      <c r="H20" s="1862">
        <v>4.46</v>
      </c>
      <c r="I20" s="1861">
        <v>4.4800000000000004</v>
      </c>
      <c r="J20" s="1861">
        <v>4.63</v>
      </c>
      <c r="K20" s="1861">
        <v>4.7300000000000004</v>
      </c>
      <c r="L20" s="1861">
        <v>4.7699999999999996</v>
      </c>
      <c r="M20" s="1863">
        <v>3.64</v>
      </c>
      <c r="N20" s="1863">
        <v>3.16</v>
      </c>
      <c r="O20" s="1863">
        <v>3.41</v>
      </c>
      <c r="R20" s="1864"/>
    </row>
    <row r="21" spans="1:136" s="1728" customFormat="1" ht="20.100000000000001" customHeight="1" thickBot="1" x14ac:dyDescent="0.3">
      <c r="A21" s="1780"/>
      <c r="B21" s="1865"/>
      <c r="C21" s="1784"/>
      <c r="D21" s="1784"/>
      <c r="E21" s="1784"/>
      <c r="F21" s="1784"/>
      <c r="G21" s="1784"/>
      <c r="H21" s="1824"/>
      <c r="I21" s="1784"/>
      <c r="J21" s="1784"/>
      <c r="K21" s="1784"/>
      <c r="L21" s="1784"/>
      <c r="M21" s="1785"/>
      <c r="N21" s="1785"/>
      <c r="O21" s="1785"/>
    </row>
    <row r="22" spans="1:136" s="1540" customFormat="1" ht="15.75" customHeight="1" thickTop="1" x14ac:dyDescent="0.25">
      <c r="A22" s="1540" t="s">
        <v>173</v>
      </c>
      <c r="ED22" s="1677"/>
      <c r="EE22" s="1677"/>
      <c r="EF22" s="1677"/>
    </row>
    <row r="23" spans="1:136" s="1543" customFormat="1" ht="15.75" customHeight="1" x14ac:dyDescent="0.25">
      <c r="A23" s="1543" t="s">
        <v>0</v>
      </c>
      <c r="ED23" s="1710"/>
      <c r="EE23" s="1710"/>
      <c r="EF23" s="1710"/>
    </row>
  </sheetData>
  <mergeCells count="3">
    <mergeCell ref="C3:F3"/>
    <mergeCell ref="A16:B16"/>
    <mergeCell ref="A20:B20"/>
  </mergeCells>
  <pageMargins left="0.7" right="0.7" top="0.75" bottom="0.75" header="0.3" footer="0.3"/>
  <pageSetup paperSize="9" scale="7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31"/>
  <sheetViews>
    <sheetView showGridLines="0" zoomScaleNormal="100" zoomScaleSheetLayoutView="100" workbookViewId="0">
      <pane xSplit="1" ySplit="3" topLeftCell="B4" activePane="bottomRight" state="frozen"/>
      <selection activeCell="A38" sqref="A38"/>
      <selection pane="topRight" activeCell="A38" sqref="A38"/>
      <selection pane="bottomLeft" activeCell="A38" sqref="A38"/>
      <selection pane="bottomRight" activeCell="A38" sqref="A38"/>
    </sheetView>
  </sheetViews>
  <sheetFormatPr defaultColWidth="9.140625" defaultRowHeight="17.25" x14ac:dyDescent="0.25"/>
  <cols>
    <col min="1" max="1" width="29.85546875" style="2536" customWidth="1"/>
    <col min="2" max="3" width="9.140625" style="2536"/>
    <col min="4" max="8" width="7.5703125" style="2536" customWidth="1"/>
    <col min="9" max="12" width="9.140625" style="2536"/>
    <col min="13" max="13" width="3.140625" style="2536" customWidth="1"/>
    <col min="14" max="16384" width="9.140625" style="2536"/>
  </cols>
  <sheetData>
    <row r="1" spans="1:8" ht="18.75" x14ac:dyDescent="0.25">
      <c r="A1" s="2535" t="s">
        <v>2434</v>
      </c>
    </row>
    <row r="2" spans="1:8" ht="12" customHeight="1" thickBot="1" x14ac:dyDescent="0.3">
      <c r="A2" s="2537"/>
    </row>
    <row r="3" spans="1:8" s="2541" customFormat="1" ht="18" thickTop="1" thickBot="1" x14ac:dyDescent="0.3">
      <c r="A3" s="2538" t="s">
        <v>183</v>
      </c>
      <c r="B3" s="2539">
        <v>2017</v>
      </c>
      <c r="C3" s="2539">
        <v>2018</v>
      </c>
      <c r="D3" s="2539">
        <v>2019</v>
      </c>
      <c r="E3" s="2539">
        <v>2020</v>
      </c>
      <c r="F3" s="2539">
        <v>2021</v>
      </c>
      <c r="G3" s="2539">
        <v>2022</v>
      </c>
      <c r="H3" s="2540">
        <v>2023</v>
      </c>
    </row>
    <row r="4" spans="1:8" ht="18" thickTop="1" x14ac:dyDescent="0.25">
      <c r="A4" s="2542" t="s">
        <v>65</v>
      </c>
      <c r="B4" s="2543">
        <v>110.2</v>
      </c>
      <c r="C4" s="2543">
        <v>117</v>
      </c>
      <c r="D4" s="2543">
        <v>103.8</v>
      </c>
      <c r="E4" s="2543">
        <v>105.9</v>
      </c>
      <c r="F4" s="2544">
        <v>107</v>
      </c>
      <c r="G4" s="2544">
        <v>114.9</v>
      </c>
      <c r="H4" s="2545">
        <v>128.5</v>
      </c>
    </row>
    <row r="5" spans="1:8" x14ac:dyDescent="0.25">
      <c r="A5" s="2542" t="s">
        <v>64</v>
      </c>
      <c r="B5" s="2543">
        <v>111.5</v>
      </c>
      <c r="C5" s="2543">
        <v>119.3</v>
      </c>
      <c r="D5" s="2543">
        <v>104.4</v>
      </c>
      <c r="E5" s="2543">
        <v>106.6</v>
      </c>
      <c r="F5" s="2543">
        <v>107.9</v>
      </c>
      <c r="G5" s="2543">
        <v>117.6</v>
      </c>
      <c r="H5" s="2545">
        <v>130.5</v>
      </c>
    </row>
    <row r="6" spans="1:8" ht="18" thickBot="1" x14ac:dyDescent="0.3">
      <c r="A6" s="2546" t="s">
        <v>2435</v>
      </c>
      <c r="B6" s="2543">
        <v>112.5</v>
      </c>
      <c r="C6" s="2547">
        <v>120</v>
      </c>
      <c r="D6" s="2543">
        <v>104.4</v>
      </c>
      <c r="E6" s="2543">
        <v>107.4</v>
      </c>
      <c r="F6" s="2543">
        <v>108.5</v>
      </c>
      <c r="G6" s="2543">
        <v>120.1</v>
      </c>
      <c r="H6" s="2545">
        <v>131.1</v>
      </c>
    </row>
    <row r="7" spans="1:8" ht="18" thickTop="1" x14ac:dyDescent="0.25">
      <c r="A7" s="2542" t="s">
        <v>62</v>
      </c>
      <c r="B7" s="2543">
        <v>113.4</v>
      </c>
      <c r="C7" s="2543">
        <v>103.8</v>
      </c>
      <c r="D7" s="2543">
        <v>104.4</v>
      </c>
      <c r="E7" s="2543">
        <v>108.8</v>
      </c>
      <c r="F7" s="2543">
        <v>109</v>
      </c>
      <c r="G7" s="2543">
        <v>121</v>
      </c>
      <c r="H7" s="2545">
        <v>131</v>
      </c>
    </row>
    <row r="8" spans="1:8" x14ac:dyDescent="0.25">
      <c r="A8" s="2542" t="s">
        <v>61</v>
      </c>
      <c r="B8" s="2543">
        <v>114.6</v>
      </c>
      <c r="C8" s="2543">
        <v>103.6</v>
      </c>
      <c r="D8" s="2543">
        <v>104.4</v>
      </c>
      <c r="E8" s="2543">
        <v>107.3</v>
      </c>
      <c r="F8" s="2543">
        <v>109.8</v>
      </c>
      <c r="G8" s="2543">
        <v>121.6</v>
      </c>
      <c r="H8" s="2545">
        <v>131.19999999999999</v>
      </c>
    </row>
    <row r="9" spans="1:8" x14ac:dyDescent="0.25">
      <c r="A9" s="2542" t="s">
        <v>60</v>
      </c>
      <c r="B9" s="2543">
        <v>115.3</v>
      </c>
      <c r="C9" s="2543">
        <v>102.8</v>
      </c>
      <c r="D9" s="2543">
        <v>103.4</v>
      </c>
      <c r="E9" s="2543">
        <v>105.2</v>
      </c>
      <c r="F9" s="2543">
        <v>111.4</v>
      </c>
      <c r="G9" s="2543">
        <v>122.1</v>
      </c>
      <c r="H9" s="2545">
        <v>131.69999999999999</v>
      </c>
    </row>
    <row r="10" spans="1:8" x14ac:dyDescent="0.25">
      <c r="A10" s="2542" t="s">
        <v>59</v>
      </c>
      <c r="B10" s="2543">
        <v>114.3</v>
      </c>
      <c r="C10" s="2543">
        <v>102.6</v>
      </c>
      <c r="D10" s="2543">
        <v>103.4</v>
      </c>
      <c r="E10" s="2543">
        <v>104.9</v>
      </c>
      <c r="F10" s="2543">
        <v>111.7</v>
      </c>
      <c r="G10" s="2543">
        <v>124</v>
      </c>
      <c r="H10" s="2545">
        <v>131.30000000000001</v>
      </c>
    </row>
    <row r="11" spans="1:8" x14ac:dyDescent="0.25">
      <c r="A11" s="2542" t="s">
        <v>58</v>
      </c>
      <c r="B11" s="2543">
        <v>114.4</v>
      </c>
      <c r="C11" s="2543">
        <v>101.9</v>
      </c>
      <c r="D11" s="2543">
        <v>103.7</v>
      </c>
      <c r="E11" s="2543">
        <v>105.3</v>
      </c>
      <c r="F11" s="2543">
        <v>111.6</v>
      </c>
      <c r="G11" s="2543">
        <v>124.4</v>
      </c>
      <c r="H11" s="2545">
        <v>131.69999999999999</v>
      </c>
    </row>
    <row r="12" spans="1:8" x14ac:dyDescent="0.25">
      <c r="A12" s="2542" t="s">
        <v>57</v>
      </c>
      <c r="B12" s="2543">
        <v>113.4</v>
      </c>
      <c r="C12" s="2543">
        <v>102</v>
      </c>
      <c r="D12" s="2543">
        <v>103.3</v>
      </c>
      <c r="E12" s="2544">
        <v>106</v>
      </c>
      <c r="F12" s="2543">
        <v>111.7</v>
      </c>
      <c r="G12" s="2543">
        <v>125</v>
      </c>
      <c r="H12" s="2545">
        <v>131.6</v>
      </c>
    </row>
    <row r="13" spans="1:8" x14ac:dyDescent="0.25">
      <c r="A13" s="2542" t="s">
        <v>56</v>
      </c>
      <c r="B13" s="2543">
        <v>112.9</v>
      </c>
      <c r="C13" s="2543">
        <v>102.4</v>
      </c>
      <c r="D13" s="2543">
        <v>102.8</v>
      </c>
      <c r="E13" s="2544">
        <v>106.1</v>
      </c>
      <c r="F13" s="2543">
        <v>112.3</v>
      </c>
      <c r="G13" s="2543">
        <v>125.7</v>
      </c>
      <c r="H13" s="2545"/>
    </row>
    <row r="14" spans="1:8" x14ac:dyDescent="0.25">
      <c r="A14" s="2542" t="s">
        <v>55</v>
      </c>
      <c r="B14" s="2543">
        <v>113.3</v>
      </c>
      <c r="C14" s="2543">
        <v>102.8</v>
      </c>
      <c r="D14" s="2543">
        <v>103.1</v>
      </c>
      <c r="E14" s="2544">
        <v>106.3</v>
      </c>
      <c r="F14" s="2543">
        <v>113.1</v>
      </c>
      <c r="G14" s="2543">
        <v>126.8</v>
      </c>
      <c r="H14" s="2545"/>
    </row>
    <row r="15" spans="1:8" x14ac:dyDescent="0.25">
      <c r="A15" s="2542" t="s">
        <v>54</v>
      </c>
      <c r="B15" s="2543">
        <v>114</v>
      </c>
      <c r="C15" s="2543">
        <v>102.4</v>
      </c>
      <c r="D15" s="2543">
        <v>103.3</v>
      </c>
      <c r="E15" s="2544">
        <v>106.1</v>
      </c>
      <c r="F15" s="2544">
        <v>113.3</v>
      </c>
      <c r="G15" s="2544">
        <v>127.1</v>
      </c>
      <c r="H15" s="2545"/>
    </row>
    <row r="16" spans="1:8" ht="2.25" customHeight="1" x14ac:dyDescent="0.25">
      <c r="A16" s="2542"/>
      <c r="B16" s="2548"/>
      <c r="C16" s="2548"/>
      <c r="D16" s="2548"/>
      <c r="E16" s="2549"/>
      <c r="F16" s="2549"/>
      <c r="G16" s="2549"/>
      <c r="H16" s="2550"/>
    </row>
    <row r="17" spans="1:11" x14ac:dyDescent="0.25">
      <c r="A17" s="2542" t="s">
        <v>294</v>
      </c>
      <c r="B17" s="2551">
        <f>AVERAGE(B4:B15)</f>
        <v>113.31666666666666</v>
      </c>
      <c r="C17" s="2551"/>
      <c r="D17" s="2551">
        <f>AVERAGE(D4:D15)</f>
        <v>103.69999999999999</v>
      </c>
      <c r="E17" s="2552">
        <f>AVERAGE(E4:E15)</f>
        <v>106.32499999999999</v>
      </c>
      <c r="F17" s="2552">
        <f>AVERAGE(F4:F15)</f>
        <v>110.60833333333333</v>
      </c>
      <c r="G17" s="2552">
        <f>AVERAGE(G4:G15)</f>
        <v>122.52499999999999</v>
      </c>
      <c r="H17" s="2553"/>
      <c r="I17" s="2554"/>
    </row>
    <row r="18" spans="1:11" x14ac:dyDescent="0.25">
      <c r="A18" s="2542"/>
      <c r="B18" s="2551"/>
      <c r="C18" s="2551"/>
      <c r="D18" s="2551"/>
      <c r="E18" s="2552"/>
      <c r="F18" s="2552"/>
      <c r="G18" s="2552"/>
      <c r="H18" s="2553"/>
    </row>
    <row r="19" spans="1:11" x14ac:dyDescent="0.25">
      <c r="A19" s="2555" t="s">
        <v>1247</v>
      </c>
      <c r="B19" s="2548"/>
      <c r="C19" s="2548"/>
      <c r="D19" s="2548"/>
      <c r="E19" s="2549"/>
      <c r="F19" s="2549"/>
      <c r="G19" s="2549"/>
      <c r="H19" s="2550"/>
    </row>
    <row r="20" spans="1:11" x14ac:dyDescent="0.25">
      <c r="A20" s="2542" t="s">
        <v>2436</v>
      </c>
      <c r="B20" s="2556" t="s">
        <v>2437</v>
      </c>
      <c r="C20" s="2556" t="s">
        <v>2438</v>
      </c>
      <c r="D20" s="2556" t="s">
        <v>2439</v>
      </c>
      <c r="E20" s="2557" t="s">
        <v>2440</v>
      </c>
      <c r="F20" s="2557" t="s">
        <v>2441</v>
      </c>
      <c r="G20" s="2557" t="s">
        <v>2442</v>
      </c>
      <c r="H20" s="2558" t="s">
        <v>2443</v>
      </c>
      <c r="K20" s="2559"/>
    </row>
    <row r="21" spans="1:11" ht="18" thickBot="1" x14ac:dyDescent="0.3">
      <c r="A21" s="2560" t="s">
        <v>2444</v>
      </c>
      <c r="B21" s="2561" t="s">
        <v>2445</v>
      </c>
      <c r="C21" s="2561" t="s">
        <v>2446</v>
      </c>
      <c r="D21" s="2561" t="s">
        <v>2447</v>
      </c>
      <c r="E21" s="2562" t="s">
        <v>2448</v>
      </c>
      <c r="F21" s="2562" t="s">
        <v>2449</v>
      </c>
      <c r="G21" s="2562" t="s">
        <v>2450</v>
      </c>
      <c r="H21" s="2563" t="s">
        <v>2451</v>
      </c>
    </row>
    <row r="22" spans="1:11" s="2565" customFormat="1" ht="16.5" thickTop="1" x14ac:dyDescent="0.25">
      <c r="A22" s="2564" t="s">
        <v>2452</v>
      </c>
    </row>
    <row r="23" spans="1:11" s="2565" customFormat="1" ht="14.25" x14ac:dyDescent="0.25">
      <c r="A23" s="2564" t="s">
        <v>2453</v>
      </c>
    </row>
    <row r="24" spans="1:11" s="2565" customFormat="1" ht="15.75" x14ac:dyDescent="0.25">
      <c r="A24" s="2566" t="s">
        <v>2454</v>
      </c>
    </row>
    <row r="25" spans="1:11" s="2565" customFormat="1" ht="15.75" x14ac:dyDescent="0.25">
      <c r="A25" s="2564" t="s">
        <v>2455</v>
      </c>
    </row>
    <row r="26" spans="1:11" s="2565" customFormat="1" ht="14.25" x14ac:dyDescent="0.25">
      <c r="A26" s="2567" t="s">
        <v>2456</v>
      </c>
    </row>
    <row r="27" spans="1:11" s="2565" customFormat="1" ht="14.25" x14ac:dyDescent="0.25">
      <c r="A27" s="2567" t="s">
        <v>2457</v>
      </c>
    </row>
    <row r="28" spans="1:11" s="2565" customFormat="1" ht="14.25" x14ac:dyDescent="0.25">
      <c r="A28" s="2567" t="s">
        <v>2458</v>
      </c>
    </row>
    <row r="29" spans="1:11" s="2565" customFormat="1" ht="14.25" x14ac:dyDescent="0.25">
      <c r="A29" s="2567" t="s">
        <v>2459</v>
      </c>
    </row>
    <row r="30" spans="1:11" s="2565" customFormat="1" ht="13.5" customHeight="1" x14ac:dyDescent="0.25">
      <c r="A30" s="2564" t="s">
        <v>2460</v>
      </c>
    </row>
    <row r="31" spans="1:11" ht="2.25" customHeight="1" x14ac:dyDescent="0.25"/>
  </sheetData>
  <printOptions horizontalCentered="1"/>
  <pageMargins left="0.75" right="0.75" top="0.75" bottom="0.75" header="0.3" footer="0"/>
  <pageSetup paperSize="9" scale="90"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EF215"/>
  <sheetViews>
    <sheetView topLeftCell="A3" zoomScaleNormal="100" zoomScaleSheetLayoutView="80" workbookViewId="0">
      <pane xSplit="2" topLeftCell="C1" activePane="topRight" state="frozen"/>
      <selection activeCell="A38" sqref="A38"/>
      <selection pane="topRight" activeCell="A38" sqref="A38"/>
    </sheetView>
  </sheetViews>
  <sheetFormatPr defaultColWidth="9.140625" defaultRowHeight="20.100000000000001" customHeight="1" x14ac:dyDescent="0.25"/>
  <cols>
    <col min="1" max="1" width="4.7109375" style="1786" customWidth="1"/>
    <col min="2" max="2" width="52.28515625" style="1786" customWidth="1"/>
    <col min="3" max="14" width="16.7109375" style="1872" customWidth="1"/>
    <col min="15" max="16" width="15.7109375" style="1872" customWidth="1"/>
    <col min="17" max="17" width="14.28515625" style="1786" customWidth="1"/>
    <col min="18" max="16384" width="9.140625" style="1786"/>
  </cols>
  <sheetData>
    <row r="1" spans="1:136" s="1787" customFormat="1" ht="17.25" x14ac:dyDescent="0.25">
      <c r="A1" s="1866" t="s">
        <v>1138</v>
      </c>
      <c r="B1" s="1832"/>
      <c r="C1" s="1867"/>
      <c r="D1" s="1867"/>
      <c r="E1" s="1867"/>
      <c r="F1" s="1867"/>
      <c r="G1" s="1867"/>
      <c r="H1" s="1867"/>
      <c r="I1" s="1867"/>
      <c r="J1" s="1867"/>
      <c r="K1" s="1867"/>
      <c r="L1" s="1867"/>
      <c r="M1" s="1867"/>
      <c r="N1" s="1867"/>
      <c r="O1" s="1867"/>
      <c r="P1" s="1867"/>
    </row>
    <row r="2" spans="1:136" ht="18" thickBot="1" x14ac:dyDescent="0.3">
      <c r="A2" s="1829"/>
      <c r="B2" s="1829"/>
      <c r="C2" s="1868"/>
      <c r="D2" s="1869"/>
      <c r="E2" s="1869"/>
      <c r="F2" s="1869"/>
      <c r="G2" s="1869"/>
      <c r="H2" s="1868"/>
      <c r="I2" s="1869"/>
      <c r="J2" s="1869"/>
      <c r="K2" s="1868"/>
      <c r="L2" s="1869"/>
      <c r="M2" s="1868"/>
      <c r="N2" s="1868"/>
      <c r="O2" s="1868"/>
      <c r="P2" s="1869"/>
    </row>
    <row r="3" spans="1:136" ht="50.25" customHeight="1" thickTop="1" thickBot="1" x14ac:dyDescent="0.3">
      <c r="A3" s="1870"/>
      <c r="B3" s="1871"/>
      <c r="C3" s="3349" t="s">
        <v>1139</v>
      </c>
      <c r="D3" s="3351"/>
      <c r="E3" s="3349" t="s">
        <v>1140</v>
      </c>
      <c r="F3" s="3351"/>
      <c r="G3" s="3349" t="s">
        <v>1141</v>
      </c>
      <c r="H3" s="3351"/>
      <c r="I3" s="3349" t="s">
        <v>1142</v>
      </c>
      <c r="J3" s="3351"/>
      <c r="K3" s="3349" t="s">
        <v>1143</v>
      </c>
      <c r="L3" s="3351"/>
      <c r="M3" s="3349" t="s">
        <v>1144</v>
      </c>
      <c r="N3" s="3350"/>
    </row>
    <row r="4" spans="1:136" ht="18" thickBot="1" x14ac:dyDescent="0.3">
      <c r="A4" s="1873"/>
      <c r="B4" s="1840"/>
      <c r="C4" s="1874" t="s">
        <v>1145</v>
      </c>
      <c r="D4" s="1874" t="s">
        <v>1146</v>
      </c>
      <c r="E4" s="1874" t="s">
        <v>1147</v>
      </c>
      <c r="F4" s="1874">
        <v>45156</v>
      </c>
      <c r="G4" s="1874" t="s">
        <v>1148</v>
      </c>
      <c r="H4" s="1874" t="s">
        <v>1149</v>
      </c>
      <c r="I4" s="1875">
        <v>45051</v>
      </c>
      <c r="J4" s="1875">
        <v>45177</v>
      </c>
      <c r="K4" s="1876">
        <v>45009</v>
      </c>
      <c r="L4" s="1876">
        <v>45126</v>
      </c>
      <c r="M4" s="1877">
        <v>44953</v>
      </c>
      <c r="N4" s="1877">
        <v>45100</v>
      </c>
    </row>
    <row r="5" spans="1:136" ht="17.25" x14ac:dyDescent="0.25">
      <c r="A5" s="1878">
        <v>1</v>
      </c>
      <c r="B5" s="1879" t="s">
        <v>1150</v>
      </c>
      <c r="C5" s="1880">
        <v>1800</v>
      </c>
      <c r="D5" s="1880">
        <v>1800</v>
      </c>
      <c r="E5" s="1880">
        <v>1700</v>
      </c>
      <c r="F5" s="1880">
        <v>1700</v>
      </c>
      <c r="G5" s="1880">
        <v>1600</v>
      </c>
      <c r="H5" s="1880">
        <v>1800</v>
      </c>
      <c r="I5" s="1880">
        <v>2300</v>
      </c>
      <c r="J5" s="1880">
        <v>2300</v>
      </c>
      <c r="K5" s="1880">
        <v>2500</v>
      </c>
      <c r="L5" s="1880">
        <v>2300</v>
      </c>
      <c r="M5" s="1881">
        <v>2300</v>
      </c>
      <c r="N5" s="1881">
        <v>2500</v>
      </c>
    </row>
    <row r="6" spans="1:136" ht="17.25" x14ac:dyDescent="0.25">
      <c r="A6" s="1878">
        <v>2</v>
      </c>
      <c r="B6" s="1850" t="s">
        <v>1151</v>
      </c>
      <c r="C6" s="1880">
        <v>4540</v>
      </c>
      <c r="D6" s="1880">
        <v>5340</v>
      </c>
      <c r="E6" s="1880">
        <v>4510</v>
      </c>
      <c r="F6" s="1880">
        <v>4710</v>
      </c>
      <c r="G6" s="1880">
        <v>4180</v>
      </c>
      <c r="H6" s="1880">
        <v>4740</v>
      </c>
      <c r="I6" s="1880">
        <v>5990</v>
      </c>
      <c r="J6" s="1880">
        <v>5000</v>
      </c>
      <c r="K6" s="1880">
        <v>6550</v>
      </c>
      <c r="L6" s="1880">
        <v>6290</v>
      </c>
      <c r="M6" s="1881">
        <v>6790</v>
      </c>
      <c r="N6" s="1881">
        <v>6500</v>
      </c>
    </row>
    <row r="7" spans="1:136" ht="17.25" x14ac:dyDescent="0.25">
      <c r="A7" s="1878">
        <v>3</v>
      </c>
      <c r="B7" s="1850" t="s">
        <v>1152</v>
      </c>
      <c r="C7" s="1880">
        <v>1800</v>
      </c>
      <c r="D7" s="1880">
        <v>2100</v>
      </c>
      <c r="E7" s="1880">
        <v>1700</v>
      </c>
      <c r="F7" s="1880">
        <v>1700</v>
      </c>
      <c r="G7" s="1880">
        <v>1600</v>
      </c>
      <c r="H7" s="1880">
        <v>1800</v>
      </c>
      <c r="I7" s="1880">
        <v>2300</v>
      </c>
      <c r="J7" s="1880">
        <v>2300</v>
      </c>
      <c r="K7" s="1880">
        <v>2500</v>
      </c>
      <c r="L7" s="1880">
        <v>2300</v>
      </c>
      <c r="M7" s="1881">
        <v>3100</v>
      </c>
      <c r="N7" s="1881">
        <v>3100</v>
      </c>
    </row>
    <row r="8" spans="1:136" ht="17.25" x14ac:dyDescent="0.25">
      <c r="A8" s="1878">
        <v>4</v>
      </c>
      <c r="B8" s="1850" t="s">
        <v>1153</v>
      </c>
      <c r="C8" s="1882">
        <v>3.68</v>
      </c>
      <c r="D8" s="1882">
        <v>3.68</v>
      </c>
      <c r="E8" s="1882">
        <v>5.12</v>
      </c>
      <c r="F8" s="1882">
        <v>3.78</v>
      </c>
      <c r="G8" s="1882">
        <v>4.95</v>
      </c>
      <c r="H8" s="1882">
        <v>4.95</v>
      </c>
      <c r="I8" s="1882">
        <v>5.24</v>
      </c>
      <c r="J8" s="1882">
        <v>4.24</v>
      </c>
      <c r="K8" s="1882">
        <v>5.42</v>
      </c>
      <c r="L8" s="1882">
        <v>4.4000000000000004</v>
      </c>
      <c r="M8" s="1883">
        <v>6.12</v>
      </c>
      <c r="N8" s="1883">
        <v>5.68</v>
      </c>
    </row>
    <row r="9" spans="1:136" ht="17.25" x14ac:dyDescent="0.25">
      <c r="A9" s="1878">
        <v>5</v>
      </c>
      <c r="B9" s="1850" t="s">
        <v>1154</v>
      </c>
      <c r="C9" s="1882">
        <v>3.71</v>
      </c>
      <c r="D9" s="1882">
        <v>3.82</v>
      </c>
      <c r="E9" s="1882">
        <v>4.8499999999999996</v>
      </c>
      <c r="F9" s="1882">
        <v>3.81</v>
      </c>
      <c r="G9" s="1882">
        <v>5.3</v>
      </c>
      <c r="H9" s="1882">
        <v>5.33</v>
      </c>
      <c r="I9" s="1882">
        <v>5.27</v>
      </c>
      <c r="J9" s="1882">
        <v>4.6500000000000004</v>
      </c>
      <c r="K9" s="1882">
        <v>5.54</v>
      </c>
      <c r="L9" s="1882">
        <v>4.49</v>
      </c>
      <c r="M9" s="1883">
        <v>6.24</v>
      </c>
      <c r="N9" s="1883">
        <v>5.85</v>
      </c>
    </row>
    <row r="10" spans="1:136" ht="17.25" x14ac:dyDescent="0.25">
      <c r="A10" s="1878">
        <v>6</v>
      </c>
      <c r="B10" s="1850" t="s">
        <v>1155</v>
      </c>
      <c r="C10" s="1882">
        <v>3.63</v>
      </c>
      <c r="D10" s="1882">
        <v>3.79</v>
      </c>
      <c r="E10" s="1882">
        <v>4.8499999999999996</v>
      </c>
      <c r="F10" s="1882">
        <v>3.79</v>
      </c>
      <c r="G10" s="1882">
        <v>5.28</v>
      </c>
      <c r="H10" s="1882">
        <v>5.3</v>
      </c>
      <c r="I10" s="1882">
        <v>5.25</v>
      </c>
      <c r="J10" s="1882">
        <v>4.41</v>
      </c>
      <c r="K10" s="1882">
        <v>5.48</v>
      </c>
      <c r="L10" s="1882">
        <v>4.46</v>
      </c>
      <c r="M10" s="1883">
        <v>6.19</v>
      </c>
      <c r="N10" s="1883">
        <v>5.71</v>
      </c>
    </row>
    <row r="11" spans="1:136" ht="17.25" x14ac:dyDescent="0.25">
      <c r="A11" s="1878">
        <v>7</v>
      </c>
      <c r="B11" s="1850" t="s">
        <v>1156</v>
      </c>
      <c r="C11" s="1884">
        <v>100.13500000000001</v>
      </c>
      <c r="D11" s="1884">
        <v>99.701999999999998</v>
      </c>
      <c r="E11" s="1884">
        <v>101.14700000000001</v>
      </c>
      <c r="F11" s="1884">
        <v>99.954999999999998</v>
      </c>
      <c r="G11" s="1884">
        <v>98.117999999999995</v>
      </c>
      <c r="H11" s="1884">
        <v>98.007999999999996</v>
      </c>
      <c r="I11" s="1884">
        <v>99.923000000000002</v>
      </c>
      <c r="J11" s="1884">
        <v>98.637</v>
      </c>
      <c r="K11" s="1884">
        <v>99.391999999999996</v>
      </c>
      <c r="L11" s="1884">
        <v>99.349000000000004</v>
      </c>
      <c r="M11" s="1885">
        <v>99.203000000000003</v>
      </c>
      <c r="N11" s="1885">
        <v>99.644999999999996</v>
      </c>
    </row>
    <row r="12" spans="1:136" ht="18" thickBot="1" x14ac:dyDescent="0.3">
      <c r="A12" s="1886"/>
      <c r="B12" s="1887"/>
      <c r="C12" s="1888"/>
      <c r="D12" s="1888"/>
      <c r="E12" s="1888"/>
      <c r="F12" s="1888"/>
      <c r="G12" s="1888"/>
      <c r="H12" s="1888"/>
      <c r="I12" s="1888"/>
      <c r="J12" s="1888"/>
      <c r="K12" s="1888"/>
      <c r="L12" s="1888"/>
      <c r="M12" s="1889"/>
      <c r="N12" s="1889"/>
    </row>
    <row r="13" spans="1:136" s="1540" customFormat="1" ht="18" customHeight="1" thickTop="1" x14ac:dyDescent="0.25">
      <c r="A13" s="1540" t="s">
        <v>1157</v>
      </c>
      <c r="ED13" s="1677"/>
      <c r="EE13" s="1677"/>
      <c r="EF13" s="1677"/>
    </row>
    <row r="14" spans="1:136" s="1540" customFormat="1" ht="18" customHeight="1" x14ac:dyDescent="0.25">
      <c r="A14" s="1540" t="s">
        <v>1158</v>
      </c>
      <c r="ED14" s="1677"/>
      <c r="EE14" s="1677"/>
      <c r="EF14" s="1677"/>
    </row>
    <row r="15" spans="1:136" s="1540" customFormat="1" ht="18" customHeight="1" x14ac:dyDescent="0.25">
      <c r="A15" s="1540" t="s">
        <v>1159</v>
      </c>
      <c r="ED15" s="1677"/>
      <c r="EE15" s="1677"/>
      <c r="EF15" s="1677"/>
    </row>
    <row r="16" spans="1:136" s="1540" customFormat="1" ht="18" customHeight="1" x14ac:dyDescent="0.25">
      <c r="A16" s="1540" t="s">
        <v>0</v>
      </c>
      <c r="ED16" s="1677"/>
      <c r="EE16" s="1677"/>
      <c r="EF16" s="1677"/>
    </row>
    <row r="17" spans="1:136" s="1893" customFormat="1" ht="17.25" x14ac:dyDescent="0.3">
      <c r="A17" s="1890"/>
      <c r="B17" s="1891"/>
      <c r="C17" s="1891"/>
      <c r="D17" s="1891"/>
      <c r="E17" s="1891"/>
      <c r="F17" s="1891"/>
      <c r="G17" s="1892"/>
      <c r="H17" s="1892"/>
      <c r="I17" s="1892"/>
      <c r="J17" s="1892"/>
      <c r="K17" s="1892"/>
      <c r="L17" s="1892"/>
      <c r="M17" s="1892"/>
      <c r="N17" s="1892"/>
      <c r="O17" s="1892"/>
      <c r="P17" s="1892"/>
    </row>
    <row r="18" spans="1:136" s="1896" customFormat="1" ht="17.25" x14ac:dyDescent="0.25">
      <c r="A18" s="1894" t="s">
        <v>1160</v>
      </c>
      <c r="B18" s="1895"/>
    </row>
    <row r="19" spans="1:136" s="1896" customFormat="1" ht="18" thickBot="1" x14ac:dyDescent="0.3">
      <c r="A19" s="1895"/>
      <c r="B19" s="1895"/>
    </row>
    <row r="20" spans="1:136" s="1830" customFormat="1" ht="52.5" customHeight="1" thickTop="1" thickBot="1" x14ac:dyDescent="0.3">
      <c r="A20" s="1897"/>
      <c r="B20" s="1898"/>
      <c r="C20" s="1899" t="s">
        <v>1161</v>
      </c>
      <c r="D20" s="1899" t="s">
        <v>1162</v>
      </c>
      <c r="E20" s="1899" t="s">
        <v>1163</v>
      </c>
      <c r="F20" s="1900" t="s">
        <v>1164</v>
      </c>
    </row>
    <row r="21" spans="1:136" s="1830" customFormat="1" ht="25.5" customHeight="1" thickBot="1" x14ac:dyDescent="0.3">
      <c r="A21" s="1901"/>
      <c r="B21" s="1902"/>
      <c r="C21" s="1903" t="s">
        <v>1165</v>
      </c>
      <c r="D21" s="1903" t="s">
        <v>1165</v>
      </c>
      <c r="E21" s="1903" t="s">
        <v>1165</v>
      </c>
      <c r="F21" s="1904" t="s">
        <v>1165</v>
      </c>
    </row>
    <row r="22" spans="1:136" s="1830" customFormat="1" ht="17.25" x14ac:dyDescent="0.25">
      <c r="A22" s="1905">
        <v>1</v>
      </c>
      <c r="B22" s="1906" t="s">
        <v>1166</v>
      </c>
      <c r="C22" s="1907" t="s">
        <v>1167</v>
      </c>
      <c r="D22" s="1907">
        <v>205</v>
      </c>
      <c r="E22" s="1907">
        <v>200</v>
      </c>
      <c r="F22" s="1908" t="s">
        <v>1167</v>
      </c>
    </row>
    <row r="23" spans="1:136" s="1830" customFormat="1" ht="17.25" x14ac:dyDescent="0.25">
      <c r="A23" s="1905">
        <v>2</v>
      </c>
      <c r="B23" s="1906" t="s">
        <v>1168</v>
      </c>
      <c r="C23" s="1907" t="s">
        <v>1167</v>
      </c>
      <c r="D23" s="1907" t="s">
        <v>1167</v>
      </c>
      <c r="E23" s="1907">
        <v>200</v>
      </c>
      <c r="F23" s="1908" t="s">
        <v>1167</v>
      </c>
    </row>
    <row r="24" spans="1:136" s="1830" customFormat="1" ht="17.25" x14ac:dyDescent="0.25">
      <c r="A24" s="1905">
        <v>3</v>
      </c>
      <c r="B24" s="1906" t="s">
        <v>1169</v>
      </c>
      <c r="C24" s="1884" t="s">
        <v>1014</v>
      </c>
      <c r="D24" s="1884" t="s">
        <v>1014</v>
      </c>
      <c r="E24" s="1884">
        <v>100.024</v>
      </c>
      <c r="F24" s="1909" t="s">
        <v>1014</v>
      </c>
    </row>
    <row r="25" spans="1:136" s="1830" customFormat="1" ht="17.25" x14ac:dyDescent="0.25">
      <c r="A25" s="1905">
        <v>4</v>
      </c>
      <c r="B25" s="1906" t="s">
        <v>1170</v>
      </c>
      <c r="C25" s="1884" t="s">
        <v>1014</v>
      </c>
      <c r="D25" s="1884" t="s">
        <v>1014</v>
      </c>
      <c r="E25" s="1884">
        <v>100.024</v>
      </c>
      <c r="F25" s="1909" t="s">
        <v>1014</v>
      </c>
    </row>
    <row r="26" spans="1:136" s="1830" customFormat="1" ht="18" thickBot="1" x14ac:dyDescent="0.3">
      <c r="A26" s="1910"/>
      <c r="B26" s="1911"/>
      <c r="C26" s="1912"/>
      <c r="D26" s="1912"/>
      <c r="E26" s="1912"/>
      <c r="F26" s="1913"/>
    </row>
    <row r="27" spans="1:136" s="1540" customFormat="1" ht="18" customHeight="1" thickTop="1" x14ac:dyDescent="0.25">
      <c r="A27" s="1540" t="s">
        <v>1171</v>
      </c>
      <c r="ED27" s="1677"/>
      <c r="EE27" s="1677"/>
      <c r="EF27" s="1677"/>
    </row>
    <row r="28" spans="1:136" s="1543" customFormat="1" ht="20.25" customHeight="1" x14ac:dyDescent="0.25">
      <c r="A28" s="1543" t="s">
        <v>0</v>
      </c>
      <c r="ED28" s="1710"/>
      <c r="EE28" s="1710"/>
      <c r="EF28" s="1710"/>
    </row>
    <row r="29" spans="1:136" s="1893" customFormat="1" ht="17.25" x14ac:dyDescent="0.3">
      <c r="A29" s="1890"/>
      <c r="B29" s="1891"/>
      <c r="C29" s="1891"/>
      <c r="D29" s="1891"/>
      <c r="E29" s="1891"/>
      <c r="F29" s="1891"/>
      <c r="G29" s="1892"/>
      <c r="H29" s="1892"/>
      <c r="I29" s="1892"/>
      <c r="J29" s="1892"/>
      <c r="K29" s="1892"/>
      <c r="L29" s="1892"/>
      <c r="M29" s="1892"/>
      <c r="N29" s="1892"/>
      <c r="O29" s="1892"/>
      <c r="P29" s="1892"/>
    </row>
    <row r="30" spans="1:136" ht="17.25" x14ac:dyDescent="0.3">
      <c r="B30" s="1891"/>
      <c r="C30" s="1891"/>
      <c r="D30" s="1891"/>
      <c r="E30" s="1891"/>
      <c r="F30" s="1891"/>
      <c r="G30" s="1892"/>
      <c r="H30" s="1892"/>
      <c r="I30" s="1892"/>
      <c r="J30" s="1892"/>
      <c r="K30" s="1892"/>
      <c r="L30" s="1892"/>
      <c r="M30" s="1892"/>
      <c r="N30" s="1892"/>
      <c r="O30" s="1892"/>
      <c r="P30" s="1892"/>
    </row>
    <row r="31" spans="1:136" ht="17.25" x14ac:dyDescent="0.3">
      <c r="G31" s="1892"/>
      <c r="H31" s="1892"/>
      <c r="I31" s="1892"/>
      <c r="J31" s="1892"/>
      <c r="K31" s="1892"/>
      <c r="L31" s="1892"/>
      <c r="M31" s="1892"/>
      <c r="N31" s="1892"/>
      <c r="O31" s="1892"/>
      <c r="P31" s="1892"/>
    </row>
    <row r="32" spans="1:136" ht="17.25" x14ac:dyDescent="0.3">
      <c r="G32" s="1892"/>
      <c r="H32" s="1892"/>
      <c r="I32" s="1892"/>
      <c r="J32" s="1892"/>
      <c r="K32" s="1892"/>
      <c r="L32" s="1892"/>
      <c r="M32" s="1892"/>
      <c r="N32" s="1892"/>
      <c r="O32" s="1892"/>
      <c r="P32" s="1892"/>
    </row>
    <row r="33" spans="7:16" ht="20.100000000000001" customHeight="1" x14ac:dyDescent="0.3">
      <c r="G33" s="1892"/>
      <c r="H33" s="1892"/>
      <c r="I33" s="1892"/>
      <c r="J33" s="1892"/>
      <c r="K33" s="1892"/>
      <c r="L33" s="1892"/>
      <c r="M33" s="1892"/>
      <c r="N33" s="1892"/>
      <c r="O33" s="1892"/>
      <c r="P33" s="1892"/>
    </row>
    <row r="34" spans="7:16" ht="20.100000000000001" customHeight="1" x14ac:dyDescent="0.3">
      <c r="G34" s="1892"/>
      <c r="H34" s="1892"/>
      <c r="I34" s="1892"/>
      <c r="J34" s="1892"/>
      <c r="K34" s="1892"/>
      <c r="L34" s="1892"/>
      <c r="M34" s="1892"/>
      <c r="N34" s="1892"/>
      <c r="O34" s="1892"/>
      <c r="P34" s="1892"/>
    </row>
    <row r="35" spans="7:16" ht="20.100000000000001" customHeight="1" x14ac:dyDescent="0.3">
      <c r="G35" s="1892"/>
      <c r="H35" s="1892"/>
      <c r="I35" s="1892"/>
      <c r="J35" s="1892"/>
      <c r="K35" s="1892"/>
      <c r="L35" s="1892"/>
      <c r="M35" s="1892"/>
      <c r="N35" s="1892"/>
      <c r="O35" s="1892"/>
      <c r="P35" s="1892"/>
    </row>
    <row r="36" spans="7:16" ht="20.100000000000001" customHeight="1" x14ac:dyDescent="0.3">
      <c r="G36" s="1892"/>
      <c r="H36" s="1892"/>
      <c r="I36" s="1892"/>
      <c r="J36" s="1892"/>
      <c r="K36" s="1892"/>
      <c r="L36" s="1892"/>
      <c r="M36" s="1892"/>
      <c r="N36" s="1892"/>
      <c r="O36" s="1892"/>
      <c r="P36" s="1892"/>
    </row>
    <row r="37" spans="7:16" ht="20.100000000000001" customHeight="1" x14ac:dyDescent="0.3">
      <c r="G37" s="1892"/>
      <c r="H37" s="1892"/>
      <c r="I37" s="1892"/>
      <c r="J37" s="1892"/>
      <c r="K37" s="1892"/>
      <c r="L37" s="1892"/>
      <c r="M37" s="1892"/>
      <c r="N37" s="1892"/>
      <c r="O37" s="1892"/>
      <c r="P37" s="1892"/>
    </row>
    <row r="38" spans="7:16" ht="20.100000000000001" customHeight="1" x14ac:dyDescent="0.3">
      <c r="G38" s="1892"/>
      <c r="H38" s="1892"/>
      <c r="I38" s="1892"/>
      <c r="J38" s="1892"/>
      <c r="K38" s="1892"/>
      <c r="L38" s="1892"/>
      <c r="M38" s="1892"/>
      <c r="N38" s="1892"/>
      <c r="O38" s="1892"/>
      <c r="P38" s="1892"/>
    </row>
    <row r="39" spans="7:16" ht="20.100000000000001" customHeight="1" x14ac:dyDescent="0.3">
      <c r="G39" s="1892"/>
      <c r="H39" s="1892"/>
      <c r="I39" s="1892"/>
      <c r="J39" s="1892"/>
      <c r="K39" s="1892"/>
      <c r="L39" s="1892"/>
      <c r="M39" s="1892"/>
      <c r="N39" s="1892"/>
      <c r="O39" s="1892"/>
      <c r="P39" s="1892"/>
    </row>
    <row r="40" spans="7:16" ht="20.100000000000001" customHeight="1" x14ac:dyDescent="0.3">
      <c r="G40" s="1892"/>
      <c r="H40" s="1892"/>
      <c r="I40" s="1892"/>
      <c r="J40" s="1892"/>
      <c r="K40" s="1892"/>
      <c r="L40" s="1892"/>
      <c r="M40" s="1892"/>
      <c r="N40" s="1892"/>
      <c r="O40" s="1892"/>
      <c r="P40" s="1892"/>
    </row>
    <row r="41" spans="7:16" ht="20.100000000000001" customHeight="1" x14ac:dyDescent="0.3">
      <c r="G41" s="1892"/>
      <c r="H41" s="1892"/>
      <c r="I41" s="1892"/>
      <c r="J41" s="1892"/>
      <c r="K41" s="1892"/>
      <c r="L41" s="1892"/>
      <c r="M41" s="1892"/>
      <c r="N41" s="1892"/>
      <c r="O41" s="1892"/>
      <c r="P41" s="1892"/>
    </row>
    <row r="42" spans="7:16" ht="20.100000000000001" customHeight="1" x14ac:dyDescent="0.3">
      <c r="G42" s="1892"/>
      <c r="H42" s="1892"/>
      <c r="I42" s="1892"/>
      <c r="J42" s="1892"/>
      <c r="K42" s="1892"/>
      <c r="L42" s="1892"/>
      <c r="M42" s="1892"/>
      <c r="N42" s="1892"/>
      <c r="O42" s="1892"/>
      <c r="P42" s="1892"/>
    </row>
    <row r="43" spans="7:16" ht="20.100000000000001" customHeight="1" x14ac:dyDescent="0.3">
      <c r="G43" s="1892"/>
      <c r="H43" s="1892"/>
      <c r="I43" s="1892"/>
      <c r="J43" s="1892"/>
      <c r="K43" s="1892"/>
      <c r="L43" s="1892"/>
      <c r="M43" s="1892"/>
      <c r="N43" s="1892"/>
      <c r="O43" s="1892"/>
      <c r="P43" s="1892"/>
    </row>
    <row r="44" spans="7:16" ht="20.100000000000001" customHeight="1" x14ac:dyDescent="0.3">
      <c r="G44" s="1892"/>
      <c r="H44" s="1892"/>
      <c r="I44" s="1892"/>
      <c r="J44" s="1892"/>
      <c r="K44" s="1892"/>
      <c r="L44" s="1892"/>
      <c r="M44" s="1892"/>
      <c r="N44" s="1892"/>
      <c r="O44" s="1892"/>
      <c r="P44" s="1892"/>
    </row>
    <row r="45" spans="7:16" ht="20.100000000000001" customHeight="1" x14ac:dyDescent="0.3">
      <c r="G45" s="1892"/>
      <c r="H45" s="1892"/>
      <c r="I45" s="1892"/>
      <c r="J45" s="1892"/>
      <c r="K45" s="1892"/>
      <c r="L45" s="1892"/>
      <c r="M45" s="1892"/>
      <c r="N45" s="1892"/>
      <c r="O45" s="1892"/>
      <c r="P45" s="1892"/>
    </row>
    <row r="46" spans="7:16" ht="20.100000000000001" customHeight="1" x14ac:dyDescent="0.3">
      <c r="G46" s="1892"/>
      <c r="H46" s="1892"/>
      <c r="I46" s="1892"/>
      <c r="J46" s="1892"/>
      <c r="K46" s="1892"/>
      <c r="L46" s="1892"/>
      <c r="M46" s="1892"/>
      <c r="N46" s="1892"/>
      <c r="O46" s="1892"/>
      <c r="P46" s="1892"/>
    </row>
    <row r="47" spans="7:16" ht="20.100000000000001" customHeight="1" x14ac:dyDescent="0.3">
      <c r="G47" s="1892"/>
      <c r="H47" s="1892"/>
      <c r="I47" s="1892"/>
      <c r="J47" s="1892"/>
      <c r="K47" s="1892"/>
      <c r="L47" s="1892"/>
      <c r="M47" s="1892"/>
      <c r="N47" s="1892"/>
      <c r="O47" s="1892"/>
      <c r="P47" s="1892"/>
    </row>
    <row r="48" spans="7:16" ht="20.100000000000001" customHeight="1" x14ac:dyDescent="0.3">
      <c r="G48" s="1892"/>
      <c r="H48" s="1892"/>
      <c r="I48" s="1892"/>
      <c r="J48" s="1892"/>
      <c r="K48" s="1892"/>
      <c r="L48" s="1892"/>
      <c r="M48" s="1892"/>
      <c r="N48" s="1892"/>
      <c r="O48" s="1892"/>
      <c r="P48" s="1892"/>
    </row>
    <row r="49" spans="7:16" ht="20.100000000000001" customHeight="1" x14ac:dyDescent="0.3">
      <c r="G49" s="1892"/>
      <c r="H49" s="1892"/>
      <c r="I49" s="1892"/>
      <c r="J49" s="1892"/>
      <c r="K49" s="1892"/>
      <c r="L49" s="1892"/>
      <c r="M49" s="1892"/>
      <c r="N49" s="1892"/>
      <c r="O49" s="1892"/>
      <c r="P49" s="1892"/>
    </row>
    <row r="50" spans="7:16" ht="20.100000000000001" customHeight="1" x14ac:dyDescent="0.3">
      <c r="G50" s="1892"/>
      <c r="H50" s="1892"/>
      <c r="I50" s="1892"/>
      <c r="J50" s="1892"/>
      <c r="K50" s="1892"/>
      <c r="L50" s="1892"/>
      <c r="M50" s="1892"/>
      <c r="N50" s="1892"/>
      <c r="O50" s="1892"/>
      <c r="P50" s="1892"/>
    </row>
    <row r="51" spans="7:16" ht="20.100000000000001" customHeight="1" x14ac:dyDescent="0.3">
      <c r="G51" s="1892"/>
      <c r="H51" s="1892"/>
      <c r="I51" s="1892"/>
      <c r="J51" s="1892"/>
      <c r="K51" s="1892"/>
      <c r="L51" s="1892"/>
      <c r="M51" s="1892"/>
      <c r="N51" s="1892"/>
      <c r="O51" s="1892"/>
      <c r="P51" s="1892"/>
    </row>
    <row r="52" spans="7:16" ht="20.100000000000001" customHeight="1" x14ac:dyDescent="0.3">
      <c r="G52" s="1892"/>
      <c r="H52" s="1892"/>
      <c r="I52" s="1892"/>
      <c r="J52" s="1892"/>
      <c r="K52" s="1892"/>
      <c r="L52" s="1892"/>
      <c r="M52" s="1892"/>
      <c r="N52" s="1892"/>
      <c r="O52" s="1892"/>
      <c r="P52" s="1892"/>
    </row>
    <row r="53" spans="7:16" ht="20.100000000000001" customHeight="1" x14ac:dyDescent="0.3">
      <c r="G53" s="1892"/>
      <c r="H53" s="1892"/>
      <c r="I53" s="1892"/>
      <c r="J53" s="1892"/>
      <c r="K53" s="1892"/>
      <c r="L53" s="1892"/>
      <c r="M53" s="1892"/>
      <c r="N53" s="1892"/>
      <c r="O53" s="1892"/>
      <c r="P53" s="1892"/>
    </row>
    <row r="54" spans="7:16" ht="20.100000000000001" customHeight="1" x14ac:dyDescent="0.3">
      <c r="G54" s="1892"/>
      <c r="H54" s="1892"/>
      <c r="I54" s="1892"/>
      <c r="J54" s="1892"/>
      <c r="K54" s="1892"/>
      <c r="L54" s="1892"/>
      <c r="M54" s="1892"/>
      <c r="N54" s="1892"/>
      <c r="O54" s="1892"/>
      <c r="P54" s="1892"/>
    </row>
    <row r="55" spans="7:16" ht="20.100000000000001" customHeight="1" x14ac:dyDescent="0.3">
      <c r="G55" s="1892"/>
      <c r="H55" s="1892"/>
      <c r="I55" s="1892"/>
      <c r="J55" s="1892"/>
      <c r="K55" s="1892"/>
      <c r="L55" s="1892"/>
      <c r="M55" s="1892"/>
      <c r="N55" s="1892"/>
      <c r="O55" s="1892"/>
      <c r="P55" s="1892"/>
    </row>
    <row r="56" spans="7:16" ht="20.100000000000001" customHeight="1" x14ac:dyDescent="0.3">
      <c r="G56" s="1892"/>
      <c r="H56" s="1892"/>
      <c r="I56" s="1892"/>
      <c r="J56" s="1892"/>
      <c r="K56" s="1892"/>
      <c r="L56" s="1892"/>
      <c r="M56" s="1892"/>
      <c r="N56" s="1892"/>
      <c r="O56" s="1892"/>
      <c r="P56" s="1892"/>
    </row>
    <row r="57" spans="7:16" ht="20.100000000000001" customHeight="1" x14ac:dyDescent="0.3">
      <c r="G57" s="1892"/>
      <c r="H57" s="1892"/>
      <c r="I57" s="1892"/>
      <c r="J57" s="1892"/>
      <c r="K57" s="1892"/>
      <c r="L57" s="1892"/>
      <c r="M57" s="1892"/>
      <c r="N57" s="1892"/>
      <c r="O57" s="1892"/>
      <c r="P57" s="1892"/>
    </row>
    <row r="58" spans="7:16" ht="20.100000000000001" customHeight="1" x14ac:dyDescent="0.3">
      <c r="G58" s="1892"/>
      <c r="H58" s="1892"/>
      <c r="I58" s="1892"/>
      <c r="J58" s="1892"/>
      <c r="K58" s="1892"/>
      <c r="L58" s="1892"/>
      <c r="M58" s="1892"/>
      <c r="N58" s="1892"/>
      <c r="O58" s="1892"/>
      <c r="P58" s="1892"/>
    </row>
    <row r="59" spans="7:16" ht="20.100000000000001" customHeight="1" x14ac:dyDescent="0.3">
      <c r="G59" s="1892"/>
      <c r="H59" s="1892"/>
      <c r="I59" s="1892"/>
      <c r="J59" s="1892"/>
      <c r="K59" s="1892"/>
      <c r="L59" s="1892"/>
      <c r="M59" s="1892"/>
      <c r="N59" s="1892"/>
      <c r="O59" s="1892"/>
      <c r="P59" s="1892"/>
    </row>
    <row r="60" spans="7:16" ht="20.100000000000001" customHeight="1" x14ac:dyDescent="0.3">
      <c r="G60" s="1892"/>
      <c r="H60" s="1892"/>
      <c r="I60" s="1892"/>
      <c r="J60" s="1892"/>
      <c r="K60" s="1892"/>
      <c r="L60" s="1892"/>
      <c r="M60" s="1892"/>
      <c r="N60" s="1892"/>
      <c r="O60" s="1892"/>
      <c r="P60" s="1892"/>
    </row>
    <row r="61" spans="7:16" ht="20.100000000000001" customHeight="1" x14ac:dyDescent="0.3">
      <c r="G61" s="1892"/>
      <c r="H61" s="1892"/>
      <c r="I61" s="1892"/>
      <c r="J61" s="1892"/>
      <c r="K61" s="1892"/>
      <c r="L61" s="1892"/>
      <c r="M61" s="1892"/>
      <c r="N61" s="1892"/>
      <c r="O61" s="1892"/>
      <c r="P61" s="1892"/>
    </row>
    <row r="62" spans="7:16" ht="20.100000000000001" customHeight="1" x14ac:dyDescent="0.3">
      <c r="G62" s="1892"/>
      <c r="H62" s="1892"/>
      <c r="I62" s="1892"/>
      <c r="J62" s="1892"/>
      <c r="K62" s="1892"/>
      <c r="L62" s="1892"/>
      <c r="M62" s="1892"/>
      <c r="N62" s="1892"/>
      <c r="O62" s="1892"/>
      <c r="P62" s="1892"/>
    </row>
    <row r="63" spans="7:16" ht="20.100000000000001" customHeight="1" x14ac:dyDescent="0.3">
      <c r="G63" s="1892"/>
      <c r="H63" s="1892"/>
      <c r="I63" s="1892"/>
      <c r="J63" s="1892"/>
      <c r="K63" s="1892"/>
      <c r="L63" s="1892"/>
      <c r="M63" s="1892"/>
      <c r="N63" s="1892"/>
      <c r="O63" s="1892"/>
      <c r="P63" s="1892"/>
    </row>
    <row r="64" spans="7:16" ht="20.100000000000001" customHeight="1" x14ac:dyDescent="0.3">
      <c r="G64" s="1892"/>
      <c r="H64" s="1892"/>
      <c r="I64" s="1892"/>
      <c r="J64" s="1892"/>
      <c r="K64" s="1892"/>
      <c r="L64" s="1892"/>
      <c r="M64" s="1892"/>
      <c r="N64" s="1892"/>
      <c r="O64" s="1892"/>
      <c r="P64" s="1892"/>
    </row>
    <row r="65" spans="7:16" ht="20.100000000000001" customHeight="1" x14ac:dyDescent="0.3">
      <c r="G65" s="1892"/>
      <c r="H65" s="1892"/>
      <c r="I65" s="1892"/>
      <c r="J65" s="1892"/>
      <c r="K65" s="1892"/>
      <c r="L65" s="1892"/>
      <c r="M65" s="1892"/>
      <c r="N65" s="1892"/>
      <c r="O65" s="1892"/>
      <c r="P65" s="1892"/>
    </row>
    <row r="66" spans="7:16" ht="20.100000000000001" customHeight="1" x14ac:dyDescent="0.3">
      <c r="G66" s="1892"/>
      <c r="H66" s="1892"/>
      <c r="I66" s="1892"/>
      <c r="J66" s="1892"/>
      <c r="K66" s="1892"/>
      <c r="L66" s="1892"/>
      <c r="M66" s="1892"/>
      <c r="N66" s="1892"/>
      <c r="O66" s="1892"/>
      <c r="P66" s="1892"/>
    </row>
    <row r="67" spans="7:16" ht="20.100000000000001" customHeight="1" x14ac:dyDescent="0.3">
      <c r="G67" s="1892"/>
      <c r="H67" s="1892"/>
      <c r="I67" s="1892"/>
      <c r="J67" s="1892"/>
      <c r="K67" s="1892"/>
      <c r="L67" s="1892"/>
      <c r="M67" s="1892"/>
      <c r="N67" s="1892"/>
      <c r="O67" s="1892"/>
      <c r="P67" s="1892"/>
    </row>
    <row r="68" spans="7:16" ht="20.100000000000001" customHeight="1" x14ac:dyDescent="0.3">
      <c r="G68" s="1892"/>
      <c r="H68" s="1892"/>
      <c r="I68" s="1892"/>
      <c r="J68" s="1892"/>
      <c r="K68" s="1892"/>
      <c r="L68" s="1892"/>
      <c r="M68" s="1892"/>
      <c r="N68" s="1892"/>
      <c r="O68" s="1892"/>
      <c r="P68" s="1892"/>
    </row>
    <row r="69" spans="7:16" ht="20.100000000000001" customHeight="1" x14ac:dyDescent="0.3">
      <c r="G69" s="1892"/>
      <c r="H69" s="1892"/>
      <c r="I69" s="1892"/>
      <c r="J69" s="1892"/>
      <c r="K69" s="1892"/>
      <c r="L69" s="1892"/>
      <c r="M69" s="1892"/>
      <c r="N69" s="1892"/>
      <c r="O69" s="1892"/>
      <c r="P69" s="1892"/>
    </row>
    <row r="70" spans="7:16" ht="20.100000000000001" customHeight="1" x14ac:dyDescent="0.3">
      <c r="G70" s="1892"/>
      <c r="H70" s="1892"/>
      <c r="I70" s="1892"/>
      <c r="J70" s="1892"/>
      <c r="K70" s="1892"/>
      <c r="L70" s="1892"/>
      <c r="M70" s="1892"/>
      <c r="N70" s="1892"/>
      <c r="O70" s="1892"/>
      <c r="P70" s="1892"/>
    </row>
    <row r="71" spans="7:16" ht="20.100000000000001" customHeight="1" x14ac:dyDescent="0.3">
      <c r="G71" s="1892"/>
      <c r="H71" s="1892"/>
      <c r="I71" s="1892"/>
      <c r="J71" s="1892"/>
      <c r="K71" s="1892"/>
      <c r="L71" s="1892"/>
      <c r="M71" s="1892"/>
      <c r="N71" s="1892"/>
      <c r="O71" s="1892"/>
      <c r="P71" s="1892"/>
    </row>
    <row r="72" spans="7:16" ht="20.100000000000001" customHeight="1" x14ac:dyDescent="0.3">
      <c r="G72" s="1892"/>
      <c r="H72" s="1892"/>
      <c r="I72" s="1892"/>
      <c r="J72" s="1892"/>
      <c r="K72" s="1892"/>
      <c r="L72" s="1892"/>
      <c r="M72" s="1892"/>
      <c r="N72" s="1892"/>
      <c r="O72" s="1892"/>
      <c r="P72" s="1892"/>
    </row>
    <row r="73" spans="7:16" ht="20.100000000000001" customHeight="1" x14ac:dyDescent="0.3">
      <c r="G73" s="1892"/>
      <c r="H73" s="1892"/>
      <c r="I73" s="1892"/>
      <c r="J73" s="1892"/>
      <c r="K73" s="1892"/>
      <c r="L73" s="1892"/>
      <c r="M73" s="1892"/>
      <c r="N73" s="1892"/>
      <c r="O73" s="1892"/>
      <c r="P73" s="1892"/>
    </row>
    <row r="74" spans="7:16" ht="20.100000000000001" customHeight="1" x14ac:dyDescent="0.3">
      <c r="G74" s="1892"/>
      <c r="H74" s="1892"/>
      <c r="I74" s="1892"/>
      <c r="J74" s="1892"/>
      <c r="K74" s="1892"/>
      <c r="L74" s="1892"/>
      <c r="M74" s="1892"/>
      <c r="N74" s="1892"/>
      <c r="O74" s="1892"/>
      <c r="P74" s="1892"/>
    </row>
    <row r="75" spans="7:16" ht="20.100000000000001" customHeight="1" x14ac:dyDescent="0.3">
      <c r="G75" s="1892"/>
      <c r="H75" s="1892"/>
      <c r="I75" s="1892"/>
      <c r="J75" s="1892"/>
      <c r="K75" s="1892"/>
      <c r="L75" s="1892"/>
      <c r="M75" s="1892"/>
      <c r="N75" s="1892"/>
      <c r="O75" s="1892"/>
      <c r="P75" s="1892"/>
    </row>
    <row r="76" spans="7:16" ht="20.100000000000001" customHeight="1" x14ac:dyDescent="0.3">
      <c r="G76" s="1892"/>
      <c r="H76" s="1892"/>
      <c r="I76" s="1892"/>
      <c r="J76" s="1892"/>
      <c r="K76" s="1892"/>
      <c r="L76" s="1892"/>
      <c r="M76" s="1892"/>
      <c r="N76" s="1892"/>
      <c r="O76" s="1892"/>
      <c r="P76" s="1892"/>
    </row>
    <row r="77" spans="7:16" ht="20.100000000000001" customHeight="1" x14ac:dyDescent="0.3">
      <c r="G77" s="1892"/>
      <c r="H77" s="1892"/>
      <c r="I77" s="1892"/>
      <c r="J77" s="1892"/>
      <c r="K77" s="1892"/>
      <c r="L77" s="1892"/>
      <c r="M77" s="1892"/>
      <c r="N77" s="1892"/>
      <c r="O77" s="1892"/>
      <c r="P77" s="1892"/>
    </row>
    <row r="78" spans="7:16" ht="20.100000000000001" customHeight="1" x14ac:dyDescent="0.3">
      <c r="G78" s="1892"/>
      <c r="H78" s="1892"/>
      <c r="I78" s="1892"/>
      <c r="J78" s="1892"/>
      <c r="K78" s="1892"/>
      <c r="L78" s="1892"/>
      <c r="M78" s="1892"/>
      <c r="N78" s="1892"/>
      <c r="O78" s="1892"/>
      <c r="P78" s="1892"/>
    </row>
    <row r="79" spans="7:16" ht="20.100000000000001" customHeight="1" x14ac:dyDescent="0.3">
      <c r="G79" s="1892"/>
      <c r="H79" s="1892"/>
      <c r="I79" s="1892"/>
      <c r="J79" s="1892"/>
      <c r="K79" s="1892"/>
      <c r="L79" s="1892"/>
      <c r="M79" s="1892"/>
      <c r="N79" s="1892"/>
      <c r="O79" s="1892"/>
      <c r="P79" s="1892"/>
    </row>
    <row r="80" spans="7:16" ht="20.100000000000001" customHeight="1" x14ac:dyDescent="0.3">
      <c r="G80" s="1892"/>
      <c r="H80" s="1892"/>
      <c r="I80" s="1892"/>
      <c r="J80" s="1892"/>
      <c r="K80" s="1892"/>
      <c r="L80" s="1892"/>
      <c r="M80" s="1892"/>
      <c r="N80" s="1892"/>
      <c r="O80" s="1892"/>
      <c r="P80" s="1892"/>
    </row>
    <row r="81" spans="7:16" ht="20.100000000000001" customHeight="1" x14ac:dyDescent="0.3">
      <c r="G81" s="1892"/>
      <c r="H81" s="1892"/>
      <c r="I81" s="1892"/>
      <c r="J81" s="1892"/>
      <c r="K81" s="1892"/>
      <c r="L81" s="1892"/>
      <c r="M81" s="1892"/>
      <c r="N81" s="1892"/>
      <c r="O81" s="1892"/>
      <c r="P81" s="1892"/>
    </row>
    <row r="82" spans="7:16" ht="20.100000000000001" customHeight="1" x14ac:dyDescent="0.3">
      <c r="G82" s="1892"/>
      <c r="H82" s="1892"/>
      <c r="I82" s="1892"/>
      <c r="J82" s="1892"/>
      <c r="K82" s="1892"/>
      <c r="L82" s="1892"/>
      <c r="M82" s="1892"/>
      <c r="N82" s="1892"/>
      <c r="O82" s="1892"/>
      <c r="P82" s="1892"/>
    </row>
    <row r="83" spans="7:16" ht="20.100000000000001" customHeight="1" x14ac:dyDescent="0.3">
      <c r="G83" s="1892"/>
      <c r="H83" s="1892"/>
      <c r="I83" s="1892"/>
      <c r="J83" s="1892"/>
      <c r="K83" s="1892"/>
      <c r="L83" s="1892"/>
      <c r="M83" s="1892"/>
      <c r="N83" s="1892"/>
      <c r="O83" s="1892"/>
      <c r="P83" s="1892"/>
    </row>
    <row r="84" spans="7:16" ht="20.100000000000001" customHeight="1" x14ac:dyDescent="0.3">
      <c r="G84" s="1892"/>
      <c r="H84" s="1892"/>
      <c r="I84" s="1892"/>
      <c r="J84" s="1892"/>
      <c r="K84" s="1892"/>
      <c r="L84" s="1892"/>
      <c r="M84" s="1892"/>
      <c r="N84" s="1892"/>
      <c r="O84" s="1892"/>
      <c r="P84" s="1892"/>
    </row>
    <row r="85" spans="7:16" ht="20.100000000000001" customHeight="1" x14ac:dyDescent="0.3">
      <c r="G85" s="1892"/>
      <c r="H85" s="1892"/>
      <c r="I85" s="1892"/>
      <c r="J85" s="1892"/>
      <c r="K85" s="1892"/>
      <c r="L85" s="1892"/>
      <c r="M85" s="1892"/>
      <c r="N85" s="1892"/>
      <c r="O85" s="1892"/>
      <c r="P85" s="1892"/>
    </row>
    <row r="86" spans="7:16" ht="20.100000000000001" customHeight="1" x14ac:dyDescent="0.3">
      <c r="G86" s="1892"/>
      <c r="H86" s="1892"/>
      <c r="I86" s="1892"/>
      <c r="J86" s="1892"/>
      <c r="K86" s="1892"/>
      <c r="L86" s="1892"/>
      <c r="M86" s="1892"/>
      <c r="N86" s="1892"/>
      <c r="O86" s="1892"/>
      <c r="P86" s="1892"/>
    </row>
    <row r="87" spans="7:16" ht="20.100000000000001" customHeight="1" x14ac:dyDescent="0.3">
      <c r="G87" s="1892"/>
      <c r="H87" s="1892"/>
      <c r="I87" s="1892"/>
      <c r="J87" s="1892"/>
      <c r="K87" s="1892"/>
      <c r="L87" s="1892"/>
      <c r="M87" s="1892"/>
      <c r="N87" s="1892"/>
      <c r="O87" s="1892"/>
      <c r="P87" s="1892"/>
    </row>
    <row r="88" spans="7:16" ht="20.100000000000001" customHeight="1" x14ac:dyDescent="0.3">
      <c r="G88" s="1892"/>
      <c r="H88" s="1892"/>
      <c r="I88" s="1892"/>
      <c r="J88" s="1892"/>
      <c r="K88" s="1892"/>
      <c r="L88" s="1892"/>
      <c r="M88" s="1892"/>
      <c r="N88" s="1892"/>
      <c r="O88" s="1892"/>
      <c r="P88" s="1892"/>
    </row>
    <row r="89" spans="7:16" ht="20.100000000000001" customHeight="1" x14ac:dyDescent="0.3">
      <c r="G89" s="1892"/>
      <c r="H89" s="1892"/>
      <c r="I89" s="1892"/>
      <c r="J89" s="1892"/>
      <c r="K89" s="1892"/>
      <c r="L89" s="1892"/>
      <c r="M89" s="1892"/>
      <c r="N89" s="1892"/>
      <c r="O89" s="1892"/>
      <c r="P89" s="1892"/>
    </row>
    <row r="90" spans="7:16" ht="20.100000000000001" customHeight="1" x14ac:dyDescent="0.3">
      <c r="G90" s="1892"/>
      <c r="H90" s="1892"/>
      <c r="I90" s="1892"/>
      <c r="J90" s="1892"/>
      <c r="K90" s="1892"/>
      <c r="L90" s="1892"/>
      <c r="M90" s="1892"/>
      <c r="N90" s="1892"/>
      <c r="O90" s="1892"/>
      <c r="P90" s="1892"/>
    </row>
    <row r="91" spans="7:16" ht="20.100000000000001" customHeight="1" x14ac:dyDescent="0.3">
      <c r="G91" s="1892"/>
      <c r="H91" s="1892"/>
      <c r="I91" s="1892"/>
      <c r="J91" s="1892"/>
      <c r="K91" s="1892"/>
      <c r="L91" s="1892"/>
      <c r="M91" s="1892"/>
      <c r="N91" s="1892"/>
      <c r="O91" s="1892"/>
      <c r="P91" s="1892"/>
    </row>
    <row r="92" spans="7:16" ht="20.100000000000001" customHeight="1" x14ac:dyDescent="0.3">
      <c r="G92" s="1892"/>
      <c r="H92" s="1892"/>
      <c r="I92" s="1892"/>
      <c r="J92" s="1892"/>
      <c r="K92" s="1892"/>
      <c r="L92" s="1892"/>
      <c r="M92" s="1892"/>
      <c r="N92" s="1892"/>
      <c r="O92" s="1892"/>
      <c r="P92" s="1892"/>
    </row>
    <row r="93" spans="7:16" ht="20.100000000000001" customHeight="1" x14ac:dyDescent="0.3">
      <c r="G93" s="1892"/>
      <c r="H93" s="1892"/>
      <c r="I93" s="1892"/>
      <c r="J93" s="1892"/>
      <c r="K93" s="1892"/>
      <c r="L93" s="1892"/>
      <c r="M93" s="1892"/>
      <c r="N93" s="1892"/>
      <c r="O93" s="1892"/>
      <c r="P93" s="1892"/>
    </row>
    <row r="94" spans="7:16" ht="20.100000000000001" customHeight="1" x14ac:dyDescent="0.3">
      <c r="G94" s="1892"/>
      <c r="H94" s="1892"/>
      <c r="I94" s="1892"/>
      <c r="J94" s="1892"/>
      <c r="K94" s="1892"/>
      <c r="L94" s="1892"/>
      <c r="M94" s="1892"/>
      <c r="N94" s="1892"/>
      <c r="O94" s="1892"/>
      <c r="P94" s="1892"/>
    </row>
    <row r="95" spans="7:16" ht="20.100000000000001" customHeight="1" x14ac:dyDescent="0.3">
      <c r="G95" s="1892"/>
      <c r="H95" s="1892"/>
      <c r="I95" s="1892"/>
      <c r="J95" s="1892"/>
      <c r="K95" s="1892"/>
      <c r="L95" s="1892"/>
      <c r="M95" s="1892"/>
      <c r="N95" s="1892"/>
      <c r="O95" s="1892"/>
      <c r="P95" s="1892"/>
    </row>
    <row r="96" spans="7:16" ht="20.100000000000001" customHeight="1" x14ac:dyDescent="0.3">
      <c r="G96" s="1892"/>
      <c r="H96" s="1892"/>
      <c r="I96" s="1892"/>
      <c r="J96" s="1892"/>
      <c r="K96" s="1892"/>
      <c r="L96" s="1892"/>
      <c r="M96" s="1892"/>
      <c r="N96" s="1892"/>
      <c r="O96" s="1892"/>
      <c r="P96" s="1892"/>
    </row>
    <row r="97" spans="7:16" ht="20.100000000000001" customHeight="1" x14ac:dyDescent="0.3">
      <c r="G97" s="1892"/>
      <c r="H97" s="1892"/>
      <c r="I97" s="1892"/>
      <c r="J97" s="1892"/>
      <c r="K97" s="1892"/>
      <c r="L97" s="1892"/>
      <c r="M97" s="1892"/>
      <c r="N97" s="1892"/>
      <c r="O97" s="1892"/>
      <c r="P97" s="1892"/>
    </row>
    <row r="98" spans="7:16" ht="20.100000000000001" customHeight="1" x14ac:dyDescent="0.3">
      <c r="G98" s="1892"/>
      <c r="H98" s="1892"/>
      <c r="I98" s="1892"/>
      <c r="J98" s="1892"/>
      <c r="K98" s="1892"/>
      <c r="L98" s="1892"/>
      <c r="M98" s="1892"/>
      <c r="N98" s="1892"/>
      <c r="O98" s="1892"/>
      <c r="P98" s="1892"/>
    </row>
    <row r="99" spans="7:16" ht="20.100000000000001" customHeight="1" x14ac:dyDescent="0.3">
      <c r="G99" s="1892"/>
      <c r="H99" s="1892"/>
      <c r="I99" s="1892"/>
      <c r="J99" s="1892"/>
      <c r="K99" s="1892"/>
      <c r="L99" s="1892"/>
      <c r="M99" s="1892"/>
      <c r="N99" s="1892"/>
      <c r="O99" s="1892"/>
      <c r="P99" s="1892"/>
    </row>
    <row r="100" spans="7:16" ht="20.100000000000001" customHeight="1" x14ac:dyDescent="0.3">
      <c r="G100" s="1892"/>
      <c r="H100" s="1892"/>
      <c r="I100" s="1892"/>
      <c r="J100" s="1892"/>
      <c r="K100" s="1892"/>
      <c r="L100" s="1892"/>
      <c r="M100" s="1892"/>
      <c r="N100" s="1892"/>
      <c r="O100" s="1892"/>
      <c r="P100" s="1892"/>
    </row>
    <row r="101" spans="7:16" ht="20.100000000000001" customHeight="1" x14ac:dyDescent="0.3">
      <c r="G101" s="1892"/>
      <c r="H101" s="1892"/>
      <c r="I101" s="1892"/>
      <c r="J101" s="1892"/>
      <c r="K101" s="1892"/>
      <c r="L101" s="1892"/>
      <c r="M101" s="1892"/>
      <c r="N101" s="1892"/>
      <c r="O101" s="1892"/>
      <c r="P101" s="1892"/>
    </row>
    <row r="102" spans="7:16" ht="20.100000000000001" customHeight="1" x14ac:dyDescent="0.3">
      <c r="G102" s="1892"/>
      <c r="H102" s="1892"/>
      <c r="I102" s="1892"/>
      <c r="J102" s="1892"/>
      <c r="K102" s="1892"/>
      <c r="L102" s="1892"/>
      <c r="M102" s="1892"/>
      <c r="N102" s="1892"/>
      <c r="O102" s="1892"/>
      <c r="P102" s="1892"/>
    </row>
    <row r="103" spans="7:16" ht="20.100000000000001" customHeight="1" x14ac:dyDescent="0.3">
      <c r="G103" s="1892"/>
      <c r="H103" s="1892"/>
      <c r="I103" s="1892"/>
      <c r="J103" s="1892"/>
      <c r="K103" s="1892"/>
      <c r="L103" s="1892"/>
      <c r="M103" s="1892"/>
      <c r="N103" s="1892"/>
      <c r="O103" s="1892"/>
      <c r="P103" s="1892"/>
    </row>
    <row r="104" spans="7:16" ht="20.100000000000001" customHeight="1" x14ac:dyDescent="0.3">
      <c r="G104" s="1892"/>
      <c r="H104" s="1892"/>
      <c r="I104" s="1892"/>
      <c r="J104" s="1892"/>
      <c r="K104" s="1892"/>
      <c r="L104" s="1892"/>
      <c r="M104" s="1892"/>
      <c r="N104" s="1892"/>
      <c r="O104" s="1892"/>
      <c r="P104" s="1892"/>
    </row>
    <row r="105" spans="7:16" ht="20.100000000000001" customHeight="1" x14ac:dyDescent="0.3">
      <c r="G105" s="1892"/>
      <c r="H105" s="1892"/>
      <c r="I105" s="1892"/>
      <c r="J105" s="1892"/>
      <c r="K105" s="1892"/>
      <c r="L105" s="1892"/>
      <c r="M105" s="1892"/>
      <c r="N105" s="1892"/>
      <c r="O105" s="1892"/>
      <c r="P105" s="1892"/>
    </row>
    <row r="106" spans="7:16" ht="20.100000000000001" customHeight="1" x14ac:dyDescent="0.3">
      <c r="G106" s="1892"/>
      <c r="H106" s="1892"/>
      <c r="I106" s="1892"/>
      <c r="J106" s="1892"/>
      <c r="K106" s="1892"/>
      <c r="L106" s="1892"/>
      <c r="M106" s="1892"/>
      <c r="N106" s="1892"/>
      <c r="O106" s="1892"/>
      <c r="P106" s="1892"/>
    </row>
    <row r="107" spans="7:16" ht="20.100000000000001" customHeight="1" x14ac:dyDescent="0.3">
      <c r="G107" s="1892"/>
      <c r="H107" s="1892"/>
      <c r="I107" s="1892"/>
      <c r="J107" s="1892"/>
      <c r="K107" s="1892"/>
      <c r="L107" s="1892"/>
      <c r="M107" s="1892"/>
      <c r="N107" s="1892"/>
      <c r="O107" s="1892"/>
      <c r="P107" s="1892"/>
    </row>
    <row r="108" spans="7:16" ht="20.100000000000001" customHeight="1" x14ac:dyDescent="0.3">
      <c r="G108" s="1892"/>
      <c r="H108" s="1892"/>
      <c r="I108" s="1892"/>
      <c r="J108" s="1892"/>
      <c r="K108" s="1892"/>
      <c r="L108" s="1892"/>
      <c r="M108" s="1892"/>
      <c r="N108" s="1892"/>
      <c r="O108" s="1892"/>
      <c r="P108" s="1892"/>
    </row>
    <row r="109" spans="7:16" ht="20.100000000000001" customHeight="1" x14ac:dyDescent="0.3">
      <c r="G109" s="1892"/>
      <c r="H109" s="1892"/>
      <c r="I109" s="1892"/>
      <c r="J109" s="1892"/>
      <c r="K109" s="1892"/>
      <c r="L109" s="1892"/>
      <c r="M109" s="1892"/>
      <c r="N109" s="1892"/>
      <c r="O109" s="1892"/>
      <c r="P109" s="1892"/>
    </row>
    <row r="110" spans="7:16" ht="20.100000000000001" customHeight="1" x14ac:dyDescent="0.3">
      <c r="G110" s="1892"/>
      <c r="H110" s="1892"/>
      <c r="I110" s="1892"/>
      <c r="J110" s="1892"/>
      <c r="K110" s="1892"/>
      <c r="L110" s="1892"/>
      <c r="M110" s="1892"/>
      <c r="N110" s="1892"/>
      <c r="O110" s="1892"/>
      <c r="P110" s="1892"/>
    </row>
    <row r="111" spans="7:16" ht="20.100000000000001" customHeight="1" x14ac:dyDescent="0.3">
      <c r="G111" s="1892"/>
      <c r="H111" s="1892"/>
      <c r="I111" s="1892"/>
      <c r="J111" s="1892"/>
      <c r="K111" s="1892"/>
      <c r="L111" s="1892"/>
      <c r="M111" s="1892"/>
      <c r="N111" s="1892"/>
      <c r="O111" s="1892"/>
      <c r="P111" s="1892"/>
    </row>
    <row r="112" spans="7:16" ht="20.100000000000001" customHeight="1" x14ac:dyDescent="0.3">
      <c r="G112" s="1892"/>
      <c r="H112" s="1892"/>
      <c r="I112" s="1892"/>
      <c r="J112" s="1892"/>
      <c r="K112" s="1892"/>
      <c r="L112" s="1892"/>
      <c r="M112" s="1892"/>
      <c r="N112" s="1892"/>
      <c r="O112" s="1892"/>
      <c r="P112" s="1892"/>
    </row>
    <row r="113" spans="7:16" ht="20.100000000000001" customHeight="1" x14ac:dyDescent="0.3">
      <c r="G113" s="1892"/>
      <c r="H113" s="1892"/>
      <c r="I113" s="1892"/>
      <c r="J113" s="1892"/>
      <c r="K113" s="1892"/>
      <c r="L113" s="1892"/>
      <c r="M113" s="1892"/>
      <c r="N113" s="1892"/>
      <c r="O113" s="1892"/>
      <c r="P113" s="1892"/>
    </row>
    <row r="114" spans="7:16" ht="20.100000000000001" customHeight="1" x14ac:dyDescent="0.3">
      <c r="G114" s="1892"/>
      <c r="H114" s="1892"/>
      <c r="I114" s="1892"/>
      <c r="J114" s="1892"/>
      <c r="K114" s="1892"/>
      <c r="L114" s="1892"/>
      <c r="M114" s="1892"/>
      <c r="N114" s="1892"/>
      <c r="O114" s="1892"/>
      <c r="P114" s="1892"/>
    </row>
    <row r="115" spans="7:16" ht="20.100000000000001" customHeight="1" x14ac:dyDescent="0.3">
      <c r="G115" s="1892"/>
      <c r="H115" s="1892"/>
      <c r="I115" s="1892"/>
      <c r="J115" s="1892"/>
      <c r="K115" s="1892"/>
      <c r="L115" s="1892"/>
      <c r="M115" s="1892"/>
      <c r="N115" s="1892"/>
      <c r="O115" s="1892"/>
      <c r="P115" s="1892"/>
    </row>
    <row r="116" spans="7:16" ht="20.100000000000001" customHeight="1" x14ac:dyDescent="0.3">
      <c r="G116" s="1892"/>
      <c r="H116" s="1892"/>
      <c r="I116" s="1892"/>
      <c r="J116" s="1892"/>
      <c r="K116" s="1892"/>
      <c r="L116" s="1892"/>
      <c r="M116" s="1892"/>
      <c r="N116" s="1892"/>
      <c r="O116" s="1892"/>
      <c r="P116" s="1892"/>
    </row>
    <row r="117" spans="7:16" ht="20.100000000000001" customHeight="1" x14ac:dyDescent="0.3">
      <c r="G117" s="1892"/>
      <c r="H117" s="1892"/>
      <c r="I117" s="1892"/>
      <c r="J117" s="1892"/>
      <c r="K117" s="1892"/>
      <c r="L117" s="1892"/>
      <c r="M117" s="1892"/>
      <c r="N117" s="1892"/>
      <c r="O117" s="1892"/>
      <c r="P117" s="1892"/>
    </row>
    <row r="118" spans="7:16" ht="20.100000000000001" customHeight="1" x14ac:dyDescent="0.3">
      <c r="G118" s="1892"/>
      <c r="H118" s="1892"/>
      <c r="I118" s="1892"/>
      <c r="J118" s="1892"/>
      <c r="K118" s="1892"/>
      <c r="L118" s="1892"/>
      <c r="M118" s="1892"/>
      <c r="N118" s="1892"/>
      <c r="O118" s="1892"/>
      <c r="P118" s="1892"/>
    </row>
    <row r="119" spans="7:16" ht="20.100000000000001" customHeight="1" x14ac:dyDescent="0.3">
      <c r="G119" s="1892"/>
      <c r="H119" s="1892"/>
      <c r="I119" s="1892"/>
      <c r="J119" s="1892"/>
      <c r="K119" s="1892"/>
      <c r="L119" s="1892"/>
      <c r="M119" s="1892"/>
      <c r="N119" s="1892"/>
      <c r="O119" s="1892"/>
      <c r="P119" s="1892"/>
    </row>
    <row r="120" spans="7:16" ht="20.100000000000001" customHeight="1" x14ac:dyDescent="0.3">
      <c r="G120" s="1892"/>
      <c r="H120" s="1892"/>
      <c r="I120" s="1892"/>
      <c r="J120" s="1892"/>
      <c r="K120" s="1892"/>
      <c r="L120" s="1892"/>
      <c r="M120" s="1892"/>
      <c r="N120" s="1892"/>
      <c r="O120" s="1892"/>
      <c r="P120" s="1892"/>
    </row>
    <row r="121" spans="7:16" ht="20.100000000000001" customHeight="1" x14ac:dyDescent="0.3">
      <c r="G121" s="1892"/>
      <c r="H121" s="1892"/>
      <c r="I121" s="1892"/>
      <c r="J121" s="1892"/>
      <c r="K121" s="1892"/>
      <c r="L121" s="1892"/>
      <c r="M121" s="1892"/>
      <c r="N121" s="1892"/>
      <c r="O121" s="1892"/>
      <c r="P121" s="1892"/>
    </row>
    <row r="122" spans="7:16" ht="20.100000000000001" customHeight="1" x14ac:dyDescent="0.3">
      <c r="G122" s="1892"/>
      <c r="H122" s="1892"/>
      <c r="I122" s="1892"/>
      <c r="J122" s="1892"/>
      <c r="K122" s="1892"/>
      <c r="L122" s="1892"/>
      <c r="M122" s="1892"/>
      <c r="N122" s="1892"/>
      <c r="O122" s="1892"/>
      <c r="P122" s="1892"/>
    </row>
    <row r="123" spans="7:16" ht="20.100000000000001" customHeight="1" x14ac:dyDescent="0.3">
      <c r="G123" s="1892"/>
      <c r="H123" s="1892"/>
      <c r="I123" s="1892"/>
      <c r="J123" s="1892"/>
      <c r="K123" s="1892"/>
      <c r="L123" s="1892"/>
      <c r="M123" s="1892"/>
      <c r="N123" s="1892"/>
      <c r="O123" s="1892"/>
      <c r="P123" s="1892"/>
    </row>
    <row r="124" spans="7:16" ht="20.100000000000001" customHeight="1" x14ac:dyDescent="0.3">
      <c r="G124" s="1892"/>
      <c r="H124" s="1892"/>
      <c r="I124" s="1892"/>
      <c r="J124" s="1892"/>
      <c r="K124" s="1892"/>
      <c r="L124" s="1892"/>
      <c r="M124" s="1892"/>
      <c r="N124" s="1892"/>
      <c r="O124" s="1892"/>
      <c r="P124" s="1892"/>
    </row>
    <row r="125" spans="7:16" ht="20.100000000000001" customHeight="1" x14ac:dyDescent="0.3">
      <c r="G125" s="1892"/>
      <c r="H125" s="1892"/>
      <c r="I125" s="1892"/>
      <c r="J125" s="1892"/>
      <c r="K125" s="1892"/>
      <c r="L125" s="1892"/>
      <c r="M125" s="1892"/>
      <c r="N125" s="1892"/>
      <c r="O125" s="1892"/>
      <c r="P125" s="1892"/>
    </row>
    <row r="126" spans="7:16" ht="20.100000000000001" customHeight="1" x14ac:dyDescent="0.3">
      <c r="G126" s="1892"/>
      <c r="H126" s="1892"/>
      <c r="I126" s="1892"/>
      <c r="J126" s="1892"/>
      <c r="K126" s="1892"/>
      <c r="L126" s="1892"/>
      <c r="M126" s="1892"/>
      <c r="N126" s="1892"/>
      <c r="O126" s="1892"/>
      <c r="P126" s="1892"/>
    </row>
    <row r="127" spans="7:16" ht="20.100000000000001" customHeight="1" x14ac:dyDescent="0.3">
      <c r="G127" s="1892"/>
      <c r="H127" s="1892"/>
      <c r="I127" s="1892"/>
      <c r="J127" s="1892"/>
      <c r="K127" s="1892"/>
      <c r="L127" s="1892"/>
      <c r="M127" s="1892"/>
      <c r="N127" s="1892"/>
      <c r="O127" s="1892"/>
      <c r="P127" s="1892"/>
    </row>
    <row r="128" spans="7:16" ht="20.100000000000001" customHeight="1" x14ac:dyDescent="0.3">
      <c r="G128" s="1892"/>
      <c r="H128" s="1892"/>
      <c r="I128" s="1892"/>
      <c r="J128" s="1892"/>
      <c r="K128" s="1892"/>
      <c r="L128" s="1892"/>
      <c r="M128" s="1892"/>
      <c r="N128" s="1892"/>
      <c r="O128" s="1892"/>
      <c r="P128" s="1892"/>
    </row>
    <row r="129" spans="7:16" ht="20.100000000000001" customHeight="1" x14ac:dyDescent="0.3">
      <c r="G129" s="1892"/>
      <c r="H129" s="1892"/>
      <c r="I129" s="1892"/>
      <c r="J129" s="1892"/>
      <c r="K129" s="1892"/>
      <c r="L129" s="1892"/>
      <c r="M129" s="1892"/>
      <c r="N129" s="1892"/>
      <c r="O129" s="1892"/>
      <c r="P129" s="1892"/>
    </row>
    <row r="130" spans="7:16" ht="20.100000000000001" customHeight="1" x14ac:dyDescent="0.3">
      <c r="G130" s="1892"/>
      <c r="H130" s="1892"/>
      <c r="I130" s="1892"/>
      <c r="J130" s="1892"/>
      <c r="K130" s="1892"/>
      <c r="L130" s="1892"/>
      <c r="M130" s="1892"/>
      <c r="N130" s="1892"/>
      <c r="O130" s="1892"/>
      <c r="P130" s="1892"/>
    </row>
    <row r="131" spans="7:16" ht="20.100000000000001" customHeight="1" x14ac:dyDescent="0.3">
      <c r="G131" s="1892"/>
      <c r="H131" s="1892"/>
      <c r="I131" s="1892"/>
      <c r="J131" s="1892"/>
      <c r="K131" s="1892"/>
      <c r="L131" s="1892"/>
      <c r="M131" s="1892"/>
      <c r="N131" s="1892"/>
      <c r="O131" s="1892"/>
      <c r="P131" s="1892"/>
    </row>
    <row r="132" spans="7:16" ht="20.100000000000001" customHeight="1" x14ac:dyDescent="0.3">
      <c r="G132" s="1892"/>
      <c r="H132" s="1892"/>
      <c r="I132" s="1892"/>
      <c r="J132" s="1892"/>
      <c r="K132" s="1892"/>
      <c r="L132" s="1892"/>
      <c r="M132" s="1892"/>
      <c r="N132" s="1892"/>
      <c r="O132" s="1892"/>
      <c r="P132" s="1892"/>
    </row>
    <row r="133" spans="7:16" ht="20.100000000000001" customHeight="1" x14ac:dyDescent="0.3">
      <c r="G133" s="1892"/>
      <c r="H133" s="1892"/>
      <c r="I133" s="1892"/>
      <c r="J133" s="1892"/>
      <c r="K133" s="1892"/>
      <c r="L133" s="1892"/>
      <c r="M133" s="1892"/>
      <c r="N133" s="1892"/>
      <c r="O133" s="1892"/>
      <c r="P133" s="1892"/>
    </row>
    <row r="134" spans="7:16" ht="20.100000000000001" customHeight="1" x14ac:dyDescent="0.3">
      <c r="G134" s="1892"/>
      <c r="H134" s="1892"/>
      <c r="I134" s="1892"/>
      <c r="J134" s="1892"/>
      <c r="K134" s="1892"/>
      <c r="L134" s="1892"/>
      <c r="M134" s="1892"/>
      <c r="N134" s="1892"/>
      <c r="O134" s="1892"/>
      <c r="P134" s="1892"/>
    </row>
    <row r="135" spans="7:16" ht="20.100000000000001" customHeight="1" x14ac:dyDescent="0.3">
      <c r="G135" s="1892"/>
      <c r="H135" s="1892"/>
      <c r="I135" s="1892"/>
      <c r="J135" s="1892"/>
      <c r="K135" s="1892"/>
      <c r="L135" s="1892"/>
      <c r="M135" s="1892"/>
      <c r="N135" s="1892"/>
      <c r="O135" s="1892"/>
      <c r="P135" s="1892"/>
    </row>
    <row r="136" spans="7:16" ht="20.100000000000001" customHeight="1" x14ac:dyDescent="0.3">
      <c r="G136" s="1892"/>
      <c r="H136" s="1892"/>
      <c r="I136" s="1892"/>
      <c r="J136" s="1892"/>
      <c r="K136" s="1892"/>
      <c r="L136" s="1892"/>
      <c r="M136" s="1892"/>
      <c r="N136" s="1892"/>
      <c r="O136" s="1892"/>
      <c r="P136" s="1892"/>
    </row>
    <row r="137" spans="7:16" ht="20.100000000000001" customHeight="1" x14ac:dyDescent="0.3">
      <c r="G137" s="1892"/>
      <c r="H137" s="1892"/>
      <c r="I137" s="1892"/>
      <c r="J137" s="1892"/>
      <c r="K137" s="1892"/>
      <c r="L137" s="1892"/>
      <c r="M137" s="1892"/>
      <c r="N137" s="1892"/>
      <c r="O137" s="1892"/>
      <c r="P137" s="1892"/>
    </row>
    <row r="138" spans="7:16" ht="20.100000000000001" customHeight="1" x14ac:dyDescent="0.3">
      <c r="G138" s="1892"/>
      <c r="H138" s="1892"/>
      <c r="I138" s="1892"/>
      <c r="J138" s="1892"/>
      <c r="K138" s="1892"/>
      <c r="L138" s="1892"/>
      <c r="M138" s="1892"/>
      <c r="N138" s="1892"/>
      <c r="O138" s="1892"/>
      <c r="P138" s="1892"/>
    </row>
    <row r="139" spans="7:16" ht="20.100000000000001" customHeight="1" x14ac:dyDescent="0.3">
      <c r="G139" s="1892"/>
      <c r="H139" s="1892"/>
      <c r="I139" s="1892"/>
      <c r="J139" s="1892"/>
      <c r="K139" s="1892"/>
      <c r="L139" s="1892"/>
      <c r="M139" s="1892"/>
      <c r="N139" s="1892"/>
      <c r="O139" s="1892"/>
      <c r="P139" s="1892"/>
    </row>
    <row r="140" spans="7:16" ht="20.100000000000001" customHeight="1" x14ac:dyDescent="0.3">
      <c r="G140" s="1892"/>
      <c r="H140" s="1892"/>
      <c r="I140" s="1892"/>
      <c r="J140" s="1892"/>
      <c r="K140" s="1892"/>
      <c r="L140" s="1892"/>
      <c r="M140" s="1892"/>
      <c r="N140" s="1892"/>
      <c r="O140" s="1892"/>
      <c r="P140" s="1892"/>
    </row>
    <row r="141" spans="7:16" ht="20.100000000000001" customHeight="1" x14ac:dyDescent="0.3">
      <c r="G141" s="1892"/>
      <c r="H141" s="1892"/>
      <c r="I141" s="1892"/>
      <c r="J141" s="1892"/>
      <c r="K141" s="1892"/>
      <c r="L141" s="1892"/>
      <c r="M141" s="1892"/>
      <c r="N141" s="1892"/>
      <c r="O141" s="1892"/>
      <c r="P141" s="1892"/>
    </row>
    <row r="142" spans="7:16" ht="20.100000000000001" customHeight="1" x14ac:dyDescent="0.3">
      <c r="G142" s="1892"/>
      <c r="H142" s="1892"/>
      <c r="I142" s="1892"/>
      <c r="J142" s="1892"/>
      <c r="K142" s="1892"/>
      <c r="L142" s="1892"/>
      <c r="M142" s="1892"/>
      <c r="N142" s="1892"/>
      <c r="O142" s="1892"/>
      <c r="P142" s="1892"/>
    </row>
    <row r="143" spans="7:16" ht="20.100000000000001" customHeight="1" x14ac:dyDescent="0.3">
      <c r="G143" s="1892"/>
      <c r="H143" s="1892"/>
      <c r="I143" s="1892"/>
      <c r="J143" s="1892"/>
      <c r="K143" s="1892"/>
      <c r="L143" s="1892"/>
      <c r="M143" s="1892"/>
      <c r="N143" s="1892"/>
      <c r="O143" s="1892"/>
      <c r="P143" s="1892"/>
    </row>
    <row r="144" spans="7:16" ht="20.100000000000001" customHeight="1" x14ac:dyDescent="0.3">
      <c r="G144" s="1892"/>
      <c r="H144" s="1892"/>
      <c r="I144" s="1892"/>
      <c r="J144" s="1892"/>
      <c r="K144" s="1892"/>
      <c r="L144" s="1892"/>
      <c r="M144" s="1892"/>
      <c r="N144" s="1892"/>
      <c r="O144" s="1892"/>
      <c r="P144" s="1892"/>
    </row>
    <row r="145" spans="7:16" ht="20.100000000000001" customHeight="1" x14ac:dyDescent="0.3">
      <c r="G145" s="1892"/>
      <c r="H145" s="1892"/>
      <c r="I145" s="1892"/>
      <c r="J145" s="1892"/>
      <c r="K145" s="1892"/>
      <c r="L145" s="1892"/>
      <c r="M145" s="1892"/>
      <c r="N145" s="1892"/>
      <c r="O145" s="1892"/>
      <c r="P145" s="1892"/>
    </row>
    <row r="146" spans="7:16" ht="20.100000000000001" customHeight="1" x14ac:dyDescent="0.3">
      <c r="G146" s="1892"/>
      <c r="H146" s="1892"/>
      <c r="I146" s="1892"/>
      <c r="J146" s="1892"/>
      <c r="K146" s="1892"/>
      <c r="L146" s="1892"/>
      <c r="M146" s="1892"/>
      <c r="N146" s="1892"/>
      <c r="O146" s="1892"/>
      <c r="P146" s="1892"/>
    </row>
    <row r="147" spans="7:16" ht="20.100000000000001" customHeight="1" x14ac:dyDescent="0.3">
      <c r="G147" s="1892"/>
      <c r="H147" s="1892"/>
      <c r="I147" s="1892"/>
      <c r="J147" s="1892"/>
      <c r="K147" s="1892"/>
      <c r="L147" s="1892"/>
      <c r="M147" s="1892"/>
      <c r="N147" s="1892"/>
      <c r="O147" s="1892"/>
      <c r="P147" s="1892"/>
    </row>
    <row r="148" spans="7:16" ht="20.100000000000001" customHeight="1" x14ac:dyDescent="0.3">
      <c r="G148" s="1892"/>
      <c r="H148" s="1892"/>
      <c r="I148" s="1892"/>
      <c r="J148" s="1892"/>
      <c r="K148" s="1892"/>
      <c r="L148" s="1892"/>
      <c r="M148" s="1892"/>
      <c r="N148" s="1892"/>
      <c r="O148" s="1892"/>
      <c r="P148" s="1892"/>
    </row>
    <row r="149" spans="7:16" ht="20.100000000000001" customHeight="1" x14ac:dyDescent="0.3">
      <c r="G149" s="1892"/>
      <c r="H149" s="1892"/>
      <c r="I149" s="1892"/>
      <c r="J149" s="1892"/>
      <c r="K149" s="1892"/>
      <c r="L149" s="1892"/>
      <c r="M149" s="1892"/>
      <c r="N149" s="1892"/>
      <c r="O149" s="1892"/>
      <c r="P149" s="1892"/>
    </row>
    <row r="150" spans="7:16" ht="20.100000000000001" customHeight="1" x14ac:dyDescent="0.3">
      <c r="G150" s="1892"/>
      <c r="H150" s="1892"/>
      <c r="I150" s="1892"/>
      <c r="J150" s="1892"/>
      <c r="K150" s="1892"/>
      <c r="L150" s="1892"/>
      <c r="M150" s="1892"/>
      <c r="N150" s="1892"/>
      <c r="O150" s="1892"/>
      <c r="P150" s="1892"/>
    </row>
    <row r="151" spans="7:16" ht="20.100000000000001" customHeight="1" x14ac:dyDescent="0.3">
      <c r="G151" s="1892"/>
      <c r="H151" s="1892"/>
      <c r="I151" s="1892"/>
      <c r="J151" s="1892"/>
      <c r="K151" s="1892"/>
      <c r="L151" s="1892"/>
      <c r="M151" s="1892"/>
      <c r="N151" s="1892"/>
      <c r="O151" s="1892"/>
      <c r="P151" s="1892"/>
    </row>
    <row r="152" spans="7:16" ht="20.100000000000001" customHeight="1" x14ac:dyDescent="0.3">
      <c r="G152" s="1892"/>
      <c r="H152" s="1892"/>
      <c r="I152" s="1892"/>
      <c r="J152" s="1892"/>
      <c r="K152" s="1892"/>
      <c r="L152" s="1892"/>
      <c r="M152" s="1892"/>
      <c r="N152" s="1892"/>
      <c r="O152" s="1892"/>
      <c r="P152" s="1892"/>
    </row>
    <row r="153" spans="7:16" ht="20.100000000000001" customHeight="1" x14ac:dyDescent="0.3">
      <c r="G153" s="1892"/>
      <c r="H153" s="1892"/>
      <c r="I153" s="1892"/>
      <c r="J153" s="1892"/>
      <c r="K153" s="1892"/>
      <c r="L153" s="1892"/>
      <c r="M153" s="1892"/>
      <c r="N153" s="1892"/>
      <c r="O153" s="1892"/>
      <c r="P153" s="1892"/>
    </row>
    <row r="154" spans="7:16" ht="20.100000000000001" customHeight="1" x14ac:dyDescent="0.3">
      <c r="G154" s="1892"/>
      <c r="H154" s="1892"/>
      <c r="I154" s="1892"/>
      <c r="J154" s="1892"/>
      <c r="K154" s="1892"/>
      <c r="L154" s="1892"/>
      <c r="M154" s="1892"/>
      <c r="N154" s="1892"/>
      <c r="O154" s="1892"/>
      <c r="P154" s="1892"/>
    </row>
    <row r="155" spans="7:16" ht="20.100000000000001" customHeight="1" x14ac:dyDescent="0.3">
      <c r="G155" s="1892"/>
      <c r="H155" s="1892"/>
      <c r="I155" s="1892"/>
      <c r="J155" s="1892"/>
      <c r="K155" s="1892"/>
      <c r="L155" s="1892"/>
      <c r="M155" s="1892"/>
      <c r="N155" s="1892"/>
      <c r="O155" s="1892"/>
      <c r="P155" s="1892"/>
    </row>
    <row r="156" spans="7:16" ht="20.100000000000001" customHeight="1" x14ac:dyDescent="0.3">
      <c r="G156" s="1892"/>
      <c r="H156" s="1892"/>
      <c r="I156" s="1892"/>
      <c r="J156" s="1892"/>
      <c r="K156" s="1892"/>
      <c r="L156" s="1892"/>
      <c r="M156" s="1892"/>
      <c r="N156" s="1892"/>
      <c r="O156" s="1892"/>
      <c r="P156" s="1892"/>
    </row>
    <row r="157" spans="7:16" ht="20.100000000000001" customHeight="1" x14ac:dyDescent="0.3">
      <c r="G157" s="1892"/>
      <c r="H157" s="1892"/>
      <c r="I157" s="1892"/>
      <c r="J157" s="1892"/>
      <c r="K157" s="1892"/>
      <c r="L157" s="1892"/>
      <c r="M157" s="1892"/>
      <c r="N157" s="1892"/>
      <c r="O157" s="1892"/>
      <c r="P157" s="1892"/>
    </row>
    <row r="158" spans="7:16" ht="20.100000000000001" customHeight="1" x14ac:dyDescent="0.3">
      <c r="G158" s="1892"/>
      <c r="H158" s="1892"/>
      <c r="I158" s="1892"/>
      <c r="J158" s="1892"/>
      <c r="K158" s="1892"/>
      <c r="L158" s="1892"/>
      <c r="M158" s="1892"/>
      <c r="N158" s="1892"/>
      <c r="O158" s="1892"/>
      <c r="P158" s="1892"/>
    </row>
    <row r="159" spans="7:16" ht="20.100000000000001" customHeight="1" x14ac:dyDescent="0.3">
      <c r="G159" s="1892"/>
      <c r="H159" s="1892"/>
      <c r="I159" s="1892"/>
      <c r="J159" s="1892"/>
      <c r="K159" s="1892"/>
      <c r="L159" s="1892"/>
      <c r="M159" s="1892"/>
      <c r="N159" s="1892"/>
      <c r="O159" s="1892"/>
      <c r="P159" s="1892"/>
    </row>
    <row r="160" spans="7:16" ht="20.100000000000001" customHeight="1" x14ac:dyDescent="0.3">
      <c r="G160" s="1892"/>
      <c r="H160" s="1892"/>
      <c r="I160" s="1892"/>
      <c r="J160" s="1892"/>
      <c r="K160" s="1892"/>
      <c r="L160" s="1892"/>
      <c r="M160" s="1892"/>
      <c r="N160" s="1892"/>
      <c r="O160" s="1892"/>
      <c r="P160" s="1892"/>
    </row>
    <row r="161" spans="7:16" ht="20.100000000000001" customHeight="1" x14ac:dyDescent="0.3">
      <c r="G161" s="1892"/>
      <c r="H161" s="1892"/>
      <c r="I161" s="1892"/>
      <c r="J161" s="1892"/>
      <c r="K161" s="1892"/>
      <c r="L161" s="1892"/>
      <c r="M161" s="1892"/>
      <c r="N161" s="1892"/>
      <c r="O161" s="1892"/>
      <c r="P161" s="1892"/>
    </row>
    <row r="162" spans="7:16" ht="20.100000000000001" customHeight="1" x14ac:dyDescent="0.3">
      <c r="G162" s="1892"/>
      <c r="H162" s="1892"/>
      <c r="I162" s="1892"/>
      <c r="J162" s="1892"/>
      <c r="K162" s="1892"/>
      <c r="L162" s="1892"/>
      <c r="M162" s="1892"/>
      <c r="N162" s="1892"/>
      <c r="O162" s="1892"/>
      <c r="P162" s="1892"/>
    </row>
    <row r="163" spans="7:16" ht="20.100000000000001" customHeight="1" x14ac:dyDescent="0.3">
      <c r="G163" s="1892"/>
      <c r="H163" s="1892"/>
      <c r="I163" s="1892"/>
      <c r="J163" s="1892"/>
      <c r="K163" s="1892"/>
      <c r="L163" s="1892"/>
      <c r="M163" s="1892"/>
      <c r="N163" s="1892"/>
      <c r="O163" s="1892"/>
      <c r="P163" s="1892"/>
    </row>
    <row r="164" spans="7:16" ht="20.100000000000001" customHeight="1" x14ac:dyDescent="0.3">
      <c r="G164" s="1892"/>
      <c r="H164" s="1892"/>
      <c r="I164" s="1892"/>
      <c r="J164" s="1892"/>
      <c r="K164" s="1892"/>
      <c r="L164" s="1892"/>
      <c r="M164" s="1892"/>
      <c r="N164" s="1892"/>
      <c r="O164" s="1892"/>
      <c r="P164" s="1892"/>
    </row>
    <row r="165" spans="7:16" ht="20.100000000000001" customHeight="1" x14ac:dyDescent="0.3">
      <c r="G165" s="1892"/>
      <c r="H165" s="1892"/>
      <c r="I165" s="1892"/>
      <c r="J165" s="1892"/>
      <c r="K165" s="1892"/>
      <c r="L165" s="1892"/>
      <c r="M165" s="1892"/>
      <c r="N165" s="1892"/>
      <c r="O165" s="1892"/>
      <c r="P165" s="1892"/>
    </row>
    <row r="166" spans="7:16" ht="20.100000000000001" customHeight="1" x14ac:dyDescent="0.3">
      <c r="G166" s="1892"/>
      <c r="H166" s="1892"/>
      <c r="I166" s="1892"/>
      <c r="J166" s="1892"/>
      <c r="K166" s="1892"/>
      <c r="L166" s="1892"/>
      <c r="M166" s="1892"/>
      <c r="N166" s="1892"/>
      <c r="O166" s="1892"/>
      <c r="P166" s="1892"/>
    </row>
    <row r="167" spans="7:16" ht="20.100000000000001" customHeight="1" x14ac:dyDescent="0.3">
      <c r="G167" s="1892"/>
      <c r="H167" s="1892"/>
      <c r="I167" s="1892"/>
      <c r="J167" s="1892"/>
      <c r="K167" s="1892"/>
      <c r="L167" s="1892"/>
      <c r="M167" s="1892"/>
      <c r="N167" s="1892"/>
      <c r="O167" s="1892"/>
      <c r="P167" s="1892"/>
    </row>
    <row r="168" spans="7:16" ht="20.100000000000001" customHeight="1" x14ac:dyDescent="0.3">
      <c r="G168" s="1892"/>
      <c r="H168" s="1892"/>
      <c r="I168" s="1892"/>
      <c r="J168" s="1892"/>
      <c r="K168" s="1892"/>
      <c r="L168" s="1892"/>
      <c r="M168" s="1892"/>
      <c r="N168" s="1892"/>
      <c r="O168" s="1892"/>
      <c r="P168" s="1892"/>
    </row>
    <row r="169" spans="7:16" ht="20.100000000000001" customHeight="1" x14ac:dyDescent="0.3">
      <c r="G169" s="1892"/>
      <c r="H169" s="1892"/>
      <c r="I169" s="1892"/>
      <c r="J169" s="1892"/>
      <c r="K169" s="1892"/>
      <c r="L169" s="1892"/>
      <c r="M169" s="1892"/>
      <c r="N169" s="1892"/>
      <c r="O169" s="1892"/>
      <c r="P169" s="1892"/>
    </row>
    <row r="170" spans="7:16" ht="20.100000000000001" customHeight="1" x14ac:dyDescent="0.3">
      <c r="G170" s="1892"/>
      <c r="H170" s="1892"/>
      <c r="I170" s="1892"/>
      <c r="J170" s="1892"/>
      <c r="K170" s="1892"/>
      <c r="L170" s="1892"/>
      <c r="M170" s="1892"/>
      <c r="N170" s="1892"/>
      <c r="O170" s="1892"/>
      <c r="P170" s="1892"/>
    </row>
    <row r="171" spans="7:16" ht="20.100000000000001" customHeight="1" x14ac:dyDescent="0.3">
      <c r="G171" s="1892"/>
      <c r="H171" s="1892"/>
      <c r="I171" s="1892"/>
      <c r="J171" s="1892"/>
      <c r="K171" s="1892"/>
      <c r="L171" s="1892"/>
      <c r="M171" s="1892"/>
      <c r="N171" s="1892"/>
      <c r="O171" s="1892"/>
      <c r="P171" s="1892"/>
    </row>
    <row r="172" spans="7:16" ht="20.100000000000001" customHeight="1" x14ac:dyDescent="0.3">
      <c r="G172" s="1892"/>
      <c r="H172" s="1892"/>
      <c r="I172" s="1892"/>
      <c r="J172" s="1892"/>
      <c r="K172" s="1892"/>
      <c r="L172" s="1892"/>
      <c r="M172" s="1892"/>
      <c r="N172" s="1892"/>
      <c r="O172" s="1892"/>
      <c r="P172" s="1892"/>
    </row>
    <row r="173" spans="7:16" ht="20.100000000000001" customHeight="1" x14ac:dyDescent="0.3">
      <c r="G173" s="1892"/>
      <c r="H173" s="1892"/>
      <c r="I173" s="1892"/>
      <c r="J173" s="1892"/>
      <c r="K173" s="1892"/>
      <c r="L173" s="1892"/>
      <c r="M173" s="1892"/>
      <c r="N173" s="1892"/>
      <c r="O173" s="1892"/>
      <c r="P173" s="1892"/>
    </row>
    <row r="174" spans="7:16" ht="20.100000000000001" customHeight="1" x14ac:dyDescent="0.3">
      <c r="G174" s="1892"/>
      <c r="H174" s="1892"/>
      <c r="I174" s="1892"/>
      <c r="J174" s="1892"/>
      <c r="K174" s="1892"/>
      <c r="L174" s="1892"/>
      <c r="M174" s="1892"/>
      <c r="N174" s="1892"/>
      <c r="O174" s="1892"/>
      <c r="P174" s="1892"/>
    </row>
    <row r="175" spans="7:16" ht="20.100000000000001" customHeight="1" x14ac:dyDescent="0.3">
      <c r="G175" s="1892"/>
      <c r="H175" s="1892"/>
      <c r="I175" s="1892"/>
      <c r="J175" s="1892"/>
      <c r="K175" s="1892"/>
      <c r="L175" s="1892"/>
      <c r="M175" s="1892"/>
      <c r="N175" s="1892"/>
      <c r="O175" s="1892"/>
      <c r="P175" s="1892"/>
    </row>
    <row r="176" spans="7:16" ht="20.100000000000001" customHeight="1" x14ac:dyDescent="0.3">
      <c r="G176" s="1892"/>
      <c r="H176" s="1892"/>
      <c r="I176" s="1892"/>
      <c r="J176" s="1892"/>
      <c r="K176" s="1892"/>
      <c r="L176" s="1892"/>
      <c r="M176" s="1892"/>
      <c r="N176" s="1892"/>
      <c r="O176" s="1892"/>
      <c r="P176" s="1892"/>
    </row>
    <row r="177" spans="7:16" ht="20.100000000000001" customHeight="1" x14ac:dyDescent="0.3">
      <c r="G177" s="1892"/>
      <c r="H177" s="1892"/>
      <c r="I177" s="1892"/>
      <c r="J177" s="1892"/>
      <c r="K177" s="1892"/>
      <c r="L177" s="1892"/>
      <c r="M177" s="1892"/>
      <c r="N177" s="1892"/>
      <c r="O177" s="1892"/>
      <c r="P177" s="1892"/>
    </row>
    <row r="178" spans="7:16" ht="20.100000000000001" customHeight="1" x14ac:dyDescent="0.3">
      <c r="G178" s="1892"/>
      <c r="H178" s="1892"/>
      <c r="I178" s="1892"/>
      <c r="J178" s="1892"/>
      <c r="K178" s="1892"/>
      <c r="L178" s="1892"/>
      <c r="M178" s="1892"/>
      <c r="N178" s="1892"/>
      <c r="O178" s="1892"/>
      <c r="P178" s="1892"/>
    </row>
    <row r="179" spans="7:16" ht="20.100000000000001" customHeight="1" x14ac:dyDescent="0.3">
      <c r="G179" s="1892"/>
      <c r="H179" s="1892"/>
      <c r="I179" s="1892"/>
      <c r="J179" s="1892"/>
      <c r="K179" s="1892"/>
      <c r="L179" s="1892"/>
      <c r="M179" s="1892"/>
      <c r="N179" s="1892"/>
      <c r="O179" s="1892"/>
      <c r="P179" s="1892"/>
    </row>
    <row r="180" spans="7:16" ht="20.100000000000001" customHeight="1" x14ac:dyDescent="0.3">
      <c r="G180" s="1892"/>
      <c r="H180" s="1892"/>
      <c r="I180" s="1892"/>
      <c r="J180" s="1892"/>
      <c r="K180" s="1892"/>
      <c r="L180" s="1892"/>
      <c r="M180" s="1892"/>
      <c r="N180" s="1892"/>
      <c r="O180" s="1892"/>
      <c r="P180" s="1892"/>
    </row>
    <row r="181" spans="7:16" ht="20.100000000000001" customHeight="1" x14ac:dyDescent="0.3">
      <c r="G181" s="1892"/>
      <c r="H181" s="1892"/>
      <c r="I181" s="1892"/>
      <c r="J181" s="1892"/>
      <c r="K181" s="1892"/>
      <c r="L181" s="1892"/>
      <c r="M181" s="1892"/>
      <c r="N181" s="1892"/>
      <c r="O181" s="1892"/>
      <c r="P181" s="1892"/>
    </row>
    <row r="182" spans="7:16" ht="20.100000000000001" customHeight="1" x14ac:dyDescent="0.3">
      <c r="G182" s="1892"/>
      <c r="H182" s="1892"/>
      <c r="I182" s="1892"/>
      <c r="J182" s="1892"/>
      <c r="K182" s="1892"/>
      <c r="L182" s="1892"/>
      <c r="M182" s="1892"/>
      <c r="N182" s="1892"/>
      <c r="O182" s="1892"/>
      <c r="P182" s="1892"/>
    </row>
    <row r="183" spans="7:16" ht="20.100000000000001" customHeight="1" x14ac:dyDescent="0.3">
      <c r="G183" s="1892"/>
      <c r="H183" s="1892"/>
      <c r="I183" s="1892"/>
      <c r="J183" s="1892"/>
      <c r="K183" s="1892"/>
      <c r="L183" s="1892"/>
      <c r="M183" s="1892"/>
      <c r="N183" s="1892"/>
      <c r="O183" s="1892"/>
      <c r="P183" s="1892"/>
    </row>
    <row r="184" spans="7:16" ht="20.100000000000001" customHeight="1" x14ac:dyDescent="0.3">
      <c r="G184" s="1892"/>
      <c r="H184" s="1892"/>
      <c r="I184" s="1892"/>
      <c r="J184" s="1892"/>
      <c r="K184" s="1892"/>
      <c r="L184" s="1892"/>
      <c r="M184" s="1892"/>
      <c r="N184" s="1892"/>
      <c r="O184" s="1892"/>
      <c r="P184" s="1892"/>
    </row>
    <row r="185" spans="7:16" ht="20.100000000000001" customHeight="1" x14ac:dyDescent="0.3">
      <c r="G185" s="1892"/>
      <c r="H185" s="1892"/>
      <c r="I185" s="1892"/>
      <c r="J185" s="1892"/>
      <c r="K185" s="1892"/>
      <c r="L185" s="1892"/>
      <c r="M185" s="1892"/>
      <c r="N185" s="1892"/>
      <c r="O185" s="1892"/>
      <c r="P185" s="1892"/>
    </row>
    <row r="186" spans="7:16" ht="20.100000000000001" customHeight="1" x14ac:dyDescent="0.3">
      <c r="G186" s="1892"/>
      <c r="H186" s="1892"/>
      <c r="I186" s="1892"/>
      <c r="J186" s="1892"/>
      <c r="K186" s="1892"/>
      <c r="L186" s="1892"/>
      <c r="M186" s="1892"/>
      <c r="N186" s="1892"/>
      <c r="O186" s="1892"/>
      <c r="P186" s="1892"/>
    </row>
    <row r="187" spans="7:16" ht="20.100000000000001" customHeight="1" x14ac:dyDescent="0.3">
      <c r="G187" s="1892"/>
      <c r="H187" s="1892"/>
      <c r="I187" s="1892"/>
      <c r="J187" s="1892"/>
      <c r="K187" s="1892"/>
      <c r="L187" s="1892"/>
      <c r="M187" s="1892"/>
      <c r="N187" s="1892"/>
      <c r="O187" s="1892"/>
      <c r="P187" s="1892"/>
    </row>
    <row r="188" spans="7:16" ht="20.100000000000001" customHeight="1" x14ac:dyDescent="0.3">
      <c r="G188" s="1892"/>
      <c r="H188" s="1892"/>
      <c r="I188" s="1892"/>
      <c r="J188" s="1892"/>
      <c r="K188" s="1892"/>
      <c r="L188" s="1892"/>
      <c r="M188" s="1892"/>
      <c r="N188" s="1892"/>
      <c r="O188" s="1892"/>
      <c r="P188" s="1892"/>
    </row>
    <row r="189" spans="7:16" ht="20.100000000000001" customHeight="1" x14ac:dyDescent="0.3">
      <c r="G189" s="1892"/>
      <c r="H189" s="1892"/>
      <c r="I189" s="1892"/>
      <c r="J189" s="1892"/>
      <c r="K189" s="1892"/>
      <c r="L189" s="1892"/>
      <c r="M189" s="1892"/>
      <c r="N189" s="1892"/>
      <c r="O189" s="1892"/>
      <c r="P189" s="1892"/>
    </row>
    <row r="190" spans="7:16" ht="20.100000000000001" customHeight="1" x14ac:dyDescent="0.3">
      <c r="G190" s="1892"/>
      <c r="H190" s="1892"/>
      <c r="I190" s="1892"/>
      <c r="J190" s="1892"/>
      <c r="K190" s="1892"/>
      <c r="L190" s="1892"/>
      <c r="M190" s="1892"/>
      <c r="N190" s="1892"/>
      <c r="O190" s="1892"/>
      <c r="P190" s="1892"/>
    </row>
    <row r="191" spans="7:16" ht="20.100000000000001" customHeight="1" x14ac:dyDescent="0.3">
      <c r="G191" s="1892"/>
      <c r="H191" s="1892"/>
      <c r="I191" s="1892"/>
      <c r="J191" s="1892"/>
      <c r="K191" s="1892"/>
      <c r="L191" s="1892"/>
      <c r="M191" s="1892"/>
      <c r="N191" s="1892"/>
      <c r="O191" s="1892"/>
      <c r="P191" s="1892"/>
    </row>
    <row r="192" spans="7:16" ht="20.100000000000001" customHeight="1" x14ac:dyDescent="0.3">
      <c r="G192" s="1892"/>
      <c r="H192" s="1892"/>
      <c r="I192" s="1892"/>
      <c r="J192" s="1892"/>
      <c r="K192" s="1892"/>
      <c r="L192" s="1892"/>
      <c r="M192" s="1892"/>
      <c r="N192" s="1892"/>
      <c r="O192" s="1892"/>
      <c r="P192" s="1892"/>
    </row>
    <row r="193" spans="7:16" ht="20.100000000000001" customHeight="1" x14ac:dyDescent="0.3">
      <c r="G193" s="1892"/>
      <c r="H193" s="1892"/>
      <c r="I193" s="1892"/>
      <c r="J193" s="1892"/>
      <c r="K193" s="1892"/>
      <c r="L193" s="1892"/>
      <c r="M193" s="1892"/>
      <c r="N193" s="1892"/>
      <c r="O193" s="1892"/>
      <c r="P193" s="1892"/>
    </row>
    <row r="194" spans="7:16" ht="20.100000000000001" customHeight="1" x14ac:dyDescent="0.3">
      <c r="G194" s="1892"/>
      <c r="H194" s="1892"/>
      <c r="I194" s="1892"/>
      <c r="J194" s="1892"/>
      <c r="K194" s="1892"/>
      <c r="L194" s="1892"/>
      <c r="M194" s="1892"/>
      <c r="N194" s="1892"/>
      <c r="O194" s="1892"/>
      <c r="P194" s="1892"/>
    </row>
    <row r="195" spans="7:16" ht="20.100000000000001" customHeight="1" x14ac:dyDescent="0.3">
      <c r="G195" s="1892"/>
      <c r="H195" s="1892"/>
      <c r="I195" s="1892"/>
      <c r="J195" s="1892"/>
      <c r="K195" s="1892"/>
      <c r="L195" s="1892"/>
      <c r="M195" s="1892"/>
      <c r="N195" s="1892"/>
      <c r="O195" s="1892"/>
      <c r="P195" s="1892"/>
    </row>
    <row r="196" spans="7:16" ht="20.100000000000001" customHeight="1" x14ac:dyDescent="0.3">
      <c r="G196" s="1892"/>
      <c r="H196" s="1892"/>
      <c r="I196" s="1892"/>
      <c r="J196" s="1892"/>
      <c r="K196" s="1892"/>
      <c r="L196" s="1892"/>
      <c r="M196" s="1892"/>
      <c r="N196" s="1892"/>
      <c r="O196" s="1892"/>
      <c r="P196" s="1892"/>
    </row>
    <row r="197" spans="7:16" ht="20.100000000000001" customHeight="1" x14ac:dyDescent="0.3">
      <c r="G197" s="1892"/>
      <c r="H197" s="1892"/>
      <c r="I197" s="1892"/>
      <c r="J197" s="1892"/>
      <c r="K197" s="1892"/>
      <c r="L197" s="1892"/>
      <c r="M197" s="1892"/>
      <c r="N197" s="1892"/>
      <c r="O197" s="1892"/>
      <c r="P197" s="1892"/>
    </row>
    <row r="198" spans="7:16" ht="20.100000000000001" customHeight="1" x14ac:dyDescent="0.3">
      <c r="G198" s="1892"/>
      <c r="H198" s="1892"/>
      <c r="I198" s="1892"/>
      <c r="J198" s="1892"/>
      <c r="K198" s="1892"/>
      <c r="L198" s="1892"/>
      <c r="M198" s="1892"/>
      <c r="N198" s="1892"/>
      <c r="O198" s="1892"/>
      <c r="P198" s="1892"/>
    </row>
    <row r="199" spans="7:16" ht="20.100000000000001" customHeight="1" x14ac:dyDescent="0.3">
      <c r="G199" s="1892"/>
      <c r="H199" s="1892"/>
      <c r="I199" s="1892"/>
      <c r="J199" s="1892"/>
      <c r="K199" s="1892"/>
      <c r="L199" s="1892"/>
      <c r="M199" s="1892"/>
      <c r="N199" s="1892"/>
      <c r="O199" s="1892"/>
      <c r="P199" s="1892"/>
    </row>
    <row r="200" spans="7:16" ht="20.100000000000001" customHeight="1" x14ac:dyDescent="0.3">
      <c r="G200" s="1892"/>
      <c r="H200" s="1892"/>
      <c r="I200" s="1892"/>
      <c r="J200" s="1892"/>
      <c r="K200" s="1892"/>
      <c r="L200" s="1892"/>
      <c r="M200" s="1892"/>
      <c r="N200" s="1892"/>
      <c r="O200" s="1892"/>
      <c r="P200" s="1892"/>
    </row>
    <row r="201" spans="7:16" ht="20.100000000000001" customHeight="1" x14ac:dyDescent="0.3">
      <c r="G201" s="1892"/>
      <c r="H201" s="1892"/>
      <c r="I201" s="1892"/>
      <c r="J201" s="1892"/>
      <c r="K201" s="1892"/>
      <c r="L201" s="1892"/>
      <c r="M201" s="1892"/>
      <c r="N201" s="1892"/>
      <c r="O201" s="1892"/>
      <c r="P201" s="1892"/>
    </row>
    <row r="202" spans="7:16" ht="20.100000000000001" customHeight="1" x14ac:dyDescent="0.3">
      <c r="G202" s="1892"/>
      <c r="H202" s="1892"/>
      <c r="I202" s="1892"/>
      <c r="J202" s="1892"/>
      <c r="K202" s="1892"/>
      <c r="L202" s="1892"/>
      <c r="M202" s="1892"/>
      <c r="N202" s="1892"/>
      <c r="O202" s="1892"/>
      <c r="P202" s="1892"/>
    </row>
    <row r="203" spans="7:16" ht="20.100000000000001" customHeight="1" x14ac:dyDescent="0.3">
      <c r="G203" s="1892"/>
      <c r="H203" s="1892"/>
      <c r="I203" s="1892"/>
      <c r="J203" s="1892"/>
      <c r="K203" s="1892"/>
      <c r="L203" s="1892"/>
      <c r="M203" s="1892"/>
      <c r="N203" s="1892"/>
      <c r="O203" s="1892"/>
      <c r="P203" s="1892"/>
    </row>
    <row r="204" spans="7:16" ht="20.100000000000001" customHeight="1" x14ac:dyDescent="0.3">
      <c r="G204" s="1892"/>
      <c r="H204" s="1892"/>
      <c r="I204" s="1892"/>
      <c r="J204" s="1892"/>
      <c r="K204" s="1892"/>
      <c r="L204" s="1892"/>
      <c r="M204" s="1892"/>
      <c r="N204" s="1892"/>
      <c r="O204" s="1892"/>
      <c r="P204" s="1892"/>
    </row>
    <row r="205" spans="7:16" ht="20.100000000000001" customHeight="1" x14ac:dyDescent="0.3">
      <c r="G205" s="1892"/>
      <c r="H205" s="1892"/>
      <c r="I205" s="1892"/>
      <c r="J205" s="1892"/>
      <c r="K205" s="1892"/>
      <c r="L205" s="1892"/>
      <c r="M205" s="1892"/>
      <c r="N205" s="1892"/>
      <c r="O205" s="1892"/>
      <c r="P205" s="1892"/>
    </row>
    <row r="206" spans="7:16" ht="20.100000000000001" customHeight="1" x14ac:dyDescent="0.3">
      <c r="G206" s="1892"/>
      <c r="H206" s="1892"/>
      <c r="I206" s="1892"/>
      <c r="J206" s="1892"/>
      <c r="K206" s="1892"/>
      <c r="L206" s="1892"/>
      <c r="M206" s="1892"/>
      <c r="N206" s="1892"/>
      <c r="O206" s="1892"/>
      <c r="P206" s="1892"/>
    </row>
    <row r="207" spans="7:16" ht="20.100000000000001" customHeight="1" x14ac:dyDescent="0.3">
      <c r="G207" s="1892"/>
      <c r="H207" s="1892"/>
      <c r="I207" s="1892"/>
      <c r="J207" s="1892"/>
      <c r="K207" s="1892"/>
      <c r="L207" s="1892"/>
      <c r="M207" s="1892"/>
      <c r="N207" s="1892"/>
      <c r="O207" s="1892"/>
      <c r="P207" s="1892"/>
    </row>
    <row r="208" spans="7:16" ht="20.100000000000001" customHeight="1" x14ac:dyDescent="0.3">
      <c r="G208" s="1892"/>
      <c r="H208" s="1892"/>
      <c r="I208" s="1892"/>
      <c r="J208" s="1892"/>
      <c r="K208" s="1892"/>
      <c r="L208" s="1892"/>
      <c r="M208" s="1892"/>
      <c r="N208" s="1892"/>
      <c r="O208" s="1892"/>
      <c r="P208" s="1892"/>
    </row>
    <row r="209" spans="7:16" ht="20.100000000000001" customHeight="1" x14ac:dyDescent="0.3">
      <c r="G209" s="1892"/>
      <c r="H209" s="1892"/>
      <c r="I209" s="1892"/>
      <c r="J209" s="1892"/>
      <c r="K209" s="1892"/>
      <c r="L209" s="1892"/>
      <c r="M209" s="1892"/>
      <c r="N209" s="1892"/>
      <c r="O209" s="1892"/>
      <c r="P209" s="1892"/>
    </row>
    <row r="210" spans="7:16" ht="20.100000000000001" customHeight="1" x14ac:dyDescent="0.3">
      <c r="G210" s="1892"/>
      <c r="H210" s="1892"/>
      <c r="I210" s="1892"/>
      <c r="J210" s="1892"/>
      <c r="K210" s="1892"/>
      <c r="L210" s="1892"/>
      <c r="M210" s="1892"/>
      <c r="N210" s="1892"/>
      <c r="O210" s="1892"/>
      <c r="P210" s="1892"/>
    </row>
    <row r="211" spans="7:16" ht="20.100000000000001" customHeight="1" x14ac:dyDescent="0.3">
      <c r="G211" s="1892"/>
      <c r="H211" s="1892"/>
      <c r="I211" s="1892"/>
      <c r="J211" s="1892"/>
      <c r="K211" s="1892"/>
      <c r="L211" s="1892"/>
      <c r="M211" s="1892"/>
      <c r="N211" s="1892"/>
      <c r="O211" s="1892"/>
      <c r="P211" s="1892"/>
    </row>
    <row r="212" spans="7:16" ht="20.100000000000001" customHeight="1" x14ac:dyDescent="0.3">
      <c r="G212" s="1892"/>
      <c r="H212" s="1892"/>
      <c r="I212" s="1892"/>
      <c r="J212" s="1892"/>
      <c r="K212" s="1892"/>
      <c r="L212" s="1892"/>
      <c r="M212" s="1892"/>
      <c r="N212" s="1892"/>
      <c r="O212" s="1892"/>
      <c r="P212" s="1892"/>
    </row>
    <row r="213" spans="7:16" ht="20.100000000000001" customHeight="1" x14ac:dyDescent="0.3">
      <c r="G213" s="1892"/>
      <c r="H213" s="1892"/>
      <c r="I213" s="1892"/>
      <c r="J213" s="1892"/>
      <c r="K213" s="1892"/>
      <c r="L213" s="1892"/>
      <c r="M213" s="1892"/>
      <c r="N213" s="1892"/>
      <c r="O213" s="1892"/>
      <c r="P213" s="1892"/>
    </row>
    <row r="214" spans="7:16" ht="20.100000000000001" customHeight="1" x14ac:dyDescent="0.3">
      <c r="G214" s="1892"/>
      <c r="H214" s="1892"/>
      <c r="I214" s="1892"/>
      <c r="J214" s="1892"/>
      <c r="K214" s="1892"/>
      <c r="L214" s="1892"/>
      <c r="M214" s="1892"/>
      <c r="N214" s="1892"/>
      <c r="O214" s="1892"/>
      <c r="P214" s="1892"/>
    </row>
    <row r="215" spans="7:16" ht="20.100000000000001" customHeight="1" x14ac:dyDescent="0.3">
      <c r="G215" s="1892"/>
      <c r="H215" s="1892"/>
      <c r="I215" s="1892"/>
      <c r="J215" s="1892"/>
      <c r="K215" s="1892"/>
      <c r="L215" s="1892"/>
      <c r="M215" s="1892"/>
      <c r="N215" s="1892"/>
      <c r="O215" s="1892"/>
      <c r="P215" s="1892"/>
    </row>
  </sheetData>
  <mergeCells count="6">
    <mergeCell ref="M3:N3"/>
    <mergeCell ref="C3:D3"/>
    <mergeCell ref="E3:F3"/>
    <mergeCell ref="G3:H3"/>
    <mergeCell ref="I3:J3"/>
    <mergeCell ref="K3:L3"/>
  </mergeCells>
  <pageMargins left="0.45" right="0.45" top="0.75" bottom="0.75" header="0.3" footer="0.3"/>
  <pageSetup paperSize="9" scale="53" fitToHeight="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EL27"/>
  <sheetViews>
    <sheetView zoomScaleNormal="100" zoomScaleSheetLayoutView="100" workbookViewId="0">
      <selection activeCell="A38" sqref="A38"/>
    </sheetView>
  </sheetViews>
  <sheetFormatPr defaultColWidth="9.140625" defaultRowHeight="20.100000000000001" customHeight="1" x14ac:dyDescent="0.25"/>
  <cols>
    <col min="1" max="1" width="5.140625" style="1786" customWidth="1"/>
    <col min="2" max="2" width="54.42578125" style="1786" bestFit="1" customWidth="1"/>
    <col min="3" max="16" width="15.7109375" style="1786" customWidth="1"/>
    <col min="17" max="17" width="15.42578125" style="1786" customWidth="1"/>
    <col min="18" max="18" width="14.42578125" style="1786" customWidth="1"/>
    <col min="19" max="16384" width="9.140625" style="1786"/>
  </cols>
  <sheetData>
    <row r="1" spans="1:142" ht="17.25" x14ac:dyDescent="0.25">
      <c r="A1" s="1725" t="s">
        <v>1172</v>
      </c>
      <c r="B1" s="1726"/>
      <c r="C1" s="1726"/>
      <c r="D1" s="1726"/>
      <c r="E1" s="1726"/>
      <c r="F1" s="1726"/>
      <c r="G1" s="1726"/>
      <c r="H1" s="1726"/>
      <c r="I1" s="1726"/>
      <c r="J1" s="1726"/>
      <c r="K1" s="1726"/>
      <c r="L1" s="1726"/>
      <c r="M1" s="1726"/>
      <c r="N1" s="1726"/>
      <c r="O1" s="1727"/>
    </row>
    <row r="2" spans="1:142" ht="18" thickBot="1" x14ac:dyDescent="0.3">
      <c r="A2" s="1726"/>
      <c r="B2" s="1726"/>
      <c r="C2" s="1914"/>
      <c r="D2" s="1914"/>
      <c r="E2" s="1914"/>
      <c r="F2" s="1915"/>
      <c r="G2" s="1915"/>
      <c r="H2" s="1915"/>
    </row>
    <row r="3" spans="1:142" ht="18.75" thickTop="1" thickBot="1" x14ac:dyDescent="0.3">
      <c r="A3" s="3341"/>
      <c r="B3" s="3352"/>
      <c r="C3" s="3353" t="s">
        <v>1173</v>
      </c>
      <c r="D3" s="3354"/>
      <c r="E3" s="3354"/>
      <c r="F3" s="3354"/>
      <c r="G3" s="1789" t="s">
        <v>176</v>
      </c>
      <c r="H3" s="1789" t="s">
        <v>176</v>
      </c>
    </row>
    <row r="4" spans="1:142" ht="18" thickBot="1" x14ac:dyDescent="0.3">
      <c r="A4" s="1790"/>
      <c r="B4" s="1916"/>
      <c r="C4" s="1917">
        <v>45170</v>
      </c>
      <c r="D4" s="1737">
        <v>45177</v>
      </c>
      <c r="E4" s="1737">
        <v>45191</v>
      </c>
      <c r="F4" s="1737">
        <v>45198</v>
      </c>
      <c r="G4" s="1918">
        <v>45139</v>
      </c>
      <c r="H4" s="1918">
        <v>45170</v>
      </c>
      <c r="I4" s="1727"/>
      <c r="J4" s="1727"/>
      <c r="K4" s="1794"/>
      <c r="M4" s="1727"/>
      <c r="N4" s="1727"/>
      <c r="O4" s="1727"/>
      <c r="P4" s="1727"/>
      <c r="Q4" s="1727"/>
    </row>
    <row r="5" spans="1:142" ht="17.25" x14ac:dyDescent="0.25">
      <c r="A5" s="1919">
        <v>1</v>
      </c>
      <c r="B5" s="1920" t="s">
        <v>1174</v>
      </c>
      <c r="C5" s="1921">
        <v>5000</v>
      </c>
      <c r="D5" s="1921">
        <v>2000</v>
      </c>
      <c r="E5" s="1921">
        <v>2000</v>
      </c>
      <c r="F5" s="1921">
        <v>2000</v>
      </c>
      <c r="G5" s="1922">
        <v>20000</v>
      </c>
      <c r="H5" s="1922">
        <f>SUM(C5:F5)</f>
        <v>11000</v>
      </c>
      <c r="K5" s="1803"/>
    </row>
    <row r="6" spans="1:142" ht="17.25" x14ac:dyDescent="0.25">
      <c r="A6" s="1744">
        <v>2</v>
      </c>
      <c r="B6" s="1923" t="s">
        <v>1175</v>
      </c>
      <c r="C6" s="1924">
        <v>33870</v>
      </c>
      <c r="D6" s="1924">
        <v>18340</v>
      </c>
      <c r="E6" s="1925">
        <v>18460</v>
      </c>
      <c r="F6" s="1925">
        <v>17680</v>
      </c>
      <c r="G6" s="1926">
        <v>133720</v>
      </c>
      <c r="H6" s="1926">
        <f>SUM(C6:F6)</f>
        <v>88350</v>
      </c>
      <c r="K6" s="1803"/>
    </row>
    <row r="7" spans="1:142" ht="17.25" x14ac:dyDescent="0.25">
      <c r="A7" s="1744">
        <v>3</v>
      </c>
      <c r="B7" s="1923" t="s">
        <v>1176</v>
      </c>
      <c r="C7" s="1927">
        <v>5000</v>
      </c>
      <c r="D7" s="1925">
        <v>2000</v>
      </c>
      <c r="E7" s="1924">
        <v>2000</v>
      </c>
      <c r="F7" s="1924">
        <v>2000</v>
      </c>
      <c r="G7" s="1926">
        <v>20000</v>
      </c>
      <c r="H7" s="1926">
        <f>SUM(C7:F7)</f>
        <v>11000</v>
      </c>
      <c r="K7" s="1803"/>
    </row>
    <row r="8" spans="1:142" ht="17.25" x14ac:dyDescent="0.25">
      <c r="A8" s="1744">
        <v>4</v>
      </c>
      <c r="B8" s="1928" t="s">
        <v>1177</v>
      </c>
      <c r="C8" s="1929">
        <v>4.5</v>
      </c>
      <c r="D8" s="1929">
        <v>4.5</v>
      </c>
      <c r="E8" s="1929">
        <v>4.5</v>
      </c>
      <c r="F8" s="1929">
        <v>4.5</v>
      </c>
      <c r="G8" s="1802"/>
      <c r="H8" s="1802"/>
      <c r="K8" s="1803"/>
    </row>
    <row r="9" spans="1:142" ht="17.25" x14ac:dyDescent="0.25">
      <c r="A9" s="1744">
        <v>5</v>
      </c>
      <c r="B9" s="1928" t="s">
        <v>1178</v>
      </c>
      <c r="C9" s="1930">
        <v>99.914000000000001</v>
      </c>
      <c r="D9" s="1931">
        <v>99.914000000000001</v>
      </c>
      <c r="E9" s="1931">
        <v>99.914000000000001</v>
      </c>
      <c r="F9" s="1931">
        <v>99.914000000000001</v>
      </c>
      <c r="G9" s="1802"/>
      <c r="H9" s="1802"/>
      <c r="K9" s="1803"/>
    </row>
    <row r="10" spans="1:142" ht="18" thickBot="1" x14ac:dyDescent="0.3">
      <c r="A10" s="1806"/>
      <c r="B10" s="1932"/>
      <c r="C10" s="1808"/>
      <c r="D10" s="1808"/>
      <c r="E10" s="1808"/>
      <c r="F10" s="1808"/>
      <c r="G10" s="1809"/>
      <c r="H10" s="1809"/>
      <c r="K10" s="1799"/>
    </row>
    <row r="11" spans="1:142" s="1540" customFormat="1" ht="15" customHeight="1" thickTop="1" x14ac:dyDescent="0.25">
      <c r="A11" s="1540" t="s">
        <v>173</v>
      </c>
      <c r="EJ11" s="1677"/>
      <c r="EK11" s="1677"/>
      <c r="EL11" s="1677"/>
    </row>
    <row r="12" spans="1:142" s="1540" customFormat="1" ht="15" customHeight="1" x14ac:dyDescent="0.25">
      <c r="A12" s="1540" t="s">
        <v>1179</v>
      </c>
      <c r="EJ12" s="1677"/>
      <c r="EK12" s="1677"/>
      <c r="EL12" s="1677"/>
    </row>
    <row r="13" spans="1:142" s="1540" customFormat="1" ht="15" customHeight="1" x14ac:dyDescent="0.25">
      <c r="EI13" s="1677"/>
      <c r="EJ13" s="1677"/>
      <c r="EK13" s="1677"/>
    </row>
    <row r="14" spans="1:142" s="1896" customFormat="1" ht="17.25" x14ac:dyDescent="0.25">
      <c r="A14" s="1894" t="s">
        <v>1180</v>
      </c>
      <c r="B14" s="1895"/>
    </row>
    <row r="15" spans="1:142" s="1896" customFormat="1" ht="18" thickBot="1" x14ac:dyDescent="0.3">
      <c r="A15" s="1895"/>
      <c r="B15" s="1933"/>
      <c r="C15" s="1934"/>
      <c r="D15" s="1934"/>
      <c r="E15" s="1934"/>
      <c r="F15" s="1934"/>
      <c r="G15" s="1934"/>
      <c r="H15" s="1934"/>
      <c r="I15" s="1934"/>
      <c r="J15" s="1934"/>
      <c r="K15" s="1934"/>
      <c r="L15" s="1934"/>
      <c r="M15" s="1934"/>
    </row>
    <row r="16" spans="1:142" s="1830" customFormat="1" ht="18.75" thickTop="1" thickBot="1" x14ac:dyDescent="0.3">
      <c r="A16" s="3355"/>
      <c r="B16" s="3356"/>
      <c r="C16" s="3359" t="s">
        <v>1181</v>
      </c>
      <c r="D16" s="3360"/>
      <c r="E16" s="3360"/>
      <c r="F16" s="3360"/>
      <c r="G16" s="3361"/>
    </row>
    <row r="17" spans="1:142" s="1830" customFormat="1" ht="18" thickBot="1" x14ac:dyDescent="0.3">
      <c r="A17" s="3357"/>
      <c r="B17" s="3358"/>
      <c r="C17" s="1935">
        <v>45170</v>
      </c>
      <c r="D17" s="1917">
        <v>45177</v>
      </c>
      <c r="E17" s="1917">
        <v>45184</v>
      </c>
      <c r="F17" s="1917">
        <v>45191</v>
      </c>
      <c r="G17" s="1917">
        <v>45198</v>
      </c>
    </row>
    <row r="18" spans="1:142" s="1830" customFormat="1" ht="17.25" x14ac:dyDescent="0.25">
      <c r="A18" s="1936">
        <v>1</v>
      </c>
      <c r="B18" s="1937" t="s">
        <v>1174</v>
      </c>
      <c r="C18" s="1938">
        <v>4000</v>
      </c>
      <c r="D18" s="1880">
        <v>4000</v>
      </c>
      <c r="E18" s="1880">
        <v>4000</v>
      </c>
      <c r="F18" s="1880">
        <v>4000</v>
      </c>
      <c r="G18" s="1880">
        <v>4000</v>
      </c>
    </row>
    <row r="19" spans="1:142" s="1830" customFormat="1" ht="17.25" x14ac:dyDescent="0.25">
      <c r="A19" s="1878">
        <v>2</v>
      </c>
      <c r="B19" s="1748" t="s">
        <v>1175</v>
      </c>
      <c r="C19" s="1880">
        <v>6800</v>
      </c>
      <c r="D19" s="1880">
        <v>9100</v>
      </c>
      <c r="E19" s="1880">
        <v>9200</v>
      </c>
      <c r="F19" s="1880">
        <v>8000</v>
      </c>
      <c r="G19" s="1880">
        <v>8750</v>
      </c>
    </row>
    <row r="20" spans="1:142" s="1830" customFormat="1" ht="17.25" x14ac:dyDescent="0.25">
      <c r="A20" s="1878">
        <v>3</v>
      </c>
      <c r="B20" s="1748" t="s">
        <v>1176</v>
      </c>
      <c r="C20" s="1880">
        <v>4000</v>
      </c>
      <c r="D20" s="1880" t="s">
        <v>1014</v>
      </c>
      <c r="E20" s="1880" t="s">
        <v>1014</v>
      </c>
      <c r="F20" s="1880">
        <v>4000</v>
      </c>
      <c r="G20" s="1880">
        <v>2200</v>
      </c>
    </row>
    <row r="21" spans="1:142" s="1830" customFormat="1" ht="17.25" x14ac:dyDescent="0.25">
      <c r="A21" s="1878">
        <v>4</v>
      </c>
      <c r="B21" s="1848" t="s">
        <v>1153</v>
      </c>
      <c r="C21" s="1882">
        <v>3.52</v>
      </c>
      <c r="D21" s="1882" t="s">
        <v>1014</v>
      </c>
      <c r="E21" s="1882" t="s">
        <v>1014</v>
      </c>
      <c r="F21" s="1882">
        <v>3.64</v>
      </c>
      <c r="G21" s="1882">
        <v>3.67</v>
      </c>
    </row>
    <row r="22" spans="1:142" s="1830" customFormat="1" ht="17.25" x14ac:dyDescent="0.25">
      <c r="A22" s="1878">
        <v>5</v>
      </c>
      <c r="B22" s="1848" t="s">
        <v>1182</v>
      </c>
      <c r="C22" s="1882">
        <v>3.55</v>
      </c>
      <c r="D22" s="1939" t="s">
        <v>1014</v>
      </c>
      <c r="E22" s="1939" t="s">
        <v>1014</v>
      </c>
      <c r="F22" s="1939">
        <v>3.7</v>
      </c>
      <c r="G22" s="1939">
        <v>3.72</v>
      </c>
    </row>
    <row r="23" spans="1:142" s="1830" customFormat="1" ht="17.25" x14ac:dyDescent="0.25">
      <c r="A23" s="1878">
        <v>6</v>
      </c>
      <c r="B23" s="1848" t="s">
        <v>1183</v>
      </c>
      <c r="C23" s="1882">
        <v>3.53</v>
      </c>
      <c r="D23" s="1882" t="s">
        <v>1014</v>
      </c>
      <c r="E23" s="1882" t="s">
        <v>1014</v>
      </c>
      <c r="F23" s="1882">
        <v>3.67</v>
      </c>
      <c r="G23" s="1882">
        <v>3.7</v>
      </c>
    </row>
    <row r="24" spans="1:142" s="1830" customFormat="1" ht="17.25" x14ac:dyDescent="0.25">
      <c r="A24" s="1878">
        <v>7</v>
      </c>
      <c r="B24" s="1848" t="s">
        <v>1156</v>
      </c>
      <c r="C24" s="1884">
        <v>99.980999999999995</v>
      </c>
      <c r="D24" s="1884" t="s">
        <v>1014</v>
      </c>
      <c r="E24" s="1884" t="s">
        <v>1014</v>
      </c>
      <c r="F24" s="1884">
        <v>99.942999999999998</v>
      </c>
      <c r="G24" s="1884">
        <v>99.942999999999998</v>
      </c>
    </row>
    <row r="25" spans="1:142" s="1830" customFormat="1" ht="8.25" customHeight="1" thickBot="1" x14ac:dyDescent="0.3">
      <c r="A25" s="1940"/>
      <c r="B25" s="1941"/>
      <c r="C25" s="1888"/>
      <c r="D25" s="1888"/>
      <c r="E25" s="1888"/>
      <c r="F25" s="1888"/>
      <c r="G25" s="1888"/>
    </row>
    <row r="26" spans="1:142" s="1540" customFormat="1" ht="15" customHeight="1" thickTop="1" x14ac:dyDescent="0.25">
      <c r="EJ26" s="1677"/>
      <c r="EK26" s="1677"/>
      <c r="EL26" s="1677"/>
    </row>
    <row r="27" spans="1:142" s="1543" customFormat="1" ht="18" customHeight="1" x14ac:dyDescent="0.25">
      <c r="A27" s="1543" t="s">
        <v>0</v>
      </c>
      <c r="EJ27" s="1710"/>
      <c r="EK27" s="1710"/>
      <c r="EL27" s="1710"/>
    </row>
  </sheetData>
  <mergeCells count="4">
    <mergeCell ref="A3:B3"/>
    <mergeCell ref="C3:F3"/>
    <mergeCell ref="A16:B17"/>
    <mergeCell ref="C16:G16"/>
  </mergeCells>
  <pageMargins left="0.7" right="0.7" top="0.75" bottom="0.75" header="0.3" footer="0.3"/>
  <pageSetup paperSize="9" scale="77"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EF27"/>
  <sheetViews>
    <sheetView zoomScaleNormal="100" zoomScaleSheetLayoutView="90" workbookViewId="0">
      <pane xSplit="1" ySplit="4" topLeftCell="B5" activePane="bottomRight" state="frozen"/>
      <selection activeCell="A38" sqref="A38"/>
      <selection pane="topRight" activeCell="A38" sqref="A38"/>
      <selection pane="bottomLeft" activeCell="A38" sqref="A38"/>
      <selection pane="bottomRight" activeCell="A38" sqref="A38"/>
    </sheetView>
  </sheetViews>
  <sheetFormatPr defaultRowHeight="20.100000000000001" customHeight="1" x14ac:dyDescent="0.25"/>
  <cols>
    <col min="1" max="1" width="19.7109375" style="1896" customWidth="1"/>
    <col min="2" max="3" width="16.7109375" style="1896" customWidth="1"/>
    <col min="4" max="5" width="16.7109375" style="1896" hidden="1" customWidth="1"/>
    <col min="6" max="9" width="9.140625" style="1896"/>
    <col min="10" max="10" width="5" style="1896" customWidth="1"/>
    <col min="11" max="247" width="9.140625" style="1896"/>
    <col min="248" max="248" width="40.28515625" style="1896" customWidth="1"/>
    <col min="249" max="249" width="14.42578125" style="1896" customWidth="1"/>
    <col min="250" max="250" width="16" style="1896" customWidth="1"/>
    <col min="251" max="251" width="14.42578125" style="1896" customWidth="1"/>
    <col min="252" max="252" width="16" style="1896" customWidth="1"/>
    <col min="253" max="253" width="3.42578125" style="1896" customWidth="1"/>
    <col min="254" max="503" width="9.140625" style="1896"/>
    <col min="504" max="504" width="40.28515625" style="1896" customWidth="1"/>
    <col min="505" max="505" width="14.42578125" style="1896" customWidth="1"/>
    <col min="506" max="506" width="16" style="1896" customWidth="1"/>
    <col min="507" max="507" width="14.42578125" style="1896" customWidth="1"/>
    <col min="508" max="508" width="16" style="1896" customWidth="1"/>
    <col min="509" max="509" width="3.42578125" style="1896" customWidth="1"/>
    <col min="510" max="759" width="9.140625" style="1896"/>
    <col min="760" max="760" width="40.28515625" style="1896" customWidth="1"/>
    <col min="761" max="761" width="14.42578125" style="1896" customWidth="1"/>
    <col min="762" max="762" width="16" style="1896" customWidth="1"/>
    <col min="763" max="763" width="14.42578125" style="1896" customWidth="1"/>
    <col min="764" max="764" width="16" style="1896" customWidth="1"/>
    <col min="765" max="765" width="3.42578125" style="1896" customWidth="1"/>
    <col min="766" max="1015" width="9.140625" style="1896"/>
    <col min="1016" max="1016" width="40.28515625" style="1896" customWidth="1"/>
    <col min="1017" max="1017" width="14.42578125" style="1896" customWidth="1"/>
    <col min="1018" max="1018" width="16" style="1896" customWidth="1"/>
    <col min="1019" max="1019" width="14.42578125" style="1896" customWidth="1"/>
    <col min="1020" max="1020" width="16" style="1896" customWidth="1"/>
    <col min="1021" max="1021" width="3.42578125" style="1896" customWidth="1"/>
    <col min="1022" max="1271" width="9.140625" style="1896"/>
    <col min="1272" max="1272" width="40.28515625" style="1896" customWidth="1"/>
    <col min="1273" max="1273" width="14.42578125" style="1896" customWidth="1"/>
    <col min="1274" max="1274" width="16" style="1896" customWidth="1"/>
    <col min="1275" max="1275" width="14.42578125" style="1896" customWidth="1"/>
    <col min="1276" max="1276" width="16" style="1896" customWidth="1"/>
    <col min="1277" max="1277" width="3.42578125" style="1896" customWidth="1"/>
    <col min="1278" max="1527" width="9.140625" style="1896"/>
    <col min="1528" max="1528" width="40.28515625" style="1896" customWidth="1"/>
    <col min="1529" max="1529" width="14.42578125" style="1896" customWidth="1"/>
    <col min="1530" max="1530" width="16" style="1896" customWidth="1"/>
    <col min="1531" max="1531" width="14.42578125" style="1896" customWidth="1"/>
    <col min="1532" max="1532" width="16" style="1896" customWidth="1"/>
    <col min="1533" max="1533" width="3.42578125" style="1896" customWidth="1"/>
    <col min="1534" max="1783" width="9.140625" style="1896"/>
    <col min="1784" max="1784" width="40.28515625" style="1896" customWidth="1"/>
    <col min="1785" max="1785" width="14.42578125" style="1896" customWidth="1"/>
    <col min="1786" max="1786" width="16" style="1896" customWidth="1"/>
    <col min="1787" max="1787" width="14.42578125" style="1896" customWidth="1"/>
    <col min="1788" max="1788" width="16" style="1896" customWidth="1"/>
    <col min="1789" max="1789" width="3.42578125" style="1896" customWidth="1"/>
    <col min="1790" max="2039" width="9.140625" style="1896"/>
    <col min="2040" max="2040" width="40.28515625" style="1896" customWidth="1"/>
    <col min="2041" max="2041" width="14.42578125" style="1896" customWidth="1"/>
    <col min="2042" max="2042" width="16" style="1896" customWidth="1"/>
    <col min="2043" max="2043" width="14.42578125" style="1896" customWidth="1"/>
    <col min="2044" max="2044" width="16" style="1896" customWidth="1"/>
    <col min="2045" max="2045" width="3.42578125" style="1896" customWidth="1"/>
    <col min="2046" max="2295" width="9.140625" style="1896"/>
    <col min="2296" max="2296" width="40.28515625" style="1896" customWidth="1"/>
    <col min="2297" max="2297" width="14.42578125" style="1896" customWidth="1"/>
    <col min="2298" max="2298" width="16" style="1896" customWidth="1"/>
    <col min="2299" max="2299" width="14.42578125" style="1896" customWidth="1"/>
    <col min="2300" max="2300" width="16" style="1896" customWidth="1"/>
    <col min="2301" max="2301" width="3.42578125" style="1896" customWidth="1"/>
    <col min="2302" max="2551" width="9.140625" style="1896"/>
    <col min="2552" max="2552" width="40.28515625" style="1896" customWidth="1"/>
    <col min="2553" max="2553" width="14.42578125" style="1896" customWidth="1"/>
    <col min="2554" max="2554" width="16" style="1896" customWidth="1"/>
    <col min="2555" max="2555" width="14.42578125" style="1896" customWidth="1"/>
    <col min="2556" max="2556" width="16" style="1896" customWidth="1"/>
    <col min="2557" max="2557" width="3.42578125" style="1896" customWidth="1"/>
    <col min="2558" max="2807" width="9.140625" style="1896"/>
    <col min="2808" max="2808" width="40.28515625" style="1896" customWidth="1"/>
    <col min="2809" max="2809" width="14.42578125" style="1896" customWidth="1"/>
    <col min="2810" max="2810" width="16" style="1896" customWidth="1"/>
    <col min="2811" max="2811" width="14.42578125" style="1896" customWidth="1"/>
    <col min="2812" max="2812" width="16" style="1896" customWidth="1"/>
    <col min="2813" max="2813" width="3.42578125" style="1896" customWidth="1"/>
    <col min="2814" max="3063" width="9.140625" style="1896"/>
    <col min="3064" max="3064" width="40.28515625" style="1896" customWidth="1"/>
    <col min="3065" max="3065" width="14.42578125" style="1896" customWidth="1"/>
    <col min="3066" max="3066" width="16" style="1896" customWidth="1"/>
    <col min="3067" max="3067" width="14.42578125" style="1896" customWidth="1"/>
    <col min="3068" max="3068" width="16" style="1896" customWidth="1"/>
    <col min="3069" max="3069" width="3.42578125" style="1896" customWidth="1"/>
    <col min="3070" max="3319" width="9.140625" style="1896"/>
    <col min="3320" max="3320" width="40.28515625" style="1896" customWidth="1"/>
    <col min="3321" max="3321" width="14.42578125" style="1896" customWidth="1"/>
    <col min="3322" max="3322" width="16" style="1896" customWidth="1"/>
    <col min="3323" max="3323" width="14.42578125" style="1896" customWidth="1"/>
    <col min="3324" max="3324" width="16" style="1896" customWidth="1"/>
    <col min="3325" max="3325" width="3.42578125" style="1896" customWidth="1"/>
    <col min="3326" max="3575" width="9.140625" style="1896"/>
    <col min="3576" max="3576" width="40.28515625" style="1896" customWidth="1"/>
    <col min="3577" max="3577" width="14.42578125" style="1896" customWidth="1"/>
    <col min="3578" max="3578" width="16" style="1896" customWidth="1"/>
    <col min="3579" max="3579" width="14.42578125" style="1896" customWidth="1"/>
    <col min="3580" max="3580" width="16" style="1896" customWidth="1"/>
    <col min="3581" max="3581" width="3.42578125" style="1896" customWidth="1"/>
    <col min="3582" max="3831" width="9.140625" style="1896"/>
    <col min="3832" max="3832" width="40.28515625" style="1896" customWidth="1"/>
    <col min="3833" max="3833" width="14.42578125" style="1896" customWidth="1"/>
    <col min="3834" max="3834" width="16" style="1896" customWidth="1"/>
    <col min="3835" max="3835" width="14.42578125" style="1896" customWidth="1"/>
    <col min="3836" max="3836" width="16" style="1896" customWidth="1"/>
    <col min="3837" max="3837" width="3.42578125" style="1896" customWidth="1"/>
    <col min="3838" max="4087" width="9.140625" style="1896"/>
    <col min="4088" max="4088" width="40.28515625" style="1896" customWidth="1"/>
    <col min="4089" max="4089" width="14.42578125" style="1896" customWidth="1"/>
    <col min="4090" max="4090" width="16" style="1896" customWidth="1"/>
    <col min="4091" max="4091" width="14.42578125" style="1896" customWidth="1"/>
    <col min="4092" max="4092" width="16" style="1896" customWidth="1"/>
    <col min="4093" max="4093" width="3.42578125" style="1896" customWidth="1"/>
    <col min="4094" max="4343" width="9.140625" style="1896"/>
    <col min="4344" max="4344" width="40.28515625" style="1896" customWidth="1"/>
    <col min="4345" max="4345" width="14.42578125" style="1896" customWidth="1"/>
    <col min="4346" max="4346" width="16" style="1896" customWidth="1"/>
    <col min="4347" max="4347" width="14.42578125" style="1896" customWidth="1"/>
    <col min="4348" max="4348" width="16" style="1896" customWidth="1"/>
    <col min="4349" max="4349" width="3.42578125" style="1896" customWidth="1"/>
    <col min="4350" max="4599" width="9.140625" style="1896"/>
    <col min="4600" max="4600" width="40.28515625" style="1896" customWidth="1"/>
    <col min="4601" max="4601" width="14.42578125" style="1896" customWidth="1"/>
    <col min="4602" max="4602" width="16" style="1896" customWidth="1"/>
    <col min="4603" max="4603" width="14.42578125" style="1896" customWidth="1"/>
    <col min="4604" max="4604" width="16" style="1896" customWidth="1"/>
    <col min="4605" max="4605" width="3.42578125" style="1896" customWidth="1"/>
    <col min="4606" max="4855" width="9.140625" style="1896"/>
    <col min="4856" max="4856" width="40.28515625" style="1896" customWidth="1"/>
    <col min="4857" max="4857" width="14.42578125" style="1896" customWidth="1"/>
    <col min="4858" max="4858" width="16" style="1896" customWidth="1"/>
    <col min="4859" max="4859" width="14.42578125" style="1896" customWidth="1"/>
    <col min="4860" max="4860" width="16" style="1896" customWidth="1"/>
    <col min="4861" max="4861" width="3.42578125" style="1896" customWidth="1"/>
    <col min="4862" max="5111" width="9.140625" style="1896"/>
    <col min="5112" max="5112" width="40.28515625" style="1896" customWidth="1"/>
    <col min="5113" max="5113" width="14.42578125" style="1896" customWidth="1"/>
    <col min="5114" max="5114" width="16" style="1896" customWidth="1"/>
    <col min="5115" max="5115" width="14.42578125" style="1896" customWidth="1"/>
    <col min="5116" max="5116" width="16" style="1896" customWidth="1"/>
    <col min="5117" max="5117" width="3.42578125" style="1896" customWidth="1"/>
    <col min="5118" max="5367" width="9.140625" style="1896"/>
    <col min="5368" max="5368" width="40.28515625" style="1896" customWidth="1"/>
    <col min="5369" max="5369" width="14.42578125" style="1896" customWidth="1"/>
    <col min="5370" max="5370" width="16" style="1896" customWidth="1"/>
    <col min="5371" max="5371" width="14.42578125" style="1896" customWidth="1"/>
    <col min="5372" max="5372" width="16" style="1896" customWidth="1"/>
    <col min="5373" max="5373" width="3.42578125" style="1896" customWidth="1"/>
    <col min="5374" max="5623" width="9.140625" style="1896"/>
    <col min="5624" max="5624" width="40.28515625" style="1896" customWidth="1"/>
    <col min="5625" max="5625" width="14.42578125" style="1896" customWidth="1"/>
    <col min="5626" max="5626" width="16" style="1896" customWidth="1"/>
    <col min="5627" max="5627" width="14.42578125" style="1896" customWidth="1"/>
    <col min="5628" max="5628" width="16" style="1896" customWidth="1"/>
    <col min="5629" max="5629" width="3.42578125" style="1896" customWidth="1"/>
    <col min="5630" max="5879" width="9.140625" style="1896"/>
    <col min="5880" max="5880" width="40.28515625" style="1896" customWidth="1"/>
    <col min="5881" max="5881" width="14.42578125" style="1896" customWidth="1"/>
    <col min="5882" max="5882" width="16" style="1896" customWidth="1"/>
    <col min="5883" max="5883" width="14.42578125" style="1896" customWidth="1"/>
    <col min="5884" max="5884" width="16" style="1896" customWidth="1"/>
    <col min="5885" max="5885" width="3.42578125" style="1896" customWidth="1"/>
    <col min="5886" max="6135" width="9.140625" style="1896"/>
    <col min="6136" max="6136" width="40.28515625" style="1896" customWidth="1"/>
    <col min="6137" max="6137" width="14.42578125" style="1896" customWidth="1"/>
    <col min="6138" max="6138" width="16" style="1896" customWidth="1"/>
    <col min="6139" max="6139" width="14.42578125" style="1896" customWidth="1"/>
    <col min="6140" max="6140" width="16" style="1896" customWidth="1"/>
    <col min="6141" max="6141" width="3.42578125" style="1896" customWidth="1"/>
    <col min="6142" max="6391" width="9.140625" style="1896"/>
    <col min="6392" max="6392" width="40.28515625" style="1896" customWidth="1"/>
    <col min="6393" max="6393" width="14.42578125" style="1896" customWidth="1"/>
    <col min="6394" max="6394" width="16" style="1896" customWidth="1"/>
    <col min="6395" max="6395" width="14.42578125" style="1896" customWidth="1"/>
    <col min="6396" max="6396" width="16" style="1896" customWidth="1"/>
    <col min="6397" max="6397" width="3.42578125" style="1896" customWidth="1"/>
    <col min="6398" max="6647" width="9.140625" style="1896"/>
    <col min="6648" max="6648" width="40.28515625" style="1896" customWidth="1"/>
    <col min="6649" max="6649" width="14.42578125" style="1896" customWidth="1"/>
    <col min="6650" max="6650" width="16" style="1896" customWidth="1"/>
    <col min="6651" max="6651" width="14.42578125" style="1896" customWidth="1"/>
    <col min="6652" max="6652" width="16" style="1896" customWidth="1"/>
    <col min="6653" max="6653" width="3.42578125" style="1896" customWidth="1"/>
    <col min="6654" max="6903" width="9.140625" style="1896"/>
    <col min="6904" max="6904" width="40.28515625" style="1896" customWidth="1"/>
    <col min="6905" max="6905" width="14.42578125" style="1896" customWidth="1"/>
    <col min="6906" max="6906" width="16" style="1896" customWidth="1"/>
    <col min="6907" max="6907" width="14.42578125" style="1896" customWidth="1"/>
    <col min="6908" max="6908" width="16" style="1896" customWidth="1"/>
    <col min="6909" max="6909" width="3.42578125" style="1896" customWidth="1"/>
    <col min="6910" max="7159" width="9.140625" style="1896"/>
    <col min="7160" max="7160" width="40.28515625" style="1896" customWidth="1"/>
    <col min="7161" max="7161" width="14.42578125" style="1896" customWidth="1"/>
    <col min="7162" max="7162" width="16" style="1896" customWidth="1"/>
    <col min="7163" max="7163" width="14.42578125" style="1896" customWidth="1"/>
    <col min="7164" max="7164" width="16" style="1896" customWidth="1"/>
    <col min="7165" max="7165" width="3.42578125" style="1896" customWidth="1"/>
    <col min="7166" max="7415" width="9.140625" style="1896"/>
    <col min="7416" max="7416" width="40.28515625" style="1896" customWidth="1"/>
    <col min="7417" max="7417" width="14.42578125" style="1896" customWidth="1"/>
    <col min="7418" max="7418" width="16" style="1896" customWidth="1"/>
    <col min="7419" max="7419" width="14.42578125" style="1896" customWidth="1"/>
    <col min="7420" max="7420" width="16" style="1896" customWidth="1"/>
    <col min="7421" max="7421" width="3.42578125" style="1896" customWidth="1"/>
    <col min="7422" max="7671" width="9.140625" style="1896"/>
    <col min="7672" max="7672" width="40.28515625" style="1896" customWidth="1"/>
    <col min="7673" max="7673" width="14.42578125" style="1896" customWidth="1"/>
    <col min="7674" max="7674" width="16" style="1896" customWidth="1"/>
    <col min="7675" max="7675" width="14.42578125" style="1896" customWidth="1"/>
    <col min="7676" max="7676" width="16" style="1896" customWidth="1"/>
    <col min="7677" max="7677" width="3.42578125" style="1896" customWidth="1"/>
    <col min="7678" max="7927" width="9.140625" style="1896"/>
    <col min="7928" max="7928" width="40.28515625" style="1896" customWidth="1"/>
    <col min="7929" max="7929" width="14.42578125" style="1896" customWidth="1"/>
    <col min="7930" max="7930" width="16" style="1896" customWidth="1"/>
    <col min="7931" max="7931" width="14.42578125" style="1896" customWidth="1"/>
    <col min="7932" max="7932" width="16" style="1896" customWidth="1"/>
    <col min="7933" max="7933" width="3.42578125" style="1896" customWidth="1"/>
    <col min="7934" max="8183" width="9.140625" style="1896"/>
    <col min="8184" max="8184" width="40.28515625" style="1896" customWidth="1"/>
    <col min="8185" max="8185" width="14.42578125" style="1896" customWidth="1"/>
    <col min="8186" max="8186" width="16" style="1896" customWidth="1"/>
    <col min="8187" max="8187" width="14.42578125" style="1896" customWidth="1"/>
    <col min="8188" max="8188" width="16" style="1896" customWidth="1"/>
    <col min="8189" max="8189" width="3.42578125" style="1896" customWidth="1"/>
    <col min="8190" max="8439" width="9.140625" style="1896"/>
    <col min="8440" max="8440" width="40.28515625" style="1896" customWidth="1"/>
    <col min="8441" max="8441" width="14.42578125" style="1896" customWidth="1"/>
    <col min="8442" max="8442" width="16" style="1896" customWidth="1"/>
    <col min="8443" max="8443" width="14.42578125" style="1896" customWidth="1"/>
    <col min="8444" max="8444" width="16" style="1896" customWidth="1"/>
    <col min="8445" max="8445" width="3.42578125" style="1896" customWidth="1"/>
    <col min="8446" max="8695" width="9.140625" style="1896"/>
    <col min="8696" max="8696" width="40.28515625" style="1896" customWidth="1"/>
    <col min="8697" max="8697" width="14.42578125" style="1896" customWidth="1"/>
    <col min="8698" max="8698" width="16" style="1896" customWidth="1"/>
    <col min="8699" max="8699" width="14.42578125" style="1896" customWidth="1"/>
    <col min="8700" max="8700" width="16" style="1896" customWidth="1"/>
    <col min="8701" max="8701" width="3.42578125" style="1896" customWidth="1"/>
    <col min="8702" max="8951" width="9.140625" style="1896"/>
    <col min="8952" max="8952" width="40.28515625" style="1896" customWidth="1"/>
    <col min="8953" max="8953" width="14.42578125" style="1896" customWidth="1"/>
    <col min="8954" max="8954" width="16" style="1896" customWidth="1"/>
    <col min="8955" max="8955" width="14.42578125" style="1896" customWidth="1"/>
    <col min="8956" max="8956" width="16" style="1896" customWidth="1"/>
    <col min="8957" max="8957" width="3.42578125" style="1896" customWidth="1"/>
    <col min="8958" max="9207" width="9.140625" style="1896"/>
    <col min="9208" max="9208" width="40.28515625" style="1896" customWidth="1"/>
    <col min="9209" max="9209" width="14.42578125" style="1896" customWidth="1"/>
    <col min="9210" max="9210" width="16" style="1896" customWidth="1"/>
    <col min="9211" max="9211" width="14.42578125" style="1896" customWidth="1"/>
    <col min="9212" max="9212" width="16" style="1896" customWidth="1"/>
    <col min="9213" max="9213" width="3.42578125" style="1896" customWidth="1"/>
    <col min="9214" max="9463" width="9.140625" style="1896"/>
    <col min="9464" max="9464" width="40.28515625" style="1896" customWidth="1"/>
    <col min="9465" max="9465" width="14.42578125" style="1896" customWidth="1"/>
    <col min="9466" max="9466" width="16" style="1896" customWidth="1"/>
    <col min="9467" max="9467" width="14.42578125" style="1896" customWidth="1"/>
    <col min="9468" max="9468" width="16" style="1896" customWidth="1"/>
    <col min="9469" max="9469" width="3.42578125" style="1896" customWidth="1"/>
    <col min="9470" max="9719" width="9.140625" style="1896"/>
    <col min="9720" max="9720" width="40.28515625" style="1896" customWidth="1"/>
    <col min="9721" max="9721" width="14.42578125" style="1896" customWidth="1"/>
    <col min="9722" max="9722" width="16" style="1896" customWidth="1"/>
    <col min="9723" max="9723" width="14.42578125" style="1896" customWidth="1"/>
    <col min="9724" max="9724" width="16" style="1896" customWidth="1"/>
    <col min="9725" max="9725" width="3.42578125" style="1896" customWidth="1"/>
    <col min="9726" max="9975" width="9.140625" style="1896"/>
    <col min="9976" max="9976" width="40.28515625" style="1896" customWidth="1"/>
    <col min="9977" max="9977" width="14.42578125" style="1896" customWidth="1"/>
    <col min="9978" max="9978" width="16" style="1896" customWidth="1"/>
    <col min="9979" max="9979" width="14.42578125" style="1896" customWidth="1"/>
    <col min="9980" max="9980" width="16" style="1896" customWidth="1"/>
    <col min="9981" max="9981" width="3.42578125" style="1896" customWidth="1"/>
    <col min="9982" max="10231" width="9.140625" style="1896"/>
    <col min="10232" max="10232" width="40.28515625" style="1896" customWidth="1"/>
    <col min="10233" max="10233" width="14.42578125" style="1896" customWidth="1"/>
    <col min="10234" max="10234" width="16" style="1896" customWidth="1"/>
    <col min="10235" max="10235" width="14.42578125" style="1896" customWidth="1"/>
    <col min="10236" max="10236" width="16" style="1896" customWidth="1"/>
    <col min="10237" max="10237" width="3.42578125" style="1896" customWidth="1"/>
    <col min="10238" max="10487" width="9.140625" style="1896"/>
    <col min="10488" max="10488" width="40.28515625" style="1896" customWidth="1"/>
    <col min="10489" max="10489" width="14.42578125" style="1896" customWidth="1"/>
    <col min="10490" max="10490" width="16" style="1896" customWidth="1"/>
    <col min="10491" max="10491" width="14.42578125" style="1896" customWidth="1"/>
    <col min="10492" max="10492" width="16" style="1896" customWidth="1"/>
    <col min="10493" max="10493" width="3.42578125" style="1896" customWidth="1"/>
    <col min="10494" max="10743" width="9.140625" style="1896"/>
    <col min="10744" max="10744" width="40.28515625" style="1896" customWidth="1"/>
    <col min="10745" max="10745" width="14.42578125" style="1896" customWidth="1"/>
    <col min="10746" max="10746" width="16" style="1896" customWidth="1"/>
    <col min="10747" max="10747" width="14.42578125" style="1896" customWidth="1"/>
    <col min="10748" max="10748" width="16" style="1896" customWidth="1"/>
    <col min="10749" max="10749" width="3.42578125" style="1896" customWidth="1"/>
    <col min="10750" max="10999" width="9.140625" style="1896"/>
    <col min="11000" max="11000" width="40.28515625" style="1896" customWidth="1"/>
    <col min="11001" max="11001" width="14.42578125" style="1896" customWidth="1"/>
    <col min="11002" max="11002" width="16" style="1896" customWidth="1"/>
    <col min="11003" max="11003" width="14.42578125" style="1896" customWidth="1"/>
    <col min="11004" max="11004" width="16" style="1896" customWidth="1"/>
    <col min="11005" max="11005" width="3.42578125" style="1896" customWidth="1"/>
    <col min="11006" max="11255" width="9.140625" style="1896"/>
    <col min="11256" max="11256" width="40.28515625" style="1896" customWidth="1"/>
    <col min="11257" max="11257" width="14.42578125" style="1896" customWidth="1"/>
    <col min="11258" max="11258" width="16" style="1896" customWidth="1"/>
    <col min="11259" max="11259" width="14.42578125" style="1896" customWidth="1"/>
    <col min="11260" max="11260" width="16" style="1896" customWidth="1"/>
    <col min="11261" max="11261" width="3.42578125" style="1896" customWidth="1"/>
    <col min="11262" max="11511" width="9.140625" style="1896"/>
    <col min="11512" max="11512" width="40.28515625" style="1896" customWidth="1"/>
    <col min="11513" max="11513" width="14.42578125" style="1896" customWidth="1"/>
    <col min="11514" max="11514" width="16" style="1896" customWidth="1"/>
    <col min="11515" max="11515" width="14.42578125" style="1896" customWidth="1"/>
    <col min="11516" max="11516" width="16" style="1896" customWidth="1"/>
    <col min="11517" max="11517" width="3.42578125" style="1896" customWidth="1"/>
    <col min="11518" max="11767" width="9.140625" style="1896"/>
    <col min="11768" max="11768" width="40.28515625" style="1896" customWidth="1"/>
    <col min="11769" max="11769" width="14.42578125" style="1896" customWidth="1"/>
    <col min="11770" max="11770" width="16" style="1896" customWidth="1"/>
    <col min="11771" max="11771" width="14.42578125" style="1896" customWidth="1"/>
    <col min="11772" max="11772" width="16" style="1896" customWidth="1"/>
    <col min="11773" max="11773" width="3.42578125" style="1896" customWidth="1"/>
    <col min="11774" max="12023" width="9.140625" style="1896"/>
    <col min="12024" max="12024" width="40.28515625" style="1896" customWidth="1"/>
    <col min="12025" max="12025" width="14.42578125" style="1896" customWidth="1"/>
    <col min="12026" max="12026" width="16" style="1896" customWidth="1"/>
    <col min="12027" max="12027" width="14.42578125" style="1896" customWidth="1"/>
    <col min="12028" max="12028" width="16" style="1896" customWidth="1"/>
    <col min="12029" max="12029" width="3.42578125" style="1896" customWidth="1"/>
    <col min="12030" max="12279" width="9.140625" style="1896"/>
    <col min="12280" max="12280" width="40.28515625" style="1896" customWidth="1"/>
    <col min="12281" max="12281" width="14.42578125" style="1896" customWidth="1"/>
    <col min="12282" max="12282" width="16" style="1896" customWidth="1"/>
    <col min="12283" max="12283" width="14.42578125" style="1896" customWidth="1"/>
    <col min="12284" max="12284" width="16" style="1896" customWidth="1"/>
    <col min="12285" max="12285" width="3.42578125" style="1896" customWidth="1"/>
    <col min="12286" max="12535" width="9.140625" style="1896"/>
    <col min="12536" max="12536" width="40.28515625" style="1896" customWidth="1"/>
    <col min="12537" max="12537" width="14.42578125" style="1896" customWidth="1"/>
    <col min="12538" max="12538" width="16" style="1896" customWidth="1"/>
    <col min="12539" max="12539" width="14.42578125" style="1896" customWidth="1"/>
    <col min="12540" max="12540" width="16" style="1896" customWidth="1"/>
    <col min="12541" max="12541" width="3.42578125" style="1896" customWidth="1"/>
    <col min="12542" max="12791" width="9.140625" style="1896"/>
    <col min="12792" max="12792" width="40.28515625" style="1896" customWidth="1"/>
    <col min="12793" max="12793" width="14.42578125" style="1896" customWidth="1"/>
    <col min="12794" max="12794" width="16" style="1896" customWidth="1"/>
    <col min="12795" max="12795" width="14.42578125" style="1896" customWidth="1"/>
    <col min="12796" max="12796" width="16" style="1896" customWidth="1"/>
    <col min="12797" max="12797" width="3.42578125" style="1896" customWidth="1"/>
    <col min="12798" max="13047" width="9.140625" style="1896"/>
    <col min="13048" max="13048" width="40.28515625" style="1896" customWidth="1"/>
    <col min="13049" max="13049" width="14.42578125" style="1896" customWidth="1"/>
    <col min="13050" max="13050" width="16" style="1896" customWidth="1"/>
    <col min="13051" max="13051" width="14.42578125" style="1896" customWidth="1"/>
    <col min="13052" max="13052" width="16" style="1896" customWidth="1"/>
    <col min="13053" max="13053" width="3.42578125" style="1896" customWidth="1"/>
    <col min="13054" max="13303" width="9.140625" style="1896"/>
    <col min="13304" max="13304" width="40.28515625" style="1896" customWidth="1"/>
    <col min="13305" max="13305" width="14.42578125" style="1896" customWidth="1"/>
    <col min="13306" max="13306" width="16" style="1896" customWidth="1"/>
    <col min="13307" max="13307" width="14.42578125" style="1896" customWidth="1"/>
    <col min="13308" max="13308" width="16" style="1896" customWidth="1"/>
    <col min="13309" max="13309" width="3.42578125" style="1896" customWidth="1"/>
    <col min="13310" max="13559" width="9.140625" style="1896"/>
    <col min="13560" max="13560" width="40.28515625" style="1896" customWidth="1"/>
    <col min="13561" max="13561" width="14.42578125" style="1896" customWidth="1"/>
    <col min="13562" max="13562" width="16" style="1896" customWidth="1"/>
    <col min="13563" max="13563" width="14.42578125" style="1896" customWidth="1"/>
    <col min="13564" max="13564" width="16" style="1896" customWidth="1"/>
    <col min="13565" max="13565" width="3.42578125" style="1896" customWidth="1"/>
    <col min="13566" max="13815" width="9.140625" style="1896"/>
    <col min="13816" max="13816" width="40.28515625" style="1896" customWidth="1"/>
    <col min="13817" max="13817" width="14.42578125" style="1896" customWidth="1"/>
    <col min="13818" max="13818" width="16" style="1896" customWidth="1"/>
    <col min="13819" max="13819" width="14.42578125" style="1896" customWidth="1"/>
    <col min="13820" max="13820" width="16" style="1896" customWidth="1"/>
    <col min="13821" max="13821" width="3.42578125" style="1896" customWidth="1"/>
    <col min="13822" max="14071" width="9.140625" style="1896"/>
    <col min="14072" max="14072" width="40.28515625" style="1896" customWidth="1"/>
    <col min="14073" max="14073" width="14.42578125" style="1896" customWidth="1"/>
    <col min="14074" max="14074" width="16" style="1896" customWidth="1"/>
    <col min="14075" max="14075" width="14.42578125" style="1896" customWidth="1"/>
    <col min="14076" max="14076" width="16" style="1896" customWidth="1"/>
    <col min="14077" max="14077" width="3.42578125" style="1896" customWidth="1"/>
    <col min="14078" max="14327" width="9.140625" style="1896"/>
    <col min="14328" max="14328" width="40.28515625" style="1896" customWidth="1"/>
    <col min="14329" max="14329" width="14.42578125" style="1896" customWidth="1"/>
    <col min="14330" max="14330" width="16" style="1896" customWidth="1"/>
    <col min="14331" max="14331" width="14.42578125" style="1896" customWidth="1"/>
    <col min="14332" max="14332" width="16" style="1896" customWidth="1"/>
    <col min="14333" max="14333" width="3.42578125" style="1896" customWidth="1"/>
    <col min="14334" max="14583" width="9.140625" style="1896"/>
    <col min="14584" max="14584" width="40.28515625" style="1896" customWidth="1"/>
    <col min="14585" max="14585" width="14.42578125" style="1896" customWidth="1"/>
    <col min="14586" max="14586" width="16" style="1896" customWidth="1"/>
    <col min="14587" max="14587" width="14.42578125" style="1896" customWidth="1"/>
    <col min="14588" max="14588" width="16" style="1896" customWidth="1"/>
    <col min="14589" max="14589" width="3.42578125" style="1896" customWidth="1"/>
    <col min="14590" max="14839" width="9.140625" style="1896"/>
    <col min="14840" max="14840" width="40.28515625" style="1896" customWidth="1"/>
    <col min="14841" max="14841" width="14.42578125" style="1896" customWidth="1"/>
    <col min="14842" max="14842" width="16" style="1896" customWidth="1"/>
    <col min="14843" max="14843" width="14.42578125" style="1896" customWidth="1"/>
    <col min="14844" max="14844" width="16" style="1896" customWidth="1"/>
    <col min="14845" max="14845" width="3.42578125" style="1896" customWidth="1"/>
    <col min="14846" max="15095" width="9.140625" style="1896"/>
    <col min="15096" max="15096" width="40.28515625" style="1896" customWidth="1"/>
    <col min="15097" max="15097" width="14.42578125" style="1896" customWidth="1"/>
    <col min="15098" max="15098" width="16" style="1896" customWidth="1"/>
    <col min="15099" max="15099" width="14.42578125" style="1896" customWidth="1"/>
    <col min="15100" max="15100" width="16" style="1896" customWidth="1"/>
    <col min="15101" max="15101" width="3.42578125" style="1896" customWidth="1"/>
    <col min="15102" max="15351" width="9.140625" style="1896"/>
    <col min="15352" max="15352" width="40.28515625" style="1896" customWidth="1"/>
    <col min="15353" max="15353" width="14.42578125" style="1896" customWidth="1"/>
    <col min="15354" max="15354" width="16" style="1896" customWidth="1"/>
    <col min="15355" max="15355" width="14.42578125" style="1896" customWidth="1"/>
    <col min="15356" max="15356" width="16" style="1896" customWidth="1"/>
    <col min="15357" max="15357" width="3.42578125" style="1896" customWidth="1"/>
    <col min="15358" max="15607" width="9.140625" style="1896"/>
    <col min="15608" max="15608" width="40.28515625" style="1896" customWidth="1"/>
    <col min="15609" max="15609" width="14.42578125" style="1896" customWidth="1"/>
    <col min="15610" max="15610" width="16" style="1896" customWidth="1"/>
    <col min="15611" max="15611" width="14.42578125" style="1896" customWidth="1"/>
    <col min="15612" max="15612" width="16" style="1896" customWidth="1"/>
    <col min="15613" max="15613" width="3.42578125" style="1896" customWidth="1"/>
    <col min="15614" max="15863" width="9.140625" style="1896"/>
    <col min="15864" max="15864" width="40.28515625" style="1896" customWidth="1"/>
    <col min="15865" max="15865" width="14.42578125" style="1896" customWidth="1"/>
    <col min="15866" max="15866" width="16" style="1896" customWidth="1"/>
    <col min="15867" max="15867" width="14.42578125" style="1896" customWidth="1"/>
    <col min="15868" max="15868" width="16" style="1896" customWidth="1"/>
    <col min="15869" max="15869" width="3.42578125" style="1896" customWidth="1"/>
    <col min="15870" max="16119" width="9.140625" style="1896"/>
    <col min="16120" max="16120" width="40.28515625" style="1896" customWidth="1"/>
    <col min="16121" max="16121" width="14.42578125" style="1896" customWidth="1"/>
    <col min="16122" max="16122" width="16" style="1896" customWidth="1"/>
    <col min="16123" max="16123" width="14.42578125" style="1896" customWidth="1"/>
    <col min="16124" max="16124" width="16" style="1896" customWidth="1"/>
    <col min="16125" max="16125" width="3.42578125" style="1896" customWidth="1"/>
    <col min="16126" max="16384" width="9.140625" style="1896"/>
  </cols>
  <sheetData>
    <row r="1" spans="1:25" s="1786" customFormat="1" ht="17.25" x14ac:dyDescent="0.25">
      <c r="A1" s="1725" t="s">
        <v>1184</v>
      </c>
      <c r="B1" s="1726"/>
      <c r="C1" s="1726"/>
      <c r="D1" s="1726"/>
      <c r="E1" s="1726"/>
      <c r="F1" s="1726"/>
      <c r="G1" s="1727"/>
      <c r="H1" s="1727"/>
    </row>
    <row r="2" spans="1:25" s="1786" customFormat="1" ht="18" thickBot="1" x14ac:dyDescent="0.3">
      <c r="A2" s="1726"/>
      <c r="B2" s="1730"/>
      <c r="C2" s="1730"/>
      <c r="D2" s="1730"/>
      <c r="E2" s="1942"/>
    </row>
    <row r="3" spans="1:25" s="1786" customFormat="1" ht="18.75" thickTop="1" thickBot="1" x14ac:dyDescent="0.3">
      <c r="A3" s="3362" t="s">
        <v>1185</v>
      </c>
      <c r="B3" s="3364" t="s">
        <v>1186</v>
      </c>
      <c r="C3" s="3365"/>
      <c r="D3" s="3354" t="s">
        <v>1187</v>
      </c>
      <c r="E3" s="3365"/>
    </row>
    <row r="4" spans="1:25" s="1786" customFormat="1" ht="50.25" thickBot="1" x14ac:dyDescent="0.3">
      <c r="A4" s="3363"/>
      <c r="B4" s="1943" t="s">
        <v>1188</v>
      </c>
      <c r="C4" s="1935" t="s">
        <v>1189</v>
      </c>
      <c r="D4" s="1944" t="s">
        <v>1188</v>
      </c>
      <c r="E4" s="1945" t="s">
        <v>1189</v>
      </c>
      <c r="P4" s="1727"/>
      <c r="Q4" s="1727"/>
      <c r="R4" s="1727"/>
      <c r="S4" s="1727"/>
      <c r="T4" s="1727"/>
      <c r="U4" s="1727"/>
      <c r="V4" s="1727"/>
      <c r="W4" s="1727"/>
      <c r="X4" s="1727"/>
      <c r="Y4" s="1727"/>
    </row>
    <row r="5" spans="1:25" s="1786" customFormat="1" ht="5.0999999999999996" customHeight="1" x14ac:dyDescent="0.25">
      <c r="A5" s="1946"/>
      <c r="B5" s="1947"/>
      <c r="C5" s="1948"/>
      <c r="D5" s="1949"/>
      <c r="E5" s="1948"/>
      <c r="P5" s="1727"/>
      <c r="Q5" s="1727"/>
      <c r="R5" s="1727"/>
      <c r="S5" s="1727"/>
      <c r="T5" s="1727"/>
      <c r="U5" s="1727"/>
      <c r="V5" s="1727"/>
      <c r="W5" s="1727"/>
      <c r="X5" s="1727"/>
      <c r="Y5" s="1727"/>
    </row>
    <row r="6" spans="1:25" s="1786" customFormat="1" ht="20.100000000000001" customHeight="1" x14ac:dyDescent="0.25">
      <c r="A6" s="1950" t="s">
        <v>1190</v>
      </c>
      <c r="B6" s="1814">
        <v>61482</v>
      </c>
      <c r="C6" s="1863">
        <v>3</v>
      </c>
      <c r="D6" s="1951" t="s">
        <v>1014</v>
      </c>
      <c r="E6" s="1863" t="s">
        <v>1014</v>
      </c>
    </row>
    <row r="7" spans="1:25" s="1786" customFormat="1" ht="20.100000000000001" customHeight="1" x14ac:dyDescent="0.25">
      <c r="A7" s="1744" t="s">
        <v>1191</v>
      </c>
      <c r="B7" s="1814">
        <v>344214</v>
      </c>
      <c r="C7" s="1863">
        <v>3</v>
      </c>
      <c r="D7" s="1951" t="s">
        <v>1014</v>
      </c>
      <c r="E7" s="1863" t="s">
        <v>1014</v>
      </c>
    </row>
    <row r="8" spans="1:25" s="1786" customFormat="1" ht="20.100000000000001" customHeight="1" x14ac:dyDescent="0.25">
      <c r="A8" s="1744" t="s">
        <v>1192</v>
      </c>
      <c r="B8" s="1814">
        <v>292862</v>
      </c>
      <c r="C8" s="1863">
        <v>3</v>
      </c>
      <c r="D8" s="1951" t="s">
        <v>1014</v>
      </c>
      <c r="E8" s="1863" t="s">
        <v>1014</v>
      </c>
    </row>
    <row r="9" spans="1:25" s="1786" customFormat="1" ht="20.100000000000001" customHeight="1" x14ac:dyDescent="0.25">
      <c r="A9" s="1744" t="s">
        <v>1193</v>
      </c>
      <c r="B9" s="1814">
        <v>198380</v>
      </c>
      <c r="C9" s="1863">
        <v>3</v>
      </c>
      <c r="D9" s="1951" t="s">
        <v>1014</v>
      </c>
      <c r="E9" s="1863" t="s">
        <v>1014</v>
      </c>
    </row>
    <row r="10" spans="1:25" s="1786" customFormat="1" ht="20.100000000000001" customHeight="1" x14ac:dyDescent="0.25">
      <c r="A10" s="1744" t="s">
        <v>1194</v>
      </c>
      <c r="B10" s="1814">
        <v>188068</v>
      </c>
      <c r="C10" s="1863">
        <v>3</v>
      </c>
      <c r="D10" s="1951"/>
      <c r="E10" s="1863"/>
    </row>
    <row r="11" spans="1:25" s="1786" customFormat="1" ht="20.100000000000001" customHeight="1" thickBot="1" x14ac:dyDescent="0.3">
      <c r="A11" s="1952"/>
      <c r="B11" s="1953"/>
      <c r="C11" s="1954"/>
      <c r="D11" s="1955" t="s">
        <v>1014</v>
      </c>
      <c r="E11" s="1954" t="s">
        <v>1014</v>
      </c>
    </row>
    <row r="12" spans="1:25" s="1786" customFormat="1" ht="20.100000000000001" customHeight="1" thickTop="1" x14ac:dyDescent="0.25">
      <c r="A12" s="1956">
        <v>44927</v>
      </c>
      <c r="B12" s="1820">
        <v>135425</v>
      </c>
      <c r="C12" s="1957">
        <v>3.5</v>
      </c>
      <c r="D12" s="1958" t="s">
        <v>1014</v>
      </c>
      <c r="E12" s="1959" t="s">
        <v>1014</v>
      </c>
      <c r="G12" s="1960"/>
    </row>
    <row r="13" spans="1:25" s="1786" customFormat="1" ht="18" thickBot="1" x14ac:dyDescent="0.3">
      <c r="A13" s="1956">
        <v>44958</v>
      </c>
      <c r="B13" s="1820">
        <v>205855</v>
      </c>
      <c r="C13" s="1961">
        <v>3.5</v>
      </c>
      <c r="D13" s="1962" t="s">
        <v>1014</v>
      </c>
      <c r="E13" s="1963" t="s">
        <v>1014</v>
      </c>
      <c r="G13" s="1960"/>
    </row>
    <row r="14" spans="1:25" s="1786" customFormat="1" ht="18.75" thickTop="1" thickBot="1" x14ac:dyDescent="0.3">
      <c r="A14" s="1956">
        <v>44986</v>
      </c>
      <c r="B14" s="1820">
        <v>99591</v>
      </c>
      <c r="C14" s="1961">
        <v>3.5</v>
      </c>
      <c r="D14" s="1962" t="s">
        <v>1014</v>
      </c>
      <c r="E14" s="1963" t="s">
        <v>1014</v>
      </c>
      <c r="G14" s="1960"/>
    </row>
    <row r="15" spans="1:25" s="1786" customFormat="1" ht="18.75" thickTop="1" thickBot="1" x14ac:dyDescent="0.3">
      <c r="A15" s="1956">
        <v>45017</v>
      </c>
      <c r="B15" s="1820">
        <v>102800</v>
      </c>
      <c r="C15" s="1961">
        <v>3.5</v>
      </c>
      <c r="D15" s="1962"/>
      <c r="E15" s="1963"/>
      <c r="G15" s="1960"/>
    </row>
    <row r="16" spans="1:25" s="1786" customFormat="1" ht="18.75" thickTop="1" thickBot="1" x14ac:dyDescent="0.3">
      <c r="A16" s="1956">
        <v>45047</v>
      </c>
      <c r="B16" s="1820">
        <v>87021</v>
      </c>
      <c r="C16" s="1961">
        <v>3.5</v>
      </c>
      <c r="D16" s="1962"/>
      <c r="E16" s="1963"/>
      <c r="G16" s="1960"/>
    </row>
    <row r="17" spans="1:136" s="1786" customFormat="1" ht="18.75" thickTop="1" thickBot="1" x14ac:dyDescent="0.3">
      <c r="A17" s="1956">
        <v>45078</v>
      </c>
      <c r="B17" s="1820">
        <v>104095</v>
      </c>
      <c r="C17" s="1961">
        <v>3.5</v>
      </c>
      <c r="D17" s="1962"/>
      <c r="E17" s="1963"/>
      <c r="G17" s="1960"/>
    </row>
    <row r="18" spans="1:136" s="1786" customFormat="1" ht="18.75" thickTop="1" thickBot="1" x14ac:dyDescent="0.3">
      <c r="A18" s="1956">
        <v>45108</v>
      </c>
      <c r="B18" s="1820">
        <v>1479161</v>
      </c>
      <c r="C18" s="1961" t="s">
        <v>1195</v>
      </c>
      <c r="D18" s="1962"/>
      <c r="E18" s="1963"/>
    </row>
    <row r="19" spans="1:136" s="1786" customFormat="1" ht="18.75" thickTop="1" thickBot="1" x14ac:dyDescent="0.3">
      <c r="A19" s="1956">
        <v>45139</v>
      </c>
      <c r="B19" s="1820">
        <v>1892228</v>
      </c>
      <c r="C19" s="1961">
        <v>3</v>
      </c>
      <c r="D19" s="1962"/>
      <c r="E19" s="1963"/>
    </row>
    <row r="20" spans="1:136" s="1786" customFormat="1" ht="18.75" thickTop="1" thickBot="1" x14ac:dyDescent="0.3">
      <c r="A20" s="1956">
        <v>45170</v>
      </c>
      <c r="B20" s="1820">
        <v>1085006</v>
      </c>
      <c r="C20" s="1961">
        <v>3</v>
      </c>
      <c r="D20" s="1962"/>
      <c r="E20" s="1963"/>
    </row>
    <row r="21" spans="1:136" s="1786" customFormat="1" ht="18.75" thickTop="1" thickBot="1" x14ac:dyDescent="0.3">
      <c r="A21" s="1964"/>
      <c r="B21" s="1965"/>
      <c r="C21" s="1966"/>
      <c r="D21" s="1962"/>
      <c r="E21" s="1963"/>
    </row>
    <row r="22" spans="1:136" s="1540" customFormat="1" ht="15.95" customHeight="1" thickTop="1" x14ac:dyDescent="0.25">
      <c r="A22" s="1540" t="s">
        <v>1196</v>
      </c>
      <c r="ED22" s="1677"/>
      <c r="EE22" s="1677"/>
      <c r="EF22" s="1677"/>
    </row>
    <row r="23" spans="1:136" s="1543" customFormat="1" ht="15.75" customHeight="1" x14ac:dyDescent="0.25">
      <c r="A23" s="1543" t="s">
        <v>0</v>
      </c>
      <c r="ED23" s="1710"/>
      <c r="EE23" s="1710"/>
      <c r="EF23" s="1710"/>
    </row>
    <row r="27" spans="1:136" ht="17.25" x14ac:dyDescent="0.25"/>
  </sheetData>
  <mergeCells count="3">
    <mergeCell ref="A3:A4"/>
    <mergeCell ref="B3:C3"/>
    <mergeCell ref="D3:E3"/>
  </mergeCells>
  <pageMargins left="0.7" right="0.7" top="0.75" bottom="0.75" header="0.3" footer="0.3"/>
  <pageSetup paperSize="9" fitToHeight="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IW336"/>
  <sheetViews>
    <sheetView topLeftCell="A24" zoomScale="96" zoomScaleNormal="96" zoomScaleSheetLayoutView="90" workbookViewId="0">
      <selection activeCell="A38" sqref="A38"/>
    </sheetView>
  </sheetViews>
  <sheetFormatPr defaultRowHeight="14.25" x14ac:dyDescent="0.25"/>
  <cols>
    <col min="1" max="1" width="15.7109375" style="1968" customWidth="1"/>
    <col min="2" max="4" width="15.7109375" style="631" customWidth="1"/>
    <col min="5" max="5" width="18" style="631" customWidth="1"/>
    <col min="6" max="8" width="15.7109375" style="631" customWidth="1"/>
    <col min="9" max="9" width="2" style="631" customWidth="1"/>
    <col min="10" max="10" width="7.140625" style="631" customWidth="1"/>
    <col min="11" max="11" width="16.140625" style="631" bestFit="1" customWidth="1"/>
    <col min="12" max="12" width="17" style="631" bestFit="1" customWidth="1"/>
    <col min="13" max="13" width="17.28515625" style="631" bestFit="1" customWidth="1"/>
    <col min="14" max="17" width="16.140625" style="631" bestFit="1" customWidth="1"/>
    <col min="18" max="21" width="16" style="631" bestFit="1" customWidth="1"/>
    <col min="22" max="257" width="9.140625" style="631"/>
    <col min="258" max="263" width="15.7109375" style="631" customWidth="1"/>
    <col min="264" max="264" width="2" style="631" customWidth="1"/>
    <col min="265" max="265" width="8.140625" style="631" customWidth="1"/>
    <col min="266" max="266" width="10.85546875" style="631" customWidth="1"/>
    <col min="267" max="268" width="9.140625" style="631"/>
    <col min="269" max="269" width="11.28515625" style="631" bestFit="1" customWidth="1"/>
    <col min="270" max="513" width="9.140625" style="631"/>
    <col min="514" max="519" width="15.7109375" style="631" customWidth="1"/>
    <col min="520" max="520" width="2" style="631" customWidth="1"/>
    <col min="521" max="521" width="8.140625" style="631" customWidth="1"/>
    <col min="522" max="522" width="10.85546875" style="631" customWidth="1"/>
    <col min="523" max="524" width="9.140625" style="631"/>
    <col min="525" max="525" width="11.28515625" style="631" bestFit="1" customWidth="1"/>
    <col min="526" max="769" width="9.140625" style="631"/>
    <col min="770" max="775" width="15.7109375" style="631" customWidth="1"/>
    <col min="776" max="776" width="2" style="631" customWidth="1"/>
    <col min="777" max="777" width="8.140625" style="631" customWidth="1"/>
    <col min="778" max="778" width="10.85546875" style="631" customWidth="1"/>
    <col min="779" max="780" width="9.140625" style="631"/>
    <col min="781" max="781" width="11.28515625" style="631" bestFit="1" customWidth="1"/>
    <col min="782" max="1025" width="9.140625" style="631"/>
    <col min="1026" max="1031" width="15.7109375" style="631" customWidth="1"/>
    <col min="1032" max="1032" width="2" style="631" customWidth="1"/>
    <col min="1033" max="1033" width="8.140625" style="631" customWidth="1"/>
    <col min="1034" max="1034" width="10.85546875" style="631" customWidth="1"/>
    <col min="1035" max="1036" width="9.140625" style="631"/>
    <col min="1037" max="1037" width="11.28515625" style="631" bestFit="1" customWidth="1"/>
    <col min="1038" max="1281" width="9.140625" style="631"/>
    <col min="1282" max="1287" width="15.7109375" style="631" customWidth="1"/>
    <col min="1288" max="1288" width="2" style="631" customWidth="1"/>
    <col min="1289" max="1289" width="8.140625" style="631" customWidth="1"/>
    <col min="1290" max="1290" width="10.85546875" style="631" customWidth="1"/>
    <col min="1291" max="1292" width="9.140625" style="631"/>
    <col min="1293" max="1293" width="11.28515625" style="631" bestFit="1" customWidth="1"/>
    <col min="1294" max="1537" width="9.140625" style="631"/>
    <col min="1538" max="1543" width="15.7109375" style="631" customWidth="1"/>
    <col min="1544" max="1544" width="2" style="631" customWidth="1"/>
    <col min="1545" max="1545" width="8.140625" style="631" customWidth="1"/>
    <col min="1546" max="1546" width="10.85546875" style="631" customWidth="1"/>
    <col min="1547" max="1548" width="9.140625" style="631"/>
    <col min="1549" max="1549" width="11.28515625" style="631" bestFit="1" customWidth="1"/>
    <col min="1550" max="1793" width="9.140625" style="631"/>
    <col min="1794" max="1799" width="15.7109375" style="631" customWidth="1"/>
    <col min="1800" max="1800" width="2" style="631" customWidth="1"/>
    <col min="1801" max="1801" width="8.140625" style="631" customWidth="1"/>
    <col min="1802" max="1802" width="10.85546875" style="631" customWidth="1"/>
    <col min="1803" max="1804" width="9.140625" style="631"/>
    <col min="1805" max="1805" width="11.28515625" style="631" bestFit="1" customWidth="1"/>
    <col min="1806" max="2049" width="9.140625" style="631"/>
    <col min="2050" max="2055" width="15.7109375" style="631" customWidth="1"/>
    <col min="2056" max="2056" width="2" style="631" customWidth="1"/>
    <col min="2057" max="2057" width="8.140625" style="631" customWidth="1"/>
    <col min="2058" max="2058" width="10.85546875" style="631" customWidth="1"/>
    <col min="2059" max="2060" width="9.140625" style="631"/>
    <col min="2061" max="2061" width="11.28515625" style="631" bestFit="1" customWidth="1"/>
    <col min="2062" max="2305" width="9.140625" style="631"/>
    <col min="2306" max="2311" width="15.7109375" style="631" customWidth="1"/>
    <col min="2312" max="2312" width="2" style="631" customWidth="1"/>
    <col min="2313" max="2313" width="8.140625" style="631" customWidth="1"/>
    <col min="2314" max="2314" width="10.85546875" style="631" customWidth="1"/>
    <col min="2315" max="2316" width="9.140625" style="631"/>
    <col min="2317" max="2317" width="11.28515625" style="631" bestFit="1" customWidth="1"/>
    <col min="2318" max="2561" width="9.140625" style="631"/>
    <col min="2562" max="2567" width="15.7109375" style="631" customWidth="1"/>
    <col min="2568" max="2568" width="2" style="631" customWidth="1"/>
    <col min="2569" max="2569" width="8.140625" style="631" customWidth="1"/>
    <col min="2570" max="2570" width="10.85546875" style="631" customWidth="1"/>
    <col min="2571" max="2572" width="9.140625" style="631"/>
    <col min="2573" max="2573" width="11.28515625" style="631" bestFit="1" customWidth="1"/>
    <col min="2574" max="2817" width="9.140625" style="631"/>
    <col min="2818" max="2823" width="15.7109375" style="631" customWidth="1"/>
    <col min="2824" max="2824" width="2" style="631" customWidth="1"/>
    <col min="2825" max="2825" width="8.140625" style="631" customWidth="1"/>
    <col min="2826" max="2826" width="10.85546875" style="631" customWidth="1"/>
    <col min="2827" max="2828" width="9.140625" style="631"/>
    <col min="2829" max="2829" width="11.28515625" style="631" bestFit="1" customWidth="1"/>
    <col min="2830" max="3073" width="9.140625" style="631"/>
    <col min="3074" max="3079" width="15.7109375" style="631" customWidth="1"/>
    <col min="3080" max="3080" width="2" style="631" customWidth="1"/>
    <col min="3081" max="3081" width="8.140625" style="631" customWidth="1"/>
    <col min="3082" max="3082" width="10.85546875" style="631" customWidth="1"/>
    <col min="3083" max="3084" width="9.140625" style="631"/>
    <col min="3085" max="3085" width="11.28515625" style="631" bestFit="1" customWidth="1"/>
    <col min="3086" max="3329" width="9.140625" style="631"/>
    <col min="3330" max="3335" width="15.7109375" style="631" customWidth="1"/>
    <col min="3336" max="3336" width="2" style="631" customWidth="1"/>
    <col min="3337" max="3337" width="8.140625" style="631" customWidth="1"/>
    <col min="3338" max="3338" width="10.85546875" style="631" customWidth="1"/>
    <col min="3339" max="3340" width="9.140625" style="631"/>
    <col min="3341" max="3341" width="11.28515625" style="631" bestFit="1" customWidth="1"/>
    <col min="3342" max="3585" width="9.140625" style="631"/>
    <col min="3586" max="3591" width="15.7109375" style="631" customWidth="1"/>
    <col min="3592" max="3592" width="2" style="631" customWidth="1"/>
    <col min="3593" max="3593" width="8.140625" style="631" customWidth="1"/>
    <col min="3594" max="3594" width="10.85546875" style="631" customWidth="1"/>
    <col min="3595" max="3596" width="9.140625" style="631"/>
    <col min="3597" max="3597" width="11.28515625" style="631" bestFit="1" customWidth="1"/>
    <col min="3598" max="3841" width="9.140625" style="631"/>
    <col min="3842" max="3847" width="15.7109375" style="631" customWidth="1"/>
    <col min="3848" max="3848" width="2" style="631" customWidth="1"/>
    <col min="3849" max="3849" width="8.140625" style="631" customWidth="1"/>
    <col min="3850" max="3850" width="10.85546875" style="631" customWidth="1"/>
    <col min="3851" max="3852" width="9.140625" style="631"/>
    <col min="3853" max="3853" width="11.28515625" style="631" bestFit="1" customWidth="1"/>
    <col min="3854" max="4097" width="9.140625" style="631"/>
    <col min="4098" max="4103" width="15.7109375" style="631" customWidth="1"/>
    <col min="4104" max="4104" width="2" style="631" customWidth="1"/>
    <col min="4105" max="4105" width="8.140625" style="631" customWidth="1"/>
    <col min="4106" max="4106" width="10.85546875" style="631" customWidth="1"/>
    <col min="4107" max="4108" width="9.140625" style="631"/>
    <col min="4109" max="4109" width="11.28515625" style="631" bestFit="1" customWidth="1"/>
    <col min="4110" max="4353" width="9.140625" style="631"/>
    <col min="4354" max="4359" width="15.7109375" style="631" customWidth="1"/>
    <col min="4360" max="4360" width="2" style="631" customWidth="1"/>
    <col min="4361" max="4361" width="8.140625" style="631" customWidth="1"/>
    <col min="4362" max="4362" width="10.85546875" style="631" customWidth="1"/>
    <col min="4363" max="4364" width="9.140625" style="631"/>
    <col min="4365" max="4365" width="11.28515625" style="631" bestFit="1" customWidth="1"/>
    <col min="4366" max="4609" width="9.140625" style="631"/>
    <col min="4610" max="4615" width="15.7109375" style="631" customWidth="1"/>
    <col min="4616" max="4616" width="2" style="631" customWidth="1"/>
    <col min="4617" max="4617" width="8.140625" style="631" customWidth="1"/>
    <col min="4618" max="4618" width="10.85546875" style="631" customWidth="1"/>
    <col min="4619" max="4620" width="9.140625" style="631"/>
    <col min="4621" max="4621" width="11.28515625" style="631" bestFit="1" customWidth="1"/>
    <col min="4622" max="4865" width="9.140625" style="631"/>
    <col min="4866" max="4871" width="15.7109375" style="631" customWidth="1"/>
    <col min="4872" max="4872" width="2" style="631" customWidth="1"/>
    <col min="4873" max="4873" width="8.140625" style="631" customWidth="1"/>
    <col min="4874" max="4874" width="10.85546875" style="631" customWidth="1"/>
    <col min="4875" max="4876" width="9.140625" style="631"/>
    <col min="4877" max="4877" width="11.28515625" style="631" bestFit="1" customWidth="1"/>
    <col min="4878" max="5121" width="9.140625" style="631"/>
    <col min="5122" max="5127" width="15.7109375" style="631" customWidth="1"/>
    <col min="5128" max="5128" width="2" style="631" customWidth="1"/>
    <col min="5129" max="5129" width="8.140625" style="631" customWidth="1"/>
    <col min="5130" max="5130" width="10.85546875" style="631" customWidth="1"/>
    <col min="5131" max="5132" width="9.140625" style="631"/>
    <col min="5133" max="5133" width="11.28515625" style="631" bestFit="1" customWidth="1"/>
    <col min="5134" max="5377" width="9.140625" style="631"/>
    <col min="5378" max="5383" width="15.7109375" style="631" customWidth="1"/>
    <col min="5384" max="5384" width="2" style="631" customWidth="1"/>
    <col min="5385" max="5385" width="8.140625" style="631" customWidth="1"/>
    <col min="5386" max="5386" width="10.85546875" style="631" customWidth="1"/>
    <col min="5387" max="5388" width="9.140625" style="631"/>
    <col min="5389" max="5389" width="11.28515625" style="631" bestFit="1" customWidth="1"/>
    <col min="5390" max="5633" width="9.140625" style="631"/>
    <col min="5634" max="5639" width="15.7109375" style="631" customWidth="1"/>
    <col min="5640" max="5640" width="2" style="631" customWidth="1"/>
    <col min="5641" max="5641" width="8.140625" style="631" customWidth="1"/>
    <col min="5642" max="5642" width="10.85546875" style="631" customWidth="1"/>
    <col min="5643" max="5644" width="9.140625" style="631"/>
    <col min="5645" max="5645" width="11.28515625" style="631" bestFit="1" customWidth="1"/>
    <col min="5646" max="5889" width="9.140625" style="631"/>
    <col min="5890" max="5895" width="15.7109375" style="631" customWidth="1"/>
    <col min="5896" max="5896" width="2" style="631" customWidth="1"/>
    <col min="5897" max="5897" width="8.140625" style="631" customWidth="1"/>
    <col min="5898" max="5898" width="10.85546875" style="631" customWidth="1"/>
    <col min="5899" max="5900" width="9.140625" style="631"/>
    <col min="5901" max="5901" width="11.28515625" style="631" bestFit="1" customWidth="1"/>
    <col min="5902" max="6145" width="9.140625" style="631"/>
    <col min="6146" max="6151" width="15.7109375" style="631" customWidth="1"/>
    <col min="6152" max="6152" width="2" style="631" customWidth="1"/>
    <col min="6153" max="6153" width="8.140625" style="631" customWidth="1"/>
    <col min="6154" max="6154" width="10.85546875" style="631" customWidth="1"/>
    <col min="6155" max="6156" width="9.140625" style="631"/>
    <col min="6157" max="6157" width="11.28515625" style="631" bestFit="1" customWidth="1"/>
    <col min="6158" max="6401" width="9.140625" style="631"/>
    <col min="6402" max="6407" width="15.7109375" style="631" customWidth="1"/>
    <col min="6408" max="6408" width="2" style="631" customWidth="1"/>
    <col min="6409" max="6409" width="8.140625" style="631" customWidth="1"/>
    <col min="6410" max="6410" width="10.85546875" style="631" customWidth="1"/>
    <col min="6411" max="6412" width="9.140625" style="631"/>
    <col min="6413" max="6413" width="11.28515625" style="631" bestFit="1" customWidth="1"/>
    <col min="6414" max="6657" width="9.140625" style="631"/>
    <col min="6658" max="6663" width="15.7109375" style="631" customWidth="1"/>
    <col min="6664" max="6664" width="2" style="631" customWidth="1"/>
    <col min="6665" max="6665" width="8.140625" style="631" customWidth="1"/>
    <col min="6666" max="6666" width="10.85546875" style="631" customWidth="1"/>
    <col min="6667" max="6668" width="9.140625" style="631"/>
    <col min="6669" max="6669" width="11.28515625" style="631" bestFit="1" customWidth="1"/>
    <col min="6670" max="6913" width="9.140625" style="631"/>
    <col min="6914" max="6919" width="15.7109375" style="631" customWidth="1"/>
    <col min="6920" max="6920" width="2" style="631" customWidth="1"/>
    <col min="6921" max="6921" width="8.140625" style="631" customWidth="1"/>
    <col min="6922" max="6922" width="10.85546875" style="631" customWidth="1"/>
    <col min="6923" max="6924" width="9.140625" style="631"/>
    <col min="6925" max="6925" width="11.28515625" style="631" bestFit="1" customWidth="1"/>
    <col min="6926" max="7169" width="9.140625" style="631"/>
    <col min="7170" max="7175" width="15.7109375" style="631" customWidth="1"/>
    <col min="7176" max="7176" width="2" style="631" customWidth="1"/>
    <col min="7177" max="7177" width="8.140625" style="631" customWidth="1"/>
    <col min="7178" max="7178" width="10.85546875" style="631" customWidth="1"/>
    <col min="7179" max="7180" width="9.140625" style="631"/>
    <col min="7181" max="7181" width="11.28515625" style="631" bestFit="1" customWidth="1"/>
    <col min="7182" max="7425" width="9.140625" style="631"/>
    <col min="7426" max="7431" width="15.7109375" style="631" customWidth="1"/>
    <col min="7432" max="7432" width="2" style="631" customWidth="1"/>
    <col min="7433" max="7433" width="8.140625" style="631" customWidth="1"/>
    <col min="7434" max="7434" width="10.85546875" style="631" customWidth="1"/>
    <col min="7435" max="7436" width="9.140625" style="631"/>
    <col min="7437" max="7437" width="11.28515625" style="631" bestFit="1" customWidth="1"/>
    <col min="7438" max="7681" width="9.140625" style="631"/>
    <col min="7682" max="7687" width="15.7109375" style="631" customWidth="1"/>
    <col min="7688" max="7688" width="2" style="631" customWidth="1"/>
    <col min="7689" max="7689" width="8.140625" style="631" customWidth="1"/>
    <col min="7690" max="7690" width="10.85546875" style="631" customWidth="1"/>
    <col min="7691" max="7692" width="9.140625" style="631"/>
    <col min="7693" max="7693" width="11.28515625" style="631" bestFit="1" customWidth="1"/>
    <col min="7694" max="7937" width="9.140625" style="631"/>
    <col min="7938" max="7943" width="15.7109375" style="631" customWidth="1"/>
    <col min="7944" max="7944" width="2" style="631" customWidth="1"/>
    <col min="7945" max="7945" width="8.140625" style="631" customWidth="1"/>
    <col min="7946" max="7946" width="10.85546875" style="631" customWidth="1"/>
    <col min="7947" max="7948" width="9.140625" style="631"/>
    <col min="7949" max="7949" width="11.28515625" style="631" bestFit="1" customWidth="1"/>
    <col min="7950" max="8193" width="9.140625" style="631"/>
    <col min="8194" max="8199" width="15.7109375" style="631" customWidth="1"/>
    <col min="8200" max="8200" width="2" style="631" customWidth="1"/>
    <col min="8201" max="8201" width="8.140625" style="631" customWidth="1"/>
    <col min="8202" max="8202" width="10.85546875" style="631" customWidth="1"/>
    <col min="8203" max="8204" width="9.140625" style="631"/>
    <col min="8205" max="8205" width="11.28515625" style="631" bestFit="1" customWidth="1"/>
    <col min="8206" max="8449" width="9.140625" style="631"/>
    <col min="8450" max="8455" width="15.7109375" style="631" customWidth="1"/>
    <col min="8456" max="8456" width="2" style="631" customWidth="1"/>
    <col min="8457" max="8457" width="8.140625" style="631" customWidth="1"/>
    <col min="8458" max="8458" width="10.85546875" style="631" customWidth="1"/>
    <col min="8459" max="8460" width="9.140625" style="631"/>
    <col min="8461" max="8461" width="11.28515625" style="631" bestFit="1" customWidth="1"/>
    <col min="8462" max="8705" width="9.140625" style="631"/>
    <col min="8706" max="8711" width="15.7109375" style="631" customWidth="1"/>
    <col min="8712" max="8712" width="2" style="631" customWidth="1"/>
    <col min="8713" max="8713" width="8.140625" style="631" customWidth="1"/>
    <col min="8714" max="8714" width="10.85546875" style="631" customWidth="1"/>
    <col min="8715" max="8716" width="9.140625" style="631"/>
    <col min="8717" max="8717" width="11.28515625" style="631" bestFit="1" customWidth="1"/>
    <col min="8718" max="8961" width="9.140625" style="631"/>
    <col min="8962" max="8967" width="15.7109375" style="631" customWidth="1"/>
    <col min="8968" max="8968" width="2" style="631" customWidth="1"/>
    <col min="8969" max="8969" width="8.140625" style="631" customWidth="1"/>
    <col min="8970" max="8970" width="10.85546875" style="631" customWidth="1"/>
    <col min="8971" max="8972" width="9.140625" style="631"/>
    <col min="8973" max="8973" width="11.28515625" style="631" bestFit="1" customWidth="1"/>
    <col min="8974" max="9217" width="9.140625" style="631"/>
    <col min="9218" max="9223" width="15.7109375" style="631" customWidth="1"/>
    <col min="9224" max="9224" width="2" style="631" customWidth="1"/>
    <col min="9225" max="9225" width="8.140625" style="631" customWidth="1"/>
    <col min="9226" max="9226" width="10.85546875" style="631" customWidth="1"/>
    <col min="9227" max="9228" width="9.140625" style="631"/>
    <col min="9229" max="9229" width="11.28515625" style="631" bestFit="1" customWidth="1"/>
    <col min="9230" max="9473" width="9.140625" style="631"/>
    <col min="9474" max="9479" width="15.7109375" style="631" customWidth="1"/>
    <col min="9480" max="9480" width="2" style="631" customWidth="1"/>
    <col min="9481" max="9481" width="8.140625" style="631" customWidth="1"/>
    <col min="9482" max="9482" width="10.85546875" style="631" customWidth="1"/>
    <col min="9483" max="9484" width="9.140625" style="631"/>
    <col min="9485" max="9485" width="11.28515625" style="631" bestFit="1" customWidth="1"/>
    <col min="9486" max="9729" width="9.140625" style="631"/>
    <col min="9730" max="9735" width="15.7109375" style="631" customWidth="1"/>
    <col min="9736" max="9736" width="2" style="631" customWidth="1"/>
    <col min="9737" max="9737" width="8.140625" style="631" customWidth="1"/>
    <col min="9738" max="9738" width="10.85546875" style="631" customWidth="1"/>
    <col min="9739" max="9740" width="9.140625" style="631"/>
    <col min="9741" max="9741" width="11.28515625" style="631" bestFit="1" customWidth="1"/>
    <col min="9742" max="9985" width="9.140625" style="631"/>
    <col min="9986" max="9991" width="15.7109375" style="631" customWidth="1"/>
    <col min="9992" max="9992" width="2" style="631" customWidth="1"/>
    <col min="9993" max="9993" width="8.140625" style="631" customWidth="1"/>
    <col min="9994" max="9994" width="10.85546875" style="631" customWidth="1"/>
    <col min="9995" max="9996" width="9.140625" style="631"/>
    <col min="9997" max="9997" width="11.28515625" style="631" bestFit="1" customWidth="1"/>
    <col min="9998" max="10241" width="9.140625" style="631"/>
    <col min="10242" max="10247" width="15.7109375" style="631" customWidth="1"/>
    <col min="10248" max="10248" width="2" style="631" customWidth="1"/>
    <col min="10249" max="10249" width="8.140625" style="631" customWidth="1"/>
    <col min="10250" max="10250" width="10.85546875" style="631" customWidth="1"/>
    <col min="10251" max="10252" width="9.140625" style="631"/>
    <col min="10253" max="10253" width="11.28515625" style="631" bestFit="1" customWidth="1"/>
    <col min="10254" max="10497" width="9.140625" style="631"/>
    <col min="10498" max="10503" width="15.7109375" style="631" customWidth="1"/>
    <col min="10504" max="10504" width="2" style="631" customWidth="1"/>
    <col min="10505" max="10505" width="8.140625" style="631" customWidth="1"/>
    <col min="10506" max="10506" width="10.85546875" style="631" customWidth="1"/>
    <col min="10507" max="10508" width="9.140625" style="631"/>
    <col min="10509" max="10509" width="11.28515625" style="631" bestFit="1" customWidth="1"/>
    <col min="10510" max="10753" width="9.140625" style="631"/>
    <col min="10754" max="10759" width="15.7109375" style="631" customWidth="1"/>
    <col min="10760" max="10760" width="2" style="631" customWidth="1"/>
    <col min="10761" max="10761" width="8.140625" style="631" customWidth="1"/>
    <col min="10762" max="10762" width="10.85546875" style="631" customWidth="1"/>
    <col min="10763" max="10764" width="9.140625" style="631"/>
    <col min="10765" max="10765" width="11.28515625" style="631" bestFit="1" customWidth="1"/>
    <col min="10766" max="11009" width="9.140625" style="631"/>
    <col min="11010" max="11015" width="15.7109375" style="631" customWidth="1"/>
    <col min="11016" max="11016" width="2" style="631" customWidth="1"/>
    <col min="11017" max="11017" width="8.140625" style="631" customWidth="1"/>
    <col min="11018" max="11018" width="10.85546875" style="631" customWidth="1"/>
    <col min="11019" max="11020" width="9.140625" style="631"/>
    <col min="11021" max="11021" width="11.28515625" style="631" bestFit="1" customWidth="1"/>
    <col min="11022" max="11265" width="9.140625" style="631"/>
    <col min="11266" max="11271" width="15.7109375" style="631" customWidth="1"/>
    <col min="11272" max="11272" width="2" style="631" customWidth="1"/>
    <col min="11273" max="11273" width="8.140625" style="631" customWidth="1"/>
    <col min="11274" max="11274" width="10.85546875" style="631" customWidth="1"/>
    <col min="11275" max="11276" width="9.140625" style="631"/>
    <col min="11277" max="11277" width="11.28515625" style="631" bestFit="1" customWidth="1"/>
    <col min="11278" max="11521" width="9.140625" style="631"/>
    <col min="11522" max="11527" width="15.7109375" style="631" customWidth="1"/>
    <col min="11528" max="11528" width="2" style="631" customWidth="1"/>
    <col min="11529" max="11529" width="8.140625" style="631" customWidth="1"/>
    <col min="11530" max="11530" width="10.85546875" style="631" customWidth="1"/>
    <col min="11531" max="11532" width="9.140625" style="631"/>
    <col min="11533" max="11533" width="11.28515625" style="631" bestFit="1" customWidth="1"/>
    <col min="11534" max="11777" width="9.140625" style="631"/>
    <col min="11778" max="11783" width="15.7109375" style="631" customWidth="1"/>
    <col min="11784" max="11784" width="2" style="631" customWidth="1"/>
    <col min="11785" max="11785" width="8.140625" style="631" customWidth="1"/>
    <col min="11786" max="11786" width="10.85546875" style="631" customWidth="1"/>
    <col min="11787" max="11788" width="9.140625" style="631"/>
    <col min="11789" max="11789" width="11.28515625" style="631" bestFit="1" customWidth="1"/>
    <col min="11790" max="12033" width="9.140625" style="631"/>
    <col min="12034" max="12039" width="15.7109375" style="631" customWidth="1"/>
    <col min="12040" max="12040" width="2" style="631" customWidth="1"/>
    <col min="12041" max="12041" width="8.140625" style="631" customWidth="1"/>
    <col min="12042" max="12042" width="10.85546875" style="631" customWidth="1"/>
    <col min="12043" max="12044" width="9.140625" style="631"/>
    <col min="12045" max="12045" width="11.28515625" style="631" bestFit="1" customWidth="1"/>
    <col min="12046" max="12289" width="9.140625" style="631"/>
    <col min="12290" max="12295" width="15.7109375" style="631" customWidth="1"/>
    <col min="12296" max="12296" width="2" style="631" customWidth="1"/>
    <col min="12297" max="12297" width="8.140625" style="631" customWidth="1"/>
    <col min="12298" max="12298" width="10.85546875" style="631" customWidth="1"/>
    <col min="12299" max="12300" width="9.140625" style="631"/>
    <col min="12301" max="12301" width="11.28515625" style="631" bestFit="1" customWidth="1"/>
    <col min="12302" max="12545" width="9.140625" style="631"/>
    <col min="12546" max="12551" width="15.7109375" style="631" customWidth="1"/>
    <col min="12552" max="12552" width="2" style="631" customWidth="1"/>
    <col min="12553" max="12553" width="8.140625" style="631" customWidth="1"/>
    <col min="12554" max="12554" width="10.85546875" style="631" customWidth="1"/>
    <col min="12555" max="12556" width="9.140625" style="631"/>
    <col min="12557" max="12557" width="11.28515625" style="631" bestFit="1" customWidth="1"/>
    <col min="12558" max="12801" width="9.140625" style="631"/>
    <col min="12802" max="12807" width="15.7109375" style="631" customWidth="1"/>
    <col min="12808" max="12808" width="2" style="631" customWidth="1"/>
    <col min="12809" max="12809" width="8.140625" style="631" customWidth="1"/>
    <col min="12810" max="12810" width="10.85546875" style="631" customWidth="1"/>
    <col min="12811" max="12812" width="9.140625" style="631"/>
    <col min="12813" max="12813" width="11.28515625" style="631" bestFit="1" customWidth="1"/>
    <col min="12814" max="13057" width="9.140625" style="631"/>
    <col min="13058" max="13063" width="15.7109375" style="631" customWidth="1"/>
    <col min="13064" max="13064" width="2" style="631" customWidth="1"/>
    <col min="13065" max="13065" width="8.140625" style="631" customWidth="1"/>
    <col min="13066" max="13066" width="10.85546875" style="631" customWidth="1"/>
    <col min="13067" max="13068" width="9.140625" style="631"/>
    <col min="13069" max="13069" width="11.28515625" style="631" bestFit="1" customWidth="1"/>
    <col min="13070" max="13313" width="9.140625" style="631"/>
    <col min="13314" max="13319" width="15.7109375" style="631" customWidth="1"/>
    <col min="13320" max="13320" width="2" style="631" customWidth="1"/>
    <col min="13321" max="13321" width="8.140625" style="631" customWidth="1"/>
    <col min="13322" max="13322" width="10.85546875" style="631" customWidth="1"/>
    <col min="13323" max="13324" width="9.140625" style="631"/>
    <col min="13325" max="13325" width="11.28515625" style="631" bestFit="1" customWidth="1"/>
    <col min="13326" max="13569" width="9.140625" style="631"/>
    <col min="13570" max="13575" width="15.7109375" style="631" customWidth="1"/>
    <col min="13576" max="13576" width="2" style="631" customWidth="1"/>
    <col min="13577" max="13577" width="8.140625" style="631" customWidth="1"/>
    <col min="13578" max="13578" width="10.85546875" style="631" customWidth="1"/>
    <col min="13579" max="13580" width="9.140625" style="631"/>
    <col min="13581" max="13581" width="11.28515625" style="631" bestFit="1" customWidth="1"/>
    <col min="13582" max="13825" width="9.140625" style="631"/>
    <col min="13826" max="13831" width="15.7109375" style="631" customWidth="1"/>
    <col min="13832" max="13832" width="2" style="631" customWidth="1"/>
    <col min="13833" max="13833" width="8.140625" style="631" customWidth="1"/>
    <col min="13834" max="13834" width="10.85546875" style="631" customWidth="1"/>
    <col min="13835" max="13836" width="9.140625" style="631"/>
    <col min="13837" max="13837" width="11.28515625" style="631" bestFit="1" customWidth="1"/>
    <col min="13838" max="14081" width="9.140625" style="631"/>
    <col min="14082" max="14087" width="15.7109375" style="631" customWidth="1"/>
    <col min="14088" max="14088" width="2" style="631" customWidth="1"/>
    <col min="14089" max="14089" width="8.140625" style="631" customWidth="1"/>
    <col min="14090" max="14090" width="10.85546875" style="631" customWidth="1"/>
    <col min="14091" max="14092" width="9.140625" style="631"/>
    <col min="14093" max="14093" width="11.28515625" style="631" bestFit="1" customWidth="1"/>
    <col min="14094" max="14337" width="9.140625" style="631"/>
    <col min="14338" max="14343" width="15.7109375" style="631" customWidth="1"/>
    <col min="14344" max="14344" width="2" style="631" customWidth="1"/>
    <col min="14345" max="14345" width="8.140625" style="631" customWidth="1"/>
    <col min="14346" max="14346" width="10.85546875" style="631" customWidth="1"/>
    <col min="14347" max="14348" width="9.140625" style="631"/>
    <col min="14349" max="14349" width="11.28515625" style="631" bestFit="1" customWidth="1"/>
    <col min="14350" max="14593" width="9.140625" style="631"/>
    <col min="14594" max="14599" width="15.7109375" style="631" customWidth="1"/>
    <col min="14600" max="14600" width="2" style="631" customWidth="1"/>
    <col min="14601" max="14601" width="8.140625" style="631" customWidth="1"/>
    <col min="14602" max="14602" width="10.85546875" style="631" customWidth="1"/>
    <col min="14603" max="14604" width="9.140625" style="631"/>
    <col min="14605" max="14605" width="11.28515625" style="631" bestFit="1" customWidth="1"/>
    <col min="14606" max="14849" width="9.140625" style="631"/>
    <col min="14850" max="14855" width="15.7109375" style="631" customWidth="1"/>
    <col min="14856" max="14856" width="2" style="631" customWidth="1"/>
    <col min="14857" max="14857" width="8.140625" style="631" customWidth="1"/>
    <col min="14858" max="14858" width="10.85546875" style="631" customWidth="1"/>
    <col min="14859" max="14860" width="9.140625" style="631"/>
    <col min="14861" max="14861" width="11.28515625" style="631" bestFit="1" customWidth="1"/>
    <col min="14862" max="15105" width="9.140625" style="631"/>
    <col min="15106" max="15111" width="15.7109375" style="631" customWidth="1"/>
    <col min="15112" max="15112" width="2" style="631" customWidth="1"/>
    <col min="15113" max="15113" width="8.140625" style="631" customWidth="1"/>
    <col min="15114" max="15114" width="10.85546875" style="631" customWidth="1"/>
    <col min="15115" max="15116" width="9.140625" style="631"/>
    <col min="15117" max="15117" width="11.28515625" style="631" bestFit="1" customWidth="1"/>
    <col min="15118" max="15361" width="9.140625" style="631"/>
    <col min="15362" max="15367" width="15.7109375" style="631" customWidth="1"/>
    <col min="15368" max="15368" width="2" style="631" customWidth="1"/>
    <col min="15369" max="15369" width="8.140625" style="631" customWidth="1"/>
    <col min="15370" max="15370" width="10.85546875" style="631" customWidth="1"/>
    <col min="15371" max="15372" width="9.140625" style="631"/>
    <col min="15373" max="15373" width="11.28515625" style="631" bestFit="1" customWidth="1"/>
    <col min="15374" max="15617" width="9.140625" style="631"/>
    <col min="15618" max="15623" width="15.7109375" style="631" customWidth="1"/>
    <col min="15624" max="15624" width="2" style="631" customWidth="1"/>
    <col min="15625" max="15625" width="8.140625" style="631" customWidth="1"/>
    <col min="15626" max="15626" width="10.85546875" style="631" customWidth="1"/>
    <col min="15627" max="15628" width="9.140625" style="631"/>
    <col min="15629" max="15629" width="11.28515625" style="631" bestFit="1" customWidth="1"/>
    <col min="15630" max="15873" width="9.140625" style="631"/>
    <col min="15874" max="15879" width="15.7109375" style="631" customWidth="1"/>
    <col min="15880" max="15880" width="2" style="631" customWidth="1"/>
    <col min="15881" max="15881" width="8.140625" style="631" customWidth="1"/>
    <col min="15882" max="15882" width="10.85546875" style="631" customWidth="1"/>
    <col min="15883" max="15884" width="9.140625" style="631"/>
    <col min="15885" max="15885" width="11.28515625" style="631" bestFit="1" customWidth="1"/>
    <col min="15886" max="16129" width="9.140625" style="631"/>
    <col min="16130" max="16135" width="15.7109375" style="631" customWidth="1"/>
    <col min="16136" max="16136" width="2" style="631" customWidth="1"/>
    <col min="16137" max="16137" width="8.140625" style="631" customWidth="1"/>
    <col min="16138" max="16138" width="10.85546875" style="631" customWidth="1"/>
    <col min="16139" max="16140" width="9.140625" style="631"/>
    <col min="16141" max="16141" width="11.28515625" style="631" bestFit="1" customWidth="1"/>
    <col min="16142" max="16384" width="9.140625" style="631"/>
  </cols>
  <sheetData>
    <row r="1" spans="1:257" ht="18.75" x14ac:dyDescent="0.25">
      <c r="A1" s="623" t="s">
        <v>1197</v>
      </c>
      <c r="B1" s="1967"/>
      <c r="C1" s="1967"/>
      <c r="D1" s="1967"/>
      <c r="E1" s="1967"/>
      <c r="F1" s="1967"/>
      <c r="G1" s="1967"/>
      <c r="H1" s="1967"/>
      <c r="I1" s="1967"/>
      <c r="J1" s="1967"/>
      <c r="K1" s="1967"/>
      <c r="L1" s="1967"/>
      <c r="M1" s="1967"/>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c r="AL1" s="1967"/>
      <c r="AM1" s="1967"/>
      <c r="AN1" s="1967"/>
      <c r="AO1" s="1967"/>
      <c r="AP1" s="1967"/>
      <c r="AQ1" s="1967"/>
      <c r="AR1" s="1967"/>
      <c r="AS1" s="1967"/>
      <c r="AT1" s="1967"/>
      <c r="AU1" s="1967"/>
      <c r="AV1" s="1967"/>
      <c r="AW1" s="1967"/>
      <c r="AX1" s="1967"/>
      <c r="AY1" s="1967"/>
      <c r="AZ1" s="1967"/>
      <c r="BA1" s="1967"/>
      <c r="BB1" s="1967"/>
      <c r="BC1" s="1967"/>
      <c r="BD1" s="1967"/>
      <c r="BE1" s="1967"/>
      <c r="BF1" s="1967"/>
      <c r="BG1" s="1967"/>
      <c r="BH1" s="1967"/>
      <c r="BI1" s="1967"/>
      <c r="BJ1" s="1967"/>
      <c r="BK1" s="1967"/>
      <c r="BL1" s="1967"/>
      <c r="BM1" s="1967"/>
      <c r="BN1" s="1967"/>
      <c r="BO1" s="1967"/>
      <c r="BP1" s="1967"/>
      <c r="BQ1" s="1967"/>
      <c r="BR1" s="1967"/>
      <c r="BS1" s="1967"/>
      <c r="BT1" s="1967"/>
      <c r="BU1" s="1967"/>
      <c r="BV1" s="1967"/>
      <c r="BW1" s="1967"/>
      <c r="BX1" s="1967"/>
      <c r="BY1" s="1967"/>
      <c r="BZ1" s="1967"/>
      <c r="CA1" s="1967"/>
      <c r="CB1" s="1967"/>
      <c r="CC1" s="1967"/>
      <c r="CD1" s="1967"/>
      <c r="CE1" s="1967"/>
      <c r="CF1" s="1967"/>
      <c r="CG1" s="1967"/>
      <c r="CH1" s="1967"/>
      <c r="CI1" s="1967"/>
      <c r="CJ1" s="1967"/>
      <c r="CK1" s="1967"/>
      <c r="CL1" s="1967"/>
      <c r="CM1" s="1967"/>
      <c r="CN1" s="1967"/>
      <c r="CO1" s="1967"/>
      <c r="CP1" s="1967"/>
      <c r="CQ1" s="1967"/>
      <c r="CR1" s="1967"/>
      <c r="CS1" s="1967"/>
      <c r="CT1" s="1967"/>
      <c r="CU1" s="1967"/>
      <c r="CV1" s="1967"/>
      <c r="CW1" s="1967"/>
      <c r="CX1" s="1967"/>
      <c r="CY1" s="1967"/>
      <c r="CZ1" s="1967"/>
      <c r="DA1" s="1967"/>
      <c r="DB1" s="1967"/>
      <c r="DC1" s="1967"/>
      <c r="DD1" s="1967"/>
      <c r="DE1" s="1967"/>
      <c r="DF1" s="1967"/>
      <c r="DG1" s="1967"/>
      <c r="DH1" s="1967"/>
      <c r="DI1" s="1967"/>
      <c r="DJ1" s="1967"/>
      <c r="DK1" s="1967"/>
      <c r="DL1" s="1967"/>
      <c r="DM1" s="1967"/>
      <c r="DN1" s="1967"/>
      <c r="DO1" s="1967"/>
      <c r="DP1" s="1967"/>
      <c r="DQ1" s="1967"/>
      <c r="DR1" s="1967"/>
      <c r="DS1" s="1967"/>
      <c r="DT1" s="1967"/>
      <c r="DU1" s="1967"/>
      <c r="DV1" s="1967"/>
      <c r="DW1" s="1967"/>
      <c r="DX1" s="1967"/>
      <c r="DY1" s="1967"/>
      <c r="DZ1" s="1967"/>
      <c r="EA1" s="1967"/>
      <c r="EB1" s="1967"/>
      <c r="EC1" s="1967"/>
      <c r="ED1" s="1967"/>
      <c r="EE1" s="1967"/>
      <c r="EF1" s="1967"/>
      <c r="EG1" s="1967"/>
      <c r="EH1" s="1967"/>
      <c r="EI1" s="1967"/>
      <c r="EJ1" s="1967"/>
      <c r="EK1" s="1967"/>
      <c r="EL1" s="1967"/>
      <c r="EM1" s="1967"/>
      <c r="EN1" s="1967"/>
      <c r="EO1" s="1967"/>
      <c r="EP1" s="1967"/>
      <c r="EQ1" s="1967"/>
      <c r="ER1" s="1967"/>
      <c r="ES1" s="1967"/>
      <c r="ET1" s="1967"/>
      <c r="EU1" s="1967"/>
      <c r="EV1" s="1967"/>
      <c r="EW1" s="1967"/>
      <c r="EX1" s="1967"/>
      <c r="EY1" s="1967"/>
      <c r="EZ1" s="1967"/>
      <c r="FA1" s="1967"/>
      <c r="FB1" s="1967"/>
      <c r="FC1" s="1967"/>
      <c r="FD1" s="1967"/>
      <c r="FE1" s="1967"/>
      <c r="FF1" s="1967"/>
      <c r="FG1" s="1967"/>
      <c r="FH1" s="1967"/>
      <c r="FI1" s="1967"/>
      <c r="FJ1" s="1967"/>
      <c r="FK1" s="1967"/>
      <c r="FL1" s="1967"/>
      <c r="FM1" s="1967"/>
      <c r="FN1" s="1967"/>
      <c r="FO1" s="1967"/>
      <c r="FP1" s="1967"/>
      <c r="FQ1" s="1967"/>
      <c r="FR1" s="1967"/>
      <c r="FS1" s="1967"/>
      <c r="FT1" s="1967"/>
      <c r="FU1" s="1967"/>
      <c r="FV1" s="1967"/>
      <c r="FW1" s="1967"/>
      <c r="FX1" s="1967"/>
      <c r="FY1" s="1967"/>
      <c r="FZ1" s="1967"/>
      <c r="GA1" s="1967"/>
      <c r="GB1" s="1967"/>
      <c r="GC1" s="1967"/>
      <c r="GD1" s="1967"/>
      <c r="GE1" s="1967"/>
      <c r="GF1" s="1967"/>
      <c r="GG1" s="1967"/>
      <c r="GH1" s="1967"/>
      <c r="GI1" s="1967"/>
      <c r="GJ1" s="1967"/>
      <c r="GK1" s="1967"/>
      <c r="GL1" s="1967"/>
      <c r="GM1" s="1967"/>
      <c r="GN1" s="1967"/>
      <c r="GO1" s="1967"/>
      <c r="GP1" s="1967"/>
      <c r="GQ1" s="1967"/>
      <c r="GR1" s="1967"/>
      <c r="GS1" s="1967"/>
      <c r="GT1" s="1967"/>
      <c r="GU1" s="1967"/>
      <c r="GV1" s="1967"/>
      <c r="GW1" s="1967"/>
      <c r="GX1" s="1967"/>
      <c r="GY1" s="1967"/>
      <c r="GZ1" s="1967"/>
      <c r="HA1" s="1967"/>
      <c r="HB1" s="1967"/>
      <c r="HC1" s="1967"/>
      <c r="HD1" s="1967"/>
      <c r="HE1" s="1967"/>
      <c r="HF1" s="1967"/>
      <c r="HG1" s="1967"/>
      <c r="HH1" s="1967"/>
      <c r="HI1" s="1967"/>
      <c r="HJ1" s="1967"/>
      <c r="HK1" s="1967"/>
      <c r="HL1" s="1967"/>
      <c r="HM1" s="1967"/>
      <c r="HN1" s="1967"/>
      <c r="HO1" s="1967"/>
      <c r="HP1" s="1967"/>
      <c r="HQ1" s="1967"/>
      <c r="HR1" s="1967"/>
      <c r="HS1" s="1967"/>
      <c r="HT1" s="1967"/>
      <c r="HU1" s="1967"/>
      <c r="HV1" s="1967"/>
      <c r="HW1" s="1967"/>
      <c r="HX1" s="1967"/>
      <c r="HY1" s="1967"/>
      <c r="HZ1" s="1967"/>
      <c r="IA1" s="1967"/>
      <c r="IB1" s="1967"/>
      <c r="IC1" s="1967"/>
      <c r="ID1" s="1967"/>
      <c r="IE1" s="1967"/>
      <c r="IF1" s="1967"/>
      <c r="IG1" s="1967"/>
      <c r="IH1" s="1967"/>
      <c r="II1" s="1967"/>
      <c r="IJ1" s="1967"/>
      <c r="IK1" s="1967"/>
      <c r="IL1" s="1967"/>
      <c r="IM1" s="1967"/>
      <c r="IN1" s="1967"/>
      <c r="IO1" s="1967"/>
      <c r="IP1" s="1967"/>
      <c r="IQ1" s="1967"/>
      <c r="IR1" s="1967"/>
      <c r="IS1" s="1967"/>
      <c r="IT1" s="1967"/>
      <c r="IU1" s="1967"/>
      <c r="IV1" s="1967"/>
      <c r="IW1" s="1967"/>
    </row>
    <row r="2" spans="1:257" ht="15" thickBot="1" x14ac:dyDescent="0.3">
      <c r="H2" s="1969" t="s">
        <v>281</v>
      </c>
    </row>
    <row r="3" spans="1:257" ht="34.5" thickTop="1" thickBot="1" x14ac:dyDescent="0.3">
      <c r="A3" s="1970"/>
      <c r="B3" s="1971" t="s">
        <v>1198</v>
      </c>
      <c r="C3" s="1971" t="s">
        <v>1199</v>
      </c>
      <c r="D3" s="1972" t="s">
        <v>1200</v>
      </c>
      <c r="E3" s="1972" t="s">
        <v>1201</v>
      </c>
      <c r="F3" s="1972" t="s">
        <v>1202</v>
      </c>
      <c r="G3" s="1973" t="s">
        <v>1203</v>
      </c>
      <c r="H3" s="1974" t="s">
        <v>387</v>
      </c>
      <c r="I3" s="1975"/>
      <c r="J3" s="1975"/>
      <c r="K3" s="1975"/>
      <c r="L3" s="1975"/>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75"/>
      <c r="AO3" s="1975"/>
      <c r="AP3" s="1975"/>
      <c r="AQ3" s="1975"/>
      <c r="AR3" s="1975"/>
      <c r="AS3" s="1975"/>
      <c r="AT3" s="1975"/>
      <c r="AU3" s="1975"/>
      <c r="AV3" s="1975"/>
      <c r="AW3" s="1975"/>
      <c r="AX3" s="1975"/>
      <c r="AY3" s="1975"/>
      <c r="AZ3" s="1975"/>
      <c r="BA3" s="1975"/>
      <c r="BB3" s="1975"/>
      <c r="BC3" s="1975"/>
      <c r="BD3" s="1975"/>
      <c r="BE3" s="1975"/>
      <c r="BF3" s="1975"/>
      <c r="BG3" s="1975"/>
      <c r="BH3" s="1975"/>
      <c r="BI3" s="1975"/>
      <c r="BJ3" s="1975"/>
      <c r="BK3" s="1975"/>
      <c r="BL3" s="1975"/>
      <c r="BM3" s="1975"/>
      <c r="BN3" s="1975"/>
      <c r="BO3" s="1975"/>
      <c r="BP3" s="1975"/>
      <c r="BQ3" s="1975"/>
      <c r="BR3" s="1975"/>
      <c r="BS3" s="1975"/>
      <c r="BT3" s="1975"/>
      <c r="BU3" s="1975"/>
      <c r="BV3" s="1975"/>
      <c r="BW3" s="1975"/>
      <c r="BX3" s="1975"/>
      <c r="BY3" s="1975"/>
      <c r="BZ3" s="1975"/>
      <c r="CA3" s="1975"/>
      <c r="CB3" s="1975"/>
      <c r="CC3" s="1975"/>
      <c r="CD3" s="1975"/>
      <c r="CE3" s="1975"/>
      <c r="CF3" s="1975"/>
      <c r="CG3" s="1975"/>
      <c r="CH3" s="1975"/>
      <c r="CI3" s="1975"/>
      <c r="CJ3" s="1975"/>
      <c r="CK3" s="1975"/>
      <c r="CL3" s="1975"/>
      <c r="CM3" s="1975"/>
      <c r="CN3" s="1975"/>
      <c r="CO3" s="1975"/>
      <c r="CP3" s="1975"/>
      <c r="CQ3" s="1975"/>
      <c r="CR3" s="1975"/>
      <c r="CS3" s="1975"/>
      <c r="CT3" s="1975"/>
      <c r="CU3" s="1975"/>
      <c r="CV3" s="1975"/>
      <c r="CW3" s="1975"/>
      <c r="CX3" s="1975"/>
      <c r="CY3" s="1975"/>
      <c r="CZ3" s="1975"/>
      <c r="DA3" s="1975"/>
      <c r="DB3" s="1975"/>
      <c r="DC3" s="1975"/>
      <c r="DD3" s="1975"/>
      <c r="DE3" s="1975"/>
      <c r="DF3" s="1975"/>
      <c r="DG3" s="1975"/>
      <c r="DH3" s="1975"/>
      <c r="DI3" s="1975"/>
      <c r="DJ3" s="1975"/>
      <c r="DK3" s="1975"/>
      <c r="DL3" s="1975"/>
      <c r="DM3" s="1975"/>
      <c r="DN3" s="1975"/>
      <c r="DO3" s="1975"/>
      <c r="DP3" s="1975"/>
      <c r="DQ3" s="1975"/>
      <c r="DR3" s="1975"/>
      <c r="DS3" s="1975"/>
      <c r="DT3" s="1975"/>
      <c r="DU3" s="1975"/>
      <c r="DV3" s="1975"/>
      <c r="DW3" s="1975"/>
      <c r="DX3" s="1975"/>
      <c r="DY3" s="1975"/>
      <c r="DZ3" s="1975"/>
      <c r="EA3" s="1975"/>
      <c r="EB3" s="1975"/>
      <c r="EC3" s="1975"/>
      <c r="ED3" s="1975"/>
      <c r="EE3" s="1975"/>
      <c r="EF3" s="1975"/>
      <c r="EG3" s="1975"/>
      <c r="EH3" s="1975"/>
      <c r="EI3" s="1975"/>
      <c r="EJ3" s="1975"/>
      <c r="EK3" s="1975"/>
      <c r="EL3" s="1975"/>
      <c r="EM3" s="1975"/>
      <c r="EN3" s="1975"/>
      <c r="EO3" s="1975"/>
      <c r="EP3" s="1975"/>
      <c r="EQ3" s="1975"/>
      <c r="ER3" s="1975"/>
      <c r="ES3" s="1975"/>
      <c r="ET3" s="1975"/>
      <c r="EU3" s="1975"/>
      <c r="EV3" s="1975"/>
      <c r="EW3" s="1975"/>
      <c r="EX3" s="1975"/>
      <c r="EY3" s="1975"/>
      <c r="EZ3" s="1975"/>
      <c r="FA3" s="1975"/>
      <c r="FB3" s="1975"/>
      <c r="FC3" s="1975"/>
      <c r="FD3" s="1975"/>
      <c r="FE3" s="1975"/>
      <c r="FF3" s="1975"/>
      <c r="FG3" s="1975"/>
      <c r="FH3" s="1975"/>
      <c r="FI3" s="1975"/>
      <c r="FJ3" s="1975"/>
      <c r="FK3" s="1975"/>
      <c r="FL3" s="1975"/>
      <c r="FM3" s="1975"/>
      <c r="FN3" s="1975"/>
      <c r="FO3" s="1975"/>
      <c r="FP3" s="1975"/>
      <c r="FQ3" s="1975"/>
      <c r="FR3" s="1975"/>
      <c r="FS3" s="1975"/>
      <c r="FT3" s="1975"/>
      <c r="FU3" s="1975"/>
      <c r="FV3" s="1975"/>
      <c r="FW3" s="1975"/>
      <c r="FX3" s="1975"/>
      <c r="FY3" s="1975"/>
      <c r="FZ3" s="1975"/>
      <c r="GA3" s="1975"/>
      <c r="GB3" s="1975"/>
      <c r="GC3" s="1975"/>
      <c r="GD3" s="1975"/>
      <c r="GE3" s="1975"/>
      <c r="GF3" s="1975"/>
      <c r="GG3" s="1975"/>
      <c r="GH3" s="1975"/>
      <c r="GI3" s="1975"/>
      <c r="GJ3" s="1975"/>
      <c r="GK3" s="1975"/>
      <c r="GL3" s="1975"/>
      <c r="GM3" s="1975"/>
      <c r="GN3" s="1975"/>
      <c r="GO3" s="1975"/>
      <c r="GP3" s="1975"/>
      <c r="GQ3" s="1975"/>
      <c r="GR3" s="1975"/>
      <c r="GS3" s="1975"/>
      <c r="GT3" s="1975"/>
      <c r="GU3" s="1975"/>
      <c r="GV3" s="1975"/>
      <c r="GW3" s="1975"/>
      <c r="GX3" s="1975"/>
      <c r="GY3" s="1975"/>
      <c r="GZ3" s="1975"/>
      <c r="HA3" s="1975"/>
      <c r="HB3" s="1975"/>
      <c r="HC3" s="1975"/>
      <c r="HD3" s="1975"/>
      <c r="HE3" s="1975"/>
      <c r="HF3" s="1975"/>
      <c r="HG3" s="1975"/>
      <c r="HH3" s="1975"/>
      <c r="HI3" s="1975"/>
      <c r="HJ3" s="1975"/>
      <c r="HK3" s="1975"/>
      <c r="HL3" s="1975"/>
      <c r="HM3" s="1975"/>
      <c r="HN3" s="1975"/>
      <c r="HO3" s="1975"/>
      <c r="HP3" s="1975"/>
      <c r="HQ3" s="1975"/>
      <c r="HR3" s="1975"/>
      <c r="HS3" s="1975"/>
      <c r="HT3" s="1975"/>
      <c r="HU3" s="1975"/>
      <c r="HV3" s="1975"/>
      <c r="HW3" s="1975"/>
      <c r="HX3" s="1975"/>
      <c r="HY3" s="1975"/>
      <c r="HZ3" s="1975"/>
      <c r="IA3" s="1975"/>
      <c r="IB3" s="1975"/>
      <c r="IC3" s="1975"/>
      <c r="ID3" s="1975"/>
      <c r="IE3" s="1975"/>
      <c r="IF3" s="1975"/>
      <c r="IG3" s="1975"/>
      <c r="IH3" s="1975"/>
      <c r="II3" s="1975"/>
      <c r="IJ3" s="1975"/>
      <c r="IK3" s="1975"/>
      <c r="IL3" s="1975"/>
      <c r="IM3" s="1975"/>
      <c r="IN3" s="1975"/>
      <c r="IO3" s="1975"/>
      <c r="IP3" s="1975"/>
      <c r="IQ3" s="1975"/>
      <c r="IR3" s="1975"/>
      <c r="IS3" s="1975"/>
      <c r="IT3" s="1975"/>
      <c r="IU3" s="1975"/>
      <c r="IV3" s="1975"/>
      <c r="IW3" s="1975"/>
    </row>
    <row r="4" spans="1:257" ht="16.5" x14ac:dyDescent="0.25">
      <c r="A4" s="1976">
        <v>44834</v>
      </c>
      <c r="B4" s="1977">
        <v>29300</v>
      </c>
      <c r="C4" s="1977">
        <v>13889.8</v>
      </c>
      <c r="D4" s="1978">
        <v>60558.95</v>
      </c>
      <c r="E4" s="1978">
        <v>101300</v>
      </c>
      <c r="F4" s="1978">
        <v>137998.39999999999</v>
      </c>
      <c r="G4" s="1978">
        <v>6303.0749999999998</v>
      </c>
      <c r="H4" s="1979">
        <f t="shared" ref="H4:H16" si="0">SUM(B4:G4)</f>
        <v>349350.22500000003</v>
      </c>
      <c r="L4" s="655"/>
      <c r="M4" s="655"/>
      <c r="N4" s="655"/>
      <c r="O4" s="655"/>
      <c r="P4" s="655"/>
      <c r="Q4" s="655"/>
      <c r="R4" s="655"/>
      <c r="S4" s="1980"/>
      <c r="T4" s="1980"/>
    </row>
    <row r="5" spans="1:257" ht="16.5" x14ac:dyDescent="0.25">
      <c r="A5" s="1976">
        <v>44865</v>
      </c>
      <c r="B5" s="1977">
        <v>28800</v>
      </c>
      <c r="C5" s="1977">
        <v>14144.4</v>
      </c>
      <c r="D5" s="1978">
        <v>58341.45</v>
      </c>
      <c r="E5" s="1978">
        <v>101300</v>
      </c>
      <c r="F5" s="1978">
        <v>139598.39999999999</v>
      </c>
      <c r="G5" s="1978">
        <v>6291.7250000000004</v>
      </c>
      <c r="H5" s="1979">
        <f t="shared" si="0"/>
        <v>348475.97499999998</v>
      </c>
      <c r="L5" s="655"/>
      <c r="M5" s="655"/>
      <c r="N5" s="655"/>
      <c r="O5" s="655"/>
      <c r="P5" s="655"/>
      <c r="Q5" s="655"/>
      <c r="R5" s="655"/>
      <c r="S5" s="1980"/>
      <c r="T5" s="1980"/>
    </row>
    <row r="6" spans="1:257" ht="16.5" x14ac:dyDescent="0.25">
      <c r="A6" s="1976">
        <v>44895</v>
      </c>
      <c r="B6" s="1977">
        <v>29400</v>
      </c>
      <c r="C6" s="1977">
        <v>14229.1</v>
      </c>
      <c r="D6" s="1978">
        <v>56496.95</v>
      </c>
      <c r="E6" s="1978">
        <v>101300</v>
      </c>
      <c r="F6" s="1978">
        <v>142648.4</v>
      </c>
      <c r="G6" s="1978">
        <v>6270.2250000000004</v>
      </c>
      <c r="H6" s="1979">
        <f t="shared" si="0"/>
        <v>350344.67499999993</v>
      </c>
      <c r="L6" s="655"/>
      <c r="M6" s="655"/>
      <c r="N6" s="655"/>
      <c r="O6" s="655"/>
      <c r="P6" s="655"/>
      <c r="Q6" s="655"/>
      <c r="R6" s="655"/>
      <c r="S6" s="1980"/>
      <c r="T6" s="1980"/>
    </row>
    <row r="7" spans="1:257" ht="16.5" x14ac:dyDescent="0.25">
      <c r="A7" s="1976">
        <v>44926</v>
      </c>
      <c r="B7" s="1977">
        <v>26700</v>
      </c>
      <c r="C7" s="1977">
        <v>13859.1</v>
      </c>
      <c r="D7" s="1978">
        <v>57896.95</v>
      </c>
      <c r="E7" s="1978">
        <v>95300</v>
      </c>
      <c r="F7" s="1978">
        <v>146352.29999999999</v>
      </c>
      <c r="G7" s="1978">
        <v>6255.85</v>
      </c>
      <c r="H7" s="1979">
        <f t="shared" si="0"/>
        <v>346364.19999999995</v>
      </c>
      <c r="L7" s="655"/>
      <c r="M7" s="655"/>
      <c r="N7" s="655"/>
      <c r="O7" s="655"/>
      <c r="P7" s="655"/>
      <c r="Q7" s="655"/>
      <c r="R7" s="655"/>
      <c r="S7" s="1980"/>
      <c r="T7" s="1980"/>
    </row>
    <row r="8" spans="1:257" ht="16.5" x14ac:dyDescent="0.25">
      <c r="A8" s="1976">
        <v>44957</v>
      </c>
      <c r="B8" s="1977">
        <v>24700</v>
      </c>
      <c r="C8" s="1977">
        <v>14630.7</v>
      </c>
      <c r="D8" s="1978">
        <v>57896.95</v>
      </c>
      <c r="E8" s="1978">
        <v>96900</v>
      </c>
      <c r="F8" s="1978">
        <v>149452.29999999999</v>
      </c>
      <c r="G8" s="1978">
        <v>6236.85</v>
      </c>
      <c r="H8" s="1979">
        <f t="shared" si="0"/>
        <v>349816.79999999993</v>
      </c>
      <c r="L8" s="655"/>
      <c r="M8" s="655"/>
      <c r="N8" s="655"/>
      <c r="O8" s="655"/>
      <c r="P8" s="655"/>
      <c r="Q8" s="655"/>
      <c r="R8" s="655"/>
      <c r="S8" s="1980"/>
      <c r="T8" s="1980"/>
    </row>
    <row r="9" spans="1:257" ht="16.5" x14ac:dyDescent="0.25">
      <c r="A9" s="1976">
        <v>44985</v>
      </c>
      <c r="B9" s="1977">
        <v>23200</v>
      </c>
      <c r="C9" s="1977">
        <v>14821.8</v>
      </c>
      <c r="D9" s="1978">
        <v>55696.95</v>
      </c>
      <c r="E9" s="1978">
        <v>98600</v>
      </c>
      <c r="F9" s="1978">
        <v>149452.29999999999</v>
      </c>
      <c r="G9" s="1978">
        <v>6224.7749999999996</v>
      </c>
      <c r="H9" s="1979">
        <f t="shared" si="0"/>
        <v>347995.82500000001</v>
      </c>
      <c r="L9" s="655"/>
      <c r="M9" s="655"/>
      <c r="N9" s="655"/>
      <c r="O9" s="655"/>
      <c r="P9" s="655"/>
      <c r="Q9" s="655"/>
      <c r="R9" s="655"/>
      <c r="S9" s="1980"/>
      <c r="T9" s="1980"/>
    </row>
    <row r="10" spans="1:257" ht="16.5" x14ac:dyDescent="0.25">
      <c r="A10" s="1976">
        <v>45016</v>
      </c>
      <c r="B10" s="1977">
        <v>23600</v>
      </c>
      <c r="C10" s="1977">
        <v>15022</v>
      </c>
      <c r="D10" s="1978">
        <v>55696.95</v>
      </c>
      <c r="E10" s="1978">
        <v>100300</v>
      </c>
      <c r="F10" s="1978">
        <v>151952</v>
      </c>
      <c r="G10" s="1978">
        <v>6214</v>
      </c>
      <c r="H10" s="1979">
        <f t="shared" si="0"/>
        <v>352784.95</v>
      </c>
      <c r="L10" s="655"/>
      <c r="M10" s="655"/>
      <c r="N10" s="655"/>
      <c r="O10" s="655"/>
      <c r="P10" s="655"/>
      <c r="Q10" s="655"/>
      <c r="R10" s="655"/>
      <c r="S10" s="1980"/>
      <c r="T10" s="1980"/>
    </row>
    <row r="11" spans="1:257" ht="16.5" x14ac:dyDescent="0.25">
      <c r="A11" s="1976">
        <v>45046</v>
      </c>
      <c r="B11" s="1977">
        <v>24200</v>
      </c>
      <c r="C11" s="1977">
        <v>15343.8</v>
      </c>
      <c r="D11" s="1978">
        <v>57596.95</v>
      </c>
      <c r="E11" s="1978">
        <v>100300</v>
      </c>
      <c r="F11" s="1978">
        <v>153552.29999999999</v>
      </c>
      <c r="G11" s="1978">
        <v>6182.75</v>
      </c>
      <c r="H11" s="1979">
        <f t="shared" si="0"/>
        <v>357175.8</v>
      </c>
      <c r="L11" s="655"/>
      <c r="M11" s="655"/>
      <c r="N11" s="655"/>
      <c r="O11" s="655"/>
      <c r="P11" s="655"/>
      <c r="Q11" s="655"/>
      <c r="R11" s="655"/>
      <c r="S11" s="1980"/>
      <c r="T11" s="1980"/>
    </row>
    <row r="12" spans="1:257" ht="16.5" x14ac:dyDescent="0.25">
      <c r="A12" s="1976">
        <v>45077</v>
      </c>
      <c r="B12" s="1977">
        <v>24700</v>
      </c>
      <c r="C12" s="1977">
        <v>15691.6</v>
      </c>
      <c r="D12" s="1978">
        <v>59496.95</v>
      </c>
      <c r="E12" s="1978">
        <v>100300</v>
      </c>
      <c r="F12" s="1978">
        <v>155852.29999999999</v>
      </c>
      <c r="G12" s="1978">
        <v>6161.5249999999996</v>
      </c>
      <c r="H12" s="1979">
        <f t="shared" si="0"/>
        <v>362202.375</v>
      </c>
      <c r="L12" s="655"/>
      <c r="M12" s="655"/>
      <c r="N12" s="655"/>
      <c r="O12" s="655"/>
      <c r="P12" s="655"/>
      <c r="Q12" s="655"/>
      <c r="R12" s="655"/>
      <c r="S12" s="1980"/>
      <c r="T12" s="1980"/>
    </row>
    <row r="13" spans="1:257" ht="16.5" x14ac:dyDescent="0.25">
      <c r="A13" s="1976">
        <v>45107</v>
      </c>
      <c r="B13" s="1977">
        <v>23430</v>
      </c>
      <c r="C13" s="1977">
        <v>16257.6</v>
      </c>
      <c r="D13" s="1978">
        <v>62596.95</v>
      </c>
      <c r="E13" s="1978">
        <v>94300</v>
      </c>
      <c r="F13" s="1978">
        <v>162352.29999999999</v>
      </c>
      <c r="G13" s="1978">
        <v>6141.625</v>
      </c>
      <c r="H13" s="1979">
        <f t="shared" si="0"/>
        <v>365078.47499999998</v>
      </c>
      <c r="L13" s="655"/>
      <c r="M13" s="655"/>
      <c r="N13" s="655"/>
      <c r="O13" s="655"/>
      <c r="P13" s="655"/>
      <c r="Q13" s="655"/>
      <c r="R13" s="655"/>
      <c r="S13" s="1980"/>
      <c r="T13" s="1980"/>
    </row>
    <row r="14" spans="1:257" ht="16.5" x14ac:dyDescent="0.25">
      <c r="A14" s="1976">
        <v>45138</v>
      </c>
      <c r="B14" s="1977">
        <v>22580</v>
      </c>
      <c r="C14" s="1977">
        <v>15402.6</v>
      </c>
      <c r="D14" s="1978">
        <v>64296.95</v>
      </c>
      <c r="E14" s="1978">
        <v>94300</v>
      </c>
      <c r="F14" s="1978">
        <v>163452.29999999999</v>
      </c>
      <c r="G14" s="1978">
        <v>6118.85</v>
      </c>
      <c r="H14" s="1979">
        <f t="shared" si="0"/>
        <v>366150.69999999995</v>
      </c>
      <c r="L14" s="655"/>
      <c r="M14" s="655"/>
      <c r="N14" s="655"/>
      <c r="O14" s="655"/>
      <c r="P14" s="655"/>
      <c r="Q14" s="655"/>
      <c r="R14" s="655"/>
      <c r="S14" s="1980"/>
      <c r="T14" s="1980"/>
    </row>
    <row r="15" spans="1:257" ht="16.5" x14ac:dyDescent="0.25">
      <c r="A15" s="1976">
        <v>45169</v>
      </c>
      <c r="B15" s="1977">
        <v>21680</v>
      </c>
      <c r="C15" s="1977">
        <v>16195</v>
      </c>
      <c r="D15" s="1978">
        <v>66096.95</v>
      </c>
      <c r="E15" s="1978">
        <v>96000</v>
      </c>
      <c r="F15" s="1978">
        <v>163452</v>
      </c>
      <c r="G15" s="1978">
        <v>6096.4250000000002</v>
      </c>
      <c r="H15" s="1979">
        <f t="shared" si="0"/>
        <v>369520.375</v>
      </c>
      <c r="L15" s="655"/>
      <c r="M15" s="655"/>
      <c r="N15" s="655"/>
      <c r="O15" s="655"/>
      <c r="P15" s="655"/>
      <c r="Q15" s="655"/>
      <c r="R15" s="655"/>
      <c r="S15" s="1980"/>
      <c r="T15" s="1980"/>
    </row>
    <row r="16" spans="1:257" ht="17.25" thickBot="1" x14ac:dyDescent="0.3">
      <c r="A16" s="1981">
        <v>45199</v>
      </c>
      <c r="B16" s="1982">
        <v>21930</v>
      </c>
      <c r="C16" s="1982">
        <v>15720</v>
      </c>
      <c r="D16" s="1983">
        <v>68196.95</v>
      </c>
      <c r="E16" s="1983">
        <v>96000</v>
      </c>
      <c r="F16" s="1983">
        <v>164557.29999999999</v>
      </c>
      <c r="G16" s="1983">
        <v>6087.0249999999996</v>
      </c>
      <c r="H16" s="1984">
        <f t="shared" si="0"/>
        <v>372491.27500000002</v>
      </c>
      <c r="L16" s="655"/>
      <c r="M16" s="655"/>
      <c r="N16" s="655"/>
      <c r="O16" s="655"/>
      <c r="P16" s="655"/>
      <c r="Q16" s="655"/>
      <c r="R16" s="655"/>
      <c r="S16" s="1980"/>
      <c r="T16" s="1980"/>
    </row>
    <row r="17" spans="1:257" s="1427" customFormat="1" ht="15" thickTop="1" x14ac:dyDescent="0.25">
      <c r="A17" s="1427" t="s">
        <v>173</v>
      </c>
      <c r="H17" s="1985"/>
    </row>
    <row r="18" spans="1:257" s="1427" customFormat="1" x14ac:dyDescent="0.25">
      <c r="A18" s="1427" t="s">
        <v>1204</v>
      </c>
      <c r="H18" s="1985"/>
    </row>
    <row r="19" spans="1:257" x14ac:dyDescent="0.25">
      <c r="A19" s="631"/>
      <c r="D19" s="655"/>
      <c r="H19" s="1968"/>
      <c r="M19" s="1986"/>
    </row>
    <row r="20" spans="1:257" x14ac:dyDescent="0.25">
      <c r="M20" s="1986"/>
    </row>
    <row r="21" spans="1:257" ht="17.25" x14ac:dyDescent="0.25">
      <c r="A21" s="623" t="s">
        <v>1205</v>
      </c>
      <c r="B21" s="1987"/>
      <c r="C21" s="1987"/>
      <c r="D21" s="1987"/>
      <c r="E21" s="1987"/>
      <c r="F21" s="1987"/>
      <c r="G21" s="1987"/>
      <c r="H21" s="1987"/>
      <c r="I21" s="1987"/>
      <c r="J21" s="1987"/>
      <c r="K21" s="1987"/>
      <c r="L21" s="1988"/>
      <c r="M21" s="1989"/>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c r="AN21" s="1987"/>
      <c r="AO21" s="1987"/>
      <c r="AP21" s="1987"/>
      <c r="AQ21" s="1987"/>
      <c r="AR21" s="1987"/>
      <c r="AS21" s="1987"/>
      <c r="AT21" s="1987"/>
      <c r="AU21" s="1987"/>
      <c r="AV21" s="1987"/>
      <c r="AW21" s="1987"/>
      <c r="AX21" s="1987"/>
      <c r="AY21" s="1987"/>
      <c r="AZ21" s="1987"/>
      <c r="BA21" s="1987"/>
      <c r="BB21" s="1987"/>
      <c r="BC21" s="1987"/>
      <c r="BD21" s="1987"/>
      <c r="BE21" s="1987"/>
      <c r="BF21" s="1987"/>
      <c r="BG21" s="1987"/>
      <c r="BH21" s="1987"/>
      <c r="BI21" s="1987"/>
      <c r="BJ21" s="1987"/>
      <c r="BK21" s="1987"/>
      <c r="BL21" s="1987"/>
      <c r="BM21" s="1987"/>
      <c r="BN21" s="1987"/>
      <c r="BO21" s="1987"/>
      <c r="BP21" s="1987"/>
      <c r="BQ21" s="1987"/>
      <c r="BR21" s="1987"/>
      <c r="BS21" s="1987"/>
      <c r="BT21" s="1987"/>
      <c r="BU21" s="1987"/>
      <c r="BV21" s="1987"/>
      <c r="BW21" s="1987"/>
      <c r="BX21" s="1987"/>
      <c r="BY21" s="1987"/>
      <c r="BZ21" s="1987"/>
      <c r="CA21" s="1987"/>
      <c r="CB21" s="1987"/>
      <c r="CC21" s="1987"/>
      <c r="CD21" s="1987"/>
      <c r="CE21" s="1987"/>
      <c r="CF21" s="1987"/>
      <c r="CG21" s="1987"/>
      <c r="CH21" s="1987"/>
      <c r="CI21" s="1987"/>
      <c r="CJ21" s="1987"/>
      <c r="CK21" s="1987"/>
      <c r="CL21" s="1987"/>
      <c r="CM21" s="1987"/>
      <c r="CN21" s="1987"/>
      <c r="CO21" s="1987"/>
      <c r="CP21" s="1987"/>
      <c r="CQ21" s="1987"/>
      <c r="CR21" s="1987"/>
      <c r="CS21" s="1987"/>
      <c r="CT21" s="1987"/>
      <c r="CU21" s="1987"/>
      <c r="CV21" s="1987"/>
      <c r="CW21" s="1987"/>
      <c r="CX21" s="1987"/>
      <c r="CY21" s="1987"/>
      <c r="CZ21" s="1987"/>
      <c r="DA21" s="1987"/>
      <c r="DB21" s="1987"/>
      <c r="DC21" s="1987"/>
      <c r="DD21" s="1987"/>
      <c r="DE21" s="1987"/>
      <c r="DF21" s="1987"/>
      <c r="DG21" s="1987"/>
      <c r="DH21" s="1987"/>
      <c r="DI21" s="1987"/>
      <c r="DJ21" s="1987"/>
      <c r="DK21" s="1987"/>
      <c r="DL21" s="1987"/>
      <c r="DM21" s="1987"/>
      <c r="DN21" s="1987"/>
      <c r="DO21" s="1987"/>
      <c r="DP21" s="1987"/>
      <c r="DQ21" s="1987"/>
      <c r="DR21" s="1987"/>
      <c r="DS21" s="1987"/>
      <c r="DT21" s="1987"/>
      <c r="DU21" s="1987"/>
      <c r="DV21" s="1987"/>
      <c r="DW21" s="1987"/>
      <c r="DX21" s="1987"/>
      <c r="DY21" s="1987"/>
      <c r="DZ21" s="1987"/>
      <c r="EA21" s="1987"/>
      <c r="EB21" s="1987"/>
      <c r="EC21" s="1987"/>
      <c r="ED21" s="1987"/>
      <c r="EE21" s="1987"/>
      <c r="EF21" s="1987"/>
      <c r="EG21" s="1987"/>
      <c r="EH21" s="1987"/>
      <c r="EI21" s="1987"/>
      <c r="EJ21" s="1987"/>
      <c r="EK21" s="1987"/>
      <c r="EL21" s="1987"/>
      <c r="EM21" s="1987"/>
      <c r="EN21" s="1987"/>
      <c r="EO21" s="1987"/>
      <c r="EP21" s="1987"/>
      <c r="EQ21" s="1987"/>
      <c r="ER21" s="1987"/>
      <c r="ES21" s="1987"/>
      <c r="ET21" s="1987"/>
      <c r="EU21" s="1987"/>
      <c r="EV21" s="1987"/>
      <c r="EW21" s="1987"/>
      <c r="EX21" s="1987"/>
      <c r="EY21" s="1987"/>
      <c r="EZ21" s="1987"/>
      <c r="FA21" s="1987"/>
      <c r="FB21" s="1987"/>
      <c r="FC21" s="1987"/>
      <c r="FD21" s="1987"/>
      <c r="FE21" s="1987"/>
      <c r="FF21" s="1987"/>
      <c r="FG21" s="1987"/>
      <c r="FH21" s="1987"/>
      <c r="FI21" s="1987"/>
      <c r="FJ21" s="1987"/>
      <c r="FK21" s="1987"/>
      <c r="FL21" s="1987"/>
      <c r="FM21" s="1987"/>
      <c r="FN21" s="1987"/>
      <c r="FO21" s="1987"/>
      <c r="FP21" s="1987"/>
      <c r="FQ21" s="1987"/>
      <c r="FR21" s="1987"/>
      <c r="FS21" s="1987"/>
      <c r="FT21" s="1987"/>
      <c r="FU21" s="1987"/>
      <c r="FV21" s="1987"/>
      <c r="FW21" s="1987"/>
      <c r="FX21" s="1987"/>
      <c r="FY21" s="1987"/>
      <c r="FZ21" s="1987"/>
      <c r="GA21" s="1987"/>
      <c r="GB21" s="1987"/>
      <c r="GC21" s="1987"/>
      <c r="GD21" s="1987"/>
      <c r="GE21" s="1987"/>
      <c r="GF21" s="1987"/>
      <c r="GG21" s="1987"/>
      <c r="GH21" s="1987"/>
      <c r="GI21" s="1987"/>
      <c r="GJ21" s="1987"/>
      <c r="GK21" s="1987"/>
      <c r="GL21" s="1987"/>
      <c r="GM21" s="1987"/>
      <c r="GN21" s="1987"/>
      <c r="GO21" s="1987"/>
      <c r="GP21" s="1987"/>
      <c r="GQ21" s="1987"/>
      <c r="GR21" s="1987"/>
      <c r="GS21" s="1987"/>
      <c r="GT21" s="1987"/>
      <c r="GU21" s="1987"/>
      <c r="GV21" s="1987"/>
      <c r="GW21" s="1987"/>
      <c r="GX21" s="1987"/>
      <c r="GY21" s="1987"/>
      <c r="GZ21" s="1987"/>
      <c r="HA21" s="1987"/>
      <c r="HB21" s="1987"/>
      <c r="HC21" s="1987"/>
      <c r="HD21" s="1987"/>
      <c r="HE21" s="1987"/>
      <c r="HF21" s="1987"/>
      <c r="HG21" s="1987"/>
      <c r="HH21" s="1987"/>
      <c r="HI21" s="1987"/>
      <c r="HJ21" s="1987"/>
      <c r="HK21" s="1987"/>
      <c r="HL21" s="1987"/>
      <c r="HM21" s="1987"/>
      <c r="HN21" s="1987"/>
      <c r="HO21" s="1987"/>
      <c r="HP21" s="1987"/>
      <c r="HQ21" s="1987"/>
      <c r="HR21" s="1987"/>
      <c r="HS21" s="1987"/>
      <c r="HT21" s="1987"/>
      <c r="HU21" s="1987"/>
      <c r="HV21" s="1987"/>
      <c r="HW21" s="1987"/>
      <c r="HX21" s="1987"/>
      <c r="HY21" s="1987"/>
      <c r="HZ21" s="1987"/>
      <c r="IA21" s="1987"/>
      <c r="IB21" s="1987"/>
      <c r="IC21" s="1987"/>
      <c r="ID21" s="1987"/>
      <c r="IE21" s="1987"/>
      <c r="IF21" s="1987"/>
      <c r="IG21" s="1987"/>
      <c r="IH21" s="1987"/>
      <c r="II21" s="1987"/>
      <c r="IJ21" s="1987"/>
      <c r="IK21" s="1987"/>
      <c r="IL21" s="1987"/>
      <c r="IM21" s="1987"/>
      <c r="IN21" s="1987"/>
      <c r="IO21" s="1987"/>
      <c r="IP21" s="1987"/>
      <c r="IQ21" s="1987"/>
      <c r="IR21" s="1987"/>
      <c r="IS21" s="1987"/>
      <c r="IT21" s="1987"/>
      <c r="IU21" s="1987"/>
      <c r="IV21" s="1987"/>
      <c r="IW21" s="1987"/>
    </row>
    <row r="22" spans="1:257" ht="15" thickBot="1" x14ac:dyDescent="0.3">
      <c r="B22" s="1990"/>
      <c r="C22" s="1990"/>
      <c r="D22" s="1990"/>
      <c r="F22" s="1969"/>
      <c r="G22" s="1969"/>
      <c r="H22" s="1969" t="s">
        <v>281</v>
      </c>
      <c r="L22" s="1991"/>
      <c r="M22" s="1986"/>
    </row>
    <row r="23" spans="1:257" ht="34.5" thickTop="1" thickBot="1" x14ac:dyDescent="0.3">
      <c r="A23" s="1992"/>
      <c r="B23" s="1971" t="s">
        <v>1198</v>
      </c>
      <c r="C23" s="1971" t="s">
        <v>1199</v>
      </c>
      <c r="D23" s="1972" t="s">
        <v>1200</v>
      </c>
      <c r="E23" s="1972" t="s">
        <v>1201</v>
      </c>
      <c r="F23" s="1972" t="s">
        <v>1206</v>
      </c>
      <c r="G23" s="1973" t="s">
        <v>1203</v>
      </c>
      <c r="H23" s="1974" t="s">
        <v>387</v>
      </c>
      <c r="L23" s="655"/>
      <c r="M23" s="1986"/>
    </row>
    <row r="24" spans="1:257" ht="16.5" x14ac:dyDescent="0.25">
      <c r="A24" s="1993" t="s">
        <v>1207</v>
      </c>
      <c r="B24" s="1977">
        <v>18180</v>
      </c>
      <c r="C24" s="1977">
        <v>15720</v>
      </c>
      <c r="D24" s="1977">
        <v>19800</v>
      </c>
      <c r="E24" s="1977">
        <f>3700+4400+3600</f>
        <v>11700</v>
      </c>
      <c r="F24" s="1977">
        <v>4118.1000000000004</v>
      </c>
      <c r="G24" s="1977" t="s">
        <v>1014</v>
      </c>
      <c r="H24" s="1994">
        <f t="shared" ref="H24:H44" si="1">SUM(B24:G24)</f>
        <v>69518.100000000006</v>
      </c>
      <c r="L24" s="1986"/>
      <c r="M24" s="1986"/>
      <c r="Q24" s="1986"/>
      <c r="R24" s="1986"/>
      <c r="S24" s="1986"/>
    </row>
    <row r="25" spans="1:257" ht="16.5" x14ac:dyDescent="0.25">
      <c r="A25" s="1993" t="s">
        <v>1208</v>
      </c>
      <c r="B25" s="1977">
        <v>3750</v>
      </c>
      <c r="C25" s="1977" t="s">
        <v>1014</v>
      </c>
      <c r="D25" s="1977">
        <v>24196.95</v>
      </c>
      <c r="E25" s="1977">
        <f>3200+5000+1600+2000+15000+3500</f>
        <v>30300</v>
      </c>
      <c r="F25" s="1977">
        <f>21383-15300</f>
        <v>6083</v>
      </c>
      <c r="G25" s="1977" t="s">
        <v>1014</v>
      </c>
      <c r="H25" s="1994">
        <f>SUM(B25:G25)</f>
        <v>64329.95</v>
      </c>
      <c r="L25" s="1986"/>
      <c r="M25" s="1986"/>
      <c r="Q25" s="1986"/>
      <c r="R25" s="1986"/>
      <c r="S25" s="1986"/>
    </row>
    <row r="26" spans="1:257" ht="16.5" x14ac:dyDescent="0.25">
      <c r="A26" s="1993" t="s">
        <v>1209</v>
      </c>
      <c r="B26" s="1977" t="s">
        <v>1014</v>
      </c>
      <c r="C26" s="1977" t="s">
        <v>1014</v>
      </c>
      <c r="D26" s="1977">
        <v>18600</v>
      </c>
      <c r="E26" s="1977">
        <f>4000+4000+4000+5500+5450</f>
        <v>22950</v>
      </c>
      <c r="F26" s="1977">
        <v>9662</v>
      </c>
      <c r="G26" s="1977" t="s">
        <v>1014</v>
      </c>
      <c r="H26" s="1994">
        <f t="shared" si="1"/>
        <v>51212</v>
      </c>
      <c r="L26" s="1986"/>
      <c r="M26" s="1986"/>
      <c r="N26" s="1991"/>
      <c r="O26" s="1995"/>
      <c r="Q26" s="1986"/>
      <c r="R26" s="1986"/>
      <c r="S26" s="1986"/>
    </row>
    <row r="27" spans="1:257" ht="16.5" x14ac:dyDescent="0.25">
      <c r="A27" s="1993" t="s">
        <v>1210</v>
      </c>
      <c r="B27" s="1977" t="s">
        <v>1014</v>
      </c>
      <c r="C27" s="1977" t="s">
        <v>1014</v>
      </c>
      <c r="D27" s="1977">
        <v>5600</v>
      </c>
      <c r="E27" s="1977">
        <f>5950+6600+6600</f>
        <v>19150</v>
      </c>
      <c r="F27" s="1977">
        <v>8293</v>
      </c>
      <c r="G27" s="1977" t="s">
        <v>1014</v>
      </c>
      <c r="H27" s="1994">
        <f t="shared" si="1"/>
        <v>33043</v>
      </c>
      <c r="L27" s="1986"/>
      <c r="M27" s="1986"/>
      <c r="N27" s="1991"/>
      <c r="O27" s="1995"/>
      <c r="Q27" s="1986"/>
      <c r="R27" s="1986"/>
      <c r="S27" s="1986"/>
    </row>
    <row r="28" spans="1:257" ht="16.5" x14ac:dyDescent="0.25">
      <c r="A28" s="1993" t="s">
        <v>1211</v>
      </c>
      <c r="B28" s="1977" t="s">
        <v>1014</v>
      </c>
      <c r="C28" s="1977" t="s">
        <v>1014</v>
      </c>
      <c r="D28" s="1977" t="s">
        <v>1014</v>
      </c>
      <c r="E28" s="1977">
        <v>10200</v>
      </c>
      <c r="F28" s="1977">
        <v>11624</v>
      </c>
      <c r="G28" s="1977" t="s">
        <v>1014</v>
      </c>
      <c r="H28" s="1994">
        <f t="shared" si="1"/>
        <v>21824</v>
      </c>
      <c r="L28" s="1986"/>
      <c r="M28" s="1986"/>
      <c r="N28" s="1991"/>
      <c r="O28" s="1995"/>
      <c r="Q28" s="1986"/>
      <c r="R28" s="1986"/>
      <c r="S28" s="1986"/>
    </row>
    <row r="29" spans="1:257" ht="16.5" x14ac:dyDescent="0.25">
      <c r="A29" s="1993" t="s">
        <v>1212</v>
      </c>
      <c r="B29" s="1977" t="s">
        <v>1014</v>
      </c>
      <c r="C29" s="1977" t="s">
        <v>1014</v>
      </c>
      <c r="D29" s="1977" t="s">
        <v>1014</v>
      </c>
      <c r="E29" s="1977">
        <v>1700</v>
      </c>
      <c r="F29" s="1977">
        <f>2000+1208.5+411.3+409+1400+1500+167.3+2000</f>
        <v>9096.1</v>
      </c>
      <c r="G29" s="1977" t="s">
        <v>1014</v>
      </c>
      <c r="H29" s="1994">
        <f t="shared" si="1"/>
        <v>10796.1</v>
      </c>
      <c r="L29" s="1986"/>
      <c r="M29" s="1986"/>
      <c r="O29" s="1995"/>
      <c r="Q29" s="1986"/>
      <c r="R29" s="1986"/>
      <c r="S29" s="1986"/>
    </row>
    <row r="30" spans="1:257" ht="16.5" x14ac:dyDescent="0.25">
      <c r="A30" s="1993" t="s">
        <v>1213</v>
      </c>
      <c r="B30" s="1977" t="s">
        <v>1014</v>
      </c>
      <c r="C30" s="1977" t="s">
        <v>1014</v>
      </c>
      <c r="D30" s="1977" t="s">
        <v>1014</v>
      </c>
      <c r="E30" s="1977" t="s">
        <v>1014</v>
      </c>
      <c r="F30" s="1977">
        <v>21632</v>
      </c>
      <c r="G30" s="1977" t="s">
        <v>1014</v>
      </c>
      <c r="H30" s="1994">
        <f t="shared" si="1"/>
        <v>21632</v>
      </c>
      <c r="L30" s="1986"/>
      <c r="M30" s="1986"/>
      <c r="O30" s="1995"/>
      <c r="Q30" s="1986"/>
      <c r="R30" s="1986"/>
      <c r="S30" s="1986"/>
    </row>
    <row r="31" spans="1:257" ht="16.5" x14ac:dyDescent="0.25">
      <c r="A31" s="1993" t="s">
        <v>1214</v>
      </c>
      <c r="B31" s="1977" t="s">
        <v>1014</v>
      </c>
      <c r="C31" s="1977" t="s">
        <v>1014</v>
      </c>
      <c r="D31" s="1977" t="s">
        <v>1014</v>
      </c>
      <c r="E31" s="1977" t="s">
        <v>1014</v>
      </c>
      <c r="F31" s="1977">
        <v>12500</v>
      </c>
      <c r="G31" s="1977" t="s">
        <v>1014</v>
      </c>
      <c r="H31" s="1994">
        <f t="shared" si="1"/>
        <v>12500</v>
      </c>
      <c r="L31" s="1986"/>
      <c r="M31" s="1986"/>
      <c r="O31" s="1995"/>
      <c r="Q31" s="1986"/>
      <c r="R31" s="1986"/>
      <c r="S31" s="1986"/>
    </row>
    <row r="32" spans="1:257" ht="16.5" x14ac:dyDescent="0.25">
      <c r="A32" s="1993" t="s">
        <v>1215</v>
      </c>
      <c r="B32" s="1977" t="s">
        <v>1014</v>
      </c>
      <c r="C32" s="1977" t="s">
        <v>1014</v>
      </c>
      <c r="D32" s="1977" t="s">
        <v>1014</v>
      </c>
      <c r="E32" s="1977" t="s">
        <v>1014</v>
      </c>
      <c r="F32" s="1977">
        <v>6600</v>
      </c>
      <c r="G32" s="1977" t="s">
        <v>1014</v>
      </c>
      <c r="H32" s="1994">
        <f t="shared" si="1"/>
        <v>6600</v>
      </c>
      <c r="L32" s="1986"/>
      <c r="M32" s="1986"/>
      <c r="O32" s="1995"/>
      <c r="Q32" s="1986"/>
      <c r="R32" s="1986"/>
      <c r="S32" s="1986"/>
    </row>
    <row r="33" spans="1:257" ht="16.5" x14ac:dyDescent="0.25">
      <c r="A33" s="1993" t="s">
        <v>1216</v>
      </c>
      <c r="B33" s="1977" t="s">
        <v>1014</v>
      </c>
      <c r="C33" s="1977" t="s">
        <v>1014</v>
      </c>
      <c r="D33" s="1977" t="s">
        <v>1014</v>
      </c>
      <c r="E33" s="1977" t="s">
        <v>1014</v>
      </c>
      <c r="F33" s="1977">
        <v>9600</v>
      </c>
      <c r="G33" s="1977" t="s">
        <v>1014</v>
      </c>
      <c r="H33" s="1994">
        <f t="shared" si="1"/>
        <v>9600</v>
      </c>
      <c r="L33" s="1986"/>
      <c r="M33" s="1986"/>
      <c r="O33" s="1995"/>
      <c r="Q33" s="1986"/>
      <c r="R33" s="1986"/>
      <c r="S33" s="1986"/>
    </row>
    <row r="34" spans="1:257" ht="16.5" x14ac:dyDescent="0.25">
      <c r="A34" s="1993" t="s">
        <v>1217</v>
      </c>
      <c r="B34" s="1977" t="s">
        <v>1014</v>
      </c>
      <c r="C34" s="1977" t="s">
        <v>1014</v>
      </c>
      <c r="D34" s="1977" t="s">
        <v>1014</v>
      </c>
      <c r="E34" s="1977" t="s">
        <v>1014</v>
      </c>
      <c r="F34" s="1977">
        <v>4700</v>
      </c>
      <c r="G34" s="1977" t="s">
        <v>1014</v>
      </c>
      <c r="H34" s="1994">
        <f t="shared" si="1"/>
        <v>4700</v>
      </c>
      <c r="L34" s="1986"/>
      <c r="M34" s="1986"/>
      <c r="O34" s="1995"/>
      <c r="Q34" s="1986"/>
      <c r="R34" s="1986"/>
      <c r="S34" s="1986"/>
    </row>
    <row r="35" spans="1:257" ht="16.5" x14ac:dyDescent="0.25">
      <c r="A35" s="1993" t="s">
        <v>1218</v>
      </c>
      <c r="B35" s="1977" t="s">
        <v>1014</v>
      </c>
      <c r="C35" s="1977" t="s">
        <v>1014</v>
      </c>
      <c r="D35" s="1977" t="s">
        <v>1014</v>
      </c>
      <c r="E35" s="1977" t="s">
        <v>1014</v>
      </c>
      <c r="F35" s="1977">
        <f>1500+1500</f>
        <v>3000</v>
      </c>
      <c r="G35" s="1977" t="s">
        <v>1014</v>
      </c>
      <c r="H35" s="1994">
        <f t="shared" si="1"/>
        <v>3000</v>
      </c>
      <c r="L35" s="1986"/>
      <c r="M35" s="1986"/>
      <c r="O35" s="1995"/>
      <c r="Q35" s="1986"/>
      <c r="R35" s="1986"/>
      <c r="S35" s="1986"/>
    </row>
    <row r="36" spans="1:257" ht="16.5" x14ac:dyDescent="0.25">
      <c r="A36" s="1993" t="s">
        <v>1219</v>
      </c>
      <c r="B36" s="1977" t="s">
        <v>1014</v>
      </c>
      <c r="C36" s="1977" t="s">
        <v>1014</v>
      </c>
      <c r="D36" s="1977" t="s">
        <v>1014</v>
      </c>
      <c r="E36" s="1977" t="s">
        <v>1014</v>
      </c>
      <c r="F36" s="1977">
        <f>2000+2000+2150+1500+1500</f>
        <v>9150</v>
      </c>
      <c r="G36" s="1977" t="s">
        <v>1014</v>
      </c>
      <c r="H36" s="1994">
        <f t="shared" si="1"/>
        <v>9150</v>
      </c>
      <c r="L36" s="1986"/>
      <c r="M36" s="1986"/>
      <c r="O36" s="1995"/>
      <c r="Q36" s="1986"/>
      <c r="R36" s="1986"/>
      <c r="S36" s="1986"/>
    </row>
    <row r="37" spans="1:257" ht="16.5" x14ac:dyDescent="0.25">
      <c r="A37" s="1993" t="s">
        <v>1220</v>
      </c>
      <c r="B37" s="1977" t="s">
        <v>1014</v>
      </c>
      <c r="C37" s="1977" t="s">
        <v>1014</v>
      </c>
      <c r="D37" s="1977" t="s">
        <v>1014</v>
      </c>
      <c r="E37" s="1977" t="s">
        <v>1014</v>
      </c>
      <c r="F37" s="1977">
        <f>2000+2500+2000+1500+1900</f>
        <v>9900</v>
      </c>
      <c r="G37" s="1977" t="s">
        <v>1014</v>
      </c>
      <c r="H37" s="1994">
        <f t="shared" si="1"/>
        <v>9900</v>
      </c>
      <c r="L37" s="1986"/>
      <c r="M37" s="1986"/>
      <c r="O37" s="1995"/>
      <c r="Q37" s="1986"/>
      <c r="R37" s="1986"/>
      <c r="S37" s="1986"/>
    </row>
    <row r="38" spans="1:257" ht="16.5" x14ac:dyDescent="0.25">
      <c r="A38" s="1993" t="s">
        <v>1221</v>
      </c>
      <c r="B38" s="1977" t="s">
        <v>1014</v>
      </c>
      <c r="C38" s="1977" t="s">
        <v>1014</v>
      </c>
      <c r="D38" s="1977" t="s">
        <v>1014</v>
      </c>
      <c r="E38" s="1977" t="s">
        <v>1014</v>
      </c>
      <c r="F38" s="1977">
        <v>7800</v>
      </c>
      <c r="G38" s="1977" t="s">
        <v>1014</v>
      </c>
      <c r="H38" s="1994">
        <f t="shared" si="1"/>
        <v>7800</v>
      </c>
      <c r="L38" s="1986"/>
      <c r="M38" s="1986"/>
      <c r="O38" s="1995"/>
      <c r="Q38" s="1986"/>
      <c r="R38" s="1986"/>
      <c r="S38" s="1986"/>
    </row>
    <row r="39" spans="1:257" ht="16.5" x14ac:dyDescent="0.25">
      <c r="A39" s="1993" t="s">
        <v>1222</v>
      </c>
      <c r="B39" s="1977" t="s">
        <v>1014</v>
      </c>
      <c r="C39" s="1977" t="s">
        <v>1014</v>
      </c>
      <c r="D39" s="1977" t="s">
        <v>1014</v>
      </c>
      <c r="E39" s="1977" t="s">
        <v>1014</v>
      </c>
      <c r="F39" s="1977">
        <v>6500</v>
      </c>
      <c r="G39" s="1977" t="s">
        <v>1014</v>
      </c>
      <c r="H39" s="1994">
        <f t="shared" si="1"/>
        <v>6500</v>
      </c>
      <c r="L39" s="1986"/>
      <c r="M39" s="1986"/>
      <c r="O39" s="1995"/>
      <c r="Q39" s="1986"/>
      <c r="R39" s="1986"/>
      <c r="S39" s="1986"/>
    </row>
    <row r="40" spans="1:257" ht="16.5" x14ac:dyDescent="0.25">
      <c r="A40" s="1993" t="s">
        <v>1223</v>
      </c>
      <c r="B40" s="1977" t="s">
        <v>1014</v>
      </c>
      <c r="C40" s="1977" t="s">
        <v>1014</v>
      </c>
      <c r="D40" s="1977" t="s">
        <v>1014</v>
      </c>
      <c r="E40" s="1977" t="s">
        <v>1014</v>
      </c>
      <c r="F40" s="1977">
        <f>1800+2000</f>
        <v>3800</v>
      </c>
      <c r="G40" s="1977" t="s">
        <v>1014</v>
      </c>
      <c r="H40" s="1994">
        <f t="shared" si="1"/>
        <v>3800</v>
      </c>
      <c r="L40" s="1986"/>
      <c r="M40" s="1986"/>
      <c r="O40" s="1995"/>
      <c r="Q40" s="1986"/>
      <c r="R40" s="1986"/>
      <c r="S40" s="1986"/>
    </row>
    <row r="41" spans="1:257" ht="16.5" x14ac:dyDescent="0.25">
      <c r="A41" s="1993" t="s">
        <v>1224</v>
      </c>
      <c r="B41" s="1977" t="s">
        <v>1014</v>
      </c>
      <c r="C41" s="1977" t="s">
        <v>1014</v>
      </c>
      <c r="D41" s="1977" t="s">
        <v>1014</v>
      </c>
      <c r="E41" s="1977" t="s">
        <v>1014</v>
      </c>
      <c r="F41" s="1977">
        <f>2000+2800</f>
        <v>4800</v>
      </c>
      <c r="G41" s="1977" t="s">
        <v>1014</v>
      </c>
      <c r="H41" s="1994">
        <f t="shared" si="1"/>
        <v>4800</v>
      </c>
      <c r="L41" s="1986"/>
      <c r="M41" s="1986"/>
      <c r="O41" s="1995"/>
      <c r="Q41" s="1986"/>
      <c r="R41" s="1986"/>
      <c r="S41" s="1986"/>
    </row>
    <row r="42" spans="1:257" ht="16.5" x14ac:dyDescent="0.25">
      <c r="A42" s="1993" t="s">
        <v>1225</v>
      </c>
      <c r="B42" s="1977" t="s">
        <v>1014</v>
      </c>
      <c r="C42" s="1977" t="s">
        <v>1014</v>
      </c>
      <c r="D42" s="1977" t="s">
        <v>1014</v>
      </c>
      <c r="E42" s="1977" t="s">
        <v>1014</v>
      </c>
      <c r="F42" s="1977">
        <f>2500+2000+2500</f>
        <v>7000</v>
      </c>
      <c r="G42" s="1977" t="s">
        <v>1014</v>
      </c>
      <c r="H42" s="1994">
        <f t="shared" si="1"/>
        <v>7000</v>
      </c>
      <c r="L42" s="1986"/>
      <c r="M42" s="1986"/>
      <c r="O42" s="1995"/>
      <c r="Q42" s="1986"/>
      <c r="R42" s="1986"/>
      <c r="S42" s="1986"/>
    </row>
    <row r="43" spans="1:257" ht="16.5" x14ac:dyDescent="0.25">
      <c r="A43" s="1993" t="s">
        <v>1226</v>
      </c>
      <c r="B43" s="1977" t="s">
        <v>1014</v>
      </c>
      <c r="C43" s="1977" t="s">
        <v>1014</v>
      </c>
      <c r="D43" s="1977" t="s">
        <v>1014</v>
      </c>
      <c r="E43" s="1977" t="s">
        <v>1014</v>
      </c>
      <c r="F43" s="1977">
        <v>8700</v>
      </c>
      <c r="G43" s="1996" t="s">
        <v>1014</v>
      </c>
      <c r="H43" s="1994">
        <f>SUM(B43:G43)</f>
        <v>8700</v>
      </c>
      <c r="L43" s="1986"/>
      <c r="M43" s="1986"/>
      <c r="O43" s="1995"/>
      <c r="Q43" s="1986"/>
      <c r="R43" s="1986"/>
      <c r="S43" s="1986"/>
    </row>
    <row r="44" spans="1:257" ht="17.25" thickBot="1" x14ac:dyDescent="0.3">
      <c r="A44" s="1993" t="s">
        <v>1203</v>
      </c>
      <c r="B44" s="1977" t="s">
        <v>1014</v>
      </c>
      <c r="C44" s="1977" t="s">
        <v>1014</v>
      </c>
      <c r="D44" s="1977" t="s">
        <v>1014</v>
      </c>
      <c r="E44" s="1977" t="s">
        <v>1014</v>
      </c>
      <c r="F44" s="1997" t="s">
        <v>1014</v>
      </c>
      <c r="G44" s="1997">
        <v>6087.0249999999996</v>
      </c>
      <c r="H44" s="1994">
        <f t="shared" si="1"/>
        <v>6087.0249999999996</v>
      </c>
      <c r="L44" s="1986"/>
      <c r="M44" s="1986"/>
      <c r="Q44" s="1986"/>
      <c r="R44" s="1986"/>
      <c r="S44" s="1986"/>
    </row>
    <row r="45" spans="1:257" ht="17.25" thickBot="1" x14ac:dyDescent="0.3">
      <c r="A45" s="1998" t="s">
        <v>387</v>
      </c>
      <c r="B45" s="1999">
        <f>SUM(B24:B44)</f>
        <v>21930</v>
      </c>
      <c r="C45" s="2000">
        <f>SUM(C24:C44)</f>
        <v>15720</v>
      </c>
      <c r="D45" s="1999">
        <f>SUM(D24:D44)</f>
        <v>68196.95</v>
      </c>
      <c r="E45" s="1999">
        <f>SUM(E24:E44)</f>
        <v>96000</v>
      </c>
      <c r="F45" s="1999">
        <f>SUM(F24:F44)-1</f>
        <v>164557.20000000001</v>
      </c>
      <c r="G45" s="2001">
        <f>SUM(G24:G44)</f>
        <v>6087.0249999999996</v>
      </c>
      <c r="H45" s="2002">
        <f>SUM(H24:H44)-1</f>
        <v>372491.17500000005</v>
      </c>
      <c r="I45" s="1968"/>
      <c r="L45" s="1986"/>
      <c r="O45" s="1427"/>
      <c r="Q45" s="1986"/>
      <c r="R45" s="1986"/>
      <c r="S45" s="1986"/>
      <c r="T45" s="1968"/>
      <c r="U45" s="1968"/>
      <c r="V45" s="1968"/>
      <c r="W45" s="1968"/>
      <c r="X45" s="1968"/>
      <c r="Y45" s="1968"/>
      <c r="Z45" s="1968"/>
      <c r="AA45" s="1968"/>
      <c r="AB45" s="1968"/>
      <c r="AC45" s="1968"/>
      <c r="AD45" s="1968"/>
      <c r="AE45" s="1968"/>
      <c r="AF45" s="1968"/>
      <c r="AG45" s="1968"/>
      <c r="AH45" s="1968"/>
      <c r="AI45" s="1968"/>
      <c r="AJ45" s="1968"/>
      <c r="AK45" s="1968"/>
      <c r="AL45" s="1968"/>
      <c r="AM45" s="1968"/>
      <c r="AN45" s="1968"/>
      <c r="AO45" s="1968"/>
      <c r="AP45" s="1968"/>
      <c r="AQ45" s="1968"/>
      <c r="AR45" s="1968"/>
      <c r="AS45" s="1968"/>
      <c r="AT45" s="1968"/>
      <c r="AU45" s="1968"/>
      <c r="AV45" s="1968"/>
      <c r="AW45" s="1968"/>
      <c r="AX45" s="1968"/>
      <c r="AY45" s="1968"/>
      <c r="AZ45" s="1968"/>
      <c r="BA45" s="1968"/>
      <c r="BB45" s="1968"/>
      <c r="BC45" s="1968"/>
      <c r="BD45" s="1968"/>
      <c r="BE45" s="1968"/>
      <c r="BF45" s="1968"/>
      <c r="BG45" s="1968"/>
      <c r="BH45" s="1968"/>
      <c r="BI45" s="1968"/>
      <c r="BJ45" s="1968"/>
      <c r="BK45" s="1968"/>
      <c r="BL45" s="1968"/>
      <c r="BM45" s="1968"/>
      <c r="BN45" s="1968"/>
      <c r="BO45" s="1968"/>
      <c r="BP45" s="1968"/>
      <c r="BQ45" s="1968"/>
      <c r="BR45" s="1968"/>
      <c r="BS45" s="1968"/>
      <c r="BT45" s="1968"/>
      <c r="BU45" s="1968"/>
      <c r="BV45" s="1968"/>
      <c r="BW45" s="1968"/>
      <c r="BX45" s="1968"/>
      <c r="BY45" s="1968"/>
      <c r="BZ45" s="1968"/>
      <c r="CA45" s="1968"/>
      <c r="CB45" s="1968"/>
      <c r="CC45" s="1968"/>
      <c r="CD45" s="1968"/>
      <c r="CE45" s="1968"/>
      <c r="CF45" s="1968"/>
      <c r="CG45" s="1968"/>
      <c r="CH45" s="1968"/>
      <c r="CI45" s="1968"/>
      <c r="CJ45" s="1968"/>
      <c r="CK45" s="1968"/>
      <c r="CL45" s="1968"/>
      <c r="CM45" s="1968"/>
      <c r="CN45" s="1968"/>
      <c r="CO45" s="1968"/>
      <c r="CP45" s="1968"/>
      <c r="CQ45" s="1968"/>
      <c r="CR45" s="1968"/>
      <c r="CS45" s="1968"/>
      <c r="CT45" s="1968"/>
      <c r="CU45" s="1968"/>
      <c r="CV45" s="1968"/>
      <c r="CW45" s="1968"/>
      <c r="CX45" s="1968"/>
      <c r="CY45" s="1968"/>
      <c r="CZ45" s="1968"/>
      <c r="DA45" s="1968"/>
      <c r="DB45" s="1968"/>
      <c r="DC45" s="1968"/>
      <c r="DD45" s="1968"/>
      <c r="DE45" s="1968"/>
      <c r="DF45" s="1968"/>
      <c r="DG45" s="1968"/>
      <c r="DH45" s="1968"/>
      <c r="DI45" s="1968"/>
      <c r="DJ45" s="1968"/>
      <c r="DK45" s="1968"/>
      <c r="DL45" s="1968"/>
      <c r="DM45" s="1968"/>
      <c r="DN45" s="1968"/>
      <c r="DO45" s="1968"/>
      <c r="DP45" s="1968"/>
      <c r="DQ45" s="1968"/>
      <c r="DR45" s="1968"/>
      <c r="DS45" s="1968"/>
      <c r="DT45" s="1968"/>
      <c r="DU45" s="1968"/>
      <c r="DV45" s="1968"/>
      <c r="DW45" s="1968"/>
      <c r="DX45" s="1968"/>
      <c r="DY45" s="1968"/>
      <c r="DZ45" s="1968"/>
      <c r="EA45" s="1968"/>
      <c r="EB45" s="1968"/>
      <c r="EC45" s="1968"/>
      <c r="ED45" s="1968"/>
      <c r="EE45" s="1968"/>
      <c r="EF45" s="1968"/>
      <c r="EG45" s="1968"/>
      <c r="EH45" s="1968"/>
      <c r="EI45" s="1968"/>
      <c r="EJ45" s="1968"/>
      <c r="EK45" s="1968"/>
      <c r="EL45" s="1968"/>
      <c r="EM45" s="1968"/>
      <c r="EN45" s="1968"/>
      <c r="EO45" s="1968"/>
      <c r="EP45" s="1968"/>
      <c r="EQ45" s="1968"/>
      <c r="ER45" s="1968"/>
      <c r="ES45" s="1968"/>
      <c r="ET45" s="1968"/>
      <c r="EU45" s="1968"/>
      <c r="EV45" s="1968"/>
      <c r="EW45" s="1968"/>
      <c r="EX45" s="1968"/>
      <c r="EY45" s="1968"/>
      <c r="EZ45" s="1968"/>
      <c r="FA45" s="1968"/>
      <c r="FB45" s="1968"/>
      <c r="FC45" s="1968"/>
      <c r="FD45" s="1968"/>
      <c r="FE45" s="1968"/>
      <c r="FF45" s="1968"/>
      <c r="FG45" s="1968"/>
      <c r="FH45" s="1968"/>
      <c r="FI45" s="1968"/>
      <c r="FJ45" s="1968"/>
      <c r="FK45" s="1968"/>
      <c r="FL45" s="1968"/>
      <c r="FM45" s="1968"/>
      <c r="FN45" s="1968"/>
      <c r="FO45" s="1968"/>
      <c r="FP45" s="1968"/>
      <c r="FQ45" s="1968"/>
      <c r="FR45" s="1968"/>
      <c r="FS45" s="1968"/>
      <c r="FT45" s="1968"/>
      <c r="FU45" s="1968"/>
      <c r="FV45" s="1968"/>
      <c r="FW45" s="1968"/>
      <c r="FX45" s="1968"/>
      <c r="FY45" s="1968"/>
      <c r="FZ45" s="1968"/>
      <c r="GA45" s="1968"/>
      <c r="GB45" s="1968"/>
      <c r="GC45" s="1968"/>
      <c r="GD45" s="1968"/>
      <c r="GE45" s="1968"/>
      <c r="GF45" s="1968"/>
      <c r="GG45" s="1968"/>
      <c r="GH45" s="1968"/>
      <c r="GI45" s="1968"/>
      <c r="GJ45" s="1968"/>
      <c r="GK45" s="1968"/>
      <c r="GL45" s="1968"/>
      <c r="GM45" s="1968"/>
      <c r="GN45" s="1968"/>
      <c r="GO45" s="1968"/>
      <c r="GP45" s="1968"/>
      <c r="GQ45" s="1968"/>
      <c r="GR45" s="1968"/>
      <c r="GS45" s="1968"/>
      <c r="GT45" s="1968"/>
      <c r="GU45" s="1968"/>
      <c r="GV45" s="1968"/>
      <c r="GW45" s="1968"/>
      <c r="GX45" s="1968"/>
      <c r="GY45" s="1968"/>
      <c r="GZ45" s="1968"/>
      <c r="HA45" s="1968"/>
      <c r="HB45" s="1968"/>
      <c r="HC45" s="1968"/>
      <c r="HD45" s="1968"/>
      <c r="HE45" s="1968"/>
      <c r="HF45" s="1968"/>
      <c r="HG45" s="1968"/>
      <c r="HH45" s="1968"/>
      <c r="HI45" s="1968"/>
      <c r="HJ45" s="1968"/>
      <c r="HK45" s="1968"/>
      <c r="HL45" s="1968"/>
      <c r="HM45" s="1968"/>
      <c r="HN45" s="1968"/>
      <c r="HO45" s="1968"/>
      <c r="HP45" s="1968"/>
      <c r="HQ45" s="1968"/>
      <c r="HR45" s="1968"/>
      <c r="HS45" s="1968"/>
      <c r="HT45" s="1968"/>
      <c r="HU45" s="1968"/>
      <c r="HV45" s="1968"/>
      <c r="HW45" s="1968"/>
      <c r="HX45" s="1968"/>
      <c r="HY45" s="1968"/>
      <c r="HZ45" s="1968"/>
      <c r="IA45" s="1968"/>
      <c r="IB45" s="1968"/>
      <c r="IC45" s="1968"/>
      <c r="ID45" s="1968"/>
      <c r="IE45" s="1968"/>
      <c r="IF45" s="1968"/>
      <c r="IG45" s="1968"/>
      <c r="IH45" s="1968"/>
      <c r="II45" s="1968"/>
      <c r="IJ45" s="1968"/>
      <c r="IK45" s="1968"/>
      <c r="IL45" s="1968"/>
      <c r="IM45" s="1968"/>
      <c r="IN45" s="1968"/>
      <c r="IO45" s="1968"/>
      <c r="IP45" s="1968"/>
      <c r="IQ45" s="1968"/>
      <c r="IR45" s="1968"/>
      <c r="IS45" s="1968"/>
      <c r="IT45" s="1968"/>
      <c r="IU45" s="1968"/>
      <c r="IV45" s="1968"/>
      <c r="IW45" s="1968"/>
    </row>
    <row r="46" spans="1:257" s="1427" customFormat="1" ht="15" thickTop="1" x14ac:dyDescent="0.25">
      <c r="A46" s="1427" t="s">
        <v>1227</v>
      </c>
      <c r="B46" s="1427" t="s">
        <v>1228</v>
      </c>
      <c r="H46" s="1985"/>
      <c r="J46" s="631"/>
      <c r="K46" s="631"/>
      <c r="L46" s="631"/>
      <c r="M46" s="631"/>
      <c r="N46" s="631"/>
      <c r="Q46" s="1986"/>
      <c r="R46" s="1986"/>
      <c r="S46" s="1986"/>
    </row>
    <row r="47" spans="1:257" s="1427" customFormat="1" x14ac:dyDescent="0.25">
      <c r="A47" s="1427" t="s">
        <v>173</v>
      </c>
      <c r="J47" s="631"/>
      <c r="K47" s="631"/>
      <c r="L47" s="631"/>
      <c r="M47" s="631"/>
      <c r="N47" s="631"/>
      <c r="Q47" s="1986"/>
      <c r="R47" s="1986"/>
      <c r="S47" s="1986"/>
    </row>
    <row r="48" spans="1:257" s="1427" customFormat="1" x14ac:dyDescent="0.25">
      <c r="A48" s="1427" t="s">
        <v>1204</v>
      </c>
      <c r="F48" s="2003"/>
      <c r="H48" s="2004"/>
      <c r="J48" s="631"/>
      <c r="K48" s="631"/>
      <c r="L48" s="631"/>
      <c r="M48" s="631"/>
      <c r="N48" s="631"/>
      <c r="Q48" s="1986"/>
      <c r="R48" s="1986"/>
      <c r="S48" s="1986"/>
    </row>
    <row r="49" spans="2:19" x14ac:dyDescent="0.25">
      <c r="F49" s="2005"/>
      <c r="Q49" s="1986"/>
      <c r="R49" s="1986"/>
      <c r="S49" s="1986"/>
    </row>
    <row r="50" spans="2:19" x14ac:dyDescent="0.25">
      <c r="B50" s="655"/>
      <c r="C50" s="655"/>
      <c r="D50" s="655"/>
      <c r="E50" s="655"/>
      <c r="F50" s="655"/>
      <c r="G50" s="655"/>
      <c r="Q50" s="1986"/>
      <c r="R50" s="1986"/>
      <c r="S50" s="1986"/>
    </row>
    <row r="51" spans="2:19" x14ac:dyDescent="0.25">
      <c r="Q51" s="1986"/>
      <c r="R51" s="1986"/>
      <c r="S51" s="1986"/>
    </row>
    <row r="52" spans="2:19" x14ac:dyDescent="0.25">
      <c r="Q52" s="1986"/>
      <c r="R52" s="1986"/>
      <c r="S52" s="1986"/>
    </row>
    <row r="53" spans="2:19" x14ac:dyDescent="0.25">
      <c r="Q53" s="1986"/>
      <c r="R53" s="1986"/>
      <c r="S53" s="1986"/>
    </row>
    <row r="54" spans="2:19" x14ac:dyDescent="0.25">
      <c r="B54" s="655"/>
      <c r="C54" s="655"/>
      <c r="D54" s="655"/>
      <c r="E54" s="655"/>
      <c r="F54" s="655"/>
      <c r="G54" s="655"/>
      <c r="H54" s="655"/>
      <c r="Q54" s="1986"/>
      <c r="R54" s="1986"/>
      <c r="S54" s="1986"/>
    </row>
    <row r="55" spans="2:19" x14ac:dyDescent="0.25">
      <c r="B55" s="655"/>
      <c r="C55" s="655"/>
      <c r="D55" s="655"/>
      <c r="E55" s="655"/>
      <c r="F55" s="655"/>
      <c r="G55" s="655"/>
      <c r="H55" s="655"/>
      <c r="Q55" s="1986"/>
      <c r="R55" s="1986"/>
      <c r="S55" s="1986"/>
    </row>
    <row r="56" spans="2:19" x14ac:dyDescent="0.25">
      <c r="Q56" s="1986"/>
      <c r="R56" s="1986"/>
      <c r="S56" s="1986"/>
    </row>
    <row r="57" spans="2:19" x14ac:dyDescent="0.25">
      <c r="Q57" s="1986"/>
      <c r="R57" s="1986"/>
      <c r="S57" s="1986"/>
    </row>
    <row r="58" spans="2:19" x14ac:dyDescent="0.25">
      <c r="Q58" s="1986"/>
      <c r="R58" s="1986"/>
      <c r="S58" s="1986"/>
    </row>
    <row r="59" spans="2:19" x14ac:dyDescent="0.25">
      <c r="Q59" s="1986"/>
      <c r="R59" s="1986"/>
      <c r="S59" s="1986"/>
    </row>
    <row r="60" spans="2:19" x14ac:dyDescent="0.25">
      <c r="Q60" s="1986"/>
      <c r="R60" s="1986"/>
      <c r="S60" s="1986"/>
    </row>
    <row r="61" spans="2:19" x14ac:dyDescent="0.25">
      <c r="Q61" s="1986"/>
      <c r="R61" s="1986"/>
      <c r="S61" s="1986"/>
    </row>
    <row r="62" spans="2:19" x14ac:dyDescent="0.25">
      <c r="Q62" s="1986"/>
      <c r="R62" s="1986"/>
      <c r="S62" s="1986"/>
    </row>
    <row r="63" spans="2:19" x14ac:dyDescent="0.25">
      <c r="Q63" s="1986"/>
      <c r="R63" s="1986"/>
      <c r="S63" s="1986"/>
    </row>
    <row r="64" spans="2:19" x14ac:dyDescent="0.25">
      <c r="Q64" s="1986"/>
      <c r="R64" s="1986"/>
      <c r="S64" s="1986"/>
    </row>
    <row r="65" spans="17:19" x14ac:dyDescent="0.25">
      <c r="Q65" s="1986"/>
      <c r="R65" s="1986"/>
      <c r="S65" s="1986"/>
    </row>
    <row r="66" spans="17:19" x14ac:dyDescent="0.25">
      <c r="Q66" s="1986"/>
      <c r="R66" s="1986"/>
      <c r="S66" s="1986"/>
    </row>
    <row r="67" spans="17:19" x14ac:dyDescent="0.25">
      <c r="Q67" s="1986"/>
      <c r="R67" s="1986"/>
      <c r="S67" s="1986"/>
    </row>
    <row r="68" spans="17:19" x14ac:dyDescent="0.25">
      <c r="Q68" s="1986"/>
      <c r="R68" s="1986"/>
      <c r="S68" s="1986"/>
    </row>
    <row r="69" spans="17:19" x14ac:dyDescent="0.25">
      <c r="Q69" s="1986"/>
      <c r="R69" s="1986"/>
      <c r="S69" s="1986"/>
    </row>
    <row r="70" spans="17:19" x14ac:dyDescent="0.25">
      <c r="Q70" s="1986"/>
      <c r="R70" s="1986"/>
      <c r="S70" s="1986"/>
    </row>
    <row r="71" spans="17:19" x14ac:dyDescent="0.25">
      <c r="Q71" s="1986"/>
      <c r="R71" s="1986"/>
      <c r="S71" s="1986"/>
    </row>
    <row r="72" spans="17:19" x14ac:dyDescent="0.25">
      <c r="Q72" s="1986"/>
      <c r="R72" s="1986"/>
      <c r="S72" s="1986"/>
    </row>
    <row r="73" spans="17:19" x14ac:dyDescent="0.25">
      <c r="Q73" s="1986"/>
      <c r="R73" s="1986"/>
      <c r="S73" s="1986"/>
    </row>
    <row r="74" spans="17:19" x14ac:dyDescent="0.25">
      <c r="Q74" s="1986"/>
      <c r="R74" s="1986"/>
      <c r="S74" s="1986"/>
    </row>
    <row r="75" spans="17:19" x14ac:dyDescent="0.25">
      <c r="Q75" s="1986"/>
      <c r="R75" s="1986"/>
      <c r="S75" s="1986"/>
    </row>
    <row r="76" spans="17:19" x14ac:dyDescent="0.25">
      <c r="Q76" s="1986"/>
      <c r="R76" s="1986"/>
      <c r="S76" s="1986"/>
    </row>
    <row r="77" spans="17:19" x14ac:dyDescent="0.25">
      <c r="Q77" s="1986"/>
      <c r="R77" s="1986"/>
      <c r="S77" s="1986"/>
    </row>
    <row r="78" spans="17:19" x14ac:dyDescent="0.25">
      <c r="Q78" s="1986"/>
      <c r="R78" s="1986"/>
      <c r="S78" s="1986"/>
    </row>
    <row r="79" spans="17:19" x14ac:dyDescent="0.25">
      <c r="Q79" s="1986"/>
      <c r="R79" s="1986"/>
      <c r="S79" s="1986"/>
    </row>
    <row r="80" spans="17:19" x14ac:dyDescent="0.25">
      <c r="Q80" s="1986"/>
      <c r="R80" s="1986"/>
      <c r="S80" s="1986"/>
    </row>
    <row r="81" spans="17:19" x14ac:dyDescent="0.25">
      <c r="Q81" s="1986"/>
      <c r="R81" s="1986"/>
      <c r="S81" s="1986"/>
    </row>
    <row r="82" spans="17:19" x14ac:dyDescent="0.25">
      <c r="Q82" s="1986"/>
      <c r="R82" s="1986"/>
      <c r="S82" s="1986"/>
    </row>
    <row r="83" spans="17:19" x14ac:dyDescent="0.25">
      <c r="Q83" s="1986"/>
      <c r="R83" s="1986"/>
      <c r="S83" s="1986"/>
    </row>
    <row r="84" spans="17:19" x14ac:dyDescent="0.25">
      <c r="Q84" s="1986"/>
      <c r="R84" s="1986"/>
      <c r="S84" s="1986"/>
    </row>
    <row r="85" spans="17:19" x14ac:dyDescent="0.25">
      <c r="Q85" s="1986"/>
      <c r="R85" s="1986"/>
      <c r="S85" s="1986"/>
    </row>
    <row r="86" spans="17:19" x14ac:dyDescent="0.25">
      <c r="Q86" s="1986"/>
      <c r="R86" s="1986"/>
      <c r="S86" s="1986"/>
    </row>
    <row r="87" spans="17:19" x14ac:dyDescent="0.25">
      <c r="Q87" s="1986"/>
      <c r="R87" s="1986"/>
      <c r="S87" s="1986"/>
    </row>
    <row r="88" spans="17:19" x14ac:dyDescent="0.25">
      <c r="Q88" s="1986"/>
      <c r="R88" s="1986"/>
      <c r="S88" s="1986"/>
    </row>
    <row r="89" spans="17:19" x14ac:dyDescent="0.25">
      <c r="Q89" s="1986"/>
      <c r="R89" s="1986"/>
      <c r="S89" s="1986"/>
    </row>
    <row r="90" spans="17:19" x14ac:dyDescent="0.25">
      <c r="Q90" s="1986"/>
      <c r="R90" s="1986"/>
      <c r="S90" s="1986"/>
    </row>
    <row r="91" spans="17:19" x14ac:dyDescent="0.25">
      <c r="Q91" s="1986"/>
      <c r="R91" s="1986"/>
      <c r="S91" s="1986"/>
    </row>
    <row r="92" spans="17:19" x14ac:dyDescent="0.25">
      <c r="Q92" s="1986"/>
      <c r="R92" s="1986"/>
      <c r="S92" s="1986"/>
    </row>
    <row r="93" spans="17:19" x14ac:dyDescent="0.25">
      <c r="Q93" s="1986"/>
      <c r="R93" s="1986"/>
      <c r="S93" s="1986"/>
    </row>
    <row r="94" spans="17:19" x14ac:dyDescent="0.25">
      <c r="Q94" s="1986"/>
      <c r="R94" s="1986"/>
      <c r="S94" s="1986"/>
    </row>
    <row r="95" spans="17:19" x14ac:dyDescent="0.25">
      <c r="Q95" s="1986"/>
      <c r="R95" s="1986"/>
      <c r="S95" s="1986"/>
    </row>
    <row r="96" spans="17:19" x14ac:dyDescent="0.25">
      <c r="Q96" s="1986"/>
      <c r="R96" s="1986"/>
      <c r="S96" s="1986"/>
    </row>
    <row r="97" spans="17:19" x14ac:dyDescent="0.25">
      <c r="Q97" s="1986"/>
      <c r="R97" s="1986"/>
      <c r="S97" s="1986"/>
    </row>
    <row r="98" spans="17:19" x14ac:dyDescent="0.25">
      <c r="Q98" s="1986"/>
      <c r="R98" s="1986"/>
      <c r="S98" s="1986"/>
    </row>
    <row r="99" spans="17:19" x14ac:dyDescent="0.25">
      <c r="Q99" s="1986"/>
      <c r="R99" s="1986"/>
      <c r="S99" s="1986"/>
    </row>
    <row r="100" spans="17:19" x14ac:dyDescent="0.25">
      <c r="Q100" s="1986"/>
      <c r="R100" s="1986"/>
      <c r="S100" s="1986"/>
    </row>
    <row r="101" spans="17:19" x14ac:dyDescent="0.25">
      <c r="Q101" s="1986"/>
      <c r="R101" s="1986"/>
      <c r="S101" s="1986"/>
    </row>
    <row r="102" spans="17:19" x14ac:dyDescent="0.25">
      <c r="Q102" s="1986"/>
      <c r="R102" s="1986"/>
      <c r="S102" s="1986"/>
    </row>
    <row r="103" spans="17:19" x14ac:dyDescent="0.25">
      <c r="Q103" s="1986"/>
      <c r="R103" s="1986"/>
      <c r="S103" s="1986"/>
    </row>
    <row r="104" spans="17:19" x14ac:dyDescent="0.25">
      <c r="Q104" s="1986"/>
      <c r="R104" s="1986"/>
      <c r="S104" s="1986"/>
    </row>
    <row r="105" spans="17:19" x14ac:dyDescent="0.25">
      <c r="Q105" s="1986"/>
      <c r="R105" s="1986"/>
      <c r="S105" s="1986"/>
    </row>
    <row r="106" spans="17:19" x14ac:dyDescent="0.25">
      <c r="Q106" s="1986"/>
      <c r="R106" s="1986"/>
      <c r="S106" s="1986"/>
    </row>
    <row r="107" spans="17:19" x14ac:dyDescent="0.25">
      <c r="Q107" s="1986"/>
      <c r="R107" s="1986"/>
      <c r="S107" s="1986"/>
    </row>
    <row r="108" spans="17:19" x14ac:dyDescent="0.25">
      <c r="Q108" s="1986"/>
      <c r="R108" s="1986"/>
      <c r="S108" s="1986"/>
    </row>
    <row r="109" spans="17:19" x14ac:dyDescent="0.25">
      <c r="Q109" s="1986"/>
      <c r="R109" s="1986"/>
      <c r="S109" s="1986"/>
    </row>
    <row r="110" spans="17:19" x14ac:dyDescent="0.25">
      <c r="Q110" s="1986"/>
      <c r="R110" s="1986"/>
      <c r="S110" s="1986"/>
    </row>
    <row r="111" spans="17:19" x14ac:dyDescent="0.25">
      <c r="Q111" s="1986"/>
      <c r="R111" s="1986"/>
      <c r="S111" s="1986"/>
    </row>
    <row r="112" spans="17:19" x14ac:dyDescent="0.25">
      <c r="Q112" s="1986"/>
      <c r="R112" s="1986"/>
      <c r="S112" s="1986"/>
    </row>
    <row r="113" spans="17:19" x14ac:dyDescent="0.25">
      <c r="Q113" s="1986"/>
      <c r="R113" s="1986"/>
      <c r="S113" s="1986"/>
    </row>
    <row r="114" spans="17:19" x14ac:dyDescent="0.25">
      <c r="Q114" s="1986"/>
      <c r="R114" s="1986"/>
      <c r="S114" s="1986"/>
    </row>
    <row r="115" spans="17:19" x14ac:dyDescent="0.25">
      <c r="Q115" s="1986"/>
      <c r="R115" s="1986"/>
      <c r="S115" s="1986"/>
    </row>
    <row r="116" spans="17:19" x14ac:dyDescent="0.25">
      <c r="Q116" s="1986"/>
      <c r="R116" s="1986"/>
      <c r="S116" s="1986"/>
    </row>
    <row r="117" spans="17:19" x14ac:dyDescent="0.25">
      <c r="Q117" s="1986"/>
      <c r="R117" s="1986"/>
      <c r="S117" s="1986"/>
    </row>
    <row r="118" spans="17:19" x14ac:dyDescent="0.25">
      <c r="Q118" s="1986"/>
      <c r="R118" s="1986"/>
      <c r="S118" s="1986"/>
    </row>
    <row r="119" spans="17:19" x14ac:dyDescent="0.25">
      <c r="Q119" s="1986"/>
      <c r="R119" s="1986"/>
      <c r="S119" s="1986"/>
    </row>
    <row r="120" spans="17:19" x14ac:dyDescent="0.25">
      <c r="Q120" s="1986"/>
      <c r="R120" s="1986"/>
      <c r="S120" s="1986"/>
    </row>
    <row r="121" spans="17:19" x14ac:dyDescent="0.25">
      <c r="Q121" s="1986"/>
      <c r="R121" s="1986"/>
      <c r="S121" s="1986"/>
    </row>
    <row r="122" spans="17:19" x14ac:dyDescent="0.25">
      <c r="Q122" s="1986"/>
      <c r="R122" s="1986"/>
      <c r="S122" s="1986"/>
    </row>
    <row r="123" spans="17:19" x14ac:dyDescent="0.25">
      <c r="Q123" s="1986"/>
      <c r="R123" s="1986"/>
      <c r="S123" s="1986"/>
    </row>
    <row r="124" spans="17:19" x14ac:dyDescent="0.25">
      <c r="Q124" s="1986"/>
      <c r="R124" s="1986"/>
      <c r="S124" s="1986"/>
    </row>
    <row r="125" spans="17:19" x14ac:dyDescent="0.25">
      <c r="Q125" s="1986"/>
      <c r="R125" s="1986"/>
      <c r="S125" s="1986"/>
    </row>
    <row r="126" spans="17:19" x14ac:dyDescent="0.25">
      <c r="Q126" s="1986"/>
      <c r="R126" s="1986"/>
      <c r="S126" s="1986"/>
    </row>
    <row r="127" spans="17:19" x14ac:dyDescent="0.25">
      <c r="Q127" s="1986"/>
      <c r="R127" s="1986"/>
      <c r="S127" s="1986"/>
    </row>
    <row r="128" spans="17:19" x14ac:dyDescent="0.25">
      <c r="Q128" s="1986"/>
      <c r="R128" s="1986"/>
      <c r="S128" s="1986"/>
    </row>
    <row r="129" spans="17:19" x14ac:dyDescent="0.25">
      <c r="Q129" s="1986"/>
      <c r="R129" s="1986"/>
      <c r="S129" s="1986"/>
    </row>
    <row r="130" spans="17:19" x14ac:dyDescent="0.25">
      <c r="Q130" s="1986"/>
      <c r="R130" s="1986"/>
      <c r="S130" s="1986"/>
    </row>
    <row r="131" spans="17:19" x14ac:dyDescent="0.25">
      <c r="Q131" s="1986"/>
      <c r="R131" s="1986"/>
      <c r="S131" s="1986"/>
    </row>
    <row r="132" spans="17:19" x14ac:dyDescent="0.25">
      <c r="Q132" s="1986"/>
      <c r="R132" s="1986"/>
      <c r="S132" s="1986"/>
    </row>
    <row r="133" spans="17:19" x14ac:dyDescent="0.25">
      <c r="Q133" s="1986"/>
      <c r="R133" s="1986"/>
      <c r="S133" s="1986"/>
    </row>
    <row r="134" spans="17:19" x14ac:dyDescent="0.25">
      <c r="Q134" s="1986"/>
      <c r="R134" s="1986"/>
      <c r="S134" s="1986"/>
    </row>
    <row r="135" spans="17:19" x14ac:dyDescent="0.25">
      <c r="Q135" s="1986"/>
      <c r="R135" s="1986"/>
      <c r="S135" s="1986"/>
    </row>
    <row r="136" spans="17:19" x14ac:dyDescent="0.25">
      <c r="Q136" s="1986"/>
      <c r="R136" s="1986"/>
      <c r="S136" s="1986"/>
    </row>
    <row r="137" spans="17:19" x14ac:dyDescent="0.25">
      <c r="Q137" s="1986"/>
      <c r="R137" s="1986"/>
      <c r="S137" s="1986"/>
    </row>
    <row r="138" spans="17:19" x14ac:dyDescent="0.25">
      <c r="Q138" s="1986"/>
      <c r="R138" s="1986"/>
      <c r="S138" s="1986"/>
    </row>
    <row r="139" spans="17:19" x14ac:dyDescent="0.25">
      <c r="Q139" s="1986"/>
      <c r="R139" s="1986"/>
      <c r="S139" s="1986"/>
    </row>
    <row r="140" spans="17:19" x14ac:dyDescent="0.25">
      <c r="Q140" s="1986"/>
      <c r="R140" s="1986"/>
      <c r="S140" s="1986"/>
    </row>
    <row r="141" spans="17:19" x14ac:dyDescent="0.25">
      <c r="Q141" s="1986"/>
      <c r="R141" s="1986"/>
      <c r="S141" s="1986"/>
    </row>
    <row r="142" spans="17:19" x14ac:dyDescent="0.25">
      <c r="Q142" s="1986"/>
      <c r="R142" s="1986"/>
      <c r="S142" s="1986"/>
    </row>
    <row r="143" spans="17:19" x14ac:dyDescent="0.25">
      <c r="Q143" s="1986"/>
      <c r="R143" s="1986"/>
      <c r="S143" s="1986"/>
    </row>
    <row r="144" spans="17:19" x14ac:dyDescent="0.25">
      <c r="Q144" s="1986"/>
      <c r="R144" s="1986"/>
      <c r="S144" s="1986"/>
    </row>
    <row r="145" spans="17:19" x14ac:dyDescent="0.25">
      <c r="Q145" s="1986"/>
      <c r="R145" s="1986"/>
      <c r="S145" s="1986"/>
    </row>
    <row r="146" spans="17:19" x14ac:dyDescent="0.25">
      <c r="Q146" s="1986"/>
      <c r="R146" s="1986"/>
      <c r="S146" s="1986"/>
    </row>
    <row r="147" spans="17:19" x14ac:dyDescent="0.25">
      <c r="Q147" s="1986"/>
      <c r="R147" s="1986"/>
      <c r="S147" s="1986"/>
    </row>
    <row r="148" spans="17:19" x14ac:dyDescent="0.25">
      <c r="Q148" s="1986"/>
      <c r="R148" s="1986"/>
      <c r="S148" s="1986"/>
    </row>
    <row r="149" spans="17:19" x14ac:dyDescent="0.25">
      <c r="Q149" s="1986"/>
      <c r="R149" s="1986"/>
      <c r="S149" s="1986"/>
    </row>
    <row r="150" spans="17:19" x14ac:dyDescent="0.25">
      <c r="Q150" s="1986"/>
      <c r="R150" s="1986"/>
      <c r="S150" s="1986"/>
    </row>
    <row r="151" spans="17:19" x14ac:dyDescent="0.25">
      <c r="Q151" s="1986"/>
      <c r="R151" s="1986"/>
      <c r="S151" s="1986"/>
    </row>
    <row r="152" spans="17:19" x14ac:dyDescent="0.25">
      <c r="Q152" s="1986"/>
      <c r="R152" s="1986"/>
      <c r="S152" s="1986"/>
    </row>
    <row r="153" spans="17:19" x14ac:dyDescent="0.25">
      <c r="Q153" s="1986"/>
      <c r="R153" s="1986"/>
      <c r="S153" s="1986"/>
    </row>
    <row r="154" spans="17:19" x14ac:dyDescent="0.25">
      <c r="Q154" s="1986"/>
      <c r="R154" s="1986"/>
      <c r="S154" s="1986"/>
    </row>
    <row r="155" spans="17:19" x14ac:dyDescent="0.25">
      <c r="Q155" s="1986"/>
      <c r="R155" s="1986"/>
      <c r="S155" s="1986"/>
    </row>
    <row r="156" spans="17:19" x14ac:dyDescent="0.25">
      <c r="Q156" s="1986"/>
      <c r="R156" s="1986"/>
      <c r="S156" s="1986"/>
    </row>
    <row r="157" spans="17:19" x14ac:dyDescent="0.25">
      <c r="Q157" s="1986"/>
      <c r="R157" s="1986"/>
      <c r="S157" s="1986"/>
    </row>
    <row r="158" spans="17:19" x14ac:dyDescent="0.25">
      <c r="Q158" s="1986"/>
      <c r="R158" s="1986"/>
      <c r="S158" s="1986"/>
    </row>
    <row r="159" spans="17:19" x14ac:dyDescent="0.25">
      <c r="Q159" s="1986"/>
      <c r="R159" s="1986"/>
      <c r="S159" s="1986"/>
    </row>
    <row r="160" spans="17:19" x14ac:dyDescent="0.25">
      <c r="Q160" s="1986"/>
      <c r="R160" s="1986"/>
      <c r="S160" s="1986"/>
    </row>
    <row r="161" spans="17:19" x14ac:dyDescent="0.25">
      <c r="Q161" s="1986"/>
      <c r="R161" s="1986"/>
      <c r="S161" s="1986"/>
    </row>
    <row r="162" spans="17:19" x14ac:dyDescent="0.25">
      <c r="Q162" s="1986"/>
      <c r="R162" s="1986"/>
      <c r="S162" s="1986"/>
    </row>
    <row r="163" spans="17:19" x14ac:dyDescent="0.25">
      <c r="Q163" s="1986"/>
      <c r="R163" s="1986"/>
      <c r="S163" s="1986"/>
    </row>
    <row r="164" spans="17:19" x14ac:dyDescent="0.25">
      <c r="Q164" s="1986"/>
      <c r="R164" s="1986"/>
      <c r="S164" s="1986"/>
    </row>
    <row r="165" spans="17:19" x14ac:dyDescent="0.25">
      <c r="Q165" s="1986"/>
      <c r="R165" s="1986"/>
      <c r="S165" s="1986"/>
    </row>
    <row r="166" spans="17:19" x14ac:dyDescent="0.25">
      <c r="Q166" s="1986"/>
      <c r="R166" s="1986"/>
      <c r="S166" s="1986"/>
    </row>
    <row r="167" spans="17:19" x14ac:dyDescent="0.25">
      <c r="Q167" s="1986"/>
      <c r="R167" s="1986"/>
      <c r="S167" s="1986"/>
    </row>
    <row r="168" spans="17:19" x14ac:dyDescent="0.25">
      <c r="Q168" s="1986"/>
      <c r="R168" s="1986"/>
      <c r="S168" s="1986"/>
    </row>
    <row r="169" spans="17:19" x14ac:dyDescent="0.25">
      <c r="Q169" s="1986"/>
      <c r="R169" s="1986"/>
      <c r="S169" s="1986"/>
    </row>
    <row r="170" spans="17:19" x14ac:dyDescent="0.25">
      <c r="Q170" s="1986"/>
      <c r="R170" s="1986"/>
      <c r="S170" s="1986"/>
    </row>
    <row r="171" spans="17:19" x14ac:dyDescent="0.25">
      <c r="Q171" s="1986"/>
      <c r="R171" s="1986"/>
      <c r="S171" s="1986"/>
    </row>
    <row r="172" spans="17:19" x14ac:dyDescent="0.25">
      <c r="Q172" s="1986"/>
      <c r="R172" s="1986"/>
      <c r="S172" s="1986"/>
    </row>
    <row r="173" spans="17:19" x14ac:dyDescent="0.25">
      <c r="Q173" s="1986"/>
      <c r="R173" s="1986"/>
      <c r="S173" s="1986"/>
    </row>
    <row r="174" spans="17:19" x14ac:dyDescent="0.25">
      <c r="Q174" s="1986"/>
      <c r="R174" s="1986"/>
      <c r="S174" s="1986"/>
    </row>
    <row r="175" spans="17:19" x14ac:dyDescent="0.25">
      <c r="Q175" s="1986"/>
      <c r="R175" s="1986"/>
      <c r="S175" s="1986"/>
    </row>
    <row r="176" spans="17:19" x14ac:dyDescent="0.25">
      <c r="Q176" s="1986"/>
      <c r="R176" s="1986"/>
      <c r="S176" s="1986"/>
    </row>
    <row r="177" spans="17:19" x14ac:dyDescent="0.25">
      <c r="Q177" s="1986"/>
      <c r="R177" s="1986"/>
      <c r="S177" s="1986"/>
    </row>
    <row r="178" spans="17:19" x14ac:dyDescent="0.25">
      <c r="Q178" s="1986"/>
      <c r="R178" s="1986"/>
      <c r="S178" s="1986"/>
    </row>
    <row r="179" spans="17:19" x14ac:dyDescent="0.25">
      <c r="Q179" s="1986"/>
      <c r="R179" s="1986"/>
      <c r="S179" s="1986"/>
    </row>
    <row r="180" spans="17:19" x14ac:dyDescent="0.25">
      <c r="Q180" s="1986"/>
      <c r="R180" s="1986"/>
      <c r="S180" s="1986"/>
    </row>
    <row r="181" spans="17:19" x14ac:dyDescent="0.25">
      <c r="Q181" s="1986"/>
      <c r="R181" s="1986"/>
      <c r="S181" s="1986"/>
    </row>
    <row r="182" spans="17:19" x14ac:dyDescent="0.25">
      <c r="Q182" s="1986"/>
      <c r="R182" s="1986"/>
      <c r="S182" s="1986"/>
    </row>
    <row r="183" spans="17:19" x14ac:dyDescent="0.25">
      <c r="Q183" s="1986"/>
      <c r="R183" s="1986"/>
      <c r="S183" s="1986"/>
    </row>
    <row r="184" spans="17:19" x14ac:dyDescent="0.25">
      <c r="Q184" s="1986"/>
      <c r="R184" s="1986"/>
      <c r="S184" s="1986"/>
    </row>
    <row r="185" spans="17:19" x14ac:dyDescent="0.25">
      <c r="Q185" s="1986"/>
      <c r="R185" s="1986"/>
      <c r="S185" s="1986"/>
    </row>
    <row r="186" spans="17:19" x14ac:dyDescent="0.25">
      <c r="Q186" s="1986"/>
      <c r="R186" s="1986"/>
      <c r="S186" s="1986"/>
    </row>
    <row r="187" spans="17:19" x14ac:dyDescent="0.25">
      <c r="Q187" s="1986"/>
      <c r="R187" s="1986"/>
      <c r="S187" s="1986"/>
    </row>
    <row r="188" spans="17:19" x14ac:dyDescent="0.25">
      <c r="Q188" s="1986"/>
      <c r="R188" s="1986"/>
      <c r="S188" s="1986"/>
    </row>
    <row r="189" spans="17:19" x14ac:dyDescent="0.25">
      <c r="Q189" s="1986"/>
      <c r="R189" s="1986"/>
      <c r="S189" s="1986"/>
    </row>
    <row r="190" spans="17:19" x14ac:dyDescent="0.25">
      <c r="Q190" s="1986"/>
      <c r="R190" s="1986"/>
      <c r="S190" s="1986"/>
    </row>
    <row r="191" spans="17:19" x14ac:dyDescent="0.25">
      <c r="Q191" s="1986"/>
      <c r="R191" s="1986"/>
      <c r="S191" s="1986"/>
    </row>
    <row r="192" spans="17:19" x14ac:dyDescent="0.25">
      <c r="Q192" s="1986"/>
      <c r="R192" s="1986"/>
      <c r="S192" s="1986"/>
    </row>
    <row r="193" spans="17:19" x14ac:dyDescent="0.25">
      <c r="Q193" s="1986"/>
      <c r="R193" s="1986"/>
      <c r="S193" s="1986"/>
    </row>
    <row r="194" spans="17:19" x14ac:dyDescent="0.25">
      <c r="Q194" s="1986"/>
      <c r="R194" s="1986"/>
      <c r="S194" s="1986"/>
    </row>
    <row r="195" spans="17:19" x14ac:dyDescent="0.25">
      <c r="Q195" s="1986"/>
      <c r="R195" s="1986"/>
      <c r="S195" s="1986"/>
    </row>
    <row r="196" spans="17:19" x14ac:dyDescent="0.25">
      <c r="Q196" s="1986"/>
      <c r="R196" s="1986"/>
      <c r="S196" s="1986"/>
    </row>
    <row r="197" spans="17:19" x14ac:dyDescent="0.25">
      <c r="Q197" s="1986"/>
      <c r="R197" s="1986"/>
      <c r="S197" s="1986"/>
    </row>
    <row r="198" spans="17:19" x14ac:dyDescent="0.25">
      <c r="Q198" s="1986"/>
      <c r="R198" s="1986"/>
      <c r="S198" s="1986"/>
    </row>
    <row r="199" spans="17:19" x14ac:dyDescent="0.25">
      <c r="Q199" s="1986"/>
      <c r="R199" s="1986"/>
      <c r="S199" s="1986"/>
    </row>
    <row r="200" spans="17:19" x14ac:dyDescent="0.25">
      <c r="Q200" s="1986"/>
      <c r="R200" s="1986"/>
      <c r="S200" s="1986"/>
    </row>
    <row r="201" spans="17:19" x14ac:dyDescent="0.25">
      <c r="Q201" s="1986"/>
      <c r="R201" s="1986"/>
      <c r="S201" s="1986"/>
    </row>
    <row r="202" spans="17:19" x14ac:dyDescent="0.25">
      <c r="Q202" s="1986"/>
      <c r="R202" s="1986"/>
      <c r="S202" s="1986"/>
    </row>
    <row r="203" spans="17:19" x14ac:dyDescent="0.25">
      <c r="Q203" s="1986"/>
      <c r="R203" s="1986"/>
      <c r="S203" s="1986"/>
    </row>
    <row r="204" spans="17:19" x14ac:dyDescent="0.25">
      <c r="Q204" s="1986"/>
      <c r="R204" s="1986"/>
      <c r="S204" s="1986"/>
    </row>
    <row r="205" spans="17:19" x14ac:dyDescent="0.25">
      <c r="Q205" s="1986"/>
      <c r="R205" s="1986"/>
      <c r="S205" s="1986"/>
    </row>
    <row r="206" spans="17:19" x14ac:dyDescent="0.25">
      <c r="Q206" s="1986"/>
      <c r="R206" s="1986"/>
      <c r="S206" s="1986"/>
    </row>
    <row r="207" spans="17:19" x14ac:dyDescent="0.25">
      <c r="Q207" s="1986"/>
      <c r="R207" s="1986"/>
      <c r="S207" s="1986"/>
    </row>
    <row r="208" spans="17:19" x14ac:dyDescent="0.25">
      <c r="Q208" s="1986"/>
      <c r="R208" s="1986"/>
      <c r="S208" s="1986"/>
    </row>
    <row r="209" spans="17:19" x14ac:dyDescent="0.25">
      <c r="Q209" s="1986"/>
      <c r="R209" s="1986"/>
      <c r="S209" s="1986"/>
    </row>
    <row r="210" spans="17:19" x14ac:dyDescent="0.25">
      <c r="Q210" s="1986"/>
      <c r="R210" s="1986"/>
      <c r="S210" s="1986"/>
    </row>
    <row r="211" spans="17:19" x14ac:dyDescent="0.25">
      <c r="Q211" s="1986"/>
      <c r="R211" s="1986"/>
      <c r="S211" s="1986"/>
    </row>
    <row r="212" spans="17:19" x14ac:dyDescent="0.25">
      <c r="Q212" s="1986"/>
      <c r="R212" s="1986"/>
      <c r="S212" s="1986"/>
    </row>
    <row r="213" spans="17:19" x14ac:dyDescent="0.25">
      <c r="Q213" s="1986"/>
      <c r="R213" s="1986"/>
      <c r="S213" s="1986"/>
    </row>
    <row r="214" spans="17:19" x14ac:dyDescent="0.25">
      <c r="Q214" s="1986"/>
      <c r="R214" s="1986"/>
      <c r="S214" s="1986"/>
    </row>
    <row r="215" spans="17:19" x14ac:dyDescent="0.25">
      <c r="Q215" s="1986"/>
      <c r="R215" s="1986"/>
      <c r="S215" s="1986"/>
    </row>
    <row r="216" spans="17:19" x14ac:dyDescent="0.25">
      <c r="Q216" s="1986"/>
      <c r="R216" s="1986"/>
      <c r="S216" s="1986"/>
    </row>
    <row r="217" spans="17:19" x14ac:dyDescent="0.25">
      <c r="Q217" s="1986"/>
      <c r="R217" s="1986"/>
      <c r="S217" s="1986"/>
    </row>
    <row r="218" spans="17:19" x14ac:dyDescent="0.25">
      <c r="Q218" s="1986"/>
      <c r="R218" s="1986"/>
      <c r="S218" s="1986"/>
    </row>
    <row r="219" spans="17:19" x14ac:dyDescent="0.25">
      <c r="Q219" s="1986"/>
      <c r="R219" s="1986"/>
      <c r="S219" s="1986"/>
    </row>
    <row r="220" spans="17:19" x14ac:dyDescent="0.25">
      <c r="Q220" s="1986"/>
      <c r="R220" s="1986"/>
      <c r="S220" s="1986"/>
    </row>
    <row r="221" spans="17:19" x14ac:dyDescent="0.25">
      <c r="Q221" s="1986"/>
      <c r="R221" s="1986"/>
      <c r="S221" s="1986"/>
    </row>
    <row r="222" spans="17:19" x14ac:dyDescent="0.25">
      <c r="Q222" s="1986"/>
      <c r="R222" s="1986"/>
      <c r="S222" s="1986"/>
    </row>
    <row r="223" spans="17:19" x14ac:dyDescent="0.25">
      <c r="Q223" s="1986"/>
      <c r="R223" s="1986"/>
      <c r="S223" s="1986"/>
    </row>
    <row r="224" spans="17:19" x14ac:dyDescent="0.25">
      <c r="Q224" s="1986"/>
      <c r="R224" s="1986"/>
      <c r="S224" s="1986"/>
    </row>
    <row r="225" spans="17:19" x14ac:dyDescent="0.25">
      <c r="Q225" s="1986"/>
      <c r="R225" s="1986"/>
      <c r="S225" s="1986"/>
    </row>
    <row r="226" spans="17:19" x14ac:dyDescent="0.25">
      <c r="Q226" s="1986"/>
      <c r="R226" s="1986"/>
      <c r="S226" s="1986"/>
    </row>
    <row r="227" spans="17:19" x14ac:dyDescent="0.25">
      <c r="Q227" s="1986"/>
      <c r="R227" s="1986"/>
      <c r="S227" s="1986"/>
    </row>
    <row r="228" spans="17:19" x14ac:dyDescent="0.25">
      <c r="Q228" s="1986"/>
      <c r="R228" s="1986"/>
      <c r="S228" s="1986"/>
    </row>
    <row r="229" spans="17:19" x14ac:dyDescent="0.25">
      <c r="Q229" s="1986"/>
      <c r="R229" s="1986"/>
      <c r="S229" s="1986"/>
    </row>
    <row r="230" spans="17:19" x14ac:dyDescent="0.25">
      <c r="Q230" s="1986"/>
      <c r="R230" s="1986"/>
      <c r="S230" s="1986"/>
    </row>
    <row r="231" spans="17:19" x14ac:dyDescent="0.25">
      <c r="Q231" s="1986"/>
      <c r="R231" s="1986"/>
      <c r="S231" s="1986"/>
    </row>
    <row r="232" spans="17:19" x14ac:dyDescent="0.25">
      <c r="Q232" s="1986"/>
      <c r="R232" s="1986"/>
      <c r="S232" s="1986"/>
    </row>
    <row r="233" spans="17:19" x14ac:dyDescent="0.25">
      <c r="Q233" s="1986"/>
      <c r="R233" s="1986"/>
      <c r="S233" s="1986"/>
    </row>
    <row r="234" spans="17:19" x14ac:dyDescent="0.25">
      <c r="Q234" s="1986"/>
      <c r="R234" s="1986"/>
      <c r="S234" s="1986"/>
    </row>
    <row r="235" spans="17:19" x14ac:dyDescent="0.25">
      <c r="Q235" s="1986"/>
      <c r="R235" s="1986"/>
      <c r="S235" s="1986"/>
    </row>
    <row r="236" spans="17:19" x14ac:dyDescent="0.25">
      <c r="Q236" s="1986"/>
      <c r="R236" s="1986"/>
      <c r="S236" s="1986"/>
    </row>
    <row r="237" spans="17:19" x14ac:dyDescent="0.25">
      <c r="Q237" s="1986"/>
      <c r="R237" s="1986"/>
      <c r="S237" s="1986"/>
    </row>
    <row r="238" spans="17:19" x14ac:dyDescent="0.25">
      <c r="Q238" s="1986"/>
      <c r="R238" s="1986"/>
      <c r="S238" s="1986"/>
    </row>
    <row r="239" spans="17:19" x14ac:dyDescent="0.25">
      <c r="Q239" s="1986"/>
      <c r="R239" s="1986"/>
      <c r="S239" s="1986"/>
    </row>
    <row r="240" spans="17:19" x14ac:dyDescent="0.25">
      <c r="Q240" s="1986"/>
      <c r="R240" s="1986"/>
      <c r="S240" s="1986"/>
    </row>
    <row r="241" spans="17:19" x14ac:dyDescent="0.25">
      <c r="Q241" s="1986"/>
      <c r="R241" s="1986"/>
      <c r="S241" s="1986"/>
    </row>
    <row r="242" spans="17:19" x14ac:dyDescent="0.25">
      <c r="Q242" s="1986"/>
      <c r="R242" s="1986"/>
      <c r="S242" s="1986"/>
    </row>
    <row r="243" spans="17:19" x14ac:dyDescent="0.25">
      <c r="Q243" s="1986"/>
      <c r="R243" s="1986"/>
      <c r="S243" s="1986"/>
    </row>
    <row r="244" spans="17:19" x14ac:dyDescent="0.25">
      <c r="Q244" s="1986"/>
      <c r="R244" s="1986"/>
      <c r="S244" s="1986"/>
    </row>
    <row r="245" spans="17:19" x14ac:dyDescent="0.25">
      <c r="Q245" s="1986"/>
      <c r="R245" s="1986"/>
      <c r="S245" s="1986"/>
    </row>
    <row r="246" spans="17:19" x14ac:dyDescent="0.25">
      <c r="Q246" s="1986"/>
      <c r="R246" s="1986"/>
      <c r="S246" s="1986"/>
    </row>
    <row r="247" spans="17:19" x14ac:dyDescent="0.25">
      <c r="Q247" s="1986"/>
      <c r="R247" s="1986"/>
      <c r="S247" s="1986"/>
    </row>
    <row r="248" spans="17:19" x14ac:dyDescent="0.25">
      <c r="Q248" s="1986"/>
      <c r="R248" s="1986"/>
      <c r="S248" s="1986"/>
    </row>
    <row r="249" spans="17:19" x14ac:dyDescent="0.25">
      <c r="Q249" s="1986"/>
      <c r="R249" s="1986"/>
      <c r="S249" s="1986"/>
    </row>
    <row r="250" spans="17:19" x14ac:dyDescent="0.25">
      <c r="Q250" s="1986"/>
      <c r="R250" s="1986"/>
      <c r="S250" s="1986"/>
    </row>
    <row r="251" spans="17:19" x14ac:dyDescent="0.25">
      <c r="Q251" s="1986"/>
      <c r="R251" s="1986"/>
      <c r="S251" s="1986"/>
    </row>
    <row r="252" spans="17:19" x14ac:dyDescent="0.25">
      <c r="Q252" s="1986"/>
      <c r="R252" s="1986"/>
      <c r="S252" s="1986"/>
    </row>
    <row r="253" spans="17:19" x14ac:dyDescent="0.25">
      <c r="Q253" s="1986"/>
      <c r="R253" s="1986"/>
      <c r="S253" s="1986"/>
    </row>
    <row r="254" spans="17:19" x14ac:dyDescent="0.25">
      <c r="Q254" s="1986"/>
      <c r="R254" s="1986"/>
      <c r="S254" s="1986"/>
    </row>
    <row r="255" spans="17:19" x14ac:dyDescent="0.25">
      <c r="Q255" s="1986"/>
      <c r="R255" s="1986"/>
      <c r="S255" s="1986"/>
    </row>
    <row r="256" spans="17:19" x14ac:dyDescent="0.25">
      <c r="Q256" s="1986"/>
      <c r="R256" s="1986"/>
      <c r="S256" s="1986"/>
    </row>
    <row r="257" spans="17:19" x14ac:dyDescent="0.25">
      <c r="Q257" s="1986"/>
      <c r="R257" s="1986"/>
      <c r="S257" s="1986"/>
    </row>
    <row r="258" spans="17:19" x14ac:dyDescent="0.25">
      <c r="Q258" s="1986"/>
      <c r="R258" s="1986"/>
      <c r="S258" s="1986"/>
    </row>
    <row r="259" spans="17:19" x14ac:dyDescent="0.25">
      <c r="Q259" s="1986"/>
      <c r="R259" s="1986"/>
      <c r="S259" s="1986"/>
    </row>
    <row r="260" spans="17:19" x14ac:dyDescent="0.25">
      <c r="Q260" s="1986"/>
      <c r="R260" s="1986"/>
      <c r="S260" s="1986"/>
    </row>
    <row r="261" spans="17:19" x14ac:dyDescent="0.25">
      <c r="Q261" s="1986"/>
      <c r="R261" s="1986"/>
      <c r="S261" s="1986"/>
    </row>
    <row r="262" spans="17:19" x14ac:dyDescent="0.25">
      <c r="Q262" s="1986"/>
      <c r="R262" s="1986"/>
      <c r="S262" s="1986"/>
    </row>
    <row r="263" spans="17:19" x14ac:dyDescent="0.25">
      <c r="Q263" s="1986"/>
      <c r="R263" s="1986"/>
      <c r="S263" s="1986"/>
    </row>
    <row r="264" spans="17:19" x14ac:dyDescent="0.25">
      <c r="Q264" s="1986"/>
      <c r="R264" s="1986"/>
      <c r="S264" s="1986"/>
    </row>
    <row r="265" spans="17:19" x14ac:dyDescent="0.25">
      <c r="Q265" s="1986"/>
      <c r="R265" s="1986"/>
      <c r="S265" s="1986"/>
    </row>
    <row r="266" spans="17:19" x14ac:dyDescent="0.25">
      <c r="Q266" s="1986"/>
      <c r="R266" s="1986"/>
      <c r="S266" s="1986"/>
    </row>
    <row r="267" spans="17:19" x14ac:dyDescent="0.25">
      <c r="Q267" s="1986"/>
      <c r="R267" s="1986"/>
      <c r="S267" s="1986"/>
    </row>
    <row r="268" spans="17:19" x14ac:dyDescent="0.25">
      <c r="Q268" s="1986"/>
      <c r="R268" s="1986"/>
      <c r="S268" s="1986"/>
    </row>
    <row r="269" spans="17:19" x14ac:dyDescent="0.25">
      <c r="Q269" s="1986"/>
      <c r="R269" s="1986"/>
      <c r="S269" s="1986"/>
    </row>
    <row r="270" spans="17:19" x14ac:dyDescent="0.25">
      <c r="Q270" s="1986"/>
      <c r="R270" s="1986"/>
      <c r="S270" s="1986"/>
    </row>
    <row r="271" spans="17:19" x14ac:dyDescent="0.25">
      <c r="Q271" s="1986"/>
      <c r="R271" s="1986"/>
      <c r="S271" s="1986"/>
    </row>
    <row r="272" spans="17:19" x14ac:dyDescent="0.25">
      <c r="Q272" s="1986"/>
      <c r="R272" s="1986"/>
      <c r="S272" s="1986"/>
    </row>
    <row r="273" spans="17:19" x14ac:dyDescent="0.25">
      <c r="Q273" s="1986"/>
      <c r="R273" s="1986"/>
      <c r="S273" s="1986"/>
    </row>
    <row r="274" spans="17:19" x14ac:dyDescent="0.25">
      <c r="Q274" s="1986"/>
      <c r="R274" s="1986"/>
      <c r="S274" s="1986"/>
    </row>
    <row r="275" spans="17:19" x14ac:dyDescent="0.25">
      <c r="Q275" s="1986"/>
      <c r="R275" s="1986"/>
      <c r="S275" s="1986"/>
    </row>
    <row r="276" spans="17:19" x14ac:dyDescent="0.25">
      <c r="Q276" s="1986"/>
      <c r="R276" s="1986"/>
      <c r="S276" s="1986"/>
    </row>
    <row r="277" spans="17:19" x14ac:dyDescent="0.25">
      <c r="Q277" s="1986"/>
      <c r="R277" s="1986"/>
      <c r="S277" s="1986"/>
    </row>
    <row r="278" spans="17:19" x14ac:dyDescent="0.25">
      <c r="Q278" s="1986"/>
      <c r="R278" s="1986"/>
      <c r="S278" s="1986"/>
    </row>
    <row r="279" spans="17:19" x14ac:dyDescent="0.25">
      <c r="Q279" s="1986"/>
      <c r="R279" s="1986"/>
      <c r="S279" s="1986"/>
    </row>
    <row r="280" spans="17:19" x14ac:dyDescent="0.25">
      <c r="Q280" s="1986"/>
      <c r="R280" s="1986"/>
      <c r="S280" s="1986"/>
    </row>
    <row r="281" spans="17:19" x14ac:dyDescent="0.25">
      <c r="Q281" s="1986"/>
      <c r="R281" s="1986"/>
      <c r="S281" s="1986"/>
    </row>
    <row r="282" spans="17:19" x14ac:dyDescent="0.25">
      <c r="Q282" s="1986"/>
      <c r="R282" s="1986"/>
      <c r="S282" s="1986"/>
    </row>
    <row r="283" spans="17:19" x14ac:dyDescent="0.25">
      <c r="Q283" s="1986"/>
      <c r="R283" s="1986"/>
      <c r="S283" s="1986"/>
    </row>
    <row r="284" spans="17:19" x14ac:dyDescent="0.25">
      <c r="Q284" s="1986"/>
      <c r="R284" s="1986"/>
      <c r="S284" s="1986"/>
    </row>
    <row r="285" spans="17:19" x14ac:dyDescent="0.25">
      <c r="Q285" s="1986"/>
      <c r="R285" s="1986"/>
      <c r="S285" s="1986"/>
    </row>
    <row r="286" spans="17:19" x14ac:dyDescent="0.25">
      <c r="Q286" s="1986"/>
      <c r="R286" s="1986"/>
      <c r="S286" s="1986"/>
    </row>
    <row r="287" spans="17:19" x14ac:dyDescent="0.25">
      <c r="Q287" s="1986"/>
      <c r="R287" s="1986"/>
      <c r="S287" s="1986"/>
    </row>
    <row r="288" spans="17:19" x14ac:dyDescent="0.25">
      <c r="Q288" s="1986"/>
      <c r="R288" s="1986"/>
      <c r="S288" s="1986"/>
    </row>
    <row r="289" spans="13:19" x14ac:dyDescent="0.25">
      <c r="Q289" s="1986"/>
      <c r="R289" s="1986"/>
      <c r="S289" s="1986"/>
    </row>
    <row r="290" spans="13:19" x14ac:dyDescent="0.25">
      <c r="Q290" s="1986"/>
      <c r="R290" s="1986"/>
      <c r="S290" s="1986"/>
    </row>
    <row r="291" spans="13:19" x14ac:dyDescent="0.25">
      <c r="Q291" s="1986"/>
      <c r="R291" s="1986"/>
      <c r="S291" s="1986"/>
    </row>
    <row r="292" spans="13:19" x14ac:dyDescent="0.25">
      <c r="Q292" s="1986"/>
      <c r="R292" s="1986"/>
      <c r="S292" s="1986"/>
    </row>
    <row r="293" spans="13:19" x14ac:dyDescent="0.25">
      <c r="Q293" s="1986"/>
      <c r="R293" s="1986"/>
      <c r="S293" s="1986"/>
    </row>
    <row r="294" spans="13:19" x14ac:dyDescent="0.25">
      <c r="Q294" s="1986"/>
      <c r="R294" s="1986"/>
      <c r="S294" s="1986"/>
    </row>
    <row r="295" spans="13:19" x14ac:dyDescent="0.25">
      <c r="Q295" s="1986"/>
      <c r="R295" s="1986"/>
      <c r="S295" s="1986"/>
    </row>
    <row r="296" spans="13:19" x14ac:dyDescent="0.25">
      <c r="Q296" s="1986"/>
      <c r="R296" s="1986"/>
      <c r="S296" s="1986"/>
    </row>
    <row r="297" spans="13:19" x14ac:dyDescent="0.25">
      <c r="Q297" s="1986"/>
      <c r="R297" s="1986"/>
      <c r="S297" s="1986"/>
    </row>
    <row r="298" spans="13:19" x14ac:dyDescent="0.25">
      <c r="Q298" s="1986"/>
      <c r="R298" s="1986"/>
      <c r="S298" s="1986"/>
    </row>
    <row r="299" spans="13:19" x14ac:dyDescent="0.25">
      <c r="M299" s="1986"/>
      <c r="N299" s="1986"/>
      <c r="O299" s="1986"/>
      <c r="P299" s="1986"/>
      <c r="Q299" s="1986"/>
      <c r="R299" s="1986"/>
      <c r="S299" s="1986"/>
    </row>
    <row r="300" spans="13:19" x14ac:dyDescent="0.25">
      <c r="M300" s="1986"/>
      <c r="N300" s="1986"/>
      <c r="O300" s="1986"/>
      <c r="P300" s="1986"/>
      <c r="Q300" s="1986"/>
      <c r="R300" s="1986"/>
      <c r="S300" s="1986"/>
    </row>
    <row r="301" spans="13:19" x14ac:dyDescent="0.25">
      <c r="M301" s="1986"/>
      <c r="N301" s="1986"/>
      <c r="O301" s="1986"/>
      <c r="P301" s="1986"/>
      <c r="Q301" s="1986"/>
      <c r="R301" s="1986"/>
      <c r="S301" s="1986"/>
    </row>
    <row r="302" spans="13:19" x14ac:dyDescent="0.25">
      <c r="M302" s="1986"/>
      <c r="N302" s="1986"/>
      <c r="O302" s="1986"/>
      <c r="P302" s="1986"/>
      <c r="Q302" s="1986"/>
      <c r="R302" s="1986"/>
      <c r="S302" s="1986"/>
    </row>
    <row r="303" spans="13:19" x14ac:dyDescent="0.25">
      <c r="M303" s="1986"/>
      <c r="N303" s="1986"/>
      <c r="O303" s="1986"/>
      <c r="P303" s="1986"/>
      <c r="Q303" s="1986"/>
      <c r="R303" s="1986"/>
      <c r="S303" s="1986"/>
    </row>
    <row r="304" spans="13:19" x14ac:dyDescent="0.25">
      <c r="M304" s="1986"/>
      <c r="N304" s="1986"/>
      <c r="O304" s="1986"/>
      <c r="P304" s="1986"/>
      <c r="Q304" s="1986"/>
      <c r="R304" s="1986"/>
      <c r="S304" s="1986"/>
    </row>
    <row r="305" spans="13:19" x14ac:dyDescent="0.25">
      <c r="M305" s="1986"/>
      <c r="N305" s="1986"/>
      <c r="O305" s="1986"/>
      <c r="P305" s="1986"/>
      <c r="Q305" s="1986"/>
      <c r="R305" s="1986"/>
      <c r="S305" s="1986"/>
    </row>
    <row r="306" spans="13:19" x14ac:dyDescent="0.25">
      <c r="M306" s="1986"/>
      <c r="N306" s="1986"/>
      <c r="O306" s="1986"/>
      <c r="P306" s="1986"/>
      <c r="Q306" s="1986"/>
      <c r="R306" s="1986"/>
      <c r="S306" s="1986"/>
    </row>
    <row r="307" spans="13:19" x14ac:dyDescent="0.25">
      <c r="M307" s="1986"/>
      <c r="N307" s="1986"/>
      <c r="O307" s="1986"/>
      <c r="P307" s="1986"/>
      <c r="Q307" s="1986"/>
      <c r="R307" s="1986"/>
      <c r="S307" s="1986"/>
    </row>
    <row r="308" spans="13:19" x14ac:dyDescent="0.25">
      <c r="M308" s="1986"/>
      <c r="N308" s="1986"/>
      <c r="O308" s="1986"/>
      <c r="P308" s="1986"/>
      <c r="Q308" s="1986"/>
      <c r="R308" s="1986"/>
      <c r="S308" s="1986"/>
    </row>
    <row r="309" spans="13:19" x14ac:dyDescent="0.25">
      <c r="M309" s="1986"/>
      <c r="N309" s="1986"/>
      <c r="O309" s="1986"/>
      <c r="P309" s="1986"/>
      <c r="Q309" s="1986"/>
      <c r="R309" s="1986"/>
      <c r="S309" s="1986"/>
    </row>
    <row r="310" spans="13:19" x14ac:dyDescent="0.25">
      <c r="M310" s="1986"/>
      <c r="N310" s="1986"/>
      <c r="O310" s="1986"/>
      <c r="P310" s="1986"/>
      <c r="Q310" s="1986"/>
      <c r="R310" s="1986"/>
      <c r="S310" s="1986"/>
    </row>
    <row r="311" spans="13:19" x14ac:dyDescent="0.25">
      <c r="M311" s="1986"/>
      <c r="N311" s="1986"/>
      <c r="O311" s="1986"/>
      <c r="P311" s="1986"/>
      <c r="Q311" s="1986"/>
      <c r="R311" s="1986"/>
      <c r="S311" s="1986"/>
    </row>
    <row r="312" spans="13:19" x14ac:dyDescent="0.25">
      <c r="M312" s="1986"/>
      <c r="N312" s="1986"/>
      <c r="O312" s="1986"/>
      <c r="P312" s="1986"/>
      <c r="Q312" s="1986"/>
      <c r="R312" s="1986"/>
      <c r="S312" s="1986"/>
    </row>
    <row r="313" spans="13:19" x14ac:dyDescent="0.25">
      <c r="M313" s="1986"/>
      <c r="N313" s="1986"/>
      <c r="O313" s="1986"/>
      <c r="P313" s="1986"/>
      <c r="Q313" s="1986"/>
      <c r="R313" s="1986"/>
      <c r="S313" s="1986"/>
    </row>
    <row r="314" spans="13:19" x14ac:dyDescent="0.25">
      <c r="M314" s="1986"/>
      <c r="N314" s="1986"/>
      <c r="O314" s="1986"/>
      <c r="P314" s="1986"/>
      <c r="Q314" s="1986"/>
      <c r="R314" s="1986"/>
      <c r="S314" s="1986"/>
    </row>
    <row r="315" spans="13:19" x14ac:dyDescent="0.25">
      <c r="M315" s="1986"/>
      <c r="N315" s="1986"/>
      <c r="O315" s="1986"/>
      <c r="P315" s="1986"/>
      <c r="Q315" s="1986"/>
      <c r="R315" s="1986"/>
      <c r="S315" s="1986"/>
    </row>
    <row r="316" spans="13:19" x14ac:dyDescent="0.25">
      <c r="M316" s="1986"/>
      <c r="N316" s="1986"/>
      <c r="O316" s="1986"/>
      <c r="P316" s="1986"/>
      <c r="Q316" s="1986"/>
      <c r="R316" s="1986"/>
      <c r="S316" s="1986"/>
    </row>
    <row r="317" spans="13:19" x14ac:dyDescent="0.25">
      <c r="M317" s="1986"/>
      <c r="N317" s="1986"/>
      <c r="O317" s="1986"/>
      <c r="P317" s="1986"/>
      <c r="Q317" s="1986"/>
      <c r="R317" s="1986"/>
      <c r="S317" s="1986"/>
    </row>
    <row r="318" spans="13:19" x14ac:dyDescent="0.25">
      <c r="M318" s="1986"/>
      <c r="N318" s="1986"/>
      <c r="O318" s="1986"/>
      <c r="P318" s="1986"/>
      <c r="Q318" s="1986"/>
      <c r="R318" s="1986"/>
      <c r="S318" s="1986"/>
    </row>
    <row r="319" spans="13:19" x14ac:dyDescent="0.25">
      <c r="M319" s="1986"/>
      <c r="N319" s="1986"/>
      <c r="O319" s="1986"/>
      <c r="P319" s="1986"/>
      <c r="Q319" s="1986"/>
      <c r="R319" s="1986"/>
      <c r="S319" s="1986"/>
    </row>
    <row r="320" spans="13:19" x14ac:dyDescent="0.25">
      <c r="M320" s="1986"/>
      <c r="N320" s="1986"/>
      <c r="O320" s="1986"/>
      <c r="P320" s="1986"/>
      <c r="Q320" s="1986"/>
      <c r="R320" s="1986"/>
      <c r="S320" s="1986"/>
    </row>
    <row r="321" spans="13:19" x14ac:dyDescent="0.25">
      <c r="M321" s="1986"/>
      <c r="N321" s="1986"/>
      <c r="O321" s="1986"/>
      <c r="P321" s="1986"/>
      <c r="Q321" s="1986"/>
      <c r="R321" s="1986"/>
      <c r="S321" s="1986"/>
    </row>
    <row r="322" spans="13:19" x14ac:dyDescent="0.25">
      <c r="M322" s="1986"/>
      <c r="N322" s="1986"/>
      <c r="O322" s="1986"/>
      <c r="P322" s="1986"/>
      <c r="Q322" s="1986"/>
      <c r="R322" s="1986"/>
      <c r="S322" s="1986"/>
    </row>
    <row r="323" spans="13:19" x14ac:dyDescent="0.25">
      <c r="M323" s="1986"/>
      <c r="N323" s="1986"/>
      <c r="O323" s="1986"/>
      <c r="P323" s="1986"/>
      <c r="Q323" s="1986"/>
      <c r="R323" s="1986"/>
      <c r="S323" s="1986"/>
    </row>
    <row r="324" spans="13:19" x14ac:dyDescent="0.25">
      <c r="M324" s="1986"/>
      <c r="N324" s="1986"/>
      <c r="O324" s="1986"/>
      <c r="P324" s="1986"/>
      <c r="Q324" s="1986"/>
      <c r="R324" s="1986"/>
      <c r="S324" s="1986"/>
    </row>
    <row r="325" spans="13:19" x14ac:dyDescent="0.25">
      <c r="M325" s="1986"/>
      <c r="N325" s="1986"/>
      <c r="O325" s="1986"/>
      <c r="P325" s="1986"/>
      <c r="Q325" s="1986"/>
      <c r="R325" s="1986"/>
      <c r="S325" s="1986"/>
    </row>
    <row r="326" spans="13:19" x14ac:dyDescent="0.25">
      <c r="M326" s="1986"/>
      <c r="N326" s="1986"/>
      <c r="O326" s="1986"/>
      <c r="P326" s="1986"/>
      <c r="Q326" s="1986"/>
      <c r="R326" s="1986"/>
      <c r="S326" s="1986"/>
    </row>
    <row r="327" spans="13:19" x14ac:dyDescent="0.25">
      <c r="M327" s="1986"/>
      <c r="N327" s="1986"/>
      <c r="O327" s="1986"/>
      <c r="P327" s="1986"/>
      <c r="Q327" s="1986"/>
      <c r="R327" s="1986"/>
      <c r="S327" s="1986"/>
    </row>
    <row r="328" spans="13:19" x14ac:dyDescent="0.25">
      <c r="M328" s="1986"/>
      <c r="N328" s="1986"/>
      <c r="O328" s="1986"/>
      <c r="P328" s="1986"/>
      <c r="Q328" s="1986"/>
      <c r="R328" s="1986"/>
      <c r="S328" s="1986"/>
    </row>
    <row r="329" spans="13:19" x14ac:dyDescent="0.25">
      <c r="M329" s="1986"/>
      <c r="N329" s="1986"/>
      <c r="O329" s="1986"/>
      <c r="P329" s="1986"/>
      <c r="Q329" s="1986"/>
      <c r="R329" s="1986"/>
      <c r="S329" s="1986"/>
    </row>
    <row r="330" spans="13:19" x14ac:dyDescent="0.25">
      <c r="M330" s="1986"/>
      <c r="N330" s="1986"/>
      <c r="O330" s="1986"/>
      <c r="P330" s="1986"/>
      <c r="Q330" s="1986"/>
      <c r="R330" s="1986"/>
      <c r="S330" s="1986"/>
    </row>
    <row r="331" spans="13:19" x14ac:dyDescent="0.25">
      <c r="M331" s="1986"/>
      <c r="N331" s="1986"/>
      <c r="O331" s="1986"/>
      <c r="P331" s="1986"/>
      <c r="Q331" s="1986"/>
      <c r="R331" s="1986"/>
      <c r="S331" s="1986"/>
    </row>
    <row r="332" spans="13:19" x14ac:dyDescent="0.25">
      <c r="M332" s="1986"/>
      <c r="N332" s="1986"/>
      <c r="O332" s="1986"/>
      <c r="P332" s="1986"/>
      <c r="Q332" s="1986"/>
      <c r="R332" s="1986"/>
      <c r="S332" s="1986"/>
    </row>
    <row r="333" spans="13:19" x14ac:dyDescent="0.25">
      <c r="M333" s="1986"/>
      <c r="N333" s="1986"/>
      <c r="O333" s="1986"/>
      <c r="P333" s="1986"/>
      <c r="Q333" s="1986"/>
      <c r="R333" s="1986"/>
      <c r="S333" s="1986"/>
    </row>
    <row r="334" spans="13:19" x14ac:dyDescent="0.25">
      <c r="M334" s="1986"/>
      <c r="N334" s="1986"/>
      <c r="O334" s="1986"/>
      <c r="P334" s="1986"/>
      <c r="Q334" s="1986"/>
      <c r="R334" s="1986"/>
      <c r="S334" s="1986"/>
    </row>
    <row r="335" spans="13:19" x14ac:dyDescent="0.25">
      <c r="M335" s="1986"/>
      <c r="N335" s="1986"/>
      <c r="O335" s="1986"/>
      <c r="P335" s="1986"/>
      <c r="Q335" s="1986"/>
      <c r="R335" s="1986"/>
      <c r="S335" s="1986"/>
    </row>
    <row r="336" spans="13:19" x14ac:dyDescent="0.25">
      <c r="M336" s="1986"/>
      <c r="N336" s="1986"/>
      <c r="O336" s="1986"/>
      <c r="P336" s="1986"/>
      <c r="Q336" s="1986"/>
      <c r="R336" s="1986"/>
      <c r="S336" s="1986"/>
    </row>
  </sheetData>
  <pageMargins left="0.75" right="0.75" top="0.75" bottom="0.75" header="0" footer="0"/>
  <pageSetup paperSize="9" scale="62"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27"/>
  <sheetViews>
    <sheetView zoomScaleNormal="100" zoomScaleSheetLayoutView="110" workbookViewId="0">
      <pane xSplit="1" ySplit="3" topLeftCell="B13" activePane="bottomRight" state="frozen"/>
      <selection activeCell="A38" sqref="A38"/>
      <selection pane="topRight" activeCell="A38" sqref="A38"/>
      <selection pane="bottomLeft" activeCell="A38" sqref="A38"/>
      <selection pane="bottomRight" activeCell="A38" sqref="A38"/>
    </sheetView>
  </sheetViews>
  <sheetFormatPr defaultColWidth="9.140625" defaultRowHeight="20.100000000000001" customHeight="1" x14ac:dyDescent="0.25"/>
  <cols>
    <col min="1" max="1" width="40.140625" style="2010" customWidth="1"/>
    <col min="2" max="2" width="23.140625" style="2010" customWidth="1"/>
    <col min="3" max="3" width="22.85546875" style="2010" customWidth="1"/>
    <col min="4" max="4" width="9.140625" style="2010"/>
    <col min="5" max="5" width="2.85546875" style="2010" customWidth="1"/>
    <col min="6" max="9" width="9.140625" style="2010"/>
    <col min="10" max="10" width="11.140625" style="2010" bestFit="1" customWidth="1"/>
    <col min="11" max="16384" width="9.140625" style="2010"/>
  </cols>
  <sheetData>
    <row r="1" spans="1:13" s="2007" customFormat="1" ht="18" thickBot="1" x14ac:dyDescent="0.3">
      <c r="A1" s="2006" t="s">
        <v>1229</v>
      </c>
    </row>
    <row r="2" spans="1:13" ht="18" thickTop="1" x14ac:dyDescent="0.25">
      <c r="A2" s="3366"/>
      <c r="B2" s="2008" t="s">
        <v>1230</v>
      </c>
      <c r="C2" s="2009" t="s">
        <v>1231</v>
      </c>
    </row>
    <row r="3" spans="1:13" ht="18" thickBot="1" x14ac:dyDescent="0.3">
      <c r="A3" s="3367"/>
      <c r="B3" s="2011" t="s">
        <v>305</v>
      </c>
      <c r="C3" s="2012" t="s">
        <v>281</v>
      </c>
    </row>
    <row r="4" spans="1:13" ht="18" thickTop="1" x14ac:dyDescent="0.3">
      <c r="A4" s="2013" t="s">
        <v>1232</v>
      </c>
      <c r="B4" s="2014">
        <f>SUM(B6:B7)</f>
        <v>16</v>
      </c>
      <c r="C4" s="2015">
        <f>SUM(C6:C7)</f>
        <v>2555.75</v>
      </c>
    </row>
    <row r="5" spans="1:13" s="2019" customFormat="1" ht="17.25" x14ac:dyDescent="0.3">
      <c r="A5" s="2016" t="s">
        <v>617</v>
      </c>
      <c r="B5" s="2017"/>
      <c r="C5" s="2018"/>
      <c r="L5" s="2010"/>
      <c r="M5" s="2010"/>
    </row>
    <row r="6" spans="1:13" ht="17.25" x14ac:dyDescent="0.3">
      <c r="A6" s="2020" t="s">
        <v>1233</v>
      </c>
      <c r="B6" s="2021">
        <v>6</v>
      </c>
      <c r="C6" s="2022">
        <v>726.6</v>
      </c>
    </row>
    <row r="7" spans="1:13" ht="17.25" x14ac:dyDescent="0.3">
      <c r="A7" s="2020" t="s">
        <v>1234</v>
      </c>
      <c r="B7" s="2021">
        <v>10</v>
      </c>
      <c r="C7" s="2022">
        <v>1829.15</v>
      </c>
    </row>
    <row r="8" spans="1:13" ht="17.25" x14ac:dyDescent="0.3">
      <c r="A8" s="2023" t="s">
        <v>1235</v>
      </c>
      <c r="B8" s="2024">
        <f>SUM(B10:B12)</f>
        <v>126</v>
      </c>
      <c r="C8" s="2015">
        <f>SUM(C10:C12)</f>
        <v>3758.25</v>
      </c>
    </row>
    <row r="9" spans="1:13" s="2019" customFormat="1" ht="17.25" x14ac:dyDescent="0.3">
      <c r="A9" s="2016" t="s">
        <v>617</v>
      </c>
      <c r="B9" s="2025"/>
      <c r="C9" s="2018"/>
      <c r="L9" s="2010"/>
      <c r="M9" s="2010"/>
    </row>
    <row r="10" spans="1:13" ht="17.25" x14ac:dyDescent="0.3">
      <c r="A10" s="2020" t="s">
        <v>1236</v>
      </c>
      <c r="B10" s="2026">
        <v>63</v>
      </c>
      <c r="C10" s="2022">
        <v>2600.75</v>
      </c>
    </row>
    <row r="11" spans="1:13" ht="17.25" x14ac:dyDescent="0.3">
      <c r="A11" s="2020" t="s">
        <v>1237</v>
      </c>
      <c r="B11" s="2026">
        <v>36</v>
      </c>
      <c r="C11" s="2022">
        <v>821</v>
      </c>
    </row>
    <row r="12" spans="1:13" ht="17.25" x14ac:dyDescent="0.3">
      <c r="A12" s="2020" t="s">
        <v>238</v>
      </c>
      <c r="B12" s="2026">
        <v>27</v>
      </c>
      <c r="C12" s="2022">
        <v>336.5</v>
      </c>
      <c r="J12" s="2027"/>
    </row>
    <row r="13" spans="1:13" ht="17.25" x14ac:dyDescent="0.3">
      <c r="A13" s="2023" t="s">
        <v>1238</v>
      </c>
      <c r="B13" s="2024">
        <v>28</v>
      </c>
      <c r="C13" s="2015">
        <v>1236.8499999999999</v>
      </c>
      <c r="G13" s="2027"/>
    </row>
    <row r="14" spans="1:13" ht="18" thickBot="1" x14ac:dyDescent="0.35">
      <c r="A14" s="2023" t="s">
        <v>1239</v>
      </c>
      <c r="B14" s="2028">
        <v>121</v>
      </c>
      <c r="C14" s="2015">
        <v>141</v>
      </c>
    </row>
    <row r="15" spans="1:13" ht="18.75" thickTop="1" thickBot="1" x14ac:dyDescent="0.35">
      <c r="A15" s="2029" t="s">
        <v>176</v>
      </c>
      <c r="B15" s="2030">
        <f>B4+B8+B13+B14</f>
        <v>291</v>
      </c>
      <c r="C15" s="2031">
        <f>C4+C8+C13+C14</f>
        <v>7691.85</v>
      </c>
    </row>
    <row r="16" spans="1:13" ht="18" thickTop="1" x14ac:dyDescent="0.25">
      <c r="A16" s="2032"/>
    </row>
    <row r="17" spans="1:8" ht="18" thickBot="1" x14ac:dyDescent="0.3">
      <c r="A17" s="1725" t="s">
        <v>1240</v>
      </c>
      <c r="B17" s="1726"/>
      <c r="C17" s="1726"/>
    </row>
    <row r="18" spans="1:8" ht="18" thickTop="1" x14ac:dyDescent="0.25">
      <c r="A18" s="2033"/>
      <c r="B18" s="2008" t="s">
        <v>1230</v>
      </c>
      <c r="C18" s="2008" t="s">
        <v>1241</v>
      </c>
    </row>
    <row r="19" spans="1:8" ht="18" thickBot="1" x14ac:dyDescent="0.3">
      <c r="A19" s="2034"/>
      <c r="B19" s="2011" t="s">
        <v>305</v>
      </c>
      <c r="C19" s="2012" t="s">
        <v>281</v>
      </c>
    </row>
    <row r="20" spans="1:8" ht="18" thickTop="1" x14ac:dyDescent="0.25">
      <c r="A20" s="2035">
        <v>45170</v>
      </c>
      <c r="B20" s="2036"/>
      <c r="C20" s="1822"/>
    </row>
    <row r="21" spans="1:8" ht="17.25" x14ac:dyDescent="0.25">
      <c r="A21" s="2037" t="s">
        <v>1190</v>
      </c>
      <c r="B21" s="2036">
        <v>30</v>
      </c>
      <c r="C21" s="2038">
        <v>101.9</v>
      </c>
    </row>
    <row r="22" spans="1:8" ht="17.25" x14ac:dyDescent="0.25">
      <c r="A22" s="2037" t="s">
        <v>1191</v>
      </c>
      <c r="B22" s="2036">
        <v>72</v>
      </c>
      <c r="C22" s="2038">
        <v>2854.9</v>
      </c>
      <c r="D22" s="2039"/>
      <c r="E22" s="2039"/>
      <c r="F22" s="2039"/>
      <c r="G22" s="2039"/>
      <c r="H22" s="2039"/>
    </row>
    <row r="23" spans="1:8" ht="17.25" x14ac:dyDescent="0.25">
      <c r="A23" s="2037" t="s">
        <v>1192</v>
      </c>
      <c r="B23" s="2036">
        <v>51</v>
      </c>
      <c r="C23" s="2038">
        <v>1920.35</v>
      </c>
    </row>
    <row r="24" spans="1:8" ht="17.25" x14ac:dyDescent="0.25">
      <c r="A24" s="2037" t="s">
        <v>1193</v>
      </c>
      <c r="B24" s="2036">
        <v>70</v>
      </c>
      <c r="C24" s="2038">
        <v>1875.25</v>
      </c>
    </row>
    <row r="25" spans="1:8" ht="18" thickBot="1" x14ac:dyDescent="0.3">
      <c r="A25" s="2037" t="s">
        <v>1194</v>
      </c>
      <c r="B25" s="2036">
        <v>68</v>
      </c>
      <c r="C25" s="2038">
        <v>939.45</v>
      </c>
    </row>
    <row r="26" spans="1:8" s="2042" customFormat="1" ht="18.75" thickTop="1" thickBot="1" x14ac:dyDescent="0.3">
      <c r="A26" s="2029" t="s">
        <v>176</v>
      </c>
      <c r="B26" s="2040">
        <f>SUM(B21:B25)</f>
        <v>291</v>
      </c>
      <c r="C26" s="2041">
        <f>SUM(C21:C25)</f>
        <v>7691.8499999999995</v>
      </c>
    </row>
    <row r="27" spans="1:8" ht="18" thickTop="1" x14ac:dyDescent="0.25">
      <c r="A27" s="2043" t="s">
        <v>0</v>
      </c>
    </row>
  </sheetData>
  <mergeCells count="1">
    <mergeCell ref="A2:A3"/>
  </mergeCells>
  <pageMargins left="0.7" right="0.7" top="0.75" bottom="0.75" header="0.3" footer="0.3"/>
  <pageSetup paperSize="9" scale="91" orientation="landscape" r:id="rId1"/>
  <colBreaks count="1" manualBreakCount="1">
    <brk id="8"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23"/>
  <sheetViews>
    <sheetView showGridLines="0" zoomScaleNormal="100" zoomScaleSheetLayoutView="100" workbookViewId="0">
      <selection activeCell="A38" sqref="A38"/>
    </sheetView>
  </sheetViews>
  <sheetFormatPr defaultColWidth="9.140625" defaultRowHeight="20.100000000000001" customHeight="1" x14ac:dyDescent="0.25"/>
  <cols>
    <col min="1" max="1" width="28.85546875" style="1786" bestFit="1" customWidth="1"/>
    <col min="2" max="2" width="16.42578125" style="1786" customWidth="1"/>
    <col min="3" max="3" width="14" style="1786" customWidth="1"/>
    <col min="4" max="4" width="13.140625" style="1786" bestFit="1" customWidth="1"/>
    <col min="5" max="5" width="8.85546875" style="1786" customWidth="1"/>
    <col min="6" max="6" width="2.85546875" style="1786" customWidth="1"/>
    <col min="7" max="7" width="5.85546875" style="1786" customWidth="1"/>
    <col min="8" max="9" width="24.28515625" style="1786" bestFit="1" customWidth="1"/>
    <col min="10" max="10" width="25.5703125" style="1786" bestFit="1" customWidth="1"/>
    <col min="11" max="11" width="21" style="1786" bestFit="1" customWidth="1"/>
    <col min="12" max="12" width="8.140625" style="1786" bestFit="1" customWidth="1"/>
    <col min="13" max="16384" width="9.140625" style="1786"/>
  </cols>
  <sheetData>
    <row r="1" spans="1:6" ht="17.25" x14ac:dyDescent="0.25">
      <c r="A1" s="1725" t="s">
        <v>1242</v>
      </c>
      <c r="B1" s="2044"/>
      <c r="C1" s="2044"/>
      <c r="D1" s="2044"/>
      <c r="E1" s="1726"/>
      <c r="F1" s="1726"/>
    </row>
    <row r="2" spans="1:6" ht="18" thickBot="1" x14ac:dyDescent="0.3">
      <c r="A2" s="1726"/>
      <c r="B2" s="1726"/>
      <c r="C2" s="1726"/>
      <c r="D2" s="1726"/>
      <c r="E2" s="1726"/>
      <c r="F2" s="1726"/>
    </row>
    <row r="3" spans="1:6" ht="33.75" thickBot="1" x14ac:dyDescent="0.3">
      <c r="A3" s="1738" t="s">
        <v>1243</v>
      </c>
      <c r="B3" s="2045" t="s">
        <v>1244</v>
      </c>
      <c r="C3" s="1738" t="s">
        <v>1245</v>
      </c>
      <c r="D3" s="1726"/>
      <c r="E3" s="1726"/>
      <c r="F3" s="1726"/>
    </row>
    <row r="4" spans="1:6" ht="18" thickBot="1" x14ac:dyDescent="0.3">
      <c r="A4" s="1738"/>
      <c r="B4" s="2046" t="s">
        <v>1246</v>
      </c>
      <c r="C4" s="2046" t="s">
        <v>1247</v>
      </c>
      <c r="D4" s="1726"/>
      <c r="E4" s="1726"/>
      <c r="F4" s="1726"/>
    </row>
    <row r="5" spans="1:6" ht="17.25" x14ac:dyDescent="0.25">
      <c r="A5" s="2047" t="s">
        <v>1248</v>
      </c>
      <c r="B5" s="2048">
        <v>2939.7</v>
      </c>
      <c r="C5" s="2049" t="s">
        <v>1249</v>
      </c>
      <c r="D5" s="1726"/>
      <c r="E5" s="1726"/>
      <c r="F5" s="1726"/>
    </row>
    <row r="6" spans="1:6" ht="17.25" x14ac:dyDescent="0.25">
      <c r="A6" s="2050" t="s">
        <v>1250</v>
      </c>
      <c r="B6" s="2051">
        <v>1916.25</v>
      </c>
      <c r="C6" s="2052" t="s">
        <v>1251</v>
      </c>
      <c r="D6" s="1726"/>
      <c r="E6" s="1726"/>
      <c r="F6" s="1726"/>
    </row>
    <row r="7" spans="1:6" ht="17.25" x14ac:dyDescent="0.25">
      <c r="A7" s="2050" t="s">
        <v>1252</v>
      </c>
      <c r="B7" s="2051">
        <v>571.54999999999995</v>
      </c>
      <c r="C7" s="2052" t="s">
        <v>1253</v>
      </c>
      <c r="D7" s="2053"/>
      <c r="E7" s="1726"/>
      <c r="F7" s="1726"/>
    </row>
    <row r="8" spans="1:6" ht="17.25" x14ac:dyDescent="0.25">
      <c r="A8" s="2050" t="s">
        <v>1254</v>
      </c>
      <c r="B8" s="2051">
        <v>1464.75</v>
      </c>
      <c r="C8" s="2052" t="s">
        <v>1255</v>
      </c>
      <c r="D8" s="1726"/>
      <c r="E8" s="1726"/>
      <c r="F8" s="1726"/>
    </row>
    <row r="9" spans="1:6" ht="17.25" x14ac:dyDescent="0.25">
      <c r="A9" s="2050" t="s">
        <v>1256</v>
      </c>
      <c r="B9" s="2051">
        <v>624.1</v>
      </c>
      <c r="C9" s="2052" t="s">
        <v>1257</v>
      </c>
      <c r="D9" s="2053"/>
      <c r="E9" s="1726"/>
      <c r="F9" s="1726"/>
    </row>
    <row r="10" spans="1:6" ht="17.25" x14ac:dyDescent="0.25">
      <c r="A10" s="2050" t="s">
        <v>1258</v>
      </c>
      <c r="B10" s="2051">
        <v>22.9</v>
      </c>
      <c r="C10" s="2052" t="s">
        <v>1259</v>
      </c>
      <c r="D10" s="1726"/>
      <c r="E10" s="1726"/>
      <c r="F10" s="1726"/>
    </row>
    <row r="11" spans="1:6" ht="18" thickBot="1" x14ac:dyDescent="0.3">
      <c r="A11" s="2050" t="s">
        <v>1260</v>
      </c>
      <c r="B11" s="2051">
        <v>152.6</v>
      </c>
      <c r="C11" s="2052" t="s">
        <v>1261</v>
      </c>
      <c r="D11" s="2053"/>
      <c r="E11" s="1726"/>
      <c r="F11" s="1726"/>
    </row>
    <row r="12" spans="1:6" ht="18" thickBot="1" x14ac:dyDescent="0.3">
      <c r="A12" s="2054" t="s">
        <v>176</v>
      </c>
      <c r="B12" s="2055">
        <f>SUM(B5:B11)</f>
        <v>7691.85</v>
      </c>
      <c r="C12" s="2055" t="s">
        <v>1262</v>
      </c>
      <c r="D12" s="2053"/>
      <c r="E12" s="1726"/>
      <c r="F12" s="1726"/>
    </row>
    <row r="13" spans="1:6" ht="17.25" x14ac:dyDescent="0.25">
      <c r="A13" s="2043"/>
      <c r="B13" s="2056"/>
      <c r="C13" s="2056"/>
      <c r="D13" s="2053"/>
      <c r="E13" s="1726"/>
      <c r="F13" s="1726"/>
    </row>
    <row r="14" spans="1:6" s="2059" customFormat="1" ht="17.25" x14ac:dyDescent="0.25">
      <c r="A14" s="2043" t="s">
        <v>0</v>
      </c>
      <c r="B14" s="2043"/>
      <c r="C14" s="2057"/>
      <c r="D14" s="2058"/>
      <c r="E14" s="1726"/>
      <c r="F14" s="1726"/>
    </row>
    <row r="15" spans="1:6" ht="20.100000000000001" customHeight="1" x14ac:dyDescent="0.25">
      <c r="D15" s="2060"/>
    </row>
    <row r="23" spans="4:8" ht="17.25" x14ac:dyDescent="0.25">
      <c r="D23" s="1960"/>
      <c r="E23" s="1960"/>
      <c r="F23" s="1960"/>
      <c r="G23" s="1960"/>
      <c r="H23" s="1960"/>
    </row>
  </sheetData>
  <pageMargins left="0.7" right="0.7" top="0.75" bottom="0.75" header="0.3" footer="0.3"/>
  <pageSetup paperSize="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N33"/>
  <sheetViews>
    <sheetView topLeftCell="A7" zoomScaleNormal="100" zoomScaleSheetLayoutView="80" workbookViewId="0">
      <selection activeCell="A38" sqref="A38"/>
    </sheetView>
  </sheetViews>
  <sheetFormatPr defaultColWidth="11.42578125" defaultRowHeight="17.25" x14ac:dyDescent="0.25"/>
  <cols>
    <col min="1" max="1" width="17.85546875" style="2068" customWidth="1"/>
    <col min="2" max="2" width="21.85546875" style="2068" customWidth="1"/>
    <col min="3" max="3" width="19.140625" style="2068" customWidth="1"/>
    <col min="4" max="4" width="11.140625" style="2068" bestFit="1" customWidth="1"/>
    <col min="5" max="14" width="11.42578125" style="2065" customWidth="1"/>
    <col min="15" max="250" width="11.42578125" style="2068"/>
    <col min="251" max="251" width="14.85546875" style="2068" customWidth="1"/>
    <col min="252" max="253" width="12.5703125" style="2068" customWidth="1"/>
    <col min="254" max="254" width="12.140625" style="2068" customWidth="1"/>
    <col min="255" max="255" width="14" style="2068" bestFit="1" customWidth="1"/>
    <col min="256" max="256" width="13.5703125" style="2068" bestFit="1" customWidth="1"/>
    <col min="257" max="257" width="10.5703125" style="2068" bestFit="1" customWidth="1"/>
    <col min="258" max="258" width="11.85546875" style="2068" bestFit="1" customWidth="1"/>
    <col min="259" max="259" width="5.7109375" style="2068" customWidth="1"/>
    <col min="260" max="270" width="11.42578125" style="2068" customWidth="1"/>
    <col min="271" max="506" width="11.42578125" style="2068"/>
    <col min="507" max="507" width="14.85546875" style="2068" customWidth="1"/>
    <col min="508" max="509" width="12.5703125" style="2068" customWidth="1"/>
    <col min="510" max="510" width="12.140625" style="2068" customWidth="1"/>
    <col min="511" max="511" width="14" style="2068" bestFit="1" customWidth="1"/>
    <col min="512" max="512" width="13.5703125" style="2068" bestFit="1" customWidth="1"/>
    <col min="513" max="513" width="10.5703125" style="2068" bestFit="1" customWidth="1"/>
    <col min="514" max="514" width="11.85546875" style="2068" bestFit="1" customWidth="1"/>
    <col min="515" max="515" width="5.7109375" style="2068" customWidth="1"/>
    <col min="516" max="526" width="11.42578125" style="2068" customWidth="1"/>
    <col min="527" max="762" width="11.42578125" style="2068"/>
    <col min="763" max="763" width="14.85546875" style="2068" customWidth="1"/>
    <col min="764" max="765" width="12.5703125" style="2068" customWidth="1"/>
    <col min="766" max="766" width="12.140625" style="2068" customWidth="1"/>
    <col min="767" max="767" width="14" style="2068" bestFit="1" customWidth="1"/>
    <col min="768" max="768" width="13.5703125" style="2068" bestFit="1" customWidth="1"/>
    <col min="769" max="769" width="10.5703125" style="2068" bestFit="1" customWidth="1"/>
    <col min="770" max="770" width="11.85546875" style="2068" bestFit="1" customWidth="1"/>
    <col min="771" max="771" width="5.7109375" style="2068" customWidth="1"/>
    <col min="772" max="782" width="11.42578125" style="2068" customWidth="1"/>
    <col min="783" max="1018" width="11.42578125" style="2068"/>
    <col min="1019" max="1019" width="14.85546875" style="2068" customWidth="1"/>
    <col min="1020" max="1021" width="12.5703125" style="2068" customWidth="1"/>
    <col min="1022" max="1022" width="12.140625" style="2068" customWidth="1"/>
    <col min="1023" max="1023" width="14" style="2068" bestFit="1" customWidth="1"/>
    <col min="1024" max="1024" width="13.5703125" style="2068" bestFit="1" customWidth="1"/>
    <col min="1025" max="1025" width="10.5703125" style="2068" bestFit="1" customWidth="1"/>
    <col min="1026" max="1026" width="11.85546875" style="2068" bestFit="1" customWidth="1"/>
    <col min="1027" max="1027" width="5.7109375" style="2068" customWidth="1"/>
    <col min="1028" max="1038" width="11.42578125" style="2068" customWidth="1"/>
    <col min="1039" max="1274" width="11.42578125" style="2068"/>
    <col min="1275" max="1275" width="14.85546875" style="2068" customWidth="1"/>
    <col min="1276" max="1277" width="12.5703125" style="2068" customWidth="1"/>
    <col min="1278" max="1278" width="12.140625" style="2068" customWidth="1"/>
    <col min="1279" max="1279" width="14" style="2068" bestFit="1" customWidth="1"/>
    <col min="1280" max="1280" width="13.5703125" style="2068" bestFit="1" customWidth="1"/>
    <col min="1281" max="1281" width="10.5703125" style="2068" bestFit="1" customWidth="1"/>
    <col min="1282" max="1282" width="11.85546875" style="2068" bestFit="1" customWidth="1"/>
    <col min="1283" max="1283" width="5.7109375" style="2068" customWidth="1"/>
    <col min="1284" max="1294" width="11.42578125" style="2068" customWidth="1"/>
    <col min="1295" max="1530" width="11.42578125" style="2068"/>
    <col min="1531" max="1531" width="14.85546875" style="2068" customWidth="1"/>
    <col min="1532" max="1533" width="12.5703125" style="2068" customWidth="1"/>
    <col min="1534" max="1534" width="12.140625" style="2068" customWidth="1"/>
    <col min="1535" max="1535" width="14" style="2068" bestFit="1" customWidth="1"/>
    <col min="1536" max="1536" width="13.5703125" style="2068" bestFit="1" customWidth="1"/>
    <col min="1537" max="1537" width="10.5703125" style="2068" bestFit="1" customWidth="1"/>
    <col min="1538" max="1538" width="11.85546875" style="2068" bestFit="1" customWidth="1"/>
    <col min="1539" max="1539" width="5.7109375" style="2068" customWidth="1"/>
    <col min="1540" max="1550" width="11.42578125" style="2068" customWidth="1"/>
    <col min="1551" max="1786" width="11.42578125" style="2068"/>
    <col min="1787" max="1787" width="14.85546875" style="2068" customWidth="1"/>
    <col min="1788" max="1789" width="12.5703125" style="2068" customWidth="1"/>
    <col min="1790" max="1790" width="12.140625" style="2068" customWidth="1"/>
    <col min="1791" max="1791" width="14" style="2068" bestFit="1" customWidth="1"/>
    <col min="1792" max="1792" width="13.5703125" style="2068" bestFit="1" customWidth="1"/>
    <col min="1793" max="1793" width="10.5703125" style="2068" bestFit="1" customWidth="1"/>
    <col min="1794" max="1794" width="11.85546875" style="2068" bestFit="1" customWidth="1"/>
    <col min="1795" max="1795" width="5.7109375" style="2068" customWidth="1"/>
    <col min="1796" max="1806" width="11.42578125" style="2068" customWidth="1"/>
    <col min="1807" max="2042" width="11.42578125" style="2068"/>
    <col min="2043" max="2043" width="14.85546875" style="2068" customWidth="1"/>
    <col min="2044" max="2045" width="12.5703125" style="2068" customWidth="1"/>
    <col min="2046" max="2046" width="12.140625" style="2068" customWidth="1"/>
    <col min="2047" max="2047" width="14" style="2068" bestFit="1" customWidth="1"/>
    <col min="2048" max="2048" width="13.5703125" style="2068" bestFit="1" customWidth="1"/>
    <col min="2049" max="2049" width="10.5703125" style="2068" bestFit="1" customWidth="1"/>
    <col min="2050" max="2050" width="11.85546875" style="2068" bestFit="1" customWidth="1"/>
    <col min="2051" max="2051" width="5.7109375" style="2068" customWidth="1"/>
    <col min="2052" max="2062" width="11.42578125" style="2068" customWidth="1"/>
    <col min="2063" max="2298" width="11.42578125" style="2068"/>
    <col min="2299" max="2299" width="14.85546875" style="2068" customWidth="1"/>
    <col min="2300" max="2301" width="12.5703125" style="2068" customWidth="1"/>
    <col min="2302" max="2302" width="12.140625" style="2068" customWidth="1"/>
    <col min="2303" max="2303" width="14" style="2068" bestFit="1" customWidth="1"/>
    <col min="2304" max="2304" width="13.5703125" style="2068" bestFit="1" customWidth="1"/>
    <col min="2305" max="2305" width="10.5703125" style="2068" bestFit="1" customWidth="1"/>
    <col min="2306" max="2306" width="11.85546875" style="2068" bestFit="1" customWidth="1"/>
    <col min="2307" max="2307" width="5.7109375" style="2068" customWidth="1"/>
    <col min="2308" max="2318" width="11.42578125" style="2068" customWidth="1"/>
    <col min="2319" max="2554" width="11.42578125" style="2068"/>
    <col min="2555" max="2555" width="14.85546875" style="2068" customWidth="1"/>
    <col min="2556" max="2557" width="12.5703125" style="2068" customWidth="1"/>
    <col min="2558" max="2558" width="12.140625" style="2068" customWidth="1"/>
    <col min="2559" max="2559" width="14" style="2068" bestFit="1" customWidth="1"/>
    <col min="2560" max="2560" width="13.5703125" style="2068" bestFit="1" customWidth="1"/>
    <col min="2561" max="2561" width="10.5703125" style="2068" bestFit="1" customWidth="1"/>
    <col min="2562" max="2562" width="11.85546875" style="2068" bestFit="1" customWidth="1"/>
    <col min="2563" max="2563" width="5.7109375" style="2068" customWidth="1"/>
    <col min="2564" max="2574" width="11.42578125" style="2068" customWidth="1"/>
    <col min="2575" max="2810" width="11.42578125" style="2068"/>
    <col min="2811" max="2811" width="14.85546875" style="2068" customWidth="1"/>
    <col min="2812" max="2813" width="12.5703125" style="2068" customWidth="1"/>
    <col min="2814" max="2814" width="12.140625" style="2068" customWidth="1"/>
    <col min="2815" max="2815" width="14" style="2068" bestFit="1" customWidth="1"/>
    <col min="2816" max="2816" width="13.5703125" style="2068" bestFit="1" customWidth="1"/>
    <col min="2817" max="2817" width="10.5703125" style="2068" bestFit="1" customWidth="1"/>
    <col min="2818" max="2818" width="11.85546875" style="2068" bestFit="1" customWidth="1"/>
    <col min="2819" max="2819" width="5.7109375" style="2068" customWidth="1"/>
    <col min="2820" max="2830" width="11.42578125" style="2068" customWidth="1"/>
    <col min="2831" max="3066" width="11.42578125" style="2068"/>
    <col min="3067" max="3067" width="14.85546875" style="2068" customWidth="1"/>
    <col min="3068" max="3069" width="12.5703125" style="2068" customWidth="1"/>
    <col min="3070" max="3070" width="12.140625" style="2068" customWidth="1"/>
    <col min="3071" max="3071" width="14" style="2068" bestFit="1" customWidth="1"/>
    <col min="3072" max="3072" width="13.5703125" style="2068" bestFit="1" customWidth="1"/>
    <col min="3073" max="3073" width="10.5703125" style="2068" bestFit="1" customWidth="1"/>
    <col min="3074" max="3074" width="11.85546875" style="2068" bestFit="1" customWidth="1"/>
    <col min="3075" max="3075" width="5.7109375" style="2068" customWidth="1"/>
    <col min="3076" max="3086" width="11.42578125" style="2068" customWidth="1"/>
    <col min="3087" max="3322" width="11.42578125" style="2068"/>
    <col min="3323" max="3323" width="14.85546875" style="2068" customWidth="1"/>
    <col min="3324" max="3325" width="12.5703125" style="2068" customWidth="1"/>
    <col min="3326" max="3326" width="12.140625" style="2068" customWidth="1"/>
    <col min="3327" max="3327" width="14" style="2068" bestFit="1" customWidth="1"/>
    <col min="3328" max="3328" width="13.5703125" style="2068" bestFit="1" customWidth="1"/>
    <col min="3329" max="3329" width="10.5703125" style="2068" bestFit="1" customWidth="1"/>
    <col min="3330" max="3330" width="11.85546875" style="2068" bestFit="1" customWidth="1"/>
    <col min="3331" max="3331" width="5.7109375" style="2068" customWidth="1"/>
    <col min="3332" max="3342" width="11.42578125" style="2068" customWidth="1"/>
    <col min="3343" max="3578" width="11.42578125" style="2068"/>
    <col min="3579" max="3579" width="14.85546875" style="2068" customWidth="1"/>
    <col min="3580" max="3581" width="12.5703125" style="2068" customWidth="1"/>
    <col min="3582" max="3582" width="12.140625" style="2068" customWidth="1"/>
    <col min="3583" max="3583" width="14" style="2068" bestFit="1" customWidth="1"/>
    <col min="3584" max="3584" width="13.5703125" style="2068" bestFit="1" customWidth="1"/>
    <col min="3585" max="3585" width="10.5703125" style="2068" bestFit="1" customWidth="1"/>
    <col min="3586" max="3586" width="11.85546875" style="2068" bestFit="1" customWidth="1"/>
    <col min="3587" max="3587" width="5.7109375" style="2068" customWidth="1"/>
    <col min="3588" max="3598" width="11.42578125" style="2068" customWidth="1"/>
    <col min="3599" max="3834" width="11.42578125" style="2068"/>
    <col min="3835" max="3835" width="14.85546875" style="2068" customWidth="1"/>
    <col min="3836" max="3837" width="12.5703125" style="2068" customWidth="1"/>
    <col min="3838" max="3838" width="12.140625" style="2068" customWidth="1"/>
    <col min="3839" max="3839" width="14" style="2068" bestFit="1" customWidth="1"/>
    <col min="3840" max="3840" width="13.5703125" style="2068" bestFit="1" customWidth="1"/>
    <col min="3841" max="3841" width="10.5703125" style="2068" bestFit="1" customWidth="1"/>
    <col min="3842" max="3842" width="11.85546875" style="2068" bestFit="1" customWidth="1"/>
    <col min="3843" max="3843" width="5.7109375" style="2068" customWidth="1"/>
    <col min="3844" max="3854" width="11.42578125" style="2068" customWidth="1"/>
    <col min="3855" max="4090" width="11.42578125" style="2068"/>
    <col min="4091" max="4091" width="14.85546875" style="2068" customWidth="1"/>
    <col min="4092" max="4093" width="12.5703125" style="2068" customWidth="1"/>
    <col min="4094" max="4094" width="12.140625" style="2068" customWidth="1"/>
    <col min="4095" max="4095" width="14" style="2068" bestFit="1" customWidth="1"/>
    <col min="4096" max="4096" width="13.5703125" style="2068" bestFit="1" customWidth="1"/>
    <col min="4097" max="4097" width="10.5703125" style="2068" bestFit="1" customWidth="1"/>
    <col min="4098" max="4098" width="11.85546875" style="2068" bestFit="1" customWidth="1"/>
    <col min="4099" max="4099" width="5.7109375" style="2068" customWidth="1"/>
    <col min="4100" max="4110" width="11.42578125" style="2068" customWidth="1"/>
    <col min="4111" max="4346" width="11.42578125" style="2068"/>
    <col min="4347" max="4347" width="14.85546875" style="2068" customWidth="1"/>
    <col min="4348" max="4349" width="12.5703125" style="2068" customWidth="1"/>
    <col min="4350" max="4350" width="12.140625" style="2068" customWidth="1"/>
    <col min="4351" max="4351" width="14" style="2068" bestFit="1" customWidth="1"/>
    <col min="4352" max="4352" width="13.5703125" style="2068" bestFit="1" customWidth="1"/>
    <col min="4353" max="4353" width="10.5703125" style="2068" bestFit="1" customWidth="1"/>
    <col min="4354" max="4354" width="11.85546875" style="2068" bestFit="1" customWidth="1"/>
    <col min="4355" max="4355" width="5.7109375" style="2068" customWidth="1"/>
    <col min="4356" max="4366" width="11.42578125" style="2068" customWidth="1"/>
    <col min="4367" max="4602" width="11.42578125" style="2068"/>
    <col min="4603" max="4603" width="14.85546875" style="2068" customWidth="1"/>
    <col min="4604" max="4605" width="12.5703125" style="2068" customWidth="1"/>
    <col min="4606" max="4606" width="12.140625" style="2068" customWidth="1"/>
    <col min="4607" max="4607" width="14" style="2068" bestFit="1" customWidth="1"/>
    <col min="4608" max="4608" width="13.5703125" style="2068" bestFit="1" customWidth="1"/>
    <col min="4609" max="4609" width="10.5703125" style="2068" bestFit="1" customWidth="1"/>
    <col min="4610" max="4610" width="11.85546875" style="2068" bestFit="1" customWidth="1"/>
    <col min="4611" max="4611" width="5.7109375" style="2068" customWidth="1"/>
    <col min="4612" max="4622" width="11.42578125" style="2068" customWidth="1"/>
    <col min="4623" max="4858" width="11.42578125" style="2068"/>
    <col min="4859" max="4859" width="14.85546875" style="2068" customWidth="1"/>
    <col min="4860" max="4861" width="12.5703125" style="2068" customWidth="1"/>
    <col min="4862" max="4862" width="12.140625" style="2068" customWidth="1"/>
    <col min="4863" max="4863" width="14" style="2068" bestFit="1" customWidth="1"/>
    <col min="4864" max="4864" width="13.5703125" style="2068" bestFit="1" customWidth="1"/>
    <col min="4865" max="4865" width="10.5703125" style="2068" bestFit="1" customWidth="1"/>
    <col min="4866" max="4866" width="11.85546875" style="2068" bestFit="1" customWidth="1"/>
    <col min="4867" max="4867" width="5.7109375" style="2068" customWidth="1"/>
    <col min="4868" max="4878" width="11.42578125" style="2068" customWidth="1"/>
    <col min="4879" max="5114" width="11.42578125" style="2068"/>
    <col min="5115" max="5115" width="14.85546875" style="2068" customWidth="1"/>
    <col min="5116" max="5117" width="12.5703125" style="2068" customWidth="1"/>
    <col min="5118" max="5118" width="12.140625" style="2068" customWidth="1"/>
    <col min="5119" max="5119" width="14" style="2068" bestFit="1" customWidth="1"/>
    <col min="5120" max="5120" width="13.5703125" style="2068" bestFit="1" customWidth="1"/>
    <col min="5121" max="5121" width="10.5703125" style="2068" bestFit="1" customWidth="1"/>
    <col min="5122" max="5122" width="11.85546875" style="2068" bestFit="1" customWidth="1"/>
    <col min="5123" max="5123" width="5.7109375" style="2068" customWidth="1"/>
    <col min="5124" max="5134" width="11.42578125" style="2068" customWidth="1"/>
    <col min="5135" max="5370" width="11.42578125" style="2068"/>
    <col min="5371" max="5371" width="14.85546875" style="2068" customWidth="1"/>
    <col min="5372" max="5373" width="12.5703125" style="2068" customWidth="1"/>
    <col min="5374" max="5374" width="12.140625" style="2068" customWidth="1"/>
    <col min="5375" max="5375" width="14" style="2068" bestFit="1" customWidth="1"/>
    <col min="5376" max="5376" width="13.5703125" style="2068" bestFit="1" customWidth="1"/>
    <col min="5377" max="5377" width="10.5703125" style="2068" bestFit="1" customWidth="1"/>
    <col min="5378" max="5378" width="11.85546875" style="2068" bestFit="1" customWidth="1"/>
    <col min="5379" max="5379" width="5.7109375" style="2068" customWidth="1"/>
    <col min="5380" max="5390" width="11.42578125" style="2068" customWidth="1"/>
    <col min="5391" max="5626" width="11.42578125" style="2068"/>
    <col min="5627" max="5627" width="14.85546875" style="2068" customWidth="1"/>
    <col min="5628" max="5629" width="12.5703125" style="2068" customWidth="1"/>
    <col min="5630" max="5630" width="12.140625" style="2068" customWidth="1"/>
    <col min="5631" max="5631" width="14" style="2068" bestFit="1" customWidth="1"/>
    <col min="5632" max="5632" width="13.5703125" style="2068" bestFit="1" customWidth="1"/>
    <col min="5633" max="5633" width="10.5703125" style="2068" bestFit="1" customWidth="1"/>
    <col min="5634" max="5634" width="11.85546875" style="2068" bestFit="1" customWidth="1"/>
    <col min="5635" max="5635" width="5.7109375" style="2068" customWidth="1"/>
    <col min="5636" max="5646" width="11.42578125" style="2068" customWidth="1"/>
    <col min="5647" max="5882" width="11.42578125" style="2068"/>
    <col min="5883" max="5883" width="14.85546875" style="2068" customWidth="1"/>
    <col min="5884" max="5885" width="12.5703125" style="2068" customWidth="1"/>
    <col min="5886" max="5886" width="12.140625" style="2068" customWidth="1"/>
    <col min="5887" max="5887" width="14" style="2068" bestFit="1" customWidth="1"/>
    <col min="5888" max="5888" width="13.5703125" style="2068" bestFit="1" customWidth="1"/>
    <col min="5889" max="5889" width="10.5703125" style="2068" bestFit="1" customWidth="1"/>
    <col min="5890" max="5890" width="11.85546875" style="2068" bestFit="1" customWidth="1"/>
    <col min="5891" max="5891" width="5.7109375" style="2068" customWidth="1"/>
    <col min="5892" max="5902" width="11.42578125" style="2068" customWidth="1"/>
    <col min="5903" max="6138" width="11.42578125" style="2068"/>
    <col min="6139" max="6139" width="14.85546875" style="2068" customWidth="1"/>
    <col min="6140" max="6141" width="12.5703125" style="2068" customWidth="1"/>
    <col min="6142" max="6142" width="12.140625" style="2068" customWidth="1"/>
    <col min="6143" max="6143" width="14" style="2068" bestFit="1" customWidth="1"/>
    <col min="6144" max="6144" width="13.5703125" style="2068" bestFit="1" customWidth="1"/>
    <col min="6145" max="6145" width="10.5703125" style="2068" bestFit="1" customWidth="1"/>
    <col min="6146" max="6146" width="11.85546875" style="2068" bestFit="1" customWidth="1"/>
    <col min="6147" max="6147" width="5.7109375" style="2068" customWidth="1"/>
    <col min="6148" max="6158" width="11.42578125" style="2068" customWidth="1"/>
    <col min="6159" max="6394" width="11.42578125" style="2068"/>
    <col min="6395" max="6395" width="14.85546875" style="2068" customWidth="1"/>
    <col min="6396" max="6397" width="12.5703125" style="2068" customWidth="1"/>
    <col min="6398" max="6398" width="12.140625" style="2068" customWidth="1"/>
    <col min="6399" max="6399" width="14" style="2068" bestFit="1" customWidth="1"/>
    <col min="6400" max="6400" width="13.5703125" style="2068" bestFit="1" customWidth="1"/>
    <col min="6401" max="6401" width="10.5703125" style="2068" bestFit="1" customWidth="1"/>
    <col min="6402" max="6402" width="11.85546875" style="2068" bestFit="1" customWidth="1"/>
    <col min="6403" max="6403" width="5.7109375" style="2068" customWidth="1"/>
    <col min="6404" max="6414" width="11.42578125" style="2068" customWidth="1"/>
    <col min="6415" max="6650" width="11.42578125" style="2068"/>
    <col min="6651" max="6651" width="14.85546875" style="2068" customWidth="1"/>
    <col min="6652" max="6653" width="12.5703125" style="2068" customWidth="1"/>
    <col min="6654" max="6654" width="12.140625" style="2068" customWidth="1"/>
    <col min="6655" max="6655" width="14" style="2068" bestFit="1" customWidth="1"/>
    <col min="6656" max="6656" width="13.5703125" style="2068" bestFit="1" customWidth="1"/>
    <col min="6657" max="6657" width="10.5703125" style="2068" bestFit="1" customWidth="1"/>
    <col min="6658" max="6658" width="11.85546875" style="2068" bestFit="1" customWidth="1"/>
    <col min="6659" max="6659" width="5.7109375" style="2068" customWidth="1"/>
    <col min="6660" max="6670" width="11.42578125" style="2068" customWidth="1"/>
    <col min="6671" max="6906" width="11.42578125" style="2068"/>
    <col min="6907" max="6907" width="14.85546875" style="2068" customWidth="1"/>
    <col min="6908" max="6909" width="12.5703125" style="2068" customWidth="1"/>
    <col min="6910" max="6910" width="12.140625" style="2068" customWidth="1"/>
    <col min="6911" max="6911" width="14" style="2068" bestFit="1" customWidth="1"/>
    <col min="6912" max="6912" width="13.5703125" style="2068" bestFit="1" customWidth="1"/>
    <col min="6913" max="6913" width="10.5703125" style="2068" bestFit="1" customWidth="1"/>
    <col min="6914" max="6914" width="11.85546875" style="2068" bestFit="1" customWidth="1"/>
    <col min="6915" max="6915" width="5.7109375" style="2068" customWidth="1"/>
    <col min="6916" max="6926" width="11.42578125" style="2068" customWidth="1"/>
    <col min="6927" max="7162" width="11.42578125" style="2068"/>
    <col min="7163" max="7163" width="14.85546875" style="2068" customWidth="1"/>
    <col min="7164" max="7165" width="12.5703125" style="2068" customWidth="1"/>
    <col min="7166" max="7166" width="12.140625" style="2068" customWidth="1"/>
    <col min="7167" max="7167" width="14" style="2068" bestFit="1" customWidth="1"/>
    <col min="7168" max="7168" width="13.5703125" style="2068" bestFit="1" customWidth="1"/>
    <col min="7169" max="7169" width="10.5703125" style="2068" bestFit="1" customWidth="1"/>
    <col min="7170" max="7170" width="11.85546875" style="2068" bestFit="1" customWidth="1"/>
    <col min="7171" max="7171" width="5.7109375" style="2068" customWidth="1"/>
    <col min="7172" max="7182" width="11.42578125" style="2068" customWidth="1"/>
    <col min="7183" max="7418" width="11.42578125" style="2068"/>
    <col min="7419" max="7419" width="14.85546875" style="2068" customWidth="1"/>
    <col min="7420" max="7421" width="12.5703125" style="2068" customWidth="1"/>
    <col min="7422" max="7422" width="12.140625" style="2068" customWidth="1"/>
    <col min="7423" max="7423" width="14" style="2068" bestFit="1" customWidth="1"/>
    <col min="7424" max="7424" width="13.5703125" style="2068" bestFit="1" customWidth="1"/>
    <col min="7425" max="7425" width="10.5703125" style="2068" bestFit="1" customWidth="1"/>
    <col min="7426" max="7426" width="11.85546875" style="2068" bestFit="1" customWidth="1"/>
    <col min="7427" max="7427" width="5.7109375" style="2068" customWidth="1"/>
    <col min="7428" max="7438" width="11.42578125" style="2068" customWidth="1"/>
    <col min="7439" max="7674" width="11.42578125" style="2068"/>
    <col min="7675" max="7675" width="14.85546875" style="2068" customWidth="1"/>
    <col min="7676" max="7677" width="12.5703125" style="2068" customWidth="1"/>
    <col min="7678" max="7678" width="12.140625" style="2068" customWidth="1"/>
    <col min="7679" max="7679" width="14" style="2068" bestFit="1" customWidth="1"/>
    <col min="7680" max="7680" width="13.5703125" style="2068" bestFit="1" customWidth="1"/>
    <col min="7681" max="7681" width="10.5703125" style="2068" bestFit="1" customWidth="1"/>
    <col min="7682" max="7682" width="11.85546875" style="2068" bestFit="1" customWidth="1"/>
    <col min="7683" max="7683" width="5.7109375" style="2068" customWidth="1"/>
    <col min="7684" max="7694" width="11.42578125" style="2068" customWidth="1"/>
    <col min="7695" max="7930" width="11.42578125" style="2068"/>
    <col min="7931" max="7931" width="14.85546875" style="2068" customWidth="1"/>
    <col min="7932" max="7933" width="12.5703125" style="2068" customWidth="1"/>
    <col min="7934" max="7934" width="12.140625" style="2068" customWidth="1"/>
    <col min="7935" max="7935" width="14" style="2068" bestFit="1" customWidth="1"/>
    <col min="7936" max="7936" width="13.5703125" style="2068" bestFit="1" customWidth="1"/>
    <col min="7937" max="7937" width="10.5703125" style="2068" bestFit="1" customWidth="1"/>
    <col min="7938" max="7938" width="11.85546875" style="2068" bestFit="1" customWidth="1"/>
    <col min="7939" max="7939" width="5.7109375" style="2068" customWidth="1"/>
    <col min="7940" max="7950" width="11.42578125" style="2068" customWidth="1"/>
    <col min="7951" max="8186" width="11.42578125" style="2068"/>
    <col min="8187" max="8187" width="14.85546875" style="2068" customWidth="1"/>
    <col min="8188" max="8189" width="12.5703125" style="2068" customWidth="1"/>
    <col min="8190" max="8190" width="12.140625" style="2068" customWidth="1"/>
    <col min="8191" max="8191" width="14" style="2068" bestFit="1" customWidth="1"/>
    <col min="8192" max="8192" width="13.5703125" style="2068" bestFit="1" customWidth="1"/>
    <col min="8193" max="8193" width="10.5703125" style="2068" bestFit="1" customWidth="1"/>
    <col min="8194" max="8194" width="11.85546875" style="2068" bestFit="1" customWidth="1"/>
    <col min="8195" max="8195" width="5.7109375" style="2068" customWidth="1"/>
    <col min="8196" max="8206" width="11.42578125" style="2068" customWidth="1"/>
    <col min="8207" max="8442" width="11.42578125" style="2068"/>
    <col min="8443" max="8443" width="14.85546875" style="2068" customWidth="1"/>
    <col min="8444" max="8445" width="12.5703125" style="2068" customWidth="1"/>
    <col min="8446" max="8446" width="12.140625" style="2068" customWidth="1"/>
    <col min="8447" max="8447" width="14" style="2068" bestFit="1" customWidth="1"/>
    <col min="8448" max="8448" width="13.5703125" style="2068" bestFit="1" customWidth="1"/>
    <col min="8449" max="8449" width="10.5703125" style="2068" bestFit="1" customWidth="1"/>
    <col min="8450" max="8450" width="11.85546875" style="2068" bestFit="1" customWidth="1"/>
    <col min="8451" max="8451" width="5.7109375" style="2068" customWidth="1"/>
    <col min="8452" max="8462" width="11.42578125" style="2068" customWidth="1"/>
    <col min="8463" max="8698" width="11.42578125" style="2068"/>
    <col min="8699" max="8699" width="14.85546875" style="2068" customWidth="1"/>
    <col min="8700" max="8701" width="12.5703125" style="2068" customWidth="1"/>
    <col min="8702" max="8702" width="12.140625" style="2068" customWidth="1"/>
    <col min="8703" max="8703" width="14" style="2068" bestFit="1" customWidth="1"/>
    <col min="8704" max="8704" width="13.5703125" style="2068" bestFit="1" customWidth="1"/>
    <col min="8705" max="8705" width="10.5703125" style="2068" bestFit="1" customWidth="1"/>
    <col min="8706" max="8706" width="11.85546875" style="2068" bestFit="1" customWidth="1"/>
    <col min="8707" max="8707" width="5.7109375" style="2068" customWidth="1"/>
    <col min="8708" max="8718" width="11.42578125" style="2068" customWidth="1"/>
    <col min="8719" max="8954" width="11.42578125" style="2068"/>
    <col min="8955" max="8955" width="14.85546875" style="2068" customWidth="1"/>
    <col min="8956" max="8957" width="12.5703125" style="2068" customWidth="1"/>
    <col min="8958" max="8958" width="12.140625" style="2068" customWidth="1"/>
    <col min="8959" max="8959" width="14" style="2068" bestFit="1" customWidth="1"/>
    <col min="8960" max="8960" width="13.5703125" style="2068" bestFit="1" customWidth="1"/>
    <col min="8961" max="8961" width="10.5703125" style="2068" bestFit="1" customWidth="1"/>
    <col min="8962" max="8962" width="11.85546875" style="2068" bestFit="1" customWidth="1"/>
    <col min="8963" max="8963" width="5.7109375" style="2068" customWidth="1"/>
    <col min="8964" max="8974" width="11.42578125" style="2068" customWidth="1"/>
    <col min="8975" max="9210" width="11.42578125" style="2068"/>
    <col min="9211" max="9211" width="14.85546875" style="2068" customWidth="1"/>
    <col min="9212" max="9213" width="12.5703125" style="2068" customWidth="1"/>
    <col min="9214" max="9214" width="12.140625" style="2068" customWidth="1"/>
    <col min="9215" max="9215" width="14" style="2068" bestFit="1" customWidth="1"/>
    <col min="9216" max="9216" width="13.5703125" style="2068" bestFit="1" customWidth="1"/>
    <col min="9217" max="9217" width="10.5703125" style="2068" bestFit="1" customWidth="1"/>
    <col min="9218" max="9218" width="11.85546875" style="2068" bestFit="1" customWidth="1"/>
    <col min="9219" max="9219" width="5.7109375" style="2068" customWidth="1"/>
    <col min="9220" max="9230" width="11.42578125" style="2068" customWidth="1"/>
    <col min="9231" max="9466" width="11.42578125" style="2068"/>
    <col min="9467" max="9467" width="14.85546875" style="2068" customWidth="1"/>
    <col min="9468" max="9469" width="12.5703125" style="2068" customWidth="1"/>
    <col min="9470" max="9470" width="12.140625" style="2068" customWidth="1"/>
    <col min="9471" max="9471" width="14" style="2068" bestFit="1" customWidth="1"/>
    <col min="9472" max="9472" width="13.5703125" style="2068" bestFit="1" customWidth="1"/>
    <col min="9473" max="9473" width="10.5703125" style="2068" bestFit="1" customWidth="1"/>
    <col min="9474" max="9474" width="11.85546875" style="2068" bestFit="1" customWidth="1"/>
    <col min="9475" max="9475" width="5.7109375" style="2068" customWidth="1"/>
    <col min="9476" max="9486" width="11.42578125" style="2068" customWidth="1"/>
    <col min="9487" max="9722" width="11.42578125" style="2068"/>
    <col min="9723" max="9723" width="14.85546875" style="2068" customWidth="1"/>
    <col min="9724" max="9725" width="12.5703125" style="2068" customWidth="1"/>
    <col min="9726" max="9726" width="12.140625" style="2068" customWidth="1"/>
    <col min="9727" max="9727" width="14" style="2068" bestFit="1" customWidth="1"/>
    <col min="9728" max="9728" width="13.5703125" style="2068" bestFit="1" customWidth="1"/>
    <col min="9729" max="9729" width="10.5703125" style="2068" bestFit="1" customWidth="1"/>
    <col min="9730" max="9730" width="11.85546875" style="2068" bestFit="1" customWidth="1"/>
    <col min="9731" max="9731" width="5.7109375" style="2068" customWidth="1"/>
    <col min="9732" max="9742" width="11.42578125" style="2068" customWidth="1"/>
    <col min="9743" max="9978" width="11.42578125" style="2068"/>
    <col min="9979" max="9979" width="14.85546875" style="2068" customWidth="1"/>
    <col min="9980" max="9981" width="12.5703125" style="2068" customWidth="1"/>
    <col min="9982" max="9982" width="12.140625" style="2068" customWidth="1"/>
    <col min="9983" max="9983" width="14" style="2068" bestFit="1" customWidth="1"/>
    <col min="9984" max="9984" width="13.5703125" style="2068" bestFit="1" customWidth="1"/>
    <col min="9985" max="9985" width="10.5703125" style="2068" bestFit="1" customWidth="1"/>
    <col min="9986" max="9986" width="11.85546875" style="2068" bestFit="1" customWidth="1"/>
    <col min="9987" max="9987" width="5.7109375" style="2068" customWidth="1"/>
    <col min="9988" max="9998" width="11.42578125" style="2068" customWidth="1"/>
    <col min="9999" max="10234" width="11.42578125" style="2068"/>
    <col min="10235" max="10235" width="14.85546875" style="2068" customWidth="1"/>
    <col min="10236" max="10237" width="12.5703125" style="2068" customWidth="1"/>
    <col min="10238" max="10238" width="12.140625" style="2068" customWidth="1"/>
    <col min="10239" max="10239" width="14" style="2068" bestFit="1" customWidth="1"/>
    <col min="10240" max="10240" width="13.5703125" style="2068" bestFit="1" customWidth="1"/>
    <col min="10241" max="10241" width="10.5703125" style="2068" bestFit="1" customWidth="1"/>
    <col min="10242" max="10242" width="11.85546875" style="2068" bestFit="1" customWidth="1"/>
    <col min="10243" max="10243" width="5.7109375" style="2068" customWidth="1"/>
    <col min="10244" max="10254" width="11.42578125" style="2068" customWidth="1"/>
    <col min="10255" max="10490" width="11.42578125" style="2068"/>
    <col min="10491" max="10491" width="14.85546875" style="2068" customWidth="1"/>
    <col min="10492" max="10493" width="12.5703125" style="2068" customWidth="1"/>
    <col min="10494" max="10494" width="12.140625" style="2068" customWidth="1"/>
    <col min="10495" max="10495" width="14" style="2068" bestFit="1" customWidth="1"/>
    <col min="10496" max="10496" width="13.5703125" style="2068" bestFit="1" customWidth="1"/>
    <col min="10497" max="10497" width="10.5703125" style="2068" bestFit="1" customWidth="1"/>
    <col min="10498" max="10498" width="11.85546875" style="2068" bestFit="1" customWidth="1"/>
    <col min="10499" max="10499" width="5.7109375" style="2068" customWidth="1"/>
    <col min="10500" max="10510" width="11.42578125" style="2068" customWidth="1"/>
    <col min="10511" max="10746" width="11.42578125" style="2068"/>
    <col min="10747" max="10747" width="14.85546875" style="2068" customWidth="1"/>
    <col min="10748" max="10749" width="12.5703125" style="2068" customWidth="1"/>
    <col min="10750" max="10750" width="12.140625" style="2068" customWidth="1"/>
    <col min="10751" max="10751" width="14" style="2068" bestFit="1" customWidth="1"/>
    <col min="10752" max="10752" width="13.5703125" style="2068" bestFit="1" customWidth="1"/>
    <col min="10753" max="10753" width="10.5703125" style="2068" bestFit="1" customWidth="1"/>
    <col min="10754" max="10754" width="11.85546875" style="2068" bestFit="1" customWidth="1"/>
    <col min="10755" max="10755" width="5.7109375" style="2068" customWidth="1"/>
    <col min="10756" max="10766" width="11.42578125" style="2068" customWidth="1"/>
    <col min="10767" max="11002" width="11.42578125" style="2068"/>
    <col min="11003" max="11003" width="14.85546875" style="2068" customWidth="1"/>
    <col min="11004" max="11005" width="12.5703125" style="2068" customWidth="1"/>
    <col min="11006" max="11006" width="12.140625" style="2068" customWidth="1"/>
    <col min="11007" max="11007" width="14" style="2068" bestFit="1" customWidth="1"/>
    <col min="11008" max="11008" width="13.5703125" style="2068" bestFit="1" customWidth="1"/>
    <col min="11009" max="11009" width="10.5703125" style="2068" bestFit="1" customWidth="1"/>
    <col min="11010" max="11010" width="11.85546875" style="2068" bestFit="1" customWidth="1"/>
    <col min="11011" max="11011" width="5.7109375" style="2068" customWidth="1"/>
    <col min="11012" max="11022" width="11.42578125" style="2068" customWidth="1"/>
    <col min="11023" max="11258" width="11.42578125" style="2068"/>
    <col min="11259" max="11259" width="14.85546875" style="2068" customWidth="1"/>
    <col min="11260" max="11261" width="12.5703125" style="2068" customWidth="1"/>
    <col min="11262" max="11262" width="12.140625" style="2068" customWidth="1"/>
    <col min="11263" max="11263" width="14" style="2068" bestFit="1" customWidth="1"/>
    <col min="11264" max="11264" width="13.5703125" style="2068" bestFit="1" customWidth="1"/>
    <col min="11265" max="11265" width="10.5703125" style="2068" bestFit="1" customWidth="1"/>
    <col min="11266" max="11266" width="11.85546875" style="2068" bestFit="1" customWidth="1"/>
    <col min="11267" max="11267" width="5.7109375" style="2068" customWidth="1"/>
    <col min="11268" max="11278" width="11.42578125" style="2068" customWidth="1"/>
    <col min="11279" max="11514" width="11.42578125" style="2068"/>
    <col min="11515" max="11515" width="14.85546875" style="2068" customWidth="1"/>
    <col min="11516" max="11517" width="12.5703125" style="2068" customWidth="1"/>
    <col min="11518" max="11518" width="12.140625" style="2068" customWidth="1"/>
    <col min="11519" max="11519" width="14" style="2068" bestFit="1" customWidth="1"/>
    <col min="11520" max="11520" width="13.5703125" style="2068" bestFit="1" customWidth="1"/>
    <col min="11521" max="11521" width="10.5703125" style="2068" bestFit="1" customWidth="1"/>
    <col min="11522" max="11522" width="11.85546875" style="2068" bestFit="1" customWidth="1"/>
    <col min="11523" max="11523" width="5.7109375" style="2068" customWidth="1"/>
    <col min="11524" max="11534" width="11.42578125" style="2068" customWidth="1"/>
    <col min="11535" max="11770" width="11.42578125" style="2068"/>
    <col min="11771" max="11771" width="14.85546875" style="2068" customWidth="1"/>
    <col min="11772" max="11773" width="12.5703125" style="2068" customWidth="1"/>
    <col min="11774" max="11774" width="12.140625" style="2068" customWidth="1"/>
    <col min="11775" max="11775" width="14" style="2068" bestFit="1" customWidth="1"/>
    <col min="11776" max="11776" width="13.5703125" style="2068" bestFit="1" customWidth="1"/>
    <col min="11777" max="11777" width="10.5703125" style="2068" bestFit="1" customWidth="1"/>
    <col min="11778" max="11778" width="11.85546875" style="2068" bestFit="1" customWidth="1"/>
    <col min="11779" max="11779" width="5.7109375" style="2068" customWidth="1"/>
    <col min="11780" max="11790" width="11.42578125" style="2068" customWidth="1"/>
    <col min="11791" max="12026" width="11.42578125" style="2068"/>
    <col min="12027" max="12027" width="14.85546875" style="2068" customWidth="1"/>
    <col min="12028" max="12029" width="12.5703125" style="2068" customWidth="1"/>
    <col min="12030" max="12030" width="12.140625" style="2068" customWidth="1"/>
    <col min="12031" max="12031" width="14" style="2068" bestFit="1" customWidth="1"/>
    <col min="12032" max="12032" width="13.5703125" style="2068" bestFit="1" customWidth="1"/>
    <col min="12033" max="12033" width="10.5703125" style="2068" bestFit="1" customWidth="1"/>
    <col min="12034" max="12034" width="11.85546875" style="2068" bestFit="1" customWidth="1"/>
    <col min="12035" max="12035" width="5.7109375" style="2068" customWidth="1"/>
    <col min="12036" max="12046" width="11.42578125" style="2068" customWidth="1"/>
    <col min="12047" max="12282" width="11.42578125" style="2068"/>
    <col min="12283" max="12283" width="14.85546875" style="2068" customWidth="1"/>
    <col min="12284" max="12285" width="12.5703125" style="2068" customWidth="1"/>
    <col min="12286" max="12286" width="12.140625" style="2068" customWidth="1"/>
    <col min="12287" max="12287" width="14" style="2068" bestFit="1" customWidth="1"/>
    <col min="12288" max="12288" width="13.5703125" style="2068" bestFit="1" customWidth="1"/>
    <col min="12289" max="12289" width="10.5703125" style="2068" bestFit="1" customWidth="1"/>
    <col min="12290" max="12290" width="11.85546875" style="2068" bestFit="1" customWidth="1"/>
    <col min="12291" max="12291" width="5.7109375" style="2068" customWidth="1"/>
    <col min="12292" max="12302" width="11.42578125" style="2068" customWidth="1"/>
    <col min="12303" max="12538" width="11.42578125" style="2068"/>
    <col min="12539" max="12539" width="14.85546875" style="2068" customWidth="1"/>
    <col min="12540" max="12541" width="12.5703125" style="2068" customWidth="1"/>
    <col min="12542" max="12542" width="12.140625" style="2068" customWidth="1"/>
    <col min="12543" max="12543" width="14" style="2068" bestFit="1" customWidth="1"/>
    <col min="12544" max="12544" width="13.5703125" style="2068" bestFit="1" customWidth="1"/>
    <col min="12545" max="12545" width="10.5703125" style="2068" bestFit="1" customWidth="1"/>
    <col min="12546" max="12546" width="11.85546875" style="2068" bestFit="1" customWidth="1"/>
    <col min="12547" max="12547" width="5.7109375" style="2068" customWidth="1"/>
    <col min="12548" max="12558" width="11.42578125" style="2068" customWidth="1"/>
    <col min="12559" max="12794" width="11.42578125" style="2068"/>
    <col min="12795" max="12795" width="14.85546875" style="2068" customWidth="1"/>
    <col min="12796" max="12797" width="12.5703125" style="2068" customWidth="1"/>
    <col min="12798" max="12798" width="12.140625" style="2068" customWidth="1"/>
    <col min="12799" max="12799" width="14" style="2068" bestFit="1" customWidth="1"/>
    <col min="12800" max="12800" width="13.5703125" style="2068" bestFit="1" customWidth="1"/>
    <col min="12801" max="12801" width="10.5703125" style="2068" bestFit="1" customWidth="1"/>
    <col min="12802" max="12802" width="11.85546875" style="2068" bestFit="1" customWidth="1"/>
    <col min="12803" max="12803" width="5.7109375" style="2068" customWidth="1"/>
    <col min="12804" max="12814" width="11.42578125" style="2068" customWidth="1"/>
    <col min="12815" max="13050" width="11.42578125" style="2068"/>
    <col min="13051" max="13051" width="14.85546875" style="2068" customWidth="1"/>
    <col min="13052" max="13053" width="12.5703125" style="2068" customWidth="1"/>
    <col min="13054" max="13054" width="12.140625" style="2068" customWidth="1"/>
    <col min="13055" max="13055" width="14" style="2068" bestFit="1" customWidth="1"/>
    <col min="13056" max="13056" width="13.5703125" style="2068" bestFit="1" customWidth="1"/>
    <col min="13057" max="13057" width="10.5703125" style="2068" bestFit="1" customWidth="1"/>
    <col min="13058" max="13058" width="11.85546875" style="2068" bestFit="1" customWidth="1"/>
    <col min="13059" max="13059" width="5.7109375" style="2068" customWidth="1"/>
    <col min="13060" max="13070" width="11.42578125" style="2068" customWidth="1"/>
    <col min="13071" max="13306" width="11.42578125" style="2068"/>
    <col min="13307" max="13307" width="14.85546875" style="2068" customWidth="1"/>
    <col min="13308" max="13309" width="12.5703125" style="2068" customWidth="1"/>
    <col min="13310" max="13310" width="12.140625" style="2068" customWidth="1"/>
    <col min="13311" max="13311" width="14" style="2068" bestFit="1" customWidth="1"/>
    <col min="13312" max="13312" width="13.5703125" style="2068" bestFit="1" customWidth="1"/>
    <col min="13313" max="13313" width="10.5703125" style="2068" bestFit="1" customWidth="1"/>
    <col min="13314" max="13314" width="11.85546875" style="2068" bestFit="1" customWidth="1"/>
    <col min="13315" max="13315" width="5.7109375" style="2068" customWidth="1"/>
    <col min="13316" max="13326" width="11.42578125" style="2068" customWidth="1"/>
    <col min="13327" max="13562" width="11.42578125" style="2068"/>
    <col min="13563" max="13563" width="14.85546875" style="2068" customWidth="1"/>
    <col min="13564" max="13565" width="12.5703125" style="2068" customWidth="1"/>
    <col min="13566" max="13566" width="12.140625" style="2068" customWidth="1"/>
    <col min="13567" max="13567" width="14" style="2068" bestFit="1" customWidth="1"/>
    <col min="13568" max="13568" width="13.5703125" style="2068" bestFit="1" customWidth="1"/>
    <col min="13569" max="13569" width="10.5703125" style="2068" bestFit="1" customWidth="1"/>
    <col min="13570" max="13570" width="11.85546875" style="2068" bestFit="1" customWidth="1"/>
    <col min="13571" max="13571" width="5.7109375" style="2068" customWidth="1"/>
    <col min="13572" max="13582" width="11.42578125" style="2068" customWidth="1"/>
    <col min="13583" max="13818" width="11.42578125" style="2068"/>
    <col min="13819" max="13819" width="14.85546875" style="2068" customWidth="1"/>
    <col min="13820" max="13821" width="12.5703125" style="2068" customWidth="1"/>
    <col min="13822" max="13822" width="12.140625" style="2068" customWidth="1"/>
    <col min="13823" max="13823" width="14" style="2068" bestFit="1" customWidth="1"/>
    <col min="13824" max="13824" width="13.5703125" style="2068" bestFit="1" customWidth="1"/>
    <col min="13825" max="13825" width="10.5703125" style="2068" bestFit="1" customWidth="1"/>
    <col min="13826" max="13826" width="11.85546875" style="2068" bestFit="1" customWidth="1"/>
    <col min="13827" max="13827" width="5.7109375" style="2068" customWidth="1"/>
    <col min="13828" max="13838" width="11.42578125" style="2068" customWidth="1"/>
    <col min="13839" max="14074" width="11.42578125" style="2068"/>
    <col min="14075" max="14075" width="14.85546875" style="2068" customWidth="1"/>
    <col min="14076" max="14077" width="12.5703125" style="2068" customWidth="1"/>
    <col min="14078" max="14078" width="12.140625" style="2068" customWidth="1"/>
    <col min="14079" max="14079" width="14" style="2068" bestFit="1" customWidth="1"/>
    <col min="14080" max="14080" width="13.5703125" style="2068" bestFit="1" customWidth="1"/>
    <col min="14081" max="14081" width="10.5703125" style="2068" bestFit="1" customWidth="1"/>
    <col min="14082" max="14082" width="11.85546875" style="2068" bestFit="1" customWidth="1"/>
    <col min="14083" max="14083" width="5.7109375" style="2068" customWidth="1"/>
    <col min="14084" max="14094" width="11.42578125" style="2068" customWidth="1"/>
    <col min="14095" max="14330" width="11.42578125" style="2068"/>
    <col min="14331" max="14331" width="14.85546875" style="2068" customWidth="1"/>
    <col min="14332" max="14333" width="12.5703125" style="2068" customWidth="1"/>
    <col min="14334" max="14334" width="12.140625" style="2068" customWidth="1"/>
    <col min="14335" max="14335" width="14" style="2068" bestFit="1" customWidth="1"/>
    <col min="14336" max="14336" width="13.5703125" style="2068" bestFit="1" customWidth="1"/>
    <col min="14337" max="14337" width="10.5703125" style="2068" bestFit="1" customWidth="1"/>
    <col min="14338" max="14338" width="11.85546875" style="2068" bestFit="1" customWidth="1"/>
    <col min="14339" max="14339" width="5.7109375" style="2068" customWidth="1"/>
    <col min="14340" max="14350" width="11.42578125" style="2068" customWidth="1"/>
    <col min="14351" max="14586" width="11.42578125" style="2068"/>
    <col min="14587" max="14587" width="14.85546875" style="2068" customWidth="1"/>
    <col min="14588" max="14589" width="12.5703125" style="2068" customWidth="1"/>
    <col min="14590" max="14590" width="12.140625" style="2068" customWidth="1"/>
    <col min="14591" max="14591" width="14" style="2068" bestFit="1" customWidth="1"/>
    <col min="14592" max="14592" width="13.5703125" style="2068" bestFit="1" customWidth="1"/>
    <col min="14593" max="14593" width="10.5703125" style="2068" bestFit="1" customWidth="1"/>
    <col min="14594" max="14594" width="11.85546875" style="2068" bestFit="1" customWidth="1"/>
    <col min="14595" max="14595" width="5.7109375" style="2068" customWidth="1"/>
    <col min="14596" max="14606" width="11.42578125" style="2068" customWidth="1"/>
    <col min="14607" max="14842" width="11.42578125" style="2068"/>
    <col min="14843" max="14843" width="14.85546875" style="2068" customWidth="1"/>
    <col min="14844" max="14845" width="12.5703125" style="2068" customWidth="1"/>
    <col min="14846" max="14846" width="12.140625" style="2068" customWidth="1"/>
    <col min="14847" max="14847" width="14" style="2068" bestFit="1" customWidth="1"/>
    <col min="14848" max="14848" width="13.5703125" style="2068" bestFit="1" customWidth="1"/>
    <col min="14849" max="14849" width="10.5703125" style="2068" bestFit="1" customWidth="1"/>
    <col min="14850" max="14850" width="11.85546875" style="2068" bestFit="1" customWidth="1"/>
    <col min="14851" max="14851" width="5.7109375" style="2068" customWidth="1"/>
    <col min="14852" max="14862" width="11.42578125" style="2068" customWidth="1"/>
    <col min="14863" max="15098" width="11.42578125" style="2068"/>
    <col min="15099" max="15099" width="14.85546875" style="2068" customWidth="1"/>
    <col min="15100" max="15101" width="12.5703125" style="2068" customWidth="1"/>
    <col min="15102" max="15102" width="12.140625" style="2068" customWidth="1"/>
    <col min="15103" max="15103" width="14" style="2068" bestFit="1" customWidth="1"/>
    <col min="15104" max="15104" width="13.5703125" style="2068" bestFit="1" customWidth="1"/>
    <col min="15105" max="15105" width="10.5703125" style="2068" bestFit="1" customWidth="1"/>
    <col min="15106" max="15106" width="11.85546875" style="2068" bestFit="1" customWidth="1"/>
    <col min="15107" max="15107" width="5.7109375" style="2068" customWidth="1"/>
    <col min="15108" max="15118" width="11.42578125" style="2068" customWidth="1"/>
    <col min="15119" max="15354" width="11.42578125" style="2068"/>
    <col min="15355" max="15355" width="14.85546875" style="2068" customWidth="1"/>
    <col min="15356" max="15357" width="12.5703125" style="2068" customWidth="1"/>
    <col min="15358" max="15358" width="12.140625" style="2068" customWidth="1"/>
    <col min="15359" max="15359" width="14" style="2068" bestFit="1" customWidth="1"/>
    <col min="15360" max="15360" width="13.5703125" style="2068" bestFit="1" customWidth="1"/>
    <col min="15361" max="15361" width="10.5703125" style="2068" bestFit="1" customWidth="1"/>
    <col min="15362" max="15362" width="11.85546875" style="2068" bestFit="1" customWidth="1"/>
    <col min="15363" max="15363" width="5.7109375" style="2068" customWidth="1"/>
    <col min="15364" max="15374" width="11.42578125" style="2068" customWidth="1"/>
    <col min="15375" max="15610" width="11.42578125" style="2068"/>
    <col min="15611" max="15611" width="14.85546875" style="2068" customWidth="1"/>
    <col min="15612" max="15613" width="12.5703125" style="2068" customWidth="1"/>
    <col min="15614" max="15614" width="12.140625" style="2068" customWidth="1"/>
    <col min="15615" max="15615" width="14" style="2068" bestFit="1" customWidth="1"/>
    <col min="15616" max="15616" width="13.5703125" style="2068" bestFit="1" customWidth="1"/>
    <col min="15617" max="15617" width="10.5703125" style="2068" bestFit="1" customWidth="1"/>
    <col min="15618" max="15618" width="11.85546875" style="2068" bestFit="1" customWidth="1"/>
    <col min="15619" max="15619" width="5.7109375" style="2068" customWidth="1"/>
    <col min="15620" max="15630" width="11.42578125" style="2068" customWidth="1"/>
    <col min="15631" max="15866" width="11.42578125" style="2068"/>
    <col min="15867" max="15867" width="14.85546875" style="2068" customWidth="1"/>
    <col min="15868" max="15869" width="12.5703125" style="2068" customWidth="1"/>
    <col min="15870" max="15870" width="12.140625" style="2068" customWidth="1"/>
    <col min="15871" max="15871" width="14" style="2068" bestFit="1" customWidth="1"/>
    <col min="15872" max="15872" width="13.5703125" style="2068" bestFit="1" customWidth="1"/>
    <col min="15873" max="15873" width="10.5703125" style="2068" bestFit="1" customWidth="1"/>
    <col min="15874" max="15874" width="11.85546875" style="2068" bestFit="1" customWidth="1"/>
    <col min="15875" max="15875" width="5.7109375" style="2068" customWidth="1"/>
    <col min="15876" max="15886" width="11.42578125" style="2068" customWidth="1"/>
    <col min="15887" max="16122" width="11.42578125" style="2068"/>
    <col min="16123" max="16123" width="14.85546875" style="2068" customWidth="1"/>
    <col min="16124" max="16125" width="12.5703125" style="2068" customWidth="1"/>
    <col min="16126" max="16126" width="12.140625" style="2068" customWidth="1"/>
    <col min="16127" max="16127" width="14" style="2068" bestFit="1" customWidth="1"/>
    <col min="16128" max="16128" width="13.5703125" style="2068" bestFit="1" customWidth="1"/>
    <col min="16129" max="16129" width="10.5703125" style="2068" bestFit="1" customWidth="1"/>
    <col min="16130" max="16130" width="11.85546875" style="2068" bestFit="1" customWidth="1"/>
    <col min="16131" max="16131" width="5.7109375" style="2068" customWidth="1"/>
    <col min="16132" max="16142" width="11.42578125" style="2068" customWidth="1"/>
    <col min="16143" max="16384" width="11.42578125" style="2068"/>
  </cols>
  <sheetData>
    <row r="1" spans="1:14" s="2065" customFormat="1" ht="24" customHeight="1" x14ac:dyDescent="0.25">
      <c r="A1" s="2061" t="s">
        <v>1263</v>
      </c>
      <c r="B1" s="2062"/>
      <c r="C1" s="2063"/>
      <c r="D1" s="2064"/>
    </row>
    <row r="2" spans="1:14" s="2065" customFormat="1" ht="4.5" customHeight="1" thickBot="1" x14ac:dyDescent="0.3">
      <c r="C2" s="2066"/>
      <c r="D2" s="2066"/>
    </row>
    <row r="3" spans="1:14" ht="19.5" customHeight="1" thickTop="1" x14ac:dyDescent="0.25">
      <c r="A3" s="2067"/>
      <c r="B3" s="3368" t="s">
        <v>1264</v>
      </c>
      <c r="C3" s="3371" t="s">
        <v>1265</v>
      </c>
    </row>
    <row r="4" spans="1:14" x14ac:dyDescent="0.25">
      <c r="A4" s="2069"/>
      <c r="B4" s="3369"/>
      <c r="C4" s="3372"/>
    </row>
    <row r="5" spans="1:14" x14ac:dyDescent="0.25">
      <c r="A5" s="2069"/>
      <c r="B5" s="3369"/>
      <c r="C5" s="3372"/>
    </row>
    <row r="6" spans="1:14" x14ac:dyDescent="0.25">
      <c r="A6" s="2069" t="s">
        <v>5</v>
      </c>
      <c r="B6" s="3369"/>
      <c r="C6" s="3372"/>
    </row>
    <row r="7" spans="1:14" x14ac:dyDescent="0.25">
      <c r="A7" s="2069"/>
      <c r="B7" s="3369"/>
      <c r="C7" s="3372"/>
    </row>
    <row r="8" spans="1:14" ht="18" thickBot="1" x14ac:dyDescent="0.3">
      <c r="A8" s="2069"/>
      <c r="B8" s="3370"/>
      <c r="C8" s="3373"/>
      <c r="D8" s="2065"/>
      <c r="I8" s="2070"/>
    </row>
    <row r="9" spans="1:14" x14ac:dyDescent="0.25">
      <c r="A9" s="2071"/>
      <c r="B9" s="2072" t="s">
        <v>281</v>
      </c>
      <c r="C9" s="2073" t="s">
        <v>281</v>
      </c>
      <c r="F9" s="2074"/>
    </row>
    <row r="10" spans="1:14" ht="18.75" customHeight="1" x14ac:dyDescent="0.25">
      <c r="A10" s="2075">
        <v>45199</v>
      </c>
      <c r="B10" s="2076"/>
      <c r="C10" s="2077"/>
      <c r="F10" s="2078"/>
    </row>
    <row r="11" spans="1:14" ht="18" customHeight="1" x14ac:dyDescent="0.3">
      <c r="A11" s="2079">
        <v>45170</v>
      </c>
      <c r="B11" s="2080">
        <v>15000</v>
      </c>
      <c r="C11" s="2077">
        <v>111.9</v>
      </c>
      <c r="D11" s="2081"/>
      <c r="E11" s="2082"/>
    </row>
    <row r="12" spans="1:14" ht="18" customHeight="1" x14ac:dyDescent="0.3">
      <c r="A12" s="2083" t="s">
        <v>1266</v>
      </c>
      <c r="B12" s="2080">
        <v>15000</v>
      </c>
      <c r="C12" s="2077">
        <v>3887.05</v>
      </c>
      <c r="D12" s="2081"/>
      <c r="E12" s="2082"/>
    </row>
    <row r="13" spans="1:14" ht="18" customHeight="1" x14ac:dyDescent="0.3">
      <c r="A13" s="2084" t="s">
        <v>1192</v>
      </c>
      <c r="B13" s="2080">
        <v>15000</v>
      </c>
      <c r="C13" s="2077">
        <v>1560.45</v>
      </c>
      <c r="D13" s="2081"/>
      <c r="E13" s="2085"/>
    </row>
    <row r="14" spans="1:14" ht="18" customHeight="1" x14ac:dyDescent="0.3">
      <c r="A14" s="2084" t="s">
        <v>1193</v>
      </c>
      <c r="B14" s="2080">
        <v>15000</v>
      </c>
      <c r="C14" s="2077">
        <v>644.45000000000005</v>
      </c>
      <c r="D14" s="2081"/>
      <c r="E14" s="2086"/>
    </row>
    <row r="15" spans="1:14" ht="18" customHeight="1" x14ac:dyDescent="0.3">
      <c r="A15" s="2087" t="s">
        <v>1194</v>
      </c>
      <c r="B15" s="2088">
        <v>15000</v>
      </c>
      <c r="C15" s="2089">
        <v>2468.65</v>
      </c>
      <c r="D15" s="2081"/>
      <c r="E15" s="2085"/>
      <c r="F15" s="2078"/>
      <c r="G15" s="2078"/>
    </row>
    <row r="16" spans="1:14" s="2092" customFormat="1" ht="18" customHeight="1" x14ac:dyDescent="0.25">
      <c r="A16" s="2090">
        <v>44834</v>
      </c>
      <c r="B16" s="2091">
        <v>15000</v>
      </c>
      <c r="C16" s="2077">
        <v>19382.95</v>
      </c>
      <c r="E16" s="2093"/>
      <c r="F16" s="2093"/>
      <c r="G16" s="2093"/>
      <c r="H16" s="2093"/>
      <c r="I16" s="2093"/>
      <c r="J16" s="2093"/>
      <c r="K16" s="2093"/>
      <c r="L16" s="2093"/>
      <c r="M16" s="2093"/>
      <c r="N16" s="2093"/>
    </row>
    <row r="17" spans="1:14" s="2092" customFormat="1" ht="18" customHeight="1" x14ac:dyDescent="0.25">
      <c r="A17" s="2090">
        <v>44865</v>
      </c>
      <c r="B17" s="2091">
        <v>15000</v>
      </c>
      <c r="C17" s="2077">
        <v>25716.400000000001</v>
      </c>
      <c r="E17" s="2093"/>
      <c r="F17" s="2093"/>
      <c r="G17" s="2093"/>
      <c r="H17" s="2093"/>
      <c r="I17" s="2093"/>
      <c r="J17" s="2093"/>
      <c r="K17" s="2093"/>
      <c r="L17" s="2093"/>
      <c r="M17" s="2093"/>
      <c r="N17" s="2093"/>
    </row>
    <row r="18" spans="1:14" s="2092" customFormat="1" ht="18" customHeight="1" x14ac:dyDescent="0.25">
      <c r="A18" s="2090">
        <v>44895</v>
      </c>
      <c r="B18" s="2091">
        <v>15000</v>
      </c>
      <c r="C18" s="2077">
        <v>10447</v>
      </c>
      <c r="E18" s="2093"/>
      <c r="F18" s="2093"/>
      <c r="G18" s="2093"/>
      <c r="H18" s="2093"/>
      <c r="I18" s="2093"/>
      <c r="J18" s="2093"/>
      <c r="K18" s="2093"/>
      <c r="L18" s="2093"/>
      <c r="M18" s="2093"/>
      <c r="N18" s="2093"/>
    </row>
    <row r="19" spans="1:14" s="2092" customFormat="1" ht="18" customHeight="1" x14ac:dyDescent="0.25">
      <c r="A19" s="2090">
        <v>44926</v>
      </c>
      <c r="B19" s="2091">
        <v>15000</v>
      </c>
      <c r="C19" s="2077">
        <v>19674.25</v>
      </c>
      <c r="E19" s="2093"/>
      <c r="F19" s="2093"/>
      <c r="G19" s="2093"/>
      <c r="H19" s="2093"/>
      <c r="I19" s="2093"/>
      <c r="J19" s="2093"/>
      <c r="K19" s="2093"/>
      <c r="L19" s="2093"/>
      <c r="M19" s="2093"/>
      <c r="N19" s="2093"/>
    </row>
    <row r="20" spans="1:14" s="2092" customFormat="1" ht="18" customHeight="1" x14ac:dyDescent="0.25">
      <c r="A20" s="2090">
        <v>44957</v>
      </c>
      <c r="B20" s="2091">
        <v>15000</v>
      </c>
      <c r="C20" s="2077">
        <v>6198.55</v>
      </c>
      <c r="E20" s="2093"/>
      <c r="F20" s="2093"/>
      <c r="G20" s="2093"/>
      <c r="H20" s="2093"/>
      <c r="I20" s="2093"/>
      <c r="J20" s="2093"/>
      <c r="K20" s="2093"/>
      <c r="L20" s="2093"/>
      <c r="M20" s="2093"/>
      <c r="N20" s="2093"/>
    </row>
    <row r="21" spans="1:14" s="2092" customFormat="1" ht="18" customHeight="1" x14ac:dyDescent="0.25">
      <c r="A21" s="2090">
        <v>44985</v>
      </c>
      <c r="B21" s="2091">
        <v>15000</v>
      </c>
      <c r="C21" s="2077">
        <v>13365.25</v>
      </c>
      <c r="E21" s="2093"/>
      <c r="F21" s="2093"/>
      <c r="G21" s="2093"/>
      <c r="H21" s="2093"/>
      <c r="I21" s="2093"/>
      <c r="J21" s="2093"/>
      <c r="K21" s="2093"/>
      <c r="L21" s="2093"/>
      <c r="M21" s="2093"/>
      <c r="N21" s="2093"/>
    </row>
    <row r="22" spans="1:14" s="2092" customFormat="1" ht="18" customHeight="1" x14ac:dyDescent="0.25">
      <c r="A22" s="2090">
        <v>45016</v>
      </c>
      <c r="B22" s="2091">
        <v>15000</v>
      </c>
      <c r="C22" s="2077">
        <v>31841</v>
      </c>
      <c r="E22" s="2093"/>
      <c r="F22" s="2093"/>
      <c r="G22" s="2093"/>
      <c r="H22" s="2093"/>
      <c r="I22" s="2093"/>
      <c r="J22" s="2093"/>
      <c r="K22" s="2093"/>
      <c r="L22" s="2093"/>
      <c r="M22" s="2093"/>
      <c r="N22" s="2093"/>
    </row>
    <row r="23" spans="1:14" s="2092" customFormat="1" ht="18" customHeight="1" x14ac:dyDescent="0.25">
      <c r="A23" s="2090">
        <v>45046</v>
      </c>
      <c r="B23" s="2091">
        <v>15000</v>
      </c>
      <c r="C23" s="2077">
        <v>33349.5</v>
      </c>
      <c r="E23" s="2093"/>
      <c r="F23" s="2093"/>
      <c r="G23" s="2093"/>
      <c r="H23" s="2093"/>
      <c r="I23" s="2093"/>
      <c r="J23" s="2093"/>
      <c r="K23" s="2093"/>
      <c r="L23" s="2093"/>
      <c r="M23" s="2093"/>
      <c r="N23" s="2093"/>
    </row>
    <row r="24" spans="1:14" s="2092" customFormat="1" ht="18" customHeight="1" x14ac:dyDescent="0.25">
      <c r="A24" s="2090">
        <v>45077</v>
      </c>
      <c r="B24" s="2091">
        <v>15000</v>
      </c>
      <c r="C24" s="2077">
        <v>38289.949999999997</v>
      </c>
      <c r="E24" s="2093"/>
      <c r="F24" s="2093"/>
      <c r="G24" s="2093"/>
      <c r="H24" s="2093"/>
      <c r="I24" s="2093"/>
      <c r="J24" s="2093"/>
      <c r="K24" s="2093"/>
      <c r="L24" s="2093"/>
      <c r="M24" s="2093"/>
      <c r="N24" s="2093"/>
    </row>
    <row r="25" spans="1:14" s="2092" customFormat="1" ht="18" customHeight="1" x14ac:dyDescent="0.25">
      <c r="A25" s="2090">
        <v>45107</v>
      </c>
      <c r="B25" s="2091">
        <v>15000</v>
      </c>
      <c r="C25" s="2077">
        <v>44218.65</v>
      </c>
      <c r="E25" s="2093"/>
      <c r="F25" s="2093"/>
      <c r="G25" s="2093"/>
      <c r="H25" s="2093"/>
      <c r="I25" s="2093"/>
      <c r="J25" s="2093"/>
      <c r="K25" s="2093"/>
      <c r="L25" s="2093"/>
      <c r="M25" s="2093"/>
      <c r="N25" s="2093"/>
    </row>
    <row r="26" spans="1:14" s="2092" customFormat="1" ht="18" customHeight="1" x14ac:dyDescent="0.25">
      <c r="A26" s="2090">
        <v>45138</v>
      </c>
      <c r="B26" s="2091">
        <v>15000</v>
      </c>
      <c r="C26" s="2077">
        <v>6943.6</v>
      </c>
      <c r="E26" s="2093"/>
      <c r="F26" s="2093"/>
      <c r="G26" s="2093"/>
      <c r="H26" s="2093"/>
      <c r="I26" s="2093"/>
      <c r="J26" s="2093"/>
      <c r="K26" s="2093"/>
      <c r="L26" s="2093"/>
      <c r="M26" s="2093"/>
      <c r="N26" s="2093"/>
    </row>
    <row r="27" spans="1:14" s="2092" customFormat="1" ht="18" customHeight="1" x14ac:dyDescent="0.25">
      <c r="A27" s="2090">
        <v>45169</v>
      </c>
      <c r="B27" s="2091">
        <v>15000</v>
      </c>
      <c r="C27" s="2077">
        <v>12088.7</v>
      </c>
      <c r="E27" s="2093"/>
      <c r="F27" s="2093"/>
      <c r="G27" s="2093"/>
      <c r="H27" s="2093"/>
      <c r="I27" s="2093"/>
      <c r="J27" s="2093"/>
      <c r="K27" s="2093"/>
      <c r="L27" s="2093"/>
      <c r="M27" s="2093"/>
      <c r="N27" s="2093"/>
    </row>
    <row r="28" spans="1:14" s="2092" customFormat="1" ht="18" customHeight="1" thickBot="1" x14ac:dyDescent="0.3">
      <c r="A28" s="2094">
        <v>45199</v>
      </c>
      <c r="B28" s="2095">
        <v>15000</v>
      </c>
      <c r="C28" s="2096">
        <v>8672.5</v>
      </c>
      <c r="E28" s="2097"/>
      <c r="F28" s="2093"/>
      <c r="G28" s="2093"/>
      <c r="H28" s="2093"/>
      <c r="I28" s="2093"/>
      <c r="J28" s="2093"/>
      <c r="K28" s="2093"/>
      <c r="L28" s="2093"/>
      <c r="M28" s="2093"/>
      <c r="N28" s="2093"/>
    </row>
    <row r="29" spans="1:14" s="2100" customFormat="1" ht="18" customHeight="1" thickTop="1" x14ac:dyDescent="0.25">
      <c r="A29" s="2098" t="s">
        <v>1267</v>
      </c>
      <c r="B29" s="2099"/>
      <c r="C29" s="2099"/>
      <c r="E29" s="2101"/>
      <c r="F29" s="2102"/>
      <c r="G29" s="2102"/>
      <c r="H29" s="2102"/>
      <c r="I29" s="2102"/>
      <c r="J29" s="2102"/>
      <c r="K29" s="2102"/>
      <c r="L29" s="2102"/>
      <c r="M29" s="2102"/>
      <c r="N29" s="2102"/>
    </row>
    <row r="30" spans="1:14" s="2100" customFormat="1" ht="19.5" customHeight="1" x14ac:dyDescent="0.25">
      <c r="A30" s="2098" t="s">
        <v>1268</v>
      </c>
      <c r="B30" s="2098"/>
      <c r="C30" s="2098"/>
      <c r="E30" s="2103"/>
      <c r="F30" s="2102"/>
      <c r="G30" s="2102"/>
      <c r="H30" s="2102"/>
      <c r="I30" s="2102"/>
      <c r="J30" s="2102"/>
      <c r="K30" s="2102"/>
      <c r="L30" s="2102"/>
      <c r="M30" s="2102"/>
      <c r="N30" s="2102"/>
    </row>
    <row r="31" spans="1:14" s="2100" customFormat="1" ht="17.25" customHeight="1" x14ac:dyDescent="0.25">
      <c r="A31" s="2104" t="s">
        <v>1269</v>
      </c>
      <c r="B31" s="2104"/>
      <c r="C31" s="2104"/>
      <c r="E31" s="2102"/>
      <c r="F31" s="2102"/>
      <c r="G31" s="2102"/>
      <c r="H31" s="2102"/>
      <c r="I31" s="2102"/>
      <c r="J31" s="2102"/>
      <c r="K31" s="2102"/>
      <c r="L31" s="2102"/>
      <c r="M31" s="2102"/>
      <c r="N31" s="2102"/>
    </row>
    <row r="32" spans="1:14" s="2100" customFormat="1" ht="18" customHeight="1" x14ac:dyDescent="0.25">
      <c r="E32" s="2102"/>
      <c r="F32" s="2102"/>
      <c r="G32" s="2102"/>
      <c r="H32" s="2102"/>
      <c r="I32" s="2102"/>
      <c r="J32" s="2102"/>
      <c r="K32" s="2102"/>
      <c r="L32" s="2102"/>
      <c r="M32" s="2102"/>
      <c r="N32" s="2102"/>
    </row>
    <row r="33" spans="3:3" s="2092" customFormat="1" x14ac:dyDescent="0.25">
      <c r="C33" s="2105"/>
    </row>
  </sheetData>
  <mergeCells count="2">
    <mergeCell ref="B3:B8"/>
    <mergeCell ref="C3:C8"/>
  </mergeCells>
  <pageMargins left="0.75" right="0.75" top="0.75" bottom="0.75" header="0.3" footer="0"/>
  <pageSetup paperSize="9" scale="8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N329"/>
  <sheetViews>
    <sheetView topLeftCell="A40" zoomScaleNormal="100" zoomScaleSheetLayoutView="100" workbookViewId="0">
      <selection activeCell="A38" sqref="A38"/>
    </sheetView>
  </sheetViews>
  <sheetFormatPr defaultColWidth="9.140625" defaultRowHeight="20.100000000000001" customHeight="1" x14ac:dyDescent="0.25"/>
  <cols>
    <col min="1" max="1" width="18.7109375" style="2108" customWidth="1"/>
    <col min="2" max="2" width="14" style="2108" customWidth="1"/>
    <col min="3" max="3" width="11.28515625" style="2108" bestFit="1" customWidth="1"/>
    <col min="4" max="4" width="11.5703125" style="2108" bestFit="1" customWidth="1"/>
    <col min="5" max="5" width="12.42578125" style="2108" customWidth="1"/>
    <col min="6" max="7" width="14.42578125" style="2108" customWidth="1"/>
    <col min="8" max="8" width="4.5703125" style="2108" customWidth="1"/>
    <col min="9" max="9" width="9.28515625" style="2108" customWidth="1"/>
    <col min="10" max="10" width="5.85546875" style="2108" customWidth="1"/>
    <col min="11" max="11" width="7.28515625" style="2108" customWidth="1"/>
    <col min="12" max="16384" width="9.140625" style="2108"/>
  </cols>
  <sheetData>
    <row r="1" spans="1:8" ht="20.100000000000001" customHeight="1" x14ac:dyDescent="0.25">
      <c r="A1" s="2106" t="s">
        <v>1270</v>
      </c>
      <c r="B1" s="2107"/>
      <c r="C1" s="2107"/>
      <c r="D1" s="2107"/>
      <c r="E1" s="2107"/>
      <c r="F1" s="2107"/>
      <c r="G1" s="2107"/>
    </row>
    <row r="2" spans="1:8" ht="20.100000000000001" customHeight="1" thickBot="1" x14ac:dyDescent="0.3">
      <c r="A2" s="2107"/>
      <c r="H2" s="2108" t="s">
        <v>306</v>
      </c>
    </row>
    <row r="3" spans="1:8" ht="20.100000000000001" customHeight="1" thickTop="1" x14ac:dyDescent="0.25">
      <c r="A3" s="3374" t="s">
        <v>5</v>
      </c>
      <c r="B3" s="3387" t="s">
        <v>1271</v>
      </c>
      <c r="C3" s="3390" t="s">
        <v>1272</v>
      </c>
      <c r="D3" s="3390" t="s">
        <v>1273</v>
      </c>
      <c r="E3" s="3393" t="s">
        <v>1274</v>
      </c>
      <c r="H3" s="2108" t="s">
        <v>306</v>
      </c>
    </row>
    <row r="4" spans="1:8" ht="20.100000000000001" customHeight="1" x14ac:dyDescent="0.25">
      <c r="A4" s="3375"/>
      <c r="B4" s="3388"/>
      <c r="C4" s="3391"/>
      <c r="D4" s="3391"/>
      <c r="E4" s="3394"/>
    </row>
    <row r="5" spans="1:8" ht="32.25" customHeight="1" thickBot="1" x14ac:dyDescent="0.3">
      <c r="A5" s="3375"/>
      <c r="B5" s="3389"/>
      <c r="C5" s="3392"/>
      <c r="D5" s="3392"/>
      <c r="E5" s="3395"/>
    </row>
    <row r="6" spans="1:8" ht="20.100000000000001" customHeight="1" thickBot="1" x14ac:dyDescent="0.3">
      <c r="A6" s="3376"/>
      <c r="B6" s="3382" t="s">
        <v>281</v>
      </c>
      <c r="C6" s="3384"/>
      <c r="D6" s="3385" t="s">
        <v>1129</v>
      </c>
      <c r="E6" s="3386"/>
    </row>
    <row r="7" spans="1:8" ht="20.100000000000001" customHeight="1" thickTop="1" x14ac:dyDescent="0.25">
      <c r="A7" s="2109">
        <v>45170</v>
      </c>
      <c r="B7" s="2110"/>
      <c r="C7" s="2110"/>
      <c r="D7" s="2111"/>
      <c r="E7" s="2112"/>
    </row>
    <row r="8" spans="1:8" ht="20.100000000000001" customHeight="1" x14ac:dyDescent="0.25">
      <c r="A8" s="2113" t="s">
        <v>1275</v>
      </c>
      <c r="B8" s="1978">
        <v>7490</v>
      </c>
      <c r="C8" s="1978">
        <v>1248.33</v>
      </c>
      <c r="D8" s="2114">
        <v>3.1</v>
      </c>
      <c r="E8" s="2114">
        <v>3.1</v>
      </c>
      <c r="F8" s="2115"/>
      <c r="G8" s="2116"/>
    </row>
    <row r="9" spans="1:8" ht="20.100000000000001" customHeight="1" x14ac:dyDescent="0.25">
      <c r="A9" s="2113" t="s">
        <v>1276</v>
      </c>
      <c r="B9" s="1978">
        <v>12470</v>
      </c>
      <c r="C9" s="1978">
        <v>1781.43</v>
      </c>
      <c r="D9" s="2114">
        <v>3.1</v>
      </c>
      <c r="E9" s="2114">
        <v>3.1</v>
      </c>
      <c r="F9" s="2115"/>
      <c r="G9" s="2116"/>
    </row>
    <row r="10" spans="1:8" ht="20.100000000000001" customHeight="1" x14ac:dyDescent="0.25">
      <c r="A10" s="2113" t="s">
        <v>1277</v>
      </c>
      <c r="B10" s="1978">
        <v>1050</v>
      </c>
      <c r="C10" s="1978">
        <v>350</v>
      </c>
      <c r="D10" s="2114">
        <v>3.1</v>
      </c>
      <c r="E10" s="2114">
        <v>3.1</v>
      </c>
      <c r="F10" s="2115"/>
      <c r="G10" s="2116"/>
    </row>
    <row r="11" spans="1:8" ht="20.100000000000001" customHeight="1" x14ac:dyDescent="0.25">
      <c r="A11" s="2113" t="s">
        <v>1278</v>
      </c>
      <c r="B11" s="2117">
        <v>0</v>
      </c>
      <c r="C11" s="2117">
        <v>0</v>
      </c>
      <c r="D11" s="2117">
        <v>0</v>
      </c>
      <c r="E11" s="2118">
        <v>0</v>
      </c>
      <c r="F11" s="2115"/>
      <c r="G11" s="2116"/>
    </row>
    <row r="12" spans="1:8" ht="20.100000000000001" customHeight="1" x14ac:dyDescent="0.25">
      <c r="A12" s="2113" t="s">
        <v>1279</v>
      </c>
      <c r="B12" s="2117">
        <v>0</v>
      </c>
      <c r="C12" s="2117">
        <v>0</v>
      </c>
      <c r="D12" s="2117">
        <v>0</v>
      </c>
      <c r="E12" s="2118">
        <v>0</v>
      </c>
      <c r="F12" s="2115"/>
      <c r="G12" s="2116"/>
    </row>
    <row r="13" spans="1:8" ht="20.100000000000001" customHeight="1" thickBot="1" x14ac:dyDescent="0.3">
      <c r="A13" s="2119"/>
      <c r="B13" s="2120"/>
      <c r="C13" s="2120"/>
      <c r="D13" s="2121"/>
      <c r="E13" s="2122"/>
      <c r="F13" s="2115"/>
      <c r="G13" s="2116"/>
    </row>
    <row r="14" spans="1:8" ht="20.100000000000001" customHeight="1" thickTop="1" x14ac:dyDescent="0.25">
      <c r="A14" s="2123">
        <v>44927</v>
      </c>
      <c r="B14" s="1978">
        <v>2150</v>
      </c>
      <c r="C14" s="1978">
        <v>238.89</v>
      </c>
      <c r="D14" s="2124" t="s">
        <v>1280</v>
      </c>
      <c r="E14" s="2125">
        <v>4.43</v>
      </c>
    </row>
    <row r="15" spans="1:8" ht="20.100000000000001" customHeight="1" x14ac:dyDescent="0.25">
      <c r="A15" s="2123">
        <v>44958</v>
      </c>
      <c r="B15" s="1978">
        <v>1150</v>
      </c>
      <c r="C15" s="1978">
        <v>164.29</v>
      </c>
      <c r="D15" s="2124" t="s">
        <v>1281</v>
      </c>
      <c r="E15" s="2125">
        <v>4.45</v>
      </c>
    </row>
    <row r="16" spans="1:8" ht="20.100000000000001" customHeight="1" x14ac:dyDescent="0.25">
      <c r="A16" s="2123">
        <v>44986</v>
      </c>
      <c r="B16" s="1978">
        <v>2625</v>
      </c>
      <c r="C16" s="1978">
        <v>437.5</v>
      </c>
      <c r="D16" s="2124" t="s">
        <v>1282</v>
      </c>
      <c r="E16" s="2125">
        <v>4</v>
      </c>
    </row>
    <row r="17" spans="1:9" ht="20.100000000000001" customHeight="1" x14ac:dyDescent="0.25">
      <c r="A17" s="2123">
        <v>45017</v>
      </c>
      <c r="B17" s="1978">
        <v>6115</v>
      </c>
      <c r="C17" s="1978">
        <v>470.38</v>
      </c>
      <c r="D17" s="2124" t="s">
        <v>1283</v>
      </c>
      <c r="E17" s="2125">
        <v>4.3</v>
      </c>
    </row>
    <row r="18" spans="1:9" ht="20.100000000000001" customHeight="1" x14ac:dyDescent="0.25">
      <c r="A18" s="2123">
        <v>45047</v>
      </c>
      <c r="B18" s="1978">
        <v>24105</v>
      </c>
      <c r="C18" s="1978">
        <v>1506.56</v>
      </c>
      <c r="D18" s="2124" t="s">
        <v>1284</v>
      </c>
      <c r="E18" s="2125">
        <v>4.26</v>
      </c>
    </row>
    <row r="19" spans="1:9" ht="20.100000000000001" customHeight="1" x14ac:dyDescent="0.25">
      <c r="A19" s="2123">
        <v>45078</v>
      </c>
      <c r="B19" s="1978">
        <v>5880</v>
      </c>
      <c r="C19" s="1978">
        <v>534.54999999999995</v>
      </c>
      <c r="D19" s="2124" t="s">
        <v>1285</v>
      </c>
      <c r="E19" s="2125">
        <v>4.26</v>
      </c>
    </row>
    <row r="20" spans="1:9" ht="20.100000000000001" customHeight="1" x14ac:dyDescent="0.25">
      <c r="A20" s="2123">
        <v>45108</v>
      </c>
      <c r="B20" s="1978">
        <v>300</v>
      </c>
      <c r="C20" s="1978">
        <v>100</v>
      </c>
      <c r="D20" s="2124">
        <v>3.45</v>
      </c>
      <c r="E20" s="2125">
        <v>3.45</v>
      </c>
    </row>
    <row r="21" spans="1:9" ht="20.100000000000001" customHeight="1" x14ac:dyDescent="0.25">
      <c r="A21" s="2123">
        <v>45139</v>
      </c>
      <c r="B21" s="1978">
        <v>2500</v>
      </c>
      <c r="C21" s="1978">
        <v>833.3</v>
      </c>
      <c r="D21" s="2124" t="s">
        <v>1286</v>
      </c>
      <c r="E21" s="2125">
        <v>3.11</v>
      </c>
    </row>
    <row r="22" spans="1:9" ht="20.100000000000001" customHeight="1" x14ac:dyDescent="0.25">
      <c r="A22" s="2123">
        <v>45170</v>
      </c>
      <c r="B22" s="1978">
        <v>21010</v>
      </c>
      <c r="C22" s="1978">
        <v>1313.1</v>
      </c>
      <c r="D22" s="2126">
        <v>3.1</v>
      </c>
      <c r="E22" s="2125">
        <v>3.1</v>
      </c>
    </row>
    <row r="23" spans="1:9" ht="20.100000000000001" customHeight="1" thickBot="1" x14ac:dyDescent="0.3">
      <c r="A23" s="2127"/>
      <c r="B23" s="2128"/>
      <c r="C23" s="2128"/>
      <c r="D23" s="2129"/>
      <c r="E23" s="2130"/>
    </row>
    <row r="24" spans="1:9" ht="20.100000000000001" customHeight="1" thickTop="1" x14ac:dyDescent="0.25">
      <c r="A24" s="2131" t="s">
        <v>1287</v>
      </c>
      <c r="B24" s="2131"/>
      <c r="C24" s="2131"/>
      <c r="D24" s="2132"/>
      <c r="E24" s="2131"/>
      <c r="F24" s="2131"/>
      <c r="G24" s="2133"/>
      <c r="H24" s="2134"/>
      <c r="I24" s="2134"/>
    </row>
    <row r="25" spans="1:9" ht="20.100000000000001" customHeight="1" x14ac:dyDescent="0.25">
      <c r="A25" s="2131" t="s">
        <v>173</v>
      </c>
      <c r="B25" s="2131"/>
      <c r="C25" s="2131"/>
      <c r="D25" s="2131"/>
      <c r="E25" s="2131"/>
      <c r="F25" s="2131"/>
      <c r="G25" s="2133"/>
      <c r="H25" s="2134"/>
      <c r="I25" s="2134"/>
    </row>
    <row r="26" spans="1:9" ht="20.100000000000001" customHeight="1" x14ac:dyDescent="0.25">
      <c r="A26" s="2131" t="s">
        <v>0</v>
      </c>
      <c r="B26" s="2131"/>
      <c r="C26" s="2131"/>
      <c r="D26" s="2131"/>
      <c r="E26" s="2131"/>
      <c r="F26" s="2131"/>
      <c r="G26" s="2133"/>
      <c r="H26" s="2134"/>
      <c r="I26" s="2134"/>
    </row>
    <row r="28" spans="1:9" ht="20.100000000000001" customHeight="1" x14ac:dyDescent="0.25">
      <c r="A28" s="2106" t="s">
        <v>1288</v>
      </c>
      <c r="B28" s="2107"/>
      <c r="C28" s="2107"/>
      <c r="D28" s="2107"/>
      <c r="E28" s="2107"/>
      <c r="F28" s="2107"/>
      <c r="G28" s="2107"/>
    </row>
    <row r="29" spans="1:9" ht="20.100000000000001" customHeight="1" thickBot="1" x14ac:dyDescent="0.3">
      <c r="A29" s="2107"/>
      <c r="H29" s="2108" t="s">
        <v>306</v>
      </c>
    </row>
    <row r="30" spans="1:9" ht="20.100000000000001" customHeight="1" thickTop="1" x14ac:dyDescent="0.25">
      <c r="A30" s="3374" t="s">
        <v>5</v>
      </c>
      <c r="B30" s="3377" t="s">
        <v>1289</v>
      </c>
      <c r="C30" s="3315"/>
      <c r="D30" s="3378"/>
      <c r="E30" s="2135" t="s">
        <v>1290</v>
      </c>
      <c r="F30" s="2135" t="s">
        <v>1291</v>
      </c>
      <c r="G30" s="2136" t="s">
        <v>1292</v>
      </c>
      <c r="H30" s="2108" t="s">
        <v>306</v>
      </c>
    </row>
    <row r="31" spans="1:9" ht="20.100000000000001" customHeight="1" thickBot="1" x14ac:dyDescent="0.3">
      <c r="A31" s="3375"/>
      <c r="B31" s="3379"/>
      <c r="C31" s="3380"/>
      <c r="D31" s="3381"/>
      <c r="E31" s="1287" t="s">
        <v>1293</v>
      </c>
      <c r="F31" s="1287" t="s">
        <v>1294</v>
      </c>
      <c r="G31" s="1289" t="s">
        <v>1295</v>
      </c>
    </row>
    <row r="32" spans="1:9" ht="20.100000000000001" customHeight="1" thickBot="1" x14ac:dyDescent="0.3">
      <c r="A32" s="3375"/>
      <c r="B32" s="2137" t="s">
        <v>1296</v>
      </c>
      <c r="C32" s="2138" t="s">
        <v>1297</v>
      </c>
      <c r="D32" s="2139" t="s">
        <v>176</v>
      </c>
      <c r="E32" s="1292"/>
      <c r="F32" s="1292" t="s">
        <v>1298</v>
      </c>
      <c r="G32" s="1294" t="s">
        <v>1299</v>
      </c>
    </row>
    <row r="33" spans="1:13" ht="20.100000000000001" customHeight="1" thickBot="1" x14ac:dyDescent="0.3">
      <c r="A33" s="3376"/>
      <c r="B33" s="3382" t="s">
        <v>281</v>
      </c>
      <c r="C33" s="3383"/>
      <c r="D33" s="3383"/>
      <c r="E33" s="3384"/>
      <c r="F33" s="3385" t="s">
        <v>1129</v>
      </c>
      <c r="G33" s="3386"/>
    </row>
    <row r="34" spans="1:13" ht="20.100000000000001" customHeight="1" thickTop="1" x14ac:dyDescent="0.25">
      <c r="A34" s="2109">
        <v>45170</v>
      </c>
      <c r="B34" s="2140"/>
      <c r="C34" s="2110"/>
      <c r="D34" s="2110"/>
      <c r="E34" s="2110"/>
      <c r="F34" s="2111"/>
      <c r="G34" s="2112"/>
    </row>
    <row r="35" spans="1:13" ht="17.25" x14ac:dyDescent="0.25">
      <c r="A35" s="2113" t="s">
        <v>1275</v>
      </c>
      <c r="B35" s="2141">
        <v>500</v>
      </c>
      <c r="C35" s="1978">
        <v>1750</v>
      </c>
      <c r="D35" s="1978">
        <v>7490</v>
      </c>
      <c r="E35" s="1978">
        <v>1248.3333333333333</v>
      </c>
      <c r="F35" s="2114">
        <v>3.1</v>
      </c>
      <c r="G35" s="2142">
        <v>3.1</v>
      </c>
      <c r="H35" s="2115"/>
      <c r="I35" s="2116"/>
      <c r="J35" s="2116"/>
      <c r="K35" s="2116"/>
      <c r="M35" s="2143"/>
    </row>
    <row r="36" spans="1:13" ht="17.25" x14ac:dyDescent="0.25">
      <c r="A36" s="2113" t="s">
        <v>1276</v>
      </c>
      <c r="B36" s="2141">
        <v>1350</v>
      </c>
      <c r="C36" s="1978">
        <v>2190</v>
      </c>
      <c r="D36" s="1978">
        <v>12470</v>
      </c>
      <c r="E36" s="1978">
        <v>1781.4285714285713</v>
      </c>
      <c r="F36" s="2114">
        <v>3.1</v>
      </c>
      <c r="G36" s="2142">
        <v>3.1</v>
      </c>
      <c r="H36" s="2115"/>
      <c r="I36" s="2116"/>
      <c r="J36" s="2116"/>
      <c r="K36" s="2116"/>
      <c r="M36" s="2143"/>
    </row>
    <row r="37" spans="1:13" ht="17.25" x14ac:dyDescent="0.25">
      <c r="A37" s="2113" t="s">
        <v>1277</v>
      </c>
      <c r="B37" s="2141">
        <v>350</v>
      </c>
      <c r="C37" s="1978">
        <v>350</v>
      </c>
      <c r="D37" s="1978">
        <v>1050</v>
      </c>
      <c r="E37" s="1978">
        <v>350</v>
      </c>
      <c r="F37" s="2114">
        <v>3.1</v>
      </c>
      <c r="G37" s="2142">
        <v>3.1</v>
      </c>
      <c r="H37" s="2115"/>
      <c r="I37" s="2116"/>
      <c r="J37" s="2116"/>
      <c r="K37" s="2116"/>
      <c r="M37" s="2143"/>
    </row>
    <row r="38" spans="1:13" ht="17.25" x14ac:dyDescent="0.25">
      <c r="A38" s="2113" t="s">
        <v>1278</v>
      </c>
      <c r="B38" s="2141" t="s">
        <v>1014</v>
      </c>
      <c r="C38" s="1978" t="s">
        <v>1014</v>
      </c>
      <c r="D38" s="1978" t="s">
        <v>1014</v>
      </c>
      <c r="E38" s="1978" t="s">
        <v>1014</v>
      </c>
      <c r="F38" s="2114" t="s">
        <v>1014</v>
      </c>
      <c r="G38" s="2142" t="s">
        <v>1014</v>
      </c>
      <c r="H38" s="2115"/>
      <c r="I38" s="2116"/>
      <c r="J38" s="2116"/>
      <c r="K38" s="2116"/>
      <c r="M38" s="2143"/>
    </row>
    <row r="39" spans="1:13" ht="17.25" x14ac:dyDescent="0.25">
      <c r="A39" s="2113" t="s">
        <v>1279</v>
      </c>
      <c r="B39" s="2141" t="s">
        <v>1014</v>
      </c>
      <c r="C39" s="1978" t="s">
        <v>1014</v>
      </c>
      <c r="D39" s="1978" t="s">
        <v>1014</v>
      </c>
      <c r="E39" s="1978" t="s">
        <v>1014</v>
      </c>
      <c r="F39" s="2114" t="s">
        <v>1014</v>
      </c>
      <c r="G39" s="2142" t="s">
        <v>1014</v>
      </c>
      <c r="H39" s="2115"/>
      <c r="I39" s="2116"/>
      <c r="J39" s="2116"/>
      <c r="K39" s="2116"/>
      <c r="M39" s="2143"/>
    </row>
    <row r="40" spans="1:13" ht="12.75" customHeight="1" thickBot="1" x14ac:dyDescent="0.3">
      <c r="A40" s="2119"/>
      <c r="B40" s="2144"/>
      <c r="C40" s="2120"/>
      <c r="D40" s="2120"/>
      <c r="E40" s="2120"/>
      <c r="F40" s="2121"/>
      <c r="G40" s="2122"/>
      <c r="H40" s="2115"/>
      <c r="I40" s="2116"/>
      <c r="J40" s="2116"/>
      <c r="K40" s="2116"/>
      <c r="M40" s="2143"/>
    </row>
    <row r="41" spans="1:13" ht="20.100000000000001" hidden="1" customHeight="1" thickTop="1" x14ac:dyDescent="0.25">
      <c r="A41" s="2123"/>
      <c r="B41" s="2145"/>
      <c r="C41" s="2146"/>
      <c r="D41" s="2146"/>
      <c r="E41" s="2146"/>
      <c r="F41" s="2147"/>
      <c r="G41" s="2148"/>
      <c r="H41" s="2149"/>
      <c r="J41" s="2107"/>
      <c r="L41" s="2107"/>
      <c r="M41" s="2143"/>
    </row>
    <row r="42" spans="1:13" ht="20.100000000000001" hidden="1" customHeight="1" x14ac:dyDescent="0.25">
      <c r="A42" s="2150">
        <v>36312</v>
      </c>
      <c r="B42" s="2145">
        <v>10</v>
      </c>
      <c r="C42" s="2146">
        <v>230</v>
      </c>
      <c r="D42" s="2146">
        <v>2385</v>
      </c>
      <c r="E42" s="2146">
        <v>80</v>
      </c>
      <c r="F42" s="2147" t="s">
        <v>1300</v>
      </c>
      <c r="G42" s="2148">
        <v>9.9600000000000009</v>
      </c>
      <c r="H42" s="2149"/>
    </row>
    <row r="43" spans="1:13" ht="20.100000000000001" hidden="1" customHeight="1" x14ac:dyDescent="0.25">
      <c r="A43" s="2150">
        <v>36404</v>
      </c>
      <c r="B43" s="2145">
        <v>10</v>
      </c>
      <c r="C43" s="2146">
        <v>120</v>
      </c>
      <c r="D43" s="2146">
        <v>1223</v>
      </c>
      <c r="E43" s="2146">
        <v>52.96</v>
      </c>
      <c r="F43" s="2147" t="s">
        <v>1301</v>
      </c>
      <c r="G43" s="2148">
        <v>9.5630000000000006</v>
      </c>
      <c r="H43" s="2149"/>
    </row>
    <row r="44" spans="1:13" ht="20.100000000000001" hidden="1" customHeight="1" thickBot="1" x14ac:dyDescent="0.3">
      <c r="A44" s="2150">
        <v>36495</v>
      </c>
      <c r="B44" s="2145">
        <v>85</v>
      </c>
      <c r="C44" s="2146">
        <v>500</v>
      </c>
      <c r="D44" s="2146">
        <v>6285</v>
      </c>
      <c r="E44" s="2146">
        <v>273</v>
      </c>
      <c r="F44" s="2147" t="s">
        <v>1302</v>
      </c>
      <c r="G44" s="2148">
        <v>9.67</v>
      </c>
      <c r="H44" s="2149"/>
    </row>
    <row r="45" spans="1:13" ht="20.100000000000001" hidden="1" customHeight="1" thickTop="1" x14ac:dyDescent="0.25">
      <c r="A45" s="2151">
        <v>36586</v>
      </c>
      <c r="B45" s="2145">
        <v>10</v>
      </c>
      <c r="C45" s="2146">
        <v>255</v>
      </c>
      <c r="D45" s="2146">
        <v>3163.2</v>
      </c>
      <c r="E45" s="2146">
        <v>102</v>
      </c>
      <c r="F45" s="2147" t="s">
        <v>1303</v>
      </c>
      <c r="G45" s="2148">
        <v>9.1199999999999992</v>
      </c>
      <c r="H45" s="2149"/>
    </row>
    <row r="46" spans="1:13" ht="20.100000000000001" hidden="1" customHeight="1" x14ac:dyDescent="0.25">
      <c r="A46" s="2150">
        <v>36678</v>
      </c>
      <c r="B46" s="2145">
        <v>20</v>
      </c>
      <c r="C46" s="2146">
        <v>600</v>
      </c>
      <c r="D46" s="2146">
        <v>3421</v>
      </c>
      <c r="E46" s="2146">
        <v>118</v>
      </c>
      <c r="F46" s="2147" t="s">
        <v>1304</v>
      </c>
      <c r="G46" s="2148">
        <v>7.27</v>
      </c>
      <c r="H46" s="2149"/>
    </row>
    <row r="47" spans="1:13" ht="20.100000000000001" hidden="1" customHeight="1" x14ac:dyDescent="0.25">
      <c r="A47" s="2150">
        <v>36708</v>
      </c>
      <c r="B47" s="2145">
        <v>10</v>
      </c>
      <c r="C47" s="2146">
        <v>830</v>
      </c>
      <c r="D47" s="2146">
        <v>6813</v>
      </c>
      <c r="E47" s="2146">
        <v>243</v>
      </c>
      <c r="F47" s="2147" t="s">
        <v>1305</v>
      </c>
      <c r="G47" s="2148">
        <v>7.46</v>
      </c>
      <c r="H47" s="2149"/>
    </row>
    <row r="48" spans="1:13" ht="20.100000000000001" hidden="1" customHeight="1" x14ac:dyDescent="0.25">
      <c r="A48" s="2150">
        <v>36739</v>
      </c>
      <c r="B48" s="2145">
        <v>25</v>
      </c>
      <c r="C48" s="2146">
        <v>460</v>
      </c>
      <c r="D48" s="2152">
        <v>6528</v>
      </c>
      <c r="E48" s="2152">
        <v>211</v>
      </c>
      <c r="F48" s="2152" t="s">
        <v>1306</v>
      </c>
      <c r="G48" s="2153">
        <v>7.03</v>
      </c>
      <c r="H48" s="2149"/>
    </row>
    <row r="49" spans="1:8" ht="20.100000000000001" hidden="1" customHeight="1" x14ac:dyDescent="0.25">
      <c r="A49" s="2150">
        <v>36770</v>
      </c>
      <c r="B49" s="2145">
        <v>30</v>
      </c>
      <c r="C49" s="2146">
        <v>168</v>
      </c>
      <c r="D49" s="2146">
        <v>2859</v>
      </c>
      <c r="E49" s="2146">
        <v>95</v>
      </c>
      <c r="F49" s="2147" t="s">
        <v>1307</v>
      </c>
      <c r="G49" s="2148">
        <v>7.13</v>
      </c>
      <c r="H49" s="2149"/>
    </row>
    <row r="50" spans="1:8" ht="20.100000000000001" hidden="1" customHeight="1" x14ac:dyDescent="0.25">
      <c r="A50" s="2150">
        <v>36800</v>
      </c>
      <c r="B50" s="2145">
        <v>30</v>
      </c>
      <c r="C50" s="2146">
        <v>270</v>
      </c>
      <c r="D50" s="2146">
        <v>3581</v>
      </c>
      <c r="E50" s="2146">
        <v>138</v>
      </c>
      <c r="F50" s="2147" t="s">
        <v>1308</v>
      </c>
      <c r="G50" s="2148">
        <v>7.48</v>
      </c>
      <c r="H50" s="2149"/>
    </row>
    <row r="51" spans="1:8" ht="20.100000000000001" hidden="1" customHeight="1" x14ac:dyDescent="0.25">
      <c r="A51" s="2150">
        <v>36831</v>
      </c>
      <c r="B51" s="2145">
        <v>40</v>
      </c>
      <c r="C51" s="2146">
        <v>201</v>
      </c>
      <c r="D51" s="2146">
        <v>2859</v>
      </c>
      <c r="E51" s="2146">
        <v>95</v>
      </c>
      <c r="F51" s="2147" t="s">
        <v>1309</v>
      </c>
      <c r="G51" s="2148">
        <v>7.98</v>
      </c>
      <c r="H51" s="2149"/>
    </row>
    <row r="52" spans="1:8" ht="20.100000000000001" hidden="1" customHeight="1" x14ac:dyDescent="0.25">
      <c r="A52" s="2150">
        <v>36861</v>
      </c>
      <c r="B52" s="2145">
        <v>16</v>
      </c>
      <c r="C52" s="2146">
        <v>398</v>
      </c>
      <c r="D52" s="2146">
        <v>5734</v>
      </c>
      <c r="E52" s="2146">
        <v>185</v>
      </c>
      <c r="F52" s="2147" t="s">
        <v>1310</v>
      </c>
      <c r="G52" s="2148">
        <v>7.96</v>
      </c>
      <c r="H52" s="2149"/>
    </row>
    <row r="53" spans="1:8" ht="20.100000000000001" hidden="1" customHeight="1" x14ac:dyDescent="0.25">
      <c r="A53" s="2150">
        <v>36892</v>
      </c>
      <c r="B53" s="2145">
        <v>10</v>
      </c>
      <c r="C53" s="2146">
        <v>590</v>
      </c>
      <c r="D53" s="2146">
        <v>4252</v>
      </c>
      <c r="E53" s="2146">
        <v>185</v>
      </c>
      <c r="F53" s="2147" t="s">
        <v>1311</v>
      </c>
      <c r="G53" s="2148">
        <v>6.8</v>
      </c>
      <c r="H53" s="2149"/>
    </row>
    <row r="54" spans="1:8" ht="20.100000000000001" hidden="1" customHeight="1" x14ac:dyDescent="0.25">
      <c r="A54" s="2150">
        <v>36923</v>
      </c>
      <c r="B54" s="2145">
        <v>30</v>
      </c>
      <c r="C54" s="2146">
        <v>594</v>
      </c>
      <c r="D54" s="2146">
        <v>4815</v>
      </c>
      <c r="E54" s="2146">
        <v>172</v>
      </c>
      <c r="F54" s="2147" t="s">
        <v>1312</v>
      </c>
      <c r="G54" s="2148">
        <v>7.2584999999999997</v>
      </c>
      <c r="H54" s="2149"/>
    </row>
    <row r="55" spans="1:8" ht="20.100000000000001" hidden="1" customHeight="1" x14ac:dyDescent="0.25">
      <c r="A55" s="2150">
        <v>36951</v>
      </c>
      <c r="B55" s="2145">
        <v>40</v>
      </c>
      <c r="C55" s="2146">
        <v>410</v>
      </c>
      <c r="D55" s="2146">
        <v>4583</v>
      </c>
      <c r="E55" s="2146">
        <v>148</v>
      </c>
      <c r="F55" s="2147" t="s">
        <v>1313</v>
      </c>
      <c r="G55" s="2148">
        <v>7.5</v>
      </c>
      <c r="H55" s="2149"/>
    </row>
    <row r="56" spans="1:8" ht="20.100000000000001" hidden="1" customHeight="1" x14ac:dyDescent="0.25">
      <c r="A56" s="2150">
        <v>36982</v>
      </c>
      <c r="B56" s="2145">
        <v>50</v>
      </c>
      <c r="C56" s="2146">
        <v>560</v>
      </c>
      <c r="D56" s="2146">
        <v>8724</v>
      </c>
      <c r="E56" s="2146">
        <v>291</v>
      </c>
      <c r="F56" s="2147" t="s">
        <v>1314</v>
      </c>
      <c r="G56" s="2148">
        <v>7.8</v>
      </c>
      <c r="H56" s="2149"/>
    </row>
    <row r="57" spans="1:8" ht="20.100000000000001" hidden="1" customHeight="1" x14ac:dyDescent="0.25">
      <c r="A57" s="2150">
        <v>37012</v>
      </c>
      <c r="B57" s="2145">
        <v>80</v>
      </c>
      <c r="C57" s="2146">
        <v>435</v>
      </c>
      <c r="D57" s="2146">
        <v>5942</v>
      </c>
      <c r="E57" s="2146">
        <v>192</v>
      </c>
      <c r="F57" s="2147" t="s">
        <v>1315</v>
      </c>
      <c r="G57" s="2148">
        <v>8.43</v>
      </c>
      <c r="H57" s="2149"/>
    </row>
    <row r="58" spans="1:8" ht="20.100000000000001" hidden="1" customHeight="1" x14ac:dyDescent="0.25">
      <c r="A58" s="2150">
        <v>37043</v>
      </c>
      <c r="B58" s="2145">
        <v>10</v>
      </c>
      <c r="C58" s="2146">
        <v>570</v>
      </c>
      <c r="D58" s="2146">
        <v>5355</v>
      </c>
      <c r="E58" s="2146">
        <v>178.5</v>
      </c>
      <c r="F58" s="2147" t="s">
        <v>1316</v>
      </c>
      <c r="G58" s="2148">
        <v>7.29</v>
      </c>
      <c r="H58" s="2149"/>
    </row>
    <row r="59" spans="1:8" ht="20.100000000000001" hidden="1" customHeight="1" x14ac:dyDescent="0.25">
      <c r="A59" s="2150">
        <v>37073</v>
      </c>
      <c r="B59" s="2145">
        <v>50</v>
      </c>
      <c r="C59" s="2146">
        <v>570</v>
      </c>
      <c r="D59" s="2146">
        <v>6170</v>
      </c>
      <c r="E59" s="2146">
        <v>199</v>
      </c>
      <c r="F59" s="2147" t="s">
        <v>1307</v>
      </c>
      <c r="G59" s="2148">
        <v>7.18</v>
      </c>
      <c r="H59" s="2149"/>
    </row>
    <row r="60" spans="1:8" ht="20.100000000000001" hidden="1" customHeight="1" x14ac:dyDescent="0.25">
      <c r="A60" s="2150">
        <v>37104</v>
      </c>
      <c r="B60" s="2145">
        <v>35</v>
      </c>
      <c r="C60" s="2146">
        <v>482</v>
      </c>
      <c r="D60" s="2146">
        <v>4954</v>
      </c>
      <c r="E60" s="2146">
        <v>160</v>
      </c>
      <c r="F60" s="2147" t="s">
        <v>1317</v>
      </c>
      <c r="G60" s="2148">
        <v>7.28</v>
      </c>
      <c r="H60" s="2149"/>
    </row>
    <row r="61" spans="1:8" ht="20.100000000000001" hidden="1" customHeight="1" x14ac:dyDescent="0.25">
      <c r="A61" s="2150">
        <v>37135</v>
      </c>
      <c r="B61" s="2145">
        <v>3</v>
      </c>
      <c r="C61" s="2146">
        <v>333</v>
      </c>
      <c r="D61" s="2146">
        <v>4828</v>
      </c>
      <c r="E61" s="2146">
        <v>161</v>
      </c>
      <c r="F61" s="2147" t="s">
        <v>1318</v>
      </c>
      <c r="G61" s="2148">
        <v>7.13</v>
      </c>
      <c r="H61" s="2149"/>
    </row>
    <row r="62" spans="1:8" ht="20.100000000000001" hidden="1" customHeight="1" x14ac:dyDescent="0.25">
      <c r="A62" s="2150">
        <v>37165</v>
      </c>
      <c r="B62" s="2145">
        <v>115</v>
      </c>
      <c r="C62" s="2146">
        <v>615</v>
      </c>
      <c r="D62" s="2146">
        <v>9010</v>
      </c>
      <c r="E62" s="2146">
        <v>291</v>
      </c>
      <c r="F62" s="2147" t="s">
        <v>1319</v>
      </c>
      <c r="G62" s="2148">
        <v>7.12</v>
      </c>
      <c r="H62" s="2149"/>
    </row>
    <row r="63" spans="1:8" ht="20.100000000000001" hidden="1" customHeight="1" x14ac:dyDescent="0.25">
      <c r="A63" s="2150">
        <v>37196</v>
      </c>
      <c r="B63" s="2145">
        <v>50</v>
      </c>
      <c r="C63" s="2146">
        <v>720</v>
      </c>
      <c r="D63" s="2146">
        <v>7487</v>
      </c>
      <c r="E63" s="2146">
        <v>267</v>
      </c>
      <c r="F63" s="2147" t="s">
        <v>1320</v>
      </c>
      <c r="G63" s="2148">
        <v>6.86</v>
      </c>
      <c r="H63" s="2149"/>
    </row>
    <row r="64" spans="1:8" ht="20.100000000000001" hidden="1" customHeight="1" x14ac:dyDescent="0.25">
      <c r="A64" s="2150">
        <v>37226</v>
      </c>
      <c r="B64" s="2145">
        <v>30</v>
      </c>
      <c r="C64" s="2146">
        <v>895</v>
      </c>
      <c r="D64" s="2146">
        <v>9060</v>
      </c>
      <c r="E64" s="2146">
        <v>292</v>
      </c>
      <c r="F64" s="2147" t="s">
        <v>1321</v>
      </c>
      <c r="G64" s="2148">
        <v>6.95</v>
      </c>
      <c r="H64" s="2149"/>
    </row>
    <row r="65" spans="1:8" ht="20.100000000000001" hidden="1" customHeight="1" x14ac:dyDescent="0.25">
      <c r="A65" s="2150">
        <v>37257</v>
      </c>
      <c r="B65" s="2145">
        <v>5</v>
      </c>
      <c r="C65" s="2146">
        <v>310</v>
      </c>
      <c r="D65" s="2146">
        <v>3355</v>
      </c>
      <c r="E65" s="2146">
        <v>116</v>
      </c>
      <c r="F65" s="2147" t="s">
        <v>1322</v>
      </c>
      <c r="G65" s="2148">
        <v>6.69</v>
      </c>
      <c r="H65" s="2149"/>
    </row>
    <row r="66" spans="1:8" ht="20.100000000000001" hidden="1" customHeight="1" x14ac:dyDescent="0.25">
      <c r="A66" s="2150">
        <v>37288</v>
      </c>
      <c r="B66" s="2145">
        <v>10</v>
      </c>
      <c r="C66" s="2146">
        <v>640</v>
      </c>
      <c r="D66" s="2146">
        <v>6100</v>
      </c>
      <c r="E66" s="2146">
        <v>218</v>
      </c>
      <c r="F66" s="2147" t="s">
        <v>1323</v>
      </c>
      <c r="G66" s="2148">
        <v>6.22</v>
      </c>
      <c r="H66" s="2149"/>
    </row>
    <row r="67" spans="1:8" ht="20.100000000000001" hidden="1" customHeight="1" x14ac:dyDescent="0.25">
      <c r="A67" s="2150">
        <v>37316</v>
      </c>
      <c r="B67" s="2145">
        <v>5</v>
      </c>
      <c r="C67" s="2146">
        <v>418</v>
      </c>
      <c r="D67" s="2146">
        <v>7338</v>
      </c>
      <c r="E67" s="2146">
        <v>237</v>
      </c>
      <c r="F67" s="2147" t="s">
        <v>1324</v>
      </c>
      <c r="G67" s="2148">
        <v>6.63</v>
      </c>
      <c r="H67" s="2149"/>
    </row>
    <row r="68" spans="1:8" ht="20.100000000000001" hidden="1" customHeight="1" x14ac:dyDescent="0.25">
      <c r="A68" s="2150">
        <v>37347</v>
      </c>
      <c r="B68" s="2145">
        <v>70</v>
      </c>
      <c r="C68" s="2146">
        <v>310</v>
      </c>
      <c r="D68" s="2146">
        <v>5516</v>
      </c>
      <c r="E68" s="2146">
        <v>184</v>
      </c>
      <c r="F68" s="2147" t="s">
        <v>1325</v>
      </c>
      <c r="G68" s="2148">
        <v>6.74</v>
      </c>
      <c r="H68" s="2149"/>
    </row>
    <row r="69" spans="1:8" ht="20.100000000000001" hidden="1" customHeight="1" x14ac:dyDescent="0.25">
      <c r="A69" s="2150">
        <v>37377</v>
      </c>
      <c r="B69" s="2145">
        <v>30</v>
      </c>
      <c r="C69" s="2146">
        <v>330</v>
      </c>
      <c r="D69" s="2146">
        <v>4300</v>
      </c>
      <c r="E69" s="2146">
        <v>143</v>
      </c>
      <c r="F69" s="2147" t="s">
        <v>1326</v>
      </c>
      <c r="G69" s="2148">
        <v>6.43</v>
      </c>
      <c r="H69" s="2149"/>
    </row>
    <row r="70" spans="1:8" ht="20.100000000000001" hidden="1" customHeight="1" x14ac:dyDescent="0.25">
      <c r="A70" s="2150">
        <v>37408</v>
      </c>
      <c r="B70" s="2145">
        <v>10</v>
      </c>
      <c r="C70" s="2146">
        <v>390</v>
      </c>
      <c r="D70" s="2146">
        <v>2970</v>
      </c>
      <c r="E70" s="2146">
        <v>149</v>
      </c>
      <c r="F70" s="2147" t="s">
        <v>1327</v>
      </c>
      <c r="G70" s="2148">
        <v>6.5</v>
      </c>
      <c r="H70" s="2149"/>
    </row>
    <row r="71" spans="1:8" ht="20.100000000000001" hidden="1" customHeight="1" x14ac:dyDescent="0.25">
      <c r="A71" s="2150">
        <v>37438</v>
      </c>
      <c r="B71" s="2145">
        <v>10</v>
      </c>
      <c r="C71" s="2146">
        <v>735</v>
      </c>
      <c r="D71" s="2146">
        <v>7661</v>
      </c>
      <c r="E71" s="2146">
        <v>255</v>
      </c>
      <c r="F71" s="2147" t="s">
        <v>1328</v>
      </c>
      <c r="G71" s="2148">
        <v>5.73</v>
      </c>
      <c r="H71" s="2149"/>
    </row>
    <row r="72" spans="1:8" ht="20.100000000000001" hidden="1" customHeight="1" x14ac:dyDescent="0.25">
      <c r="A72" s="2150">
        <v>37469</v>
      </c>
      <c r="B72" s="2145">
        <v>10</v>
      </c>
      <c r="C72" s="2146">
        <v>455</v>
      </c>
      <c r="D72" s="2146">
        <v>8185</v>
      </c>
      <c r="E72" s="2146">
        <v>264</v>
      </c>
      <c r="F72" s="2147" t="s">
        <v>1329</v>
      </c>
      <c r="G72" s="2148">
        <v>7.37</v>
      </c>
    </row>
    <row r="73" spans="1:8" ht="20.100000000000001" hidden="1" customHeight="1" x14ac:dyDescent="0.25">
      <c r="A73" s="2150">
        <v>37500</v>
      </c>
      <c r="B73" s="2145">
        <v>205</v>
      </c>
      <c r="C73" s="2146">
        <v>627</v>
      </c>
      <c r="D73" s="2146">
        <v>9421</v>
      </c>
      <c r="E73" s="2146">
        <v>314</v>
      </c>
      <c r="F73" s="2147" t="s">
        <v>1330</v>
      </c>
      <c r="G73" s="2148">
        <v>7.74</v>
      </c>
    </row>
    <row r="74" spans="1:8" ht="20.100000000000001" hidden="1" customHeight="1" x14ac:dyDescent="0.25">
      <c r="A74" s="2150">
        <v>37530</v>
      </c>
      <c r="B74" s="2145">
        <v>250</v>
      </c>
      <c r="C74" s="2146">
        <v>812</v>
      </c>
      <c r="D74" s="2146">
        <v>17979</v>
      </c>
      <c r="E74" s="2146">
        <v>580</v>
      </c>
      <c r="F74" s="2147" t="s">
        <v>1329</v>
      </c>
      <c r="G74" s="2148">
        <v>7.67</v>
      </c>
    </row>
    <row r="75" spans="1:8" ht="20.100000000000001" hidden="1" customHeight="1" x14ac:dyDescent="0.25">
      <c r="A75" s="2150">
        <v>37561</v>
      </c>
      <c r="B75" s="2145">
        <v>20</v>
      </c>
      <c r="C75" s="2146">
        <v>695</v>
      </c>
      <c r="D75" s="2146">
        <v>6205</v>
      </c>
      <c r="E75" s="2146">
        <v>270</v>
      </c>
      <c r="F75" s="2147" t="s">
        <v>1330</v>
      </c>
      <c r="G75" s="2148">
        <v>7.42</v>
      </c>
    </row>
    <row r="76" spans="1:8" ht="20.100000000000001" hidden="1" customHeight="1" x14ac:dyDescent="0.25">
      <c r="A76" s="2150">
        <v>37591</v>
      </c>
      <c r="B76" s="2145">
        <v>10</v>
      </c>
      <c r="C76" s="2146">
        <v>235</v>
      </c>
      <c r="D76" s="2146">
        <v>2869</v>
      </c>
      <c r="E76" s="2146">
        <v>125</v>
      </c>
      <c r="F76" s="2147" t="s">
        <v>1331</v>
      </c>
      <c r="G76" s="2148">
        <v>4.92</v>
      </c>
    </row>
    <row r="77" spans="1:8" ht="20.100000000000001" hidden="1" customHeight="1" x14ac:dyDescent="0.25">
      <c r="A77" s="2150">
        <v>37622</v>
      </c>
      <c r="B77" s="2145">
        <v>90</v>
      </c>
      <c r="C77" s="2146">
        <v>425</v>
      </c>
      <c r="D77" s="2146">
        <v>4318</v>
      </c>
      <c r="E77" s="2146">
        <v>254</v>
      </c>
      <c r="F77" s="2147" t="s">
        <v>1332</v>
      </c>
      <c r="G77" s="2148">
        <v>3.72</v>
      </c>
    </row>
    <row r="78" spans="1:8" ht="20.100000000000001" hidden="1" customHeight="1" x14ac:dyDescent="0.25">
      <c r="A78" s="2150">
        <v>37653</v>
      </c>
      <c r="B78" s="2145">
        <v>15</v>
      </c>
      <c r="C78" s="2146">
        <v>545</v>
      </c>
      <c r="D78" s="2146">
        <v>6869</v>
      </c>
      <c r="E78" s="2146">
        <v>275</v>
      </c>
      <c r="F78" s="2147" t="s">
        <v>1333</v>
      </c>
      <c r="G78" s="2148">
        <v>4.75</v>
      </c>
    </row>
    <row r="79" spans="1:8" ht="20.100000000000001" hidden="1" customHeight="1" x14ac:dyDescent="0.25">
      <c r="A79" s="2150">
        <v>37681</v>
      </c>
      <c r="B79" s="2145">
        <v>30</v>
      </c>
      <c r="C79" s="2146">
        <v>200</v>
      </c>
      <c r="D79" s="2146">
        <v>2485</v>
      </c>
      <c r="E79" s="2146">
        <v>124</v>
      </c>
      <c r="F79" s="2147" t="s">
        <v>1334</v>
      </c>
      <c r="G79" s="2148">
        <v>3.64</v>
      </c>
    </row>
    <row r="80" spans="1:8" ht="20.100000000000001" hidden="1" customHeight="1" x14ac:dyDescent="0.25">
      <c r="A80" s="2150">
        <v>37712</v>
      </c>
      <c r="B80" s="2145">
        <v>5</v>
      </c>
      <c r="C80" s="2146">
        <v>530</v>
      </c>
      <c r="D80" s="2146">
        <v>4181</v>
      </c>
      <c r="E80" s="2146">
        <v>144</v>
      </c>
      <c r="F80" s="2147" t="s">
        <v>1335</v>
      </c>
      <c r="G80" s="2148">
        <v>3.66</v>
      </c>
    </row>
    <row r="81" spans="1:7" ht="20.100000000000001" hidden="1" customHeight="1" x14ac:dyDescent="0.25">
      <c r="A81" s="2150">
        <v>37742</v>
      </c>
      <c r="B81" s="2145">
        <v>10</v>
      </c>
      <c r="C81" s="2146">
        <v>565</v>
      </c>
      <c r="D81" s="2146">
        <v>6318</v>
      </c>
      <c r="E81" s="2146">
        <v>218</v>
      </c>
      <c r="F81" s="2147" t="s">
        <v>1336</v>
      </c>
      <c r="G81" s="2148">
        <v>4.12</v>
      </c>
    </row>
    <row r="82" spans="1:7" ht="20.100000000000001" hidden="1" customHeight="1" x14ac:dyDescent="0.25">
      <c r="A82" s="2150">
        <v>37773</v>
      </c>
      <c r="B82" s="2145">
        <v>28</v>
      </c>
      <c r="C82" s="2146">
        <v>275</v>
      </c>
      <c r="D82" s="2146">
        <v>2768</v>
      </c>
      <c r="E82" s="2146">
        <v>115</v>
      </c>
      <c r="F82" s="2147" t="s">
        <v>1333</v>
      </c>
      <c r="G82" s="2148">
        <v>4.45</v>
      </c>
    </row>
    <row r="83" spans="1:7" ht="20.100000000000001" hidden="1" customHeight="1" x14ac:dyDescent="0.25">
      <c r="A83" s="2150">
        <v>37803</v>
      </c>
      <c r="B83" s="2145">
        <v>20</v>
      </c>
      <c r="C83" s="2146">
        <v>975</v>
      </c>
      <c r="D83" s="2146">
        <v>12795</v>
      </c>
      <c r="E83" s="2146">
        <v>413</v>
      </c>
      <c r="F83" s="2147" t="s">
        <v>1337</v>
      </c>
      <c r="G83" s="2148">
        <v>4.08</v>
      </c>
    </row>
    <row r="84" spans="1:7" ht="20.100000000000001" hidden="1" customHeight="1" x14ac:dyDescent="0.25">
      <c r="A84" s="2150">
        <v>37834</v>
      </c>
      <c r="B84" s="2145">
        <v>110</v>
      </c>
      <c r="C84" s="2146">
        <v>595</v>
      </c>
      <c r="D84" s="2146">
        <v>5646</v>
      </c>
      <c r="E84" s="2146">
        <v>268.85000000000002</v>
      </c>
      <c r="F84" s="2147" t="s">
        <v>1338</v>
      </c>
      <c r="G84" s="2148">
        <v>3.89</v>
      </c>
    </row>
    <row r="85" spans="1:7" ht="20.100000000000001" hidden="1" customHeight="1" x14ac:dyDescent="0.25">
      <c r="A85" s="2150">
        <v>37865</v>
      </c>
      <c r="B85" s="2145">
        <v>20</v>
      </c>
      <c r="C85" s="2146">
        <v>130</v>
      </c>
      <c r="D85" s="2146">
        <v>668</v>
      </c>
      <c r="E85" s="2146">
        <v>67</v>
      </c>
      <c r="F85" s="2147" t="s">
        <v>1339</v>
      </c>
      <c r="G85" s="2148">
        <v>2.78</v>
      </c>
    </row>
    <row r="86" spans="1:7" ht="20.100000000000001" hidden="1" customHeight="1" x14ac:dyDescent="0.25">
      <c r="A86" s="2150">
        <v>37895</v>
      </c>
      <c r="B86" s="2145">
        <v>10</v>
      </c>
      <c r="C86" s="2146">
        <v>552</v>
      </c>
      <c r="D86" s="2146">
        <v>3155</v>
      </c>
      <c r="E86" s="2146">
        <v>186</v>
      </c>
      <c r="F86" s="2147" t="s">
        <v>1340</v>
      </c>
      <c r="G86" s="2148">
        <v>1.96</v>
      </c>
    </row>
    <row r="87" spans="1:7" ht="20.100000000000001" hidden="1" customHeight="1" x14ac:dyDescent="0.25">
      <c r="A87" s="2150">
        <v>37926</v>
      </c>
      <c r="B87" s="2145">
        <v>10</v>
      </c>
      <c r="C87" s="2146">
        <v>431</v>
      </c>
      <c r="D87" s="2146">
        <v>2211</v>
      </c>
      <c r="E87" s="2146">
        <v>130</v>
      </c>
      <c r="F87" s="2147" t="s">
        <v>1341</v>
      </c>
      <c r="G87" s="2148">
        <v>1.26</v>
      </c>
    </row>
    <row r="88" spans="1:7" ht="20.100000000000001" hidden="1" customHeight="1" x14ac:dyDescent="0.25">
      <c r="A88" s="2150">
        <v>37956</v>
      </c>
      <c r="B88" s="2145">
        <v>50</v>
      </c>
      <c r="C88" s="2146">
        <v>695</v>
      </c>
      <c r="D88" s="2146">
        <v>5392</v>
      </c>
      <c r="E88" s="2146">
        <v>174</v>
      </c>
      <c r="F88" s="2147" t="s">
        <v>1342</v>
      </c>
      <c r="G88" s="2148">
        <v>1.4</v>
      </c>
    </row>
    <row r="89" spans="1:7" ht="20.100000000000001" hidden="1" customHeight="1" x14ac:dyDescent="0.25">
      <c r="A89" s="2150">
        <v>37987</v>
      </c>
      <c r="B89" s="2145">
        <v>1</v>
      </c>
      <c r="C89" s="2146">
        <v>695</v>
      </c>
      <c r="D89" s="2146">
        <v>5670</v>
      </c>
      <c r="E89" s="2146">
        <v>247</v>
      </c>
      <c r="F89" s="2147" t="s">
        <v>1342</v>
      </c>
      <c r="G89" s="2148">
        <v>1.27</v>
      </c>
    </row>
    <row r="90" spans="1:7" ht="20.100000000000001" hidden="1" customHeight="1" x14ac:dyDescent="0.25">
      <c r="A90" s="2150">
        <v>38018</v>
      </c>
      <c r="B90" s="2145">
        <v>15</v>
      </c>
      <c r="C90" s="2146">
        <v>875</v>
      </c>
      <c r="D90" s="2146">
        <v>6570</v>
      </c>
      <c r="E90" s="2146">
        <v>365</v>
      </c>
      <c r="F90" s="2147" t="s">
        <v>1343</v>
      </c>
      <c r="G90" s="2148">
        <v>1.45</v>
      </c>
    </row>
    <row r="91" spans="1:7" ht="20.100000000000001" hidden="1" customHeight="1" x14ac:dyDescent="0.25">
      <c r="A91" s="2150">
        <v>38047</v>
      </c>
      <c r="B91" s="2145">
        <v>25</v>
      </c>
      <c r="C91" s="2146">
        <v>190</v>
      </c>
      <c r="D91" s="2146">
        <v>2405</v>
      </c>
      <c r="E91" s="2146">
        <v>93</v>
      </c>
      <c r="F91" s="2147" t="s">
        <v>1344</v>
      </c>
      <c r="G91" s="2148">
        <v>1</v>
      </c>
    </row>
    <row r="92" spans="1:7" ht="20.100000000000001" hidden="1" customHeight="1" x14ac:dyDescent="0.25">
      <c r="A92" s="2150">
        <v>38078</v>
      </c>
      <c r="B92" s="2145">
        <v>10</v>
      </c>
      <c r="C92" s="2146">
        <v>695</v>
      </c>
      <c r="D92" s="2146">
        <v>4911</v>
      </c>
      <c r="E92" s="2146">
        <v>163.69999999999999</v>
      </c>
      <c r="F92" s="2147" t="s">
        <v>1345</v>
      </c>
      <c r="G92" s="2148">
        <v>1.0026999999999999</v>
      </c>
    </row>
    <row r="93" spans="1:7" ht="20.100000000000001" hidden="1" customHeight="1" x14ac:dyDescent="0.25">
      <c r="A93" s="2150">
        <v>38108</v>
      </c>
      <c r="B93" s="2145">
        <v>10</v>
      </c>
      <c r="C93" s="2146">
        <v>350</v>
      </c>
      <c r="D93" s="2146">
        <v>2915</v>
      </c>
      <c r="E93" s="2146">
        <v>101</v>
      </c>
      <c r="F93" s="2147">
        <v>1</v>
      </c>
      <c r="G93" s="2148">
        <v>1</v>
      </c>
    </row>
    <row r="94" spans="1:7" ht="20.100000000000001" hidden="1" customHeight="1" x14ac:dyDescent="0.25">
      <c r="A94" s="2150">
        <v>38139</v>
      </c>
      <c r="B94" s="2145">
        <v>40</v>
      </c>
      <c r="C94" s="2146">
        <v>1100</v>
      </c>
      <c r="D94" s="2146">
        <v>7232</v>
      </c>
      <c r="E94" s="2146">
        <v>241.1</v>
      </c>
      <c r="F94" s="2147" t="s">
        <v>1346</v>
      </c>
      <c r="G94" s="2148">
        <v>1.02</v>
      </c>
    </row>
    <row r="95" spans="1:7" ht="20.100000000000001" hidden="1" customHeight="1" x14ac:dyDescent="0.25">
      <c r="A95" s="2150">
        <v>38169</v>
      </c>
      <c r="B95" s="2145">
        <v>40</v>
      </c>
      <c r="C95" s="2146">
        <v>375</v>
      </c>
      <c r="D95" s="2146">
        <v>5978</v>
      </c>
      <c r="E95" s="2146">
        <v>193</v>
      </c>
      <c r="F95" s="2147" t="s">
        <v>1347</v>
      </c>
      <c r="G95" s="2148">
        <v>1.07</v>
      </c>
    </row>
    <row r="96" spans="1:7" ht="20.100000000000001" hidden="1" customHeight="1" x14ac:dyDescent="0.25">
      <c r="A96" s="2150">
        <v>38200</v>
      </c>
      <c r="B96" s="2145">
        <v>20</v>
      </c>
      <c r="C96" s="2146">
        <v>870</v>
      </c>
      <c r="D96" s="2146">
        <v>11835</v>
      </c>
      <c r="E96" s="2146">
        <v>438.3</v>
      </c>
      <c r="F96" s="2147" t="s">
        <v>1348</v>
      </c>
      <c r="G96" s="2148">
        <v>1</v>
      </c>
    </row>
    <row r="97" spans="1:10" ht="20.100000000000001" hidden="1" customHeight="1" x14ac:dyDescent="0.25">
      <c r="A97" s="2150">
        <v>38231</v>
      </c>
      <c r="B97" s="2145">
        <v>200</v>
      </c>
      <c r="C97" s="2146">
        <v>1170</v>
      </c>
      <c r="D97" s="2146">
        <v>11979</v>
      </c>
      <c r="E97" s="2146">
        <v>444</v>
      </c>
      <c r="F97" s="2147" t="s">
        <v>1349</v>
      </c>
      <c r="G97" s="2148">
        <v>1</v>
      </c>
    </row>
    <row r="98" spans="1:10" ht="20.100000000000001" hidden="1" customHeight="1" x14ac:dyDescent="0.25">
      <c r="A98" s="2150">
        <v>38261</v>
      </c>
      <c r="B98" s="2145">
        <v>220</v>
      </c>
      <c r="C98" s="2146">
        <v>1090</v>
      </c>
      <c r="D98" s="2146">
        <v>19154</v>
      </c>
      <c r="E98" s="2146">
        <v>617.87</v>
      </c>
      <c r="F98" s="2147" t="s">
        <v>1342</v>
      </c>
      <c r="G98" s="2148">
        <v>1.35</v>
      </c>
    </row>
    <row r="99" spans="1:10" ht="20.100000000000001" hidden="1" customHeight="1" x14ac:dyDescent="0.25">
      <c r="A99" s="2150">
        <v>38292</v>
      </c>
      <c r="B99" s="2145">
        <v>8</v>
      </c>
      <c r="C99" s="2146">
        <v>715</v>
      </c>
      <c r="D99" s="2146">
        <v>4458</v>
      </c>
      <c r="E99" s="2146">
        <v>186</v>
      </c>
      <c r="F99" s="2147" t="s">
        <v>1350</v>
      </c>
      <c r="G99" s="2148">
        <v>3.51</v>
      </c>
    </row>
    <row r="100" spans="1:10" ht="20.100000000000001" hidden="1" customHeight="1" x14ac:dyDescent="0.25">
      <c r="A100" s="2150">
        <v>38322</v>
      </c>
      <c r="B100" s="2145">
        <v>30</v>
      </c>
      <c r="C100" s="2146">
        <v>860</v>
      </c>
      <c r="D100" s="2146">
        <v>10355</v>
      </c>
      <c r="E100" s="2146">
        <v>334.03</v>
      </c>
      <c r="F100" s="2147" t="s">
        <v>1350</v>
      </c>
      <c r="G100" s="2148">
        <v>1.69</v>
      </c>
    </row>
    <row r="101" spans="1:10" ht="20.100000000000001" hidden="1" customHeight="1" x14ac:dyDescent="0.25">
      <c r="A101" s="2150">
        <v>38353</v>
      </c>
      <c r="B101" s="2145">
        <v>15</v>
      </c>
      <c r="C101" s="2146">
        <v>553</v>
      </c>
      <c r="D101" s="2146">
        <v>7391</v>
      </c>
      <c r="E101" s="2146">
        <v>238.4</v>
      </c>
      <c r="F101" s="2147" t="s">
        <v>1351</v>
      </c>
      <c r="G101" s="2148">
        <v>1.67</v>
      </c>
    </row>
    <row r="102" spans="1:10" ht="20.100000000000001" hidden="1" customHeight="1" x14ac:dyDescent="0.25">
      <c r="A102" s="2150">
        <v>38384</v>
      </c>
      <c r="B102" s="2145">
        <v>135</v>
      </c>
      <c r="C102" s="2146">
        <v>915</v>
      </c>
      <c r="D102" s="2146">
        <v>11798.5</v>
      </c>
      <c r="E102" s="2146">
        <v>437</v>
      </c>
      <c r="F102" s="2147" t="s">
        <v>1352</v>
      </c>
      <c r="G102" s="2148">
        <v>2.08</v>
      </c>
    </row>
    <row r="103" spans="1:10" ht="20.100000000000001" hidden="1" customHeight="1" x14ac:dyDescent="0.25">
      <c r="A103" s="2150">
        <v>38412</v>
      </c>
      <c r="B103" s="2145">
        <v>93</v>
      </c>
      <c r="C103" s="2146">
        <v>468</v>
      </c>
      <c r="D103" s="2146">
        <v>7692</v>
      </c>
      <c r="E103" s="2146">
        <v>248</v>
      </c>
      <c r="F103" s="2154" t="s">
        <v>1353</v>
      </c>
      <c r="G103" s="2148">
        <v>1.89</v>
      </c>
    </row>
    <row r="104" spans="1:10" ht="20.100000000000001" hidden="1" customHeight="1" x14ac:dyDescent="0.25">
      <c r="A104" s="2150">
        <v>38443</v>
      </c>
      <c r="B104" s="2145">
        <v>5</v>
      </c>
      <c r="C104" s="2146">
        <v>665</v>
      </c>
      <c r="D104" s="2146">
        <v>6352</v>
      </c>
      <c r="E104" s="2146">
        <v>244.3</v>
      </c>
      <c r="F104" s="2154" t="s">
        <v>1354</v>
      </c>
      <c r="G104" s="2148">
        <v>1.49</v>
      </c>
    </row>
    <row r="105" spans="1:10" ht="20.100000000000001" hidden="1" customHeight="1" x14ac:dyDescent="0.25">
      <c r="A105" s="2150">
        <v>38473</v>
      </c>
      <c r="B105" s="2145">
        <v>80</v>
      </c>
      <c r="C105" s="2146">
        <v>545</v>
      </c>
      <c r="D105" s="2146">
        <v>6923</v>
      </c>
      <c r="E105" s="2146">
        <v>223.3</v>
      </c>
      <c r="F105" s="2147" t="s">
        <v>1341</v>
      </c>
      <c r="G105" s="2148">
        <v>1.43</v>
      </c>
    </row>
    <row r="106" spans="1:10" ht="20.100000000000001" hidden="1" customHeight="1" x14ac:dyDescent="0.25">
      <c r="A106" s="2150">
        <v>38504</v>
      </c>
      <c r="B106" s="2145">
        <v>10</v>
      </c>
      <c r="C106" s="2146">
        <v>465</v>
      </c>
      <c r="D106" s="2146">
        <v>5208</v>
      </c>
      <c r="E106" s="2146">
        <v>179.6</v>
      </c>
      <c r="F106" s="2147" t="s">
        <v>1355</v>
      </c>
      <c r="G106" s="2148">
        <v>1.62</v>
      </c>
    </row>
    <row r="107" spans="1:10" ht="20.100000000000001" hidden="1" customHeight="1" x14ac:dyDescent="0.25">
      <c r="A107" s="2150">
        <v>38534</v>
      </c>
      <c r="B107" s="2145">
        <v>35</v>
      </c>
      <c r="C107" s="2146">
        <v>1080</v>
      </c>
      <c r="D107" s="2146">
        <v>9733</v>
      </c>
      <c r="E107" s="2146">
        <v>361</v>
      </c>
      <c r="F107" s="2147" t="s">
        <v>1356</v>
      </c>
      <c r="G107" s="2148">
        <v>1.74</v>
      </c>
    </row>
    <row r="108" spans="1:10" ht="20.100000000000001" hidden="1" customHeight="1" x14ac:dyDescent="0.25">
      <c r="A108" s="2150">
        <v>38565</v>
      </c>
      <c r="B108" s="2145">
        <v>45</v>
      </c>
      <c r="C108" s="2146">
        <v>635</v>
      </c>
      <c r="D108" s="2146">
        <v>8734</v>
      </c>
      <c r="E108" s="2146">
        <v>281.7</v>
      </c>
      <c r="F108" s="2147" t="s">
        <v>1357</v>
      </c>
      <c r="G108" s="2148">
        <v>4.9000000000000004</v>
      </c>
    </row>
    <row r="109" spans="1:10" ht="20.100000000000001" hidden="1" customHeight="1" x14ac:dyDescent="0.25">
      <c r="A109" s="2150">
        <v>38596</v>
      </c>
      <c r="B109" s="2145">
        <v>20</v>
      </c>
      <c r="C109" s="2146">
        <v>525</v>
      </c>
      <c r="D109" s="2146">
        <v>5817</v>
      </c>
      <c r="E109" s="2146">
        <v>232.7</v>
      </c>
      <c r="F109" s="2147" t="s">
        <v>1358</v>
      </c>
      <c r="G109" s="2148">
        <v>2.98</v>
      </c>
    </row>
    <row r="110" spans="1:10" ht="20.100000000000001" hidden="1" customHeight="1" x14ac:dyDescent="0.25">
      <c r="A110" s="2150">
        <v>38626</v>
      </c>
      <c r="B110" s="2145">
        <v>140</v>
      </c>
      <c r="C110" s="2146">
        <v>965</v>
      </c>
      <c r="D110" s="2146">
        <v>14032</v>
      </c>
      <c r="E110" s="2146">
        <v>452.6</v>
      </c>
      <c r="F110" s="2147" t="s">
        <v>1359</v>
      </c>
      <c r="G110" s="2148">
        <v>2.82</v>
      </c>
      <c r="J110" s="2155"/>
    </row>
    <row r="111" spans="1:10" ht="20.100000000000001" hidden="1" customHeight="1" x14ac:dyDescent="0.25">
      <c r="A111" s="2150">
        <v>38657</v>
      </c>
      <c r="B111" s="2145">
        <v>100</v>
      </c>
      <c r="C111" s="2146">
        <v>690</v>
      </c>
      <c r="D111" s="2146">
        <v>6927</v>
      </c>
      <c r="E111" s="2146">
        <v>238.9</v>
      </c>
      <c r="F111" s="2147" t="s">
        <v>1359</v>
      </c>
      <c r="G111" s="2148">
        <v>2.89</v>
      </c>
    </row>
    <row r="112" spans="1:10" ht="20.100000000000001" hidden="1" customHeight="1" x14ac:dyDescent="0.25">
      <c r="A112" s="2150">
        <v>38687</v>
      </c>
      <c r="B112" s="2145">
        <v>40</v>
      </c>
      <c r="C112" s="2146">
        <v>1175</v>
      </c>
      <c r="D112" s="2146">
        <v>10982</v>
      </c>
      <c r="E112" s="2146">
        <v>366.1</v>
      </c>
      <c r="F112" s="2147" t="s">
        <v>1360</v>
      </c>
      <c r="G112" s="2148">
        <v>3.87</v>
      </c>
    </row>
    <row r="113" spans="1:14" ht="20.100000000000001" hidden="1" customHeight="1" x14ac:dyDescent="0.25">
      <c r="A113" s="2150">
        <v>38718</v>
      </c>
      <c r="B113" s="2145">
        <v>40</v>
      </c>
      <c r="C113" s="2146">
        <v>1175</v>
      </c>
      <c r="D113" s="2146">
        <v>11848</v>
      </c>
      <c r="E113" s="2146">
        <v>382.19</v>
      </c>
      <c r="F113" s="2147" t="s">
        <v>1361</v>
      </c>
      <c r="G113" s="2148">
        <v>5.68</v>
      </c>
    </row>
    <row r="114" spans="1:14" ht="20.100000000000001" hidden="1" customHeight="1" x14ac:dyDescent="0.25">
      <c r="A114" s="2150">
        <v>38749</v>
      </c>
      <c r="B114" s="2145">
        <v>30</v>
      </c>
      <c r="C114" s="2146">
        <v>725</v>
      </c>
      <c r="D114" s="2146">
        <v>5512</v>
      </c>
      <c r="E114" s="2146">
        <v>220</v>
      </c>
      <c r="F114" s="2147" t="s">
        <v>1362</v>
      </c>
      <c r="G114" s="2148">
        <v>3.87</v>
      </c>
    </row>
    <row r="115" spans="1:14" ht="20.100000000000001" hidden="1" customHeight="1" x14ac:dyDescent="0.25">
      <c r="A115" s="2150">
        <v>38777</v>
      </c>
      <c r="B115" s="2145">
        <v>19</v>
      </c>
      <c r="C115" s="2146">
        <v>280</v>
      </c>
      <c r="D115" s="2146">
        <v>2453</v>
      </c>
      <c r="E115" s="2146">
        <v>82</v>
      </c>
      <c r="F115" s="2147" t="s">
        <v>1362</v>
      </c>
      <c r="G115" s="2148">
        <v>3.83</v>
      </c>
    </row>
    <row r="116" spans="1:14" ht="20.100000000000001" hidden="1" customHeight="1" x14ac:dyDescent="0.25">
      <c r="A116" s="2150">
        <v>38808</v>
      </c>
      <c r="B116" s="2145">
        <v>44</v>
      </c>
      <c r="C116" s="2146">
        <v>630</v>
      </c>
      <c r="D116" s="2146">
        <v>10167</v>
      </c>
      <c r="E116" s="2146">
        <v>363.1</v>
      </c>
      <c r="F116" s="2147" t="s">
        <v>1363</v>
      </c>
      <c r="G116" s="2148">
        <v>3.88</v>
      </c>
      <c r="K116" s="2107"/>
      <c r="M116" s="2107"/>
      <c r="N116" s="2143"/>
    </row>
    <row r="117" spans="1:14" ht="20.100000000000001" hidden="1" customHeight="1" x14ac:dyDescent="0.25">
      <c r="A117" s="2150">
        <v>38838</v>
      </c>
      <c r="B117" s="2145">
        <v>15</v>
      </c>
      <c r="C117" s="2146">
        <v>1050</v>
      </c>
      <c r="D117" s="2146">
        <v>10439</v>
      </c>
      <c r="E117" s="2146">
        <v>336.7</v>
      </c>
      <c r="F117" s="2147" t="s">
        <v>1364</v>
      </c>
      <c r="G117" s="2148">
        <v>3.52</v>
      </c>
    </row>
    <row r="118" spans="1:14" ht="20.100000000000001" hidden="1" customHeight="1" x14ac:dyDescent="0.25">
      <c r="A118" s="2150">
        <v>38869</v>
      </c>
      <c r="B118" s="2145">
        <v>6</v>
      </c>
      <c r="C118" s="2146">
        <v>625</v>
      </c>
      <c r="D118" s="2146">
        <v>4852</v>
      </c>
      <c r="E118" s="2146">
        <v>194.08</v>
      </c>
      <c r="F118" s="2147" t="s">
        <v>1365</v>
      </c>
      <c r="G118" s="2148">
        <v>3.54</v>
      </c>
    </row>
    <row r="119" spans="1:14" ht="20.100000000000001" hidden="1" customHeight="1" x14ac:dyDescent="0.25">
      <c r="A119" s="2150">
        <v>38899</v>
      </c>
      <c r="B119" s="2145">
        <v>25</v>
      </c>
      <c r="C119" s="2146">
        <v>718.5</v>
      </c>
      <c r="D119" s="2146">
        <v>6063.5</v>
      </c>
      <c r="E119" s="2146">
        <v>209.09</v>
      </c>
      <c r="F119" s="2147" t="s">
        <v>1365</v>
      </c>
      <c r="G119" s="2148">
        <v>3.65</v>
      </c>
    </row>
    <row r="120" spans="1:14" ht="20.100000000000001" hidden="1" customHeight="1" x14ac:dyDescent="0.25">
      <c r="A120" s="2150">
        <v>38930</v>
      </c>
      <c r="B120" s="2145">
        <v>205</v>
      </c>
      <c r="C120" s="2146">
        <v>1651</v>
      </c>
      <c r="D120" s="2146">
        <v>15286</v>
      </c>
      <c r="E120" s="2146">
        <v>493.09699999999998</v>
      </c>
      <c r="F120" s="2147" t="s">
        <v>1366</v>
      </c>
      <c r="G120" s="2148">
        <v>5.15</v>
      </c>
    </row>
    <row r="121" spans="1:14" ht="20.100000000000001" hidden="1" customHeight="1" x14ac:dyDescent="0.25">
      <c r="A121" s="2150">
        <v>38961</v>
      </c>
      <c r="B121" s="2145">
        <v>40</v>
      </c>
      <c r="C121" s="2146">
        <v>1075</v>
      </c>
      <c r="D121" s="2146">
        <v>14115</v>
      </c>
      <c r="E121" s="2146">
        <v>470</v>
      </c>
      <c r="F121" s="2147" t="s">
        <v>1367</v>
      </c>
      <c r="G121" s="2148">
        <v>8.0399999999999991</v>
      </c>
    </row>
    <row r="122" spans="1:14" ht="20.100000000000001" hidden="1" customHeight="1" x14ac:dyDescent="0.25">
      <c r="A122" s="2150">
        <v>38991</v>
      </c>
      <c r="B122" s="2156">
        <v>450</v>
      </c>
      <c r="C122" s="2146">
        <v>1290</v>
      </c>
      <c r="D122" s="2146">
        <v>24863</v>
      </c>
      <c r="E122" s="2157">
        <v>802</v>
      </c>
      <c r="F122" s="2157" t="s">
        <v>1368</v>
      </c>
      <c r="G122" s="2158">
        <v>10.83</v>
      </c>
    </row>
    <row r="123" spans="1:14" ht="20.100000000000001" hidden="1" customHeight="1" x14ac:dyDescent="0.25">
      <c r="A123" s="2150">
        <v>39022</v>
      </c>
      <c r="B123" s="2145">
        <v>197</v>
      </c>
      <c r="C123" s="2146">
        <v>1005</v>
      </c>
      <c r="D123" s="2146">
        <v>17569.5</v>
      </c>
      <c r="E123" s="2146">
        <v>585.65</v>
      </c>
      <c r="F123" s="2147" t="s">
        <v>1369</v>
      </c>
      <c r="G123" s="2148">
        <v>8.98</v>
      </c>
    </row>
    <row r="124" spans="1:14" ht="20.100000000000001" hidden="1" customHeight="1" x14ac:dyDescent="0.25">
      <c r="A124" s="2150">
        <v>39052</v>
      </c>
      <c r="B124" s="2145">
        <v>10</v>
      </c>
      <c r="C124" s="2146">
        <v>595</v>
      </c>
      <c r="D124" s="2146">
        <v>6183.5</v>
      </c>
      <c r="E124" s="2146">
        <v>237.8</v>
      </c>
      <c r="F124" s="2147" t="s">
        <v>1370</v>
      </c>
      <c r="G124" s="2148">
        <v>8.86</v>
      </c>
    </row>
    <row r="125" spans="1:14" ht="20.100000000000001" hidden="1" customHeight="1" x14ac:dyDescent="0.25">
      <c r="A125" s="2150">
        <v>39083</v>
      </c>
      <c r="B125" s="2145">
        <v>100</v>
      </c>
      <c r="C125" s="2146">
        <v>918</v>
      </c>
      <c r="D125" s="2146">
        <v>13445</v>
      </c>
      <c r="E125" s="2146">
        <v>433.7</v>
      </c>
      <c r="F125" s="2147" t="s">
        <v>1371</v>
      </c>
      <c r="G125" s="2148">
        <v>8.5500000000000007</v>
      </c>
    </row>
    <row r="126" spans="1:14" ht="20.100000000000001" hidden="1" customHeight="1" x14ac:dyDescent="0.25">
      <c r="A126" s="2150">
        <v>39114</v>
      </c>
      <c r="B126" s="2145">
        <v>113.5</v>
      </c>
      <c r="C126" s="2146">
        <v>730</v>
      </c>
      <c r="D126" s="2146">
        <v>8733</v>
      </c>
      <c r="E126" s="2146">
        <v>311.89999999999998</v>
      </c>
      <c r="F126" s="2147" t="s">
        <v>1372</v>
      </c>
      <c r="G126" s="2148">
        <v>9.0399999999999991</v>
      </c>
    </row>
    <row r="127" spans="1:14" ht="20.100000000000001" hidden="1" customHeight="1" x14ac:dyDescent="0.25">
      <c r="A127" s="2150">
        <v>39142</v>
      </c>
      <c r="B127" s="2156">
        <v>26</v>
      </c>
      <c r="C127" s="2146">
        <v>1094</v>
      </c>
      <c r="D127" s="2146">
        <v>8516</v>
      </c>
      <c r="E127" s="2157">
        <v>284</v>
      </c>
      <c r="F127" s="2157" t="s">
        <v>1373</v>
      </c>
      <c r="G127" s="2158">
        <v>8.31</v>
      </c>
      <c r="I127" s="2159"/>
      <c r="J127" s="2116"/>
    </row>
    <row r="128" spans="1:14" ht="20.100000000000001" hidden="1" customHeight="1" x14ac:dyDescent="0.25">
      <c r="A128" s="2150">
        <v>39173</v>
      </c>
      <c r="B128" s="2145">
        <v>18</v>
      </c>
      <c r="C128" s="2146">
        <v>730</v>
      </c>
      <c r="D128" s="2146">
        <v>6819.5</v>
      </c>
      <c r="E128" s="2146">
        <v>227.3</v>
      </c>
      <c r="F128" s="2147" t="s">
        <v>1374</v>
      </c>
      <c r="G128" s="2148">
        <v>8.1</v>
      </c>
      <c r="I128" s="2159"/>
      <c r="J128" s="2116"/>
    </row>
    <row r="129" spans="1:10" ht="20.100000000000001" hidden="1" customHeight="1" x14ac:dyDescent="0.25">
      <c r="A129" s="2150">
        <v>39203</v>
      </c>
      <c r="B129" s="2145">
        <v>30</v>
      </c>
      <c r="C129" s="2146">
        <v>1095</v>
      </c>
      <c r="D129" s="2146">
        <v>11416.5</v>
      </c>
      <c r="E129" s="2146">
        <v>368</v>
      </c>
      <c r="F129" s="2147" t="s">
        <v>1373</v>
      </c>
      <c r="G129" s="2148">
        <v>8.3699999999999992</v>
      </c>
      <c r="I129" s="2159"/>
      <c r="J129" s="2116"/>
    </row>
    <row r="130" spans="1:10" ht="20.100000000000001" hidden="1" customHeight="1" x14ac:dyDescent="0.25">
      <c r="A130" s="2150">
        <v>39240</v>
      </c>
      <c r="B130" s="2145">
        <v>35</v>
      </c>
      <c r="C130" s="2146">
        <v>520</v>
      </c>
      <c r="D130" s="2146">
        <v>7316</v>
      </c>
      <c r="E130" s="2146">
        <v>252.3</v>
      </c>
      <c r="F130" s="2147" t="s">
        <v>1375</v>
      </c>
      <c r="G130" s="2148">
        <v>8.31</v>
      </c>
      <c r="I130" s="2159"/>
      <c r="J130" s="2116"/>
    </row>
    <row r="131" spans="1:10" ht="20.100000000000001" hidden="1" customHeight="1" x14ac:dyDescent="0.25">
      <c r="A131" s="2150">
        <v>39270</v>
      </c>
      <c r="B131" s="2145">
        <v>35</v>
      </c>
      <c r="C131" s="2146">
        <v>1300</v>
      </c>
      <c r="D131" s="2146">
        <v>11424</v>
      </c>
      <c r="E131" s="2146">
        <v>369</v>
      </c>
      <c r="F131" s="2147" t="s">
        <v>1376</v>
      </c>
      <c r="G131" s="2148">
        <v>8.77</v>
      </c>
      <c r="I131" s="2159"/>
      <c r="J131" s="2116"/>
    </row>
    <row r="132" spans="1:10" ht="20.100000000000001" hidden="1" customHeight="1" x14ac:dyDescent="0.25">
      <c r="A132" s="2150">
        <v>39301</v>
      </c>
      <c r="B132" s="2145">
        <v>102</v>
      </c>
      <c r="C132" s="2146">
        <v>1355</v>
      </c>
      <c r="D132" s="2146">
        <v>14748</v>
      </c>
      <c r="E132" s="2146">
        <v>508.6</v>
      </c>
      <c r="F132" s="2147" t="s">
        <v>1377</v>
      </c>
      <c r="G132" s="2148">
        <v>8.77</v>
      </c>
    </row>
    <row r="133" spans="1:10" ht="20.100000000000001" hidden="1" customHeight="1" x14ac:dyDescent="0.25">
      <c r="A133" s="2150">
        <v>39332</v>
      </c>
      <c r="B133" s="2145">
        <v>180</v>
      </c>
      <c r="C133" s="2146">
        <v>1355</v>
      </c>
      <c r="D133" s="2146">
        <v>19377</v>
      </c>
      <c r="E133" s="2146">
        <v>645.9</v>
      </c>
      <c r="F133" s="2147" t="s">
        <v>1378</v>
      </c>
      <c r="G133" s="2148">
        <v>8.94</v>
      </c>
    </row>
    <row r="134" spans="1:10" ht="20.100000000000001" hidden="1" customHeight="1" x14ac:dyDescent="0.25">
      <c r="A134" s="2150">
        <v>39362</v>
      </c>
      <c r="B134" s="2145">
        <v>20</v>
      </c>
      <c r="C134" s="2146">
        <v>580</v>
      </c>
      <c r="D134" s="2146">
        <v>5229</v>
      </c>
      <c r="E134" s="2146">
        <v>169</v>
      </c>
      <c r="F134" s="2147" t="s">
        <v>1378</v>
      </c>
      <c r="G134" s="2148">
        <v>9.2200000000000006</v>
      </c>
    </row>
    <row r="135" spans="1:10" ht="20.100000000000001" hidden="1" customHeight="1" x14ac:dyDescent="0.25">
      <c r="A135" s="2150">
        <v>39393</v>
      </c>
      <c r="B135" s="2145">
        <v>15</v>
      </c>
      <c r="C135" s="2146">
        <v>765</v>
      </c>
      <c r="D135" s="2146">
        <v>7274</v>
      </c>
      <c r="E135" s="2146">
        <v>291</v>
      </c>
      <c r="F135" s="2147" t="s">
        <v>1379</v>
      </c>
      <c r="G135" s="2148">
        <v>8.6</v>
      </c>
    </row>
    <row r="136" spans="1:10" ht="20.100000000000001" hidden="1" customHeight="1" x14ac:dyDescent="0.25">
      <c r="A136" s="2150">
        <v>39423</v>
      </c>
      <c r="B136" s="2145">
        <v>50</v>
      </c>
      <c r="C136" s="2146">
        <v>570</v>
      </c>
      <c r="D136" s="2146">
        <v>8113</v>
      </c>
      <c r="E136" s="2146">
        <v>262</v>
      </c>
      <c r="F136" s="2147" t="s">
        <v>1380</v>
      </c>
      <c r="G136" s="2148">
        <v>8.75</v>
      </c>
    </row>
    <row r="137" spans="1:10" ht="20.100000000000001" hidden="1" customHeight="1" x14ac:dyDescent="0.25">
      <c r="A137" s="2150">
        <v>39454</v>
      </c>
      <c r="B137" s="2145">
        <v>100</v>
      </c>
      <c r="C137" s="2146">
        <v>494</v>
      </c>
      <c r="D137" s="2146">
        <v>9109</v>
      </c>
      <c r="E137" s="2146">
        <v>293.8</v>
      </c>
      <c r="F137" s="2147" t="s">
        <v>1373</v>
      </c>
      <c r="G137" s="2148">
        <v>8.67</v>
      </c>
    </row>
    <row r="138" spans="1:10" ht="20.100000000000001" hidden="1" customHeight="1" x14ac:dyDescent="0.25">
      <c r="A138" s="2150">
        <v>39485</v>
      </c>
      <c r="B138" s="2145">
        <v>210</v>
      </c>
      <c r="C138" s="2146">
        <v>985</v>
      </c>
      <c r="D138" s="2146">
        <v>19697</v>
      </c>
      <c r="E138" s="2146">
        <v>679.2</v>
      </c>
      <c r="F138" s="2147" t="s">
        <v>1381</v>
      </c>
      <c r="G138" s="2148">
        <v>8.0500000000000007</v>
      </c>
    </row>
    <row r="139" spans="1:10" ht="20.100000000000001" hidden="1" customHeight="1" x14ac:dyDescent="0.25">
      <c r="A139" s="2150">
        <v>39514</v>
      </c>
      <c r="B139" s="2145">
        <v>40</v>
      </c>
      <c r="C139" s="2146">
        <v>1270</v>
      </c>
      <c r="D139" s="2146">
        <v>16270</v>
      </c>
      <c r="E139" s="2146">
        <v>524.79999999999995</v>
      </c>
      <c r="F139" s="2147" t="s">
        <v>1382</v>
      </c>
      <c r="G139" s="2148">
        <v>7.48</v>
      </c>
    </row>
    <row r="140" spans="1:10" ht="20.100000000000001" hidden="1" customHeight="1" x14ac:dyDescent="0.25">
      <c r="A140" s="2150">
        <v>39545</v>
      </c>
      <c r="B140" s="2145">
        <v>23</v>
      </c>
      <c r="C140" s="2146">
        <v>673</v>
      </c>
      <c r="D140" s="2146">
        <v>3832</v>
      </c>
      <c r="E140" s="2146">
        <v>128</v>
      </c>
      <c r="F140" s="2147" t="s">
        <v>1383</v>
      </c>
      <c r="G140" s="2148">
        <v>6.84</v>
      </c>
    </row>
    <row r="141" spans="1:10" ht="20.100000000000001" hidden="1" customHeight="1" x14ac:dyDescent="0.25">
      <c r="A141" s="2150">
        <v>39575</v>
      </c>
      <c r="B141" s="2145">
        <v>35</v>
      </c>
      <c r="C141" s="2146">
        <v>750</v>
      </c>
      <c r="D141" s="2146">
        <v>11303</v>
      </c>
      <c r="E141" s="2146">
        <v>364.61</v>
      </c>
      <c r="F141" s="2147" t="s">
        <v>1384</v>
      </c>
      <c r="G141" s="2148">
        <v>6.67</v>
      </c>
    </row>
    <row r="142" spans="1:10" ht="20.100000000000001" hidden="1" customHeight="1" x14ac:dyDescent="0.25">
      <c r="A142" s="2150">
        <v>39606</v>
      </c>
      <c r="B142" s="2145">
        <v>79</v>
      </c>
      <c r="C142" s="2146">
        <v>1014</v>
      </c>
      <c r="D142" s="2146">
        <v>9849</v>
      </c>
      <c r="E142" s="2146">
        <v>328.3</v>
      </c>
      <c r="F142" s="2147" t="s">
        <v>1385</v>
      </c>
      <c r="G142" s="2148">
        <v>6.54</v>
      </c>
    </row>
    <row r="143" spans="1:10" ht="20.100000000000001" hidden="1" customHeight="1" x14ac:dyDescent="0.25">
      <c r="A143" s="2150">
        <v>39636</v>
      </c>
      <c r="B143" s="2145">
        <v>120</v>
      </c>
      <c r="C143" s="2146">
        <v>2085</v>
      </c>
      <c r="D143" s="2146">
        <v>23482</v>
      </c>
      <c r="E143" s="2146">
        <v>757.5</v>
      </c>
      <c r="F143" s="2147" t="s">
        <v>1386</v>
      </c>
      <c r="G143" s="2148">
        <v>6.82</v>
      </c>
    </row>
    <row r="144" spans="1:10" ht="20.100000000000001" hidden="1" customHeight="1" x14ac:dyDescent="0.25">
      <c r="A144" s="2150">
        <v>39667</v>
      </c>
      <c r="B144" s="2145">
        <v>15</v>
      </c>
      <c r="C144" s="2146">
        <v>975</v>
      </c>
      <c r="D144" s="2146">
        <v>10122</v>
      </c>
      <c r="E144" s="2146">
        <v>326.52</v>
      </c>
      <c r="F144" s="2147" t="s">
        <v>1321</v>
      </c>
      <c r="G144" s="2148">
        <v>6.78</v>
      </c>
    </row>
    <row r="145" spans="1:7" ht="20.100000000000001" hidden="1" customHeight="1" x14ac:dyDescent="0.25">
      <c r="A145" s="2150">
        <v>39698</v>
      </c>
      <c r="B145" s="2145">
        <v>650</v>
      </c>
      <c r="C145" s="2146">
        <v>2070</v>
      </c>
      <c r="D145" s="2146">
        <v>39405</v>
      </c>
      <c r="E145" s="2146">
        <v>1313.5</v>
      </c>
      <c r="F145" s="2147" t="s">
        <v>1387</v>
      </c>
      <c r="G145" s="2148">
        <v>8.9700000000000006</v>
      </c>
    </row>
    <row r="146" spans="1:7" ht="20.100000000000001" hidden="1" customHeight="1" x14ac:dyDescent="0.25">
      <c r="A146" s="2150">
        <v>39728</v>
      </c>
      <c r="B146" s="2145">
        <v>125</v>
      </c>
      <c r="C146" s="2146">
        <v>2310</v>
      </c>
      <c r="D146" s="2146">
        <v>25466</v>
      </c>
      <c r="E146" s="2146">
        <v>821</v>
      </c>
      <c r="F146" s="2147" t="s">
        <v>1388</v>
      </c>
      <c r="G146" s="2148">
        <v>8.94</v>
      </c>
    </row>
    <row r="147" spans="1:7" ht="20.100000000000001" hidden="1" customHeight="1" x14ac:dyDescent="0.25">
      <c r="A147" s="2150">
        <v>39759</v>
      </c>
      <c r="B147" s="2145">
        <v>59</v>
      </c>
      <c r="C147" s="2146">
        <v>1324</v>
      </c>
      <c r="D147" s="2146">
        <v>14905</v>
      </c>
      <c r="E147" s="2146">
        <v>496.84</v>
      </c>
      <c r="F147" s="2147" t="s">
        <v>1387</v>
      </c>
      <c r="G147" s="2148">
        <v>8.89</v>
      </c>
    </row>
    <row r="148" spans="1:7" ht="20.100000000000001" hidden="1" customHeight="1" x14ac:dyDescent="0.25">
      <c r="A148" s="2150">
        <v>39789</v>
      </c>
      <c r="B148" s="2145">
        <v>19.34</v>
      </c>
      <c r="C148" s="2146">
        <v>1549.34</v>
      </c>
      <c r="D148" s="2146">
        <v>12040.54</v>
      </c>
      <c r="E148" s="2146">
        <v>388.4</v>
      </c>
      <c r="F148" s="2147" t="s">
        <v>1389</v>
      </c>
      <c r="G148" s="2148">
        <v>7.24</v>
      </c>
    </row>
    <row r="149" spans="1:7" ht="20.100000000000001" hidden="1" customHeight="1" x14ac:dyDescent="0.25">
      <c r="A149" s="2150">
        <v>39820</v>
      </c>
      <c r="B149" s="2145">
        <v>14.5</v>
      </c>
      <c r="C149" s="2146">
        <v>1504.34</v>
      </c>
      <c r="D149" s="2146">
        <v>19368.099999999999</v>
      </c>
      <c r="E149" s="2146">
        <v>624.78</v>
      </c>
      <c r="F149" s="2147" t="s">
        <v>1390</v>
      </c>
      <c r="G149" s="2148">
        <v>6.96</v>
      </c>
    </row>
    <row r="150" spans="1:7" ht="20.100000000000001" hidden="1" customHeight="1" x14ac:dyDescent="0.25">
      <c r="A150" s="2150">
        <v>39851</v>
      </c>
      <c r="B150" s="2145">
        <v>4.5</v>
      </c>
      <c r="C150" s="2146">
        <v>1229.5</v>
      </c>
      <c r="D150" s="2146">
        <v>11511</v>
      </c>
      <c r="E150" s="2146">
        <v>411</v>
      </c>
      <c r="F150" s="2147" t="s">
        <v>1391</v>
      </c>
      <c r="G150" s="2148">
        <v>6.53</v>
      </c>
    </row>
    <row r="151" spans="1:7" ht="20.100000000000001" hidden="1" customHeight="1" x14ac:dyDescent="0.25">
      <c r="A151" s="2150">
        <v>39879</v>
      </c>
      <c r="B151" s="2145">
        <v>5</v>
      </c>
      <c r="C151" s="2146">
        <v>1020</v>
      </c>
      <c r="D151" s="2146">
        <v>12544.5</v>
      </c>
      <c r="E151" s="2146">
        <v>404.7</v>
      </c>
      <c r="F151" s="2147" t="s">
        <v>1392</v>
      </c>
      <c r="G151" s="2148">
        <v>5.77</v>
      </c>
    </row>
    <row r="152" spans="1:7" ht="20.100000000000001" hidden="1" customHeight="1" x14ac:dyDescent="0.25">
      <c r="A152" s="2150">
        <v>39910</v>
      </c>
      <c r="B152" s="2145">
        <v>44.5</v>
      </c>
      <c r="C152" s="2146">
        <v>619.5</v>
      </c>
      <c r="D152" s="2146">
        <v>9119.5</v>
      </c>
      <c r="E152" s="2146">
        <v>303.98</v>
      </c>
      <c r="F152" s="2147" t="s">
        <v>1393</v>
      </c>
      <c r="G152" s="2148">
        <v>4.8099999999999996</v>
      </c>
    </row>
    <row r="153" spans="1:7" ht="20.100000000000001" hidden="1" customHeight="1" x14ac:dyDescent="0.25">
      <c r="A153" s="2150">
        <v>39940</v>
      </c>
      <c r="B153" s="2145">
        <v>144.5</v>
      </c>
      <c r="C153" s="2146">
        <v>839.5</v>
      </c>
      <c r="D153" s="2146">
        <v>10281.5</v>
      </c>
      <c r="E153" s="2146">
        <v>331.66</v>
      </c>
      <c r="F153" s="2147" t="s">
        <v>1394</v>
      </c>
      <c r="G153" s="2148">
        <v>4.7</v>
      </c>
    </row>
    <row r="154" spans="1:7" ht="20.100000000000001" hidden="1" customHeight="1" x14ac:dyDescent="0.25">
      <c r="A154" s="2150">
        <v>39971</v>
      </c>
      <c r="B154" s="2145">
        <v>104.5</v>
      </c>
      <c r="C154" s="2146">
        <v>1119.5</v>
      </c>
      <c r="D154" s="2146">
        <v>11690</v>
      </c>
      <c r="E154" s="2146">
        <v>389.67</v>
      </c>
      <c r="F154" s="2147" t="s">
        <v>1395</v>
      </c>
      <c r="G154" s="2148">
        <v>4.28</v>
      </c>
    </row>
    <row r="155" spans="1:7" ht="20.100000000000001" hidden="1" customHeight="1" x14ac:dyDescent="0.25">
      <c r="A155" s="2150">
        <v>40001</v>
      </c>
      <c r="B155" s="2145">
        <v>4.66</v>
      </c>
      <c r="C155" s="2146">
        <v>864.5</v>
      </c>
      <c r="D155" s="2146">
        <v>10376.1</v>
      </c>
      <c r="E155" s="2146">
        <v>334.71</v>
      </c>
      <c r="F155" s="2147" t="s">
        <v>1395</v>
      </c>
      <c r="G155" s="2148">
        <v>4.05</v>
      </c>
    </row>
    <row r="156" spans="1:7" ht="20.100000000000001" hidden="1" customHeight="1" x14ac:dyDescent="0.25">
      <c r="A156" s="2150">
        <v>40032</v>
      </c>
      <c r="B156" s="2145">
        <v>70</v>
      </c>
      <c r="C156" s="2146">
        <v>1444.6</v>
      </c>
      <c r="D156" s="2146">
        <v>16163.6</v>
      </c>
      <c r="E156" s="2146">
        <v>577.27</v>
      </c>
      <c r="F156" s="2147" t="s">
        <v>1396</v>
      </c>
      <c r="G156" s="2148">
        <v>4.0199999999999996</v>
      </c>
    </row>
    <row r="157" spans="1:7" ht="20.100000000000001" hidden="1" customHeight="1" x14ac:dyDescent="0.25">
      <c r="A157" s="2150">
        <v>40063</v>
      </c>
      <c r="B157" s="2145">
        <v>100</v>
      </c>
      <c r="C157" s="2146">
        <v>1090</v>
      </c>
      <c r="D157" s="2146">
        <v>16460</v>
      </c>
      <c r="E157" s="2146">
        <v>549</v>
      </c>
      <c r="F157" s="2147" t="s">
        <v>1397</v>
      </c>
      <c r="G157" s="2148">
        <v>4.0599999999999996</v>
      </c>
    </row>
    <row r="158" spans="1:7" ht="20.100000000000001" hidden="1" customHeight="1" x14ac:dyDescent="0.25">
      <c r="A158" s="2150">
        <v>40093</v>
      </c>
      <c r="B158" s="2145">
        <v>175</v>
      </c>
      <c r="C158" s="2146">
        <v>1255</v>
      </c>
      <c r="D158" s="2146">
        <v>14700</v>
      </c>
      <c r="E158" s="2146">
        <v>474.19</v>
      </c>
      <c r="F158" s="2147" t="s">
        <v>1397</v>
      </c>
      <c r="G158" s="2148">
        <v>4.04</v>
      </c>
    </row>
    <row r="159" spans="1:7" ht="20.100000000000001" hidden="1" customHeight="1" x14ac:dyDescent="0.25">
      <c r="A159" s="2150">
        <v>40124</v>
      </c>
      <c r="B159" s="2145">
        <v>55</v>
      </c>
      <c r="C159" s="2146">
        <v>895</v>
      </c>
      <c r="D159" s="2146">
        <v>13796</v>
      </c>
      <c r="E159" s="2146">
        <v>459.87</v>
      </c>
      <c r="F159" s="2147" t="s">
        <v>1398</v>
      </c>
      <c r="G159" s="2148">
        <v>4.0199999999999996</v>
      </c>
    </row>
    <row r="160" spans="1:7" ht="20.100000000000001" hidden="1" customHeight="1" x14ac:dyDescent="0.25">
      <c r="A160" s="2150">
        <v>40148</v>
      </c>
      <c r="B160" s="2145">
        <v>75</v>
      </c>
      <c r="C160" s="2146">
        <v>1932.5</v>
      </c>
      <c r="D160" s="2146">
        <v>23618.5</v>
      </c>
      <c r="E160" s="2146">
        <v>761.89</v>
      </c>
      <c r="F160" s="2147" t="s">
        <v>1399</v>
      </c>
      <c r="G160" s="2148">
        <v>4.26</v>
      </c>
    </row>
    <row r="161" spans="1:7" ht="20.100000000000001" hidden="1" customHeight="1" x14ac:dyDescent="0.25">
      <c r="A161" s="2150">
        <v>40179</v>
      </c>
      <c r="B161" s="2145">
        <v>70.400000000000006</v>
      </c>
      <c r="C161" s="2146">
        <v>1245.4000000000001</v>
      </c>
      <c r="D161" s="2146">
        <v>16488.2</v>
      </c>
      <c r="E161" s="2146">
        <v>531.88</v>
      </c>
      <c r="F161" s="2147" t="s">
        <v>1399</v>
      </c>
      <c r="G161" s="2148">
        <v>4.26</v>
      </c>
    </row>
    <row r="162" spans="1:7" ht="20.100000000000001" hidden="1" customHeight="1" x14ac:dyDescent="0.25">
      <c r="A162" s="2150">
        <v>40210</v>
      </c>
      <c r="B162" s="2145">
        <v>70.400000000000006</v>
      </c>
      <c r="C162" s="2146">
        <v>1245</v>
      </c>
      <c r="D162" s="2146">
        <v>16179.2</v>
      </c>
      <c r="E162" s="2146">
        <v>577.83000000000004</v>
      </c>
      <c r="F162" s="2147" t="s">
        <v>1400</v>
      </c>
      <c r="G162" s="2148">
        <v>3.91</v>
      </c>
    </row>
    <row r="163" spans="1:7" ht="20.100000000000001" hidden="1" customHeight="1" x14ac:dyDescent="0.25">
      <c r="A163" s="2150">
        <v>40238</v>
      </c>
      <c r="B163" s="2145">
        <v>20.399999999999999</v>
      </c>
      <c r="C163" s="2146">
        <v>800.4</v>
      </c>
      <c r="D163" s="2146">
        <v>4135.3999999999996</v>
      </c>
      <c r="E163" s="2146">
        <v>133.4</v>
      </c>
      <c r="F163" s="2147" t="s">
        <v>1401</v>
      </c>
      <c r="G163" s="2148">
        <v>3.88</v>
      </c>
    </row>
    <row r="164" spans="1:7" ht="20.100000000000001" hidden="1" customHeight="1" x14ac:dyDescent="0.25">
      <c r="A164" s="2150">
        <v>40269</v>
      </c>
      <c r="B164" s="2145">
        <v>20.399999999999999</v>
      </c>
      <c r="C164" s="2146">
        <v>655.4</v>
      </c>
      <c r="D164" s="2146">
        <v>7522</v>
      </c>
      <c r="E164" s="2146">
        <v>250.73</v>
      </c>
      <c r="F164" s="2147" t="s">
        <v>1402</v>
      </c>
      <c r="G164" s="2148">
        <v>3.94</v>
      </c>
    </row>
    <row r="165" spans="1:7" ht="20.100000000000001" hidden="1" customHeight="1" x14ac:dyDescent="0.25">
      <c r="A165" s="2150">
        <v>40299</v>
      </c>
      <c r="B165" s="2145">
        <v>20.399999999999999</v>
      </c>
      <c r="C165" s="2146">
        <v>915.4</v>
      </c>
      <c r="D165" s="2146">
        <v>9407.4</v>
      </c>
      <c r="E165" s="2146">
        <v>303.45999999999998</v>
      </c>
      <c r="F165" s="2147" t="s">
        <v>1401</v>
      </c>
      <c r="G165" s="2148">
        <v>3.74</v>
      </c>
    </row>
    <row r="166" spans="1:7" ht="20.100000000000001" hidden="1" customHeight="1" x14ac:dyDescent="0.25">
      <c r="A166" s="2150">
        <v>40330</v>
      </c>
      <c r="B166" s="2145">
        <v>20.399999999999999</v>
      </c>
      <c r="C166" s="2146">
        <v>1515.4</v>
      </c>
      <c r="D166" s="2146">
        <v>10598</v>
      </c>
      <c r="E166" s="2146">
        <v>353.3</v>
      </c>
      <c r="F166" s="2147" t="s">
        <v>1403</v>
      </c>
      <c r="G166" s="2148">
        <v>3.36</v>
      </c>
    </row>
    <row r="167" spans="1:7" ht="20.100000000000001" hidden="1" customHeight="1" x14ac:dyDescent="0.25">
      <c r="A167" s="2150">
        <v>40360</v>
      </c>
      <c r="B167" s="2145">
        <v>5</v>
      </c>
      <c r="C167" s="2146">
        <v>1150</v>
      </c>
      <c r="D167" s="2146">
        <v>7431</v>
      </c>
      <c r="E167" s="2146">
        <v>239.71</v>
      </c>
      <c r="F167" s="2147" t="s">
        <v>1404</v>
      </c>
      <c r="G167" s="2148">
        <v>3.45</v>
      </c>
    </row>
    <row r="168" spans="1:7" ht="20.100000000000001" hidden="1" customHeight="1" x14ac:dyDescent="0.25">
      <c r="A168" s="2150">
        <v>40391</v>
      </c>
      <c r="B168" s="2145">
        <v>15</v>
      </c>
      <c r="C168" s="2146">
        <v>360</v>
      </c>
      <c r="D168" s="2146">
        <v>2422</v>
      </c>
      <c r="E168" s="2146">
        <v>100.92</v>
      </c>
      <c r="F168" s="2147" t="s">
        <v>1405</v>
      </c>
      <c r="G168" s="2148">
        <v>2.52</v>
      </c>
    </row>
    <row r="169" spans="1:7" ht="20.100000000000001" hidden="1" customHeight="1" x14ac:dyDescent="0.25">
      <c r="A169" s="2150">
        <v>40422</v>
      </c>
      <c r="B169" s="2145">
        <v>60</v>
      </c>
      <c r="C169" s="2146">
        <v>490</v>
      </c>
      <c r="D169" s="2146">
        <v>7090</v>
      </c>
      <c r="E169" s="2146">
        <v>253</v>
      </c>
      <c r="F169" s="2147" t="s">
        <v>1406</v>
      </c>
      <c r="G169" s="2148">
        <v>2.0699999999999998</v>
      </c>
    </row>
    <row r="170" spans="1:7" ht="20.100000000000001" hidden="1" customHeight="1" x14ac:dyDescent="0.25">
      <c r="A170" s="2150">
        <v>40452</v>
      </c>
      <c r="B170" s="2145">
        <v>95</v>
      </c>
      <c r="C170" s="2146">
        <v>670</v>
      </c>
      <c r="D170" s="2146">
        <v>11070</v>
      </c>
      <c r="E170" s="2146">
        <v>357.1</v>
      </c>
      <c r="F170" s="2147" t="s">
        <v>1407</v>
      </c>
      <c r="G170" s="2148">
        <v>2.27</v>
      </c>
    </row>
    <row r="171" spans="1:7" ht="20.100000000000001" hidden="1" customHeight="1" x14ac:dyDescent="0.25">
      <c r="A171" s="2150">
        <v>40483</v>
      </c>
      <c r="B171" s="2145">
        <v>157</v>
      </c>
      <c r="C171" s="2146">
        <v>730</v>
      </c>
      <c r="D171" s="2146">
        <v>9951</v>
      </c>
      <c r="E171" s="2146">
        <v>331.7</v>
      </c>
      <c r="F171" s="2147" t="s">
        <v>1406</v>
      </c>
      <c r="G171" s="2148">
        <v>2.17</v>
      </c>
    </row>
    <row r="172" spans="1:7" ht="20.100000000000001" hidden="1" customHeight="1" x14ac:dyDescent="0.25">
      <c r="A172" s="2150">
        <v>40513</v>
      </c>
      <c r="B172" s="2145">
        <v>235</v>
      </c>
      <c r="C172" s="2146">
        <v>772</v>
      </c>
      <c r="D172" s="2146">
        <v>15575</v>
      </c>
      <c r="E172" s="2146">
        <v>502.4</v>
      </c>
      <c r="F172" s="2147" t="s">
        <v>1408</v>
      </c>
      <c r="G172" s="2148">
        <v>2.04</v>
      </c>
    </row>
    <row r="173" spans="1:7" ht="20.100000000000001" hidden="1" customHeight="1" x14ac:dyDescent="0.25">
      <c r="A173" s="2150">
        <v>40544</v>
      </c>
      <c r="B173" s="2145">
        <v>220</v>
      </c>
      <c r="C173" s="2146">
        <v>985</v>
      </c>
      <c r="D173" s="2146">
        <v>14845</v>
      </c>
      <c r="E173" s="2146">
        <v>478.87</v>
      </c>
      <c r="F173" s="2147" t="s">
        <v>1409</v>
      </c>
      <c r="G173" s="2148">
        <v>2.0099999999999998</v>
      </c>
    </row>
    <row r="174" spans="1:7" ht="20.100000000000001" hidden="1" customHeight="1" x14ac:dyDescent="0.25">
      <c r="A174" s="2150">
        <v>40575</v>
      </c>
      <c r="B174" s="2145">
        <v>335</v>
      </c>
      <c r="C174" s="2146">
        <v>2350</v>
      </c>
      <c r="D174" s="2146">
        <v>25115</v>
      </c>
      <c r="E174" s="2146">
        <v>896.96</v>
      </c>
      <c r="F174" s="2147" t="s">
        <v>1410</v>
      </c>
      <c r="G174" s="2148">
        <v>1.86</v>
      </c>
    </row>
    <row r="175" spans="1:7" ht="20.100000000000001" hidden="1" customHeight="1" x14ac:dyDescent="0.25">
      <c r="A175" s="2150">
        <v>40603</v>
      </c>
      <c r="B175" s="2145">
        <v>20</v>
      </c>
      <c r="C175" s="2146">
        <v>2420</v>
      </c>
      <c r="D175" s="2146">
        <v>16505</v>
      </c>
      <c r="E175" s="2146">
        <v>611</v>
      </c>
      <c r="F175" s="2147" t="s">
        <v>1411</v>
      </c>
      <c r="G175" s="2148">
        <v>1.64</v>
      </c>
    </row>
    <row r="176" spans="1:7" ht="20.100000000000001" hidden="1" customHeight="1" x14ac:dyDescent="0.25">
      <c r="A176" s="2150">
        <v>40634</v>
      </c>
      <c r="B176" s="2145">
        <v>630</v>
      </c>
      <c r="C176" s="2146">
        <v>2200</v>
      </c>
      <c r="D176" s="2146">
        <v>40323</v>
      </c>
      <c r="E176" s="2146">
        <v>1344</v>
      </c>
      <c r="F176" s="2147" t="s">
        <v>1412</v>
      </c>
      <c r="G176" s="2148">
        <v>1.51</v>
      </c>
    </row>
    <row r="177" spans="1:7" ht="20.100000000000001" hidden="1" customHeight="1" x14ac:dyDescent="0.25">
      <c r="A177" s="2150">
        <v>40664</v>
      </c>
      <c r="B177" s="2145">
        <v>100</v>
      </c>
      <c r="C177" s="2146">
        <v>1975</v>
      </c>
      <c r="D177" s="2146">
        <v>25594</v>
      </c>
      <c r="E177" s="2146">
        <v>947.93</v>
      </c>
      <c r="F177" s="2147" t="s">
        <v>1413</v>
      </c>
      <c r="G177" s="2148">
        <v>1.4</v>
      </c>
    </row>
    <row r="178" spans="1:7" ht="20.100000000000001" hidden="1" customHeight="1" x14ac:dyDescent="0.25">
      <c r="A178" s="2150">
        <v>40695</v>
      </c>
      <c r="B178" s="2145">
        <v>100</v>
      </c>
      <c r="C178" s="2146">
        <v>1595</v>
      </c>
      <c r="D178" s="2146">
        <v>15057</v>
      </c>
      <c r="E178" s="2146">
        <v>501.9</v>
      </c>
      <c r="F178" s="2147" t="s">
        <v>1414</v>
      </c>
      <c r="G178" s="2148">
        <v>2.63</v>
      </c>
    </row>
    <row r="179" spans="1:7" ht="20.100000000000001" hidden="1" customHeight="1" x14ac:dyDescent="0.25">
      <c r="A179" s="2150">
        <v>40725</v>
      </c>
      <c r="B179" s="2145">
        <v>425</v>
      </c>
      <c r="C179" s="2146">
        <v>1525</v>
      </c>
      <c r="D179" s="2146">
        <v>34075</v>
      </c>
      <c r="E179" s="2146">
        <v>1099.19</v>
      </c>
      <c r="F179" s="2147" t="s">
        <v>1415</v>
      </c>
      <c r="G179" s="2148">
        <v>1.95</v>
      </c>
    </row>
    <row r="180" spans="1:7" ht="20.100000000000001" hidden="1" customHeight="1" x14ac:dyDescent="0.25">
      <c r="A180" s="2150">
        <v>40756</v>
      </c>
      <c r="B180" s="2145">
        <v>25</v>
      </c>
      <c r="C180" s="2146">
        <v>1895</v>
      </c>
      <c r="D180" s="2146">
        <v>34690</v>
      </c>
      <c r="E180" s="2146">
        <v>1156.33</v>
      </c>
      <c r="F180" s="2147" t="s">
        <v>1416</v>
      </c>
      <c r="G180" s="2148">
        <v>3.58</v>
      </c>
    </row>
    <row r="181" spans="1:7" ht="20.100000000000001" hidden="1" customHeight="1" x14ac:dyDescent="0.25">
      <c r="A181" s="2150">
        <v>40787</v>
      </c>
      <c r="B181" s="2145">
        <v>40</v>
      </c>
      <c r="C181" s="2146">
        <v>2025</v>
      </c>
      <c r="D181" s="2146">
        <v>15795</v>
      </c>
      <c r="E181" s="2146">
        <v>658.13</v>
      </c>
      <c r="F181" s="2147" t="s">
        <v>1417</v>
      </c>
      <c r="G181" s="2148">
        <v>3.27</v>
      </c>
    </row>
    <row r="182" spans="1:7" ht="20.100000000000001" hidden="1" customHeight="1" x14ac:dyDescent="0.25">
      <c r="A182" s="2150">
        <v>40817</v>
      </c>
      <c r="B182" s="2145">
        <v>100</v>
      </c>
      <c r="C182" s="2146">
        <v>2105</v>
      </c>
      <c r="D182" s="2146">
        <v>31715</v>
      </c>
      <c r="E182" s="2146">
        <v>1023.06</v>
      </c>
      <c r="F182" s="2147" t="s">
        <v>1418</v>
      </c>
      <c r="G182" s="2148">
        <v>2.61</v>
      </c>
    </row>
    <row r="183" spans="1:7" ht="20.100000000000001" hidden="1" customHeight="1" x14ac:dyDescent="0.25">
      <c r="A183" s="2150">
        <v>40848</v>
      </c>
      <c r="B183" s="2145">
        <v>50</v>
      </c>
      <c r="C183" s="2146">
        <v>2480</v>
      </c>
      <c r="D183" s="2146">
        <v>40844</v>
      </c>
      <c r="E183" s="2146">
        <v>1361</v>
      </c>
      <c r="F183" s="2147" t="s">
        <v>1359</v>
      </c>
      <c r="G183" s="2148">
        <v>2.96</v>
      </c>
    </row>
    <row r="184" spans="1:7" ht="20.100000000000001" hidden="1" customHeight="1" x14ac:dyDescent="0.25">
      <c r="A184" s="2150">
        <v>40878</v>
      </c>
      <c r="B184" s="2145">
        <v>30</v>
      </c>
      <c r="C184" s="2146">
        <v>2125</v>
      </c>
      <c r="D184" s="2146">
        <v>30845</v>
      </c>
      <c r="E184" s="2146">
        <v>1186.3499999999999</v>
      </c>
      <c r="F184" s="2147" t="s">
        <v>1419</v>
      </c>
      <c r="G184" s="2148">
        <v>3.32</v>
      </c>
    </row>
    <row r="185" spans="1:7" ht="20.100000000000001" hidden="1" customHeight="1" x14ac:dyDescent="0.25">
      <c r="A185" s="2150">
        <v>40909</v>
      </c>
      <c r="B185" s="2145">
        <v>110</v>
      </c>
      <c r="C185" s="2146">
        <v>1065</v>
      </c>
      <c r="D185" s="2146">
        <v>10195</v>
      </c>
      <c r="E185" s="2146">
        <v>407.8</v>
      </c>
      <c r="F185" s="2147" t="s">
        <v>1420</v>
      </c>
      <c r="G185" s="2148">
        <v>2.4</v>
      </c>
    </row>
    <row r="186" spans="1:7" ht="20.100000000000001" hidden="1" customHeight="1" x14ac:dyDescent="0.25">
      <c r="A186" s="2150">
        <v>40940</v>
      </c>
      <c r="B186" s="2145">
        <v>45</v>
      </c>
      <c r="C186" s="2146">
        <v>1485</v>
      </c>
      <c r="D186" s="2146">
        <v>17085</v>
      </c>
      <c r="E186" s="2146">
        <v>589.14</v>
      </c>
      <c r="F186" s="2147" t="s">
        <v>1421</v>
      </c>
      <c r="G186" s="2148">
        <v>2.34</v>
      </c>
    </row>
    <row r="187" spans="1:7" ht="20.100000000000001" hidden="1" customHeight="1" x14ac:dyDescent="0.25">
      <c r="A187" s="2150">
        <v>40969</v>
      </c>
      <c r="B187" s="2145">
        <v>40</v>
      </c>
      <c r="C187" s="2146">
        <v>1155</v>
      </c>
      <c r="D187" s="2146">
        <v>9890</v>
      </c>
      <c r="E187" s="2146">
        <v>353.21</v>
      </c>
      <c r="F187" s="2147" t="s">
        <v>1422</v>
      </c>
      <c r="G187" s="2148">
        <v>1.97</v>
      </c>
    </row>
    <row r="188" spans="1:7" ht="20.100000000000001" hidden="1" customHeight="1" x14ac:dyDescent="0.25">
      <c r="A188" s="2150">
        <v>41000</v>
      </c>
      <c r="B188" s="2145">
        <v>170</v>
      </c>
      <c r="C188" s="2146">
        <v>1685</v>
      </c>
      <c r="D188" s="2146">
        <v>22085</v>
      </c>
      <c r="E188" s="2146">
        <v>736.17</v>
      </c>
      <c r="F188" s="2147" t="s">
        <v>1423</v>
      </c>
      <c r="G188" s="2148">
        <v>1.87</v>
      </c>
    </row>
    <row r="189" spans="1:7" ht="20.100000000000001" hidden="1" customHeight="1" x14ac:dyDescent="0.25">
      <c r="A189" s="2150">
        <v>41030</v>
      </c>
      <c r="B189" s="2145">
        <v>50</v>
      </c>
      <c r="C189" s="2146">
        <v>1680</v>
      </c>
      <c r="D189" s="2146">
        <v>15635</v>
      </c>
      <c r="E189" s="2146">
        <v>504.35</v>
      </c>
      <c r="F189" s="2147" t="s">
        <v>1424</v>
      </c>
      <c r="G189" s="2148">
        <v>1.59</v>
      </c>
    </row>
    <row r="190" spans="1:7" ht="20.100000000000001" hidden="1" customHeight="1" x14ac:dyDescent="0.25">
      <c r="A190" s="2150">
        <v>41061</v>
      </c>
      <c r="B190" s="2145">
        <v>140</v>
      </c>
      <c r="C190" s="2146">
        <v>2230</v>
      </c>
      <c r="D190" s="2146">
        <v>27510</v>
      </c>
      <c r="E190" s="2146">
        <v>917</v>
      </c>
      <c r="F190" s="2147" t="s">
        <v>1425</v>
      </c>
      <c r="G190" s="2148">
        <v>1.75</v>
      </c>
    </row>
    <row r="191" spans="1:7" ht="20.100000000000001" hidden="1" customHeight="1" x14ac:dyDescent="0.25">
      <c r="A191" s="2150">
        <v>41091</v>
      </c>
      <c r="B191" s="2145">
        <v>25</v>
      </c>
      <c r="C191" s="2146">
        <v>1625</v>
      </c>
      <c r="D191" s="2146">
        <v>15695</v>
      </c>
      <c r="E191" s="2146">
        <v>506</v>
      </c>
      <c r="F191" s="2147" t="s">
        <v>1426</v>
      </c>
      <c r="G191" s="2148">
        <v>1.91</v>
      </c>
    </row>
    <row r="192" spans="1:7" ht="20.100000000000001" hidden="1" customHeight="1" x14ac:dyDescent="0.25">
      <c r="A192" s="2150">
        <v>41122</v>
      </c>
      <c r="B192" s="2145">
        <v>65</v>
      </c>
      <c r="C192" s="2146">
        <v>1630</v>
      </c>
      <c r="D192" s="2146">
        <v>22930</v>
      </c>
      <c r="E192" s="2146">
        <v>739.68</v>
      </c>
      <c r="F192" s="2147" t="s">
        <v>1427</v>
      </c>
      <c r="G192" s="2148">
        <v>1.85</v>
      </c>
    </row>
    <row r="193" spans="1:7" ht="20.100000000000001" hidden="1" customHeight="1" x14ac:dyDescent="0.25">
      <c r="A193" s="2150">
        <v>41153</v>
      </c>
      <c r="B193" s="2145">
        <v>15</v>
      </c>
      <c r="C193" s="2146">
        <v>575</v>
      </c>
      <c r="D193" s="2146">
        <v>6885</v>
      </c>
      <c r="E193" s="2146">
        <v>286.88</v>
      </c>
      <c r="F193" s="2147" t="s">
        <v>1428</v>
      </c>
      <c r="G193" s="2148">
        <v>1.67</v>
      </c>
    </row>
    <row r="194" spans="1:7" ht="20.100000000000001" hidden="1" customHeight="1" x14ac:dyDescent="0.25">
      <c r="A194" s="2150">
        <v>41183</v>
      </c>
      <c r="B194" s="2145">
        <v>60</v>
      </c>
      <c r="C194" s="2146">
        <v>980</v>
      </c>
      <c r="D194" s="2146">
        <v>12570</v>
      </c>
      <c r="E194" s="2146">
        <v>433.45</v>
      </c>
      <c r="F194" s="2147" t="s">
        <v>1429</v>
      </c>
      <c r="G194" s="2148">
        <v>1.57</v>
      </c>
    </row>
    <row r="195" spans="1:7" ht="20.100000000000001" hidden="1" customHeight="1" x14ac:dyDescent="0.25">
      <c r="A195" s="2150">
        <v>41214</v>
      </c>
      <c r="B195" s="2145">
        <v>415</v>
      </c>
      <c r="C195" s="2146">
        <v>2180</v>
      </c>
      <c r="D195" s="2146">
        <v>37795</v>
      </c>
      <c r="E195" s="2146">
        <v>1259.83</v>
      </c>
      <c r="F195" s="2147" t="s">
        <v>1430</v>
      </c>
      <c r="G195" s="2148">
        <v>1.53</v>
      </c>
    </row>
    <row r="196" spans="1:7" ht="20.100000000000001" hidden="1" customHeight="1" x14ac:dyDescent="0.25">
      <c r="A196" s="2150">
        <v>41244</v>
      </c>
      <c r="B196" s="2145">
        <v>160</v>
      </c>
      <c r="C196" s="2146">
        <v>1650</v>
      </c>
      <c r="D196" s="2146">
        <v>26110</v>
      </c>
      <c r="E196" s="2146">
        <v>842.26</v>
      </c>
      <c r="F196" s="2147" t="s">
        <v>1431</v>
      </c>
      <c r="G196" s="2148">
        <v>1.61</v>
      </c>
    </row>
    <row r="197" spans="1:7" ht="20.100000000000001" hidden="1" customHeight="1" x14ac:dyDescent="0.25">
      <c r="A197" s="2150">
        <v>41275</v>
      </c>
      <c r="B197" s="2145">
        <v>75</v>
      </c>
      <c r="C197" s="2146">
        <v>1210</v>
      </c>
      <c r="D197" s="2146">
        <v>9470</v>
      </c>
      <c r="E197" s="2146">
        <v>305.48</v>
      </c>
      <c r="F197" s="2147" t="s">
        <v>1432</v>
      </c>
      <c r="G197" s="2148">
        <v>1.49</v>
      </c>
    </row>
    <row r="198" spans="1:7" ht="20.100000000000001" hidden="1" customHeight="1" x14ac:dyDescent="0.25">
      <c r="A198" s="2150">
        <v>41306</v>
      </c>
      <c r="B198" s="2145">
        <v>50</v>
      </c>
      <c r="C198" s="2146">
        <v>1655</v>
      </c>
      <c r="D198" s="2146">
        <v>22350</v>
      </c>
      <c r="E198" s="2146">
        <v>798.21</v>
      </c>
      <c r="F198" s="2147" t="s">
        <v>1351</v>
      </c>
      <c r="G198" s="2148">
        <v>1.42</v>
      </c>
    </row>
    <row r="199" spans="1:7" ht="20.100000000000001" hidden="1" customHeight="1" x14ac:dyDescent="0.25">
      <c r="A199" s="2150">
        <v>41334</v>
      </c>
      <c r="B199" s="2145">
        <v>30</v>
      </c>
      <c r="C199" s="2146">
        <v>2200</v>
      </c>
      <c r="D199" s="2146">
        <v>27940</v>
      </c>
      <c r="E199" s="2146">
        <v>901.29</v>
      </c>
      <c r="F199" s="2147" t="s">
        <v>1433</v>
      </c>
      <c r="G199" s="2148">
        <v>1.36</v>
      </c>
    </row>
    <row r="200" spans="1:7" ht="20.100000000000001" hidden="1" customHeight="1" x14ac:dyDescent="0.25">
      <c r="A200" s="2150">
        <v>41365</v>
      </c>
      <c r="B200" s="2145">
        <v>265</v>
      </c>
      <c r="C200" s="2146">
        <v>1855</v>
      </c>
      <c r="D200" s="2146">
        <v>28346</v>
      </c>
      <c r="E200" s="2146">
        <v>944.87</v>
      </c>
      <c r="F200" s="2147" t="s">
        <v>1434</v>
      </c>
      <c r="G200" s="2148">
        <v>1.36</v>
      </c>
    </row>
    <row r="201" spans="1:7" ht="20.100000000000001" hidden="1" customHeight="1" x14ac:dyDescent="0.25">
      <c r="A201" s="2150">
        <v>41395</v>
      </c>
      <c r="B201" s="2145">
        <v>70</v>
      </c>
      <c r="C201" s="2146">
        <v>1735</v>
      </c>
      <c r="D201" s="2146">
        <v>24695</v>
      </c>
      <c r="E201" s="2146">
        <v>796.61</v>
      </c>
      <c r="F201" s="2147" t="s">
        <v>1434</v>
      </c>
      <c r="G201" s="2148">
        <v>1.36</v>
      </c>
    </row>
    <row r="202" spans="1:7" ht="20.100000000000001" hidden="1" customHeight="1" x14ac:dyDescent="0.25">
      <c r="A202" s="2150">
        <v>41426</v>
      </c>
      <c r="B202" s="2145">
        <v>405</v>
      </c>
      <c r="C202" s="2146">
        <v>1325</v>
      </c>
      <c r="D202" s="2146">
        <v>21281.5</v>
      </c>
      <c r="E202" s="2146">
        <v>709.38</v>
      </c>
      <c r="F202" s="2147" t="s">
        <v>1435</v>
      </c>
      <c r="G202" s="2148">
        <v>1.99</v>
      </c>
    </row>
    <row r="203" spans="1:7" ht="20.100000000000001" hidden="1" customHeight="1" x14ac:dyDescent="0.25">
      <c r="A203" s="2150">
        <v>41456</v>
      </c>
      <c r="B203" s="2145">
        <v>125</v>
      </c>
      <c r="C203" s="2146">
        <v>1910</v>
      </c>
      <c r="D203" s="2146">
        <v>31140</v>
      </c>
      <c r="E203" s="2146">
        <v>1004.52</v>
      </c>
      <c r="F203" s="2147" t="s">
        <v>1436</v>
      </c>
      <c r="G203" s="2148">
        <v>2.0099999999999998</v>
      </c>
    </row>
    <row r="204" spans="1:7" ht="20.100000000000001" hidden="1" customHeight="1" x14ac:dyDescent="0.25">
      <c r="A204" s="2150">
        <v>41487</v>
      </c>
      <c r="B204" s="2145">
        <v>140</v>
      </c>
      <c r="C204" s="2146">
        <v>920</v>
      </c>
      <c r="D204" s="2146">
        <v>17510</v>
      </c>
      <c r="E204" s="2146">
        <v>564.84</v>
      </c>
      <c r="F204" s="2147" t="s">
        <v>1437</v>
      </c>
      <c r="G204" s="2148">
        <v>1.68</v>
      </c>
    </row>
    <row r="205" spans="1:7" ht="20.100000000000001" hidden="1" customHeight="1" x14ac:dyDescent="0.25">
      <c r="A205" s="2150">
        <v>41518</v>
      </c>
      <c r="B205" s="2145">
        <v>60</v>
      </c>
      <c r="C205" s="2146">
        <v>1625</v>
      </c>
      <c r="D205" s="2146">
        <v>23310</v>
      </c>
      <c r="E205" s="2146">
        <v>777</v>
      </c>
      <c r="F205" s="2147" t="s">
        <v>1437</v>
      </c>
      <c r="G205" s="2148">
        <v>1.64</v>
      </c>
    </row>
    <row r="206" spans="1:7" ht="20.100000000000001" hidden="1" customHeight="1" x14ac:dyDescent="0.25">
      <c r="A206" s="2150">
        <v>41548</v>
      </c>
      <c r="B206" s="2145">
        <v>990</v>
      </c>
      <c r="C206" s="2146">
        <v>2560</v>
      </c>
      <c r="D206" s="2146">
        <v>56785</v>
      </c>
      <c r="E206" s="2146">
        <v>1831.77</v>
      </c>
      <c r="F206" s="2147" t="s">
        <v>1438</v>
      </c>
      <c r="G206" s="2148">
        <v>2.5299999999999998</v>
      </c>
    </row>
    <row r="207" spans="1:7" ht="20.100000000000001" hidden="1" customHeight="1" x14ac:dyDescent="0.25">
      <c r="A207" s="2150">
        <v>41579</v>
      </c>
      <c r="B207" s="2145">
        <v>225</v>
      </c>
      <c r="C207" s="2146">
        <v>2780</v>
      </c>
      <c r="D207" s="2146">
        <v>48017</v>
      </c>
      <c r="E207" s="2146">
        <v>1600.57</v>
      </c>
      <c r="F207" s="2147" t="s">
        <v>1439</v>
      </c>
      <c r="G207" s="2148">
        <v>3.58</v>
      </c>
    </row>
    <row r="208" spans="1:7" ht="20.100000000000001" hidden="1" customHeight="1" x14ac:dyDescent="0.25">
      <c r="A208" s="2150">
        <v>41609</v>
      </c>
      <c r="B208" s="2145">
        <v>310</v>
      </c>
      <c r="C208" s="2146">
        <v>2825</v>
      </c>
      <c r="D208" s="2146">
        <v>47480</v>
      </c>
      <c r="E208" s="2146">
        <v>1531.61</v>
      </c>
      <c r="F208" s="2147" t="s">
        <v>1440</v>
      </c>
      <c r="G208" s="2148">
        <v>3.52</v>
      </c>
    </row>
    <row r="209" spans="1:7" ht="20.100000000000001" hidden="1" customHeight="1" x14ac:dyDescent="0.25">
      <c r="A209" s="2150">
        <v>41640</v>
      </c>
      <c r="B209" s="2145">
        <v>5</v>
      </c>
      <c r="C209" s="2146">
        <v>2000</v>
      </c>
      <c r="D209" s="2146">
        <v>12670</v>
      </c>
      <c r="E209" s="2146">
        <v>436.9</v>
      </c>
      <c r="F209" s="2147" t="s">
        <v>1441</v>
      </c>
      <c r="G209" s="2148">
        <v>3.63</v>
      </c>
    </row>
    <row r="210" spans="1:7" ht="20.100000000000001" hidden="1" customHeight="1" x14ac:dyDescent="0.25">
      <c r="A210" s="2150">
        <v>41671</v>
      </c>
      <c r="B210" s="2145">
        <v>30</v>
      </c>
      <c r="C210" s="2146">
        <v>520</v>
      </c>
      <c r="D210" s="2146">
        <v>6385</v>
      </c>
      <c r="E210" s="2146">
        <v>228.04</v>
      </c>
      <c r="F210" s="2147" t="s">
        <v>1442</v>
      </c>
      <c r="G210" s="2148">
        <v>2.6</v>
      </c>
    </row>
    <row r="211" spans="1:7" ht="20.100000000000001" hidden="1" customHeight="1" x14ac:dyDescent="0.25">
      <c r="A211" s="2150">
        <v>41699</v>
      </c>
      <c r="B211" s="2145">
        <v>10</v>
      </c>
      <c r="C211" s="2146">
        <v>260</v>
      </c>
      <c r="D211" s="2146">
        <v>1660</v>
      </c>
      <c r="E211" s="2146">
        <v>111</v>
      </c>
      <c r="F211" s="2147" t="s">
        <v>1443</v>
      </c>
      <c r="G211" s="2148">
        <v>2.35</v>
      </c>
    </row>
    <row r="212" spans="1:7" ht="20.100000000000001" hidden="1" customHeight="1" x14ac:dyDescent="0.25">
      <c r="A212" s="2150">
        <v>41730</v>
      </c>
      <c r="B212" s="2145">
        <v>25</v>
      </c>
      <c r="C212" s="2146">
        <v>550</v>
      </c>
      <c r="D212" s="2146">
        <v>2815</v>
      </c>
      <c r="E212" s="2146">
        <v>112.6</v>
      </c>
      <c r="F212" s="2147" t="s">
        <v>1444</v>
      </c>
      <c r="G212" s="2148">
        <v>2.0299999999999998</v>
      </c>
    </row>
    <row r="213" spans="1:7" ht="20.100000000000001" hidden="1" customHeight="1" x14ac:dyDescent="0.25">
      <c r="A213" s="2150">
        <v>41760</v>
      </c>
      <c r="B213" s="2145">
        <v>105</v>
      </c>
      <c r="C213" s="2146">
        <v>1100</v>
      </c>
      <c r="D213" s="2146">
        <v>9525</v>
      </c>
      <c r="E213" s="2146">
        <v>340.18</v>
      </c>
      <c r="F213" s="2147" t="s">
        <v>1445</v>
      </c>
      <c r="G213" s="2148">
        <v>1.77</v>
      </c>
    </row>
    <row r="214" spans="1:7" ht="20.100000000000001" hidden="1" customHeight="1" x14ac:dyDescent="0.25">
      <c r="A214" s="2150">
        <v>41791</v>
      </c>
      <c r="B214" s="2145">
        <v>100</v>
      </c>
      <c r="C214" s="2146">
        <v>1195</v>
      </c>
      <c r="D214" s="2146">
        <v>8640</v>
      </c>
      <c r="E214" s="2146">
        <v>360</v>
      </c>
      <c r="F214" s="2147" t="s">
        <v>1446</v>
      </c>
      <c r="G214" s="2148">
        <v>1.49</v>
      </c>
    </row>
    <row r="215" spans="1:7" ht="20.100000000000001" hidden="1" customHeight="1" x14ac:dyDescent="0.25">
      <c r="A215" s="2150">
        <v>41821</v>
      </c>
      <c r="B215" s="2145">
        <v>20</v>
      </c>
      <c r="C215" s="2146">
        <v>2385</v>
      </c>
      <c r="D215" s="2146">
        <v>20495</v>
      </c>
      <c r="E215" s="2146">
        <v>683.17</v>
      </c>
      <c r="F215" s="2147" t="s">
        <v>1447</v>
      </c>
      <c r="G215" s="2148">
        <v>1.2</v>
      </c>
    </row>
    <row r="216" spans="1:7" ht="20.100000000000001" hidden="1" customHeight="1" x14ac:dyDescent="0.25">
      <c r="A216" s="2150">
        <v>41852</v>
      </c>
      <c r="B216" s="2145">
        <v>200</v>
      </c>
      <c r="C216" s="2146">
        <v>2475</v>
      </c>
      <c r="D216" s="2146">
        <v>47715</v>
      </c>
      <c r="E216" s="2146">
        <v>1539.19</v>
      </c>
      <c r="F216" s="2147" t="s">
        <v>1448</v>
      </c>
      <c r="G216" s="2148">
        <v>0.98</v>
      </c>
    </row>
    <row r="217" spans="1:7" ht="20.100000000000001" hidden="1" customHeight="1" x14ac:dyDescent="0.25">
      <c r="A217" s="2150">
        <v>41883</v>
      </c>
      <c r="B217" s="2145">
        <v>1070</v>
      </c>
      <c r="C217" s="2146">
        <v>2840</v>
      </c>
      <c r="D217" s="2146">
        <v>57825</v>
      </c>
      <c r="E217" s="2146">
        <v>1927.5</v>
      </c>
      <c r="F217" s="2147" t="s">
        <v>1449</v>
      </c>
      <c r="G217" s="2148">
        <v>0.75</v>
      </c>
    </row>
    <row r="218" spans="1:7" ht="20.100000000000001" hidden="1" customHeight="1" x14ac:dyDescent="0.25">
      <c r="A218" s="2150">
        <v>41913</v>
      </c>
      <c r="B218" s="2145">
        <v>290</v>
      </c>
      <c r="C218" s="2146">
        <v>2710</v>
      </c>
      <c r="D218" s="2146">
        <v>53324</v>
      </c>
      <c r="E218" s="2146">
        <v>1720.13</v>
      </c>
      <c r="F218" s="2147" t="s">
        <v>1450</v>
      </c>
      <c r="G218" s="2148">
        <v>0.72</v>
      </c>
    </row>
    <row r="219" spans="1:7" ht="20.100000000000001" hidden="1" customHeight="1" x14ac:dyDescent="0.25">
      <c r="A219" s="2150">
        <v>41944</v>
      </c>
      <c r="B219" s="2145">
        <v>125</v>
      </c>
      <c r="C219" s="2146">
        <v>1800</v>
      </c>
      <c r="D219" s="2146">
        <v>30475</v>
      </c>
      <c r="E219" s="2146">
        <v>1015.83</v>
      </c>
      <c r="F219" s="2147" t="s">
        <v>1451</v>
      </c>
      <c r="G219" s="2148">
        <v>0.63</v>
      </c>
    </row>
    <row r="220" spans="1:7" ht="20.100000000000001" hidden="1" customHeight="1" x14ac:dyDescent="0.25">
      <c r="A220" s="2150">
        <v>41974</v>
      </c>
      <c r="B220" s="2145">
        <v>1105</v>
      </c>
      <c r="C220" s="2146">
        <v>2880</v>
      </c>
      <c r="D220" s="2146">
        <v>62445</v>
      </c>
      <c r="E220" s="2146">
        <v>2014.35</v>
      </c>
      <c r="F220" s="2147" t="s">
        <v>1452</v>
      </c>
      <c r="G220" s="2148">
        <v>2.2999999999999998</v>
      </c>
    </row>
    <row r="221" spans="1:7" ht="20.100000000000001" hidden="1" customHeight="1" x14ac:dyDescent="0.25">
      <c r="A221" s="2150">
        <v>42005</v>
      </c>
      <c r="B221" s="2145">
        <v>175</v>
      </c>
      <c r="C221" s="2146">
        <v>1150</v>
      </c>
      <c r="D221" s="2146">
        <v>18123</v>
      </c>
      <c r="E221" s="2146">
        <v>584.61</v>
      </c>
      <c r="F221" s="2147" t="s">
        <v>1453</v>
      </c>
      <c r="G221" s="2148">
        <v>2.5299999999999998</v>
      </c>
    </row>
    <row r="222" spans="1:7" ht="20.100000000000001" hidden="1" customHeight="1" x14ac:dyDescent="0.25">
      <c r="A222" s="2150">
        <v>42036</v>
      </c>
      <c r="B222" s="2145">
        <v>95</v>
      </c>
      <c r="C222" s="2146">
        <v>1460</v>
      </c>
      <c r="D222" s="2146">
        <v>20972</v>
      </c>
      <c r="E222" s="2146">
        <v>749</v>
      </c>
      <c r="F222" s="2147" t="s">
        <v>1454</v>
      </c>
      <c r="G222" s="2148">
        <v>2.0299999999999998</v>
      </c>
    </row>
    <row r="223" spans="1:7" ht="20.100000000000001" hidden="1" customHeight="1" x14ac:dyDescent="0.25">
      <c r="A223" s="2150">
        <v>42064</v>
      </c>
      <c r="B223" s="2145">
        <v>50</v>
      </c>
      <c r="C223" s="2146">
        <v>1175</v>
      </c>
      <c r="D223" s="2146">
        <v>10260</v>
      </c>
      <c r="E223" s="2146">
        <v>330.97</v>
      </c>
      <c r="F223" s="2147" t="s">
        <v>1455</v>
      </c>
      <c r="G223" s="2148">
        <v>1.91</v>
      </c>
    </row>
    <row r="224" spans="1:7" ht="20.100000000000001" hidden="1" customHeight="1" x14ac:dyDescent="0.25">
      <c r="A224" s="2150">
        <v>42095</v>
      </c>
      <c r="B224" s="2145">
        <v>100</v>
      </c>
      <c r="C224" s="2146">
        <v>800</v>
      </c>
      <c r="D224" s="2146">
        <v>9785</v>
      </c>
      <c r="E224" s="2146">
        <v>349.46</v>
      </c>
      <c r="F224" s="2147" t="s">
        <v>1456</v>
      </c>
      <c r="G224" s="2148">
        <v>1.68</v>
      </c>
    </row>
    <row r="225" spans="1:7" ht="20.100000000000001" hidden="1" customHeight="1" x14ac:dyDescent="0.25">
      <c r="A225" s="2150">
        <v>42125</v>
      </c>
      <c r="B225" s="2145">
        <v>40</v>
      </c>
      <c r="C225" s="2146">
        <v>165</v>
      </c>
      <c r="D225" s="2146">
        <v>960</v>
      </c>
      <c r="E225" s="2146">
        <v>120</v>
      </c>
      <c r="F225" s="2147" t="s">
        <v>1457</v>
      </c>
      <c r="G225" s="2148">
        <v>1.47</v>
      </c>
    </row>
    <row r="226" spans="1:7" ht="20.100000000000001" hidden="1" customHeight="1" x14ac:dyDescent="0.25">
      <c r="A226" s="2150">
        <v>42156</v>
      </c>
      <c r="B226" s="2145">
        <v>25</v>
      </c>
      <c r="C226" s="2146">
        <v>425</v>
      </c>
      <c r="D226" s="2146">
        <v>2335</v>
      </c>
      <c r="E226" s="2146">
        <v>194.58</v>
      </c>
      <c r="F226" s="2147" t="s">
        <v>1348</v>
      </c>
      <c r="G226" s="2148">
        <v>1.06</v>
      </c>
    </row>
    <row r="227" spans="1:7" ht="20.100000000000001" hidden="1" customHeight="1" x14ac:dyDescent="0.25">
      <c r="A227" s="2150">
        <v>42186</v>
      </c>
      <c r="B227" s="2145">
        <v>25</v>
      </c>
      <c r="C227" s="2146">
        <v>100</v>
      </c>
      <c r="D227" s="2146">
        <v>445</v>
      </c>
      <c r="E227" s="2146">
        <v>55.63</v>
      </c>
      <c r="F227" s="2147" t="s">
        <v>1344</v>
      </c>
      <c r="G227" s="2148">
        <v>0.99</v>
      </c>
    </row>
    <row r="228" spans="1:7" ht="20.100000000000001" hidden="1" customHeight="1" x14ac:dyDescent="0.25">
      <c r="A228" s="2150">
        <v>42217</v>
      </c>
      <c r="B228" s="2145">
        <v>250</v>
      </c>
      <c r="C228" s="2146">
        <v>1880</v>
      </c>
      <c r="D228" s="2146">
        <v>7560</v>
      </c>
      <c r="E228" s="2146">
        <v>687.27</v>
      </c>
      <c r="F228" s="2147" t="s">
        <v>1458</v>
      </c>
      <c r="G228" s="2148">
        <v>1.1000000000000001</v>
      </c>
    </row>
    <row r="229" spans="1:7" ht="20.100000000000001" hidden="1" customHeight="1" x14ac:dyDescent="0.25">
      <c r="A229" s="2150">
        <v>42248</v>
      </c>
      <c r="B229" s="2145">
        <v>16</v>
      </c>
      <c r="C229" s="2146">
        <v>530</v>
      </c>
      <c r="D229" s="2146">
        <v>5116</v>
      </c>
      <c r="E229" s="2146">
        <v>222.43</v>
      </c>
      <c r="F229" s="2147" t="s">
        <v>1459</v>
      </c>
      <c r="G229" s="2148">
        <v>1.18</v>
      </c>
    </row>
    <row r="230" spans="1:7" ht="20.100000000000001" hidden="1" customHeight="1" x14ac:dyDescent="0.25">
      <c r="A230" s="2150">
        <v>42278</v>
      </c>
      <c r="B230" s="2145">
        <v>25</v>
      </c>
      <c r="C230" s="2146">
        <v>1095</v>
      </c>
      <c r="D230" s="2146">
        <v>6250</v>
      </c>
      <c r="E230" s="2146">
        <v>297.62</v>
      </c>
      <c r="F230" s="2147" t="s">
        <v>1460</v>
      </c>
      <c r="G230" s="2148">
        <v>1.1100000000000001</v>
      </c>
    </row>
    <row r="231" spans="1:7" ht="20.100000000000001" hidden="1" customHeight="1" x14ac:dyDescent="0.25">
      <c r="A231" s="2150">
        <v>42309</v>
      </c>
      <c r="B231" s="2145">
        <v>80</v>
      </c>
      <c r="C231" s="2146">
        <v>515</v>
      </c>
      <c r="D231" s="2146">
        <v>8780</v>
      </c>
      <c r="E231" s="2146">
        <v>313.57</v>
      </c>
      <c r="F231" s="2147" t="s">
        <v>1461</v>
      </c>
      <c r="G231" s="2148">
        <v>1.1100000000000001</v>
      </c>
    </row>
    <row r="232" spans="1:7" ht="20.100000000000001" hidden="1" customHeight="1" x14ac:dyDescent="0.25">
      <c r="A232" s="2160">
        <v>42339</v>
      </c>
      <c r="B232" s="2161">
        <v>100</v>
      </c>
      <c r="C232" s="2162">
        <v>555</v>
      </c>
      <c r="D232" s="2162">
        <v>9405</v>
      </c>
      <c r="E232" s="2162">
        <v>303.39</v>
      </c>
      <c r="F232" s="2163" t="s">
        <v>1341</v>
      </c>
      <c r="G232" s="2164">
        <v>1.28</v>
      </c>
    </row>
    <row r="233" spans="1:7" ht="20.100000000000001" hidden="1" customHeight="1" x14ac:dyDescent="0.25">
      <c r="A233" s="2150">
        <v>42370</v>
      </c>
      <c r="B233" s="2145">
        <v>20</v>
      </c>
      <c r="C233" s="2146">
        <v>420</v>
      </c>
      <c r="D233" s="2146">
        <v>5370</v>
      </c>
      <c r="E233" s="2146">
        <v>173.23</v>
      </c>
      <c r="F233" s="2147" t="s">
        <v>1462</v>
      </c>
      <c r="G233" s="2148">
        <v>1.6</v>
      </c>
    </row>
    <row r="234" spans="1:7" ht="20.100000000000001" hidden="1" customHeight="1" x14ac:dyDescent="0.25">
      <c r="A234" s="2150">
        <v>42401</v>
      </c>
      <c r="B234" s="2145">
        <v>105</v>
      </c>
      <c r="C234" s="2146">
        <v>1830</v>
      </c>
      <c r="D234" s="2146">
        <v>20405</v>
      </c>
      <c r="E234" s="2146">
        <v>703.62</v>
      </c>
      <c r="F234" s="2147" t="s">
        <v>1463</v>
      </c>
      <c r="G234" s="2148">
        <v>1.56</v>
      </c>
    </row>
    <row r="235" spans="1:7" ht="20.100000000000001" hidden="1" customHeight="1" x14ac:dyDescent="0.25">
      <c r="A235" s="2150">
        <v>42430</v>
      </c>
      <c r="B235" s="2145">
        <v>125</v>
      </c>
      <c r="C235" s="2146">
        <v>775</v>
      </c>
      <c r="D235" s="2146">
        <v>8305</v>
      </c>
      <c r="E235" s="2146">
        <v>319.42</v>
      </c>
      <c r="F235" s="2147" t="s">
        <v>1464</v>
      </c>
      <c r="G235" s="2148">
        <v>1.46</v>
      </c>
    </row>
    <row r="236" spans="1:7" ht="20.100000000000001" hidden="1" customHeight="1" x14ac:dyDescent="0.25">
      <c r="A236" s="2150">
        <v>42461</v>
      </c>
      <c r="B236" s="2145">
        <v>250</v>
      </c>
      <c r="C236" s="2146">
        <v>1980</v>
      </c>
      <c r="D236" s="2146">
        <v>24710</v>
      </c>
      <c r="E236" s="2146">
        <v>823.67</v>
      </c>
      <c r="F236" s="2147" t="s">
        <v>1465</v>
      </c>
      <c r="G236" s="2148">
        <v>1.45</v>
      </c>
    </row>
    <row r="237" spans="1:7" ht="20.100000000000001" hidden="1" customHeight="1" x14ac:dyDescent="0.25">
      <c r="A237" s="2150">
        <v>42491</v>
      </c>
      <c r="B237" s="2145">
        <v>30</v>
      </c>
      <c r="C237" s="2146">
        <v>1980</v>
      </c>
      <c r="D237" s="2146">
        <v>4920</v>
      </c>
      <c r="E237" s="2146">
        <v>378.46</v>
      </c>
      <c r="F237" s="2147" t="s">
        <v>1354</v>
      </c>
      <c r="G237" s="2148">
        <v>1.58</v>
      </c>
    </row>
    <row r="238" spans="1:7" ht="20.100000000000001" hidden="1" customHeight="1" x14ac:dyDescent="0.25">
      <c r="A238" s="2150">
        <v>42522</v>
      </c>
      <c r="B238" s="2145">
        <v>30</v>
      </c>
      <c r="C238" s="2146">
        <v>975</v>
      </c>
      <c r="D238" s="2146">
        <v>13740</v>
      </c>
      <c r="E238" s="2146">
        <v>528.46</v>
      </c>
      <c r="F238" s="2147" t="s">
        <v>1466</v>
      </c>
      <c r="G238" s="2148">
        <v>1.38</v>
      </c>
    </row>
    <row r="239" spans="1:7" ht="20.100000000000001" hidden="1" customHeight="1" x14ac:dyDescent="0.25">
      <c r="A239" s="2150">
        <v>42552</v>
      </c>
      <c r="B239" s="2145">
        <v>100</v>
      </c>
      <c r="C239" s="2146">
        <v>2830</v>
      </c>
      <c r="D239" s="2146">
        <v>30170</v>
      </c>
      <c r="E239" s="2146">
        <v>1005.67</v>
      </c>
      <c r="F239" s="2147" t="s">
        <v>1436</v>
      </c>
      <c r="G239" s="2148">
        <v>2.63</v>
      </c>
    </row>
    <row r="240" spans="1:7" ht="20.100000000000001" hidden="1" customHeight="1" x14ac:dyDescent="0.25">
      <c r="A240" s="2150">
        <v>42583</v>
      </c>
      <c r="B240" s="2145">
        <v>100</v>
      </c>
      <c r="C240" s="2146">
        <v>775</v>
      </c>
      <c r="D240" s="2146">
        <v>10245</v>
      </c>
      <c r="E240" s="2146">
        <v>330.48</v>
      </c>
      <c r="F240" s="2147" t="s">
        <v>1467</v>
      </c>
      <c r="G240" s="2148">
        <v>1.423</v>
      </c>
    </row>
    <row r="241" spans="1:7" ht="20.100000000000001" hidden="1" customHeight="1" x14ac:dyDescent="0.25">
      <c r="A241" s="2150">
        <v>42614</v>
      </c>
      <c r="B241" s="2145">
        <v>75</v>
      </c>
      <c r="C241" s="2146">
        <v>1005</v>
      </c>
      <c r="D241" s="2146">
        <v>13065</v>
      </c>
      <c r="E241" s="2146">
        <v>522.6</v>
      </c>
      <c r="F241" s="2147" t="s">
        <v>1468</v>
      </c>
      <c r="G241" s="2148">
        <v>1.37</v>
      </c>
    </row>
    <row r="242" spans="1:7" ht="20.100000000000001" hidden="1" customHeight="1" x14ac:dyDescent="0.25">
      <c r="A242" s="2150">
        <v>42644</v>
      </c>
      <c r="B242" s="2145">
        <v>200</v>
      </c>
      <c r="C242" s="2146">
        <v>2010</v>
      </c>
      <c r="D242" s="2146">
        <v>25120</v>
      </c>
      <c r="E242" s="2146">
        <v>810</v>
      </c>
      <c r="F242" s="2147" t="s">
        <v>1468</v>
      </c>
      <c r="G242" s="2148">
        <v>1.39</v>
      </c>
    </row>
    <row r="243" spans="1:7" ht="20.100000000000001" hidden="1" customHeight="1" x14ac:dyDescent="0.25">
      <c r="A243" s="2150">
        <v>42675</v>
      </c>
      <c r="B243" s="2145">
        <v>100</v>
      </c>
      <c r="C243" s="2146">
        <v>1780</v>
      </c>
      <c r="D243" s="2146">
        <v>16430</v>
      </c>
      <c r="E243" s="2146">
        <v>547.66999999999996</v>
      </c>
      <c r="F243" s="2147" t="s">
        <v>1469</v>
      </c>
      <c r="G243" s="2148">
        <v>1.66</v>
      </c>
    </row>
    <row r="244" spans="1:7" ht="20.100000000000001" hidden="1" customHeight="1" x14ac:dyDescent="0.25">
      <c r="A244" s="2150">
        <v>42705</v>
      </c>
      <c r="B244" s="2145">
        <v>50</v>
      </c>
      <c r="C244" s="2146">
        <v>420</v>
      </c>
      <c r="D244" s="2146">
        <v>5285</v>
      </c>
      <c r="E244" s="2146">
        <v>170.48</v>
      </c>
      <c r="F244" s="2147" t="s">
        <v>1464</v>
      </c>
      <c r="G244" s="2148">
        <v>1.52</v>
      </c>
    </row>
    <row r="245" spans="1:7" ht="20.100000000000001" hidden="1" customHeight="1" x14ac:dyDescent="0.25">
      <c r="A245" s="2165">
        <v>42736</v>
      </c>
      <c r="B245" s="2166">
        <v>50</v>
      </c>
      <c r="C245" s="2167">
        <v>250</v>
      </c>
      <c r="D245" s="2167">
        <v>3100</v>
      </c>
      <c r="E245" s="2167">
        <v>124</v>
      </c>
      <c r="F245" s="2154" t="s">
        <v>1470</v>
      </c>
      <c r="G245" s="2168">
        <v>1.31</v>
      </c>
    </row>
    <row r="246" spans="1:7" ht="20.100000000000001" hidden="1" customHeight="1" x14ac:dyDescent="0.25">
      <c r="A246" s="2150">
        <v>42767</v>
      </c>
      <c r="B246" s="2145">
        <v>50</v>
      </c>
      <c r="C246" s="2146">
        <v>600</v>
      </c>
      <c r="D246" s="2146">
        <v>4891</v>
      </c>
      <c r="E246" s="2146">
        <v>232.9</v>
      </c>
      <c r="F246" s="2147" t="s">
        <v>1471</v>
      </c>
      <c r="G246" s="2148">
        <v>1.08</v>
      </c>
    </row>
    <row r="247" spans="1:7" ht="20.100000000000001" hidden="1" customHeight="1" x14ac:dyDescent="0.25">
      <c r="A247" s="2150">
        <v>42795</v>
      </c>
      <c r="B247" s="2145">
        <v>70.5</v>
      </c>
      <c r="C247" s="2146">
        <v>1205.5</v>
      </c>
      <c r="D247" s="2146">
        <v>15525.5</v>
      </c>
      <c r="E247" s="2146">
        <v>500.82</v>
      </c>
      <c r="F247" s="2147" t="s">
        <v>1471</v>
      </c>
      <c r="G247" s="2148">
        <v>1.1499999999999999</v>
      </c>
    </row>
    <row r="248" spans="1:7" ht="20.100000000000001" hidden="1" customHeight="1" x14ac:dyDescent="0.25">
      <c r="A248" s="2150">
        <v>42826</v>
      </c>
      <c r="B248" s="2145">
        <v>20.5</v>
      </c>
      <c r="C248" s="2146">
        <v>1040.5</v>
      </c>
      <c r="D248" s="2146">
        <v>8445</v>
      </c>
      <c r="E248" s="2146">
        <v>281.5</v>
      </c>
      <c r="F248" s="2147" t="s">
        <v>1471</v>
      </c>
      <c r="G248" s="2148">
        <v>1.0900000000000001</v>
      </c>
    </row>
    <row r="249" spans="1:7" ht="20.100000000000001" hidden="1" customHeight="1" x14ac:dyDescent="0.25">
      <c r="A249" s="2150">
        <v>42856</v>
      </c>
      <c r="B249" s="2145">
        <v>20.5</v>
      </c>
      <c r="C249" s="2146">
        <v>420.5</v>
      </c>
      <c r="D249" s="2146">
        <v>3537.5</v>
      </c>
      <c r="E249" s="2146">
        <v>117.92</v>
      </c>
      <c r="F249" s="2147" t="s">
        <v>1472</v>
      </c>
      <c r="G249" s="2148">
        <v>1.23</v>
      </c>
    </row>
    <row r="250" spans="1:7" ht="20.100000000000001" hidden="1" customHeight="1" x14ac:dyDescent="0.25">
      <c r="A250" s="2150">
        <v>42887</v>
      </c>
      <c r="B250" s="2145">
        <v>50</v>
      </c>
      <c r="C250" s="2146">
        <v>450</v>
      </c>
      <c r="D250" s="2146">
        <v>3605</v>
      </c>
      <c r="E250" s="2146">
        <v>171.67</v>
      </c>
      <c r="F250" s="2147" t="s">
        <v>1473</v>
      </c>
      <c r="G250" s="2148">
        <v>1.01</v>
      </c>
    </row>
    <row r="251" spans="1:7" ht="20.100000000000001" hidden="1" customHeight="1" x14ac:dyDescent="0.25">
      <c r="A251" s="2150">
        <v>42917</v>
      </c>
      <c r="B251" s="2145">
        <v>50</v>
      </c>
      <c r="C251" s="2146">
        <v>600</v>
      </c>
      <c r="D251" s="2146">
        <v>5820</v>
      </c>
      <c r="E251" s="2146">
        <v>291</v>
      </c>
      <c r="F251" s="2147" t="s">
        <v>1474</v>
      </c>
      <c r="G251" s="2148">
        <v>0.83</v>
      </c>
    </row>
    <row r="252" spans="1:7" ht="20.100000000000001" hidden="1" customHeight="1" x14ac:dyDescent="0.25">
      <c r="A252" s="2150">
        <v>42948</v>
      </c>
      <c r="B252" s="2145">
        <v>100</v>
      </c>
      <c r="C252" s="2146">
        <v>475</v>
      </c>
      <c r="D252" s="2146">
        <v>2510</v>
      </c>
      <c r="E252" s="2146">
        <v>313.75</v>
      </c>
      <c r="F252" s="2147" t="s">
        <v>1475</v>
      </c>
      <c r="G252" s="2148">
        <v>0.8</v>
      </c>
    </row>
    <row r="253" spans="1:7" ht="20.100000000000001" hidden="1" customHeight="1" x14ac:dyDescent="0.25">
      <c r="A253" s="2150">
        <v>42979</v>
      </c>
      <c r="B253" s="2145">
        <v>150</v>
      </c>
      <c r="C253" s="2146">
        <v>750</v>
      </c>
      <c r="D253" s="2146">
        <v>7300</v>
      </c>
      <c r="E253" s="2146">
        <v>456.25</v>
      </c>
      <c r="F253" s="2147" t="s">
        <v>1476</v>
      </c>
      <c r="G253" s="2148">
        <v>1.01</v>
      </c>
    </row>
    <row r="254" spans="1:7" ht="20.100000000000001" hidden="1" customHeight="1" x14ac:dyDescent="0.25">
      <c r="A254" s="2150">
        <v>43009</v>
      </c>
      <c r="B254" s="2145">
        <v>10</v>
      </c>
      <c r="C254" s="2146">
        <v>1570</v>
      </c>
      <c r="D254" s="2146">
        <v>18570</v>
      </c>
      <c r="E254" s="2146">
        <v>599</v>
      </c>
      <c r="F254" s="2147" t="s">
        <v>1477</v>
      </c>
      <c r="G254" s="2148">
        <v>0.92</v>
      </c>
    </row>
    <row r="255" spans="1:7" ht="20.100000000000001" hidden="1" customHeight="1" x14ac:dyDescent="0.25">
      <c r="A255" s="2150">
        <v>43040</v>
      </c>
      <c r="B255" s="2145">
        <v>25</v>
      </c>
      <c r="C255" s="2146">
        <v>980</v>
      </c>
      <c r="D255" s="2146">
        <v>14235</v>
      </c>
      <c r="E255" s="2146">
        <v>508.39</v>
      </c>
      <c r="F255" s="2147" t="s">
        <v>1478</v>
      </c>
      <c r="G255" s="2148">
        <v>1.02</v>
      </c>
    </row>
    <row r="256" spans="1:7" ht="20.100000000000001" hidden="1" customHeight="1" x14ac:dyDescent="0.25">
      <c r="A256" s="2150">
        <v>43070</v>
      </c>
      <c r="B256" s="2145">
        <v>50</v>
      </c>
      <c r="C256" s="2146">
        <v>1385</v>
      </c>
      <c r="D256" s="2146">
        <v>20925</v>
      </c>
      <c r="E256" s="2146">
        <v>747</v>
      </c>
      <c r="F256" s="2147" t="s">
        <v>1479</v>
      </c>
      <c r="G256" s="2148">
        <v>1.28</v>
      </c>
    </row>
    <row r="257" spans="1:7" ht="20.100000000000001" hidden="1" customHeight="1" x14ac:dyDescent="0.25">
      <c r="A257" s="2150">
        <v>43101</v>
      </c>
      <c r="B257" s="2145">
        <v>175</v>
      </c>
      <c r="C257" s="2146">
        <v>2600</v>
      </c>
      <c r="D257" s="2146">
        <v>40265</v>
      </c>
      <c r="E257" s="2146">
        <v>1298.8699999999999</v>
      </c>
      <c r="F257" s="2147" t="s">
        <v>1480</v>
      </c>
      <c r="G257" s="2148">
        <v>1.37</v>
      </c>
    </row>
    <row r="258" spans="1:7" ht="20.100000000000001" hidden="1" customHeight="1" x14ac:dyDescent="0.25">
      <c r="A258" s="2150">
        <v>43132</v>
      </c>
      <c r="B258" s="2145">
        <v>550</v>
      </c>
      <c r="C258" s="2146">
        <v>4200</v>
      </c>
      <c r="D258" s="2146">
        <v>58260</v>
      </c>
      <c r="E258" s="2146">
        <v>2080.71</v>
      </c>
      <c r="F258" s="2147" t="s">
        <v>1481</v>
      </c>
      <c r="G258" s="2148">
        <v>2.36</v>
      </c>
    </row>
    <row r="259" spans="1:7" ht="20.100000000000001" hidden="1" customHeight="1" x14ac:dyDescent="0.25">
      <c r="A259" s="2150">
        <v>43160</v>
      </c>
      <c r="B259" s="2145">
        <v>100</v>
      </c>
      <c r="C259" s="2146">
        <v>1600</v>
      </c>
      <c r="D259" s="2146">
        <v>16760</v>
      </c>
      <c r="E259" s="2146">
        <v>540.65</v>
      </c>
      <c r="F259" s="2147" t="s">
        <v>1482</v>
      </c>
      <c r="G259" s="2148">
        <v>2.99</v>
      </c>
    </row>
    <row r="260" spans="1:7" ht="20.100000000000001" hidden="1" customHeight="1" x14ac:dyDescent="0.25">
      <c r="A260" s="2150">
        <v>43191</v>
      </c>
      <c r="B260" s="2145">
        <v>275</v>
      </c>
      <c r="C260" s="2146">
        <v>3045</v>
      </c>
      <c r="D260" s="2146">
        <v>59510</v>
      </c>
      <c r="E260" s="2146">
        <v>1983.67</v>
      </c>
      <c r="F260" s="2147" t="s">
        <v>1483</v>
      </c>
      <c r="G260" s="2148">
        <v>3.46</v>
      </c>
    </row>
    <row r="261" spans="1:7" ht="20.100000000000001" hidden="1" customHeight="1" x14ac:dyDescent="0.25">
      <c r="A261" s="2150">
        <v>43221</v>
      </c>
      <c r="B261" s="2145">
        <v>200</v>
      </c>
      <c r="C261" s="2146">
        <v>1575</v>
      </c>
      <c r="D261" s="2146">
        <v>25625</v>
      </c>
      <c r="E261" s="2146">
        <v>826.61</v>
      </c>
      <c r="F261" s="2147" t="s">
        <v>1484</v>
      </c>
      <c r="G261" s="2148">
        <v>3.41</v>
      </c>
    </row>
    <row r="262" spans="1:7" ht="20.100000000000001" hidden="1" customHeight="1" x14ac:dyDescent="0.25">
      <c r="A262" s="2150">
        <v>43252</v>
      </c>
      <c r="B262" s="2145">
        <v>400</v>
      </c>
      <c r="C262" s="2146">
        <v>2610</v>
      </c>
      <c r="D262" s="2146">
        <v>37945</v>
      </c>
      <c r="E262" s="2146">
        <v>1264.83</v>
      </c>
      <c r="F262" s="2147" t="s">
        <v>1485</v>
      </c>
      <c r="G262" s="2148">
        <v>3.38</v>
      </c>
    </row>
    <row r="263" spans="1:7" ht="20.100000000000001" hidden="1" customHeight="1" x14ac:dyDescent="0.25">
      <c r="A263" s="2150">
        <v>43282</v>
      </c>
      <c r="B263" s="2145">
        <v>75</v>
      </c>
      <c r="C263" s="2146">
        <v>2470</v>
      </c>
      <c r="D263" s="2146">
        <v>14870</v>
      </c>
      <c r="E263" s="2146">
        <v>479.67741935483872</v>
      </c>
      <c r="F263" s="2147" t="s">
        <v>1486</v>
      </c>
      <c r="G263" s="2148">
        <v>3.3753711163416278</v>
      </c>
    </row>
    <row r="264" spans="1:7" ht="20.100000000000001" hidden="1" customHeight="1" x14ac:dyDescent="0.25">
      <c r="A264" s="2150">
        <v>43313</v>
      </c>
      <c r="B264" s="2145">
        <v>50</v>
      </c>
      <c r="C264" s="2146">
        <v>1900</v>
      </c>
      <c r="D264" s="2146">
        <v>12700</v>
      </c>
      <c r="E264" s="2146">
        <v>635</v>
      </c>
      <c r="F264" s="2147" t="s">
        <v>1484</v>
      </c>
      <c r="G264" s="2148">
        <v>3.48</v>
      </c>
    </row>
    <row r="265" spans="1:7" ht="20.100000000000001" hidden="1" customHeight="1" x14ac:dyDescent="0.25">
      <c r="A265" s="2150">
        <v>43344</v>
      </c>
      <c r="B265" s="2145">
        <v>70</v>
      </c>
      <c r="C265" s="2146">
        <v>1625</v>
      </c>
      <c r="D265" s="2146">
        <v>17300</v>
      </c>
      <c r="E265" s="2146">
        <v>720.83</v>
      </c>
      <c r="F265" s="2147" t="s">
        <v>1487</v>
      </c>
      <c r="G265" s="2148">
        <v>3.34</v>
      </c>
    </row>
    <row r="266" spans="1:7" ht="20.100000000000001" hidden="1" customHeight="1" x14ac:dyDescent="0.25">
      <c r="A266" s="2150">
        <v>43374</v>
      </c>
      <c r="B266" s="2145">
        <v>75</v>
      </c>
      <c r="C266" s="2146">
        <v>1380</v>
      </c>
      <c r="D266" s="2146">
        <v>18980</v>
      </c>
      <c r="E266" s="2146">
        <v>790.83</v>
      </c>
      <c r="F266" s="2147" t="s">
        <v>1488</v>
      </c>
      <c r="G266" s="2148">
        <v>3.49</v>
      </c>
    </row>
    <row r="267" spans="1:7" ht="20.100000000000001" hidden="1" customHeight="1" x14ac:dyDescent="0.25">
      <c r="A267" s="2150">
        <v>43405</v>
      </c>
      <c r="B267" s="2145">
        <v>100</v>
      </c>
      <c r="C267" s="2146">
        <v>1550</v>
      </c>
      <c r="D267" s="2146">
        <v>25255</v>
      </c>
      <c r="E267" s="2146">
        <v>870.86</v>
      </c>
      <c r="F267" s="2147" t="s">
        <v>1489</v>
      </c>
      <c r="G267" s="2148">
        <v>3.26</v>
      </c>
    </row>
    <row r="268" spans="1:7" ht="20.100000000000001" hidden="1" customHeight="1" x14ac:dyDescent="0.25">
      <c r="A268" s="2150">
        <v>43435</v>
      </c>
      <c r="B268" s="2145">
        <v>100</v>
      </c>
      <c r="C268" s="2146">
        <v>2528</v>
      </c>
      <c r="D268" s="2146">
        <v>27474</v>
      </c>
      <c r="E268" s="2146">
        <v>1017.56</v>
      </c>
      <c r="F268" s="2147" t="s">
        <v>1490</v>
      </c>
      <c r="G268" s="2148">
        <v>3.44</v>
      </c>
    </row>
    <row r="269" spans="1:7" ht="20.100000000000001" hidden="1" customHeight="1" x14ac:dyDescent="0.25">
      <c r="A269" s="2150">
        <v>43466</v>
      </c>
      <c r="B269" s="2145">
        <v>453</v>
      </c>
      <c r="C269" s="2146">
        <v>3203</v>
      </c>
      <c r="D269" s="2146">
        <v>49388</v>
      </c>
      <c r="E269" s="2146">
        <v>1593.16</v>
      </c>
      <c r="F269" s="2147" t="s">
        <v>1491</v>
      </c>
      <c r="G269" s="2148">
        <v>3.74</v>
      </c>
    </row>
    <row r="270" spans="1:7" ht="20.100000000000001" hidden="1" customHeight="1" x14ac:dyDescent="0.25">
      <c r="A270" s="2150">
        <v>43497</v>
      </c>
      <c r="B270" s="2145">
        <v>453</v>
      </c>
      <c r="C270" s="2146">
        <v>2283</v>
      </c>
      <c r="D270" s="2146">
        <v>31848</v>
      </c>
      <c r="E270" s="2146">
        <v>1137.43</v>
      </c>
      <c r="F270" s="2147" t="s">
        <v>1492</v>
      </c>
      <c r="G270" s="2148">
        <v>3.86</v>
      </c>
    </row>
    <row r="271" spans="1:7" ht="20.100000000000001" hidden="1" customHeight="1" x14ac:dyDescent="0.25">
      <c r="A271" s="2150">
        <v>43525</v>
      </c>
      <c r="B271" s="2145">
        <v>592</v>
      </c>
      <c r="C271" s="2146">
        <v>1292</v>
      </c>
      <c r="D271" s="2146">
        <v>22727</v>
      </c>
      <c r="E271" s="2146">
        <v>733.13</v>
      </c>
      <c r="F271" s="2147" t="s">
        <v>1493</v>
      </c>
      <c r="G271" s="2148">
        <v>4.29</v>
      </c>
    </row>
    <row r="272" spans="1:7" ht="20.100000000000001" hidden="1" customHeight="1" x14ac:dyDescent="0.25">
      <c r="A272" s="2150">
        <v>43556</v>
      </c>
      <c r="B272" s="2145">
        <v>154</v>
      </c>
      <c r="C272" s="2146">
        <v>1509</v>
      </c>
      <c r="D272" s="2146">
        <v>24350</v>
      </c>
      <c r="E272" s="2146">
        <v>811.67</v>
      </c>
      <c r="F272" s="2147" t="s">
        <v>1494</v>
      </c>
      <c r="G272" s="2148">
        <v>3.65</v>
      </c>
    </row>
    <row r="273" spans="1:7" ht="20.100000000000001" hidden="1" customHeight="1" x14ac:dyDescent="0.25">
      <c r="A273" s="2150">
        <v>43586</v>
      </c>
      <c r="B273" s="2145">
        <v>29</v>
      </c>
      <c r="C273" s="2146">
        <v>1350</v>
      </c>
      <c r="D273" s="2146">
        <v>11451</v>
      </c>
      <c r="E273" s="2146">
        <v>440.42</v>
      </c>
      <c r="F273" s="2147" t="s">
        <v>1495</v>
      </c>
      <c r="G273" s="2148">
        <v>2.89</v>
      </c>
    </row>
    <row r="274" spans="1:7" ht="20.100000000000001" hidden="1" customHeight="1" x14ac:dyDescent="0.25">
      <c r="A274" s="2150">
        <v>43617</v>
      </c>
      <c r="B274" s="2145">
        <v>100</v>
      </c>
      <c r="C274" s="2146">
        <v>1425</v>
      </c>
      <c r="D274" s="2146">
        <v>13735</v>
      </c>
      <c r="E274" s="2146">
        <v>528.27</v>
      </c>
      <c r="F274" s="2169" t="s">
        <v>1496</v>
      </c>
      <c r="G274" s="2148">
        <v>2.06</v>
      </c>
    </row>
    <row r="275" spans="1:7" ht="20.100000000000001" hidden="1" customHeight="1" thickTop="1" x14ac:dyDescent="0.25">
      <c r="A275" s="2150">
        <v>43647</v>
      </c>
      <c r="B275" s="2141">
        <v>50</v>
      </c>
      <c r="C275" s="1978">
        <v>450</v>
      </c>
      <c r="D275" s="1978">
        <v>4400</v>
      </c>
      <c r="E275" s="1978">
        <v>191</v>
      </c>
      <c r="F275" s="2170" t="s">
        <v>1497</v>
      </c>
      <c r="G275" s="2125">
        <v>2.11</v>
      </c>
    </row>
    <row r="276" spans="1:7" ht="20.100000000000001" hidden="1" customHeight="1" thickTop="1" x14ac:dyDescent="0.25">
      <c r="A276" s="2150">
        <v>43678</v>
      </c>
      <c r="B276" s="2141">
        <v>70</v>
      </c>
      <c r="C276" s="1978">
        <v>1100</v>
      </c>
      <c r="D276" s="1978">
        <v>11920</v>
      </c>
      <c r="E276" s="1978">
        <v>425.71</v>
      </c>
      <c r="F276" s="2170" t="s">
        <v>1406</v>
      </c>
      <c r="G276" s="2125">
        <v>2.11</v>
      </c>
    </row>
    <row r="277" spans="1:7" ht="20.100000000000001" hidden="1" customHeight="1" thickTop="1" x14ac:dyDescent="0.25">
      <c r="A277" s="2150">
        <v>43709</v>
      </c>
      <c r="B277" s="2141">
        <v>100</v>
      </c>
      <c r="C277" s="1978">
        <v>1100</v>
      </c>
      <c r="D277" s="1978">
        <v>8720</v>
      </c>
      <c r="E277" s="1978">
        <v>290.67</v>
      </c>
      <c r="F277" s="2170" t="s">
        <v>1498</v>
      </c>
      <c r="G277" s="2125">
        <v>2.0699999999999998</v>
      </c>
    </row>
    <row r="278" spans="1:7" ht="20.100000000000001" hidden="1" customHeight="1" thickTop="1" x14ac:dyDescent="0.25">
      <c r="A278" s="2150">
        <v>43739</v>
      </c>
      <c r="B278" s="2141">
        <v>50</v>
      </c>
      <c r="C278" s="1978">
        <v>1500</v>
      </c>
      <c r="D278" s="1978">
        <v>12335</v>
      </c>
      <c r="E278" s="1978">
        <v>397.90322580645159</v>
      </c>
      <c r="F278" s="2170" t="s">
        <v>1499</v>
      </c>
      <c r="G278" s="2125">
        <v>1.9458229023104987</v>
      </c>
    </row>
    <row r="279" spans="1:7" ht="20.100000000000001" hidden="1" customHeight="1" thickTop="1" x14ac:dyDescent="0.25">
      <c r="A279" s="2150">
        <v>43770</v>
      </c>
      <c r="B279" s="2141">
        <v>75</v>
      </c>
      <c r="C279" s="1978">
        <v>1650</v>
      </c>
      <c r="D279" s="1978">
        <v>18135</v>
      </c>
      <c r="E279" s="1978">
        <v>648</v>
      </c>
      <c r="F279" s="2170" t="s">
        <v>1500</v>
      </c>
      <c r="G279" s="2125">
        <v>2.08</v>
      </c>
    </row>
    <row r="280" spans="1:7" ht="20.100000000000001" hidden="1" customHeight="1" thickTop="1" x14ac:dyDescent="0.25">
      <c r="A280" s="2150">
        <v>43800</v>
      </c>
      <c r="B280" s="2141">
        <v>25</v>
      </c>
      <c r="C280" s="1978">
        <v>1600</v>
      </c>
      <c r="D280" s="1978">
        <v>7900</v>
      </c>
      <c r="E280" s="1978">
        <v>359.09</v>
      </c>
      <c r="F280" s="2170" t="s">
        <v>1501</v>
      </c>
      <c r="G280" s="2125">
        <v>2.08</v>
      </c>
    </row>
    <row r="281" spans="1:7" ht="20.100000000000001" hidden="1" customHeight="1" thickTop="1" x14ac:dyDescent="0.25">
      <c r="A281" s="2150">
        <v>43831</v>
      </c>
      <c r="B281" s="2141">
        <v>50</v>
      </c>
      <c r="C281" s="1978">
        <v>1525</v>
      </c>
      <c r="D281" s="1978">
        <v>6415</v>
      </c>
      <c r="E281" s="1978">
        <v>267.29000000000002</v>
      </c>
      <c r="F281" s="2170" t="s">
        <v>1502</v>
      </c>
      <c r="G281" s="2125">
        <v>1.99</v>
      </c>
    </row>
    <row r="282" spans="1:7" ht="20.100000000000001" hidden="1" customHeight="1" thickTop="1" x14ac:dyDescent="0.25">
      <c r="A282" s="2150">
        <v>43862</v>
      </c>
      <c r="B282" s="2141">
        <v>25</v>
      </c>
      <c r="C282" s="1978">
        <v>1525</v>
      </c>
      <c r="D282" s="1978">
        <v>11470</v>
      </c>
      <c r="E282" s="1978">
        <v>459</v>
      </c>
      <c r="F282" s="2170" t="s">
        <v>1503</v>
      </c>
      <c r="G282" s="2125">
        <v>2.09</v>
      </c>
    </row>
    <row r="283" spans="1:7" ht="20.100000000000001" hidden="1" customHeight="1" thickTop="1" x14ac:dyDescent="0.25">
      <c r="A283" s="2150">
        <v>43891</v>
      </c>
      <c r="B283" s="2141">
        <v>35</v>
      </c>
      <c r="C283" s="1978">
        <v>320</v>
      </c>
      <c r="D283" s="1978">
        <v>6165</v>
      </c>
      <c r="E283" s="1978">
        <v>205.5</v>
      </c>
      <c r="F283" s="2170" t="s">
        <v>1504</v>
      </c>
      <c r="G283" s="2125">
        <v>1.56</v>
      </c>
    </row>
    <row r="284" spans="1:7" ht="20.100000000000001" hidden="1" customHeight="1" thickTop="1" x14ac:dyDescent="0.25">
      <c r="A284" s="2150">
        <v>43922</v>
      </c>
      <c r="B284" s="2141">
        <v>100</v>
      </c>
      <c r="C284" s="1978">
        <v>315</v>
      </c>
      <c r="D284" s="1978">
        <v>4415</v>
      </c>
      <c r="E284" s="1978">
        <v>147.16999999999999</v>
      </c>
      <c r="F284" s="2170" t="s">
        <v>1505</v>
      </c>
      <c r="G284" s="2125">
        <v>1.52</v>
      </c>
    </row>
    <row r="285" spans="1:7" ht="20.100000000000001" hidden="1" customHeight="1" thickTop="1" x14ac:dyDescent="0.25">
      <c r="A285" s="2150">
        <v>43952</v>
      </c>
      <c r="B285" s="2141">
        <v>100</v>
      </c>
      <c r="C285" s="1978">
        <v>410</v>
      </c>
      <c r="D285" s="1978">
        <v>2360</v>
      </c>
      <c r="E285" s="1978">
        <v>236</v>
      </c>
      <c r="F285" s="2170" t="s">
        <v>1506</v>
      </c>
      <c r="G285" s="2125">
        <v>1.1200000000000001</v>
      </c>
    </row>
    <row r="286" spans="1:7" ht="20.100000000000001" hidden="1" customHeight="1" thickTop="1" x14ac:dyDescent="0.25">
      <c r="A286" s="2150">
        <v>43983</v>
      </c>
      <c r="B286" s="2141">
        <v>75</v>
      </c>
      <c r="C286" s="1978">
        <v>75</v>
      </c>
      <c r="D286" s="1978">
        <v>75</v>
      </c>
      <c r="E286" s="1978">
        <v>75</v>
      </c>
      <c r="F286" s="2126">
        <v>0.65</v>
      </c>
      <c r="G286" s="2125">
        <v>0.65</v>
      </c>
    </row>
    <row r="287" spans="1:7" ht="20.100000000000001" hidden="1" customHeight="1" thickTop="1" x14ac:dyDescent="0.25">
      <c r="A287" s="2150">
        <v>44013</v>
      </c>
      <c r="B287" s="2141">
        <v>50</v>
      </c>
      <c r="C287" s="1978">
        <v>300</v>
      </c>
      <c r="D287" s="1978">
        <v>3525</v>
      </c>
      <c r="E287" s="1978">
        <v>220.31</v>
      </c>
      <c r="F287" s="2126" t="s">
        <v>1507</v>
      </c>
      <c r="G287" s="2125">
        <v>0.68</v>
      </c>
    </row>
    <row r="288" spans="1:7" ht="20.100000000000001" hidden="1" customHeight="1" thickTop="1" x14ac:dyDescent="0.25">
      <c r="A288" s="2150">
        <v>44044</v>
      </c>
      <c r="B288" s="2141">
        <v>100</v>
      </c>
      <c r="C288" s="1978">
        <v>750</v>
      </c>
      <c r="D288" s="1978">
        <v>5175</v>
      </c>
      <c r="E288" s="1978">
        <v>258.75</v>
      </c>
      <c r="F288" s="2126" t="s">
        <v>1508</v>
      </c>
      <c r="G288" s="2125">
        <v>0.43</v>
      </c>
    </row>
    <row r="289" spans="1:11" ht="20.100000000000001" hidden="1" customHeight="1" thickTop="1" x14ac:dyDescent="0.25">
      <c r="A289" s="2150">
        <v>44075</v>
      </c>
      <c r="B289" s="2141">
        <v>100</v>
      </c>
      <c r="C289" s="1978">
        <v>865</v>
      </c>
      <c r="D289" s="1978">
        <v>9270</v>
      </c>
      <c r="E289" s="1978">
        <v>343.33</v>
      </c>
      <c r="F289" s="2126" t="s">
        <v>1509</v>
      </c>
      <c r="G289" s="2125">
        <v>0.45</v>
      </c>
    </row>
    <row r="290" spans="1:11" ht="20.100000000000001" hidden="1" customHeight="1" thickTop="1" x14ac:dyDescent="0.25">
      <c r="A290" s="2150">
        <v>44105</v>
      </c>
      <c r="B290" s="2141">
        <v>15</v>
      </c>
      <c r="C290" s="1978">
        <v>565</v>
      </c>
      <c r="D290" s="1978">
        <v>9200</v>
      </c>
      <c r="E290" s="1978">
        <v>296.77</v>
      </c>
      <c r="F290" s="2126" t="s">
        <v>1509</v>
      </c>
      <c r="G290" s="2125">
        <v>0.46</v>
      </c>
    </row>
    <row r="291" spans="1:11" ht="20.100000000000001" hidden="1" customHeight="1" thickTop="1" x14ac:dyDescent="0.25">
      <c r="A291" s="2150">
        <v>44136</v>
      </c>
      <c r="B291" s="2141">
        <v>50</v>
      </c>
      <c r="C291" s="1978">
        <v>200</v>
      </c>
      <c r="D291" s="1978">
        <v>2900</v>
      </c>
      <c r="E291" s="1978">
        <v>126.09</v>
      </c>
      <c r="F291" s="2126" t="s">
        <v>1510</v>
      </c>
      <c r="G291" s="2125">
        <v>0.41</v>
      </c>
    </row>
    <row r="292" spans="1:11" ht="20.100000000000001" hidden="1" customHeight="1" thickTop="1" x14ac:dyDescent="0.25">
      <c r="A292" s="2150">
        <v>44166</v>
      </c>
      <c r="B292" s="2141">
        <v>100</v>
      </c>
      <c r="C292" s="1978">
        <v>250</v>
      </c>
      <c r="D292" s="1978">
        <v>620</v>
      </c>
      <c r="E292" s="1978">
        <v>155</v>
      </c>
      <c r="F292" s="2126" t="s">
        <v>1511</v>
      </c>
      <c r="G292" s="2125">
        <v>0.3</v>
      </c>
    </row>
    <row r="293" spans="1:11" ht="20.100000000000001" hidden="1" customHeight="1" thickTop="1" x14ac:dyDescent="0.25">
      <c r="A293" s="2150">
        <v>44197</v>
      </c>
      <c r="B293" s="2141">
        <v>100</v>
      </c>
      <c r="C293" s="1978">
        <v>450</v>
      </c>
      <c r="D293" s="1978">
        <v>7525</v>
      </c>
      <c r="E293" s="1978">
        <v>268.75</v>
      </c>
      <c r="F293" s="2126" t="s">
        <v>1512</v>
      </c>
      <c r="G293" s="2125">
        <v>0.18</v>
      </c>
    </row>
    <row r="294" spans="1:11" ht="20.100000000000001" hidden="1" customHeight="1" x14ac:dyDescent="0.25">
      <c r="A294" s="2150">
        <v>44228</v>
      </c>
      <c r="B294" s="2141">
        <v>20</v>
      </c>
      <c r="C294" s="1978">
        <v>350</v>
      </c>
      <c r="D294" s="1978">
        <v>4000</v>
      </c>
      <c r="E294" s="1978">
        <v>148.15</v>
      </c>
      <c r="F294" s="2126" t="s">
        <v>1513</v>
      </c>
      <c r="G294" s="2125">
        <v>0.14000000000000001</v>
      </c>
    </row>
    <row r="295" spans="1:11" ht="20.100000000000001" hidden="1" customHeight="1" thickBot="1" x14ac:dyDescent="0.3">
      <c r="A295" s="2123">
        <v>44256</v>
      </c>
      <c r="B295" s="2141">
        <v>30</v>
      </c>
      <c r="C295" s="1978">
        <v>100</v>
      </c>
      <c r="D295" s="1978">
        <v>935</v>
      </c>
      <c r="E295" s="1978">
        <v>62</v>
      </c>
      <c r="F295" s="2124">
        <v>0.12</v>
      </c>
      <c r="G295" s="2125">
        <v>0.12</v>
      </c>
    </row>
    <row r="296" spans="1:11" ht="20.100000000000001" hidden="1" customHeight="1" thickTop="1" thickBot="1" x14ac:dyDescent="0.3">
      <c r="A296" s="2123">
        <v>44287</v>
      </c>
      <c r="B296" s="2141">
        <v>35</v>
      </c>
      <c r="C296" s="1978">
        <v>2150</v>
      </c>
      <c r="D296" s="1978">
        <v>10590</v>
      </c>
      <c r="E296" s="1978">
        <v>814.62</v>
      </c>
      <c r="F296" s="2124" t="s">
        <v>1514</v>
      </c>
      <c r="G296" s="2125">
        <v>0.25</v>
      </c>
      <c r="K296" s="2171"/>
    </row>
    <row r="297" spans="1:11" ht="20.100000000000001" hidden="1" customHeight="1" thickTop="1" thickBot="1" x14ac:dyDescent="0.3">
      <c r="A297" s="2123">
        <v>44317</v>
      </c>
      <c r="B297" s="2141">
        <v>25</v>
      </c>
      <c r="C297" s="1978">
        <v>2629</v>
      </c>
      <c r="D297" s="1978">
        <v>48924</v>
      </c>
      <c r="E297" s="1978">
        <v>1578.19</v>
      </c>
      <c r="F297" s="2124">
        <v>0.25</v>
      </c>
      <c r="G297" s="2125">
        <v>0.25</v>
      </c>
    </row>
    <row r="298" spans="1:11" ht="20.100000000000001" hidden="1" customHeight="1" thickTop="1" thickBot="1" x14ac:dyDescent="0.3">
      <c r="A298" s="2123">
        <v>44348</v>
      </c>
      <c r="B298" s="2141">
        <v>100</v>
      </c>
      <c r="C298" s="1978">
        <v>1600</v>
      </c>
      <c r="D298" s="1978">
        <v>20540</v>
      </c>
      <c r="E298" s="1978">
        <v>684.67</v>
      </c>
      <c r="F298" s="2124" t="s">
        <v>1515</v>
      </c>
      <c r="G298" s="2125">
        <v>0.34</v>
      </c>
    </row>
    <row r="299" spans="1:11" ht="20.100000000000001" hidden="1" customHeight="1" thickTop="1" thickBot="1" x14ac:dyDescent="0.3">
      <c r="A299" s="2123">
        <v>44378</v>
      </c>
      <c r="B299" s="2141">
        <v>100</v>
      </c>
      <c r="C299" s="1978">
        <v>1150</v>
      </c>
      <c r="D299" s="1978">
        <v>6550</v>
      </c>
      <c r="E299" s="1978">
        <v>436.67</v>
      </c>
      <c r="F299" s="2124" t="s">
        <v>1515</v>
      </c>
      <c r="G299" s="2125">
        <v>0.32</v>
      </c>
    </row>
    <row r="300" spans="1:11" ht="20.100000000000001" hidden="1" customHeight="1" thickTop="1" thickBot="1" x14ac:dyDescent="0.3">
      <c r="A300" s="2123">
        <v>44409</v>
      </c>
      <c r="B300" s="2141">
        <v>20</v>
      </c>
      <c r="C300" s="1978">
        <v>1540</v>
      </c>
      <c r="D300" s="1978">
        <v>17155</v>
      </c>
      <c r="E300" s="1978">
        <v>659.81</v>
      </c>
      <c r="F300" s="2124" t="s">
        <v>1516</v>
      </c>
      <c r="G300" s="2125">
        <v>0.39</v>
      </c>
    </row>
    <row r="301" spans="1:11" ht="20.100000000000001" hidden="1" customHeight="1" thickTop="1" thickBot="1" x14ac:dyDescent="0.3">
      <c r="A301" s="2123">
        <v>44440</v>
      </c>
      <c r="B301" s="2141">
        <v>10</v>
      </c>
      <c r="C301" s="1978">
        <v>3815</v>
      </c>
      <c r="D301" s="1978">
        <v>30235</v>
      </c>
      <c r="E301" s="1978">
        <v>1259.79</v>
      </c>
      <c r="F301" s="2124" t="s">
        <v>1517</v>
      </c>
      <c r="G301" s="2125">
        <v>1.18</v>
      </c>
    </row>
    <row r="302" spans="1:11" ht="20.100000000000001" hidden="1" customHeight="1" thickTop="1" thickBot="1" x14ac:dyDescent="0.3">
      <c r="A302" s="2123">
        <v>44470</v>
      </c>
      <c r="B302" s="2141">
        <v>50</v>
      </c>
      <c r="C302" s="1978">
        <v>1645</v>
      </c>
      <c r="D302" s="1978">
        <v>14040</v>
      </c>
      <c r="E302" s="1978">
        <v>540</v>
      </c>
      <c r="F302" s="2124" t="s">
        <v>1518</v>
      </c>
      <c r="G302" s="2125">
        <v>1.02</v>
      </c>
    </row>
    <row r="303" spans="1:11" ht="20.100000000000001" hidden="1" customHeight="1" thickTop="1" thickBot="1" x14ac:dyDescent="0.3">
      <c r="A303" s="2123">
        <v>44501</v>
      </c>
      <c r="B303" s="2141">
        <v>35</v>
      </c>
      <c r="C303" s="1978">
        <v>1150</v>
      </c>
      <c r="D303" s="1978">
        <v>10410</v>
      </c>
      <c r="E303" s="1978">
        <v>495.71</v>
      </c>
      <c r="F303" s="2124" t="s">
        <v>1519</v>
      </c>
      <c r="G303" s="2125">
        <v>0.32</v>
      </c>
    </row>
    <row r="304" spans="1:11" ht="20.100000000000001" hidden="1" customHeight="1" thickTop="1" thickBot="1" x14ac:dyDescent="0.3">
      <c r="A304" s="2123">
        <v>44531</v>
      </c>
      <c r="B304" s="2141">
        <v>35</v>
      </c>
      <c r="C304" s="1978">
        <v>1000</v>
      </c>
      <c r="D304" s="1978">
        <v>9820</v>
      </c>
      <c r="E304" s="1978">
        <v>338.62</v>
      </c>
      <c r="F304" s="2124" t="s">
        <v>1520</v>
      </c>
      <c r="G304" s="2125">
        <v>0.27</v>
      </c>
    </row>
    <row r="305" spans="1:7" ht="20.100000000000001" hidden="1" customHeight="1" thickTop="1" thickBot="1" x14ac:dyDescent="0.3">
      <c r="A305" s="2123">
        <v>44562</v>
      </c>
      <c r="B305" s="2141">
        <v>100</v>
      </c>
      <c r="C305" s="1978">
        <v>1650</v>
      </c>
      <c r="D305" s="1978">
        <v>20510</v>
      </c>
      <c r="E305" s="1978">
        <v>976.67</v>
      </c>
      <c r="F305" s="2124" t="s">
        <v>1520</v>
      </c>
      <c r="G305" s="2125">
        <v>0.26</v>
      </c>
    </row>
    <row r="306" spans="1:7" ht="20.100000000000001" hidden="1" customHeight="1" thickTop="1" thickBot="1" x14ac:dyDescent="0.3">
      <c r="A306" s="2123">
        <v>44593</v>
      </c>
      <c r="B306" s="2141">
        <v>200</v>
      </c>
      <c r="C306" s="1978">
        <v>1950</v>
      </c>
      <c r="D306" s="1978">
        <v>19825</v>
      </c>
      <c r="E306" s="1978">
        <v>708.04</v>
      </c>
      <c r="F306" s="2124" t="s">
        <v>1521</v>
      </c>
      <c r="G306" s="2125">
        <v>0.26</v>
      </c>
    </row>
    <row r="307" spans="1:7" ht="20.100000000000001" hidden="1" customHeight="1" thickTop="1" thickBot="1" x14ac:dyDescent="0.3">
      <c r="A307" s="2123">
        <v>44621</v>
      </c>
      <c r="B307" s="2141">
        <v>350</v>
      </c>
      <c r="C307" s="1978">
        <v>2720</v>
      </c>
      <c r="D307" s="1978">
        <v>44330</v>
      </c>
      <c r="E307" s="1978">
        <v>1430</v>
      </c>
      <c r="F307" s="2124" t="s">
        <v>1515</v>
      </c>
      <c r="G307" s="2125">
        <v>0.37</v>
      </c>
    </row>
    <row r="308" spans="1:7" ht="20.100000000000001" hidden="1" customHeight="1" thickTop="1" thickBot="1" x14ac:dyDescent="0.3">
      <c r="A308" s="2123">
        <v>44652</v>
      </c>
      <c r="B308" s="2141">
        <v>30</v>
      </c>
      <c r="C308" s="1978">
        <v>2975</v>
      </c>
      <c r="D308" s="1978">
        <v>34445</v>
      </c>
      <c r="E308" s="1978">
        <v>1275.74</v>
      </c>
      <c r="F308" s="2124" t="s">
        <v>1522</v>
      </c>
      <c r="G308" s="2125">
        <v>0.52</v>
      </c>
    </row>
    <row r="309" spans="1:7" ht="20.100000000000001" hidden="1" customHeight="1" thickTop="1" thickBot="1" x14ac:dyDescent="0.3">
      <c r="A309" s="2123">
        <v>44682</v>
      </c>
      <c r="B309" s="2141">
        <v>150</v>
      </c>
      <c r="C309" s="1978">
        <v>2450</v>
      </c>
      <c r="D309" s="1978">
        <v>37470</v>
      </c>
      <c r="E309" s="1978">
        <v>1208.71</v>
      </c>
      <c r="F309" s="2124" t="s">
        <v>1523</v>
      </c>
      <c r="G309" s="2125">
        <v>0.61</v>
      </c>
    </row>
    <row r="310" spans="1:7" ht="20.100000000000001" hidden="1" customHeight="1" thickTop="1" x14ac:dyDescent="0.25">
      <c r="A310" s="2123">
        <v>44713</v>
      </c>
      <c r="B310" s="2141">
        <v>150</v>
      </c>
      <c r="C310" s="1978">
        <v>2050</v>
      </c>
      <c r="D310" s="1978">
        <v>25250</v>
      </c>
      <c r="E310" s="1978">
        <v>841.67</v>
      </c>
      <c r="F310" s="2124" t="s">
        <v>1524</v>
      </c>
      <c r="G310" s="2125">
        <v>0.64</v>
      </c>
    </row>
    <row r="311" spans="1:7" ht="20.100000000000001" hidden="1" customHeight="1" thickTop="1" x14ac:dyDescent="0.25">
      <c r="A311" s="2123">
        <v>44743</v>
      </c>
      <c r="B311" s="2141">
        <v>165</v>
      </c>
      <c r="C311" s="1978">
        <v>950</v>
      </c>
      <c r="D311" s="1978">
        <v>9645</v>
      </c>
      <c r="E311" s="1978">
        <v>385.8</v>
      </c>
      <c r="F311" s="2124" t="s">
        <v>1451</v>
      </c>
      <c r="G311" s="2125">
        <v>0.63</v>
      </c>
    </row>
    <row r="312" spans="1:7" ht="20.100000000000001" hidden="1" customHeight="1" thickTop="1" x14ac:dyDescent="0.25">
      <c r="A312" s="2123">
        <v>44774</v>
      </c>
      <c r="B312" s="2141">
        <v>50</v>
      </c>
      <c r="C312" s="1978">
        <v>1875</v>
      </c>
      <c r="D312" s="1978">
        <v>24845</v>
      </c>
      <c r="E312" s="1978">
        <v>887.32</v>
      </c>
      <c r="F312" s="2124" t="s">
        <v>1451</v>
      </c>
      <c r="G312" s="2125">
        <v>0.61</v>
      </c>
    </row>
    <row r="313" spans="1:7" ht="20.100000000000001" customHeight="1" thickTop="1" x14ac:dyDescent="0.25">
      <c r="A313" s="2123">
        <v>44805</v>
      </c>
      <c r="B313" s="2141">
        <v>50</v>
      </c>
      <c r="C313" s="1978">
        <v>1500</v>
      </c>
      <c r="D313" s="1978">
        <v>16125</v>
      </c>
      <c r="E313" s="1978">
        <v>537.5</v>
      </c>
      <c r="F313" s="2124" t="s">
        <v>1451</v>
      </c>
      <c r="G313" s="2125">
        <v>0.74</v>
      </c>
    </row>
    <row r="314" spans="1:7" ht="20.100000000000001" customHeight="1" x14ac:dyDescent="0.25">
      <c r="A314" s="2123">
        <v>44835</v>
      </c>
      <c r="B314" s="2141">
        <v>200</v>
      </c>
      <c r="C314" s="1978">
        <v>2700</v>
      </c>
      <c r="D314" s="1978">
        <v>27375</v>
      </c>
      <c r="E314" s="1978">
        <v>1190.22</v>
      </c>
      <c r="F314" s="2124" t="s">
        <v>1525</v>
      </c>
      <c r="G314" s="2125">
        <v>1.73</v>
      </c>
    </row>
    <row r="315" spans="1:7" ht="20.100000000000001" customHeight="1" x14ac:dyDescent="0.25">
      <c r="A315" s="2123">
        <v>44866</v>
      </c>
      <c r="B315" s="2141">
        <v>310</v>
      </c>
      <c r="C315" s="1978">
        <v>2950</v>
      </c>
      <c r="D315" s="1978">
        <v>49380</v>
      </c>
      <c r="E315" s="1978">
        <v>1646</v>
      </c>
      <c r="F315" s="2124" t="s">
        <v>1435</v>
      </c>
      <c r="G315" s="2125">
        <v>2.79</v>
      </c>
    </row>
    <row r="316" spans="1:7" ht="20.100000000000001" customHeight="1" x14ac:dyDescent="0.25">
      <c r="A316" s="2123">
        <v>44896</v>
      </c>
      <c r="B316" s="2141">
        <v>315</v>
      </c>
      <c r="C316" s="1978">
        <v>1765</v>
      </c>
      <c r="D316" s="1978">
        <v>22865</v>
      </c>
      <c r="E316" s="1978">
        <v>737.58</v>
      </c>
      <c r="F316" s="2124" t="s">
        <v>1526</v>
      </c>
      <c r="G316" s="2125">
        <v>3.68</v>
      </c>
    </row>
    <row r="317" spans="1:7" ht="20.100000000000001" customHeight="1" x14ac:dyDescent="0.25">
      <c r="A317" s="2123">
        <v>44927</v>
      </c>
      <c r="B317" s="2141">
        <v>510</v>
      </c>
      <c r="C317" s="1978">
        <v>815</v>
      </c>
      <c r="D317" s="1978">
        <v>19450</v>
      </c>
      <c r="E317" s="1978">
        <v>627.41999999999996</v>
      </c>
      <c r="F317" s="2124" t="s">
        <v>1527</v>
      </c>
      <c r="G317" s="2125">
        <v>4.51</v>
      </c>
    </row>
    <row r="318" spans="1:7" ht="20.100000000000001" customHeight="1" x14ac:dyDescent="0.25">
      <c r="A318" s="2123">
        <v>44958</v>
      </c>
      <c r="B318" s="2141">
        <v>100</v>
      </c>
      <c r="C318" s="1978">
        <v>715</v>
      </c>
      <c r="D318" s="1978">
        <v>7095</v>
      </c>
      <c r="E318" s="1978">
        <v>308.48</v>
      </c>
      <c r="F318" s="2124" t="s">
        <v>1528</v>
      </c>
      <c r="G318" s="2125">
        <v>4.8600000000000003</v>
      </c>
    </row>
    <row r="319" spans="1:7" ht="20.100000000000001" customHeight="1" x14ac:dyDescent="0.25">
      <c r="A319" s="2123">
        <v>44986</v>
      </c>
      <c r="B319" s="2141">
        <v>50</v>
      </c>
      <c r="C319" s="1978">
        <v>1025</v>
      </c>
      <c r="D319" s="1978">
        <v>5925</v>
      </c>
      <c r="E319" s="1978">
        <v>348.53</v>
      </c>
      <c r="F319" s="2124" t="s">
        <v>1529</v>
      </c>
      <c r="G319" s="2125">
        <v>4.4000000000000004</v>
      </c>
    </row>
    <row r="320" spans="1:7" ht="20.100000000000001" customHeight="1" x14ac:dyDescent="0.25">
      <c r="A320" s="2123">
        <v>45017</v>
      </c>
      <c r="B320" s="2141">
        <v>50</v>
      </c>
      <c r="C320" s="1978">
        <v>1300</v>
      </c>
      <c r="D320" s="1978">
        <v>8215</v>
      </c>
      <c r="E320" s="1978">
        <v>432.37</v>
      </c>
      <c r="F320" s="2124" t="s">
        <v>1530</v>
      </c>
      <c r="G320" s="2125">
        <v>4.4000000000000004</v>
      </c>
    </row>
    <row r="321" spans="1:7" ht="20.100000000000001" customHeight="1" x14ac:dyDescent="0.25">
      <c r="A321" s="2123">
        <v>45047</v>
      </c>
      <c r="B321" s="2141">
        <v>200</v>
      </c>
      <c r="C321" s="1978">
        <v>2100</v>
      </c>
      <c r="D321" s="1978">
        <v>28705</v>
      </c>
      <c r="E321" s="1978">
        <v>925.97</v>
      </c>
      <c r="F321" s="2124" t="s">
        <v>1284</v>
      </c>
      <c r="G321" s="2125">
        <v>4.26</v>
      </c>
    </row>
    <row r="322" spans="1:7" ht="20.100000000000001" customHeight="1" x14ac:dyDescent="0.25">
      <c r="A322" s="2123">
        <v>45078</v>
      </c>
      <c r="B322" s="2141">
        <v>200</v>
      </c>
      <c r="C322" s="1978">
        <v>1730</v>
      </c>
      <c r="D322" s="1978">
        <v>14080</v>
      </c>
      <c r="E322" s="1978">
        <v>521.48</v>
      </c>
      <c r="F322" s="2124" t="s">
        <v>1531</v>
      </c>
      <c r="G322" s="2125">
        <v>4.3</v>
      </c>
    </row>
    <row r="323" spans="1:7" ht="20.100000000000001" customHeight="1" x14ac:dyDescent="0.25">
      <c r="A323" s="2123">
        <v>45108</v>
      </c>
      <c r="B323" s="2141">
        <v>100</v>
      </c>
      <c r="C323" s="1978">
        <v>200</v>
      </c>
      <c r="D323" s="1978">
        <v>2500</v>
      </c>
      <c r="E323" s="1978">
        <v>178.57</v>
      </c>
      <c r="F323" s="2124" t="s">
        <v>1532</v>
      </c>
      <c r="G323" s="2125">
        <v>4.2</v>
      </c>
    </row>
    <row r="324" spans="1:7" ht="20.100000000000001" customHeight="1" x14ac:dyDescent="0.25">
      <c r="A324" s="2123">
        <v>45139</v>
      </c>
      <c r="B324" s="2141">
        <v>100</v>
      </c>
      <c r="C324" s="1978">
        <v>1600</v>
      </c>
      <c r="D324" s="1978">
        <v>2500</v>
      </c>
      <c r="E324" s="1978">
        <v>833.33</v>
      </c>
      <c r="F324" s="2124" t="s">
        <v>1286</v>
      </c>
      <c r="G324" s="2125">
        <v>3.11</v>
      </c>
    </row>
    <row r="325" spans="1:7" ht="20.100000000000001" customHeight="1" x14ac:dyDescent="0.25">
      <c r="A325" s="2123">
        <v>45170</v>
      </c>
      <c r="B325" s="2141">
        <v>350</v>
      </c>
      <c r="C325" s="1978">
        <v>2190</v>
      </c>
      <c r="D325" s="1978">
        <v>21010</v>
      </c>
      <c r="E325" s="1978">
        <v>1313.125</v>
      </c>
      <c r="F325" s="2126">
        <v>3.1</v>
      </c>
      <c r="G325" s="2125">
        <v>3.1</v>
      </c>
    </row>
    <row r="326" spans="1:7" ht="9.75" customHeight="1" thickBot="1" x14ac:dyDescent="0.3">
      <c r="A326" s="2127"/>
      <c r="B326" s="2172"/>
      <c r="C326" s="2128"/>
      <c r="D326" s="2128"/>
      <c r="E326" s="2128"/>
      <c r="F326" s="2129"/>
      <c r="G326" s="2130"/>
    </row>
    <row r="327" spans="1:7" s="2134" customFormat="1" ht="18" thickTop="1" x14ac:dyDescent="0.25">
      <c r="A327" s="2131" t="s">
        <v>1287</v>
      </c>
      <c r="B327" s="2131"/>
      <c r="C327" s="2131"/>
      <c r="D327" s="2132"/>
      <c r="E327" s="2131" t="s">
        <v>1533</v>
      </c>
      <c r="F327" s="2131"/>
      <c r="G327" s="2133"/>
    </row>
    <row r="328" spans="1:7" s="2134" customFormat="1" ht="17.25" x14ac:dyDescent="0.25">
      <c r="A328" s="2131" t="s">
        <v>173</v>
      </c>
      <c r="B328" s="2131"/>
      <c r="C328" s="2131"/>
      <c r="D328" s="2131"/>
      <c r="E328" s="2131"/>
      <c r="F328" s="2131"/>
      <c r="G328" s="2133"/>
    </row>
    <row r="329" spans="1:7" s="2134" customFormat="1" ht="18.75" customHeight="1" x14ac:dyDescent="0.25">
      <c r="A329" s="2131" t="s">
        <v>0</v>
      </c>
      <c r="B329" s="2131"/>
      <c r="C329" s="2131"/>
      <c r="D329" s="2131"/>
      <c r="E329" s="2131"/>
      <c r="F329" s="2131"/>
      <c r="G329" s="2133"/>
    </row>
  </sheetData>
  <mergeCells count="11">
    <mergeCell ref="A30:A33"/>
    <mergeCell ref="B30:D31"/>
    <mergeCell ref="B33:E33"/>
    <mergeCell ref="F33:G33"/>
    <mergeCell ref="A3:A6"/>
    <mergeCell ref="B3:B5"/>
    <mergeCell ref="C3:C5"/>
    <mergeCell ref="D3:D5"/>
    <mergeCell ref="E3:E5"/>
    <mergeCell ref="B6:C6"/>
    <mergeCell ref="D6:E6"/>
  </mergeCells>
  <pageMargins left="0.75" right="0.75" top="0.75" bottom="0.75" header="0.31496062992125984" footer="0"/>
  <pageSetup scale="63"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H155"/>
  <sheetViews>
    <sheetView zoomScaleNormal="100" zoomScaleSheetLayoutView="100" workbookViewId="0">
      <pane xSplit="1" ySplit="36" topLeftCell="B136" activePane="bottomRight" state="frozen"/>
      <selection activeCell="A38" sqref="A38"/>
      <selection pane="topRight" activeCell="A38" sqref="A38"/>
      <selection pane="bottomLeft" activeCell="A38" sqref="A38"/>
      <selection pane="bottomRight" activeCell="A38" sqref="A38"/>
    </sheetView>
  </sheetViews>
  <sheetFormatPr defaultColWidth="9.140625" defaultRowHeight="20.100000000000001" customHeight="1" x14ac:dyDescent="0.25"/>
  <cols>
    <col min="1" max="1" width="17.7109375" style="1786" customWidth="1"/>
    <col min="2" max="2" width="15.7109375" style="1786" customWidth="1"/>
    <col min="3" max="3" width="18" style="1786" customWidth="1"/>
    <col min="4" max="4" width="21.140625" style="1786" customWidth="1"/>
    <col min="5" max="5" width="20.28515625" style="1786" customWidth="1"/>
    <col min="6" max="6" width="15.5703125" style="1786" customWidth="1"/>
    <col min="7" max="8" width="12.85546875" style="1786" customWidth="1"/>
    <col min="9" max="9" width="4.5703125" style="1786" customWidth="1"/>
    <col min="10" max="16384" width="9.140625" style="1786"/>
  </cols>
  <sheetData>
    <row r="1" spans="1:6" ht="20.100000000000001" customHeight="1" x14ac:dyDescent="0.25">
      <c r="A1" s="2173" t="s">
        <v>1534</v>
      </c>
      <c r="B1" s="1728"/>
      <c r="C1" s="1728"/>
      <c r="D1" s="1728"/>
      <c r="E1" s="1728"/>
    </row>
    <row r="2" spans="1:6" ht="14.25" customHeight="1" thickBot="1" x14ac:dyDescent="0.3">
      <c r="A2" s="2174"/>
      <c r="B2" s="1728"/>
      <c r="C2" s="1728"/>
      <c r="D2" s="1728"/>
      <c r="E2" s="1728"/>
    </row>
    <row r="3" spans="1:6" ht="50.1" customHeight="1" thickTop="1" thickBot="1" x14ac:dyDescent="0.3">
      <c r="A3" s="2175" t="s">
        <v>5</v>
      </c>
      <c r="B3" s="2176" t="s">
        <v>965</v>
      </c>
      <c r="C3" s="2177" t="s">
        <v>1535</v>
      </c>
      <c r="D3" s="2178" t="s">
        <v>1003</v>
      </c>
      <c r="E3" s="2177" t="s">
        <v>1536</v>
      </c>
    </row>
    <row r="4" spans="1:6" ht="20.100000000000001" hidden="1" customHeight="1" x14ac:dyDescent="0.25">
      <c r="A4" s="2179">
        <v>42917</v>
      </c>
      <c r="B4" s="2180" t="s">
        <v>1014</v>
      </c>
      <c r="C4" s="2181" t="s">
        <v>1014</v>
      </c>
      <c r="D4" s="2182" t="s">
        <v>1014</v>
      </c>
      <c r="E4" s="2183" t="s">
        <v>1014</v>
      </c>
    </row>
    <row r="5" spans="1:6" ht="20.100000000000001" hidden="1" customHeight="1" x14ac:dyDescent="0.25">
      <c r="A5" s="2179">
        <v>42948</v>
      </c>
      <c r="B5" s="2180" t="s">
        <v>241</v>
      </c>
      <c r="C5" s="2181">
        <v>50</v>
      </c>
      <c r="D5" s="2182">
        <v>182</v>
      </c>
      <c r="E5" s="2183">
        <v>1.95</v>
      </c>
    </row>
    <row r="6" spans="1:6" ht="20.100000000000001" hidden="1" customHeight="1" x14ac:dyDescent="0.25">
      <c r="A6" s="2179">
        <v>42979</v>
      </c>
      <c r="B6" s="2180" t="s">
        <v>1537</v>
      </c>
      <c r="C6" s="2181">
        <v>504</v>
      </c>
      <c r="D6" s="2182">
        <v>49</v>
      </c>
      <c r="E6" s="2183">
        <v>2.1</v>
      </c>
    </row>
    <row r="7" spans="1:6" ht="20.100000000000001" hidden="1" customHeight="1" x14ac:dyDescent="0.25">
      <c r="A7" s="2179">
        <v>43009</v>
      </c>
      <c r="B7" s="2180" t="s">
        <v>241</v>
      </c>
      <c r="C7" s="2181">
        <v>50</v>
      </c>
      <c r="D7" s="2182">
        <v>182</v>
      </c>
      <c r="E7" s="2183">
        <v>1.9567000000000001</v>
      </c>
    </row>
    <row r="8" spans="1:6" ht="20.100000000000001" hidden="1" customHeight="1" x14ac:dyDescent="0.25">
      <c r="A8" s="2179">
        <v>43040</v>
      </c>
      <c r="B8" s="2180" t="s">
        <v>241</v>
      </c>
      <c r="C8" s="2181">
        <v>25</v>
      </c>
      <c r="D8" s="2182">
        <v>181</v>
      </c>
      <c r="E8" s="2183">
        <v>2.0680999999999998</v>
      </c>
    </row>
    <row r="9" spans="1:6" ht="20.100000000000001" hidden="1" customHeight="1" x14ac:dyDescent="0.25">
      <c r="A9" s="2179">
        <v>43070</v>
      </c>
      <c r="B9" s="2180" t="s">
        <v>1014</v>
      </c>
      <c r="C9" s="2181" t="s">
        <v>1014</v>
      </c>
      <c r="D9" s="2182" t="s">
        <v>1014</v>
      </c>
      <c r="E9" s="2183" t="s">
        <v>1014</v>
      </c>
    </row>
    <row r="10" spans="1:6" ht="20.100000000000001" hidden="1" customHeight="1" x14ac:dyDescent="0.25">
      <c r="A10" s="2179">
        <v>43101</v>
      </c>
      <c r="B10" s="2180" t="s">
        <v>1014</v>
      </c>
      <c r="C10" s="2181" t="s">
        <v>1014</v>
      </c>
      <c r="D10" s="2182" t="s">
        <v>1014</v>
      </c>
      <c r="E10" s="2183" t="s">
        <v>1014</v>
      </c>
    </row>
    <row r="11" spans="1:6" ht="20.100000000000001" hidden="1" customHeight="1" x14ac:dyDescent="0.25">
      <c r="A11" s="2179">
        <v>43132</v>
      </c>
      <c r="B11" s="2180" t="s">
        <v>1014</v>
      </c>
      <c r="C11" s="2181" t="s">
        <v>1014</v>
      </c>
      <c r="D11" s="2182" t="s">
        <v>1014</v>
      </c>
      <c r="E11" s="2183" t="s">
        <v>1014</v>
      </c>
    </row>
    <row r="12" spans="1:6" ht="20.100000000000001" hidden="1" customHeight="1" x14ac:dyDescent="0.25">
      <c r="A12" s="2179">
        <v>43160</v>
      </c>
      <c r="B12" s="2180" t="s">
        <v>241</v>
      </c>
      <c r="C12" s="2181">
        <v>50</v>
      </c>
      <c r="D12" s="2182">
        <v>184</v>
      </c>
      <c r="E12" s="2183">
        <v>3.2103000000000002</v>
      </c>
      <c r="F12" s="2184" t="s">
        <v>1538</v>
      </c>
    </row>
    <row r="13" spans="1:6" ht="20.100000000000001" hidden="1" customHeight="1" x14ac:dyDescent="0.25">
      <c r="A13" s="2179">
        <v>43191</v>
      </c>
      <c r="B13" s="2180" t="s">
        <v>241</v>
      </c>
      <c r="C13" s="2181">
        <v>50</v>
      </c>
      <c r="D13" s="2182">
        <v>91</v>
      </c>
      <c r="E13" s="2183">
        <v>2.8889999999999998</v>
      </c>
    </row>
    <row r="14" spans="1:6" ht="20.100000000000001" hidden="1" customHeight="1" x14ac:dyDescent="0.25">
      <c r="A14" s="2179"/>
      <c r="B14" s="2180" t="s">
        <v>241</v>
      </c>
      <c r="C14" s="2181">
        <v>50</v>
      </c>
      <c r="D14" s="2182">
        <v>183</v>
      </c>
      <c r="E14" s="2183">
        <v>2.94</v>
      </c>
    </row>
    <row r="15" spans="1:6" ht="20.100000000000001" hidden="1" customHeight="1" x14ac:dyDescent="0.25">
      <c r="A15" s="2179">
        <v>43221</v>
      </c>
      <c r="B15" s="2180" t="s">
        <v>1537</v>
      </c>
      <c r="C15" s="2181">
        <v>500</v>
      </c>
      <c r="D15" s="2182">
        <v>33</v>
      </c>
      <c r="E15" s="2183">
        <v>3.45</v>
      </c>
    </row>
    <row r="16" spans="1:6" ht="20.100000000000001" hidden="1" customHeight="1" x14ac:dyDescent="0.25">
      <c r="A16" s="2179">
        <v>43252</v>
      </c>
      <c r="B16" s="2180" t="s">
        <v>241</v>
      </c>
      <c r="C16" s="2181">
        <v>50</v>
      </c>
      <c r="D16" s="2182">
        <v>183</v>
      </c>
      <c r="E16" s="2183">
        <v>2.9525000000000001</v>
      </c>
    </row>
    <row r="17" spans="1:8" ht="20.100000000000001" hidden="1" customHeight="1" x14ac:dyDescent="0.25">
      <c r="A17" s="2179">
        <v>43282</v>
      </c>
      <c r="B17" s="2180" t="s">
        <v>1537</v>
      </c>
      <c r="C17" s="2181">
        <v>500</v>
      </c>
      <c r="D17" s="2182">
        <v>14</v>
      </c>
      <c r="E17" s="2183">
        <v>3.5</v>
      </c>
      <c r="H17" s="2185"/>
    </row>
    <row r="18" spans="1:8" ht="20.100000000000001" hidden="1" customHeight="1" x14ac:dyDescent="0.25">
      <c r="A18" s="2179">
        <v>43313</v>
      </c>
      <c r="B18" s="2180" t="s">
        <v>241</v>
      </c>
      <c r="C18" s="2181">
        <v>50</v>
      </c>
      <c r="D18" s="2182">
        <v>92</v>
      </c>
      <c r="E18" s="2183">
        <v>2.9531000000000001</v>
      </c>
      <c r="H18" s="2185"/>
    </row>
    <row r="19" spans="1:8" ht="20.100000000000001" hidden="1" customHeight="1" x14ac:dyDescent="0.25">
      <c r="A19" s="2179"/>
      <c r="B19" s="2180" t="s">
        <v>241</v>
      </c>
      <c r="C19" s="2181">
        <v>50</v>
      </c>
      <c r="D19" s="2182">
        <v>94</v>
      </c>
      <c r="E19" s="2183">
        <v>2.9483000000000001</v>
      </c>
      <c r="H19" s="2185"/>
    </row>
    <row r="20" spans="1:8" ht="20.100000000000001" hidden="1" customHeight="1" x14ac:dyDescent="0.25">
      <c r="A20" s="2179"/>
      <c r="B20" s="2180" t="s">
        <v>240</v>
      </c>
      <c r="C20" s="2181">
        <v>75</v>
      </c>
      <c r="D20" s="2182">
        <v>364</v>
      </c>
      <c r="E20" s="2183">
        <v>0.53900000000000003</v>
      </c>
      <c r="H20" s="2185"/>
    </row>
    <row r="21" spans="1:8" ht="20.100000000000001" hidden="1" customHeight="1" x14ac:dyDescent="0.25">
      <c r="A21" s="2179"/>
      <c r="B21" s="2180" t="s">
        <v>1537</v>
      </c>
      <c r="C21" s="2181">
        <v>505.7</v>
      </c>
      <c r="D21" s="2182">
        <v>184</v>
      </c>
      <c r="E21" s="2183">
        <v>3.6</v>
      </c>
      <c r="H21" s="2185"/>
    </row>
    <row r="22" spans="1:8" ht="20.100000000000001" hidden="1" customHeight="1" x14ac:dyDescent="0.25">
      <c r="A22" s="2179">
        <v>43344</v>
      </c>
      <c r="B22" s="2180" t="s">
        <v>241</v>
      </c>
      <c r="C22" s="2181">
        <v>50</v>
      </c>
      <c r="D22" s="2181">
        <v>731</v>
      </c>
      <c r="E22" s="2181" t="s">
        <v>1539</v>
      </c>
      <c r="F22" s="1960"/>
      <c r="G22" s="1960"/>
      <c r="H22" s="1960"/>
    </row>
    <row r="23" spans="1:8" ht="20.100000000000001" hidden="1" customHeight="1" x14ac:dyDescent="0.25">
      <c r="A23" s="2179">
        <v>43374</v>
      </c>
      <c r="B23" s="2180" t="s">
        <v>241</v>
      </c>
      <c r="C23" s="2181">
        <v>50</v>
      </c>
      <c r="D23" s="2182">
        <v>182</v>
      </c>
      <c r="E23" s="2183">
        <v>3.2038000000000002</v>
      </c>
      <c r="H23" s="2185"/>
    </row>
    <row r="24" spans="1:8" ht="20.100000000000001" hidden="1" customHeight="1" x14ac:dyDescent="0.25">
      <c r="A24" s="2179">
        <v>43405</v>
      </c>
      <c r="B24" s="2180" t="s">
        <v>241</v>
      </c>
      <c r="C24" s="2181">
        <v>0.5</v>
      </c>
      <c r="D24" s="2182">
        <v>3</v>
      </c>
      <c r="E24" s="2183">
        <v>2.5</v>
      </c>
      <c r="H24" s="2185"/>
    </row>
    <row r="25" spans="1:8" ht="20.100000000000001" hidden="1" customHeight="1" x14ac:dyDescent="0.25">
      <c r="A25" s="2179">
        <v>43435</v>
      </c>
      <c r="B25" s="2180" t="s">
        <v>1537</v>
      </c>
      <c r="C25" s="2181">
        <v>400</v>
      </c>
      <c r="D25" s="2182">
        <v>31</v>
      </c>
      <c r="E25" s="2183">
        <v>3.37</v>
      </c>
      <c r="H25" s="2185"/>
    </row>
    <row r="26" spans="1:8" ht="20.100000000000001" hidden="1" customHeight="1" x14ac:dyDescent="0.25">
      <c r="A26" s="2179">
        <v>43466</v>
      </c>
      <c r="B26" s="2180" t="s">
        <v>241</v>
      </c>
      <c r="C26" s="2181">
        <v>50</v>
      </c>
      <c r="D26" s="2182">
        <v>181</v>
      </c>
      <c r="E26" s="2183">
        <v>3.25</v>
      </c>
      <c r="H26" s="2185"/>
    </row>
    <row r="27" spans="1:8" ht="20.100000000000001" hidden="1" customHeight="1" x14ac:dyDescent="0.25">
      <c r="A27" s="2179"/>
      <c r="B27" s="2180" t="s">
        <v>1537</v>
      </c>
      <c r="C27" s="2181">
        <v>1000</v>
      </c>
      <c r="D27" s="2182">
        <v>31</v>
      </c>
      <c r="E27" s="2183">
        <v>3.05</v>
      </c>
      <c r="H27" s="2185"/>
    </row>
    <row r="28" spans="1:8" ht="20.100000000000001" hidden="1" customHeight="1" x14ac:dyDescent="0.25">
      <c r="A28" s="2179">
        <v>43497</v>
      </c>
      <c r="B28" s="2180" t="s">
        <v>1014</v>
      </c>
      <c r="C28" s="2181" t="s">
        <v>1014</v>
      </c>
      <c r="D28" s="2182" t="s">
        <v>1014</v>
      </c>
      <c r="E28" s="2183" t="s">
        <v>1014</v>
      </c>
      <c r="H28" s="2185"/>
    </row>
    <row r="29" spans="1:8" ht="20.100000000000001" hidden="1" customHeight="1" x14ac:dyDescent="0.25">
      <c r="A29" s="2179">
        <v>43525</v>
      </c>
      <c r="B29" s="2180" t="s">
        <v>1014</v>
      </c>
      <c r="C29" s="2181" t="s">
        <v>1014</v>
      </c>
      <c r="D29" s="2182" t="s">
        <v>1014</v>
      </c>
      <c r="E29" s="2183" t="s">
        <v>1014</v>
      </c>
      <c r="H29" s="2185"/>
    </row>
    <row r="30" spans="1:8" ht="20.100000000000001" hidden="1" customHeight="1" x14ac:dyDescent="0.25">
      <c r="A30" s="2179">
        <v>43556</v>
      </c>
      <c r="B30" s="2180" t="s">
        <v>1014</v>
      </c>
      <c r="C30" s="2181" t="s">
        <v>1014</v>
      </c>
      <c r="D30" s="2182" t="s">
        <v>1014</v>
      </c>
      <c r="E30" s="2183" t="s">
        <v>1014</v>
      </c>
      <c r="H30" s="2185"/>
    </row>
    <row r="31" spans="1:8" ht="20.100000000000001" hidden="1" customHeight="1" x14ac:dyDescent="0.25">
      <c r="A31" s="2179">
        <v>43586</v>
      </c>
      <c r="B31" s="2180" t="s">
        <v>1014</v>
      </c>
      <c r="C31" s="2181" t="s">
        <v>1014</v>
      </c>
      <c r="D31" s="2182" t="s">
        <v>1014</v>
      </c>
      <c r="E31" s="2183" t="s">
        <v>1014</v>
      </c>
      <c r="H31" s="2185"/>
    </row>
    <row r="32" spans="1:8" ht="20.100000000000001" hidden="1" customHeight="1" x14ac:dyDescent="0.25">
      <c r="A32" s="2179">
        <v>43617</v>
      </c>
      <c r="B32" s="2180" t="s">
        <v>241</v>
      </c>
      <c r="C32" s="2181">
        <v>50</v>
      </c>
      <c r="D32" s="2182">
        <v>180</v>
      </c>
      <c r="E32" s="2183">
        <v>3.15</v>
      </c>
      <c r="H32" s="2185"/>
    </row>
    <row r="33" spans="1:8" ht="20.100000000000001" hidden="1" customHeight="1" x14ac:dyDescent="0.25">
      <c r="A33" s="2179"/>
      <c r="B33" s="2180" t="s">
        <v>241</v>
      </c>
      <c r="C33" s="2181">
        <v>100</v>
      </c>
      <c r="D33" s="2182">
        <v>183</v>
      </c>
      <c r="E33" s="2183">
        <v>3.05</v>
      </c>
      <c r="H33" s="2185"/>
    </row>
    <row r="34" spans="1:8" ht="20.100000000000001" hidden="1" customHeight="1" x14ac:dyDescent="0.25">
      <c r="A34" s="2179"/>
      <c r="B34" s="2180" t="s">
        <v>240</v>
      </c>
      <c r="C34" s="2181">
        <v>20</v>
      </c>
      <c r="D34" s="2182">
        <v>91</v>
      </c>
      <c r="E34" s="2183">
        <v>0.22</v>
      </c>
      <c r="H34" s="2185"/>
    </row>
    <row r="35" spans="1:8" ht="20.100000000000001" hidden="1" customHeight="1" x14ac:dyDescent="0.25">
      <c r="A35" s="2179">
        <v>43647</v>
      </c>
      <c r="B35" s="2180" t="s">
        <v>1014</v>
      </c>
      <c r="C35" s="2181" t="s">
        <v>1014</v>
      </c>
      <c r="D35" s="2182" t="s">
        <v>1014</v>
      </c>
      <c r="E35" s="2183" t="s">
        <v>1014</v>
      </c>
      <c r="H35" s="2185"/>
    </row>
    <row r="36" spans="1:8" ht="20.100000000000001" hidden="1" customHeight="1" x14ac:dyDescent="0.25">
      <c r="A36" s="2179">
        <v>43678</v>
      </c>
      <c r="B36" s="2180" t="s">
        <v>1014</v>
      </c>
      <c r="C36" s="2181" t="s">
        <v>1014</v>
      </c>
      <c r="D36" s="2182" t="s">
        <v>1014</v>
      </c>
      <c r="E36" s="2183" t="s">
        <v>1014</v>
      </c>
      <c r="H36" s="2185"/>
    </row>
    <row r="37" spans="1:8" ht="20.100000000000001" hidden="1" customHeight="1" x14ac:dyDescent="0.25">
      <c r="A37" s="2179">
        <v>43709</v>
      </c>
      <c r="B37" s="2186" t="s">
        <v>240</v>
      </c>
      <c r="C37" s="2187">
        <v>50</v>
      </c>
      <c r="D37" s="2188">
        <v>123</v>
      </c>
      <c r="E37" s="2189">
        <v>0.15</v>
      </c>
      <c r="H37" s="2185"/>
    </row>
    <row r="38" spans="1:8" ht="20.100000000000001" hidden="1" customHeight="1" x14ac:dyDescent="0.25">
      <c r="A38" s="2179">
        <v>43739</v>
      </c>
      <c r="B38" s="2186" t="s">
        <v>1537</v>
      </c>
      <c r="C38" s="2187">
        <v>1000</v>
      </c>
      <c r="D38" s="2188">
        <v>94</v>
      </c>
      <c r="E38" s="2189">
        <v>2.85</v>
      </c>
      <c r="H38" s="2185"/>
    </row>
    <row r="39" spans="1:8" ht="20.100000000000001" hidden="1" customHeight="1" x14ac:dyDescent="0.25">
      <c r="A39" s="2179">
        <v>43770</v>
      </c>
      <c r="B39" s="2186" t="s">
        <v>1537</v>
      </c>
      <c r="C39" s="2187">
        <v>4.5</v>
      </c>
      <c r="D39" s="2188">
        <v>91</v>
      </c>
      <c r="E39" s="2189">
        <v>2.59</v>
      </c>
      <c r="H39" s="2185"/>
    </row>
    <row r="40" spans="1:8" ht="20.100000000000001" hidden="1" customHeight="1" x14ac:dyDescent="0.25">
      <c r="A40" s="2179"/>
      <c r="B40" s="2186" t="s">
        <v>1537</v>
      </c>
      <c r="C40" s="2187">
        <v>4.5</v>
      </c>
      <c r="D40" s="2188">
        <v>91</v>
      </c>
      <c r="E40" s="2189">
        <v>2.75</v>
      </c>
      <c r="H40" s="2185"/>
    </row>
    <row r="41" spans="1:8" ht="20.100000000000001" hidden="1" customHeight="1" x14ac:dyDescent="0.25">
      <c r="A41" s="2179">
        <v>43800</v>
      </c>
      <c r="B41" s="2186" t="s">
        <v>1014</v>
      </c>
      <c r="C41" s="2187" t="s">
        <v>1014</v>
      </c>
      <c r="D41" s="2188" t="s">
        <v>1014</v>
      </c>
      <c r="E41" s="2189" t="s">
        <v>1014</v>
      </c>
      <c r="H41" s="2185"/>
    </row>
    <row r="42" spans="1:8" ht="20.100000000000001" hidden="1" customHeight="1" x14ac:dyDescent="0.25">
      <c r="A42" s="2179">
        <v>43831</v>
      </c>
      <c r="B42" s="2186" t="s">
        <v>1537</v>
      </c>
      <c r="C42" s="2187">
        <v>1000</v>
      </c>
      <c r="D42" s="2188">
        <v>182</v>
      </c>
      <c r="E42" s="2189">
        <v>2.8</v>
      </c>
      <c r="H42" s="2185"/>
    </row>
    <row r="43" spans="1:8" ht="20.100000000000001" hidden="1" customHeight="1" x14ac:dyDescent="0.25">
      <c r="A43" s="2179"/>
      <c r="B43" s="2186" t="s">
        <v>240</v>
      </c>
      <c r="C43" s="2187">
        <v>50</v>
      </c>
      <c r="D43" s="2188">
        <v>182</v>
      </c>
      <c r="E43" s="2189">
        <v>0.2</v>
      </c>
      <c r="H43" s="2185"/>
    </row>
    <row r="44" spans="1:8" ht="20.100000000000001" hidden="1" customHeight="1" x14ac:dyDescent="0.25">
      <c r="A44" s="2179">
        <v>43862</v>
      </c>
      <c r="B44" s="2186" t="s">
        <v>1014</v>
      </c>
      <c r="C44" s="2187" t="s">
        <v>1014</v>
      </c>
      <c r="D44" s="2188" t="s">
        <v>1014</v>
      </c>
      <c r="E44" s="2189" t="s">
        <v>1014</v>
      </c>
      <c r="H44" s="2185"/>
    </row>
    <row r="45" spans="1:8" ht="20.100000000000001" hidden="1" customHeight="1" x14ac:dyDescent="0.25">
      <c r="A45" s="2179">
        <v>43891</v>
      </c>
      <c r="B45" s="2186" t="s">
        <v>241</v>
      </c>
      <c r="C45" s="2187">
        <v>30</v>
      </c>
      <c r="D45" s="2188">
        <v>96</v>
      </c>
      <c r="E45" s="2189">
        <v>1.8158000000000001</v>
      </c>
      <c r="H45" s="2185"/>
    </row>
    <row r="46" spans="1:8" ht="20.100000000000001" hidden="1" customHeight="1" x14ac:dyDescent="0.25">
      <c r="A46" s="2179"/>
      <c r="B46" s="2186" t="s">
        <v>241</v>
      </c>
      <c r="C46" s="2187">
        <v>100</v>
      </c>
      <c r="D46" s="2188">
        <v>184</v>
      </c>
      <c r="E46" s="2189">
        <v>1.4</v>
      </c>
      <c r="H46" s="2185"/>
    </row>
    <row r="47" spans="1:8" ht="20.100000000000001" hidden="1" customHeight="1" x14ac:dyDescent="0.25">
      <c r="A47" s="2179"/>
      <c r="B47" s="2186" t="s">
        <v>241</v>
      </c>
      <c r="C47" s="2187">
        <v>100</v>
      </c>
      <c r="D47" s="2188">
        <v>365</v>
      </c>
      <c r="E47" s="2189">
        <v>1.8</v>
      </c>
      <c r="H47" s="2185"/>
    </row>
    <row r="48" spans="1:8" ht="20.100000000000001" hidden="1" customHeight="1" x14ac:dyDescent="0.25">
      <c r="A48" s="2179"/>
      <c r="B48" s="2186" t="s">
        <v>241</v>
      </c>
      <c r="C48" s="2187">
        <v>50</v>
      </c>
      <c r="D48" s="2188">
        <v>365</v>
      </c>
      <c r="E48" s="2189">
        <v>1.7</v>
      </c>
      <c r="H48" s="2185"/>
    </row>
    <row r="49" spans="1:8" ht="20.100000000000001" hidden="1" customHeight="1" x14ac:dyDescent="0.25">
      <c r="A49" s="2179"/>
      <c r="B49" s="2186" t="s">
        <v>241</v>
      </c>
      <c r="C49" s="2187">
        <v>100</v>
      </c>
      <c r="D49" s="2188">
        <v>728</v>
      </c>
      <c r="E49" s="2189">
        <v>1.8225</v>
      </c>
      <c r="H49" s="2185"/>
    </row>
    <row r="50" spans="1:8" ht="20.100000000000001" hidden="1" customHeight="1" x14ac:dyDescent="0.25">
      <c r="A50" s="2179"/>
      <c r="B50" s="2186" t="s">
        <v>241</v>
      </c>
      <c r="C50" s="2187">
        <v>100</v>
      </c>
      <c r="D50" s="2188">
        <v>728</v>
      </c>
      <c r="E50" s="2189">
        <v>1.3646</v>
      </c>
      <c r="H50" s="2185"/>
    </row>
    <row r="51" spans="1:8" ht="20.100000000000001" hidden="1" customHeight="1" x14ac:dyDescent="0.25">
      <c r="A51" s="2179"/>
      <c r="B51" s="2186" t="s">
        <v>241</v>
      </c>
      <c r="C51" s="2187">
        <v>50</v>
      </c>
      <c r="D51" s="2188">
        <v>14</v>
      </c>
      <c r="E51" s="2189">
        <v>2</v>
      </c>
      <c r="H51" s="2185"/>
    </row>
    <row r="52" spans="1:8" ht="20.100000000000001" hidden="1" customHeight="1" x14ac:dyDescent="0.25">
      <c r="A52" s="2179">
        <v>43922</v>
      </c>
      <c r="B52" s="2186" t="s">
        <v>241</v>
      </c>
      <c r="C52" s="2187">
        <v>25</v>
      </c>
      <c r="D52" s="2188">
        <v>91</v>
      </c>
      <c r="E52" s="2189">
        <v>2.7</v>
      </c>
      <c r="H52" s="2185"/>
    </row>
    <row r="53" spans="1:8" ht="20.100000000000001" hidden="1" customHeight="1" x14ac:dyDescent="0.25">
      <c r="A53" s="2179"/>
      <c r="B53" s="2186" t="s">
        <v>241</v>
      </c>
      <c r="C53" s="2187">
        <v>30</v>
      </c>
      <c r="D53" s="2188">
        <v>84</v>
      </c>
      <c r="E53" s="2189">
        <v>3</v>
      </c>
      <c r="H53" s="2185"/>
    </row>
    <row r="54" spans="1:8" ht="20.100000000000001" hidden="1" customHeight="1" x14ac:dyDescent="0.25">
      <c r="A54" s="2179"/>
      <c r="B54" s="2186" t="s">
        <v>241</v>
      </c>
      <c r="C54" s="2187">
        <v>50</v>
      </c>
      <c r="D54" s="2188">
        <v>91</v>
      </c>
      <c r="E54" s="2189">
        <v>2.75</v>
      </c>
      <c r="H54" s="2185"/>
    </row>
    <row r="55" spans="1:8" ht="20.100000000000001" hidden="1" customHeight="1" x14ac:dyDescent="0.25">
      <c r="A55" s="2179">
        <v>43952</v>
      </c>
      <c r="B55" s="2186" t="s">
        <v>1014</v>
      </c>
      <c r="C55" s="2187" t="s">
        <v>1014</v>
      </c>
      <c r="D55" s="2188" t="s">
        <v>1014</v>
      </c>
      <c r="E55" s="2189" t="s">
        <v>1014</v>
      </c>
      <c r="H55" s="2185"/>
    </row>
    <row r="56" spans="1:8" ht="20.100000000000001" hidden="1" customHeight="1" x14ac:dyDescent="0.25">
      <c r="A56" s="2179">
        <v>43983</v>
      </c>
      <c r="B56" s="2186" t="s">
        <v>241</v>
      </c>
      <c r="C56" s="2187">
        <v>25</v>
      </c>
      <c r="D56" s="2188">
        <v>183</v>
      </c>
      <c r="E56" s="2189">
        <v>1.35</v>
      </c>
      <c r="H56" s="2185"/>
    </row>
    <row r="57" spans="1:8" ht="20.100000000000001" hidden="1" customHeight="1" x14ac:dyDescent="0.25">
      <c r="A57" s="2179"/>
      <c r="B57" s="2186" t="s">
        <v>241</v>
      </c>
      <c r="C57" s="2187">
        <v>25</v>
      </c>
      <c r="D57" s="2188">
        <v>365</v>
      </c>
      <c r="E57" s="2189">
        <v>1.7</v>
      </c>
      <c r="H57" s="2185"/>
    </row>
    <row r="58" spans="1:8" ht="20.100000000000001" hidden="1" customHeight="1" x14ac:dyDescent="0.25">
      <c r="A58" s="2179">
        <v>44013</v>
      </c>
      <c r="B58" s="2186" t="s">
        <v>241</v>
      </c>
      <c r="C58" s="2187">
        <v>50</v>
      </c>
      <c r="D58" s="2188">
        <v>365</v>
      </c>
      <c r="E58" s="2189">
        <v>1.5255000000000001</v>
      </c>
      <c r="H58" s="2185"/>
    </row>
    <row r="59" spans="1:8" ht="20.100000000000001" hidden="1" customHeight="1" x14ac:dyDescent="0.25">
      <c r="A59" s="2179"/>
      <c r="B59" s="2186" t="s">
        <v>1537</v>
      </c>
      <c r="C59" s="2187">
        <v>250</v>
      </c>
      <c r="D59" s="2188">
        <v>130</v>
      </c>
      <c r="E59" s="2189">
        <v>0.95</v>
      </c>
      <c r="H59" s="2185"/>
    </row>
    <row r="60" spans="1:8" ht="20.100000000000001" hidden="1" customHeight="1" x14ac:dyDescent="0.25">
      <c r="A60" s="2179"/>
      <c r="B60" s="2186" t="s">
        <v>1537</v>
      </c>
      <c r="C60" s="2187">
        <v>250</v>
      </c>
      <c r="D60" s="2188">
        <v>163</v>
      </c>
      <c r="E60" s="2189">
        <v>1.1000000000000001</v>
      </c>
      <c r="H60" s="2185"/>
    </row>
    <row r="61" spans="1:8" ht="20.100000000000001" hidden="1" customHeight="1" x14ac:dyDescent="0.25">
      <c r="A61" s="2179"/>
      <c r="B61" s="2186" t="s">
        <v>1537</v>
      </c>
      <c r="C61" s="2187">
        <v>250</v>
      </c>
      <c r="D61" s="2188">
        <v>35</v>
      </c>
      <c r="E61" s="2189">
        <v>0.75</v>
      </c>
      <c r="H61" s="2185"/>
    </row>
    <row r="62" spans="1:8" ht="20.100000000000001" hidden="1" customHeight="1" x14ac:dyDescent="0.25">
      <c r="A62" s="2179"/>
      <c r="B62" s="2186" t="s">
        <v>1537</v>
      </c>
      <c r="C62" s="2187">
        <v>250</v>
      </c>
      <c r="D62" s="2188">
        <v>67</v>
      </c>
      <c r="E62" s="2189">
        <v>0.85</v>
      </c>
      <c r="H62" s="2185"/>
    </row>
    <row r="63" spans="1:8" ht="20.100000000000001" hidden="1" customHeight="1" x14ac:dyDescent="0.25">
      <c r="A63" s="2179">
        <v>44044</v>
      </c>
      <c r="B63" s="2186" t="s">
        <v>241</v>
      </c>
      <c r="C63" s="2187">
        <v>50</v>
      </c>
      <c r="D63" s="2188">
        <v>730</v>
      </c>
      <c r="E63" s="2189">
        <v>1.0825</v>
      </c>
      <c r="H63" s="2185"/>
    </row>
    <row r="64" spans="1:8" ht="20.100000000000001" hidden="1" customHeight="1" x14ac:dyDescent="0.25">
      <c r="A64" s="2179"/>
      <c r="B64" s="2186" t="s">
        <v>241</v>
      </c>
      <c r="C64" s="2187">
        <v>50</v>
      </c>
      <c r="D64" s="2188">
        <v>1095</v>
      </c>
      <c r="E64" s="2189">
        <v>1.3325</v>
      </c>
      <c r="H64" s="2185"/>
    </row>
    <row r="65" spans="1:8" ht="20.100000000000001" hidden="1" customHeight="1" x14ac:dyDescent="0.25">
      <c r="A65" s="2179">
        <v>44075</v>
      </c>
      <c r="B65" s="2186" t="s">
        <v>1014</v>
      </c>
      <c r="C65" s="2187" t="s">
        <v>1014</v>
      </c>
      <c r="D65" s="2188" t="s">
        <v>1014</v>
      </c>
      <c r="E65" s="2189" t="s">
        <v>1014</v>
      </c>
      <c r="H65" s="2185"/>
    </row>
    <row r="66" spans="1:8" ht="20.100000000000001" hidden="1" customHeight="1" x14ac:dyDescent="0.25">
      <c r="A66" s="2179">
        <v>44105</v>
      </c>
      <c r="B66" s="2186" t="s">
        <v>1014</v>
      </c>
      <c r="C66" s="2187" t="s">
        <v>1014</v>
      </c>
      <c r="D66" s="2188" t="s">
        <v>1014</v>
      </c>
      <c r="E66" s="2189" t="s">
        <v>1014</v>
      </c>
      <c r="H66" s="2185"/>
    </row>
    <row r="67" spans="1:8" ht="20.100000000000001" hidden="1" customHeight="1" x14ac:dyDescent="0.25">
      <c r="A67" s="2179">
        <v>44136</v>
      </c>
      <c r="B67" s="2186" t="s">
        <v>241</v>
      </c>
      <c r="C67" s="2187">
        <v>25</v>
      </c>
      <c r="D67" s="2188">
        <v>181</v>
      </c>
      <c r="E67" s="2189">
        <v>0.95</v>
      </c>
      <c r="H67" s="2185"/>
    </row>
    <row r="68" spans="1:8" ht="20.100000000000001" hidden="1" customHeight="1" x14ac:dyDescent="0.25">
      <c r="A68" s="2179">
        <v>44166</v>
      </c>
      <c r="B68" s="2186" t="s">
        <v>241</v>
      </c>
      <c r="C68" s="2187">
        <v>100</v>
      </c>
      <c r="D68" s="2188">
        <v>1095</v>
      </c>
      <c r="E68" s="2189">
        <v>1.5364</v>
      </c>
      <c r="H68" s="2185"/>
    </row>
    <row r="69" spans="1:8" ht="20.100000000000001" hidden="1" customHeight="1" x14ac:dyDescent="0.25">
      <c r="A69" s="2179">
        <v>44197</v>
      </c>
      <c r="B69" s="2186" t="s">
        <v>241</v>
      </c>
      <c r="C69" s="2187">
        <v>150</v>
      </c>
      <c r="D69" s="2188">
        <v>365</v>
      </c>
      <c r="E69" s="2189">
        <v>1.1975</v>
      </c>
      <c r="H69" s="2185"/>
    </row>
    <row r="70" spans="1:8" ht="20.100000000000001" hidden="1" customHeight="1" x14ac:dyDescent="0.25">
      <c r="A70" s="2179">
        <v>44228</v>
      </c>
      <c r="B70" s="2186" t="s">
        <v>1014</v>
      </c>
      <c r="C70" s="2187" t="s">
        <v>1014</v>
      </c>
      <c r="D70" s="2188" t="s">
        <v>1014</v>
      </c>
      <c r="E70" s="2189" t="s">
        <v>1014</v>
      </c>
      <c r="H70" s="2185"/>
    </row>
    <row r="71" spans="1:8" ht="20.100000000000001" hidden="1" customHeight="1" x14ac:dyDescent="0.25">
      <c r="A71" s="2179">
        <v>44256</v>
      </c>
      <c r="B71" s="2186" t="s">
        <v>241</v>
      </c>
      <c r="C71" s="2187">
        <v>100</v>
      </c>
      <c r="D71" s="2188">
        <v>365</v>
      </c>
      <c r="E71" s="2189">
        <v>0.8</v>
      </c>
      <c r="H71" s="2185"/>
    </row>
    <row r="72" spans="1:8" ht="20.100000000000001" hidden="1" customHeight="1" x14ac:dyDescent="0.25">
      <c r="A72" s="2179"/>
      <c r="B72" s="2186" t="s">
        <v>241</v>
      </c>
      <c r="C72" s="2187">
        <v>50</v>
      </c>
      <c r="D72" s="2188">
        <v>365</v>
      </c>
      <c r="E72" s="2189">
        <v>0.75</v>
      </c>
      <c r="H72" s="2185"/>
    </row>
    <row r="73" spans="1:8" ht="20.100000000000001" hidden="1" customHeight="1" x14ac:dyDescent="0.25">
      <c r="A73" s="2179">
        <v>44287</v>
      </c>
      <c r="B73" s="2186" t="s">
        <v>240</v>
      </c>
      <c r="C73" s="2187">
        <v>20</v>
      </c>
      <c r="D73" s="2188">
        <v>183</v>
      </c>
      <c r="E73" s="2189">
        <v>0.09</v>
      </c>
      <c r="H73" s="2185"/>
    </row>
    <row r="74" spans="1:8" ht="20.100000000000001" hidden="1" customHeight="1" x14ac:dyDescent="0.25">
      <c r="A74" s="2179">
        <v>44317</v>
      </c>
      <c r="B74" s="2186" t="s">
        <v>240</v>
      </c>
      <c r="C74" s="2187">
        <v>50</v>
      </c>
      <c r="D74" s="2188">
        <v>184</v>
      </c>
      <c r="E74" s="2189">
        <v>7.0000000000000007E-2</v>
      </c>
      <c r="H74" s="2185"/>
    </row>
    <row r="75" spans="1:8" ht="20.100000000000001" hidden="1" customHeight="1" x14ac:dyDescent="0.25">
      <c r="A75" s="2179"/>
      <c r="B75" s="2186" t="s">
        <v>1537</v>
      </c>
      <c r="C75" s="2187">
        <v>1000</v>
      </c>
      <c r="D75" s="2188">
        <v>14</v>
      </c>
      <c r="E75" s="2189">
        <v>0.35</v>
      </c>
      <c r="H75" s="2185"/>
    </row>
    <row r="76" spans="1:8" ht="20.100000000000001" hidden="1" customHeight="1" x14ac:dyDescent="0.25">
      <c r="A76" s="2179"/>
      <c r="B76" s="2186" t="s">
        <v>241</v>
      </c>
      <c r="C76" s="2187">
        <v>7</v>
      </c>
      <c r="D76" s="2188">
        <v>7</v>
      </c>
      <c r="E76" s="2189">
        <v>0</v>
      </c>
      <c r="H76" s="2185"/>
    </row>
    <row r="77" spans="1:8" ht="20.100000000000001" hidden="1" customHeight="1" x14ac:dyDescent="0.25">
      <c r="A77" s="2179">
        <v>44348</v>
      </c>
      <c r="B77" s="2186" t="s">
        <v>1537</v>
      </c>
      <c r="C77" s="2187">
        <v>1000</v>
      </c>
      <c r="D77" s="2188">
        <v>14</v>
      </c>
      <c r="E77" s="2189">
        <v>0.35</v>
      </c>
      <c r="H77" s="2185"/>
    </row>
    <row r="78" spans="1:8" ht="20.100000000000001" hidden="1" customHeight="1" x14ac:dyDescent="0.25">
      <c r="A78" s="2179"/>
      <c r="B78" s="2186" t="s">
        <v>1537</v>
      </c>
      <c r="C78" s="2187">
        <v>1000</v>
      </c>
      <c r="D78" s="2188">
        <v>14</v>
      </c>
      <c r="E78" s="2189">
        <v>0.45</v>
      </c>
      <c r="H78" s="2185"/>
    </row>
    <row r="79" spans="1:8" ht="20.100000000000001" hidden="1" customHeight="1" x14ac:dyDescent="0.25">
      <c r="A79" s="2179"/>
      <c r="B79" s="2186" t="s">
        <v>1537</v>
      </c>
      <c r="C79" s="2187">
        <v>1000</v>
      </c>
      <c r="D79" s="2188">
        <v>30</v>
      </c>
      <c r="E79" s="2189">
        <v>0.75</v>
      </c>
      <c r="H79" s="2185"/>
    </row>
    <row r="80" spans="1:8" ht="20.100000000000001" hidden="1" customHeight="1" x14ac:dyDescent="0.25">
      <c r="A80" s="2179">
        <v>44378</v>
      </c>
      <c r="B80" s="2186" t="s">
        <v>240</v>
      </c>
      <c r="C80" s="2187">
        <v>25</v>
      </c>
      <c r="D80" s="2188">
        <v>184</v>
      </c>
      <c r="E80" s="2189">
        <v>0.1</v>
      </c>
      <c r="H80" s="2185"/>
    </row>
    <row r="81" spans="1:8" ht="20.100000000000001" hidden="1" customHeight="1" x14ac:dyDescent="0.25">
      <c r="A81" s="2179">
        <v>44409</v>
      </c>
      <c r="B81" s="2186" t="s">
        <v>1537</v>
      </c>
      <c r="C81" s="2187">
        <v>1000</v>
      </c>
      <c r="D81" s="2188">
        <v>7</v>
      </c>
      <c r="E81" s="2189">
        <v>0.35</v>
      </c>
      <c r="H81" s="2185"/>
    </row>
    <row r="82" spans="1:8" ht="20.100000000000001" hidden="1" customHeight="1" x14ac:dyDescent="0.25">
      <c r="A82" s="2179"/>
      <c r="B82" s="2186" t="s">
        <v>1537</v>
      </c>
      <c r="C82" s="2187">
        <v>2500</v>
      </c>
      <c r="D82" s="2188">
        <v>7</v>
      </c>
      <c r="E82" s="2189">
        <v>1.25</v>
      </c>
      <c r="H82" s="2185"/>
    </row>
    <row r="83" spans="1:8" ht="20.100000000000001" hidden="1" customHeight="1" x14ac:dyDescent="0.25">
      <c r="A83" s="2179">
        <v>44440</v>
      </c>
      <c r="B83" s="2186" t="s">
        <v>1014</v>
      </c>
      <c r="C83" s="2187" t="s">
        <v>1014</v>
      </c>
      <c r="D83" s="2188" t="s">
        <v>1014</v>
      </c>
      <c r="E83" s="2189" t="s">
        <v>1014</v>
      </c>
      <c r="H83" s="2185"/>
    </row>
    <row r="84" spans="1:8" ht="20.100000000000001" hidden="1" customHeight="1" x14ac:dyDescent="0.25">
      <c r="A84" s="2179">
        <v>44470</v>
      </c>
      <c r="B84" s="2186" t="s">
        <v>241</v>
      </c>
      <c r="C84" s="2187">
        <v>5</v>
      </c>
      <c r="D84" s="2188">
        <v>7</v>
      </c>
      <c r="E84" s="2189">
        <v>0.15</v>
      </c>
      <c r="H84" s="2185"/>
    </row>
    <row r="85" spans="1:8" ht="20.100000000000001" hidden="1" customHeight="1" x14ac:dyDescent="0.25">
      <c r="A85" s="2179">
        <v>44501</v>
      </c>
      <c r="B85" s="2186" t="s">
        <v>1014</v>
      </c>
      <c r="C85" s="2187" t="s">
        <v>1014</v>
      </c>
      <c r="D85" s="2188" t="s">
        <v>1014</v>
      </c>
      <c r="E85" s="2189" t="s">
        <v>1014</v>
      </c>
      <c r="H85" s="2185"/>
    </row>
    <row r="86" spans="1:8" ht="20.100000000000001" hidden="1" customHeight="1" x14ac:dyDescent="0.25">
      <c r="A86" s="2179">
        <v>44531</v>
      </c>
      <c r="B86" s="2186" t="s">
        <v>1014</v>
      </c>
      <c r="C86" s="2187" t="s">
        <v>1014</v>
      </c>
      <c r="D86" s="2188" t="s">
        <v>1014</v>
      </c>
      <c r="E86" s="2189" t="s">
        <v>1014</v>
      </c>
      <c r="H86" s="2185"/>
    </row>
    <row r="87" spans="1:8" ht="20.100000000000001" hidden="1" customHeight="1" x14ac:dyDescent="0.25">
      <c r="A87" s="2179">
        <v>44562</v>
      </c>
      <c r="B87" s="2186" t="s">
        <v>1537</v>
      </c>
      <c r="C87" s="2187">
        <v>2000</v>
      </c>
      <c r="D87" s="2188">
        <v>14</v>
      </c>
      <c r="E87" s="2189">
        <v>0.4</v>
      </c>
      <c r="H87" s="2185"/>
    </row>
    <row r="88" spans="1:8" ht="20.100000000000001" hidden="1" customHeight="1" x14ac:dyDescent="0.25">
      <c r="A88" s="2179"/>
      <c r="B88" s="2186" t="s">
        <v>1537</v>
      </c>
      <c r="C88" s="2187">
        <v>400</v>
      </c>
      <c r="D88" s="2188">
        <v>7</v>
      </c>
      <c r="E88" s="2189">
        <v>0.3</v>
      </c>
      <c r="H88" s="2185"/>
    </row>
    <row r="89" spans="1:8" ht="20.100000000000001" hidden="1" customHeight="1" x14ac:dyDescent="0.25">
      <c r="A89" s="2179">
        <v>44593</v>
      </c>
      <c r="B89" s="2186" t="s">
        <v>1537</v>
      </c>
      <c r="C89" s="2187">
        <v>1000</v>
      </c>
      <c r="D89" s="2188">
        <v>7</v>
      </c>
      <c r="E89" s="2189">
        <v>0.45</v>
      </c>
      <c r="H89" s="2185"/>
    </row>
    <row r="90" spans="1:8" ht="20.100000000000001" hidden="1" customHeight="1" x14ac:dyDescent="0.25">
      <c r="A90" s="2179"/>
      <c r="B90" s="2186" t="s">
        <v>1537</v>
      </c>
      <c r="C90" s="2187">
        <v>1000</v>
      </c>
      <c r="D90" s="2188">
        <v>7</v>
      </c>
      <c r="E90" s="2189">
        <v>0.45</v>
      </c>
      <c r="H90" s="2185"/>
    </row>
    <row r="91" spans="1:8" ht="20.100000000000001" hidden="1" customHeight="1" x14ac:dyDescent="0.25">
      <c r="A91" s="2179"/>
      <c r="B91" s="2186" t="s">
        <v>1537</v>
      </c>
      <c r="C91" s="2187">
        <v>400</v>
      </c>
      <c r="D91" s="2188">
        <v>7</v>
      </c>
      <c r="E91" s="2189">
        <v>0.35</v>
      </c>
      <c r="H91" s="2185"/>
    </row>
    <row r="92" spans="1:8" ht="20.100000000000001" hidden="1" customHeight="1" x14ac:dyDescent="0.25">
      <c r="A92" s="2179">
        <v>44621</v>
      </c>
      <c r="B92" s="2186" t="s">
        <v>1537</v>
      </c>
      <c r="C92" s="2187">
        <v>1500</v>
      </c>
      <c r="D92" s="2188">
        <v>30</v>
      </c>
      <c r="E92" s="2189">
        <v>0.75</v>
      </c>
      <c r="H92" s="2185"/>
    </row>
    <row r="93" spans="1:8" ht="20.100000000000001" hidden="1" customHeight="1" x14ac:dyDescent="0.25">
      <c r="A93" s="2179"/>
      <c r="B93" s="2186" t="s">
        <v>1537</v>
      </c>
      <c r="C93" s="2187">
        <v>2500</v>
      </c>
      <c r="D93" s="2188">
        <v>14</v>
      </c>
      <c r="E93" s="2189">
        <v>0.6</v>
      </c>
      <c r="H93" s="2185"/>
    </row>
    <row r="94" spans="1:8" ht="20.100000000000001" hidden="1" customHeight="1" x14ac:dyDescent="0.25">
      <c r="A94" s="2179"/>
      <c r="B94" s="2186" t="s">
        <v>1537</v>
      </c>
      <c r="C94" s="2187">
        <v>280</v>
      </c>
      <c r="D94" s="2188">
        <v>7</v>
      </c>
      <c r="E94" s="2189">
        <v>0.3</v>
      </c>
      <c r="H94" s="2185"/>
    </row>
    <row r="95" spans="1:8" ht="20.100000000000001" hidden="1" customHeight="1" x14ac:dyDescent="0.25">
      <c r="A95" s="2179">
        <v>44652</v>
      </c>
      <c r="B95" s="2186" t="s">
        <v>1537</v>
      </c>
      <c r="C95" s="2187">
        <v>2000</v>
      </c>
      <c r="D95" s="2188">
        <v>8</v>
      </c>
      <c r="E95" s="2189">
        <v>0.75</v>
      </c>
      <c r="H95" s="2185"/>
    </row>
    <row r="96" spans="1:8" ht="20.100000000000001" hidden="1" customHeight="1" x14ac:dyDescent="0.25">
      <c r="A96" s="2179">
        <v>44682</v>
      </c>
      <c r="B96" s="2186" t="s">
        <v>1014</v>
      </c>
      <c r="C96" s="2187" t="s">
        <v>1014</v>
      </c>
      <c r="D96" s="2188" t="s">
        <v>1014</v>
      </c>
      <c r="E96" s="2189" t="s">
        <v>1014</v>
      </c>
      <c r="H96" s="2185"/>
    </row>
    <row r="97" spans="1:8" ht="20.100000000000001" hidden="1" customHeight="1" x14ac:dyDescent="0.25">
      <c r="A97" s="2179">
        <v>44713</v>
      </c>
      <c r="B97" s="2186" t="s">
        <v>1537</v>
      </c>
      <c r="C97" s="2187">
        <v>150</v>
      </c>
      <c r="D97" s="2188">
        <v>30</v>
      </c>
      <c r="E97" s="2189">
        <v>0.85</v>
      </c>
      <c r="H97" s="2185"/>
    </row>
    <row r="98" spans="1:8" ht="20.100000000000001" hidden="1" customHeight="1" x14ac:dyDescent="0.25">
      <c r="A98" s="2179">
        <v>44743</v>
      </c>
      <c r="B98" s="2186" t="s">
        <v>1537</v>
      </c>
      <c r="C98" s="2187">
        <v>150</v>
      </c>
      <c r="D98" s="2188">
        <v>31</v>
      </c>
      <c r="E98" s="2189">
        <v>0.75</v>
      </c>
      <c r="H98" s="2185"/>
    </row>
    <row r="99" spans="1:8" ht="20.100000000000001" hidden="1" customHeight="1" x14ac:dyDescent="0.25">
      <c r="A99" s="2179">
        <v>44774</v>
      </c>
      <c r="B99" s="2186" t="s">
        <v>240</v>
      </c>
      <c r="C99" s="2187">
        <v>100</v>
      </c>
      <c r="D99" s="2188">
        <v>92</v>
      </c>
      <c r="E99" s="2189">
        <v>0.55000000000000004</v>
      </c>
      <c r="H99" s="2185"/>
    </row>
    <row r="100" spans="1:8" ht="20.100000000000001" hidden="1" customHeight="1" x14ac:dyDescent="0.25">
      <c r="A100" s="2179"/>
      <c r="B100" s="2186" t="s">
        <v>1537</v>
      </c>
      <c r="C100" s="2187">
        <v>2000</v>
      </c>
      <c r="D100" s="2188">
        <v>181</v>
      </c>
      <c r="E100" s="2189">
        <v>1.3</v>
      </c>
      <c r="H100" s="2185"/>
    </row>
    <row r="101" spans="1:8" ht="20.100000000000001" hidden="1" customHeight="1" x14ac:dyDescent="0.25">
      <c r="A101" s="2179"/>
      <c r="B101" s="2186" t="s">
        <v>1537</v>
      </c>
      <c r="C101" s="2187">
        <v>150</v>
      </c>
      <c r="D101" s="2188">
        <v>31</v>
      </c>
      <c r="E101" s="2189">
        <v>0.7</v>
      </c>
      <c r="H101" s="2185"/>
    </row>
    <row r="102" spans="1:8" ht="20.100000000000001" hidden="1" customHeight="1" x14ac:dyDescent="0.25">
      <c r="A102" s="2179"/>
      <c r="B102" s="2186" t="s">
        <v>241</v>
      </c>
      <c r="C102" s="2187">
        <v>100</v>
      </c>
      <c r="D102" s="2188">
        <v>184</v>
      </c>
      <c r="E102" s="2189">
        <v>3.98</v>
      </c>
      <c r="H102" s="2185"/>
    </row>
    <row r="103" spans="1:8" ht="20.100000000000001" hidden="1" customHeight="1" x14ac:dyDescent="0.25">
      <c r="A103" s="2179"/>
      <c r="B103" s="2186" t="s">
        <v>241</v>
      </c>
      <c r="C103" s="2187">
        <v>100</v>
      </c>
      <c r="D103" s="2188">
        <v>273</v>
      </c>
      <c r="E103" s="2189">
        <v>4.32</v>
      </c>
      <c r="H103" s="2185"/>
    </row>
    <row r="104" spans="1:8" ht="20.100000000000001" hidden="1" customHeight="1" x14ac:dyDescent="0.25">
      <c r="A104" s="2179"/>
      <c r="B104" s="2186" t="s">
        <v>241</v>
      </c>
      <c r="C104" s="2187">
        <v>100</v>
      </c>
      <c r="D104" s="2188">
        <v>365</v>
      </c>
      <c r="E104" s="2189">
        <v>4.6399999999999997</v>
      </c>
      <c r="H104" s="2185"/>
    </row>
    <row r="105" spans="1:8" ht="20.100000000000001" hidden="1" customHeight="1" x14ac:dyDescent="0.25">
      <c r="A105" s="2179"/>
      <c r="B105" s="2186" t="s">
        <v>241</v>
      </c>
      <c r="C105" s="2187">
        <v>50</v>
      </c>
      <c r="D105" s="2188">
        <v>1096</v>
      </c>
      <c r="E105" s="2189">
        <v>4.3562000000000003</v>
      </c>
      <c r="H105" s="2185"/>
    </row>
    <row r="106" spans="1:8" ht="20.100000000000001" customHeight="1" x14ac:dyDescent="0.25">
      <c r="A106" s="2179">
        <v>44805</v>
      </c>
      <c r="B106" s="2186" t="s">
        <v>240</v>
      </c>
      <c r="C106" s="2187">
        <v>50</v>
      </c>
      <c r="D106" s="2188">
        <v>181</v>
      </c>
      <c r="E106" s="2189">
        <v>1.38</v>
      </c>
      <c r="H106" s="2185"/>
    </row>
    <row r="107" spans="1:8" ht="20.100000000000001" customHeight="1" x14ac:dyDescent="0.25">
      <c r="A107" s="2179"/>
      <c r="B107" s="2186" t="s">
        <v>1537</v>
      </c>
      <c r="C107" s="2187">
        <v>300</v>
      </c>
      <c r="D107" s="2188">
        <v>31</v>
      </c>
      <c r="E107" s="2189">
        <v>0.8</v>
      </c>
      <c r="H107" s="2185"/>
    </row>
    <row r="108" spans="1:8" ht="20.100000000000001" customHeight="1" x14ac:dyDescent="0.25">
      <c r="A108" s="2179"/>
      <c r="B108" s="2186" t="s">
        <v>1537</v>
      </c>
      <c r="C108" s="2187">
        <v>300</v>
      </c>
      <c r="D108" s="2188">
        <v>124</v>
      </c>
      <c r="E108" s="2189">
        <v>1.5</v>
      </c>
      <c r="H108" s="2185"/>
    </row>
    <row r="109" spans="1:8" ht="20.100000000000001" customHeight="1" x14ac:dyDescent="0.25">
      <c r="A109" s="2179"/>
      <c r="B109" s="2186" t="s">
        <v>1537</v>
      </c>
      <c r="C109" s="2187">
        <v>300</v>
      </c>
      <c r="D109" s="2188">
        <v>120</v>
      </c>
      <c r="E109" s="2189">
        <v>2</v>
      </c>
      <c r="H109" s="2185"/>
    </row>
    <row r="110" spans="1:8" ht="20.100000000000001" customHeight="1" x14ac:dyDescent="0.25">
      <c r="A110" s="2179"/>
      <c r="B110" s="2186" t="s">
        <v>1537</v>
      </c>
      <c r="C110" s="2187">
        <v>795</v>
      </c>
      <c r="D110" s="2188">
        <v>30</v>
      </c>
      <c r="E110" s="2189">
        <v>1.4</v>
      </c>
      <c r="H110" s="2185"/>
    </row>
    <row r="111" spans="1:8" ht="20.100000000000001" customHeight="1" x14ac:dyDescent="0.25">
      <c r="A111" s="2179">
        <v>44835</v>
      </c>
      <c r="B111" s="2186" t="s">
        <v>1537</v>
      </c>
      <c r="C111" s="2187">
        <v>2000</v>
      </c>
      <c r="D111" s="2188">
        <v>61</v>
      </c>
      <c r="E111" s="2189">
        <v>2.35</v>
      </c>
      <c r="H111" s="2185"/>
    </row>
    <row r="112" spans="1:8" ht="20.100000000000001" customHeight="1" x14ac:dyDescent="0.25">
      <c r="A112" s="2179"/>
      <c r="B112" s="2186" t="s">
        <v>1537</v>
      </c>
      <c r="C112" s="2187">
        <v>200</v>
      </c>
      <c r="D112" s="2188">
        <v>98</v>
      </c>
      <c r="E112" s="2189">
        <v>1.95</v>
      </c>
      <c r="H112" s="2185"/>
    </row>
    <row r="113" spans="1:8" ht="20.100000000000001" customHeight="1" x14ac:dyDescent="0.25">
      <c r="A113" s="2179"/>
      <c r="B113" s="2186" t="s">
        <v>1537</v>
      </c>
      <c r="C113" s="2187">
        <v>416.82492446999998</v>
      </c>
      <c r="D113" s="2188">
        <v>61</v>
      </c>
      <c r="E113" s="2189">
        <v>2.5</v>
      </c>
      <c r="H113" s="2185"/>
    </row>
    <row r="114" spans="1:8" ht="20.100000000000001" customHeight="1" x14ac:dyDescent="0.25">
      <c r="A114" s="2179"/>
      <c r="B114" s="2186" t="s">
        <v>1537</v>
      </c>
      <c r="C114" s="2187">
        <v>421.38733668999998</v>
      </c>
      <c r="D114" s="2188">
        <v>35</v>
      </c>
      <c r="E114" s="2189">
        <v>2.25</v>
      </c>
      <c r="H114" s="2185"/>
    </row>
    <row r="115" spans="1:8" ht="20.100000000000001" customHeight="1" x14ac:dyDescent="0.25">
      <c r="A115" s="2179">
        <v>44866</v>
      </c>
      <c r="B115" s="2186" t="s">
        <v>241</v>
      </c>
      <c r="C115" s="2187">
        <v>50</v>
      </c>
      <c r="D115" s="2188">
        <v>1095</v>
      </c>
      <c r="E115" s="2189">
        <v>5.7843999999999998</v>
      </c>
      <c r="H115" s="2185"/>
    </row>
    <row r="116" spans="1:8" ht="20.100000000000001" customHeight="1" x14ac:dyDescent="0.25">
      <c r="A116" s="2179">
        <v>44896</v>
      </c>
      <c r="B116" s="2186" t="s">
        <v>240</v>
      </c>
      <c r="C116" s="2187">
        <v>100</v>
      </c>
      <c r="D116" s="2188">
        <v>171</v>
      </c>
      <c r="E116" s="2189">
        <v>2.65</v>
      </c>
      <c r="H116" s="2185"/>
    </row>
    <row r="117" spans="1:8" ht="20.100000000000001" customHeight="1" x14ac:dyDescent="0.25">
      <c r="A117" s="2179"/>
      <c r="B117" s="2186" t="s">
        <v>241</v>
      </c>
      <c r="C117" s="2187">
        <v>100</v>
      </c>
      <c r="D117" s="2188">
        <v>7</v>
      </c>
      <c r="E117" s="2189">
        <v>4.2</v>
      </c>
      <c r="H117" s="2185"/>
    </row>
    <row r="118" spans="1:8" ht="20.100000000000001" customHeight="1" x14ac:dyDescent="0.25">
      <c r="A118" s="2179"/>
      <c r="B118" s="2186" t="s">
        <v>1537</v>
      </c>
      <c r="C118" s="2187">
        <v>207.33872929</v>
      </c>
      <c r="D118" s="2188">
        <v>80</v>
      </c>
      <c r="E118" s="2189">
        <v>5.0999999999999996</v>
      </c>
      <c r="H118" s="2185"/>
    </row>
    <row r="119" spans="1:8" ht="20.100000000000001" customHeight="1" x14ac:dyDescent="0.25">
      <c r="A119" s="2179"/>
      <c r="B119" s="2186" t="s">
        <v>1537</v>
      </c>
      <c r="C119" s="2187">
        <v>209.46029955</v>
      </c>
      <c r="D119" s="2188">
        <v>63</v>
      </c>
      <c r="E119" s="2189">
        <v>5.05</v>
      </c>
      <c r="H119" s="2185"/>
    </row>
    <row r="120" spans="1:8" ht="20.100000000000001" customHeight="1" x14ac:dyDescent="0.25">
      <c r="A120" s="2179"/>
      <c r="B120" s="2186" t="s">
        <v>1537</v>
      </c>
      <c r="C120" s="2187">
        <v>210.62226681999999</v>
      </c>
      <c r="D120" s="2188">
        <v>20</v>
      </c>
      <c r="E120" s="2189">
        <v>4.9000000000000004</v>
      </c>
      <c r="H120" s="2185"/>
    </row>
    <row r="121" spans="1:8" ht="20.100000000000001" customHeight="1" x14ac:dyDescent="0.25">
      <c r="A121" s="2179"/>
      <c r="B121" s="2186" t="s">
        <v>1537</v>
      </c>
      <c r="C121" s="2187">
        <v>210.76261500000001</v>
      </c>
      <c r="D121" s="2188">
        <v>35</v>
      </c>
      <c r="E121" s="2189">
        <v>5</v>
      </c>
      <c r="H121" s="2185"/>
    </row>
    <row r="122" spans="1:8" ht="20.100000000000001" customHeight="1" x14ac:dyDescent="0.25">
      <c r="A122" s="2179"/>
      <c r="B122" s="2186" t="s">
        <v>1537</v>
      </c>
      <c r="C122" s="2187">
        <v>211.14334711999999</v>
      </c>
      <c r="D122" s="2188">
        <v>21</v>
      </c>
      <c r="E122" s="2189">
        <v>4.95</v>
      </c>
      <c r="H122" s="2185"/>
    </row>
    <row r="123" spans="1:8" ht="20.100000000000001" customHeight="1" x14ac:dyDescent="0.25">
      <c r="A123" s="2179">
        <v>44927</v>
      </c>
      <c r="B123" s="2186" t="s">
        <v>1537</v>
      </c>
      <c r="C123" s="2187">
        <v>200</v>
      </c>
      <c r="D123" s="2188">
        <v>91</v>
      </c>
      <c r="E123" s="2189">
        <v>4.8</v>
      </c>
      <c r="H123" s="2185"/>
    </row>
    <row r="124" spans="1:8" ht="20.100000000000001" customHeight="1" x14ac:dyDescent="0.25">
      <c r="A124" s="2179"/>
      <c r="B124" s="2186" t="s">
        <v>1537</v>
      </c>
      <c r="C124" s="2187">
        <v>300</v>
      </c>
      <c r="D124" s="2188">
        <v>91</v>
      </c>
      <c r="E124" s="2189">
        <v>5.15</v>
      </c>
      <c r="H124" s="2185"/>
    </row>
    <row r="125" spans="1:8" ht="20.100000000000001" customHeight="1" x14ac:dyDescent="0.25">
      <c r="A125" s="2179"/>
      <c r="B125" s="2186" t="s">
        <v>1537</v>
      </c>
      <c r="C125" s="2187">
        <v>300</v>
      </c>
      <c r="D125" s="2188">
        <v>90</v>
      </c>
      <c r="E125" s="2189">
        <v>5.15</v>
      </c>
      <c r="H125" s="2185"/>
    </row>
    <row r="126" spans="1:8" ht="20.100000000000001" customHeight="1" x14ac:dyDescent="0.25">
      <c r="A126" s="2179"/>
      <c r="B126" s="2186" t="s">
        <v>1537</v>
      </c>
      <c r="C126" s="2187">
        <v>113.19934193</v>
      </c>
      <c r="D126" s="2188">
        <v>32</v>
      </c>
      <c r="E126" s="2189">
        <v>4.3</v>
      </c>
      <c r="H126" s="2185"/>
    </row>
    <row r="127" spans="1:8" ht="20.100000000000001" customHeight="1" x14ac:dyDescent="0.25">
      <c r="A127" s="2179">
        <v>44958</v>
      </c>
      <c r="B127" s="2186" t="s">
        <v>1537</v>
      </c>
      <c r="C127" s="2187">
        <v>550.50770894000004</v>
      </c>
      <c r="D127" s="2188">
        <v>14</v>
      </c>
      <c r="E127" s="2189">
        <v>5.5</v>
      </c>
      <c r="H127" s="2185"/>
    </row>
    <row r="128" spans="1:8" ht="20.100000000000001" customHeight="1" x14ac:dyDescent="0.25">
      <c r="A128" s="2179">
        <v>44986</v>
      </c>
      <c r="B128" s="2186" t="s">
        <v>241</v>
      </c>
      <c r="C128" s="2187">
        <v>200</v>
      </c>
      <c r="D128" s="2188">
        <v>5</v>
      </c>
      <c r="E128" s="2189">
        <v>4.55</v>
      </c>
      <c r="H128" s="2185"/>
    </row>
    <row r="129" spans="1:8" ht="20.100000000000001" customHeight="1" x14ac:dyDescent="0.25">
      <c r="A129" s="2179"/>
      <c r="B129" s="2186" t="s">
        <v>1537</v>
      </c>
      <c r="C129" s="2187">
        <v>200</v>
      </c>
      <c r="D129" s="2188">
        <v>7</v>
      </c>
      <c r="E129" s="2189">
        <v>4.5999999999999996</v>
      </c>
      <c r="H129" s="2185"/>
    </row>
    <row r="130" spans="1:8" ht="20.100000000000001" customHeight="1" x14ac:dyDescent="0.25">
      <c r="A130" s="2179">
        <v>45017</v>
      </c>
      <c r="B130" s="2186" t="s">
        <v>1537</v>
      </c>
      <c r="C130" s="2187">
        <v>250</v>
      </c>
      <c r="D130" s="2188">
        <v>91</v>
      </c>
      <c r="E130" s="2189">
        <v>4.8499999999999996</v>
      </c>
      <c r="H130" s="2185"/>
    </row>
    <row r="131" spans="1:8" ht="20.100000000000001" customHeight="1" x14ac:dyDescent="0.25">
      <c r="A131" s="2179"/>
      <c r="B131" s="2186" t="s">
        <v>1537</v>
      </c>
      <c r="C131" s="2187">
        <v>250</v>
      </c>
      <c r="D131" s="2188">
        <v>122</v>
      </c>
      <c r="E131" s="2189">
        <v>4.9000000000000004</v>
      </c>
      <c r="H131" s="2185"/>
    </row>
    <row r="132" spans="1:8" ht="20.100000000000001" customHeight="1" x14ac:dyDescent="0.25">
      <c r="A132" s="2179"/>
      <c r="B132" s="2186" t="s">
        <v>1537</v>
      </c>
      <c r="C132" s="2187">
        <v>250</v>
      </c>
      <c r="D132" s="2188">
        <v>153</v>
      </c>
      <c r="E132" s="2189">
        <v>5.05</v>
      </c>
      <c r="H132" s="2185"/>
    </row>
    <row r="133" spans="1:8" ht="20.100000000000001" customHeight="1" x14ac:dyDescent="0.25">
      <c r="A133" s="2179"/>
      <c r="B133" s="2186" t="s">
        <v>1537</v>
      </c>
      <c r="C133" s="2187">
        <v>250</v>
      </c>
      <c r="D133" s="2188">
        <v>185</v>
      </c>
      <c r="E133" s="2189">
        <v>5.15</v>
      </c>
      <c r="H133" s="2185"/>
    </row>
    <row r="134" spans="1:8" ht="20.100000000000001" customHeight="1" x14ac:dyDescent="0.25">
      <c r="A134" s="2179">
        <v>45047</v>
      </c>
      <c r="B134" s="2186" t="s">
        <v>1537</v>
      </c>
      <c r="C134" s="2187">
        <v>1032.9307472600001</v>
      </c>
      <c r="D134" s="2188">
        <v>1</v>
      </c>
      <c r="E134" s="2189">
        <v>4.25</v>
      </c>
      <c r="H134" s="2185"/>
    </row>
    <row r="135" spans="1:8" ht="20.100000000000001" customHeight="1" x14ac:dyDescent="0.25">
      <c r="A135" s="2179"/>
      <c r="B135" s="2186" t="s">
        <v>1537</v>
      </c>
      <c r="C135" s="2187">
        <v>1036.1203935399999</v>
      </c>
      <c r="D135" s="2188">
        <v>7</v>
      </c>
      <c r="E135" s="2189">
        <v>4.55</v>
      </c>
      <c r="H135" s="2185"/>
    </row>
    <row r="136" spans="1:8" ht="20.100000000000001" customHeight="1" x14ac:dyDescent="0.25">
      <c r="A136" s="2179"/>
      <c r="B136" s="2186" t="s">
        <v>241</v>
      </c>
      <c r="C136" s="2187">
        <v>15</v>
      </c>
      <c r="D136" s="2188">
        <v>33</v>
      </c>
      <c r="E136" s="2189">
        <v>5.96</v>
      </c>
      <c r="H136" s="2185"/>
    </row>
    <row r="137" spans="1:8" ht="20.100000000000001" customHeight="1" x14ac:dyDescent="0.25">
      <c r="A137" s="2179">
        <v>45078</v>
      </c>
      <c r="B137" s="2186" t="s">
        <v>1537</v>
      </c>
      <c r="C137" s="2187">
        <v>1000</v>
      </c>
      <c r="D137" s="2188">
        <v>7</v>
      </c>
      <c r="E137" s="2189">
        <v>4.55</v>
      </c>
      <c r="H137" s="2185"/>
    </row>
    <row r="138" spans="1:8" ht="20.100000000000001" customHeight="1" x14ac:dyDescent="0.25">
      <c r="A138" s="2179"/>
      <c r="B138" s="2186" t="s">
        <v>1537</v>
      </c>
      <c r="C138" s="2187">
        <v>2000</v>
      </c>
      <c r="D138" s="2188">
        <v>7</v>
      </c>
      <c r="E138" s="2189">
        <v>4.55</v>
      </c>
      <c r="H138" s="2185"/>
    </row>
    <row r="139" spans="1:8" ht="20.100000000000001" customHeight="1" x14ac:dyDescent="0.25">
      <c r="A139" s="2179">
        <v>45108</v>
      </c>
      <c r="B139" s="2186" t="s">
        <v>1537</v>
      </c>
      <c r="C139" s="2187">
        <v>218.45960221000001</v>
      </c>
      <c r="D139" s="2188">
        <v>14</v>
      </c>
      <c r="E139" s="2189">
        <v>4.5</v>
      </c>
      <c r="H139" s="2185"/>
    </row>
    <row r="140" spans="1:8" ht="20.100000000000001" customHeight="1" x14ac:dyDescent="0.25">
      <c r="A140" s="2179">
        <v>45139</v>
      </c>
      <c r="B140" s="2186" t="s">
        <v>1014</v>
      </c>
      <c r="C140" s="2187" t="s">
        <v>1014</v>
      </c>
      <c r="D140" s="2188" t="s">
        <v>1014</v>
      </c>
      <c r="E140" s="2189" t="s">
        <v>1014</v>
      </c>
      <c r="H140" s="2185"/>
    </row>
    <row r="141" spans="1:8" ht="20.100000000000001" customHeight="1" x14ac:dyDescent="0.25">
      <c r="A141" s="2179">
        <v>45170</v>
      </c>
      <c r="B141" s="2186" t="s">
        <v>1014</v>
      </c>
      <c r="C141" s="2187" t="s">
        <v>1014</v>
      </c>
      <c r="D141" s="2188" t="s">
        <v>1014</v>
      </c>
      <c r="E141" s="2189" t="s">
        <v>1014</v>
      </c>
      <c r="H141" s="2185"/>
    </row>
    <row r="142" spans="1:8" ht="6" customHeight="1" thickBot="1" x14ac:dyDescent="0.3">
      <c r="A142" s="2190"/>
      <c r="B142" s="2191"/>
      <c r="C142" s="2192"/>
      <c r="D142" s="2193"/>
      <c r="E142" s="2194"/>
      <c r="H142" s="2185"/>
    </row>
    <row r="143" spans="1:8" s="2195" customFormat="1" ht="20.100000000000001" customHeight="1" thickTop="1" x14ac:dyDescent="0.25">
      <c r="A143" s="2131" t="s">
        <v>1540</v>
      </c>
      <c r="B143" s="2134"/>
    </row>
    <row r="144" spans="1:8" s="2195" customFormat="1" ht="17.25" customHeight="1" x14ac:dyDescent="0.25">
      <c r="A144" s="2196" t="s">
        <v>0</v>
      </c>
      <c r="B144" s="2197"/>
      <c r="C144" s="2197"/>
      <c r="D144" s="2197"/>
      <c r="E144" s="2197"/>
    </row>
    <row r="149" spans="3:3" ht="20.100000000000001" customHeight="1" x14ac:dyDescent="0.25">
      <c r="C149" s="2185"/>
    </row>
    <row r="150" spans="3:3" ht="20.100000000000001" customHeight="1" x14ac:dyDescent="0.25">
      <c r="C150" s="2185"/>
    </row>
    <row r="154" spans="3:3" ht="20.100000000000001" customHeight="1" x14ac:dyDescent="0.25">
      <c r="C154" s="2185"/>
    </row>
    <row r="155" spans="3:3" ht="20.100000000000001" customHeight="1" x14ac:dyDescent="0.25">
      <c r="C155" s="2185"/>
    </row>
  </sheetData>
  <printOptions horizontalCentered="1"/>
  <pageMargins left="0.75" right="0.75" top="0.75" bottom="0.75" header="0.31496062992126" footer="0"/>
  <pageSetup paperSize="9" scale="7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W270"/>
  <sheetViews>
    <sheetView zoomScale="85" zoomScaleNormal="85" zoomScaleSheetLayoutView="100" workbookViewId="0">
      <pane xSplit="1" ySplit="7" topLeftCell="B8" activePane="bottomRight" state="frozen"/>
      <selection activeCell="A38" sqref="A38"/>
      <selection pane="topRight" activeCell="A38" sqref="A38"/>
      <selection pane="bottomLeft" activeCell="A38" sqref="A38"/>
      <selection pane="bottomRight" activeCell="A38" sqref="A38"/>
    </sheetView>
  </sheetViews>
  <sheetFormatPr defaultRowHeight="14.25" x14ac:dyDescent="0.25"/>
  <cols>
    <col min="1" max="1" width="20.28515625" style="642" customWidth="1"/>
    <col min="2" max="2" width="16.7109375" style="631" customWidth="1"/>
    <col min="3" max="3" width="16.42578125" style="631" bestFit="1" customWidth="1"/>
    <col min="4" max="4" width="15.140625" style="631" bestFit="1" customWidth="1"/>
    <col min="5" max="5" width="13.140625" style="631" bestFit="1" customWidth="1"/>
    <col min="6" max="6" width="10.85546875" style="631" customWidth="1"/>
    <col min="7" max="7" width="19.85546875" style="631" customWidth="1"/>
    <col min="8" max="8" width="2" style="631" customWidth="1"/>
    <col min="9" max="9" width="3.7109375" style="631" customWidth="1"/>
    <col min="10" max="12" width="9.140625" style="631"/>
    <col min="13" max="13" width="10.42578125" style="631" bestFit="1" customWidth="1"/>
    <col min="14" max="14" width="14.5703125" style="631" bestFit="1" customWidth="1"/>
    <col min="15" max="15" width="13.5703125" style="631" bestFit="1" customWidth="1"/>
    <col min="16" max="18" width="12.42578125" style="631" bestFit="1" customWidth="1"/>
    <col min="19" max="19" width="13.5703125" style="631" bestFit="1" customWidth="1"/>
    <col min="20" max="233" width="9.140625" style="631"/>
    <col min="234" max="234" width="16.5703125" style="631" customWidth="1"/>
    <col min="235" max="235" width="10.42578125" style="631" customWidth="1"/>
    <col min="236" max="236" width="11.85546875" style="631" customWidth="1"/>
    <col min="237" max="237" width="10.42578125" style="631" customWidth="1"/>
    <col min="238" max="238" width="10.28515625" style="631" customWidth="1"/>
    <col min="239" max="239" width="8.28515625" style="631" customWidth="1"/>
    <col min="240" max="240" width="11" style="631" customWidth="1"/>
    <col min="241" max="241" width="8.7109375" style="631" customWidth="1"/>
    <col min="242" max="242" width="9.7109375" style="631" customWidth="1"/>
    <col min="243" max="243" width="12.85546875" style="631" customWidth="1"/>
    <col min="244" max="244" width="9.85546875" style="631" customWidth="1"/>
    <col min="245" max="245" width="8.7109375" style="631" customWidth="1"/>
    <col min="246" max="489" width="9.140625" style="631"/>
    <col min="490" max="490" width="16.5703125" style="631" customWidth="1"/>
    <col min="491" max="491" width="10.42578125" style="631" customWidth="1"/>
    <col min="492" max="492" width="11.85546875" style="631" customWidth="1"/>
    <col min="493" max="493" width="10.42578125" style="631" customWidth="1"/>
    <col min="494" max="494" width="10.28515625" style="631" customWidth="1"/>
    <col min="495" max="495" width="8.28515625" style="631" customWidth="1"/>
    <col min="496" max="496" width="11" style="631" customWidth="1"/>
    <col min="497" max="497" width="8.7109375" style="631" customWidth="1"/>
    <col min="498" max="498" width="9.7109375" style="631" customWidth="1"/>
    <col min="499" max="499" width="12.85546875" style="631" customWidth="1"/>
    <col min="500" max="500" width="9.85546875" style="631" customWidth="1"/>
    <col min="501" max="501" width="8.7109375" style="631" customWidth="1"/>
    <col min="502" max="745" width="9.140625" style="631"/>
    <col min="746" max="746" width="16.5703125" style="631" customWidth="1"/>
    <col min="747" max="747" width="10.42578125" style="631" customWidth="1"/>
    <col min="748" max="748" width="11.85546875" style="631" customWidth="1"/>
    <col min="749" max="749" width="10.42578125" style="631" customWidth="1"/>
    <col min="750" max="750" width="10.28515625" style="631" customWidth="1"/>
    <col min="751" max="751" width="8.28515625" style="631" customWidth="1"/>
    <col min="752" max="752" width="11" style="631" customWidth="1"/>
    <col min="753" max="753" width="8.7109375" style="631" customWidth="1"/>
    <col min="754" max="754" width="9.7109375" style="631" customWidth="1"/>
    <col min="755" max="755" width="12.85546875" style="631" customWidth="1"/>
    <col min="756" max="756" width="9.85546875" style="631" customWidth="1"/>
    <col min="757" max="757" width="8.7109375" style="631" customWidth="1"/>
    <col min="758" max="1001" width="9.140625" style="631"/>
    <col min="1002" max="1002" width="16.5703125" style="631" customWidth="1"/>
    <col min="1003" max="1003" width="10.42578125" style="631" customWidth="1"/>
    <col min="1004" max="1004" width="11.85546875" style="631" customWidth="1"/>
    <col min="1005" max="1005" width="10.42578125" style="631" customWidth="1"/>
    <col min="1006" max="1006" width="10.28515625" style="631" customWidth="1"/>
    <col min="1007" max="1007" width="8.28515625" style="631" customWidth="1"/>
    <col min="1008" max="1008" width="11" style="631" customWidth="1"/>
    <col min="1009" max="1009" width="8.7109375" style="631" customWidth="1"/>
    <col min="1010" max="1010" width="9.7109375" style="631" customWidth="1"/>
    <col min="1011" max="1011" width="12.85546875" style="631" customWidth="1"/>
    <col min="1012" max="1012" width="9.85546875" style="631" customWidth="1"/>
    <col min="1013" max="1013" width="8.7109375" style="631" customWidth="1"/>
    <col min="1014" max="1257" width="9.140625" style="631"/>
    <col min="1258" max="1258" width="16.5703125" style="631" customWidth="1"/>
    <col min="1259" max="1259" width="10.42578125" style="631" customWidth="1"/>
    <col min="1260" max="1260" width="11.85546875" style="631" customWidth="1"/>
    <col min="1261" max="1261" width="10.42578125" style="631" customWidth="1"/>
    <col min="1262" max="1262" width="10.28515625" style="631" customWidth="1"/>
    <col min="1263" max="1263" width="8.28515625" style="631" customWidth="1"/>
    <col min="1264" max="1264" width="11" style="631" customWidth="1"/>
    <col min="1265" max="1265" width="8.7109375" style="631" customWidth="1"/>
    <col min="1266" max="1266" width="9.7109375" style="631" customWidth="1"/>
    <col min="1267" max="1267" width="12.85546875" style="631" customWidth="1"/>
    <col min="1268" max="1268" width="9.85546875" style="631" customWidth="1"/>
    <col min="1269" max="1269" width="8.7109375" style="631" customWidth="1"/>
    <col min="1270" max="1513" width="9.140625" style="631"/>
    <col min="1514" max="1514" width="16.5703125" style="631" customWidth="1"/>
    <col min="1515" max="1515" width="10.42578125" style="631" customWidth="1"/>
    <col min="1516" max="1516" width="11.85546875" style="631" customWidth="1"/>
    <col min="1517" max="1517" width="10.42578125" style="631" customWidth="1"/>
    <col min="1518" max="1518" width="10.28515625" style="631" customWidth="1"/>
    <col min="1519" max="1519" width="8.28515625" style="631" customWidth="1"/>
    <col min="1520" max="1520" width="11" style="631" customWidth="1"/>
    <col min="1521" max="1521" width="8.7109375" style="631" customWidth="1"/>
    <col min="1522" max="1522" width="9.7109375" style="631" customWidth="1"/>
    <col min="1523" max="1523" width="12.85546875" style="631" customWidth="1"/>
    <col min="1524" max="1524" width="9.85546875" style="631" customWidth="1"/>
    <col min="1525" max="1525" width="8.7109375" style="631" customWidth="1"/>
    <col min="1526" max="1769" width="9.140625" style="631"/>
    <col min="1770" max="1770" width="16.5703125" style="631" customWidth="1"/>
    <col min="1771" max="1771" width="10.42578125" style="631" customWidth="1"/>
    <col min="1772" max="1772" width="11.85546875" style="631" customWidth="1"/>
    <col min="1773" max="1773" width="10.42578125" style="631" customWidth="1"/>
    <col min="1774" max="1774" width="10.28515625" style="631" customWidth="1"/>
    <col min="1775" max="1775" width="8.28515625" style="631" customWidth="1"/>
    <col min="1776" max="1776" width="11" style="631" customWidth="1"/>
    <col min="1777" max="1777" width="8.7109375" style="631" customWidth="1"/>
    <col min="1778" max="1778" width="9.7109375" style="631" customWidth="1"/>
    <col min="1779" max="1779" width="12.85546875" style="631" customWidth="1"/>
    <col min="1780" max="1780" width="9.85546875" style="631" customWidth="1"/>
    <col min="1781" max="1781" width="8.7109375" style="631" customWidth="1"/>
    <col min="1782" max="2025" width="9.140625" style="631"/>
    <col min="2026" max="2026" width="16.5703125" style="631" customWidth="1"/>
    <col min="2027" max="2027" width="10.42578125" style="631" customWidth="1"/>
    <col min="2028" max="2028" width="11.85546875" style="631" customWidth="1"/>
    <col min="2029" max="2029" width="10.42578125" style="631" customWidth="1"/>
    <col min="2030" max="2030" width="10.28515625" style="631" customWidth="1"/>
    <col min="2031" max="2031" width="8.28515625" style="631" customWidth="1"/>
    <col min="2032" max="2032" width="11" style="631" customWidth="1"/>
    <col min="2033" max="2033" width="8.7109375" style="631" customWidth="1"/>
    <col min="2034" max="2034" width="9.7109375" style="631" customWidth="1"/>
    <col min="2035" max="2035" width="12.85546875" style="631" customWidth="1"/>
    <col min="2036" max="2036" width="9.85546875" style="631" customWidth="1"/>
    <col min="2037" max="2037" width="8.7109375" style="631" customWidth="1"/>
    <col min="2038" max="2281" width="9.140625" style="631"/>
    <col min="2282" max="2282" width="16.5703125" style="631" customWidth="1"/>
    <col min="2283" max="2283" width="10.42578125" style="631" customWidth="1"/>
    <col min="2284" max="2284" width="11.85546875" style="631" customWidth="1"/>
    <col min="2285" max="2285" width="10.42578125" style="631" customWidth="1"/>
    <col min="2286" max="2286" width="10.28515625" style="631" customWidth="1"/>
    <col min="2287" max="2287" width="8.28515625" style="631" customWidth="1"/>
    <col min="2288" max="2288" width="11" style="631" customWidth="1"/>
    <col min="2289" max="2289" width="8.7109375" style="631" customWidth="1"/>
    <col min="2290" max="2290" width="9.7109375" style="631" customWidth="1"/>
    <col min="2291" max="2291" width="12.85546875" style="631" customWidth="1"/>
    <col min="2292" max="2292" width="9.85546875" style="631" customWidth="1"/>
    <col min="2293" max="2293" width="8.7109375" style="631" customWidth="1"/>
    <col min="2294" max="2537" width="9.140625" style="631"/>
    <col min="2538" max="2538" width="16.5703125" style="631" customWidth="1"/>
    <col min="2539" max="2539" width="10.42578125" style="631" customWidth="1"/>
    <col min="2540" max="2540" width="11.85546875" style="631" customWidth="1"/>
    <col min="2541" max="2541" width="10.42578125" style="631" customWidth="1"/>
    <col min="2542" max="2542" width="10.28515625" style="631" customWidth="1"/>
    <col min="2543" max="2543" width="8.28515625" style="631" customWidth="1"/>
    <col min="2544" max="2544" width="11" style="631" customWidth="1"/>
    <col min="2545" max="2545" width="8.7109375" style="631" customWidth="1"/>
    <col min="2546" max="2546" width="9.7109375" style="631" customWidth="1"/>
    <col min="2547" max="2547" width="12.85546875" style="631" customWidth="1"/>
    <col min="2548" max="2548" width="9.85546875" style="631" customWidth="1"/>
    <col min="2549" max="2549" width="8.7109375" style="631" customWidth="1"/>
    <col min="2550" max="2793" width="9.140625" style="631"/>
    <col min="2794" max="2794" width="16.5703125" style="631" customWidth="1"/>
    <col min="2795" max="2795" width="10.42578125" style="631" customWidth="1"/>
    <col min="2796" max="2796" width="11.85546875" style="631" customWidth="1"/>
    <col min="2797" max="2797" width="10.42578125" style="631" customWidth="1"/>
    <col min="2798" max="2798" width="10.28515625" style="631" customWidth="1"/>
    <col min="2799" max="2799" width="8.28515625" style="631" customWidth="1"/>
    <col min="2800" max="2800" width="11" style="631" customWidth="1"/>
    <col min="2801" max="2801" width="8.7109375" style="631" customWidth="1"/>
    <col min="2802" max="2802" width="9.7109375" style="631" customWidth="1"/>
    <col min="2803" max="2803" width="12.85546875" style="631" customWidth="1"/>
    <col min="2804" max="2804" width="9.85546875" style="631" customWidth="1"/>
    <col min="2805" max="2805" width="8.7109375" style="631" customWidth="1"/>
    <col min="2806" max="3049" width="9.140625" style="631"/>
    <col min="3050" max="3050" width="16.5703125" style="631" customWidth="1"/>
    <col min="3051" max="3051" width="10.42578125" style="631" customWidth="1"/>
    <col min="3052" max="3052" width="11.85546875" style="631" customWidth="1"/>
    <col min="3053" max="3053" width="10.42578125" style="631" customWidth="1"/>
    <col min="3054" max="3054" width="10.28515625" style="631" customWidth="1"/>
    <col min="3055" max="3055" width="8.28515625" style="631" customWidth="1"/>
    <col min="3056" max="3056" width="11" style="631" customWidth="1"/>
    <col min="3057" max="3057" width="8.7109375" style="631" customWidth="1"/>
    <col min="3058" max="3058" width="9.7109375" style="631" customWidth="1"/>
    <col min="3059" max="3059" width="12.85546875" style="631" customWidth="1"/>
    <col min="3060" max="3060" width="9.85546875" style="631" customWidth="1"/>
    <col min="3061" max="3061" width="8.7109375" style="631" customWidth="1"/>
    <col min="3062" max="3305" width="9.140625" style="631"/>
    <col min="3306" max="3306" width="16.5703125" style="631" customWidth="1"/>
    <col min="3307" max="3307" width="10.42578125" style="631" customWidth="1"/>
    <col min="3308" max="3308" width="11.85546875" style="631" customWidth="1"/>
    <col min="3309" max="3309" width="10.42578125" style="631" customWidth="1"/>
    <col min="3310" max="3310" width="10.28515625" style="631" customWidth="1"/>
    <col min="3311" max="3311" width="8.28515625" style="631" customWidth="1"/>
    <col min="3312" max="3312" width="11" style="631" customWidth="1"/>
    <col min="3313" max="3313" width="8.7109375" style="631" customWidth="1"/>
    <col min="3314" max="3314" width="9.7109375" style="631" customWidth="1"/>
    <col min="3315" max="3315" width="12.85546875" style="631" customWidth="1"/>
    <col min="3316" max="3316" width="9.85546875" style="631" customWidth="1"/>
    <col min="3317" max="3317" width="8.7109375" style="631" customWidth="1"/>
    <col min="3318" max="3561" width="9.140625" style="631"/>
    <col min="3562" max="3562" width="16.5703125" style="631" customWidth="1"/>
    <col min="3563" max="3563" width="10.42578125" style="631" customWidth="1"/>
    <col min="3564" max="3564" width="11.85546875" style="631" customWidth="1"/>
    <col min="3565" max="3565" width="10.42578125" style="631" customWidth="1"/>
    <col min="3566" max="3566" width="10.28515625" style="631" customWidth="1"/>
    <col min="3567" max="3567" width="8.28515625" style="631" customWidth="1"/>
    <col min="3568" max="3568" width="11" style="631" customWidth="1"/>
    <col min="3569" max="3569" width="8.7109375" style="631" customWidth="1"/>
    <col min="3570" max="3570" width="9.7109375" style="631" customWidth="1"/>
    <col min="3571" max="3571" width="12.85546875" style="631" customWidth="1"/>
    <col min="3572" max="3572" width="9.85546875" style="631" customWidth="1"/>
    <col min="3573" max="3573" width="8.7109375" style="631" customWidth="1"/>
    <col min="3574" max="3817" width="9.140625" style="631"/>
    <col min="3818" max="3818" width="16.5703125" style="631" customWidth="1"/>
    <col min="3819" max="3819" width="10.42578125" style="631" customWidth="1"/>
    <col min="3820" max="3820" width="11.85546875" style="631" customWidth="1"/>
    <col min="3821" max="3821" width="10.42578125" style="631" customWidth="1"/>
    <col min="3822" max="3822" width="10.28515625" style="631" customWidth="1"/>
    <col min="3823" max="3823" width="8.28515625" style="631" customWidth="1"/>
    <col min="3824" max="3824" width="11" style="631" customWidth="1"/>
    <col min="3825" max="3825" width="8.7109375" style="631" customWidth="1"/>
    <col min="3826" max="3826" width="9.7109375" style="631" customWidth="1"/>
    <col min="3827" max="3827" width="12.85546875" style="631" customWidth="1"/>
    <col min="3828" max="3828" width="9.85546875" style="631" customWidth="1"/>
    <col min="3829" max="3829" width="8.7109375" style="631" customWidth="1"/>
    <col min="3830" max="4073" width="9.140625" style="631"/>
    <col min="4074" max="4074" width="16.5703125" style="631" customWidth="1"/>
    <col min="4075" max="4075" width="10.42578125" style="631" customWidth="1"/>
    <col min="4076" max="4076" width="11.85546875" style="631" customWidth="1"/>
    <col min="4077" max="4077" width="10.42578125" style="631" customWidth="1"/>
    <col min="4078" max="4078" width="10.28515625" style="631" customWidth="1"/>
    <col min="4079" max="4079" width="8.28515625" style="631" customWidth="1"/>
    <col min="4080" max="4080" width="11" style="631" customWidth="1"/>
    <col min="4081" max="4081" width="8.7109375" style="631" customWidth="1"/>
    <col min="4082" max="4082" width="9.7109375" style="631" customWidth="1"/>
    <col min="4083" max="4083" width="12.85546875" style="631" customWidth="1"/>
    <col min="4084" max="4084" width="9.85546875" style="631" customWidth="1"/>
    <col min="4085" max="4085" width="8.7109375" style="631" customWidth="1"/>
    <col min="4086" max="4329" width="9.140625" style="631"/>
    <col min="4330" max="4330" width="16.5703125" style="631" customWidth="1"/>
    <col min="4331" max="4331" width="10.42578125" style="631" customWidth="1"/>
    <col min="4332" max="4332" width="11.85546875" style="631" customWidth="1"/>
    <col min="4333" max="4333" width="10.42578125" style="631" customWidth="1"/>
    <col min="4334" max="4334" width="10.28515625" style="631" customWidth="1"/>
    <col min="4335" max="4335" width="8.28515625" style="631" customWidth="1"/>
    <col min="4336" max="4336" width="11" style="631" customWidth="1"/>
    <col min="4337" max="4337" width="8.7109375" style="631" customWidth="1"/>
    <col min="4338" max="4338" width="9.7109375" style="631" customWidth="1"/>
    <col min="4339" max="4339" width="12.85546875" style="631" customWidth="1"/>
    <col min="4340" max="4340" width="9.85546875" style="631" customWidth="1"/>
    <col min="4341" max="4341" width="8.7109375" style="631" customWidth="1"/>
    <col min="4342" max="4585" width="9.140625" style="631"/>
    <col min="4586" max="4586" width="16.5703125" style="631" customWidth="1"/>
    <col min="4587" max="4587" width="10.42578125" style="631" customWidth="1"/>
    <col min="4588" max="4588" width="11.85546875" style="631" customWidth="1"/>
    <col min="4589" max="4589" width="10.42578125" style="631" customWidth="1"/>
    <col min="4590" max="4590" width="10.28515625" style="631" customWidth="1"/>
    <col min="4591" max="4591" width="8.28515625" style="631" customWidth="1"/>
    <col min="4592" max="4592" width="11" style="631" customWidth="1"/>
    <col min="4593" max="4593" width="8.7109375" style="631" customWidth="1"/>
    <col min="4594" max="4594" width="9.7109375" style="631" customWidth="1"/>
    <col min="4595" max="4595" width="12.85546875" style="631" customWidth="1"/>
    <col min="4596" max="4596" width="9.85546875" style="631" customWidth="1"/>
    <col min="4597" max="4597" width="8.7109375" style="631" customWidth="1"/>
    <col min="4598" max="4841" width="9.140625" style="631"/>
    <col min="4842" max="4842" width="16.5703125" style="631" customWidth="1"/>
    <col min="4843" max="4843" width="10.42578125" style="631" customWidth="1"/>
    <col min="4844" max="4844" width="11.85546875" style="631" customWidth="1"/>
    <col min="4845" max="4845" width="10.42578125" style="631" customWidth="1"/>
    <col min="4846" max="4846" width="10.28515625" style="631" customWidth="1"/>
    <col min="4847" max="4847" width="8.28515625" style="631" customWidth="1"/>
    <col min="4848" max="4848" width="11" style="631" customWidth="1"/>
    <col min="4849" max="4849" width="8.7109375" style="631" customWidth="1"/>
    <col min="4850" max="4850" width="9.7109375" style="631" customWidth="1"/>
    <col min="4851" max="4851" width="12.85546875" style="631" customWidth="1"/>
    <col min="4852" max="4852" width="9.85546875" style="631" customWidth="1"/>
    <col min="4853" max="4853" width="8.7109375" style="631" customWidth="1"/>
    <col min="4854" max="5097" width="9.140625" style="631"/>
    <col min="5098" max="5098" width="16.5703125" style="631" customWidth="1"/>
    <col min="5099" max="5099" width="10.42578125" style="631" customWidth="1"/>
    <col min="5100" max="5100" width="11.85546875" style="631" customWidth="1"/>
    <col min="5101" max="5101" width="10.42578125" style="631" customWidth="1"/>
    <col min="5102" max="5102" width="10.28515625" style="631" customWidth="1"/>
    <col min="5103" max="5103" width="8.28515625" style="631" customWidth="1"/>
    <col min="5104" max="5104" width="11" style="631" customWidth="1"/>
    <col min="5105" max="5105" width="8.7109375" style="631" customWidth="1"/>
    <col min="5106" max="5106" width="9.7109375" style="631" customWidth="1"/>
    <col min="5107" max="5107" width="12.85546875" style="631" customWidth="1"/>
    <col min="5108" max="5108" width="9.85546875" style="631" customWidth="1"/>
    <col min="5109" max="5109" width="8.7109375" style="631" customWidth="1"/>
    <col min="5110" max="5353" width="9.140625" style="631"/>
    <col min="5354" max="5354" width="16.5703125" style="631" customWidth="1"/>
    <col min="5355" max="5355" width="10.42578125" style="631" customWidth="1"/>
    <col min="5356" max="5356" width="11.85546875" style="631" customWidth="1"/>
    <col min="5357" max="5357" width="10.42578125" style="631" customWidth="1"/>
    <col min="5358" max="5358" width="10.28515625" style="631" customWidth="1"/>
    <col min="5359" max="5359" width="8.28515625" style="631" customWidth="1"/>
    <col min="5360" max="5360" width="11" style="631" customWidth="1"/>
    <col min="5361" max="5361" width="8.7109375" style="631" customWidth="1"/>
    <col min="5362" max="5362" width="9.7109375" style="631" customWidth="1"/>
    <col min="5363" max="5363" width="12.85546875" style="631" customWidth="1"/>
    <col min="5364" max="5364" width="9.85546875" style="631" customWidth="1"/>
    <col min="5365" max="5365" width="8.7109375" style="631" customWidth="1"/>
    <col min="5366" max="5609" width="9.140625" style="631"/>
    <col min="5610" max="5610" width="16.5703125" style="631" customWidth="1"/>
    <col min="5611" max="5611" width="10.42578125" style="631" customWidth="1"/>
    <col min="5612" max="5612" width="11.85546875" style="631" customWidth="1"/>
    <col min="5613" max="5613" width="10.42578125" style="631" customWidth="1"/>
    <col min="5614" max="5614" width="10.28515625" style="631" customWidth="1"/>
    <col min="5615" max="5615" width="8.28515625" style="631" customWidth="1"/>
    <col min="5616" max="5616" width="11" style="631" customWidth="1"/>
    <col min="5617" max="5617" width="8.7109375" style="631" customWidth="1"/>
    <col min="5618" max="5618" width="9.7109375" style="631" customWidth="1"/>
    <col min="5619" max="5619" width="12.85546875" style="631" customWidth="1"/>
    <col min="5620" max="5620" width="9.85546875" style="631" customWidth="1"/>
    <col min="5621" max="5621" width="8.7109375" style="631" customWidth="1"/>
    <col min="5622" max="5865" width="9.140625" style="631"/>
    <col min="5866" max="5866" width="16.5703125" style="631" customWidth="1"/>
    <col min="5867" max="5867" width="10.42578125" style="631" customWidth="1"/>
    <col min="5868" max="5868" width="11.85546875" style="631" customWidth="1"/>
    <col min="5869" max="5869" width="10.42578125" style="631" customWidth="1"/>
    <col min="5870" max="5870" width="10.28515625" style="631" customWidth="1"/>
    <col min="5871" max="5871" width="8.28515625" style="631" customWidth="1"/>
    <col min="5872" max="5872" width="11" style="631" customWidth="1"/>
    <col min="5873" max="5873" width="8.7109375" style="631" customWidth="1"/>
    <col min="5874" max="5874" width="9.7109375" style="631" customWidth="1"/>
    <col min="5875" max="5875" width="12.85546875" style="631" customWidth="1"/>
    <col min="5876" max="5876" width="9.85546875" style="631" customWidth="1"/>
    <col min="5877" max="5877" width="8.7109375" style="631" customWidth="1"/>
    <col min="5878" max="6121" width="9.140625" style="631"/>
    <col min="6122" max="6122" width="16.5703125" style="631" customWidth="1"/>
    <col min="6123" max="6123" width="10.42578125" style="631" customWidth="1"/>
    <col min="6124" max="6124" width="11.85546875" style="631" customWidth="1"/>
    <col min="6125" max="6125" width="10.42578125" style="631" customWidth="1"/>
    <col min="6126" max="6126" width="10.28515625" style="631" customWidth="1"/>
    <col min="6127" max="6127" width="8.28515625" style="631" customWidth="1"/>
    <col min="6128" max="6128" width="11" style="631" customWidth="1"/>
    <col min="6129" max="6129" width="8.7109375" style="631" customWidth="1"/>
    <col min="6130" max="6130" width="9.7109375" style="631" customWidth="1"/>
    <col min="6131" max="6131" width="12.85546875" style="631" customWidth="1"/>
    <col min="6132" max="6132" width="9.85546875" style="631" customWidth="1"/>
    <col min="6133" max="6133" width="8.7109375" style="631" customWidth="1"/>
    <col min="6134" max="6377" width="9.140625" style="631"/>
    <col min="6378" max="6378" width="16.5703125" style="631" customWidth="1"/>
    <col min="6379" max="6379" width="10.42578125" style="631" customWidth="1"/>
    <col min="6380" max="6380" width="11.85546875" style="631" customWidth="1"/>
    <col min="6381" max="6381" width="10.42578125" style="631" customWidth="1"/>
    <col min="6382" max="6382" width="10.28515625" style="631" customWidth="1"/>
    <col min="6383" max="6383" width="8.28515625" style="631" customWidth="1"/>
    <col min="6384" max="6384" width="11" style="631" customWidth="1"/>
    <col min="6385" max="6385" width="8.7109375" style="631" customWidth="1"/>
    <col min="6386" max="6386" width="9.7109375" style="631" customWidth="1"/>
    <col min="6387" max="6387" width="12.85546875" style="631" customWidth="1"/>
    <col min="6388" max="6388" width="9.85546875" style="631" customWidth="1"/>
    <col min="6389" max="6389" width="8.7109375" style="631" customWidth="1"/>
    <col min="6390" max="6633" width="9.140625" style="631"/>
    <col min="6634" max="6634" width="16.5703125" style="631" customWidth="1"/>
    <col min="6635" max="6635" width="10.42578125" style="631" customWidth="1"/>
    <col min="6636" max="6636" width="11.85546875" style="631" customWidth="1"/>
    <col min="6637" max="6637" width="10.42578125" style="631" customWidth="1"/>
    <col min="6638" max="6638" width="10.28515625" style="631" customWidth="1"/>
    <col min="6639" max="6639" width="8.28515625" style="631" customWidth="1"/>
    <col min="6640" max="6640" width="11" style="631" customWidth="1"/>
    <col min="6641" max="6641" width="8.7109375" style="631" customWidth="1"/>
    <col min="6642" max="6642" width="9.7109375" style="631" customWidth="1"/>
    <col min="6643" max="6643" width="12.85546875" style="631" customWidth="1"/>
    <col min="6644" max="6644" width="9.85546875" style="631" customWidth="1"/>
    <col min="6645" max="6645" width="8.7109375" style="631" customWidth="1"/>
    <col min="6646" max="6889" width="9.140625" style="631"/>
    <col min="6890" max="6890" width="16.5703125" style="631" customWidth="1"/>
    <col min="6891" max="6891" width="10.42578125" style="631" customWidth="1"/>
    <col min="6892" max="6892" width="11.85546875" style="631" customWidth="1"/>
    <col min="6893" max="6893" width="10.42578125" style="631" customWidth="1"/>
    <col min="6894" max="6894" width="10.28515625" style="631" customWidth="1"/>
    <col min="6895" max="6895" width="8.28515625" style="631" customWidth="1"/>
    <col min="6896" max="6896" width="11" style="631" customWidth="1"/>
    <col min="6897" max="6897" width="8.7109375" style="631" customWidth="1"/>
    <col min="6898" max="6898" width="9.7109375" style="631" customWidth="1"/>
    <col min="6899" max="6899" width="12.85546875" style="631" customWidth="1"/>
    <col min="6900" max="6900" width="9.85546875" style="631" customWidth="1"/>
    <col min="6901" max="6901" width="8.7109375" style="631" customWidth="1"/>
    <col min="6902" max="7145" width="9.140625" style="631"/>
    <col min="7146" max="7146" width="16.5703125" style="631" customWidth="1"/>
    <col min="7147" max="7147" width="10.42578125" style="631" customWidth="1"/>
    <col min="7148" max="7148" width="11.85546875" style="631" customWidth="1"/>
    <col min="7149" max="7149" width="10.42578125" style="631" customWidth="1"/>
    <col min="7150" max="7150" width="10.28515625" style="631" customWidth="1"/>
    <col min="7151" max="7151" width="8.28515625" style="631" customWidth="1"/>
    <col min="7152" max="7152" width="11" style="631" customWidth="1"/>
    <col min="7153" max="7153" width="8.7109375" style="631" customWidth="1"/>
    <col min="7154" max="7154" width="9.7109375" style="631" customWidth="1"/>
    <col min="7155" max="7155" width="12.85546875" style="631" customWidth="1"/>
    <col min="7156" max="7156" width="9.85546875" style="631" customWidth="1"/>
    <col min="7157" max="7157" width="8.7109375" style="631" customWidth="1"/>
    <col min="7158" max="7401" width="9.140625" style="631"/>
    <col min="7402" max="7402" width="16.5703125" style="631" customWidth="1"/>
    <col min="7403" max="7403" width="10.42578125" style="631" customWidth="1"/>
    <col min="7404" max="7404" width="11.85546875" style="631" customWidth="1"/>
    <col min="7405" max="7405" width="10.42578125" style="631" customWidth="1"/>
    <col min="7406" max="7406" width="10.28515625" style="631" customWidth="1"/>
    <col min="7407" max="7407" width="8.28515625" style="631" customWidth="1"/>
    <col min="7408" max="7408" width="11" style="631" customWidth="1"/>
    <col min="7409" max="7409" width="8.7109375" style="631" customWidth="1"/>
    <col min="7410" max="7410" width="9.7109375" style="631" customWidth="1"/>
    <col min="7411" max="7411" width="12.85546875" style="631" customWidth="1"/>
    <col min="7412" max="7412" width="9.85546875" style="631" customWidth="1"/>
    <col min="7413" max="7413" width="8.7109375" style="631" customWidth="1"/>
    <col min="7414" max="7657" width="9.140625" style="631"/>
    <col min="7658" max="7658" width="16.5703125" style="631" customWidth="1"/>
    <col min="7659" max="7659" width="10.42578125" style="631" customWidth="1"/>
    <col min="7660" max="7660" width="11.85546875" style="631" customWidth="1"/>
    <col min="7661" max="7661" width="10.42578125" style="631" customWidth="1"/>
    <col min="7662" max="7662" width="10.28515625" style="631" customWidth="1"/>
    <col min="7663" max="7663" width="8.28515625" style="631" customWidth="1"/>
    <col min="7664" max="7664" width="11" style="631" customWidth="1"/>
    <col min="7665" max="7665" width="8.7109375" style="631" customWidth="1"/>
    <col min="7666" max="7666" width="9.7109375" style="631" customWidth="1"/>
    <col min="7667" max="7667" width="12.85546875" style="631" customWidth="1"/>
    <col min="7668" max="7668" width="9.85546875" style="631" customWidth="1"/>
    <col min="7669" max="7669" width="8.7109375" style="631" customWidth="1"/>
    <col min="7670" max="7913" width="9.140625" style="631"/>
    <col min="7914" max="7914" width="16.5703125" style="631" customWidth="1"/>
    <col min="7915" max="7915" width="10.42578125" style="631" customWidth="1"/>
    <col min="7916" max="7916" width="11.85546875" style="631" customWidth="1"/>
    <col min="7917" max="7917" width="10.42578125" style="631" customWidth="1"/>
    <col min="7918" max="7918" width="10.28515625" style="631" customWidth="1"/>
    <col min="7919" max="7919" width="8.28515625" style="631" customWidth="1"/>
    <col min="7920" max="7920" width="11" style="631" customWidth="1"/>
    <col min="7921" max="7921" width="8.7109375" style="631" customWidth="1"/>
    <col min="7922" max="7922" width="9.7109375" style="631" customWidth="1"/>
    <col min="7923" max="7923" width="12.85546875" style="631" customWidth="1"/>
    <col min="7924" max="7924" width="9.85546875" style="631" customWidth="1"/>
    <col min="7925" max="7925" width="8.7109375" style="631" customWidth="1"/>
    <col min="7926" max="8169" width="9.140625" style="631"/>
    <col min="8170" max="8170" width="16.5703125" style="631" customWidth="1"/>
    <col min="8171" max="8171" width="10.42578125" style="631" customWidth="1"/>
    <col min="8172" max="8172" width="11.85546875" style="631" customWidth="1"/>
    <col min="8173" max="8173" width="10.42578125" style="631" customWidth="1"/>
    <col min="8174" max="8174" width="10.28515625" style="631" customWidth="1"/>
    <col min="8175" max="8175" width="8.28515625" style="631" customWidth="1"/>
    <col min="8176" max="8176" width="11" style="631" customWidth="1"/>
    <col min="8177" max="8177" width="8.7109375" style="631" customWidth="1"/>
    <col min="8178" max="8178" width="9.7109375" style="631" customWidth="1"/>
    <col min="8179" max="8179" width="12.85546875" style="631" customWidth="1"/>
    <col min="8180" max="8180" width="9.85546875" style="631" customWidth="1"/>
    <col min="8181" max="8181" width="8.7109375" style="631" customWidth="1"/>
    <col min="8182" max="8425" width="9.140625" style="631"/>
    <col min="8426" max="8426" width="16.5703125" style="631" customWidth="1"/>
    <col min="8427" max="8427" width="10.42578125" style="631" customWidth="1"/>
    <col min="8428" max="8428" width="11.85546875" style="631" customWidth="1"/>
    <col min="8429" max="8429" width="10.42578125" style="631" customWidth="1"/>
    <col min="8430" max="8430" width="10.28515625" style="631" customWidth="1"/>
    <col min="8431" max="8431" width="8.28515625" style="631" customWidth="1"/>
    <col min="8432" max="8432" width="11" style="631" customWidth="1"/>
    <col min="8433" max="8433" width="8.7109375" style="631" customWidth="1"/>
    <col min="8434" max="8434" width="9.7109375" style="631" customWidth="1"/>
    <col min="8435" max="8435" width="12.85546875" style="631" customWidth="1"/>
    <col min="8436" max="8436" width="9.85546875" style="631" customWidth="1"/>
    <col min="8437" max="8437" width="8.7109375" style="631" customWidth="1"/>
    <col min="8438" max="8681" width="9.140625" style="631"/>
    <col min="8682" max="8682" width="16.5703125" style="631" customWidth="1"/>
    <col min="8683" max="8683" width="10.42578125" style="631" customWidth="1"/>
    <col min="8684" max="8684" width="11.85546875" style="631" customWidth="1"/>
    <col min="8685" max="8685" width="10.42578125" style="631" customWidth="1"/>
    <col min="8686" max="8686" width="10.28515625" style="631" customWidth="1"/>
    <col min="8687" max="8687" width="8.28515625" style="631" customWidth="1"/>
    <col min="8688" max="8688" width="11" style="631" customWidth="1"/>
    <col min="8689" max="8689" width="8.7109375" style="631" customWidth="1"/>
    <col min="8690" max="8690" width="9.7109375" style="631" customWidth="1"/>
    <col min="8691" max="8691" width="12.85546875" style="631" customWidth="1"/>
    <col min="8692" max="8692" width="9.85546875" style="631" customWidth="1"/>
    <col min="8693" max="8693" width="8.7109375" style="631" customWidth="1"/>
    <col min="8694" max="8937" width="9.140625" style="631"/>
    <col min="8938" max="8938" width="16.5703125" style="631" customWidth="1"/>
    <col min="8939" max="8939" width="10.42578125" style="631" customWidth="1"/>
    <col min="8940" max="8940" width="11.85546875" style="631" customWidth="1"/>
    <col min="8941" max="8941" width="10.42578125" style="631" customWidth="1"/>
    <col min="8942" max="8942" width="10.28515625" style="631" customWidth="1"/>
    <col min="8943" max="8943" width="8.28515625" style="631" customWidth="1"/>
    <col min="8944" max="8944" width="11" style="631" customWidth="1"/>
    <col min="8945" max="8945" width="8.7109375" style="631" customWidth="1"/>
    <col min="8946" max="8946" width="9.7109375" style="631" customWidth="1"/>
    <col min="8947" max="8947" width="12.85546875" style="631" customWidth="1"/>
    <col min="8948" max="8948" width="9.85546875" style="631" customWidth="1"/>
    <col min="8949" max="8949" width="8.7109375" style="631" customWidth="1"/>
    <col min="8950" max="9193" width="9.140625" style="631"/>
    <col min="9194" max="9194" width="16.5703125" style="631" customWidth="1"/>
    <col min="9195" max="9195" width="10.42578125" style="631" customWidth="1"/>
    <col min="9196" max="9196" width="11.85546875" style="631" customWidth="1"/>
    <col min="9197" max="9197" width="10.42578125" style="631" customWidth="1"/>
    <col min="9198" max="9198" width="10.28515625" style="631" customWidth="1"/>
    <col min="9199" max="9199" width="8.28515625" style="631" customWidth="1"/>
    <col min="9200" max="9200" width="11" style="631" customWidth="1"/>
    <col min="9201" max="9201" width="8.7109375" style="631" customWidth="1"/>
    <col min="9202" max="9202" width="9.7109375" style="631" customWidth="1"/>
    <col min="9203" max="9203" width="12.85546875" style="631" customWidth="1"/>
    <col min="9204" max="9204" width="9.85546875" style="631" customWidth="1"/>
    <col min="9205" max="9205" width="8.7109375" style="631" customWidth="1"/>
    <col min="9206" max="9449" width="9.140625" style="631"/>
    <col min="9450" max="9450" width="16.5703125" style="631" customWidth="1"/>
    <col min="9451" max="9451" width="10.42578125" style="631" customWidth="1"/>
    <col min="9452" max="9452" width="11.85546875" style="631" customWidth="1"/>
    <col min="9453" max="9453" width="10.42578125" style="631" customWidth="1"/>
    <col min="9454" max="9454" width="10.28515625" style="631" customWidth="1"/>
    <col min="9455" max="9455" width="8.28515625" style="631" customWidth="1"/>
    <col min="9456" max="9456" width="11" style="631" customWidth="1"/>
    <col min="9457" max="9457" width="8.7109375" style="631" customWidth="1"/>
    <col min="9458" max="9458" width="9.7109375" style="631" customWidth="1"/>
    <col min="9459" max="9459" width="12.85546875" style="631" customWidth="1"/>
    <col min="9460" max="9460" width="9.85546875" style="631" customWidth="1"/>
    <col min="9461" max="9461" width="8.7109375" style="631" customWidth="1"/>
    <col min="9462" max="9705" width="9.140625" style="631"/>
    <col min="9706" max="9706" width="16.5703125" style="631" customWidth="1"/>
    <col min="9707" max="9707" width="10.42578125" style="631" customWidth="1"/>
    <col min="9708" max="9708" width="11.85546875" style="631" customWidth="1"/>
    <col min="9709" max="9709" width="10.42578125" style="631" customWidth="1"/>
    <col min="9710" max="9710" width="10.28515625" style="631" customWidth="1"/>
    <col min="9711" max="9711" width="8.28515625" style="631" customWidth="1"/>
    <col min="9712" max="9712" width="11" style="631" customWidth="1"/>
    <col min="9713" max="9713" width="8.7109375" style="631" customWidth="1"/>
    <col min="9714" max="9714" width="9.7109375" style="631" customWidth="1"/>
    <col min="9715" max="9715" width="12.85546875" style="631" customWidth="1"/>
    <col min="9716" max="9716" width="9.85546875" style="631" customWidth="1"/>
    <col min="9717" max="9717" width="8.7109375" style="631" customWidth="1"/>
    <col min="9718" max="9961" width="9.140625" style="631"/>
    <col min="9962" max="9962" width="16.5703125" style="631" customWidth="1"/>
    <col min="9963" max="9963" width="10.42578125" style="631" customWidth="1"/>
    <col min="9964" max="9964" width="11.85546875" style="631" customWidth="1"/>
    <col min="9965" max="9965" width="10.42578125" style="631" customWidth="1"/>
    <col min="9966" max="9966" width="10.28515625" style="631" customWidth="1"/>
    <col min="9967" max="9967" width="8.28515625" style="631" customWidth="1"/>
    <col min="9968" max="9968" width="11" style="631" customWidth="1"/>
    <col min="9969" max="9969" width="8.7109375" style="631" customWidth="1"/>
    <col min="9970" max="9970" width="9.7109375" style="631" customWidth="1"/>
    <col min="9971" max="9971" width="12.85546875" style="631" customWidth="1"/>
    <col min="9972" max="9972" width="9.85546875" style="631" customWidth="1"/>
    <col min="9973" max="9973" width="8.7109375" style="631" customWidth="1"/>
    <col min="9974" max="10217" width="9.140625" style="631"/>
    <col min="10218" max="10218" width="16.5703125" style="631" customWidth="1"/>
    <col min="10219" max="10219" width="10.42578125" style="631" customWidth="1"/>
    <col min="10220" max="10220" width="11.85546875" style="631" customWidth="1"/>
    <col min="10221" max="10221" width="10.42578125" style="631" customWidth="1"/>
    <col min="10222" max="10222" width="10.28515625" style="631" customWidth="1"/>
    <col min="10223" max="10223" width="8.28515625" style="631" customWidth="1"/>
    <col min="10224" max="10224" width="11" style="631" customWidth="1"/>
    <col min="10225" max="10225" width="8.7109375" style="631" customWidth="1"/>
    <col min="10226" max="10226" width="9.7109375" style="631" customWidth="1"/>
    <col min="10227" max="10227" width="12.85546875" style="631" customWidth="1"/>
    <col min="10228" max="10228" width="9.85546875" style="631" customWidth="1"/>
    <col min="10229" max="10229" width="8.7109375" style="631" customWidth="1"/>
    <col min="10230" max="10473" width="9.140625" style="631"/>
    <col min="10474" max="10474" width="16.5703125" style="631" customWidth="1"/>
    <col min="10475" max="10475" width="10.42578125" style="631" customWidth="1"/>
    <col min="10476" max="10476" width="11.85546875" style="631" customWidth="1"/>
    <col min="10477" max="10477" width="10.42578125" style="631" customWidth="1"/>
    <col min="10478" max="10478" width="10.28515625" style="631" customWidth="1"/>
    <col min="10479" max="10479" width="8.28515625" style="631" customWidth="1"/>
    <col min="10480" max="10480" width="11" style="631" customWidth="1"/>
    <col min="10481" max="10481" width="8.7109375" style="631" customWidth="1"/>
    <col min="10482" max="10482" width="9.7109375" style="631" customWidth="1"/>
    <col min="10483" max="10483" width="12.85546875" style="631" customWidth="1"/>
    <col min="10484" max="10484" width="9.85546875" style="631" customWidth="1"/>
    <col min="10485" max="10485" width="8.7109375" style="631" customWidth="1"/>
    <col min="10486" max="10729" width="9.140625" style="631"/>
    <col min="10730" max="10730" width="16.5703125" style="631" customWidth="1"/>
    <col min="10731" max="10731" width="10.42578125" style="631" customWidth="1"/>
    <col min="10732" max="10732" width="11.85546875" style="631" customWidth="1"/>
    <col min="10733" max="10733" width="10.42578125" style="631" customWidth="1"/>
    <col min="10734" max="10734" width="10.28515625" style="631" customWidth="1"/>
    <col min="10735" max="10735" width="8.28515625" style="631" customWidth="1"/>
    <col min="10736" max="10736" width="11" style="631" customWidth="1"/>
    <col min="10737" max="10737" width="8.7109375" style="631" customWidth="1"/>
    <col min="10738" max="10738" width="9.7109375" style="631" customWidth="1"/>
    <col min="10739" max="10739" width="12.85546875" style="631" customWidth="1"/>
    <col min="10740" max="10740" width="9.85546875" style="631" customWidth="1"/>
    <col min="10741" max="10741" width="8.7109375" style="631" customWidth="1"/>
    <col min="10742" max="10985" width="9.140625" style="631"/>
    <col min="10986" max="10986" width="16.5703125" style="631" customWidth="1"/>
    <col min="10987" max="10987" width="10.42578125" style="631" customWidth="1"/>
    <col min="10988" max="10988" width="11.85546875" style="631" customWidth="1"/>
    <col min="10989" max="10989" width="10.42578125" style="631" customWidth="1"/>
    <col min="10990" max="10990" width="10.28515625" style="631" customWidth="1"/>
    <col min="10991" max="10991" width="8.28515625" style="631" customWidth="1"/>
    <col min="10992" max="10992" width="11" style="631" customWidth="1"/>
    <col min="10993" max="10993" width="8.7109375" style="631" customWidth="1"/>
    <col min="10994" max="10994" width="9.7109375" style="631" customWidth="1"/>
    <col min="10995" max="10995" width="12.85546875" style="631" customWidth="1"/>
    <col min="10996" max="10996" width="9.85546875" style="631" customWidth="1"/>
    <col min="10997" max="10997" width="8.7109375" style="631" customWidth="1"/>
    <col min="10998" max="11241" width="9.140625" style="631"/>
    <col min="11242" max="11242" width="16.5703125" style="631" customWidth="1"/>
    <col min="11243" max="11243" width="10.42578125" style="631" customWidth="1"/>
    <col min="11244" max="11244" width="11.85546875" style="631" customWidth="1"/>
    <col min="11245" max="11245" width="10.42578125" style="631" customWidth="1"/>
    <col min="11246" max="11246" width="10.28515625" style="631" customWidth="1"/>
    <col min="11247" max="11247" width="8.28515625" style="631" customWidth="1"/>
    <col min="11248" max="11248" width="11" style="631" customWidth="1"/>
    <col min="11249" max="11249" width="8.7109375" style="631" customWidth="1"/>
    <col min="11250" max="11250" width="9.7109375" style="631" customWidth="1"/>
    <col min="11251" max="11251" width="12.85546875" style="631" customWidth="1"/>
    <col min="11252" max="11252" width="9.85546875" style="631" customWidth="1"/>
    <col min="11253" max="11253" width="8.7109375" style="631" customWidth="1"/>
    <col min="11254" max="11497" width="9.140625" style="631"/>
    <col min="11498" max="11498" width="16.5703125" style="631" customWidth="1"/>
    <col min="11499" max="11499" width="10.42578125" style="631" customWidth="1"/>
    <col min="11500" max="11500" width="11.85546875" style="631" customWidth="1"/>
    <col min="11501" max="11501" width="10.42578125" style="631" customWidth="1"/>
    <col min="11502" max="11502" width="10.28515625" style="631" customWidth="1"/>
    <col min="11503" max="11503" width="8.28515625" style="631" customWidth="1"/>
    <col min="11504" max="11504" width="11" style="631" customWidth="1"/>
    <col min="11505" max="11505" width="8.7109375" style="631" customWidth="1"/>
    <col min="11506" max="11506" width="9.7109375" style="631" customWidth="1"/>
    <col min="11507" max="11507" width="12.85546875" style="631" customWidth="1"/>
    <col min="11508" max="11508" width="9.85546875" style="631" customWidth="1"/>
    <col min="11509" max="11509" width="8.7109375" style="631" customWidth="1"/>
    <col min="11510" max="11753" width="9.140625" style="631"/>
    <col min="11754" max="11754" width="16.5703125" style="631" customWidth="1"/>
    <col min="11755" max="11755" width="10.42578125" style="631" customWidth="1"/>
    <col min="11756" max="11756" width="11.85546875" style="631" customWidth="1"/>
    <col min="11757" max="11757" width="10.42578125" style="631" customWidth="1"/>
    <col min="11758" max="11758" width="10.28515625" style="631" customWidth="1"/>
    <col min="11759" max="11759" width="8.28515625" style="631" customWidth="1"/>
    <col min="11760" max="11760" width="11" style="631" customWidth="1"/>
    <col min="11761" max="11761" width="8.7109375" style="631" customWidth="1"/>
    <col min="11762" max="11762" width="9.7109375" style="631" customWidth="1"/>
    <col min="11763" max="11763" width="12.85546875" style="631" customWidth="1"/>
    <col min="11764" max="11764" width="9.85546875" style="631" customWidth="1"/>
    <col min="11765" max="11765" width="8.7109375" style="631" customWidth="1"/>
    <col min="11766" max="12009" width="9.140625" style="631"/>
    <col min="12010" max="12010" width="16.5703125" style="631" customWidth="1"/>
    <col min="12011" max="12011" width="10.42578125" style="631" customWidth="1"/>
    <col min="12012" max="12012" width="11.85546875" style="631" customWidth="1"/>
    <col min="12013" max="12013" width="10.42578125" style="631" customWidth="1"/>
    <col min="12014" max="12014" width="10.28515625" style="631" customWidth="1"/>
    <col min="12015" max="12015" width="8.28515625" style="631" customWidth="1"/>
    <col min="12016" max="12016" width="11" style="631" customWidth="1"/>
    <col min="12017" max="12017" width="8.7109375" style="631" customWidth="1"/>
    <col min="12018" max="12018" width="9.7109375" style="631" customWidth="1"/>
    <col min="12019" max="12019" width="12.85546875" style="631" customWidth="1"/>
    <col min="12020" max="12020" width="9.85546875" style="631" customWidth="1"/>
    <col min="12021" max="12021" width="8.7109375" style="631" customWidth="1"/>
    <col min="12022" max="12265" width="9.140625" style="631"/>
    <col min="12266" max="12266" width="16.5703125" style="631" customWidth="1"/>
    <col min="12267" max="12267" width="10.42578125" style="631" customWidth="1"/>
    <col min="12268" max="12268" width="11.85546875" style="631" customWidth="1"/>
    <col min="12269" max="12269" width="10.42578125" style="631" customWidth="1"/>
    <col min="12270" max="12270" width="10.28515625" style="631" customWidth="1"/>
    <col min="12271" max="12271" width="8.28515625" style="631" customWidth="1"/>
    <col min="12272" max="12272" width="11" style="631" customWidth="1"/>
    <col min="12273" max="12273" width="8.7109375" style="631" customWidth="1"/>
    <col min="12274" max="12274" width="9.7109375" style="631" customWidth="1"/>
    <col min="12275" max="12275" width="12.85546875" style="631" customWidth="1"/>
    <col min="12276" max="12276" width="9.85546875" style="631" customWidth="1"/>
    <col min="12277" max="12277" width="8.7109375" style="631" customWidth="1"/>
    <col min="12278" max="12521" width="9.140625" style="631"/>
    <col min="12522" max="12522" width="16.5703125" style="631" customWidth="1"/>
    <col min="12523" max="12523" width="10.42578125" style="631" customWidth="1"/>
    <col min="12524" max="12524" width="11.85546875" style="631" customWidth="1"/>
    <col min="12525" max="12525" width="10.42578125" style="631" customWidth="1"/>
    <col min="12526" max="12526" width="10.28515625" style="631" customWidth="1"/>
    <col min="12527" max="12527" width="8.28515625" style="631" customWidth="1"/>
    <col min="12528" max="12528" width="11" style="631" customWidth="1"/>
    <col min="12529" max="12529" width="8.7109375" style="631" customWidth="1"/>
    <col min="12530" max="12530" width="9.7109375" style="631" customWidth="1"/>
    <col min="12531" max="12531" width="12.85546875" style="631" customWidth="1"/>
    <col min="12532" max="12532" width="9.85546875" style="631" customWidth="1"/>
    <col min="12533" max="12533" width="8.7109375" style="631" customWidth="1"/>
    <col min="12534" max="12777" width="9.140625" style="631"/>
    <col min="12778" max="12778" width="16.5703125" style="631" customWidth="1"/>
    <col min="12779" max="12779" width="10.42578125" style="631" customWidth="1"/>
    <col min="12780" max="12780" width="11.85546875" style="631" customWidth="1"/>
    <col min="12781" max="12781" width="10.42578125" style="631" customWidth="1"/>
    <col min="12782" max="12782" width="10.28515625" style="631" customWidth="1"/>
    <col min="12783" max="12783" width="8.28515625" style="631" customWidth="1"/>
    <col min="12784" max="12784" width="11" style="631" customWidth="1"/>
    <col min="12785" max="12785" width="8.7109375" style="631" customWidth="1"/>
    <col min="12786" max="12786" width="9.7109375" style="631" customWidth="1"/>
    <col min="12787" max="12787" width="12.85546875" style="631" customWidth="1"/>
    <col min="12788" max="12788" width="9.85546875" style="631" customWidth="1"/>
    <col min="12789" max="12789" width="8.7109375" style="631" customWidth="1"/>
    <col min="12790" max="13033" width="9.140625" style="631"/>
    <col min="13034" max="13034" width="16.5703125" style="631" customWidth="1"/>
    <col min="13035" max="13035" width="10.42578125" style="631" customWidth="1"/>
    <col min="13036" max="13036" width="11.85546875" style="631" customWidth="1"/>
    <col min="13037" max="13037" width="10.42578125" style="631" customWidth="1"/>
    <col min="13038" max="13038" width="10.28515625" style="631" customWidth="1"/>
    <col min="13039" max="13039" width="8.28515625" style="631" customWidth="1"/>
    <col min="13040" max="13040" width="11" style="631" customWidth="1"/>
    <col min="13041" max="13041" width="8.7109375" style="631" customWidth="1"/>
    <col min="13042" max="13042" width="9.7109375" style="631" customWidth="1"/>
    <col min="13043" max="13043" width="12.85546875" style="631" customWidth="1"/>
    <col min="13044" max="13044" width="9.85546875" style="631" customWidth="1"/>
    <col min="13045" max="13045" width="8.7109375" style="631" customWidth="1"/>
    <col min="13046" max="13289" width="9.140625" style="631"/>
    <col min="13290" max="13290" width="16.5703125" style="631" customWidth="1"/>
    <col min="13291" max="13291" width="10.42578125" style="631" customWidth="1"/>
    <col min="13292" max="13292" width="11.85546875" style="631" customWidth="1"/>
    <col min="13293" max="13293" width="10.42578125" style="631" customWidth="1"/>
    <col min="13294" max="13294" width="10.28515625" style="631" customWidth="1"/>
    <col min="13295" max="13295" width="8.28515625" style="631" customWidth="1"/>
    <col min="13296" max="13296" width="11" style="631" customWidth="1"/>
    <col min="13297" max="13297" width="8.7109375" style="631" customWidth="1"/>
    <col min="13298" max="13298" width="9.7109375" style="631" customWidth="1"/>
    <col min="13299" max="13299" width="12.85546875" style="631" customWidth="1"/>
    <col min="13300" max="13300" width="9.85546875" style="631" customWidth="1"/>
    <col min="13301" max="13301" width="8.7109375" style="631" customWidth="1"/>
    <col min="13302" max="13545" width="9.140625" style="631"/>
    <col min="13546" max="13546" width="16.5703125" style="631" customWidth="1"/>
    <col min="13547" max="13547" width="10.42578125" style="631" customWidth="1"/>
    <col min="13548" max="13548" width="11.85546875" style="631" customWidth="1"/>
    <col min="13549" max="13549" width="10.42578125" style="631" customWidth="1"/>
    <col min="13550" max="13550" width="10.28515625" style="631" customWidth="1"/>
    <col min="13551" max="13551" width="8.28515625" style="631" customWidth="1"/>
    <col min="13552" max="13552" width="11" style="631" customWidth="1"/>
    <col min="13553" max="13553" width="8.7109375" style="631" customWidth="1"/>
    <col min="13554" max="13554" width="9.7109375" style="631" customWidth="1"/>
    <col min="13555" max="13555" width="12.85546875" style="631" customWidth="1"/>
    <col min="13556" max="13556" width="9.85546875" style="631" customWidth="1"/>
    <col min="13557" max="13557" width="8.7109375" style="631" customWidth="1"/>
    <col min="13558" max="13801" width="9.140625" style="631"/>
    <col min="13802" max="13802" width="16.5703125" style="631" customWidth="1"/>
    <col min="13803" max="13803" width="10.42578125" style="631" customWidth="1"/>
    <col min="13804" max="13804" width="11.85546875" style="631" customWidth="1"/>
    <col min="13805" max="13805" width="10.42578125" style="631" customWidth="1"/>
    <col min="13806" max="13806" width="10.28515625" style="631" customWidth="1"/>
    <col min="13807" max="13807" width="8.28515625" style="631" customWidth="1"/>
    <col min="13808" max="13808" width="11" style="631" customWidth="1"/>
    <col min="13809" max="13809" width="8.7109375" style="631" customWidth="1"/>
    <col min="13810" max="13810" width="9.7109375" style="631" customWidth="1"/>
    <col min="13811" max="13811" width="12.85546875" style="631" customWidth="1"/>
    <col min="13812" max="13812" width="9.85546875" style="631" customWidth="1"/>
    <col min="13813" max="13813" width="8.7109375" style="631" customWidth="1"/>
    <col min="13814" max="14057" width="9.140625" style="631"/>
    <col min="14058" max="14058" width="16.5703125" style="631" customWidth="1"/>
    <col min="14059" max="14059" width="10.42578125" style="631" customWidth="1"/>
    <col min="14060" max="14060" width="11.85546875" style="631" customWidth="1"/>
    <col min="14061" max="14061" width="10.42578125" style="631" customWidth="1"/>
    <col min="14062" max="14062" width="10.28515625" style="631" customWidth="1"/>
    <col min="14063" max="14063" width="8.28515625" style="631" customWidth="1"/>
    <col min="14064" max="14064" width="11" style="631" customWidth="1"/>
    <col min="14065" max="14065" width="8.7109375" style="631" customWidth="1"/>
    <col min="14066" max="14066" width="9.7109375" style="631" customWidth="1"/>
    <col min="14067" max="14067" width="12.85546875" style="631" customWidth="1"/>
    <col min="14068" max="14068" width="9.85546875" style="631" customWidth="1"/>
    <col min="14069" max="14069" width="8.7109375" style="631" customWidth="1"/>
    <col min="14070" max="14313" width="9.140625" style="631"/>
    <col min="14314" max="14314" width="16.5703125" style="631" customWidth="1"/>
    <col min="14315" max="14315" width="10.42578125" style="631" customWidth="1"/>
    <col min="14316" max="14316" width="11.85546875" style="631" customWidth="1"/>
    <col min="14317" max="14317" width="10.42578125" style="631" customWidth="1"/>
    <col min="14318" max="14318" width="10.28515625" style="631" customWidth="1"/>
    <col min="14319" max="14319" width="8.28515625" style="631" customWidth="1"/>
    <col min="14320" max="14320" width="11" style="631" customWidth="1"/>
    <col min="14321" max="14321" width="8.7109375" style="631" customWidth="1"/>
    <col min="14322" max="14322" width="9.7109375" style="631" customWidth="1"/>
    <col min="14323" max="14323" width="12.85546875" style="631" customWidth="1"/>
    <col min="14324" max="14324" width="9.85546875" style="631" customWidth="1"/>
    <col min="14325" max="14325" width="8.7109375" style="631" customWidth="1"/>
    <col min="14326" max="14569" width="9.140625" style="631"/>
    <col min="14570" max="14570" width="16.5703125" style="631" customWidth="1"/>
    <col min="14571" max="14571" width="10.42578125" style="631" customWidth="1"/>
    <col min="14572" max="14572" width="11.85546875" style="631" customWidth="1"/>
    <col min="14573" max="14573" width="10.42578125" style="631" customWidth="1"/>
    <col min="14574" max="14574" width="10.28515625" style="631" customWidth="1"/>
    <col min="14575" max="14575" width="8.28515625" style="631" customWidth="1"/>
    <col min="14576" max="14576" width="11" style="631" customWidth="1"/>
    <col min="14577" max="14577" width="8.7109375" style="631" customWidth="1"/>
    <col min="14578" max="14578" width="9.7109375" style="631" customWidth="1"/>
    <col min="14579" max="14579" width="12.85546875" style="631" customWidth="1"/>
    <col min="14580" max="14580" width="9.85546875" style="631" customWidth="1"/>
    <col min="14581" max="14581" width="8.7109375" style="631" customWidth="1"/>
    <col min="14582" max="14825" width="9.140625" style="631"/>
    <col min="14826" max="14826" width="16.5703125" style="631" customWidth="1"/>
    <col min="14827" max="14827" width="10.42578125" style="631" customWidth="1"/>
    <col min="14828" max="14828" width="11.85546875" style="631" customWidth="1"/>
    <col min="14829" max="14829" width="10.42578125" style="631" customWidth="1"/>
    <col min="14830" max="14830" width="10.28515625" style="631" customWidth="1"/>
    <col min="14831" max="14831" width="8.28515625" style="631" customWidth="1"/>
    <col min="14832" max="14832" width="11" style="631" customWidth="1"/>
    <col min="14833" max="14833" width="8.7109375" style="631" customWidth="1"/>
    <col min="14834" max="14834" width="9.7109375" style="631" customWidth="1"/>
    <col min="14835" max="14835" width="12.85546875" style="631" customWidth="1"/>
    <col min="14836" max="14836" width="9.85546875" style="631" customWidth="1"/>
    <col min="14837" max="14837" width="8.7109375" style="631" customWidth="1"/>
    <col min="14838" max="15081" width="9.140625" style="631"/>
    <col min="15082" max="15082" width="16.5703125" style="631" customWidth="1"/>
    <col min="15083" max="15083" width="10.42578125" style="631" customWidth="1"/>
    <col min="15084" max="15084" width="11.85546875" style="631" customWidth="1"/>
    <col min="15085" max="15085" width="10.42578125" style="631" customWidth="1"/>
    <col min="15086" max="15086" width="10.28515625" style="631" customWidth="1"/>
    <col min="15087" max="15087" width="8.28515625" style="631" customWidth="1"/>
    <col min="15088" max="15088" width="11" style="631" customWidth="1"/>
    <col min="15089" max="15089" width="8.7109375" style="631" customWidth="1"/>
    <col min="15090" max="15090" width="9.7109375" style="631" customWidth="1"/>
    <col min="15091" max="15091" width="12.85546875" style="631" customWidth="1"/>
    <col min="15092" max="15092" width="9.85546875" style="631" customWidth="1"/>
    <col min="15093" max="15093" width="8.7109375" style="631" customWidth="1"/>
    <col min="15094" max="15337" width="9.140625" style="631"/>
    <col min="15338" max="15338" width="16.5703125" style="631" customWidth="1"/>
    <col min="15339" max="15339" width="10.42578125" style="631" customWidth="1"/>
    <col min="15340" max="15340" width="11.85546875" style="631" customWidth="1"/>
    <col min="15341" max="15341" width="10.42578125" style="631" customWidth="1"/>
    <col min="15342" max="15342" width="10.28515625" style="631" customWidth="1"/>
    <col min="15343" max="15343" width="8.28515625" style="631" customWidth="1"/>
    <col min="15344" max="15344" width="11" style="631" customWidth="1"/>
    <col min="15345" max="15345" width="8.7109375" style="631" customWidth="1"/>
    <col min="15346" max="15346" width="9.7109375" style="631" customWidth="1"/>
    <col min="15347" max="15347" width="12.85546875" style="631" customWidth="1"/>
    <col min="15348" max="15348" width="9.85546875" style="631" customWidth="1"/>
    <col min="15349" max="15349" width="8.7109375" style="631" customWidth="1"/>
    <col min="15350" max="15593" width="9.140625" style="631"/>
    <col min="15594" max="15594" width="16.5703125" style="631" customWidth="1"/>
    <col min="15595" max="15595" width="10.42578125" style="631" customWidth="1"/>
    <col min="15596" max="15596" width="11.85546875" style="631" customWidth="1"/>
    <col min="15597" max="15597" width="10.42578125" style="631" customWidth="1"/>
    <col min="15598" max="15598" width="10.28515625" style="631" customWidth="1"/>
    <col min="15599" max="15599" width="8.28515625" style="631" customWidth="1"/>
    <col min="15600" max="15600" width="11" style="631" customWidth="1"/>
    <col min="15601" max="15601" width="8.7109375" style="631" customWidth="1"/>
    <col min="15602" max="15602" width="9.7109375" style="631" customWidth="1"/>
    <col min="15603" max="15603" width="12.85546875" style="631" customWidth="1"/>
    <col min="15604" max="15604" width="9.85546875" style="631" customWidth="1"/>
    <col min="15605" max="15605" width="8.7109375" style="631" customWidth="1"/>
    <col min="15606" max="15849" width="9.140625" style="631"/>
    <col min="15850" max="15850" width="16.5703125" style="631" customWidth="1"/>
    <col min="15851" max="15851" width="10.42578125" style="631" customWidth="1"/>
    <col min="15852" max="15852" width="11.85546875" style="631" customWidth="1"/>
    <col min="15853" max="15853" width="10.42578125" style="631" customWidth="1"/>
    <col min="15854" max="15854" width="10.28515625" style="631" customWidth="1"/>
    <col min="15855" max="15855" width="8.28515625" style="631" customWidth="1"/>
    <col min="15856" max="15856" width="11" style="631" customWidth="1"/>
    <col min="15857" max="15857" width="8.7109375" style="631" customWidth="1"/>
    <col min="15858" max="15858" width="9.7109375" style="631" customWidth="1"/>
    <col min="15859" max="15859" width="12.85546875" style="631" customWidth="1"/>
    <col min="15860" max="15860" width="9.85546875" style="631" customWidth="1"/>
    <col min="15861" max="15861" width="8.7109375" style="631" customWidth="1"/>
    <col min="15862" max="16105" width="9.140625" style="631"/>
    <col min="16106" max="16106" width="16.5703125" style="631" customWidth="1"/>
    <col min="16107" max="16107" width="10.42578125" style="631" customWidth="1"/>
    <col min="16108" max="16108" width="11.85546875" style="631" customWidth="1"/>
    <col min="16109" max="16109" width="10.42578125" style="631" customWidth="1"/>
    <col min="16110" max="16110" width="10.28515625" style="631" customWidth="1"/>
    <col min="16111" max="16111" width="8.28515625" style="631" customWidth="1"/>
    <col min="16112" max="16112" width="11" style="631" customWidth="1"/>
    <col min="16113" max="16113" width="8.7109375" style="631" customWidth="1"/>
    <col min="16114" max="16114" width="9.7109375" style="631" customWidth="1"/>
    <col min="16115" max="16115" width="12.85546875" style="631" customWidth="1"/>
    <col min="16116" max="16116" width="9.85546875" style="631" customWidth="1"/>
    <col min="16117" max="16117" width="8.7109375" style="631" customWidth="1"/>
    <col min="16118" max="16384" width="9.140625" style="631"/>
  </cols>
  <sheetData>
    <row r="1" spans="1:23" s="1987" customFormat="1" ht="18" customHeight="1" x14ac:dyDescent="0.25">
      <c r="A1" s="2106" t="s">
        <v>1541</v>
      </c>
      <c r="E1" s="623"/>
      <c r="F1" s="623"/>
    </row>
    <row r="2" spans="1:23" ht="9.75" customHeight="1" thickBot="1" x14ac:dyDescent="0.3">
      <c r="G2" s="2198"/>
    </row>
    <row r="3" spans="1:23" s="2201" customFormat="1" ht="24" customHeight="1" thickTop="1" thickBot="1" x14ac:dyDescent="0.3">
      <c r="A3" s="2199"/>
      <c r="B3" s="2200" t="s">
        <v>1542</v>
      </c>
      <c r="C3" s="1165" t="s">
        <v>1543</v>
      </c>
      <c r="D3" s="3408" t="s">
        <v>1544</v>
      </c>
      <c r="E3" s="3409"/>
      <c r="F3" s="3408" t="s">
        <v>1545</v>
      </c>
      <c r="G3" s="3410"/>
    </row>
    <row r="4" spans="1:23" s="2201" customFormat="1" ht="21.75" customHeight="1" x14ac:dyDescent="0.25">
      <c r="A4" s="2202"/>
      <c r="B4" s="2203" t="s">
        <v>1546</v>
      </c>
      <c r="C4" s="1166" t="s">
        <v>1547</v>
      </c>
      <c r="D4" s="2204" t="s">
        <v>1548</v>
      </c>
      <c r="E4" s="2204" t="s">
        <v>1549</v>
      </c>
      <c r="F4" s="3411" t="s">
        <v>1550</v>
      </c>
      <c r="G4" s="3412"/>
    </row>
    <row r="5" spans="1:23" s="2201" customFormat="1" ht="17.25" x14ac:dyDescent="0.25">
      <c r="A5" s="2202"/>
      <c r="B5" s="2203" t="s">
        <v>1551</v>
      </c>
      <c r="C5" s="1166" t="s">
        <v>1552</v>
      </c>
      <c r="D5" s="1166" t="s">
        <v>1553</v>
      </c>
      <c r="E5" s="1166" t="s">
        <v>1554</v>
      </c>
      <c r="F5" s="3411"/>
      <c r="G5" s="3412"/>
    </row>
    <row r="6" spans="1:23" s="2201" customFormat="1" ht="16.5" x14ac:dyDescent="0.25">
      <c r="A6" s="2202"/>
      <c r="B6" s="2205"/>
      <c r="C6" s="1166" t="s">
        <v>1555</v>
      </c>
      <c r="D6" s="1166"/>
      <c r="E6" s="1166"/>
      <c r="F6" s="3411"/>
      <c r="G6" s="3412"/>
      <c r="J6" s="631"/>
      <c r="K6" s="631"/>
      <c r="L6" s="631"/>
      <c r="M6" s="631"/>
      <c r="N6" s="631"/>
      <c r="O6" s="631"/>
      <c r="P6" s="631"/>
      <c r="Q6" s="631"/>
      <c r="R6" s="631"/>
      <c r="S6" s="631"/>
      <c r="T6" s="631"/>
      <c r="U6" s="631"/>
      <c r="V6" s="631"/>
      <c r="W6" s="631"/>
    </row>
    <row r="7" spans="1:23" s="2209" customFormat="1" ht="16.5" thickBot="1" x14ac:dyDescent="0.3">
      <c r="A7" s="2206"/>
      <c r="B7" s="2207" t="s">
        <v>184</v>
      </c>
      <c r="C7" s="2208" t="s">
        <v>184</v>
      </c>
      <c r="D7" s="2208" t="s">
        <v>184</v>
      </c>
      <c r="E7" s="2208" t="s">
        <v>281</v>
      </c>
      <c r="F7" s="3413" t="s">
        <v>1556</v>
      </c>
      <c r="G7" s="3414"/>
      <c r="J7" s="631"/>
      <c r="K7" s="631"/>
      <c r="L7" s="631"/>
      <c r="M7" s="631"/>
      <c r="N7" s="631"/>
      <c r="O7" s="631"/>
      <c r="P7" s="631"/>
      <c r="Q7" s="631"/>
      <c r="R7" s="631"/>
      <c r="S7" s="631"/>
      <c r="T7" s="631"/>
      <c r="U7" s="631"/>
      <c r="V7" s="631"/>
      <c r="W7" s="631"/>
    </row>
    <row r="8" spans="1:23" ht="16.5" x14ac:dyDescent="0.25">
      <c r="A8" s="2210">
        <v>45170</v>
      </c>
      <c r="B8" s="2211"/>
      <c r="C8" s="2126"/>
      <c r="D8" s="2126"/>
      <c r="E8" s="2126"/>
      <c r="F8" s="2212"/>
      <c r="G8" s="2213"/>
    </row>
    <row r="9" spans="1:23" ht="16.5" x14ac:dyDescent="0.25">
      <c r="A9" s="2214" t="s">
        <v>1557</v>
      </c>
      <c r="B9" s="2215">
        <v>2.208968E-2</v>
      </c>
      <c r="C9" s="2126">
        <v>0.2819798</v>
      </c>
      <c r="D9" s="2126">
        <v>0.3</v>
      </c>
      <c r="E9" s="2126">
        <v>13.58</v>
      </c>
      <c r="F9" s="3396">
        <v>45.27</v>
      </c>
      <c r="G9" s="3397"/>
      <c r="K9" s="657"/>
      <c r="L9" s="657"/>
      <c r="M9" s="2216"/>
      <c r="N9" s="2217"/>
      <c r="O9" s="2218"/>
      <c r="P9" s="1995"/>
    </row>
    <row r="10" spans="1:23" ht="16.5" x14ac:dyDescent="0.25">
      <c r="A10" s="2219" t="s">
        <v>1558</v>
      </c>
      <c r="B10" s="2215">
        <v>1.0682743399999999</v>
      </c>
      <c r="C10" s="2126">
        <v>3.7670870300000003</v>
      </c>
      <c r="D10" s="2126">
        <v>8.9499999999999993</v>
      </c>
      <c r="E10" s="2126">
        <v>407.96</v>
      </c>
      <c r="F10" s="3396" t="s">
        <v>1559</v>
      </c>
      <c r="G10" s="3397"/>
      <c r="K10" s="657"/>
      <c r="M10" s="2216"/>
      <c r="N10" s="2217"/>
      <c r="O10" s="2218"/>
      <c r="P10" s="1995"/>
    </row>
    <row r="11" spans="1:23" ht="16.5" x14ac:dyDescent="0.25">
      <c r="A11" s="2219" t="s">
        <v>1560</v>
      </c>
      <c r="B11" s="2215">
        <v>0.40491596999999996</v>
      </c>
      <c r="C11" s="2126">
        <v>2.4958106400000002</v>
      </c>
      <c r="D11" s="2126">
        <v>3.33</v>
      </c>
      <c r="E11" s="2126">
        <v>150.19999999999999</v>
      </c>
      <c r="F11" s="3396" t="s">
        <v>1561</v>
      </c>
      <c r="G11" s="3397"/>
      <c r="K11" s="657"/>
      <c r="M11" s="2216"/>
      <c r="N11" s="2217"/>
      <c r="O11" s="2218"/>
      <c r="P11" s="1995"/>
    </row>
    <row r="12" spans="1:23" ht="16.5" x14ac:dyDescent="0.25">
      <c r="A12" s="2219" t="s">
        <v>1562</v>
      </c>
      <c r="B12" s="2215">
        <v>0.71102384000000007</v>
      </c>
      <c r="C12" s="2126">
        <v>4.6988297899999987</v>
      </c>
      <c r="D12" s="2126">
        <v>5.73</v>
      </c>
      <c r="E12" s="2126">
        <v>257.14999999999998</v>
      </c>
      <c r="F12" s="3396" t="s">
        <v>1563</v>
      </c>
      <c r="G12" s="3397"/>
      <c r="K12" s="657"/>
      <c r="M12" s="2216"/>
      <c r="N12" s="2217"/>
      <c r="O12" s="2218"/>
      <c r="P12" s="1995"/>
    </row>
    <row r="13" spans="1:23" ht="16.5" hidden="1" x14ac:dyDescent="0.25">
      <c r="A13" s="2219"/>
      <c r="B13" s="2215">
        <v>0.61973033</v>
      </c>
      <c r="C13" s="2126">
        <v>0.30758679000000005</v>
      </c>
      <c r="D13" s="2126">
        <v>1.9704047653858336</v>
      </c>
      <c r="E13" s="2114">
        <v>89.793781999999993</v>
      </c>
      <c r="F13" s="3396"/>
      <c r="G13" s="3397"/>
      <c r="K13" s="657"/>
      <c r="M13" s="2216"/>
      <c r="N13" s="2217"/>
      <c r="O13" s="2218"/>
    </row>
    <row r="14" spans="1:23" ht="16.5" hidden="1" x14ac:dyDescent="0.25">
      <c r="A14" s="2219"/>
      <c r="B14" s="2215"/>
      <c r="C14" s="2126"/>
      <c r="D14" s="2126"/>
      <c r="E14" s="2114"/>
      <c r="F14" s="3396"/>
      <c r="G14" s="3397"/>
      <c r="K14" s="657"/>
      <c r="M14" s="2216"/>
      <c r="N14" s="2217"/>
      <c r="O14" s="2218"/>
    </row>
    <row r="15" spans="1:23" ht="16.5" x14ac:dyDescent="0.25">
      <c r="A15" s="2219" t="s">
        <v>1564</v>
      </c>
      <c r="B15" s="2215">
        <v>0.42365668999999995</v>
      </c>
      <c r="C15" s="2126">
        <v>7.6609025900000001</v>
      </c>
      <c r="D15" s="2126">
        <v>8.49</v>
      </c>
      <c r="E15" s="2126">
        <v>380.21</v>
      </c>
      <c r="F15" s="3396" t="s">
        <v>1565</v>
      </c>
      <c r="G15" s="3397"/>
      <c r="K15" s="657"/>
      <c r="M15" s="2216"/>
      <c r="N15" s="2217"/>
      <c r="O15" s="2218"/>
      <c r="P15" s="1995"/>
    </row>
    <row r="16" spans="1:23" ht="14.25" customHeight="1" thickBot="1" x14ac:dyDescent="0.3">
      <c r="A16" s="2220"/>
      <c r="B16" s="2221"/>
      <c r="C16" s="2222"/>
      <c r="D16" s="2222"/>
      <c r="E16" s="2222"/>
      <c r="F16" s="3404"/>
      <c r="G16" s="3405"/>
      <c r="M16" s="2216"/>
      <c r="N16" s="2217"/>
      <c r="O16" s="2218"/>
      <c r="P16" s="2217"/>
    </row>
    <row r="17" spans="1:15" ht="17.25" hidden="1" customHeight="1" thickTop="1" x14ac:dyDescent="0.25">
      <c r="A17" s="2223">
        <v>37073</v>
      </c>
      <c r="B17" s="2215">
        <v>0</v>
      </c>
      <c r="C17" s="2126">
        <v>1.98</v>
      </c>
      <c r="D17" s="2126">
        <v>1.98</v>
      </c>
      <c r="E17" s="2126">
        <v>58.15</v>
      </c>
      <c r="F17" s="3406" t="s">
        <v>1566</v>
      </c>
      <c r="G17" s="3407"/>
      <c r="M17" s="2216"/>
      <c r="O17" s="2218"/>
    </row>
    <row r="18" spans="1:15" ht="17.25" hidden="1" customHeight="1" x14ac:dyDescent="0.25">
      <c r="A18" s="2223">
        <v>37104</v>
      </c>
      <c r="B18" s="2215">
        <v>0</v>
      </c>
      <c r="C18" s="2126">
        <v>0</v>
      </c>
      <c r="D18" s="2126">
        <v>0</v>
      </c>
      <c r="E18" s="2126">
        <v>0</v>
      </c>
      <c r="F18" s="3400" t="s">
        <v>1567</v>
      </c>
      <c r="G18" s="3401"/>
      <c r="M18" s="2216"/>
      <c r="O18" s="2218"/>
    </row>
    <row r="19" spans="1:15" ht="17.25" hidden="1" customHeight="1" x14ac:dyDescent="0.25">
      <c r="A19" s="2223">
        <v>37135</v>
      </c>
      <c r="B19" s="2215">
        <v>0</v>
      </c>
      <c r="C19" s="2126">
        <v>1.56</v>
      </c>
      <c r="D19" s="2126">
        <v>1.56</v>
      </c>
      <c r="E19" s="2126">
        <v>46.53</v>
      </c>
      <c r="F19" s="3400" t="s">
        <v>1568</v>
      </c>
      <c r="G19" s="3401"/>
      <c r="M19" s="2216"/>
      <c r="O19" s="2218"/>
    </row>
    <row r="20" spans="1:15" ht="17.25" hidden="1" customHeight="1" x14ac:dyDescent="0.25">
      <c r="A20" s="2223">
        <v>37165</v>
      </c>
      <c r="B20" s="2215">
        <v>0.1</v>
      </c>
      <c r="C20" s="2126">
        <v>0.46</v>
      </c>
      <c r="D20" s="2126">
        <v>0.56000000000000005</v>
      </c>
      <c r="E20" s="2126">
        <v>16.829999999999998</v>
      </c>
      <c r="F20" s="3400" t="s">
        <v>1569</v>
      </c>
      <c r="G20" s="3401"/>
      <c r="M20" s="2216"/>
      <c r="O20" s="2218"/>
    </row>
    <row r="21" spans="1:15" ht="17.25" hidden="1" customHeight="1" x14ac:dyDescent="0.25">
      <c r="A21" s="2223">
        <v>37196</v>
      </c>
      <c r="B21" s="2215">
        <v>0</v>
      </c>
      <c r="C21" s="2126">
        <v>0</v>
      </c>
      <c r="D21" s="2126" t="s">
        <v>1570</v>
      </c>
      <c r="E21" s="2126">
        <v>5.18</v>
      </c>
      <c r="F21" s="3400" t="s">
        <v>1571</v>
      </c>
      <c r="G21" s="3401"/>
      <c r="M21" s="2216"/>
      <c r="O21" s="2218"/>
    </row>
    <row r="22" spans="1:15" ht="17.25" hidden="1" customHeight="1" x14ac:dyDescent="0.25">
      <c r="A22" s="2223">
        <v>37226</v>
      </c>
      <c r="B22" s="2215">
        <v>0.3</v>
      </c>
      <c r="C22" s="2126">
        <v>0.06</v>
      </c>
      <c r="D22" s="2126" t="s">
        <v>1572</v>
      </c>
      <c r="E22" s="2126">
        <v>19.14</v>
      </c>
      <c r="F22" s="3400" t="s">
        <v>1573</v>
      </c>
      <c r="G22" s="3401"/>
      <c r="M22" s="2216"/>
      <c r="O22" s="2218"/>
    </row>
    <row r="23" spans="1:15" ht="17.25" hidden="1" customHeight="1" x14ac:dyDescent="0.25">
      <c r="A23" s="2223">
        <v>37530</v>
      </c>
      <c r="B23" s="2215">
        <v>3.89</v>
      </c>
      <c r="C23" s="2126">
        <v>0</v>
      </c>
      <c r="D23" s="2224" t="s">
        <v>1574</v>
      </c>
      <c r="E23" s="2224">
        <v>115.74</v>
      </c>
      <c r="F23" s="3402" t="s">
        <v>1575</v>
      </c>
      <c r="G23" s="3403"/>
      <c r="H23" s="632"/>
      <c r="M23" s="2216"/>
      <c r="O23" s="2218"/>
    </row>
    <row r="24" spans="1:15" ht="17.25" hidden="1" customHeight="1" x14ac:dyDescent="0.25">
      <c r="A24" s="2223">
        <v>37895</v>
      </c>
      <c r="B24" s="2215">
        <v>1.75</v>
      </c>
      <c r="C24" s="2126">
        <v>1.99</v>
      </c>
      <c r="D24" s="2126" t="s">
        <v>1576</v>
      </c>
      <c r="E24" s="2126">
        <v>106.74</v>
      </c>
      <c r="F24" s="3400" t="s">
        <v>1577</v>
      </c>
      <c r="G24" s="3401"/>
      <c r="M24" s="2216"/>
      <c r="O24" s="2218"/>
    </row>
    <row r="25" spans="1:15" ht="17.25" hidden="1" customHeight="1" thickBot="1" x14ac:dyDescent="0.3">
      <c r="A25" s="2223">
        <v>38534</v>
      </c>
      <c r="B25" s="2215">
        <v>2.0299999999999998</v>
      </c>
      <c r="C25" s="2126">
        <v>1</v>
      </c>
      <c r="D25" s="2126" t="s">
        <v>1578</v>
      </c>
      <c r="E25" s="2126">
        <v>100.76</v>
      </c>
      <c r="F25" s="3400" t="s">
        <v>1579</v>
      </c>
      <c r="G25" s="3401"/>
      <c r="M25" s="2216"/>
      <c r="O25" s="2218"/>
    </row>
    <row r="26" spans="1:15" ht="17.25" hidden="1" customHeight="1" thickTop="1" x14ac:dyDescent="0.25">
      <c r="A26" s="2225">
        <v>38596</v>
      </c>
      <c r="B26" s="2215">
        <v>5.1100000000000003</v>
      </c>
      <c r="C26" s="2126">
        <v>0.66</v>
      </c>
      <c r="D26" s="2126" t="s">
        <v>1580</v>
      </c>
      <c r="E26" s="2126">
        <v>210.7</v>
      </c>
      <c r="F26" s="3400" t="s">
        <v>1581</v>
      </c>
      <c r="G26" s="3401"/>
      <c r="M26" s="2216"/>
      <c r="O26" s="2218"/>
    </row>
    <row r="27" spans="1:15" ht="17.25" hidden="1" customHeight="1" x14ac:dyDescent="0.25">
      <c r="A27" s="2223">
        <v>38626</v>
      </c>
      <c r="B27" s="2215"/>
      <c r="C27" s="2126"/>
      <c r="D27" s="2126"/>
      <c r="E27" s="2126"/>
      <c r="F27" s="2226"/>
      <c r="G27" s="2227"/>
      <c r="M27" s="2216"/>
      <c r="O27" s="2218"/>
    </row>
    <row r="28" spans="1:15" ht="17.25" hidden="1" customHeight="1" x14ac:dyDescent="0.25">
      <c r="A28" s="2223">
        <v>38657</v>
      </c>
      <c r="B28" s="2215">
        <v>0.4</v>
      </c>
      <c r="C28" s="2126">
        <v>1.36</v>
      </c>
      <c r="D28" s="2126" t="s">
        <v>1582</v>
      </c>
      <c r="E28" s="2126">
        <v>68.89</v>
      </c>
      <c r="F28" s="3400" t="s">
        <v>1583</v>
      </c>
      <c r="G28" s="3401"/>
      <c r="M28" s="2216"/>
      <c r="O28" s="2218"/>
    </row>
    <row r="29" spans="1:15" ht="17.25" hidden="1" customHeight="1" x14ac:dyDescent="0.25">
      <c r="A29" s="2223">
        <v>38687</v>
      </c>
      <c r="B29" s="2215">
        <v>5.91</v>
      </c>
      <c r="C29" s="2126">
        <v>0.7</v>
      </c>
      <c r="D29" s="2126" t="s">
        <v>1584</v>
      </c>
      <c r="E29" s="2126">
        <v>540.69000000000005</v>
      </c>
      <c r="F29" s="3400" t="s">
        <v>1585</v>
      </c>
      <c r="G29" s="3401"/>
      <c r="M29" s="2216"/>
      <c r="O29" s="2218"/>
    </row>
    <row r="30" spans="1:15" ht="17.25" hidden="1" customHeight="1" x14ac:dyDescent="0.25">
      <c r="A30" s="2223">
        <v>38718</v>
      </c>
      <c r="B30" s="2215">
        <v>1.66</v>
      </c>
      <c r="C30" s="2126">
        <v>1.57</v>
      </c>
      <c r="D30" s="2126" t="s">
        <v>1586</v>
      </c>
      <c r="E30" s="2126">
        <v>148.76</v>
      </c>
      <c r="F30" s="3400" t="s">
        <v>1587</v>
      </c>
      <c r="G30" s="3401"/>
      <c r="M30" s="2216"/>
      <c r="O30" s="2218"/>
    </row>
    <row r="31" spans="1:15" ht="17.25" hidden="1" customHeight="1" x14ac:dyDescent="0.25">
      <c r="A31" s="2223">
        <v>38749</v>
      </c>
      <c r="B31" s="2215">
        <v>0.17</v>
      </c>
      <c r="C31" s="2126">
        <v>0.26</v>
      </c>
      <c r="D31" s="2126" t="s">
        <v>1588</v>
      </c>
      <c r="E31" s="2126">
        <v>53.89</v>
      </c>
      <c r="F31" s="3400" t="s">
        <v>1589</v>
      </c>
      <c r="G31" s="3401"/>
      <c r="M31" s="2216"/>
      <c r="O31" s="2218"/>
    </row>
    <row r="32" spans="1:15" ht="17.25" hidden="1" customHeight="1" x14ac:dyDescent="0.25">
      <c r="A32" s="2223">
        <v>38777</v>
      </c>
      <c r="B32" s="2215">
        <v>0.36</v>
      </c>
      <c r="C32" s="2126">
        <v>0.67</v>
      </c>
      <c r="D32" s="2126" t="s">
        <v>1590</v>
      </c>
      <c r="E32" s="2126">
        <v>414.24</v>
      </c>
      <c r="F32" s="3400" t="s">
        <v>1591</v>
      </c>
      <c r="G32" s="3401"/>
      <c r="M32" s="2216"/>
      <c r="O32" s="2218"/>
    </row>
    <row r="33" spans="1:15" ht="17.25" hidden="1" customHeight="1" x14ac:dyDescent="0.25">
      <c r="A33" s="2223">
        <v>38808</v>
      </c>
      <c r="B33" s="2215">
        <v>0.74</v>
      </c>
      <c r="C33" s="2126">
        <v>0.25</v>
      </c>
      <c r="D33" s="2126" t="s">
        <v>1592</v>
      </c>
      <c r="E33" s="2126">
        <v>116.01</v>
      </c>
      <c r="F33" s="3400" t="s">
        <v>1593</v>
      </c>
      <c r="G33" s="3401"/>
      <c r="M33" s="2216"/>
      <c r="O33" s="2218"/>
    </row>
    <row r="34" spans="1:15" ht="17.25" hidden="1" customHeight="1" x14ac:dyDescent="0.25">
      <c r="A34" s="2223">
        <v>38838</v>
      </c>
      <c r="B34" s="2215">
        <v>0.23</v>
      </c>
      <c r="C34" s="2126">
        <v>0.94</v>
      </c>
      <c r="D34" s="2126" t="s">
        <v>1594</v>
      </c>
      <c r="E34" s="2126">
        <v>50.61</v>
      </c>
      <c r="F34" s="3396">
        <v>30.922499999999999</v>
      </c>
      <c r="G34" s="3397"/>
      <c r="M34" s="2216"/>
      <c r="O34" s="2218"/>
    </row>
    <row r="35" spans="1:15" ht="17.25" hidden="1" customHeight="1" x14ac:dyDescent="0.25">
      <c r="A35" s="2223">
        <v>38869</v>
      </c>
      <c r="B35" s="2215">
        <v>0.49</v>
      </c>
      <c r="C35" s="2126">
        <v>0.76</v>
      </c>
      <c r="D35" s="2126" t="s">
        <v>1595</v>
      </c>
      <c r="E35" s="2126">
        <v>52.15</v>
      </c>
      <c r="F35" s="3396" t="s">
        <v>1596</v>
      </c>
      <c r="G35" s="3397"/>
      <c r="M35" s="2216"/>
      <c r="O35" s="2218"/>
    </row>
    <row r="36" spans="1:15" ht="17.25" hidden="1" customHeight="1" x14ac:dyDescent="0.25">
      <c r="A36" s="2223">
        <v>38899</v>
      </c>
      <c r="B36" s="2215">
        <v>0.44</v>
      </c>
      <c r="C36" s="2126">
        <v>4.05</v>
      </c>
      <c r="D36" s="2126" t="s">
        <v>1597</v>
      </c>
      <c r="E36" s="2126">
        <v>155.75</v>
      </c>
      <c r="F36" s="3396" t="s">
        <v>1598</v>
      </c>
      <c r="G36" s="3397"/>
      <c r="M36" s="2216"/>
      <c r="O36" s="2218"/>
    </row>
    <row r="37" spans="1:15" ht="17.25" hidden="1" customHeight="1" x14ac:dyDescent="0.25">
      <c r="A37" s="2223">
        <v>38930</v>
      </c>
      <c r="B37" s="2215">
        <v>1.01</v>
      </c>
      <c r="C37" s="2126">
        <v>2.2000000000000002</v>
      </c>
      <c r="D37" s="2126" t="s">
        <v>1599</v>
      </c>
      <c r="E37" s="2126">
        <v>115.01</v>
      </c>
      <c r="F37" s="3396" t="s">
        <v>1600</v>
      </c>
      <c r="G37" s="3397"/>
      <c r="M37" s="2216"/>
      <c r="O37" s="2218"/>
    </row>
    <row r="38" spans="1:15" ht="17.25" hidden="1" customHeight="1" x14ac:dyDescent="0.25">
      <c r="A38" s="2223">
        <v>38961</v>
      </c>
      <c r="B38" s="2215">
        <v>1.93</v>
      </c>
      <c r="C38" s="2126">
        <v>2.31</v>
      </c>
      <c r="D38" s="2126" t="s">
        <v>1601</v>
      </c>
      <c r="E38" s="2126">
        <v>456.78</v>
      </c>
      <c r="F38" s="3396" t="s">
        <v>1602</v>
      </c>
      <c r="G38" s="3397"/>
      <c r="M38" s="2216"/>
      <c r="O38" s="2218"/>
    </row>
    <row r="39" spans="1:15" ht="17.25" hidden="1" customHeight="1" x14ac:dyDescent="0.25">
      <c r="A39" s="2223">
        <v>38991</v>
      </c>
      <c r="B39" s="2215">
        <v>0.4</v>
      </c>
      <c r="C39" s="2126">
        <v>0.75</v>
      </c>
      <c r="D39" s="2126" t="s">
        <v>1603</v>
      </c>
      <c r="E39" s="2126">
        <v>49.98</v>
      </c>
      <c r="F39" s="3396" t="s">
        <v>1604</v>
      </c>
      <c r="G39" s="3397"/>
      <c r="M39" s="2216"/>
      <c r="O39" s="2218"/>
    </row>
    <row r="40" spans="1:15" ht="17.25" hidden="1" customHeight="1" x14ac:dyDescent="0.25">
      <c r="A40" s="2223">
        <v>39022</v>
      </c>
      <c r="B40" s="2215">
        <v>0.56000000000000005</v>
      </c>
      <c r="C40" s="2126">
        <v>1.94</v>
      </c>
      <c r="D40" s="2126" t="s">
        <v>1605</v>
      </c>
      <c r="E40" s="2126">
        <v>112.75</v>
      </c>
      <c r="F40" s="3396" t="s">
        <v>1606</v>
      </c>
      <c r="G40" s="3397"/>
      <c r="M40" s="2216"/>
      <c r="O40" s="2218"/>
    </row>
    <row r="41" spans="1:15" ht="17.25" hidden="1" customHeight="1" x14ac:dyDescent="0.25">
      <c r="A41" s="2223">
        <v>39052</v>
      </c>
      <c r="B41" s="2215">
        <v>0.5</v>
      </c>
      <c r="C41" s="2126">
        <v>1.61</v>
      </c>
      <c r="D41" s="2126" t="s">
        <v>1607</v>
      </c>
      <c r="E41" s="2126">
        <v>83.33</v>
      </c>
      <c r="F41" s="3396" t="s">
        <v>1608</v>
      </c>
      <c r="G41" s="3397"/>
      <c r="M41" s="2216"/>
      <c r="O41" s="2218"/>
    </row>
    <row r="42" spans="1:15" ht="17.25" hidden="1" customHeight="1" x14ac:dyDescent="0.25">
      <c r="A42" s="2223">
        <v>39083</v>
      </c>
      <c r="B42" s="2215">
        <v>0.25</v>
      </c>
      <c r="C42" s="2126">
        <v>0.81</v>
      </c>
      <c r="D42" s="2126" t="s">
        <v>1609</v>
      </c>
      <c r="E42" s="2126">
        <v>46.62</v>
      </c>
      <c r="F42" s="3396" t="s">
        <v>1610</v>
      </c>
      <c r="G42" s="3397"/>
      <c r="M42" s="2216"/>
      <c r="O42" s="2218"/>
    </row>
    <row r="43" spans="1:15" ht="17.25" hidden="1" customHeight="1" x14ac:dyDescent="0.25">
      <c r="A43" s="2223">
        <v>39114</v>
      </c>
      <c r="B43" s="2215">
        <v>16.86</v>
      </c>
      <c r="C43" s="2126">
        <v>2.95</v>
      </c>
      <c r="D43" s="2126" t="s">
        <v>1611</v>
      </c>
      <c r="E43" s="2126">
        <v>666.46</v>
      </c>
      <c r="F43" s="3396" t="s">
        <v>1612</v>
      </c>
      <c r="G43" s="3397"/>
      <c r="M43" s="2216"/>
      <c r="O43" s="2218"/>
    </row>
    <row r="44" spans="1:15" ht="17.25" hidden="1" customHeight="1" x14ac:dyDescent="0.25">
      <c r="A44" s="2223">
        <v>39142</v>
      </c>
      <c r="B44" s="2215">
        <v>4.4000000000000004</v>
      </c>
      <c r="C44" s="2126">
        <v>1.45</v>
      </c>
      <c r="D44" s="2126" t="s">
        <v>1613</v>
      </c>
      <c r="E44" s="2126">
        <v>226.42</v>
      </c>
      <c r="F44" s="3396" t="s">
        <v>1614</v>
      </c>
      <c r="G44" s="3397"/>
      <c r="M44" s="2216"/>
      <c r="O44" s="2218"/>
    </row>
    <row r="45" spans="1:15" ht="17.25" hidden="1" customHeight="1" x14ac:dyDescent="0.25">
      <c r="A45" s="2223">
        <v>39173</v>
      </c>
      <c r="B45" s="2215">
        <v>5.85</v>
      </c>
      <c r="C45" s="2126">
        <v>0.64</v>
      </c>
      <c r="D45" s="2126" t="s">
        <v>1615</v>
      </c>
      <c r="E45" s="2126">
        <v>244.12</v>
      </c>
      <c r="F45" s="3396" t="s">
        <v>1616</v>
      </c>
      <c r="G45" s="3397"/>
      <c r="M45" s="2216"/>
      <c r="O45" s="2218"/>
    </row>
    <row r="46" spans="1:15" ht="17.25" hidden="1" customHeight="1" x14ac:dyDescent="0.25">
      <c r="A46" s="2223">
        <v>39203</v>
      </c>
      <c r="B46" s="2215">
        <v>8.9600000000000009</v>
      </c>
      <c r="C46" s="2126">
        <v>1.31</v>
      </c>
      <c r="D46" s="2126" t="s">
        <v>1617</v>
      </c>
      <c r="E46" s="2126">
        <v>342.3</v>
      </c>
      <c r="F46" s="3396" t="s">
        <v>1618</v>
      </c>
      <c r="G46" s="3397"/>
      <c r="M46" s="2216"/>
      <c r="O46" s="2218"/>
    </row>
    <row r="47" spans="1:15" ht="17.25" hidden="1" customHeight="1" x14ac:dyDescent="0.25">
      <c r="A47" s="2223">
        <v>39234</v>
      </c>
      <c r="B47" s="2215">
        <v>4.5599999999999996</v>
      </c>
      <c r="C47" s="2126">
        <v>1.66</v>
      </c>
      <c r="D47" s="2126" t="s">
        <v>1619</v>
      </c>
      <c r="E47" s="2126">
        <v>209.69</v>
      </c>
      <c r="F47" s="3396" t="s">
        <v>1620</v>
      </c>
      <c r="G47" s="3397"/>
      <c r="M47" s="2216"/>
      <c r="O47" s="2218"/>
    </row>
    <row r="48" spans="1:15" ht="17.25" hidden="1" customHeight="1" x14ac:dyDescent="0.25">
      <c r="A48" s="2223">
        <v>39264</v>
      </c>
      <c r="B48" s="2215">
        <v>7.6</v>
      </c>
      <c r="C48" s="2126">
        <v>1.08</v>
      </c>
      <c r="D48" s="2126" t="s">
        <v>1621</v>
      </c>
      <c r="E48" s="2126">
        <v>288.64999999999998</v>
      </c>
      <c r="F48" s="3396" t="s">
        <v>1622</v>
      </c>
      <c r="G48" s="3397"/>
      <c r="M48" s="2216"/>
      <c r="O48" s="2218"/>
    </row>
    <row r="49" spans="1:15" ht="17.25" hidden="1" customHeight="1" x14ac:dyDescent="0.25">
      <c r="A49" s="2223">
        <v>39295</v>
      </c>
      <c r="B49" s="2215">
        <v>2.38</v>
      </c>
      <c r="C49" s="2126">
        <v>0.96</v>
      </c>
      <c r="D49" s="2126" t="s">
        <v>1623</v>
      </c>
      <c r="E49" s="2126">
        <v>124.61</v>
      </c>
      <c r="F49" s="3396" t="s">
        <v>1624</v>
      </c>
      <c r="G49" s="3397"/>
      <c r="M49" s="2216"/>
      <c r="O49" s="2218"/>
    </row>
    <row r="50" spans="1:15" ht="17.25" hidden="1" customHeight="1" x14ac:dyDescent="0.25">
      <c r="A50" s="2223">
        <v>39326</v>
      </c>
      <c r="B50" s="2215">
        <v>8.48</v>
      </c>
      <c r="C50" s="2126">
        <v>1.53</v>
      </c>
      <c r="D50" s="2126" t="s">
        <v>1625</v>
      </c>
      <c r="E50" s="2126">
        <v>335.52</v>
      </c>
      <c r="F50" s="3396" t="s">
        <v>1626</v>
      </c>
      <c r="G50" s="3397"/>
      <c r="M50" s="2216"/>
      <c r="O50" s="2218"/>
    </row>
    <row r="51" spans="1:15" ht="17.25" hidden="1" customHeight="1" x14ac:dyDescent="0.25">
      <c r="A51" s="2223">
        <v>39387</v>
      </c>
      <c r="B51" s="2215">
        <v>3.45</v>
      </c>
      <c r="C51" s="2126">
        <v>5.52</v>
      </c>
      <c r="D51" s="2126" t="s">
        <v>1627</v>
      </c>
      <c r="E51" s="2126">
        <v>290.58</v>
      </c>
      <c r="F51" s="3396" t="s">
        <v>1628</v>
      </c>
      <c r="G51" s="3397"/>
      <c r="M51" s="2216"/>
      <c r="O51" s="2218"/>
    </row>
    <row r="52" spans="1:15" ht="17.25" hidden="1" customHeight="1" x14ac:dyDescent="0.25">
      <c r="A52" s="2223">
        <v>39417</v>
      </c>
      <c r="B52" s="2215">
        <v>3.96</v>
      </c>
      <c r="C52" s="2126">
        <v>3.16</v>
      </c>
      <c r="D52" s="2126" t="s">
        <v>1629</v>
      </c>
      <c r="E52" s="2126">
        <v>264.17</v>
      </c>
      <c r="F52" s="3396" t="s">
        <v>1630</v>
      </c>
      <c r="G52" s="3397"/>
      <c r="M52" s="2216"/>
      <c r="O52" s="2218"/>
    </row>
    <row r="53" spans="1:15" ht="17.25" hidden="1" customHeight="1" x14ac:dyDescent="0.25">
      <c r="A53" s="2223">
        <v>39448</v>
      </c>
      <c r="B53" s="2215">
        <v>5.99</v>
      </c>
      <c r="C53" s="2126">
        <v>2.34</v>
      </c>
      <c r="D53" s="2126" t="s">
        <v>1631</v>
      </c>
      <c r="E53" s="2126">
        <v>274.18</v>
      </c>
      <c r="F53" s="3396" t="s">
        <v>1632</v>
      </c>
      <c r="G53" s="3397"/>
      <c r="M53" s="2216"/>
      <c r="O53" s="2218"/>
    </row>
    <row r="54" spans="1:15" ht="17.25" hidden="1" customHeight="1" x14ac:dyDescent="0.25">
      <c r="A54" s="2223">
        <v>39479</v>
      </c>
      <c r="B54" s="2215">
        <v>8.43</v>
      </c>
      <c r="C54" s="2126">
        <v>13.15</v>
      </c>
      <c r="D54" s="2126" t="s">
        <v>1633</v>
      </c>
      <c r="E54" s="2126">
        <v>665.18</v>
      </c>
      <c r="F54" s="3396" t="s">
        <v>1634</v>
      </c>
      <c r="G54" s="3397"/>
      <c r="M54" s="2216"/>
      <c r="O54" s="2218"/>
    </row>
    <row r="55" spans="1:15" ht="17.25" hidden="1" customHeight="1" x14ac:dyDescent="0.25">
      <c r="A55" s="2223">
        <v>39508</v>
      </c>
      <c r="B55" s="2215">
        <v>3.91</v>
      </c>
      <c r="C55" s="2126">
        <v>18.399999999999999</v>
      </c>
      <c r="D55" s="2126" t="s">
        <v>1635</v>
      </c>
      <c r="E55" s="2126">
        <v>621.45000000000005</v>
      </c>
      <c r="F55" s="3396" t="s">
        <v>1636</v>
      </c>
      <c r="G55" s="3397"/>
      <c r="M55" s="2216"/>
      <c r="O55" s="2218"/>
    </row>
    <row r="56" spans="1:15" ht="17.25" hidden="1" customHeight="1" x14ac:dyDescent="0.25">
      <c r="A56" s="2223">
        <v>39539</v>
      </c>
      <c r="B56" s="2215">
        <v>4.55</v>
      </c>
      <c r="C56" s="2126">
        <v>6.63</v>
      </c>
      <c r="D56" s="2126" t="s">
        <v>1637</v>
      </c>
      <c r="E56" s="2126">
        <v>354.72</v>
      </c>
      <c r="F56" s="3396" t="s">
        <v>1638</v>
      </c>
      <c r="G56" s="3397"/>
      <c r="M56" s="2216"/>
      <c r="O56" s="2218"/>
    </row>
    <row r="57" spans="1:15" ht="17.25" hidden="1" customHeight="1" x14ac:dyDescent="0.25">
      <c r="A57" s="2223">
        <v>39569</v>
      </c>
      <c r="B57" s="2215">
        <v>11.79</v>
      </c>
      <c r="C57" s="2126">
        <v>7.15</v>
      </c>
      <c r="D57" s="2126" t="s">
        <v>1639</v>
      </c>
      <c r="E57" s="2126">
        <v>567.78</v>
      </c>
      <c r="F57" s="3396" t="s">
        <v>1640</v>
      </c>
      <c r="G57" s="3397"/>
      <c r="M57" s="2216"/>
      <c r="O57" s="2218"/>
    </row>
    <row r="58" spans="1:15" ht="17.25" hidden="1" customHeight="1" x14ac:dyDescent="0.25">
      <c r="A58" s="2223">
        <v>39600</v>
      </c>
      <c r="B58" s="2215">
        <v>4.1100000000000003</v>
      </c>
      <c r="C58" s="2126">
        <v>16.68</v>
      </c>
      <c r="D58" s="2126" t="s">
        <v>1641</v>
      </c>
      <c r="E58" s="2126">
        <v>579.89</v>
      </c>
      <c r="F58" s="3396" t="s">
        <v>1642</v>
      </c>
      <c r="G58" s="3397"/>
      <c r="M58" s="2216"/>
      <c r="O58" s="2218"/>
    </row>
    <row r="59" spans="1:15" ht="17.25" hidden="1" customHeight="1" x14ac:dyDescent="0.25">
      <c r="A59" s="2223">
        <v>39630</v>
      </c>
      <c r="B59" s="2215">
        <v>5.43</v>
      </c>
      <c r="C59" s="2126">
        <v>13.57</v>
      </c>
      <c r="D59" s="2126" t="s">
        <v>1643</v>
      </c>
      <c r="E59" s="2126">
        <v>537.29</v>
      </c>
      <c r="F59" s="3396" t="s">
        <v>1644</v>
      </c>
      <c r="G59" s="3397"/>
      <c r="M59" s="2216"/>
      <c r="O59" s="2218"/>
    </row>
    <row r="60" spans="1:15" ht="17.25" hidden="1" customHeight="1" x14ac:dyDescent="0.25">
      <c r="A60" s="2223">
        <v>39661</v>
      </c>
      <c r="B60" s="2215">
        <v>1.95</v>
      </c>
      <c r="C60" s="2126">
        <v>1.71</v>
      </c>
      <c r="D60" s="2126" t="s">
        <v>1645</v>
      </c>
      <c r="E60" s="2126">
        <v>165.77</v>
      </c>
      <c r="F60" s="3396" t="s">
        <v>1646</v>
      </c>
      <c r="G60" s="3397"/>
      <c r="M60" s="2216"/>
      <c r="O60" s="2218"/>
    </row>
    <row r="61" spans="1:15" ht="17.25" hidden="1" customHeight="1" x14ac:dyDescent="0.25">
      <c r="A61" s="2223">
        <v>39692</v>
      </c>
      <c r="B61" s="2215">
        <v>10.93</v>
      </c>
      <c r="C61" s="2126">
        <v>9.76</v>
      </c>
      <c r="D61" s="2126" t="s">
        <v>1647</v>
      </c>
      <c r="E61" s="2126">
        <v>669.09</v>
      </c>
      <c r="F61" s="3396" t="s">
        <v>1648</v>
      </c>
      <c r="G61" s="3397"/>
      <c r="M61" s="2216"/>
      <c r="O61" s="2218"/>
    </row>
    <row r="62" spans="1:15" ht="17.25" hidden="1" customHeight="1" x14ac:dyDescent="0.25">
      <c r="A62" s="2223">
        <v>39722</v>
      </c>
      <c r="B62" s="2215">
        <v>1.3</v>
      </c>
      <c r="C62" s="2126">
        <v>12.87</v>
      </c>
      <c r="D62" s="2126" t="s">
        <v>1649</v>
      </c>
      <c r="E62" s="2126">
        <v>464.44</v>
      </c>
      <c r="F62" s="3396" t="s">
        <v>1650</v>
      </c>
      <c r="G62" s="3397"/>
      <c r="M62" s="2216"/>
      <c r="O62" s="2218"/>
    </row>
    <row r="63" spans="1:15" ht="17.25" hidden="1" customHeight="1" x14ac:dyDescent="0.25">
      <c r="A63" s="2223">
        <v>39753</v>
      </c>
      <c r="B63" s="2215">
        <v>2.66</v>
      </c>
      <c r="C63" s="2126">
        <v>6.73</v>
      </c>
      <c r="D63" s="2126" t="s">
        <v>1651</v>
      </c>
      <c r="E63" s="2126">
        <v>326.2</v>
      </c>
      <c r="F63" s="3396" t="s">
        <v>1652</v>
      </c>
      <c r="G63" s="3397"/>
      <c r="M63" s="2216"/>
      <c r="O63" s="2218"/>
    </row>
    <row r="64" spans="1:15" ht="17.25" hidden="1" customHeight="1" x14ac:dyDescent="0.25">
      <c r="A64" s="2223">
        <v>39783</v>
      </c>
      <c r="B64" s="2215">
        <v>4.08</v>
      </c>
      <c r="C64" s="2126">
        <v>11.7</v>
      </c>
      <c r="D64" s="2126" t="s">
        <v>1653</v>
      </c>
      <c r="E64" s="2126">
        <v>558.11</v>
      </c>
      <c r="F64" s="3396" t="s">
        <v>1654</v>
      </c>
      <c r="G64" s="3397"/>
      <c r="M64" s="2216"/>
      <c r="O64" s="2218"/>
    </row>
    <row r="65" spans="1:15" ht="17.25" hidden="1" customHeight="1" x14ac:dyDescent="0.25">
      <c r="A65" s="2223">
        <v>39814</v>
      </c>
      <c r="B65" s="2215">
        <v>3.52</v>
      </c>
      <c r="C65" s="2126">
        <v>3.45</v>
      </c>
      <c r="D65" s="2126" t="s">
        <v>1655</v>
      </c>
      <c r="E65" s="2126">
        <v>261.17</v>
      </c>
      <c r="F65" s="3396" t="s">
        <v>1656</v>
      </c>
      <c r="G65" s="3397"/>
      <c r="M65" s="2216"/>
      <c r="O65" s="2218"/>
    </row>
    <row r="66" spans="1:15" ht="17.25" hidden="1" customHeight="1" x14ac:dyDescent="0.25">
      <c r="A66" s="2223">
        <v>39845</v>
      </c>
      <c r="B66" s="2215">
        <v>6.68</v>
      </c>
      <c r="C66" s="2126">
        <v>3.28</v>
      </c>
      <c r="D66" s="2126" t="s">
        <v>1657</v>
      </c>
      <c r="E66" s="2126">
        <v>437.05</v>
      </c>
      <c r="F66" s="3396" t="s">
        <v>1658</v>
      </c>
      <c r="G66" s="3397"/>
      <c r="M66" s="2216"/>
      <c r="O66" s="2218"/>
    </row>
    <row r="67" spans="1:15" ht="17.25" hidden="1" customHeight="1" x14ac:dyDescent="0.25">
      <c r="A67" s="2223">
        <v>39873</v>
      </c>
      <c r="B67" s="2215">
        <v>4.8099999999999996</v>
      </c>
      <c r="C67" s="2126">
        <v>7.3</v>
      </c>
      <c r="D67" s="2126" t="s">
        <v>1659</v>
      </c>
      <c r="E67" s="2126">
        <v>488.8</v>
      </c>
      <c r="F67" s="3396" t="s">
        <v>1660</v>
      </c>
      <c r="G67" s="3397"/>
      <c r="M67" s="2216"/>
      <c r="O67" s="2218"/>
    </row>
    <row r="68" spans="1:15" ht="17.25" hidden="1" customHeight="1" x14ac:dyDescent="0.25">
      <c r="A68" s="2223">
        <v>39904</v>
      </c>
      <c r="B68" s="2215">
        <v>4.34</v>
      </c>
      <c r="C68" s="2126">
        <v>7.63</v>
      </c>
      <c r="D68" s="2126" t="s">
        <v>1661</v>
      </c>
      <c r="E68" s="2126">
        <v>429.09</v>
      </c>
      <c r="F68" s="3396" t="s">
        <v>1662</v>
      </c>
      <c r="G68" s="3397"/>
      <c r="M68" s="2216"/>
      <c r="O68" s="2218"/>
    </row>
    <row r="69" spans="1:15" ht="17.25" hidden="1" customHeight="1" x14ac:dyDescent="0.25">
      <c r="A69" s="2223">
        <v>39934</v>
      </c>
      <c r="B69" s="2215">
        <v>2.41</v>
      </c>
      <c r="C69" s="2126">
        <v>5.57</v>
      </c>
      <c r="D69" s="2126" t="s">
        <v>1663</v>
      </c>
      <c r="E69" s="2126">
        <v>304.04000000000002</v>
      </c>
      <c r="F69" s="3396" t="s">
        <v>1664</v>
      </c>
      <c r="G69" s="3397"/>
      <c r="M69" s="2216"/>
      <c r="O69" s="2218"/>
    </row>
    <row r="70" spans="1:15" ht="17.25" hidden="1" customHeight="1" x14ac:dyDescent="0.25">
      <c r="A70" s="2223">
        <v>39965</v>
      </c>
      <c r="B70" s="2215">
        <v>3.08</v>
      </c>
      <c r="C70" s="2126">
        <v>6.08</v>
      </c>
      <c r="D70" s="2126" t="s">
        <v>1665</v>
      </c>
      <c r="E70" s="2126">
        <v>374.1</v>
      </c>
      <c r="F70" s="3396" t="s">
        <v>1666</v>
      </c>
      <c r="G70" s="3397"/>
      <c r="M70" s="2216"/>
      <c r="O70" s="2218"/>
    </row>
    <row r="71" spans="1:15" ht="17.25" hidden="1" customHeight="1" x14ac:dyDescent="0.25">
      <c r="A71" s="2223">
        <v>39995</v>
      </c>
      <c r="B71" s="2215">
        <v>3.62</v>
      </c>
      <c r="C71" s="2126">
        <v>3.56</v>
      </c>
      <c r="D71" s="2126" t="s">
        <v>1667</v>
      </c>
      <c r="E71" s="2126">
        <v>289.12</v>
      </c>
      <c r="F71" s="3396" t="s">
        <v>1668</v>
      </c>
      <c r="G71" s="3397"/>
      <c r="M71" s="2216"/>
      <c r="O71" s="2218"/>
    </row>
    <row r="72" spans="1:15" ht="17.25" hidden="1" customHeight="1" x14ac:dyDescent="0.25">
      <c r="A72" s="2223">
        <v>40026</v>
      </c>
      <c r="B72" s="2215">
        <v>6.85</v>
      </c>
      <c r="C72" s="2126">
        <v>1.93</v>
      </c>
      <c r="D72" s="2126" t="s">
        <v>1669</v>
      </c>
      <c r="E72" s="2126">
        <v>582.69000000000005</v>
      </c>
      <c r="F72" s="3396" t="s">
        <v>1670</v>
      </c>
      <c r="G72" s="3397"/>
      <c r="M72" s="2216"/>
      <c r="O72" s="2218"/>
    </row>
    <row r="73" spans="1:15" ht="17.25" hidden="1" customHeight="1" x14ac:dyDescent="0.25">
      <c r="A73" s="2223">
        <v>40057</v>
      </c>
      <c r="B73" s="2215">
        <v>22.08</v>
      </c>
      <c r="C73" s="2126">
        <v>1.18</v>
      </c>
      <c r="D73" s="2126" t="s">
        <v>1671</v>
      </c>
      <c r="E73" s="2114">
        <v>1111.92</v>
      </c>
      <c r="F73" s="3396" t="s">
        <v>1672</v>
      </c>
      <c r="G73" s="3397"/>
      <c r="M73" s="2216"/>
      <c r="O73" s="2218"/>
    </row>
    <row r="74" spans="1:15" ht="17.25" hidden="1" customHeight="1" x14ac:dyDescent="0.25">
      <c r="A74" s="2223">
        <v>40087</v>
      </c>
      <c r="B74" s="2215">
        <v>24.84</v>
      </c>
      <c r="C74" s="2126">
        <v>6.38</v>
      </c>
      <c r="D74" s="2126" t="s">
        <v>1673</v>
      </c>
      <c r="E74" s="2114">
        <v>1261</v>
      </c>
      <c r="F74" s="3396" t="s">
        <v>1674</v>
      </c>
      <c r="G74" s="3397"/>
      <c r="M74" s="2216"/>
      <c r="O74" s="2218"/>
    </row>
    <row r="75" spans="1:15" ht="17.25" hidden="1" customHeight="1" x14ac:dyDescent="0.25">
      <c r="A75" s="2223">
        <v>40118</v>
      </c>
      <c r="B75" s="2215">
        <v>21.1</v>
      </c>
      <c r="C75" s="2126">
        <v>3.05</v>
      </c>
      <c r="D75" s="2126" t="s">
        <v>1675</v>
      </c>
      <c r="E75" s="2114">
        <v>1456.85</v>
      </c>
      <c r="F75" s="3396" t="s">
        <v>1676</v>
      </c>
      <c r="G75" s="3397"/>
      <c r="M75" s="2216"/>
      <c r="O75" s="2218"/>
    </row>
    <row r="76" spans="1:15" ht="17.25" hidden="1" customHeight="1" x14ac:dyDescent="0.25">
      <c r="A76" s="2223">
        <v>40148</v>
      </c>
      <c r="B76" s="2215">
        <v>11.45</v>
      </c>
      <c r="C76" s="2126">
        <v>4</v>
      </c>
      <c r="D76" s="2126" t="s">
        <v>1677</v>
      </c>
      <c r="E76" s="2114">
        <v>1080.6500000000001</v>
      </c>
      <c r="F76" s="3396" t="s">
        <v>1678</v>
      </c>
      <c r="G76" s="3397"/>
      <c r="M76" s="2216"/>
      <c r="O76" s="2218"/>
    </row>
    <row r="77" spans="1:15" ht="17.25" hidden="1" customHeight="1" x14ac:dyDescent="0.25">
      <c r="A77" s="2223">
        <v>40179</v>
      </c>
      <c r="B77" s="2215">
        <v>27.21</v>
      </c>
      <c r="C77" s="2126">
        <v>3.38</v>
      </c>
      <c r="D77" s="2126" t="s">
        <v>1679</v>
      </c>
      <c r="E77" s="2114">
        <v>1222.32</v>
      </c>
      <c r="F77" s="3396" t="s">
        <v>1680</v>
      </c>
      <c r="G77" s="3397"/>
      <c r="M77" s="2216"/>
      <c r="O77" s="2218"/>
    </row>
    <row r="78" spans="1:15" ht="17.25" hidden="1" customHeight="1" x14ac:dyDescent="0.25">
      <c r="A78" s="2223">
        <v>40210</v>
      </c>
      <c r="B78" s="2215">
        <v>19.239999999999998</v>
      </c>
      <c r="C78" s="2126">
        <v>3.63</v>
      </c>
      <c r="D78" s="2126" t="s">
        <v>1681</v>
      </c>
      <c r="E78" s="2114">
        <v>951.84</v>
      </c>
      <c r="F78" s="3396" t="s">
        <v>1682</v>
      </c>
      <c r="G78" s="3397"/>
      <c r="M78" s="2216"/>
      <c r="O78" s="2218"/>
    </row>
    <row r="79" spans="1:15" ht="17.25" hidden="1" customHeight="1" x14ac:dyDescent="0.25">
      <c r="A79" s="2223">
        <v>40238</v>
      </c>
      <c r="B79" s="2215">
        <v>23.2</v>
      </c>
      <c r="C79" s="2126">
        <v>12.02</v>
      </c>
      <c r="D79" s="2126" t="s">
        <v>1683</v>
      </c>
      <c r="E79" s="2114">
        <v>1425.47</v>
      </c>
      <c r="F79" s="3396" t="s">
        <v>1684</v>
      </c>
      <c r="G79" s="3397"/>
      <c r="M79" s="2216"/>
      <c r="O79" s="2218"/>
    </row>
    <row r="80" spans="1:15" ht="17.25" hidden="1" customHeight="1" x14ac:dyDescent="0.25">
      <c r="A80" s="2223">
        <v>40269</v>
      </c>
      <c r="B80" s="2215">
        <v>16.72</v>
      </c>
      <c r="C80" s="2126">
        <v>8</v>
      </c>
      <c r="D80" s="2126" t="s">
        <v>1685</v>
      </c>
      <c r="E80" s="2114">
        <v>947.83</v>
      </c>
      <c r="F80" s="3396" t="s">
        <v>1686</v>
      </c>
      <c r="G80" s="3397"/>
      <c r="M80" s="2216"/>
      <c r="O80" s="2218"/>
    </row>
    <row r="81" spans="1:15" ht="17.25" hidden="1" customHeight="1" x14ac:dyDescent="0.25">
      <c r="A81" s="2223">
        <v>40299</v>
      </c>
      <c r="B81" s="2215">
        <v>18.41</v>
      </c>
      <c r="C81" s="2126">
        <v>12.21</v>
      </c>
      <c r="D81" s="2126" t="s">
        <v>1687</v>
      </c>
      <c r="E81" s="2114">
        <v>1336.56</v>
      </c>
      <c r="F81" s="3396" t="s">
        <v>1688</v>
      </c>
      <c r="G81" s="3397"/>
      <c r="M81" s="2216"/>
      <c r="O81" s="2218"/>
    </row>
    <row r="82" spans="1:15" ht="17.25" hidden="1" customHeight="1" x14ac:dyDescent="0.25">
      <c r="A82" s="2223">
        <v>40330</v>
      </c>
      <c r="B82" s="2215">
        <v>21.85</v>
      </c>
      <c r="C82" s="2126">
        <v>9.68</v>
      </c>
      <c r="D82" s="2126" t="s">
        <v>1689</v>
      </c>
      <c r="E82" s="2114">
        <v>1227.8</v>
      </c>
      <c r="F82" s="3396" t="s">
        <v>1690</v>
      </c>
      <c r="G82" s="3397"/>
      <c r="M82" s="2216"/>
      <c r="O82" s="2218"/>
    </row>
    <row r="83" spans="1:15" ht="17.25" hidden="1" customHeight="1" x14ac:dyDescent="0.25">
      <c r="A83" s="2223">
        <v>40360</v>
      </c>
      <c r="B83" s="2215">
        <v>16.600000000000001</v>
      </c>
      <c r="C83" s="2126">
        <v>28.12</v>
      </c>
      <c r="D83" s="2126" t="s">
        <v>1691</v>
      </c>
      <c r="E83" s="2114">
        <v>1714.26</v>
      </c>
      <c r="F83" s="3396" t="s">
        <v>1692</v>
      </c>
      <c r="G83" s="3397"/>
      <c r="M83" s="2216"/>
      <c r="O83" s="2218"/>
    </row>
    <row r="84" spans="1:15" ht="17.25" hidden="1" customHeight="1" x14ac:dyDescent="0.25">
      <c r="A84" s="2223">
        <v>40391</v>
      </c>
      <c r="B84" s="2215">
        <v>13.24</v>
      </c>
      <c r="C84" s="2126">
        <v>11.83</v>
      </c>
      <c r="D84" s="2126" t="s">
        <v>1693</v>
      </c>
      <c r="E84" s="2114">
        <v>939.88</v>
      </c>
      <c r="F84" s="3396" t="s">
        <v>1694</v>
      </c>
      <c r="G84" s="3397"/>
      <c r="M84" s="2216"/>
      <c r="O84" s="2218"/>
    </row>
    <row r="85" spans="1:15" ht="17.25" hidden="1" customHeight="1" x14ac:dyDescent="0.25">
      <c r="A85" s="2223">
        <v>40422</v>
      </c>
      <c r="B85" s="2215">
        <v>20.89</v>
      </c>
      <c r="C85" s="2126">
        <v>6.03</v>
      </c>
      <c r="D85" s="2126" t="s">
        <v>1695</v>
      </c>
      <c r="E85" s="2114">
        <v>1097.56</v>
      </c>
      <c r="F85" s="3396" t="s">
        <v>1696</v>
      </c>
      <c r="G85" s="3397"/>
      <c r="M85" s="2216"/>
      <c r="O85" s="2218"/>
    </row>
    <row r="86" spans="1:15" ht="17.25" hidden="1" customHeight="1" x14ac:dyDescent="0.25">
      <c r="A86" s="2223">
        <v>40452</v>
      </c>
      <c r="B86" s="2215">
        <v>18.71</v>
      </c>
      <c r="C86" s="2126">
        <v>5.26</v>
      </c>
      <c r="D86" s="2126" t="s">
        <v>1697</v>
      </c>
      <c r="E86" s="2114">
        <v>1046.9100000000001</v>
      </c>
      <c r="F86" s="3396" t="s">
        <v>1698</v>
      </c>
      <c r="G86" s="3397"/>
      <c r="M86" s="2216"/>
      <c r="O86" s="2218"/>
    </row>
    <row r="87" spans="1:15" ht="17.25" hidden="1" customHeight="1" x14ac:dyDescent="0.25">
      <c r="A87" s="2223">
        <v>40483</v>
      </c>
      <c r="B87" s="2215">
        <v>29.44</v>
      </c>
      <c r="C87" s="2126">
        <v>5.84</v>
      </c>
      <c r="D87" s="2126" t="s">
        <v>1699</v>
      </c>
      <c r="E87" s="2114">
        <v>1280.3800000000001</v>
      </c>
      <c r="F87" s="3396" t="s">
        <v>1700</v>
      </c>
      <c r="G87" s="3397"/>
      <c r="M87" s="2216"/>
      <c r="O87" s="2218"/>
    </row>
    <row r="88" spans="1:15" ht="17.25" hidden="1" customHeight="1" x14ac:dyDescent="0.25">
      <c r="A88" s="2223">
        <v>40513</v>
      </c>
      <c r="B88" s="2215">
        <v>35.69</v>
      </c>
      <c r="C88" s="2126">
        <v>5.16</v>
      </c>
      <c r="D88" s="2126" t="s">
        <v>1701</v>
      </c>
      <c r="E88" s="2114">
        <v>1728.3</v>
      </c>
      <c r="F88" s="3396" t="s">
        <v>1702</v>
      </c>
      <c r="G88" s="3397"/>
      <c r="M88" s="2216"/>
      <c r="O88" s="2218"/>
    </row>
    <row r="89" spans="1:15" ht="17.25" hidden="1" customHeight="1" x14ac:dyDescent="0.25">
      <c r="A89" s="2223">
        <v>40544</v>
      </c>
      <c r="B89" s="2215">
        <v>23.73</v>
      </c>
      <c r="C89" s="2126">
        <v>7.69</v>
      </c>
      <c r="D89" s="2126" t="s">
        <v>1703</v>
      </c>
      <c r="E89" s="2114">
        <v>1204.47</v>
      </c>
      <c r="F89" s="3396" t="s">
        <v>1704</v>
      </c>
      <c r="G89" s="3397"/>
      <c r="M89" s="2216"/>
      <c r="O89" s="2218"/>
    </row>
    <row r="90" spans="1:15" ht="17.25" hidden="1" customHeight="1" x14ac:dyDescent="0.25">
      <c r="A90" s="2223">
        <v>40575</v>
      </c>
      <c r="B90" s="2215">
        <v>24.14</v>
      </c>
      <c r="C90" s="2126">
        <v>6.37</v>
      </c>
      <c r="D90" s="2126" t="s">
        <v>1705</v>
      </c>
      <c r="E90" s="2114">
        <v>1096.3599999999999</v>
      </c>
      <c r="F90" s="3396" t="s">
        <v>1706</v>
      </c>
      <c r="G90" s="3397"/>
      <c r="M90" s="2216"/>
      <c r="O90" s="2218"/>
    </row>
    <row r="91" spans="1:15" ht="17.25" hidden="1" customHeight="1" x14ac:dyDescent="0.25">
      <c r="A91" s="2223">
        <v>40603</v>
      </c>
      <c r="B91" s="2215">
        <v>24.19</v>
      </c>
      <c r="C91" s="2126">
        <v>13.15</v>
      </c>
      <c r="D91" s="2126" t="s">
        <v>1707</v>
      </c>
      <c r="E91" s="2114">
        <v>1310.5</v>
      </c>
      <c r="F91" s="3396" t="s">
        <v>1708</v>
      </c>
      <c r="G91" s="3397"/>
      <c r="M91" s="2216"/>
      <c r="O91" s="2218"/>
    </row>
    <row r="92" spans="1:15" ht="17.25" hidden="1" customHeight="1" x14ac:dyDescent="0.25">
      <c r="A92" s="2223">
        <v>40634</v>
      </c>
      <c r="B92" s="2215">
        <v>21.19</v>
      </c>
      <c r="C92" s="2126">
        <v>6.92</v>
      </c>
      <c r="D92" s="2126" t="s">
        <v>1709</v>
      </c>
      <c r="E92" s="2114">
        <v>929.43</v>
      </c>
      <c r="F92" s="3396" t="s">
        <v>1710</v>
      </c>
      <c r="G92" s="3397"/>
      <c r="M92" s="2216"/>
      <c r="O92" s="2218"/>
    </row>
    <row r="93" spans="1:15" ht="17.25" hidden="1" customHeight="1" x14ac:dyDescent="0.25">
      <c r="A93" s="2223">
        <v>40664</v>
      </c>
      <c r="B93" s="2215">
        <v>23.22</v>
      </c>
      <c r="C93" s="2126">
        <v>7.6</v>
      </c>
      <c r="D93" s="2126" t="s">
        <v>1711</v>
      </c>
      <c r="E93" s="2114">
        <v>1014.25</v>
      </c>
      <c r="F93" s="3396" t="s">
        <v>1712</v>
      </c>
      <c r="G93" s="3397"/>
      <c r="M93" s="2216"/>
      <c r="O93" s="2218"/>
    </row>
    <row r="94" spans="1:15" ht="17.25" hidden="1" customHeight="1" x14ac:dyDescent="0.25">
      <c r="A94" s="2223">
        <v>40695</v>
      </c>
      <c r="B94" s="2215">
        <v>30.73</v>
      </c>
      <c r="C94" s="2126">
        <v>6.97</v>
      </c>
      <c r="D94" s="2126" t="s">
        <v>1713</v>
      </c>
      <c r="E94" s="2114">
        <v>1273.55</v>
      </c>
      <c r="F94" s="3396" t="s">
        <v>1714</v>
      </c>
      <c r="G94" s="3397"/>
      <c r="M94" s="2216"/>
      <c r="O94" s="2218"/>
    </row>
    <row r="95" spans="1:15" ht="17.25" hidden="1" customHeight="1" x14ac:dyDescent="0.25">
      <c r="A95" s="2223">
        <v>40725</v>
      </c>
      <c r="B95" s="2215">
        <v>24.62</v>
      </c>
      <c r="C95" s="2126">
        <v>14.9</v>
      </c>
      <c r="D95" s="2126" t="s">
        <v>1715</v>
      </c>
      <c r="E95" s="2114">
        <v>1280.47</v>
      </c>
      <c r="F95" s="3396" t="s">
        <v>1716</v>
      </c>
      <c r="G95" s="3397"/>
      <c r="M95" s="2216"/>
      <c r="O95" s="2218"/>
    </row>
    <row r="96" spans="1:15" ht="17.25" hidden="1" customHeight="1" x14ac:dyDescent="0.25">
      <c r="A96" s="2223">
        <v>40756</v>
      </c>
      <c r="B96" s="2215">
        <v>26.96</v>
      </c>
      <c r="C96" s="2126">
        <v>16.64</v>
      </c>
      <c r="D96" s="2126" t="s">
        <v>1717</v>
      </c>
      <c r="E96" s="2114">
        <v>1478.06</v>
      </c>
      <c r="F96" s="3396" t="s">
        <v>1718</v>
      </c>
      <c r="G96" s="3397"/>
      <c r="M96" s="2216"/>
      <c r="O96" s="2218"/>
    </row>
    <row r="97" spans="1:15" ht="17.25" hidden="1" customHeight="1" x14ac:dyDescent="0.25">
      <c r="A97" s="2223">
        <v>40787</v>
      </c>
      <c r="B97" s="2215">
        <v>41.07</v>
      </c>
      <c r="C97" s="2126">
        <v>20.440000000000001</v>
      </c>
      <c r="D97" s="2126" t="s">
        <v>1719</v>
      </c>
      <c r="E97" s="2114">
        <v>1888.03</v>
      </c>
      <c r="F97" s="3396" t="s">
        <v>1720</v>
      </c>
      <c r="G97" s="3397"/>
      <c r="M97" s="2216"/>
      <c r="O97" s="2218"/>
    </row>
    <row r="98" spans="1:15" ht="17.25" hidden="1" customHeight="1" x14ac:dyDescent="0.25">
      <c r="A98" s="2223">
        <v>40817</v>
      </c>
      <c r="B98" s="2215">
        <v>40.25</v>
      </c>
      <c r="C98" s="2126">
        <v>11.88</v>
      </c>
      <c r="D98" s="2126" t="s">
        <v>1721</v>
      </c>
      <c r="E98" s="2114">
        <v>1679.33</v>
      </c>
      <c r="F98" s="3396" t="s">
        <v>1722</v>
      </c>
      <c r="G98" s="3397"/>
      <c r="M98" s="2216"/>
      <c r="O98" s="2218"/>
    </row>
    <row r="99" spans="1:15" ht="17.25" hidden="1" customHeight="1" x14ac:dyDescent="0.25">
      <c r="A99" s="2223">
        <v>40848</v>
      </c>
      <c r="B99" s="2215">
        <v>26.19</v>
      </c>
      <c r="C99" s="2126">
        <v>13.3</v>
      </c>
      <c r="D99" s="2126" t="s">
        <v>1723</v>
      </c>
      <c r="E99" s="2114">
        <v>1310.44</v>
      </c>
      <c r="F99" s="3396" t="s">
        <v>1724</v>
      </c>
      <c r="G99" s="3397"/>
      <c r="M99" s="2216"/>
      <c r="O99" s="2218"/>
    </row>
    <row r="100" spans="1:15" ht="17.25" hidden="1" customHeight="1" x14ac:dyDescent="0.25">
      <c r="A100" s="2223">
        <v>40878</v>
      </c>
      <c r="B100" s="2215">
        <v>28.96</v>
      </c>
      <c r="C100" s="2126">
        <v>10.96</v>
      </c>
      <c r="D100" s="2126" t="s">
        <v>1725</v>
      </c>
      <c r="E100" s="2114">
        <v>1374.71</v>
      </c>
      <c r="F100" s="3396" t="s">
        <v>1726</v>
      </c>
      <c r="G100" s="3397"/>
      <c r="M100" s="2216"/>
      <c r="O100" s="2218"/>
    </row>
    <row r="101" spans="1:15" ht="17.25" hidden="1" customHeight="1" x14ac:dyDescent="0.25">
      <c r="A101" s="2223">
        <v>40909</v>
      </c>
      <c r="B101" s="2215">
        <v>43.62</v>
      </c>
      <c r="C101" s="2126">
        <v>11.42</v>
      </c>
      <c r="D101" s="2126" t="s">
        <v>1727</v>
      </c>
      <c r="E101" s="2114">
        <v>1757.35</v>
      </c>
      <c r="F101" s="3396" t="s">
        <v>1728</v>
      </c>
      <c r="G101" s="3397"/>
      <c r="M101" s="2216"/>
      <c r="O101" s="2218"/>
    </row>
    <row r="102" spans="1:15" ht="17.25" hidden="1" customHeight="1" x14ac:dyDescent="0.25">
      <c r="A102" s="2223">
        <v>40940</v>
      </c>
      <c r="B102" s="2215">
        <v>34.33</v>
      </c>
      <c r="C102" s="2126">
        <v>13.84</v>
      </c>
      <c r="D102" s="2126" t="s">
        <v>1729</v>
      </c>
      <c r="E102" s="2114">
        <v>1529.15</v>
      </c>
      <c r="F102" s="3396" t="s">
        <v>1730</v>
      </c>
      <c r="G102" s="3397"/>
      <c r="M102" s="2216"/>
      <c r="O102" s="2218"/>
    </row>
    <row r="103" spans="1:15" ht="17.25" hidden="1" customHeight="1" x14ac:dyDescent="0.25">
      <c r="A103" s="2223">
        <v>40969</v>
      </c>
      <c r="B103" s="2215">
        <v>36.18</v>
      </c>
      <c r="C103" s="2126">
        <v>10.08</v>
      </c>
      <c r="D103" s="2126">
        <v>51.65</v>
      </c>
      <c r="E103" s="2114">
        <v>1511.19</v>
      </c>
      <c r="F103" s="3396" t="s">
        <v>1731</v>
      </c>
      <c r="G103" s="3397"/>
      <c r="M103" s="2216"/>
      <c r="O103" s="2218"/>
    </row>
    <row r="104" spans="1:15" ht="17.25" hidden="1" customHeight="1" x14ac:dyDescent="0.25">
      <c r="A104" s="2223">
        <v>41000</v>
      </c>
      <c r="B104" s="2215">
        <v>43.08</v>
      </c>
      <c r="C104" s="2126">
        <v>11.34</v>
      </c>
      <c r="D104" s="2126">
        <v>58.45</v>
      </c>
      <c r="E104" s="2114">
        <v>1713.55</v>
      </c>
      <c r="F104" s="3396" t="s">
        <v>1732</v>
      </c>
      <c r="G104" s="3397"/>
      <c r="M104" s="2216"/>
      <c r="O104" s="2218"/>
    </row>
    <row r="105" spans="1:15" ht="17.25" hidden="1" customHeight="1" x14ac:dyDescent="0.25">
      <c r="A105" s="2223">
        <v>41030</v>
      </c>
      <c r="B105" s="2215">
        <v>25.34</v>
      </c>
      <c r="C105" s="2126">
        <v>8.5500000000000007</v>
      </c>
      <c r="D105" s="2126">
        <v>37.869999999999997</v>
      </c>
      <c r="E105" s="2114">
        <v>1124.6199999999999</v>
      </c>
      <c r="F105" s="3396" t="s">
        <v>1733</v>
      </c>
      <c r="G105" s="3397"/>
      <c r="M105" s="2216"/>
      <c r="O105" s="2218"/>
    </row>
    <row r="106" spans="1:15" ht="17.25" hidden="1" customHeight="1" x14ac:dyDescent="0.25">
      <c r="A106" s="2223">
        <v>41061</v>
      </c>
      <c r="B106" s="2215">
        <v>134.1</v>
      </c>
      <c r="C106" s="2126">
        <v>10.27</v>
      </c>
      <c r="D106" s="2126">
        <v>161.47999999999999</v>
      </c>
      <c r="E106" s="2114">
        <v>4958.6400000000003</v>
      </c>
      <c r="F106" s="3396" t="s">
        <v>1734</v>
      </c>
      <c r="G106" s="3397"/>
      <c r="M106" s="2216"/>
      <c r="O106" s="2218"/>
    </row>
    <row r="107" spans="1:15" ht="17.25" hidden="1" customHeight="1" x14ac:dyDescent="0.25">
      <c r="A107" s="2223">
        <v>41091</v>
      </c>
      <c r="B107" s="2215">
        <v>67.73</v>
      </c>
      <c r="C107" s="2126">
        <v>10.91</v>
      </c>
      <c r="D107" s="2126">
        <v>92.16</v>
      </c>
      <c r="E107" s="2114">
        <v>2888.91</v>
      </c>
      <c r="F107" s="3396" t="s">
        <v>1735</v>
      </c>
      <c r="G107" s="3397"/>
      <c r="M107" s="2216"/>
      <c r="O107" s="2218"/>
    </row>
    <row r="108" spans="1:15" ht="17.25" hidden="1" customHeight="1" x14ac:dyDescent="0.25">
      <c r="A108" s="2223">
        <v>41122</v>
      </c>
      <c r="B108" s="2215">
        <v>69.150000000000006</v>
      </c>
      <c r="C108" s="2126">
        <v>5.58</v>
      </c>
      <c r="D108" s="2126">
        <v>73.48</v>
      </c>
      <c r="E108" s="2114">
        <v>3172.96</v>
      </c>
      <c r="F108" s="3396" t="s">
        <v>1736</v>
      </c>
      <c r="G108" s="3397"/>
      <c r="M108" s="2216"/>
      <c r="O108" s="2218"/>
    </row>
    <row r="109" spans="1:15" ht="17.25" hidden="1" customHeight="1" x14ac:dyDescent="0.25">
      <c r="A109" s="2223">
        <v>41153</v>
      </c>
      <c r="B109" s="2215">
        <v>37.659999999999997</v>
      </c>
      <c r="C109" s="2126">
        <v>16.37</v>
      </c>
      <c r="D109" s="2126">
        <v>95.18</v>
      </c>
      <c r="E109" s="2114">
        <v>2899.88</v>
      </c>
      <c r="F109" s="3396" t="s">
        <v>1737</v>
      </c>
      <c r="G109" s="3397"/>
      <c r="M109" s="2216"/>
      <c r="O109" s="2218"/>
    </row>
    <row r="110" spans="1:15" ht="17.25" hidden="1" customHeight="1" x14ac:dyDescent="0.25">
      <c r="A110" s="2223">
        <v>41183</v>
      </c>
      <c r="B110" s="2215">
        <v>51.55</v>
      </c>
      <c r="C110" s="2126">
        <v>13.34</v>
      </c>
      <c r="D110" s="2126">
        <v>79.239999999999995</v>
      </c>
      <c r="E110" s="2114">
        <v>2457.33</v>
      </c>
      <c r="F110" s="3396" t="s">
        <v>1738</v>
      </c>
      <c r="G110" s="3397"/>
      <c r="M110" s="2216"/>
      <c r="O110" s="2218"/>
    </row>
    <row r="111" spans="1:15" ht="17.25" hidden="1" customHeight="1" x14ac:dyDescent="0.25">
      <c r="A111" s="2223">
        <v>41214</v>
      </c>
      <c r="B111" s="2215">
        <v>47.28</v>
      </c>
      <c r="C111" s="2126">
        <v>8.08</v>
      </c>
      <c r="D111" s="2126">
        <v>68.89</v>
      </c>
      <c r="E111" s="2114">
        <v>2150.52</v>
      </c>
      <c r="F111" s="3396" t="s">
        <v>1739</v>
      </c>
      <c r="G111" s="3397"/>
      <c r="M111" s="2216"/>
      <c r="O111" s="2218"/>
    </row>
    <row r="112" spans="1:15" ht="17.25" hidden="1" customHeight="1" x14ac:dyDescent="0.25">
      <c r="A112" s="2223">
        <v>41244</v>
      </c>
      <c r="B112" s="2215">
        <v>90.51</v>
      </c>
      <c r="C112" s="2126">
        <v>9.85</v>
      </c>
      <c r="D112" s="2126">
        <v>126.57</v>
      </c>
      <c r="E112" s="2114">
        <v>3910.75</v>
      </c>
      <c r="F112" s="3396" t="s">
        <v>1740</v>
      </c>
      <c r="G112" s="3397"/>
      <c r="M112" s="2216"/>
      <c r="O112" s="2218"/>
    </row>
    <row r="113" spans="1:15" ht="17.25" hidden="1" customHeight="1" x14ac:dyDescent="0.25">
      <c r="A113" s="2223">
        <v>41275</v>
      </c>
      <c r="B113" s="2215">
        <v>97.06</v>
      </c>
      <c r="C113" s="2126">
        <v>14.61</v>
      </c>
      <c r="D113" s="2126">
        <v>148.71</v>
      </c>
      <c r="E113" s="2114">
        <v>4557.99</v>
      </c>
      <c r="F113" s="3396" t="s">
        <v>1741</v>
      </c>
      <c r="G113" s="3397"/>
      <c r="M113" s="2216"/>
      <c r="O113" s="2218"/>
    </row>
    <row r="114" spans="1:15" ht="17.25" hidden="1" customHeight="1" x14ac:dyDescent="0.25">
      <c r="A114" s="2223">
        <v>41306</v>
      </c>
      <c r="B114" s="2215">
        <v>72.33</v>
      </c>
      <c r="C114" s="2126">
        <v>8.5</v>
      </c>
      <c r="D114" s="2126">
        <v>116.56</v>
      </c>
      <c r="E114" s="2114">
        <v>3580.41</v>
      </c>
      <c r="F114" s="3396" t="s">
        <v>1742</v>
      </c>
      <c r="G114" s="3397"/>
      <c r="M114" s="2216"/>
      <c r="O114" s="2218"/>
    </row>
    <row r="115" spans="1:15" ht="17.25" hidden="1" customHeight="1" x14ac:dyDescent="0.25">
      <c r="A115" s="2223">
        <v>41334</v>
      </c>
      <c r="B115" s="2215">
        <v>32.83</v>
      </c>
      <c r="C115" s="2126">
        <v>8.01</v>
      </c>
      <c r="D115" s="2126">
        <v>104.06</v>
      </c>
      <c r="E115" s="2114">
        <v>3245.21</v>
      </c>
      <c r="F115" s="3396" t="s">
        <v>1743</v>
      </c>
      <c r="G115" s="3397"/>
      <c r="M115" s="2216"/>
      <c r="O115" s="2218"/>
    </row>
    <row r="116" spans="1:15" ht="17.25" hidden="1" customHeight="1" x14ac:dyDescent="0.25">
      <c r="A116" s="2223">
        <v>41365</v>
      </c>
      <c r="B116" s="2215">
        <v>31.14</v>
      </c>
      <c r="C116" s="2126">
        <v>6.42</v>
      </c>
      <c r="D116" s="2126">
        <v>94.44</v>
      </c>
      <c r="E116" s="2114">
        <v>2949.84</v>
      </c>
      <c r="F116" s="3396" t="s">
        <v>1744</v>
      </c>
      <c r="G116" s="3397"/>
      <c r="M116" s="2216"/>
      <c r="O116" s="2218"/>
    </row>
    <row r="117" spans="1:15" ht="17.25" hidden="1" customHeight="1" x14ac:dyDescent="0.25">
      <c r="A117" s="2223">
        <v>41395</v>
      </c>
      <c r="B117" s="2215">
        <v>37.270000000000003</v>
      </c>
      <c r="C117" s="2126">
        <v>8.11</v>
      </c>
      <c r="D117" s="2126">
        <v>67.290000000000006</v>
      </c>
      <c r="E117" s="2114">
        <v>3522.92</v>
      </c>
      <c r="F117" s="3396" t="s">
        <v>1745</v>
      </c>
      <c r="G117" s="3397"/>
      <c r="M117" s="2216"/>
      <c r="O117" s="2218"/>
    </row>
    <row r="118" spans="1:15" ht="17.25" hidden="1" customHeight="1" x14ac:dyDescent="0.25">
      <c r="A118" s="2223">
        <v>41426</v>
      </c>
      <c r="B118" s="2215">
        <v>24.57</v>
      </c>
      <c r="C118" s="2126">
        <v>6.94</v>
      </c>
      <c r="D118" s="2126">
        <v>78.48</v>
      </c>
      <c r="E118" s="2114">
        <v>2440.63</v>
      </c>
      <c r="F118" s="3396" t="s">
        <v>1746</v>
      </c>
      <c r="G118" s="3397"/>
      <c r="M118" s="2216"/>
      <c r="O118" s="2218"/>
    </row>
    <row r="119" spans="1:15" ht="17.25" hidden="1" customHeight="1" x14ac:dyDescent="0.25">
      <c r="A119" s="2223">
        <v>41456</v>
      </c>
      <c r="B119" s="2215">
        <v>38.03</v>
      </c>
      <c r="C119" s="2126">
        <v>10.35</v>
      </c>
      <c r="D119" s="2126">
        <v>120.38</v>
      </c>
      <c r="E119" s="2114">
        <v>3739.79</v>
      </c>
      <c r="F119" s="3396" t="s">
        <v>1747</v>
      </c>
      <c r="G119" s="3397"/>
      <c r="M119" s="2216"/>
      <c r="O119" s="2218"/>
    </row>
    <row r="120" spans="1:15" ht="17.25" hidden="1" customHeight="1" x14ac:dyDescent="0.25">
      <c r="A120" s="2223">
        <v>41487</v>
      </c>
      <c r="B120" s="2215">
        <v>24.08</v>
      </c>
      <c r="C120" s="2126">
        <v>6.38</v>
      </c>
      <c r="D120" s="2126">
        <v>48.17</v>
      </c>
      <c r="E120" s="2114">
        <v>1492.87</v>
      </c>
      <c r="F120" s="3396" t="s">
        <v>1748</v>
      </c>
      <c r="G120" s="3397"/>
      <c r="M120" s="2216"/>
      <c r="O120" s="2218"/>
    </row>
    <row r="121" spans="1:15" ht="17.25" hidden="1" customHeight="1" x14ac:dyDescent="0.25">
      <c r="A121" s="2223">
        <v>41518</v>
      </c>
      <c r="B121" s="2215">
        <v>23.82</v>
      </c>
      <c r="C121" s="2126">
        <v>8.5</v>
      </c>
      <c r="D121" s="2126">
        <v>41.91</v>
      </c>
      <c r="E121" s="2114">
        <v>1297.1099999999999</v>
      </c>
      <c r="F121" s="3396" t="s">
        <v>1749</v>
      </c>
      <c r="G121" s="3397"/>
      <c r="M121" s="2216"/>
      <c r="O121" s="2218"/>
    </row>
    <row r="122" spans="1:15" ht="17.25" hidden="1" customHeight="1" x14ac:dyDescent="0.25">
      <c r="A122" s="2223">
        <v>41548</v>
      </c>
      <c r="B122" s="2215">
        <v>37.909999999999997</v>
      </c>
      <c r="C122" s="2126">
        <v>13.13</v>
      </c>
      <c r="D122" s="2126">
        <v>89.72</v>
      </c>
      <c r="E122" s="2114">
        <v>2724.34</v>
      </c>
      <c r="F122" s="3396" t="s">
        <v>1750</v>
      </c>
      <c r="G122" s="3397"/>
      <c r="M122" s="2216"/>
      <c r="O122" s="2218"/>
    </row>
    <row r="123" spans="1:15" ht="17.25" hidden="1" customHeight="1" x14ac:dyDescent="0.25">
      <c r="A123" s="2223">
        <v>41579</v>
      </c>
      <c r="B123" s="2215">
        <v>19.329999999999998</v>
      </c>
      <c r="C123" s="2126">
        <v>9.5</v>
      </c>
      <c r="D123" s="2126">
        <v>93.5</v>
      </c>
      <c r="E123" s="2114">
        <v>2861.6</v>
      </c>
      <c r="F123" s="3396" t="s">
        <v>1751</v>
      </c>
      <c r="G123" s="3397"/>
      <c r="M123" s="2216"/>
      <c r="O123" s="2218"/>
    </row>
    <row r="124" spans="1:15" ht="17.25" hidden="1" customHeight="1" x14ac:dyDescent="0.25">
      <c r="A124" s="2223">
        <v>41609</v>
      </c>
      <c r="B124" s="2215">
        <v>88.1</v>
      </c>
      <c r="C124" s="2126">
        <v>16.989999999999998</v>
      </c>
      <c r="D124" s="2126">
        <v>153.71</v>
      </c>
      <c r="E124" s="2114">
        <v>4662.2299999999996</v>
      </c>
      <c r="F124" s="3396" t="s">
        <v>1752</v>
      </c>
      <c r="G124" s="3397"/>
      <c r="M124" s="2216"/>
      <c r="O124" s="2218"/>
    </row>
    <row r="125" spans="1:15" ht="17.25" hidden="1" customHeight="1" x14ac:dyDescent="0.25">
      <c r="A125" s="2223">
        <v>41640</v>
      </c>
      <c r="B125" s="2215">
        <v>67.38</v>
      </c>
      <c r="C125" s="2126">
        <v>5.07</v>
      </c>
      <c r="D125" s="2126">
        <v>136.83000000000001</v>
      </c>
      <c r="E125" s="2114">
        <v>4159.8999999999996</v>
      </c>
      <c r="F125" s="3396" t="s">
        <v>1753</v>
      </c>
      <c r="G125" s="3397"/>
      <c r="M125" s="2216"/>
      <c r="O125" s="2218"/>
    </row>
    <row r="126" spans="1:15" ht="17.25" hidden="1" customHeight="1" x14ac:dyDescent="0.25">
      <c r="A126" s="2223">
        <v>41671</v>
      </c>
      <c r="B126" s="2215">
        <v>51.98</v>
      </c>
      <c r="C126" s="2126">
        <v>6.99</v>
      </c>
      <c r="D126" s="2126">
        <v>151.44999999999999</v>
      </c>
      <c r="E126" s="2114">
        <v>4603.47</v>
      </c>
      <c r="F126" s="3396" t="s">
        <v>1754</v>
      </c>
      <c r="G126" s="3397"/>
      <c r="M126" s="2216"/>
      <c r="O126" s="2218"/>
    </row>
    <row r="127" spans="1:15" ht="17.25" hidden="1" customHeight="1" x14ac:dyDescent="0.25">
      <c r="A127" s="2223">
        <v>41699</v>
      </c>
      <c r="B127" s="2215">
        <v>62.26</v>
      </c>
      <c r="C127" s="2126">
        <v>9.14</v>
      </c>
      <c r="D127" s="2126">
        <v>123.72</v>
      </c>
      <c r="E127" s="2114">
        <v>3736.8</v>
      </c>
      <c r="F127" s="3396" t="s">
        <v>1755</v>
      </c>
      <c r="G127" s="3397"/>
      <c r="M127" s="2216"/>
      <c r="O127" s="2218"/>
    </row>
    <row r="128" spans="1:15" ht="17.25" hidden="1" customHeight="1" x14ac:dyDescent="0.25">
      <c r="A128" s="2223">
        <v>41730</v>
      </c>
      <c r="B128" s="2215">
        <v>78.150000000000006</v>
      </c>
      <c r="C128" s="2126">
        <v>12.89</v>
      </c>
      <c r="D128" s="2126">
        <v>169.02</v>
      </c>
      <c r="E128" s="2114">
        <v>5100.54</v>
      </c>
      <c r="F128" s="3396" t="s">
        <v>1756</v>
      </c>
      <c r="G128" s="3397"/>
      <c r="M128" s="2216"/>
      <c r="O128" s="2218"/>
    </row>
    <row r="129" spans="1:15" ht="17.25" hidden="1" customHeight="1" x14ac:dyDescent="0.25">
      <c r="A129" s="2223">
        <v>41760</v>
      </c>
      <c r="B129" s="2215">
        <v>58.18</v>
      </c>
      <c r="C129" s="2126">
        <v>40.369999999999997</v>
      </c>
      <c r="D129" s="2126">
        <v>161.15</v>
      </c>
      <c r="E129" s="2114">
        <v>4867.96</v>
      </c>
      <c r="F129" s="3396" t="s">
        <v>1757</v>
      </c>
      <c r="G129" s="3397"/>
      <c r="M129" s="2216"/>
      <c r="O129" s="2218"/>
    </row>
    <row r="130" spans="1:15" ht="17.25" hidden="1" customHeight="1" x14ac:dyDescent="0.25">
      <c r="A130" s="2223">
        <v>41791</v>
      </c>
      <c r="B130" s="2215">
        <v>47.57</v>
      </c>
      <c r="C130" s="2126">
        <v>10.68</v>
      </c>
      <c r="D130" s="2126">
        <v>132.34</v>
      </c>
      <c r="E130" s="2114">
        <v>4029.02</v>
      </c>
      <c r="F130" s="3396" t="s">
        <v>1758</v>
      </c>
      <c r="G130" s="3397"/>
      <c r="M130" s="2216"/>
      <c r="O130" s="2218"/>
    </row>
    <row r="131" spans="1:15" ht="17.25" hidden="1" customHeight="1" x14ac:dyDescent="0.25">
      <c r="A131" s="2223">
        <v>41821</v>
      </c>
      <c r="B131" s="2215">
        <v>59.9</v>
      </c>
      <c r="C131" s="2126">
        <v>15.14</v>
      </c>
      <c r="D131" s="2126">
        <v>124.94</v>
      </c>
      <c r="E131" s="2114">
        <v>3805.36</v>
      </c>
      <c r="F131" s="3396" t="s">
        <v>1759</v>
      </c>
      <c r="G131" s="3397"/>
      <c r="M131" s="2216"/>
      <c r="O131" s="2218"/>
    </row>
    <row r="132" spans="1:15" ht="17.25" hidden="1" customHeight="1" x14ac:dyDescent="0.25">
      <c r="A132" s="2223">
        <v>41852</v>
      </c>
      <c r="B132" s="2215">
        <v>45.89</v>
      </c>
      <c r="C132" s="2126">
        <v>12.53</v>
      </c>
      <c r="D132" s="2126">
        <v>63.82</v>
      </c>
      <c r="E132" s="2114">
        <v>1962.38</v>
      </c>
      <c r="F132" s="3396" t="s">
        <v>1760</v>
      </c>
      <c r="G132" s="3397"/>
      <c r="M132" s="2216"/>
      <c r="O132" s="2218"/>
    </row>
    <row r="133" spans="1:15" ht="17.25" hidden="1" customHeight="1" x14ac:dyDescent="0.25">
      <c r="A133" s="2223">
        <v>41883</v>
      </c>
      <c r="B133" s="2215">
        <v>46.91</v>
      </c>
      <c r="C133" s="2126">
        <v>8.64</v>
      </c>
      <c r="D133" s="2126">
        <v>104.53</v>
      </c>
      <c r="E133" s="2114">
        <v>3278.6</v>
      </c>
      <c r="F133" s="3396" t="s">
        <v>1761</v>
      </c>
      <c r="G133" s="3397"/>
      <c r="M133" s="2216"/>
      <c r="O133" s="2218"/>
    </row>
    <row r="134" spans="1:15" ht="17.25" hidden="1" customHeight="1" x14ac:dyDescent="0.25">
      <c r="A134" s="2223">
        <v>41913</v>
      </c>
      <c r="B134" s="2215">
        <v>63.45</v>
      </c>
      <c r="C134" s="2126">
        <v>10.41</v>
      </c>
      <c r="D134" s="2126">
        <v>78.709999999999994</v>
      </c>
      <c r="E134" s="2114">
        <v>2477.8000000000002</v>
      </c>
      <c r="F134" s="3396" t="s">
        <v>1762</v>
      </c>
      <c r="G134" s="3397"/>
      <c r="M134" s="2216"/>
      <c r="O134" s="2218"/>
    </row>
    <row r="135" spans="1:15" ht="17.25" hidden="1" customHeight="1" x14ac:dyDescent="0.25">
      <c r="A135" s="2223">
        <v>41944</v>
      </c>
      <c r="B135" s="2215">
        <v>84.59</v>
      </c>
      <c r="C135" s="2126">
        <v>15.48</v>
      </c>
      <c r="D135" s="2126">
        <v>106.93</v>
      </c>
      <c r="E135" s="2114">
        <v>3379.67</v>
      </c>
      <c r="F135" s="3396" t="s">
        <v>1763</v>
      </c>
      <c r="G135" s="3397"/>
      <c r="M135" s="2216"/>
      <c r="O135" s="2218"/>
    </row>
    <row r="136" spans="1:15" ht="17.25" hidden="1" customHeight="1" x14ac:dyDescent="0.25">
      <c r="A136" s="2223">
        <v>41974</v>
      </c>
      <c r="B136" s="2215">
        <v>150.36000000000001</v>
      </c>
      <c r="C136" s="2126">
        <v>12.23</v>
      </c>
      <c r="D136" s="2126">
        <v>181.06</v>
      </c>
      <c r="E136" s="2114">
        <v>5739.8</v>
      </c>
      <c r="F136" s="3396" t="s">
        <v>1764</v>
      </c>
      <c r="G136" s="3397"/>
      <c r="M136" s="2216"/>
      <c r="O136" s="2218"/>
    </row>
    <row r="137" spans="1:15" ht="17.25" hidden="1" customHeight="1" x14ac:dyDescent="0.25">
      <c r="A137" s="2223">
        <v>42005</v>
      </c>
      <c r="B137" s="2215">
        <v>76.5</v>
      </c>
      <c r="C137" s="2126">
        <v>13.11</v>
      </c>
      <c r="D137" s="2126">
        <v>96.61</v>
      </c>
      <c r="E137" s="2114">
        <v>3132.72</v>
      </c>
      <c r="F137" s="3396" t="s">
        <v>1765</v>
      </c>
      <c r="G137" s="3397"/>
      <c r="M137" s="2216"/>
      <c r="O137" s="2218"/>
    </row>
    <row r="138" spans="1:15" ht="17.25" hidden="1" customHeight="1" x14ac:dyDescent="0.25">
      <c r="A138" s="2223">
        <v>42036</v>
      </c>
      <c r="B138" s="2215">
        <v>126.07</v>
      </c>
      <c r="C138" s="2126">
        <v>15.69</v>
      </c>
      <c r="D138" s="2126">
        <v>145.72</v>
      </c>
      <c r="E138" s="2114">
        <v>4827.0600000000004</v>
      </c>
      <c r="F138" s="3396" t="s">
        <v>1766</v>
      </c>
      <c r="G138" s="3397"/>
      <c r="M138" s="2216"/>
      <c r="O138" s="2218"/>
    </row>
    <row r="139" spans="1:15" ht="17.25" hidden="1" customHeight="1" x14ac:dyDescent="0.25">
      <c r="A139" s="2223">
        <v>42064</v>
      </c>
      <c r="B139" s="2215">
        <v>117.91</v>
      </c>
      <c r="C139" s="2126">
        <v>13.34</v>
      </c>
      <c r="D139" s="2126">
        <v>135.36000000000001</v>
      </c>
      <c r="E139" s="2114">
        <v>4815.3900000000003</v>
      </c>
      <c r="F139" s="3396" t="s">
        <v>1767</v>
      </c>
      <c r="G139" s="3397"/>
      <c r="M139" s="2216"/>
      <c r="O139" s="2218"/>
    </row>
    <row r="140" spans="1:15" ht="17.25" hidden="1" customHeight="1" x14ac:dyDescent="0.25">
      <c r="A140" s="2223">
        <v>42095</v>
      </c>
      <c r="B140" s="2215">
        <v>54.83</v>
      </c>
      <c r="C140" s="2126">
        <v>8.0299999999999994</v>
      </c>
      <c r="D140" s="2126">
        <v>67.709999999999994</v>
      </c>
      <c r="E140" s="2114">
        <v>2452.87</v>
      </c>
      <c r="F140" s="3396" t="s">
        <v>1768</v>
      </c>
      <c r="G140" s="3397"/>
      <c r="M140" s="2216"/>
      <c r="O140" s="2218"/>
    </row>
    <row r="141" spans="1:15" ht="17.25" hidden="1" customHeight="1" x14ac:dyDescent="0.25">
      <c r="A141" s="2223">
        <v>42125</v>
      </c>
      <c r="B141" s="2215">
        <v>114.69</v>
      </c>
      <c r="C141" s="2126">
        <v>7.39</v>
      </c>
      <c r="D141" s="2126">
        <v>127.34</v>
      </c>
      <c r="E141" s="2114">
        <v>4462.5</v>
      </c>
      <c r="F141" s="3396" t="s">
        <v>1769</v>
      </c>
      <c r="G141" s="3397"/>
      <c r="M141" s="2216"/>
      <c r="O141" s="2218"/>
    </row>
    <row r="142" spans="1:15" ht="17.25" hidden="1" customHeight="1" x14ac:dyDescent="0.25">
      <c r="A142" s="2223">
        <v>42156</v>
      </c>
      <c r="B142" s="2215">
        <v>98.34</v>
      </c>
      <c r="C142" s="2126">
        <v>15.01</v>
      </c>
      <c r="D142" s="2126">
        <v>119.64</v>
      </c>
      <c r="E142" s="2114">
        <v>4216.55</v>
      </c>
      <c r="F142" s="3396" t="s">
        <v>1770</v>
      </c>
      <c r="G142" s="3397"/>
      <c r="M142" s="2216"/>
      <c r="O142" s="2218"/>
    </row>
    <row r="143" spans="1:15" ht="17.25" hidden="1" customHeight="1" x14ac:dyDescent="0.25">
      <c r="A143" s="2223">
        <v>42186</v>
      </c>
      <c r="B143" s="2215">
        <v>67.58</v>
      </c>
      <c r="C143" s="2126">
        <v>7.24</v>
      </c>
      <c r="D143" s="2126">
        <v>82.99</v>
      </c>
      <c r="E143" s="2114">
        <v>2951.84</v>
      </c>
      <c r="F143" s="3396" t="s">
        <v>1771</v>
      </c>
      <c r="G143" s="3397"/>
      <c r="M143" s="2216"/>
      <c r="O143" s="2218"/>
    </row>
    <row r="144" spans="1:15" ht="17.25" hidden="1" customHeight="1" x14ac:dyDescent="0.25">
      <c r="A144" s="2223">
        <v>42217</v>
      </c>
      <c r="B144" s="2215">
        <v>48.67</v>
      </c>
      <c r="C144" s="2126">
        <v>13.26</v>
      </c>
      <c r="D144" s="2126">
        <v>75.52</v>
      </c>
      <c r="E144" s="2114">
        <v>2682.6</v>
      </c>
      <c r="F144" s="3396" t="s">
        <v>1772</v>
      </c>
      <c r="G144" s="3397"/>
      <c r="M144" s="2216"/>
      <c r="O144" s="2218"/>
    </row>
    <row r="145" spans="1:15" ht="17.25" hidden="1" customHeight="1" x14ac:dyDescent="0.25">
      <c r="A145" s="2223">
        <v>42248</v>
      </c>
      <c r="B145" s="2215">
        <v>101.52</v>
      </c>
      <c r="C145" s="2126">
        <v>9.01</v>
      </c>
      <c r="D145" s="2126">
        <v>116.81</v>
      </c>
      <c r="E145" s="2114">
        <v>4143.67</v>
      </c>
      <c r="F145" s="3396" t="s">
        <v>1773</v>
      </c>
      <c r="G145" s="3397"/>
      <c r="M145" s="2216"/>
      <c r="O145" s="2218"/>
    </row>
    <row r="146" spans="1:15" ht="17.25" hidden="1" customHeight="1" x14ac:dyDescent="0.25">
      <c r="A146" s="2223">
        <v>42278</v>
      </c>
      <c r="B146" s="2215">
        <v>129.46</v>
      </c>
      <c r="C146" s="2126">
        <v>11.96</v>
      </c>
      <c r="D146" s="2126">
        <v>151.30000000000001</v>
      </c>
      <c r="E146" s="2114">
        <v>5394.74</v>
      </c>
      <c r="F146" s="3396" t="s">
        <v>1774</v>
      </c>
      <c r="G146" s="3397"/>
      <c r="M146" s="2216"/>
      <c r="O146" s="2218"/>
    </row>
    <row r="147" spans="1:15" ht="17.25" hidden="1" customHeight="1" x14ac:dyDescent="0.25">
      <c r="A147" s="2223">
        <v>42309</v>
      </c>
      <c r="B147" s="2215">
        <v>92.13</v>
      </c>
      <c r="C147" s="2126">
        <v>12.51</v>
      </c>
      <c r="D147" s="2126">
        <v>112.64</v>
      </c>
      <c r="E147" s="2114">
        <v>4081.54</v>
      </c>
      <c r="F147" s="3396" t="s">
        <v>1775</v>
      </c>
      <c r="G147" s="3397"/>
      <c r="M147" s="2216"/>
      <c r="O147" s="2218"/>
    </row>
    <row r="148" spans="1:15" ht="17.25" hidden="1" customHeight="1" x14ac:dyDescent="0.25">
      <c r="A148" s="2223">
        <v>42339</v>
      </c>
      <c r="B148" s="2215">
        <v>78.27</v>
      </c>
      <c r="C148" s="2126">
        <v>12.06</v>
      </c>
      <c r="D148" s="2126">
        <v>109.05</v>
      </c>
      <c r="E148" s="2114">
        <v>3948.94</v>
      </c>
      <c r="F148" s="3396" t="s">
        <v>1776</v>
      </c>
      <c r="G148" s="3397"/>
      <c r="M148" s="2216"/>
      <c r="O148" s="2218"/>
    </row>
    <row r="149" spans="1:15" ht="17.25" hidden="1" customHeight="1" x14ac:dyDescent="0.25">
      <c r="A149" s="2223">
        <v>42370</v>
      </c>
      <c r="B149" s="2215">
        <v>106.08</v>
      </c>
      <c r="C149" s="2126">
        <v>7.79</v>
      </c>
      <c r="D149" s="2126">
        <v>122.96</v>
      </c>
      <c r="E149" s="2114">
        <v>4453.17</v>
      </c>
      <c r="F149" s="3396" t="s">
        <v>1777</v>
      </c>
      <c r="G149" s="3397"/>
      <c r="M149" s="2216"/>
      <c r="O149" s="2218"/>
    </row>
    <row r="150" spans="1:15" ht="17.25" hidden="1" customHeight="1" x14ac:dyDescent="0.25">
      <c r="A150" s="2223">
        <v>42401</v>
      </c>
      <c r="B150" s="2215">
        <v>131.71</v>
      </c>
      <c r="C150" s="2126">
        <v>7.38</v>
      </c>
      <c r="D150" s="2126">
        <v>149.55000000000001</v>
      </c>
      <c r="E150" s="2114">
        <v>5356.33</v>
      </c>
      <c r="F150" s="3396" t="s">
        <v>1778</v>
      </c>
      <c r="G150" s="3397"/>
      <c r="M150" s="2216"/>
      <c r="O150" s="2218"/>
    </row>
    <row r="151" spans="1:15" ht="17.25" hidden="1" customHeight="1" x14ac:dyDescent="0.25">
      <c r="A151" s="2223">
        <v>42430</v>
      </c>
      <c r="B151" s="2215">
        <v>100.72</v>
      </c>
      <c r="C151" s="2126">
        <v>9.75</v>
      </c>
      <c r="D151" s="2126">
        <v>117.25</v>
      </c>
      <c r="E151" s="2114">
        <v>4179.8500000000004</v>
      </c>
      <c r="F151" s="3396" t="s">
        <v>1779</v>
      </c>
      <c r="G151" s="3397"/>
      <c r="M151" s="2216"/>
      <c r="O151" s="2218"/>
    </row>
    <row r="152" spans="1:15" ht="17.25" hidden="1" customHeight="1" x14ac:dyDescent="0.25">
      <c r="A152" s="2223">
        <v>42461</v>
      </c>
      <c r="B152" s="2215">
        <v>46.22</v>
      </c>
      <c r="C152" s="2126">
        <v>8.5299999999999994</v>
      </c>
      <c r="D152" s="2126">
        <v>59.55</v>
      </c>
      <c r="E152" s="2114">
        <v>2100.6999999999998</v>
      </c>
      <c r="F152" s="3396" t="s">
        <v>1780</v>
      </c>
      <c r="G152" s="3397"/>
      <c r="M152" s="2216"/>
      <c r="O152" s="2218"/>
    </row>
    <row r="153" spans="1:15" ht="17.25" hidden="1" customHeight="1" x14ac:dyDescent="0.25">
      <c r="A153" s="2223">
        <v>42491</v>
      </c>
      <c r="B153" s="2215">
        <v>105.6</v>
      </c>
      <c r="C153" s="2126">
        <v>10.31</v>
      </c>
      <c r="D153" s="2126">
        <v>123.15</v>
      </c>
      <c r="E153" s="2114">
        <v>4335.43</v>
      </c>
      <c r="F153" s="3396" t="s">
        <v>1781</v>
      </c>
      <c r="G153" s="3397"/>
      <c r="M153" s="2216"/>
      <c r="O153" s="2218"/>
    </row>
    <row r="154" spans="1:15" ht="17.25" hidden="1" customHeight="1" x14ac:dyDescent="0.25">
      <c r="A154" s="2223">
        <v>42522</v>
      </c>
      <c r="B154" s="2215">
        <v>138.33000000000001</v>
      </c>
      <c r="C154" s="2126">
        <v>13.91</v>
      </c>
      <c r="D154" s="2126">
        <v>164.03</v>
      </c>
      <c r="E154" s="2114">
        <v>5826.27</v>
      </c>
      <c r="F154" s="3396" t="s">
        <v>1782</v>
      </c>
      <c r="G154" s="3397"/>
      <c r="M154" s="2216"/>
      <c r="O154" s="2218"/>
    </row>
    <row r="155" spans="1:15" ht="17.25" hidden="1" customHeight="1" x14ac:dyDescent="0.25">
      <c r="A155" s="2223">
        <v>42552</v>
      </c>
      <c r="B155" s="2215">
        <v>26.16</v>
      </c>
      <c r="C155" s="2126">
        <v>6.72</v>
      </c>
      <c r="D155" s="2126">
        <v>36.159999999999997</v>
      </c>
      <c r="E155" s="2114">
        <v>1286.73</v>
      </c>
      <c r="F155" s="3396" t="s">
        <v>1783</v>
      </c>
      <c r="G155" s="3397"/>
      <c r="M155" s="2216"/>
      <c r="O155" s="2218"/>
    </row>
    <row r="156" spans="1:15" ht="17.25" hidden="1" customHeight="1" x14ac:dyDescent="0.25">
      <c r="A156" s="2223">
        <v>42583</v>
      </c>
      <c r="B156" s="2215">
        <v>50.3</v>
      </c>
      <c r="C156" s="2126">
        <v>6.46</v>
      </c>
      <c r="D156" s="2126">
        <v>64.23</v>
      </c>
      <c r="E156" s="2114">
        <v>2265.6999999999998</v>
      </c>
      <c r="F156" s="3396" t="s">
        <v>1784</v>
      </c>
      <c r="G156" s="3397"/>
      <c r="M156" s="2216"/>
      <c r="O156" s="2218"/>
    </row>
    <row r="157" spans="1:15" ht="17.25" hidden="1" customHeight="1" x14ac:dyDescent="0.25">
      <c r="A157" s="2223">
        <v>42614</v>
      </c>
      <c r="B157" s="2215">
        <v>78.010000000000005</v>
      </c>
      <c r="C157" s="2126">
        <v>7.78</v>
      </c>
      <c r="D157" s="2126">
        <v>90.43</v>
      </c>
      <c r="E157" s="2114">
        <v>3205.96</v>
      </c>
      <c r="F157" s="3396" t="s">
        <v>1785</v>
      </c>
      <c r="G157" s="3397"/>
      <c r="M157" s="2216"/>
      <c r="O157" s="2218"/>
    </row>
    <row r="158" spans="1:15" ht="17.25" hidden="1" customHeight="1" x14ac:dyDescent="0.25">
      <c r="A158" s="2223">
        <v>42644</v>
      </c>
      <c r="B158" s="2215">
        <v>42.3</v>
      </c>
      <c r="C158" s="2126">
        <v>8.91</v>
      </c>
      <c r="D158" s="2126">
        <v>55.29</v>
      </c>
      <c r="E158" s="2114">
        <v>1976.62</v>
      </c>
      <c r="F158" s="3396" t="s">
        <v>1786</v>
      </c>
      <c r="G158" s="3397"/>
      <c r="M158" s="2216"/>
      <c r="O158" s="2218"/>
    </row>
    <row r="159" spans="1:15" ht="17.25" hidden="1" customHeight="1" x14ac:dyDescent="0.25">
      <c r="A159" s="2223">
        <v>42675</v>
      </c>
      <c r="B159" s="2215">
        <v>85.56</v>
      </c>
      <c r="C159" s="2126">
        <v>11.36</v>
      </c>
      <c r="D159" s="2126">
        <v>103.1</v>
      </c>
      <c r="E159" s="2114">
        <v>3710.62</v>
      </c>
      <c r="F159" s="3396" t="s">
        <v>1787</v>
      </c>
      <c r="G159" s="3397"/>
      <c r="M159" s="2216"/>
      <c r="O159" s="2218"/>
    </row>
    <row r="160" spans="1:15" ht="17.25" hidden="1" customHeight="1" x14ac:dyDescent="0.25">
      <c r="A160" s="2223">
        <v>42705</v>
      </c>
      <c r="B160" s="2215">
        <v>90.38</v>
      </c>
      <c r="C160" s="2126">
        <v>9</v>
      </c>
      <c r="D160" s="2126">
        <v>121.39</v>
      </c>
      <c r="E160" s="2114">
        <v>4384.13</v>
      </c>
      <c r="F160" s="3396" t="s">
        <v>1788</v>
      </c>
      <c r="G160" s="3397"/>
      <c r="M160" s="2216"/>
      <c r="O160" s="2218"/>
    </row>
    <row r="161" spans="1:15" ht="17.25" hidden="1" customHeight="1" x14ac:dyDescent="0.25">
      <c r="A161" s="2223">
        <v>42736</v>
      </c>
      <c r="B161" s="2215">
        <v>103.41</v>
      </c>
      <c r="C161" s="2126">
        <v>8.66</v>
      </c>
      <c r="D161" s="2126">
        <v>121.95</v>
      </c>
      <c r="E161" s="2114">
        <v>4375.96</v>
      </c>
      <c r="F161" s="3396" t="s">
        <v>1789</v>
      </c>
      <c r="G161" s="3397"/>
      <c r="M161" s="2216"/>
      <c r="O161" s="2218"/>
    </row>
    <row r="162" spans="1:15" ht="17.25" hidden="1" customHeight="1" x14ac:dyDescent="0.25">
      <c r="A162" s="2223">
        <v>42767</v>
      </c>
      <c r="B162" s="2215">
        <v>27.85</v>
      </c>
      <c r="C162" s="2126">
        <v>10.119999999999999</v>
      </c>
      <c r="D162" s="2126">
        <v>42.78</v>
      </c>
      <c r="E162" s="2114">
        <v>1527.41</v>
      </c>
      <c r="F162" s="3396" t="s">
        <v>1790</v>
      </c>
      <c r="G162" s="3397"/>
      <c r="M162" s="2216"/>
      <c r="O162" s="2218"/>
    </row>
    <row r="163" spans="1:15" ht="17.25" hidden="1" customHeight="1" x14ac:dyDescent="0.25">
      <c r="A163" s="2223">
        <v>42795</v>
      </c>
      <c r="B163" s="2215">
        <v>97.44</v>
      </c>
      <c r="C163" s="2126">
        <v>18.11</v>
      </c>
      <c r="D163" s="2126">
        <v>124.15</v>
      </c>
      <c r="E163" s="2114">
        <v>4412.17</v>
      </c>
      <c r="F163" s="3396" t="s">
        <v>1791</v>
      </c>
      <c r="G163" s="3397"/>
      <c r="M163" s="2216"/>
      <c r="O163" s="2218"/>
    </row>
    <row r="164" spans="1:15" ht="17.25" hidden="1" customHeight="1" x14ac:dyDescent="0.25">
      <c r="A164" s="2223">
        <v>42826</v>
      </c>
      <c r="B164" s="2215">
        <v>184.65</v>
      </c>
      <c r="C164" s="2126">
        <v>10.43</v>
      </c>
      <c r="D164" s="2126">
        <v>198.43</v>
      </c>
      <c r="E164" s="2114">
        <v>6987.93</v>
      </c>
      <c r="F164" s="3396" t="s">
        <v>1792</v>
      </c>
      <c r="G164" s="3397"/>
      <c r="M164" s="2216"/>
      <c r="O164" s="2218"/>
    </row>
    <row r="165" spans="1:15" ht="17.25" hidden="1" customHeight="1" x14ac:dyDescent="0.25">
      <c r="A165" s="2223">
        <v>42856</v>
      </c>
      <c r="B165" s="2215">
        <v>121.05</v>
      </c>
      <c r="C165" s="2126">
        <v>10.67</v>
      </c>
      <c r="D165" s="2126">
        <v>137.61000000000001</v>
      </c>
      <c r="E165" s="2114">
        <v>4812.5600000000004</v>
      </c>
      <c r="F165" s="3396" t="s">
        <v>1793</v>
      </c>
      <c r="G165" s="3397"/>
      <c r="M165" s="2216"/>
      <c r="O165" s="2218"/>
    </row>
    <row r="166" spans="1:15" ht="17.25" hidden="1" customHeight="1" x14ac:dyDescent="0.25">
      <c r="A166" s="2223">
        <v>42887</v>
      </c>
      <c r="B166" s="2215">
        <v>74.2</v>
      </c>
      <c r="C166" s="2126">
        <v>19.73</v>
      </c>
      <c r="D166" s="2126">
        <v>99.16</v>
      </c>
      <c r="E166" s="2114">
        <v>3460.36</v>
      </c>
      <c r="F166" s="3396" t="s">
        <v>1794</v>
      </c>
      <c r="G166" s="3397"/>
      <c r="M166" s="2216"/>
      <c r="O166" s="2218"/>
    </row>
    <row r="167" spans="1:15" ht="17.25" hidden="1" customHeight="1" x14ac:dyDescent="0.25">
      <c r="A167" s="2223">
        <v>42917</v>
      </c>
      <c r="B167" s="2215">
        <v>51.58</v>
      </c>
      <c r="C167" s="2126">
        <v>3.85</v>
      </c>
      <c r="D167" s="2126">
        <v>59.74</v>
      </c>
      <c r="E167" s="2114">
        <v>2042.27</v>
      </c>
      <c r="F167" s="3396" t="s">
        <v>1795</v>
      </c>
      <c r="G167" s="3397"/>
      <c r="M167" s="2216"/>
      <c r="O167" s="2218"/>
    </row>
    <row r="168" spans="1:15" ht="17.25" hidden="1" customHeight="1" x14ac:dyDescent="0.25">
      <c r="A168" s="2223">
        <v>42948</v>
      </c>
      <c r="B168" s="2215">
        <v>170.71</v>
      </c>
      <c r="C168" s="2126">
        <v>5.64</v>
      </c>
      <c r="D168" s="2126">
        <v>179.28</v>
      </c>
      <c r="E168" s="2114">
        <v>5979.07</v>
      </c>
      <c r="F168" s="3396" t="s">
        <v>1796</v>
      </c>
      <c r="G168" s="3397"/>
      <c r="M168" s="2216"/>
      <c r="O168" s="2218"/>
    </row>
    <row r="169" spans="1:15" ht="17.25" hidden="1" customHeight="1" x14ac:dyDescent="0.25">
      <c r="A169" s="2223">
        <v>42979</v>
      </c>
      <c r="B169" s="2215">
        <v>97.2</v>
      </c>
      <c r="C169" s="2126">
        <v>5.48</v>
      </c>
      <c r="D169" s="2126">
        <v>110.62</v>
      </c>
      <c r="E169" s="2114">
        <v>3708.58</v>
      </c>
      <c r="F169" s="3396" t="s">
        <v>1797</v>
      </c>
      <c r="G169" s="3397"/>
      <c r="M169" s="2216"/>
      <c r="O169" s="2218"/>
    </row>
    <row r="170" spans="1:15" ht="17.25" hidden="1" customHeight="1" x14ac:dyDescent="0.25">
      <c r="A170" s="2223">
        <v>43009</v>
      </c>
      <c r="B170" s="2215">
        <v>54.12</v>
      </c>
      <c r="C170" s="2126">
        <v>6.43</v>
      </c>
      <c r="D170" s="2126">
        <v>68.89</v>
      </c>
      <c r="E170" s="2114">
        <v>2361.08</v>
      </c>
      <c r="F170" s="3396" t="s">
        <v>1798</v>
      </c>
      <c r="G170" s="3397"/>
      <c r="M170" s="2216"/>
      <c r="O170" s="2218"/>
    </row>
    <row r="171" spans="1:15" ht="17.25" hidden="1" customHeight="1" x14ac:dyDescent="0.25">
      <c r="A171" s="2223">
        <v>43040</v>
      </c>
      <c r="B171" s="2215">
        <v>52.82</v>
      </c>
      <c r="C171" s="2126">
        <v>6.38</v>
      </c>
      <c r="D171" s="2126">
        <v>68.400000000000006</v>
      </c>
      <c r="E171" s="2114">
        <v>2345</v>
      </c>
      <c r="F171" s="3396" t="s">
        <v>1799</v>
      </c>
      <c r="G171" s="3397"/>
      <c r="M171" s="2216"/>
      <c r="O171" s="2218"/>
    </row>
    <row r="172" spans="1:15" ht="17.25" hidden="1" customHeight="1" x14ac:dyDescent="0.25">
      <c r="A172" s="2223">
        <v>43070</v>
      </c>
      <c r="B172" s="2215">
        <v>85.12</v>
      </c>
      <c r="C172" s="2126">
        <v>4.24</v>
      </c>
      <c r="D172" s="2126">
        <v>105.67</v>
      </c>
      <c r="E172" s="2114">
        <v>3595.71</v>
      </c>
      <c r="F172" s="3396" t="s">
        <v>1800</v>
      </c>
      <c r="G172" s="3397"/>
      <c r="M172" s="2216"/>
      <c r="O172" s="2218"/>
    </row>
    <row r="173" spans="1:15" ht="17.25" hidden="1" customHeight="1" x14ac:dyDescent="0.25">
      <c r="A173" s="2223">
        <v>43101</v>
      </c>
      <c r="B173" s="2215">
        <v>72.290000000000006</v>
      </c>
      <c r="C173" s="2126">
        <v>1.08</v>
      </c>
      <c r="D173" s="2126">
        <v>88.08</v>
      </c>
      <c r="E173" s="2114">
        <v>2942.7</v>
      </c>
      <c r="F173" s="3396" t="s">
        <v>1801</v>
      </c>
      <c r="G173" s="3397"/>
      <c r="M173" s="2216"/>
      <c r="O173" s="2218"/>
    </row>
    <row r="174" spans="1:15" ht="17.25" hidden="1" customHeight="1" x14ac:dyDescent="0.25">
      <c r="A174" s="2223">
        <v>43132</v>
      </c>
      <c r="B174" s="2215">
        <v>122.15</v>
      </c>
      <c r="C174" s="2126">
        <v>6.6</v>
      </c>
      <c r="D174" s="2126">
        <v>141.04</v>
      </c>
      <c r="E174" s="2114">
        <v>4651.05</v>
      </c>
      <c r="F174" s="3396" t="s">
        <v>1802</v>
      </c>
      <c r="G174" s="3397"/>
      <c r="M174" s="2216"/>
      <c r="O174" s="2218"/>
    </row>
    <row r="175" spans="1:15" ht="17.25" hidden="1" customHeight="1" x14ac:dyDescent="0.25">
      <c r="A175" s="2223">
        <v>43160</v>
      </c>
      <c r="B175" s="2215">
        <v>155.85</v>
      </c>
      <c r="C175" s="2126">
        <v>3.55</v>
      </c>
      <c r="D175" s="2126">
        <v>168.12</v>
      </c>
      <c r="E175" s="2114">
        <v>5619.62</v>
      </c>
      <c r="F175" s="3396" t="s">
        <v>1803</v>
      </c>
      <c r="G175" s="3397"/>
      <c r="M175" s="2216"/>
      <c r="O175" s="2218"/>
    </row>
    <row r="176" spans="1:15" ht="17.25" hidden="1" customHeight="1" x14ac:dyDescent="0.25">
      <c r="A176" s="2223">
        <v>43191</v>
      </c>
      <c r="B176" s="2215">
        <v>105.05</v>
      </c>
      <c r="C176" s="2126">
        <v>4.49</v>
      </c>
      <c r="D176" s="2126">
        <v>117.41</v>
      </c>
      <c r="E176" s="2114">
        <v>4012.87</v>
      </c>
      <c r="F176" s="3396" t="s">
        <v>1804</v>
      </c>
      <c r="G176" s="3397"/>
      <c r="M176" s="2216"/>
      <c r="O176" s="2218"/>
    </row>
    <row r="177" spans="1:16" ht="17.25" hidden="1" customHeight="1" x14ac:dyDescent="0.25">
      <c r="A177" s="2223">
        <v>43221</v>
      </c>
      <c r="B177" s="2215">
        <v>176.65</v>
      </c>
      <c r="C177" s="2126">
        <v>16.84</v>
      </c>
      <c r="D177" s="2126">
        <v>201.57</v>
      </c>
      <c r="E177" s="2114">
        <v>7035.45</v>
      </c>
      <c r="F177" s="3396" t="s">
        <v>1805</v>
      </c>
      <c r="G177" s="3397"/>
      <c r="M177" s="2216"/>
      <c r="O177" s="2218"/>
    </row>
    <row r="178" spans="1:16" ht="17.25" hidden="1" customHeight="1" x14ac:dyDescent="0.25">
      <c r="A178" s="2223">
        <v>43252</v>
      </c>
      <c r="B178" s="2215">
        <v>44.99</v>
      </c>
      <c r="C178" s="2126">
        <v>2.74</v>
      </c>
      <c r="D178" s="2126">
        <v>54.07</v>
      </c>
      <c r="E178" s="2114">
        <v>1873.44</v>
      </c>
      <c r="F178" s="3396" t="s">
        <v>1806</v>
      </c>
      <c r="G178" s="3397"/>
      <c r="M178" s="2216"/>
      <c r="O178" s="2218"/>
    </row>
    <row r="179" spans="1:16" ht="17.25" hidden="1" thickTop="1" x14ac:dyDescent="0.25">
      <c r="A179" s="2223">
        <v>43282</v>
      </c>
      <c r="B179" s="2215">
        <v>43.98</v>
      </c>
      <c r="C179" s="2126">
        <v>2.46</v>
      </c>
      <c r="D179" s="2126">
        <v>54.96</v>
      </c>
      <c r="E179" s="2114">
        <v>1902.97</v>
      </c>
      <c r="F179" s="3396" t="s">
        <v>1807</v>
      </c>
      <c r="G179" s="3397"/>
      <c r="M179" s="2216"/>
      <c r="O179" s="2218"/>
    </row>
    <row r="180" spans="1:16" ht="17.25" hidden="1" thickTop="1" x14ac:dyDescent="0.25">
      <c r="A180" s="2223">
        <v>43313</v>
      </c>
      <c r="B180" s="2215">
        <v>42.19</v>
      </c>
      <c r="C180" s="2126">
        <v>2.1</v>
      </c>
      <c r="D180" s="2126">
        <v>51.35</v>
      </c>
      <c r="E180" s="2114">
        <v>1781.03</v>
      </c>
      <c r="F180" s="3396" t="s">
        <v>1808</v>
      </c>
      <c r="G180" s="3397"/>
      <c r="M180" s="2216"/>
      <c r="O180" s="2218"/>
    </row>
    <row r="181" spans="1:16" ht="17.25" hidden="1" thickTop="1" x14ac:dyDescent="0.25">
      <c r="A181" s="2223">
        <v>43344</v>
      </c>
      <c r="B181" s="2215">
        <v>40.659999999999997</v>
      </c>
      <c r="C181" s="2126">
        <v>4.5</v>
      </c>
      <c r="D181" s="2126">
        <v>51.61</v>
      </c>
      <c r="E181" s="2114">
        <v>1781.98</v>
      </c>
      <c r="F181" s="3396" t="s">
        <v>1809</v>
      </c>
      <c r="G181" s="3397"/>
      <c r="M181" s="2216"/>
      <c r="O181" s="2218"/>
    </row>
    <row r="182" spans="1:16" ht="17.25" hidden="1" thickTop="1" x14ac:dyDescent="0.25">
      <c r="A182" s="2223">
        <v>43374</v>
      </c>
      <c r="B182" s="2215">
        <v>33.909999999999997</v>
      </c>
      <c r="C182" s="2126">
        <v>6.27</v>
      </c>
      <c r="D182" s="2126">
        <v>47.23</v>
      </c>
      <c r="E182" s="2114">
        <v>1640.59</v>
      </c>
      <c r="F182" s="3396" t="s">
        <v>1810</v>
      </c>
      <c r="G182" s="3397"/>
      <c r="M182" s="2216"/>
      <c r="O182" s="2218"/>
    </row>
    <row r="183" spans="1:16" ht="17.25" hidden="1" thickTop="1" x14ac:dyDescent="0.25">
      <c r="A183" s="2223">
        <v>43405</v>
      </c>
      <c r="B183" s="2215">
        <v>40.18</v>
      </c>
      <c r="C183" s="2126">
        <v>2.09</v>
      </c>
      <c r="D183" s="2126">
        <v>52.58</v>
      </c>
      <c r="E183" s="2114">
        <v>1828.88</v>
      </c>
      <c r="F183" s="3396" t="s">
        <v>1811</v>
      </c>
      <c r="G183" s="3397"/>
      <c r="M183" s="2216"/>
      <c r="O183" s="2218"/>
    </row>
    <row r="184" spans="1:16" ht="17.25" hidden="1" thickTop="1" x14ac:dyDescent="0.25">
      <c r="A184" s="2223">
        <v>43435</v>
      </c>
      <c r="B184" s="2215">
        <v>41.61</v>
      </c>
      <c r="C184" s="2126">
        <v>1.93</v>
      </c>
      <c r="D184" s="2126">
        <v>55.73</v>
      </c>
      <c r="E184" s="2114">
        <v>1925.79</v>
      </c>
      <c r="F184" s="3396" t="s">
        <v>1812</v>
      </c>
      <c r="G184" s="3397"/>
      <c r="M184" s="2216"/>
      <c r="O184" s="2218"/>
    </row>
    <row r="185" spans="1:16" ht="17.25" hidden="1" thickTop="1" x14ac:dyDescent="0.25">
      <c r="A185" s="2223">
        <v>43466</v>
      </c>
      <c r="B185" s="2215">
        <v>38.33</v>
      </c>
      <c r="C185" s="2126">
        <v>2.76</v>
      </c>
      <c r="D185" s="2126">
        <v>51.1</v>
      </c>
      <c r="E185" s="2114">
        <v>1760.4</v>
      </c>
      <c r="F185" s="3396" t="s">
        <v>1813</v>
      </c>
      <c r="G185" s="3397"/>
      <c r="M185" s="2216"/>
      <c r="O185" s="2218"/>
      <c r="P185" s="1995"/>
    </row>
    <row r="186" spans="1:16" ht="17.25" hidden="1" thickTop="1" x14ac:dyDescent="0.25">
      <c r="A186" s="2223">
        <v>43497</v>
      </c>
      <c r="B186" s="2215">
        <v>29.27</v>
      </c>
      <c r="C186" s="2126">
        <v>10.95</v>
      </c>
      <c r="D186" s="2126">
        <v>46.39</v>
      </c>
      <c r="E186" s="2114">
        <v>1599.61</v>
      </c>
      <c r="F186" s="3396" t="s">
        <v>1814</v>
      </c>
      <c r="G186" s="3397"/>
      <c r="M186" s="2216"/>
      <c r="N186" s="2216"/>
    </row>
    <row r="187" spans="1:16" ht="17.25" hidden="1" thickTop="1" x14ac:dyDescent="0.25">
      <c r="A187" s="2223">
        <v>43525</v>
      </c>
      <c r="B187" s="2215">
        <v>19.47</v>
      </c>
      <c r="C187" s="2126">
        <v>7.5</v>
      </c>
      <c r="D187" s="2126">
        <v>34.35</v>
      </c>
      <c r="E187" s="2114">
        <v>1196.19</v>
      </c>
      <c r="F187" s="3396" t="s">
        <v>1815</v>
      </c>
      <c r="G187" s="3397"/>
      <c r="M187" s="2216"/>
    </row>
    <row r="188" spans="1:16" ht="17.25" hidden="1" thickTop="1" x14ac:dyDescent="0.25">
      <c r="A188" s="2223">
        <v>43556</v>
      </c>
      <c r="B188" s="2215">
        <v>19.61</v>
      </c>
      <c r="C188" s="2126">
        <v>1.63</v>
      </c>
      <c r="D188" s="2126">
        <v>31.46</v>
      </c>
      <c r="E188" s="2114">
        <v>1105.1099999999999</v>
      </c>
      <c r="F188" s="3396" t="s">
        <v>1816</v>
      </c>
      <c r="G188" s="3397"/>
    </row>
    <row r="189" spans="1:16" ht="17.25" hidden="1" thickTop="1" x14ac:dyDescent="0.25">
      <c r="A189" s="2223">
        <v>43586</v>
      </c>
      <c r="B189" s="2215">
        <v>22.46</v>
      </c>
      <c r="C189" s="2126">
        <v>202.75</v>
      </c>
      <c r="D189" s="2126">
        <v>237.92</v>
      </c>
      <c r="E189" s="2114">
        <v>8457.9</v>
      </c>
      <c r="F189" s="3396" t="s">
        <v>1817</v>
      </c>
      <c r="G189" s="3397"/>
    </row>
    <row r="190" spans="1:16" ht="17.25" hidden="1" thickTop="1" x14ac:dyDescent="0.25">
      <c r="A190" s="2223">
        <v>43617</v>
      </c>
      <c r="B190" s="2215">
        <v>22.63</v>
      </c>
      <c r="C190" s="2126">
        <v>1.58</v>
      </c>
      <c r="D190" s="2126">
        <v>31.53</v>
      </c>
      <c r="E190" s="2114">
        <v>1121.2326229999999</v>
      </c>
      <c r="F190" s="3396" t="s">
        <v>1818</v>
      </c>
      <c r="G190" s="3397"/>
    </row>
    <row r="191" spans="1:16" ht="17.25" hidden="1" thickTop="1" x14ac:dyDescent="0.25">
      <c r="A191" s="2223">
        <v>43647</v>
      </c>
      <c r="B191" s="2215">
        <v>55.946874080000001</v>
      </c>
      <c r="C191" s="2126">
        <v>137.66948097</v>
      </c>
      <c r="D191" s="2126">
        <v>202.67218257348588</v>
      </c>
      <c r="E191" s="2114">
        <v>7313.11</v>
      </c>
      <c r="F191" s="3396" t="s">
        <v>1819</v>
      </c>
      <c r="G191" s="3397"/>
    </row>
    <row r="192" spans="1:16" ht="17.25" hidden="1" thickTop="1" x14ac:dyDescent="0.25">
      <c r="A192" s="2223">
        <v>43678</v>
      </c>
      <c r="B192" s="2215">
        <v>44.98</v>
      </c>
      <c r="C192" s="2126">
        <v>2.4900000000000002</v>
      </c>
      <c r="D192" s="2126">
        <v>58.713999999999999</v>
      </c>
      <c r="E192" s="2114">
        <v>2110.56</v>
      </c>
      <c r="F192" s="3396" t="s">
        <v>1820</v>
      </c>
      <c r="G192" s="3397"/>
    </row>
    <row r="193" spans="1:7" ht="17.25" hidden="1" thickTop="1" x14ac:dyDescent="0.25">
      <c r="A193" s="2223">
        <v>43709</v>
      </c>
      <c r="B193" s="2215">
        <v>55.97</v>
      </c>
      <c r="C193" s="2126">
        <v>3.19</v>
      </c>
      <c r="D193" s="2126">
        <v>65.3</v>
      </c>
      <c r="E193" s="2114">
        <v>2370.0500000000002</v>
      </c>
      <c r="F193" s="3396" t="s">
        <v>1821</v>
      </c>
      <c r="G193" s="3397"/>
    </row>
    <row r="194" spans="1:7" ht="17.25" hidden="1" thickTop="1" x14ac:dyDescent="0.25">
      <c r="A194" s="2223">
        <v>43739</v>
      </c>
      <c r="B194" s="2215">
        <v>28.74</v>
      </c>
      <c r="C194" s="2126">
        <v>2.54</v>
      </c>
      <c r="D194" s="2126">
        <v>39.340000000000003</v>
      </c>
      <c r="E194" s="2114">
        <v>1434.05</v>
      </c>
      <c r="F194" s="3396" t="s">
        <v>1822</v>
      </c>
      <c r="G194" s="3397"/>
    </row>
    <row r="195" spans="1:7" ht="17.25" hidden="1" thickTop="1" x14ac:dyDescent="0.25">
      <c r="A195" s="2223">
        <v>43770</v>
      </c>
      <c r="B195" s="2215">
        <v>34.598112699999994</v>
      </c>
      <c r="C195" s="2126">
        <v>7.9434623839885505</v>
      </c>
      <c r="D195" s="2126">
        <v>42.541575083988548</v>
      </c>
      <c r="E195" s="2114">
        <v>1556.91</v>
      </c>
      <c r="F195" s="3396" t="s">
        <v>1823</v>
      </c>
      <c r="G195" s="3397"/>
    </row>
    <row r="196" spans="1:7" ht="17.25" hidden="1" thickTop="1" x14ac:dyDescent="0.25">
      <c r="A196" s="2223">
        <v>43800</v>
      </c>
      <c r="B196" s="2215">
        <v>36.317514300000006</v>
      </c>
      <c r="C196" s="2126">
        <v>1.3479330199999999</v>
      </c>
      <c r="D196" s="2126">
        <v>47.383884382333058</v>
      </c>
      <c r="E196" s="2114">
        <v>1736.05</v>
      </c>
      <c r="F196" s="3396" t="s">
        <v>1824</v>
      </c>
      <c r="G196" s="3397"/>
    </row>
    <row r="197" spans="1:7" ht="17.25" hidden="1" thickTop="1" x14ac:dyDescent="0.25">
      <c r="A197" s="2223">
        <v>43831</v>
      </c>
      <c r="B197" s="2215">
        <v>39.72</v>
      </c>
      <c r="C197" s="2126">
        <v>2.4300000000000002</v>
      </c>
      <c r="D197" s="2126">
        <v>57.52</v>
      </c>
      <c r="E197" s="2114">
        <v>2108.19</v>
      </c>
      <c r="F197" s="3396" t="s">
        <v>1825</v>
      </c>
      <c r="G197" s="3397"/>
    </row>
    <row r="198" spans="1:7" ht="17.25" hidden="1" thickTop="1" x14ac:dyDescent="0.25">
      <c r="A198" s="2223">
        <v>43862</v>
      </c>
      <c r="B198" s="2215">
        <v>55.02</v>
      </c>
      <c r="C198" s="2126">
        <v>2.33</v>
      </c>
      <c r="D198" s="2126">
        <v>64.23</v>
      </c>
      <c r="E198" s="2114">
        <v>2406.65</v>
      </c>
      <c r="F198" s="3396" t="s">
        <v>1826</v>
      </c>
      <c r="G198" s="3397"/>
    </row>
    <row r="199" spans="1:7" ht="17.25" hidden="1" thickTop="1" x14ac:dyDescent="0.25">
      <c r="A199" s="2223">
        <v>43891</v>
      </c>
      <c r="B199" s="2215">
        <v>32.83</v>
      </c>
      <c r="C199" s="2126">
        <v>1.18</v>
      </c>
      <c r="D199" s="2126">
        <v>42.51</v>
      </c>
      <c r="E199" s="2114">
        <v>1620.33</v>
      </c>
      <c r="F199" s="3396" t="s">
        <v>1827</v>
      </c>
      <c r="G199" s="3397"/>
    </row>
    <row r="200" spans="1:7" ht="17.25" hidden="1" thickTop="1" x14ac:dyDescent="0.25">
      <c r="A200" s="2223">
        <v>43922</v>
      </c>
      <c r="B200" s="2215">
        <v>19.77</v>
      </c>
      <c r="C200" s="2126">
        <v>5.9</v>
      </c>
      <c r="D200" s="2126">
        <v>32.94</v>
      </c>
      <c r="E200" s="2114">
        <v>1318.44</v>
      </c>
      <c r="F200" s="3396" t="s">
        <v>1828</v>
      </c>
      <c r="G200" s="3397"/>
    </row>
    <row r="201" spans="1:7" ht="17.25" hidden="1" thickTop="1" x14ac:dyDescent="0.25">
      <c r="A201" s="2223">
        <v>43952</v>
      </c>
      <c r="B201" s="2215">
        <v>7.99</v>
      </c>
      <c r="C201" s="2126">
        <v>67.2</v>
      </c>
      <c r="D201" s="2126">
        <v>77.3</v>
      </c>
      <c r="E201" s="2114">
        <v>3112.19</v>
      </c>
      <c r="F201" s="3396" t="s">
        <v>1829</v>
      </c>
      <c r="G201" s="3397"/>
    </row>
    <row r="202" spans="1:7" ht="17.25" hidden="1" thickTop="1" x14ac:dyDescent="0.25">
      <c r="A202" s="2223">
        <v>43983</v>
      </c>
      <c r="B202" s="2215">
        <v>13.37</v>
      </c>
      <c r="C202" s="2126">
        <v>1.8</v>
      </c>
      <c r="D202" s="2126">
        <v>18.440000000000001</v>
      </c>
      <c r="E202" s="2114">
        <v>742.63</v>
      </c>
      <c r="F202" s="3396" t="s">
        <v>1830</v>
      </c>
      <c r="G202" s="3397"/>
    </row>
    <row r="203" spans="1:7" ht="17.25" hidden="1" thickTop="1" x14ac:dyDescent="0.25">
      <c r="A203" s="2223">
        <v>44013</v>
      </c>
      <c r="B203" s="2215">
        <v>8.9499999999999993</v>
      </c>
      <c r="C203" s="2126">
        <v>1.78</v>
      </c>
      <c r="D203" s="2126">
        <v>14.06</v>
      </c>
      <c r="E203" s="2114">
        <v>566.14</v>
      </c>
      <c r="F203" s="3396" t="s">
        <v>1831</v>
      </c>
      <c r="G203" s="3397"/>
    </row>
    <row r="204" spans="1:7" ht="17.25" hidden="1" thickTop="1" x14ac:dyDescent="0.25">
      <c r="A204" s="2223">
        <v>44044</v>
      </c>
      <c r="B204" s="2215">
        <v>17.43</v>
      </c>
      <c r="C204" s="2126">
        <v>1.27</v>
      </c>
      <c r="D204" s="2126">
        <v>21.76</v>
      </c>
      <c r="E204" s="2114">
        <v>866.72</v>
      </c>
      <c r="F204" s="3396" t="s">
        <v>1832</v>
      </c>
      <c r="G204" s="3397"/>
    </row>
    <row r="205" spans="1:7" ht="17.25" hidden="1" thickTop="1" x14ac:dyDescent="0.25">
      <c r="A205" s="2223">
        <v>44075</v>
      </c>
      <c r="B205" s="2215">
        <v>10.78</v>
      </c>
      <c r="C205" s="2126">
        <v>6.33</v>
      </c>
      <c r="D205" s="2126">
        <v>20.34</v>
      </c>
      <c r="E205" s="2114">
        <v>810.35</v>
      </c>
      <c r="F205" s="3396" t="s">
        <v>1833</v>
      </c>
      <c r="G205" s="3397"/>
    </row>
    <row r="206" spans="1:7" ht="17.25" hidden="1" thickTop="1" x14ac:dyDescent="0.25">
      <c r="A206" s="2223">
        <v>44105</v>
      </c>
      <c r="B206" s="2215">
        <v>13.19</v>
      </c>
      <c r="C206" s="2126">
        <v>1.86</v>
      </c>
      <c r="D206" s="2126">
        <v>19.02</v>
      </c>
      <c r="E206" s="2114">
        <v>761.8</v>
      </c>
      <c r="F206" s="3396" t="s">
        <v>1834</v>
      </c>
      <c r="G206" s="3397"/>
    </row>
    <row r="207" spans="1:7" ht="17.25" hidden="1" thickTop="1" x14ac:dyDescent="0.25">
      <c r="A207" s="2223">
        <v>44136</v>
      </c>
      <c r="B207" s="2215">
        <v>15.88</v>
      </c>
      <c r="C207" s="2126">
        <v>2.2400000000000002</v>
      </c>
      <c r="D207" s="2126">
        <v>21.12</v>
      </c>
      <c r="E207" s="2114">
        <v>848.25</v>
      </c>
      <c r="F207" s="3396" t="s">
        <v>1835</v>
      </c>
      <c r="G207" s="3397"/>
    </row>
    <row r="208" spans="1:7" ht="17.25" hidden="1" thickTop="1" x14ac:dyDescent="0.25">
      <c r="A208" s="2223">
        <v>44166</v>
      </c>
      <c r="B208" s="2215">
        <v>42.410464060000002</v>
      </c>
      <c r="C208" s="2126">
        <v>1.68349628</v>
      </c>
      <c r="D208" s="2126">
        <v>48.768692449974566</v>
      </c>
      <c r="E208" s="2114">
        <v>1942.59</v>
      </c>
      <c r="F208" s="3396" t="s">
        <v>1836</v>
      </c>
      <c r="G208" s="3397"/>
    </row>
    <row r="209" spans="1:7" ht="17.25" hidden="1" thickTop="1" x14ac:dyDescent="0.25">
      <c r="A209" s="2223">
        <v>44197</v>
      </c>
      <c r="B209" s="2215">
        <v>13.77</v>
      </c>
      <c r="C209" s="2126">
        <v>3.58</v>
      </c>
      <c r="D209" s="2126">
        <v>20.47</v>
      </c>
      <c r="E209" s="2114">
        <v>811.64</v>
      </c>
      <c r="F209" s="3396" t="s">
        <v>1837</v>
      </c>
      <c r="G209" s="3397"/>
    </row>
    <row r="210" spans="1:7" ht="17.25" hidden="1" thickTop="1" x14ac:dyDescent="0.25">
      <c r="A210" s="2223">
        <v>44228</v>
      </c>
      <c r="B210" s="2215">
        <v>10.5</v>
      </c>
      <c r="C210" s="2126">
        <v>1.7</v>
      </c>
      <c r="D210" s="2126">
        <v>15.45</v>
      </c>
      <c r="E210" s="2114">
        <v>618.22</v>
      </c>
      <c r="F210" s="3396" t="s">
        <v>1838</v>
      </c>
      <c r="G210" s="3397"/>
    </row>
    <row r="211" spans="1:7" s="1428" customFormat="1" ht="18" hidden="1" customHeight="1" thickTop="1" x14ac:dyDescent="0.25">
      <c r="A211" s="2223">
        <v>44256</v>
      </c>
      <c r="B211" s="2215">
        <v>9.0459417700000007</v>
      </c>
      <c r="C211" s="2126">
        <v>0.91555689000000018</v>
      </c>
      <c r="D211" s="2126">
        <v>11.68</v>
      </c>
      <c r="E211" s="2114">
        <v>471.8</v>
      </c>
      <c r="F211" s="3396" t="s">
        <v>1839</v>
      </c>
      <c r="G211" s="3397"/>
    </row>
    <row r="212" spans="1:7" s="1428" customFormat="1" ht="18" hidden="1" customHeight="1" thickTop="1" x14ac:dyDescent="0.25">
      <c r="A212" s="2223">
        <v>44287</v>
      </c>
      <c r="B212" s="2215">
        <v>8.8699999999999992</v>
      </c>
      <c r="C212" s="2126">
        <v>1.7833556700000002</v>
      </c>
      <c r="D212" s="2126">
        <v>12.86</v>
      </c>
      <c r="E212" s="2114">
        <v>524.52</v>
      </c>
      <c r="F212" s="3396" t="s">
        <v>1840</v>
      </c>
      <c r="G212" s="3397"/>
    </row>
    <row r="213" spans="1:7" s="1428" customFormat="1" ht="18" hidden="1" customHeight="1" thickTop="1" x14ac:dyDescent="0.25">
      <c r="A213" s="2223">
        <v>44317</v>
      </c>
      <c r="B213" s="2215">
        <v>7.0565552900000004</v>
      </c>
      <c r="C213" s="2126">
        <v>10.96272037</v>
      </c>
      <c r="D213" s="2126">
        <v>21.69</v>
      </c>
      <c r="E213" s="2114">
        <v>884.25</v>
      </c>
      <c r="F213" s="3396" t="s">
        <v>1841</v>
      </c>
      <c r="G213" s="3397"/>
    </row>
    <row r="214" spans="1:7" s="1428" customFormat="1" ht="18" hidden="1" customHeight="1" thickTop="1" x14ac:dyDescent="0.25">
      <c r="A214" s="2223">
        <v>44348</v>
      </c>
      <c r="B214" s="2215">
        <v>51.269436660000004</v>
      </c>
      <c r="C214" s="2126">
        <v>8.11</v>
      </c>
      <c r="D214" s="2126">
        <v>61.07</v>
      </c>
      <c r="E214" s="2114">
        <v>2522.6999999999998</v>
      </c>
      <c r="F214" s="3396" t="s">
        <v>1842</v>
      </c>
      <c r="G214" s="3397"/>
    </row>
    <row r="215" spans="1:7" s="1428" customFormat="1" ht="18" hidden="1" customHeight="1" thickTop="1" x14ac:dyDescent="0.25">
      <c r="A215" s="2223">
        <v>44378</v>
      </c>
      <c r="B215" s="2215">
        <v>12.361380519999999</v>
      </c>
      <c r="C215" s="2126">
        <v>1.7925805800000001</v>
      </c>
      <c r="D215" s="2126">
        <v>16.34</v>
      </c>
      <c r="E215" s="2114">
        <v>701.04</v>
      </c>
      <c r="F215" s="3396" t="s">
        <v>1843</v>
      </c>
      <c r="G215" s="3397"/>
    </row>
    <row r="216" spans="1:7" s="1428" customFormat="1" ht="18" hidden="1" customHeight="1" thickTop="1" x14ac:dyDescent="0.25">
      <c r="A216" s="2223">
        <v>44409</v>
      </c>
      <c r="B216" s="2215">
        <v>8.4991085099999992</v>
      </c>
      <c r="C216" s="2126">
        <v>2.7719187300000003</v>
      </c>
      <c r="D216" s="2126">
        <v>12.93</v>
      </c>
      <c r="E216" s="2114">
        <v>555.09</v>
      </c>
      <c r="F216" s="3396" t="s">
        <v>1844</v>
      </c>
      <c r="G216" s="3397"/>
    </row>
    <row r="217" spans="1:7" s="1428" customFormat="1" ht="18" customHeight="1" thickTop="1" x14ac:dyDescent="0.25">
      <c r="A217" s="2223">
        <v>44440</v>
      </c>
      <c r="B217" s="2215">
        <v>11.894251759999998</v>
      </c>
      <c r="C217" s="2126">
        <v>11.525916090000001</v>
      </c>
      <c r="D217" s="2126">
        <v>26.41</v>
      </c>
      <c r="E217" s="2114">
        <v>1131.77</v>
      </c>
      <c r="F217" s="3396" t="s">
        <v>1845</v>
      </c>
      <c r="G217" s="3397"/>
    </row>
    <row r="218" spans="1:7" s="1428" customFormat="1" ht="18" customHeight="1" x14ac:dyDescent="0.25">
      <c r="A218" s="2223">
        <v>44470</v>
      </c>
      <c r="B218" s="2215">
        <v>7.9263375500000004</v>
      </c>
      <c r="C218" s="2126">
        <v>1.9705972499999997</v>
      </c>
      <c r="D218" s="2126">
        <v>12.48</v>
      </c>
      <c r="E218" s="2114">
        <v>537.22</v>
      </c>
      <c r="F218" s="3396" t="s">
        <v>1846</v>
      </c>
      <c r="G218" s="3397"/>
    </row>
    <row r="219" spans="1:7" s="1428" customFormat="1" ht="18" customHeight="1" x14ac:dyDescent="0.25">
      <c r="A219" s="2223">
        <v>44501</v>
      </c>
      <c r="B219" s="2215">
        <v>13</v>
      </c>
      <c r="C219" s="2126">
        <v>2.34</v>
      </c>
      <c r="D219" s="2126">
        <v>18.88</v>
      </c>
      <c r="E219" s="2114">
        <v>820.83</v>
      </c>
      <c r="F219" s="3396" t="s">
        <v>1847</v>
      </c>
      <c r="G219" s="3397"/>
    </row>
    <row r="220" spans="1:7" s="1428" customFormat="1" ht="18" customHeight="1" x14ac:dyDescent="0.25">
      <c r="A220" s="2223">
        <v>44531</v>
      </c>
      <c r="B220" s="2215">
        <v>11.351227510000001</v>
      </c>
      <c r="C220" s="2126">
        <v>3.7605743599999997</v>
      </c>
      <c r="D220" s="2126">
        <v>19.3</v>
      </c>
      <c r="E220" s="2114">
        <v>844.23</v>
      </c>
      <c r="F220" s="3396" t="s">
        <v>1848</v>
      </c>
      <c r="G220" s="3397"/>
    </row>
    <row r="221" spans="1:7" s="1428" customFormat="1" ht="18" customHeight="1" x14ac:dyDescent="0.25">
      <c r="A221" s="2223">
        <v>44562</v>
      </c>
      <c r="B221" s="2215">
        <v>10.600160489999999</v>
      </c>
      <c r="C221" s="2126">
        <v>7.3011858000000007</v>
      </c>
      <c r="D221" s="2126">
        <v>22.79</v>
      </c>
      <c r="E221" s="2114">
        <v>1001.39</v>
      </c>
      <c r="F221" s="3396" t="s">
        <v>1849</v>
      </c>
      <c r="G221" s="3397"/>
    </row>
    <row r="222" spans="1:7" s="1428" customFormat="1" ht="18" customHeight="1" x14ac:dyDescent="0.25">
      <c r="A222" s="2223">
        <v>44593</v>
      </c>
      <c r="B222" s="2215">
        <v>18.255956319999999</v>
      </c>
      <c r="C222" s="2126">
        <v>3.9692368200000003</v>
      </c>
      <c r="D222" s="2126">
        <v>24.61</v>
      </c>
      <c r="E222" s="2114">
        <v>1085.58</v>
      </c>
      <c r="F222" s="3396" t="s">
        <v>1850</v>
      </c>
      <c r="G222" s="3397"/>
    </row>
    <row r="223" spans="1:7" s="1428" customFormat="1" ht="18" customHeight="1" x14ac:dyDescent="0.25">
      <c r="A223" s="2223">
        <v>44621</v>
      </c>
      <c r="B223" s="2215">
        <v>7.9747900599999992</v>
      </c>
      <c r="C223" s="2126">
        <v>4.5635680800000005</v>
      </c>
      <c r="D223" s="2126">
        <v>17.04</v>
      </c>
      <c r="E223" s="2114">
        <v>757.79</v>
      </c>
      <c r="F223" s="3396" t="s">
        <v>1851</v>
      </c>
      <c r="G223" s="3397"/>
    </row>
    <row r="224" spans="1:7" s="1428" customFormat="1" ht="18" customHeight="1" x14ac:dyDescent="0.25">
      <c r="A224" s="2223">
        <v>44652</v>
      </c>
      <c r="B224" s="2215">
        <v>4.6111698099999998</v>
      </c>
      <c r="C224" s="2126">
        <v>6.5653724899999997</v>
      </c>
      <c r="D224" s="2126">
        <v>13.6</v>
      </c>
      <c r="E224" s="2114">
        <v>595.20000000000005</v>
      </c>
      <c r="F224" s="3396" t="s">
        <v>1852</v>
      </c>
      <c r="G224" s="3397"/>
    </row>
    <row r="225" spans="1:7" s="1428" customFormat="1" ht="18" customHeight="1" x14ac:dyDescent="0.25">
      <c r="A225" s="2223">
        <v>44682</v>
      </c>
      <c r="B225" s="2215">
        <v>2.6339439499999995</v>
      </c>
      <c r="C225" s="2126">
        <v>15.048955139999999</v>
      </c>
      <c r="D225" s="2126">
        <v>19.93</v>
      </c>
      <c r="E225" s="2114">
        <v>861.61</v>
      </c>
      <c r="F225" s="3396" t="s">
        <v>1853</v>
      </c>
      <c r="G225" s="3397"/>
    </row>
    <row r="226" spans="1:7" s="1428" customFormat="1" ht="18" customHeight="1" x14ac:dyDescent="0.25">
      <c r="A226" s="2223">
        <v>44713</v>
      </c>
      <c r="B226" s="2215">
        <v>7.936860030000001</v>
      </c>
      <c r="C226" s="2126">
        <v>3.7040520500000005</v>
      </c>
      <c r="D226" s="2126">
        <v>15.566483739651897</v>
      </c>
      <c r="E226" s="2114">
        <v>694.83635800000002</v>
      </c>
      <c r="F226" s="3396" t="s">
        <v>1854</v>
      </c>
      <c r="G226" s="3397"/>
    </row>
    <row r="227" spans="1:7" s="1428" customFormat="1" ht="18" customHeight="1" x14ac:dyDescent="0.25">
      <c r="A227" s="2223">
        <v>44743</v>
      </c>
      <c r="B227" s="2215">
        <v>5.54</v>
      </c>
      <c r="C227" s="2126">
        <v>7.0579999999999998</v>
      </c>
      <c r="D227" s="2126">
        <v>17.170000000000002</v>
      </c>
      <c r="E227" s="2114">
        <v>776.1</v>
      </c>
      <c r="F227" s="3396" t="s">
        <v>1855</v>
      </c>
      <c r="G227" s="3397"/>
    </row>
    <row r="228" spans="1:7" s="1428" customFormat="1" ht="18" customHeight="1" x14ac:dyDescent="0.25">
      <c r="A228" s="2223">
        <v>44774</v>
      </c>
      <c r="B228" s="2215">
        <v>4.1798940399999998</v>
      </c>
      <c r="C228" s="2126">
        <v>4.4772687199999996</v>
      </c>
      <c r="D228" s="2126">
        <v>13.494047114502001</v>
      </c>
      <c r="E228" s="2114">
        <v>613.11241899999993</v>
      </c>
      <c r="F228" s="3396" t="s">
        <v>1856</v>
      </c>
      <c r="G228" s="3397"/>
    </row>
    <row r="229" spans="1:7" s="1428" customFormat="1" ht="18" customHeight="1" x14ac:dyDescent="0.25">
      <c r="A229" s="2223">
        <v>44805</v>
      </c>
      <c r="B229" s="2215">
        <v>3.7045430799999997</v>
      </c>
      <c r="C229" s="2126">
        <v>6.1072817600000002</v>
      </c>
      <c r="D229" s="2126">
        <v>15.66</v>
      </c>
      <c r="E229" s="2114">
        <v>703.98</v>
      </c>
      <c r="F229" s="3396" t="s">
        <v>1857</v>
      </c>
      <c r="G229" s="3397"/>
    </row>
    <row r="230" spans="1:7" s="1428" customFormat="1" ht="18" customHeight="1" x14ac:dyDescent="0.25">
      <c r="A230" s="2223">
        <v>44835</v>
      </c>
      <c r="B230" s="2215">
        <v>5.03</v>
      </c>
      <c r="C230" s="2126">
        <v>9.8699999999999992</v>
      </c>
      <c r="D230" s="2126">
        <v>18.607512155899805</v>
      </c>
      <c r="E230" s="2114">
        <v>836.79218499999979</v>
      </c>
      <c r="F230" s="3396" t="s">
        <v>1858</v>
      </c>
      <c r="G230" s="3397"/>
    </row>
    <row r="231" spans="1:7" s="1428" customFormat="1" ht="18" customHeight="1" x14ac:dyDescent="0.25">
      <c r="A231" s="2223">
        <v>44866</v>
      </c>
      <c r="B231" s="2215">
        <v>7.9282651700000004</v>
      </c>
      <c r="C231" s="2126">
        <v>11.92611709</v>
      </c>
      <c r="D231" s="2126">
        <v>24.202002191964784</v>
      </c>
      <c r="E231" s="2114">
        <v>1065.23</v>
      </c>
      <c r="F231" s="3396" t="s">
        <v>1859</v>
      </c>
      <c r="G231" s="3397"/>
    </row>
    <row r="232" spans="1:7" s="1428" customFormat="1" ht="18" customHeight="1" x14ac:dyDescent="0.25">
      <c r="A232" s="2223">
        <v>44896</v>
      </c>
      <c r="B232" s="2215">
        <v>24.81</v>
      </c>
      <c r="C232" s="2126">
        <v>16.366193169999999</v>
      </c>
      <c r="D232" s="2126">
        <v>49.16</v>
      </c>
      <c r="E232" s="2114">
        <v>2164.13</v>
      </c>
      <c r="F232" s="3396" t="s">
        <v>1860</v>
      </c>
      <c r="G232" s="3397"/>
    </row>
    <row r="233" spans="1:7" s="1428" customFormat="1" ht="18" customHeight="1" x14ac:dyDescent="0.25">
      <c r="A233" s="2223">
        <v>44927</v>
      </c>
      <c r="B233" s="2215">
        <v>7.63</v>
      </c>
      <c r="C233" s="2126">
        <v>18.260000000000002</v>
      </c>
      <c r="D233" s="2126">
        <v>32.11</v>
      </c>
      <c r="E233" s="2114">
        <v>1426.61</v>
      </c>
      <c r="F233" s="3396" t="s">
        <v>1861</v>
      </c>
      <c r="G233" s="3397"/>
    </row>
    <row r="234" spans="1:7" s="1428" customFormat="1" ht="18" customHeight="1" x14ac:dyDescent="0.25">
      <c r="A234" s="2223">
        <v>44958</v>
      </c>
      <c r="B234" s="2215">
        <v>6.7908399799999994</v>
      </c>
      <c r="C234" s="2126">
        <v>8.2631407899999996</v>
      </c>
      <c r="D234" s="2126">
        <v>26.71</v>
      </c>
      <c r="E234" s="2114">
        <v>1229.47</v>
      </c>
      <c r="F234" s="3396" t="s">
        <v>1862</v>
      </c>
      <c r="G234" s="3397"/>
    </row>
    <row r="235" spans="1:7" s="1428" customFormat="1" ht="18" customHeight="1" x14ac:dyDescent="0.25">
      <c r="A235" s="2223">
        <v>44986</v>
      </c>
      <c r="B235" s="2215">
        <v>16.39</v>
      </c>
      <c r="C235" s="2126">
        <v>11.23</v>
      </c>
      <c r="D235" s="2126">
        <v>35.329735342770228</v>
      </c>
      <c r="E235" s="2114">
        <v>1653.24</v>
      </c>
      <c r="F235" s="3396" t="s">
        <v>1863</v>
      </c>
      <c r="G235" s="3397"/>
    </row>
    <row r="236" spans="1:7" s="1428" customFormat="1" ht="18" customHeight="1" x14ac:dyDescent="0.25">
      <c r="A236" s="2223">
        <v>45017</v>
      </c>
      <c r="B236" s="2215">
        <v>4.66</v>
      </c>
      <c r="C236" s="2126">
        <v>6.92</v>
      </c>
      <c r="D236" s="2126">
        <v>14.444170838242293</v>
      </c>
      <c r="E236" s="2114">
        <v>653.36044877358268</v>
      </c>
      <c r="F236" s="3396" t="s">
        <v>1864</v>
      </c>
      <c r="G236" s="3397"/>
    </row>
    <row r="237" spans="1:7" s="1428" customFormat="1" ht="18" customHeight="1" x14ac:dyDescent="0.25">
      <c r="A237" s="2223">
        <v>45047</v>
      </c>
      <c r="B237" s="2215">
        <v>4.5276972100000004</v>
      </c>
      <c r="C237" s="2126">
        <v>6.0327979899999997</v>
      </c>
      <c r="D237" s="2126">
        <v>13.832898154911275</v>
      </c>
      <c r="E237" s="2114">
        <v>630.42851800000005</v>
      </c>
      <c r="F237" s="3396" t="s">
        <v>1865</v>
      </c>
      <c r="G237" s="3397"/>
    </row>
    <row r="238" spans="1:7" s="1428" customFormat="1" ht="18" customHeight="1" x14ac:dyDescent="0.25">
      <c r="A238" s="2223">
        <v>45078</v>
      </c>
      <c r="B238" s="2215">
        <v>6.17</v>
      </c>
      <c r="C238" s="2126">
        <v>4.84</v>
      </c>
      <c r="D238" s="2126">
        <v>14.717739383547325</v>
      </c>
      <c r="E238" s="2114">
        <v>672.67</v>
      </c>
      <c r="F238" s="3396" t="s">
        <v>1866</v>
      </c>
      <c r="G238" s="3397"/>
    </row>
    <row r="239" spans="1:7" s="1428" customFormat="1" ht="18" customHeight="1" x14ac:dyDescent="0.25">
      <c r="A239" s="2223">
        <v>45108</v>
      </c>
      <c r="B239" s="2215">
        <v>5.2604887900000001</v>
      </c>
      <c r="C239" s="2126">
        <v>7.6716732300000015</v>
      </c>
      <c r="D239" s="2126">
        <v>18.772625104234287</v>
      </c>
      <c r="E239" s="2114">
        <v>856.15544100000011</v>
      </c>
      <c r="F239" s="3396" t="s">
        <v>1867</v>
      </c>
      <c r="G239" s="3397"/>
    </row>
    <row r="240" spans="1:7" s="1428" customFormat="1" ht="18" customHeight="1" x14ac:dyDescent="0.25">
      <c r="A240" s="2223">
        <v>45139</v>
      </c>
      <c r="B240" s="2215">
        <v>5.0270356200000004</v>
      </c>
      <c r="C240" s="2126">
        <v>21.32001485</v>
      </c>
      <c r="D240" s="2126">
        <v>28.6</v>
      </c>
      <c r="E240" s="2114">
        <v>1302.78</v>
      </c>
      <c r="F240" s="3396" t="s">
        <v>1868</v>
      </c>
      <c r="G240" s="3397"/>
    </row>
    <row r="241" spans="1:7" s="1428" customFormat="1" ht="18" customHeight="1" thickBot="1" x14ac:dyDescent="0.3">
      <c r="A241" s="2228">
        <v>45170</v>
      </c>
      <c r="B241" s="2229">
        <v>2.62996052</v>
      </c>
      <c r="C241" s="2230">
        <v>18.90460985</v>
      </c>
      <c r="D241" s="2230">
        <v>26.8</v>
      </c>
      <c r="E241" s="2230">
        <v>1209.1099999999999</v>
      </c>
      <c r="F241" s="3398" t="s">
        <v>1869</v>
      </c>
      <c r="G241" s="3399"/>
    </row>
    <row r="242" spans="1:7" ht="15" thickTop="1" x14ac:dyDescent="0.25"/>
    <row r="243" spans="1:7" s="1428" customFormat="1" ht="15.75" x14ac:dyDescent="0.25">
      <c r="A243" s="2231" t="s">
        <v>1870</v>
      </c>
      <c r="B243" s="2232"/>
      <c r="C243" s="2232"/>
      <c r="D243" s="2232"/>
      <c r="E243" s="2232"/>
      <c r="F243" s="1694"/>
    </row>
    <row r="244" spans="1:7" s="1428" customFormat="1" ht="15.75" x14ac:dyDescent="0.25">
      <c r="A244" s="2231" t="s">
        <v>1871</v>
      </c>
      <c r="B244" s="2232"/>
      <c r="C244" s="2232"/>
      <c r="D244" s="2232"/>
      <c r="E244" s="2232"/>
      <c r="F244" s="1694"/>
    </row>
    <row r="245" spans="1:7" s="1428" customFormat="1" x14ac:dyDescent="0.25">
      <c r="A245" s="1428" t="s">
        <v>173</v>
      </c>
      <c r="B245" s="2232"/>
      <c r="C245" s="2232"/>
      <c r="D245" s="2232"/>
      <c r="E245" s="2232"/>
      <c r="F245" s="1694"/>
    </row>
    <row r="246" spans="1:7" s="1427" customFormat="1" ht="20.25" customHeight="1" x14ac:dyDescent="0.25">
      <c r="A246" s="2233" t="s">
        <v>0</v>
      </c>
      <c r="B246" s="2234"/>
      <c r="C246" s="2234"/>
      <c r="D246" s="2234"/>
      <c r="E246" s="2234"/>
      <c r="F246" s="1969"/>
    </row>
    <row r="247" spans="1:7" x14ac:dyDescent="0.25">
      <c r="A247" s="631"/>
      <c r="C247" s="2235"/>
      <c r="D247" s="2236"/>
      <c r="G247" s="1427"/>
    </row>
    <row r="248" spans="1:7" ht="15" customHeight="1" x14ac:dyDescent="0.25">
      <c r="A248" s="2131"/>
      <c r="B248" s="2216"/>
      <c r="C248" s="2216"/>
      <c r="D248" s="2234"/>
      <c r="F248" s="2235"/>
    </row>
    <row r="249" spans="1:7" s="1427" customFormat="1" ht="17.25" customHeight="1" x14ac:dyDescent="0.25">
      <c r="A249" s="2237"/>
      <c r="B249" s="631"/>
      <c r="C249" s="631"/>
      <c r="D249" s="631"/>
      <c r="E249" s="631"/>
      <c r="F249" s="631"/>
      <c r="G249" s="2198"/>
    </row>
    <row r="250" spans="1:7" s="1427" customFormat="1" ht="17.25" customHeight="1" x14ac:dyDescent="0.25">
      <c r="A250" s="2238"/>
      <c r="C250" s="1969"/>
      <c r="D250" s="2239"/>
    </row>
    <row r="251" spans="1:7" s="1427" customFormat="1" x14ac:dyDescent="0.25">
      <c r="A251" s="2238"/>
      <c r="C251" s="1969"/>
      <c r="D251" s="2239"/>
    </row>
    <row r="252" spans="1:7" x14ac:dyDescent="0.25">
      <c r="A252" s="2238"/>
      <c r="B252" s="1427"/>
      <c r="C252" s="1969"/>
      <c r="D252" s="2239"/>
      <c r="E252" s="1427"/>
      <c r="F252" s="1427"/>
      <c r="G252" s="1427"/>
    </row>
    <row r="254" spans="1:7" x14ac:dyDescent="0.25">
      <c r="A254" s="2240"/>
    </row>
    <row r="257" spans="1:6" x14ac:dyDescent="0.25">
      <c r="F257" s="631" t="s">
        <v>306</v>
      </c>
    </row>
    <row r="270" spans="1:6" x14ac:dyDescent="0.25">
      <c r="A270" s="631"/>
      <c r="D270" s="2241"/>
    </row>
  </sheetData>
  <mergeCells count="238">
    <mergeCell ref="F9:G9"/>
    <mergeCell ref="F10:G10"/>
    <mergeCell ref="F11:G11"/>
    <mergeCell ref="F12:G12"/>
    <mergeCell ref="F13:G13"/>
    <mergeCell ref="F14:G14"/>
    <mergeCell ref="D3:E3"/>
    <mergeCell ref="F3:G3"/>
    <mergeCell ref="F4:G4"/>
    <mergeCell ref="F5:G5"/>
    <mergeCell ref="F6:G6"/>
    <mergeCell ref="F7:G7"/>
    <mergeCell ref="F21:G21"/>
    <mergeCell ref="F22:G22"/>
    <mergeCell ref="F23:G23"/>
    <mergeCell ref="F24:G24"/>
    <mergeCell ref="F25:G25"/>
    <mergeCell ref="F26:G26"/>
    <mergeCell ref="F15:G15"/>
    <mergeCell ref="F16:G16"/>
    <mergeCell ref="F17:G17"/>
    <mergeCell ref="F18:G18"/>
    <mergeCell ref="F19:G19"/>
    <mergeCell ref="F20:G20"/>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F88:G88"/>
    <mergeCell ref="F89:G89"/>
    <mergeCell ref="F90:G90"/>
    <mergeCell ref="F91:G91"/>
    <mergeCell ref="F92:G92"/>
    <mergeCell ref="F93:G93"/>
    <mergeCell ref="F106:G106"/>
    <mergeCell ref="F107:G107"/>
    <mergeCell ref="F108:G108"/>
    <mergeCell ref="F109:G109"/>
    <mergeCell ref="F110:G110"/>
    <mergeCell ref="F111:G111"/>
    <mergeCell ref="F100:G100"/>
    <mergeCell ref="F101:G101"/>
    <mergeCell ref="F102:G102"/>
    <mergeCell ref="F103:G103"/>
    <mergeCell ref="F104:G104"/>
    <mergeCell ref="F105:G105"/>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42:G142"/>
    <mergeCell ref="F143:G143"/>
    <mergeCell ref="F144:G144"/>
    <mergeCell ref="F145:G145"/>
    <mergeCell ref="F146:G146"/>
    <mergeCell ref="F147:G147"/>
    <mergeCell ref="F136:G136"/>
    <mergeCell ref="F137:G137"/>
    <mergeCell ref="F138:G138"/>
    <mergeCell ref="F139:G139"/>
    <mergeCell ref="F140:G140"/>
    <mergeCell ref="F141:G141"/>
    <mergeCell ref="F154:G154"/>
    <mergeCell ref="F155:G155"/>
    <mergeCell ref="F156:G156"/>
    <mergeCell ref="F157:G157"/>
    <mergeCell ref="F158:G158"/>
    <mergeCell ref="F159:G159"/>
    <mergeCell ref="F148:G148"/>
    <mergeCell ref="F149:G149"/>
    <mergeCell ref="F150:G150"/>
    <mergeCell ref="F151:G151"/>
    <mergeCell ref="F152:G152"/>
    <mergeCell ref="F153:G153"/>
    <mergeCell ref="F166:G166"/>
    <mergeCell ref="F167:G167"/>
    <mergeCell ref="F168:G168"/>
    <mergeCell ref="F169:G169"/>
    <mergeCell ref="F170:G170"/>
    <mergeCell ref="F171:G171"/>
    <mergeCell ref="F160:G160"/>
    <mergeCell ref="F161:G161"/>
    <mergeCell ref="F162:G162"/>
    <mergeCell ref="F163:G163"/>
    <mergeCell ref="F164:G164"/>
    <mergeCell ref="F165:G165"/>
    <mergeCell ref="F178:G178"/>
    <mergeCell ref="F179:G179"/>
    <mergeCell ref="F180:G180"/>
    <mergeCell ref="F181:G181"/>
    <mergeCell ref="F182:G182"/>
    <mergeCell ref="F183:G183"/>
    <mergeCell ref="F172:G172"/>
    <mergeCell ref="F173:G173"/>
    <mergeCell ref="F174:G174"/>
    <mergeCell ref="F175:G175"/>
    <mergeCell ref="F176:G176"/>
    <mergeCell ref="F177:G177"/>
    <mergeCell ref="F190:G190"/>
    <mergeCell ref="F191:G191"/>
    <mergeCell ref="F192:G192"/>
    <mergeCell ref="F193:G193"/>
    <mergeCell ref="F194:G194"/>
    <mergeCell ref="F195:G195"/>
    <mergeCell ref="F184:G184"/>
    <mergeCell ref="F185:G185"/>
    <mergeCell ref="F186:G186"/>
    <mergeCell ref="F187:G187"/>
    <mergeCell ref="F188:G188"/>
    <mergeCell ref="F189:G189"/>
    <mergeCell ref="F202:G202"/>
    <mergeCell ref="F203:G203"/>
    <mergeCell ref="F204:G204"/>
    <mergeCell ref="F205:G205"/>
    <mergeCell ref="F206:G206"/>
    <mergeCell ref="F207:G207"/>
    <mergeCell ref="F196:G196"/>
    <mergeCell ref="F197:G197"/>
    <mergeCell ref="F198:G198"/>
    <mergeCell ref="F199:G199"/>
    <mergeCell ref="F200:G200"/>
    <mergeCell ref="F201:G201"/>
    <mergeCell ref="F214:G214"/>
    <mergeCell ref="F215:G215"/>
    <mergeCell ref="F216:G216"/>
    <mergeCell ref="F217:G217"/>
    <mergeCell ref="F218:G218"/>
    <mergeCell ref="F219:G219"/>
    <mergeCell ref="F208:G208"/>
    <mergeCell ref="F209:G209"/>
    <mergeCell ref="F210:G210"/>
    <mergeCell ref="F211:G211"/>
    <mergeCell ref="F212:G212"/>
    <mergeCell ref="F213:G213"/>
    <mergeCell ref="F226:G226"/>
    <mergeCell ref="F227:G227"/>
    <mergeCell ref="F228:G228"/>
    <mergeCell ref="F229:G229"/>
    <mergeCell ref="F230:G230"/>
    <mergeCell ref="F231:G231"/>
    <mergeCell ref="F220:G220"/>
    <mergeCell ref="F221:G221"/>
    <mergeCell ref="F222:G222"/>
    <mergeCell ref="F223:G223"/>
    <mergeCell ref="F224:G224"/>
    <mergeCell ref="F225:G225"/>
    <mergeCell ref="F238:G238"/>
    <mergeCell ref="F239:G239"/>
    <mergeCell ref="F240:G240"/>
    <mergeCell ref="F241:G241"/>
    <mergeCell ref="F232:G232"/>
    <mergeCell ref="F233:G233"/>
    <mergeCell ref="F234:G234"/>
    <mergeCell ref="F235:G235"/>
    <mergeCell ref="F236:G236"/>
    <mergeCell ref="F237:G237"/>
  </mergeCells>
  <printOptions horizontalCentered="1"/>
  <pageMargins left="0.75" right="0.75" top="0.75" bottom="0.75" header="0.31496062992126" footer="0"/>
  <pageSetup paperSize="9" scale="7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09"/>
  <sheetViews>
    <sheetView showGridLines="0" zoomScale="90" zoomScaleNormal="90" zoomScaleSheetLayoutView="85" workbookViewId="0">
      <pane xSplit="1" ySplit="4" topLeftCell="B190" activePane="bottomRight" state="frozen"/>
      <selection activeCell="A38" sqref="A38"/>
      <selection pane="topRight" activeCell="A38" sqref="A38"/>
      <selection pane="bottomLeft" activeCell="A38" sqref="A38"/>
      <selection pane="bottomRight" activeCell="A38" sqref="A38"/>
    </sheetView>
  </sheetViews>
  <sheetFormatPr defaultColWidth="9.140625" defaultRowHeight="15" x14ac:dyDescent="0.25"/>
  <cols>
    <col min="1" max="7" width="13.5703125" style="2573" customWidth="1"/>
    <col min="8" max="8" width="12.85546875" style="2573" bestFit="1" customWidth="1"/>
    <col min="9" max="16384" width="9.140625" style="2573"/>
  </cols>
  <sheetData>
    <row r="1" spans="1:8" s="2568" customFormat="1" ht="18.75" customHeight="1" x14ac:dyDescent="0.25">
      <c r="A1" s="2535" t="s">
        <v>5597</v>
      </c>
      <c r="B1" s="2535"/>
      <c r="C1" s="2535"/>
      <c r="D1" s="2535"/>
      <c r="E1" s="2535"/>
      <c r="F1" s="2535"/>
      <c r="G1" s="2535"/>
    </row>
    <row r="2" spans="1:8" ht="15" customHeight="1" thickBot="1" x14ac:dyDescent="0.3">
      <c r="A2" s="2569"/>
      <c r="B2" s="2570"/>
      <c r="C2" s="2570"/>
      <c r="D2" s="2570"/>
      <c r="E2" s="2571"/>
      <c r="F2" s="2571"/>
      <c r="G2" s="2572" t="s">
        <v>1247</v>
      </c>
    </row>
    <row r="3" spans="1:8" ht="18" thickTop="1" thickBot="1" x14ac:dyDescent="0.3">
      <c r="A3" s="2574"/>
      <c r="B3" s="3245" t="s">
        <v>2461</v>
      </c>
      <c r="C3" s="3246"/>
      <c r="D3" s="3247"/>
      <c r="E3" s="3246" t="s">
        <v>2462</v>
      </c>
      <c r="F3" s="3246"/>
      <c r="G3" s="3247"/>
    </row>
    <row r="4" spans="1:8" ht="30.6" customHeight="1" thickTop="1" thickBot="1" x14ac:dyDescent="0.3">
      <c r="A4" s="2575" t="s">
        <v>183</v>
      </c>
      <c r="B4" s="2576" t="s">
        <v>2463</v>
      </c>
      <c r="C4" s="2577" t="s">
        <v>2464</v>
      </c>
      <c r="D4" s="2578" t="s">
        <v>2465</v>
      </c>
      <c r="E4" s="2579" t="s">
        <v>2466</v>
      </c>
      <c r="F4" s="2580" t="s">
        <v>2467</v>
      </c>
      <c r="G4" s="2581" t="s">
        <v>2468</v>
      </c>
    </row>
    <row r="5" spans="1:8" ht="18" hidden="1" customHeight="1" thickTop="1" x14ac:dyDescent="0.3">
      <c r="A5" s="2582">
        <v>39264</v>
      </c>
      <c r="B5" s="2583">
        <v>10.5</v>
      </c>
      <c r="C5" s="2584">
        <v>7.6</v>
      </c>
      <c r="D5" s="2585">
        <v>6.4</v>
      </c>
      <c r="E5" s="2586">
        <v>7.1</v>
      </c>
      <c r="F5" s="2584">
        <v>5.0447389893233385</v>
      </c>
      <c r="G5" s="2585">
        <v>5.3791497041713932</v>
      </c>
    </row>
    <row r="6" spans="1:8" ht="18" hidden="1" customHeight="1" x14ac:dyDescent="0.3">
      <c r="A6" s="2582">
        <v>39295</v>
      </c>
      <c r="B6" s="2583">
        <v>10.1</v>
      </c>
      <c r="C6" s="2584">
        <v>7</v>
      </c>
      <c r="D6" s="2585">
        <v>6.2</v>
      </c>
      <c r="E6" s="2586">
        <v>6.8</v>
      </c>
      <c r="F6" s="2584">
        <v>3.660396223215745</v>
      </c>
      <c r="G6" s="2585">
        <v>4.6578413383237649</v>
      </c>
    </row>
    <row r="7" spans="1:8" ht="18" hidden="1" customHeight="1" x14ac:dyDescent="0.3">
      <c r="A7" s="2582">
        <v>39326</v>
      </c>
      <c r="B7" s="2583">
        <v>9.6999999999999993</v>
      </c>
      <c r="C7" s="2584">
        <v>6.4</v>
      </c>
      <c r="D7" s="2585">
        <v>6.2</v>
      </c>
      <c r="E7" s="2586">
        <v>7.3</v>
      </c>
      <c r="F7" s="2584">
        <v>4.7259123460996921</v>
      </c>
      <c r="G7" s="2585">
        <v>5.0512072292763222</v>
      </c>
    </row>
    <row r="8" spans="1:8" ht="18" hidden="1" customHeight="1" x14ac:dyDescent="0.3">
      <c r="A8" s="2582">
        <v>39356</v>
      </c>
      <c r="B8" s="2583">
        <v>9.4</v>
      </c>
      <c r="C8" s="2584">
        <v>5.9</v>
      </c>
      <c r="D8" s="2585">
        <v>6.1</v>
      </c>
      <c r="E8" s="2586">
        <v>8.4</v>
      </c>
      <c r="F8" s="2584">
        <v>5.0358509954642861</v>
      </c>
      <c r="G8" s="2585">
        <v>5.5418515387933631</v>
      </c>
    </row>
    <row r="9" spans="1:8" ht="18" hidden="1" customHeight="1" x14ac:dyDescent="0.3">
      <c r="A9" s="2582">
        <v>39387</v>
      </c>
      <c r="B9" s="2583">
        <v>9.1</v>
      </c>
      <c r="C9" s="2584">
        <v>5.4</v>
      </c>
      <c r="D9" s="2585">
        <v>6</v>
      </c>
      <c r="E9" s="2586">
        <v>8.4</v>
      </c>
      <c r="F9" s="2584">
        <v>5.1075033046994012</v>
      </c>
      <c r="G9" s="2585">
        <v>5.6431344967298624</v>
      </c>
    </row>
    <row r="10" spans="1:8" ht="18" hidden="1" customHeight="1" x14ac:dyDescent="0.3">
      <c r="A10" s="2582">
        <v>39417</v>
      </c>
      <c r="B10" s="2583">
        <v>8.8000000000000007</v>
      </c>
      <c r="C10" s="2584">
        <v>5</v>
      </c>
      <c r="D10" s="2585">
        <v>5.7</v>
      </c>
      <c r="E10" s="2586">
        <v>8.6</v>
      </c>
      <c r="F10" s="2584">
        <v>5.0604430819486623</v>
      </c>
      <c r="G10" s="2585">
        <v>5.591690193063914</v>
      </c>
    </row>
    <row r="11" spans="1:8" ht="18" hidden="1" customHeight="1" x14ac:dyDescent="0.3">
      <c r="A11" s="2582">
        <v>39448</v>
      </c>
      <c r="B11" s="2583">
        <v>8.9</v>
      </c>
      <c r="C11" s="2584">
        <v>5.2</v>
      </c>
      <c r="D11" s="2585">
        <v>5.7</v>
      </c>
      <c r="E11" s="2586">
        <v>9.9</v>
      </c>
      <c r="F11" s="2584">
        <v>8.0833099952848819</v>
      </c>
      <c r="G11" s="2585">
        <v>5.8939130096091974</v>
      </c>
    </row>
    <row r="12" spans="1:8" ht="18" hidden="1" customHeight="1" x14ac:dyDescent="0.3">
      <c r="A12" s="2582">
        <v>39479</v>
      </c>
      <c r="B12" s="2583">
        <v>9</v>
      </c>
      <c r="C12" s="2584">
        <v>5.5</v>
      </c>
      <c r="D12" s="2585">
        <v>5.7</v>
      </c>
      <c r="E12" s="2586">
        <v>10.1</v>
      </c>
      <c r="F12" s="2584">
        <v>8.1201457581817635</v>
      </c>
      <c r="G12" s="2585">
        <v>5.8769776464297818</v>
      </c>
      <c r="H12" s="2587"/>
    </row>
    <row r="13" spans="1:8" ht="18" hidden="1" customHeight="1" x14ac:dyDescent="0.3">
      <c r="A13" s="2582">
        <v>39508</v>
      </c>
      <c r="B13" s="2583">
        <v>9</v>
      </c>
      <c r="C13" s="2584">
        <v>5.8</v>
      </c>
      <c r="D13" s="2585">
        <v>5.7</v>
      </c>
      <c r="E13" s="2586">
        <v>9.3000000000000007</v>
      </c>
      <c r="F13" s="2584">
        <v>8.040251592514668</v>
      </c>
      <c r="G13" s="2585">
        <v>5.7638673007165631</v>
      </c>
    </row>
    <row r="14" spans="1:8" ht="18" hidden="1" customHeight="1" x14ac:dyDescent="0.3">
      <c r="A14" s="2582">
        <v>39539</v>
      </c>
      <c r="B14" s="2583">
        <v>8.9</v>
      </c>
      <c r="C14" s="2584">
        <v>5.9</v>
      </c>
      <c r="D14" s="2585">
        <v>5.6</v>
      </c>
      <c r="E14" s="2586">
        <v>9.3000000000000007</v>
      </c>
      <c r="F14" s="2584">
        <v>8.9361330582487177</v>
      </c>
      <c r="G14" s="2585">
        <v>5.4932220195048842</v>
      </c>
    </row>
    <row r="15" spans="1:8" ht="18" hidden="1" customHeight="1" x14ac:dyDescent="0.3">
      <c r="A15" s="2582">
        <v>39569</v>
      </c>
      <c r="B15" s="2583">
        <v>8.8000000000000007</v>
      </c>
      <c r="C15" s="2584">
        <v>6.2</v>
      </c>
      <c r="D15" s="2585">
        <v>5.6</v>
      </c>
      <c r="E15" s="2586">
        <v>9.8000000000000007</v>
      </c>
      <c r="F15" s="2584">
        <v>9.6577736742990083</v>
      </c>
      <c r="G15" s="2585">
        <v>5.794506306308933</v>
      </c>
    </row>
    <row r="16" spans="1:8" ht="18" hidden="1" customHeight="1" x14ac:dyDescent="0.3">
      <c r="A16" s="2582">
        <v>39600</v>
      </c>
      <c r="B16" s="2583">
        <v>8.8000000000000007</v>
      </c>
      <c r="C16" s="2584">
        <v>6.6</v>
      </c>
      <c r="D16" s="2585">
        <v>5.5</v>
      </c>
      <c r="E16" s="2586">
        <v>9.6999999999999993</v>
      </c>
      <c r="F16" s="2584">
        <v>9.5081961476281673</v>
      </c>
      <c r="G16" s="2585">
        <v>5.6213344566487633</v>
      </c>
    </row>
    <row r="17" spans="1:7" ht="18" hidden="1" customHeight="1" x14ac:dyDescent="0.3">
      <c r="A17" s="2582">
        <v>39630</v>
      </c>
      <c r="B17" s="2583">
        <v>9.1</v>
      </c>
      <c r="C17" s="2584">
        <v>7.2</v>
      </c>
      <c r="D17" s="2585">
        <v>5.7</v>
      </c>
      <c r="E17" s="2586">
        <v>11.5</v>
      </c>
      <c r="F17" s="2584">
        <v>9.7841687888659443</v>
      </c>
      <c r="G17" s="2585">
        <v>6.5123230240075047</v>
      </c>
    </row>
    <row r="18" spans="1:7" ht="18" hidden="1" customHeight="1" x14ac:dyDescent="0.3">
      <c r="A18" s="2582">
        <v>39661</v>
      </c>
      <c r="B18" s="2583">
        <v>9.5</v>
      </c>
      <c r="C18" s="2584">
        <v>7.8</v>
      </c>
      <c r="D18" s="2585">
        <v>5.9</v>
      </c>
      <c r="E18" s="2586">
        <v>11.7</v>
      </c>
      <c r="F18" s="2584">
        <v>10.993643685765676</v>
      </c>
      <c r="G18" s="2585">
        <v>6.8536562588299876</v>
      </c>
    </row>
    <row r="19" spans="1:7" ht="18" hidden="1" customHeight="1" x14ac:dyDescent="0.3">
      <c r="A19" s="2582">
        <v>39692</v>
      </c>
      <c r="B19" s="2583">
        <v>9.8000000000000007</v>
      </c>
      <c r="C19" s="2584">
        <v>8.3000000000000007</v>
      </c>
      <c r="D19" s="2585">
        <v>6</v>
      </c>
      <c r="E19" s="2586">
        <v>10.8</v>
      </c>
      <c r="F19" s="2584">
        <v>9.8195982173374219</v>
      </c>
      <c r="G19" s="2585">
        <v>6.4433775822698935</v>
      </c>
    </row>
    <row r="20" spans="1:7" ht="18" hidden="1" customHeight="1" x14ac:dyDescent="0.3">
      <c r="A20" s="2582">
        <v>39722</v>
      </c>
      <c r="B20" s="2583">
        <v>9.9</v>
      </c>
      <c r="C20" s="2584">
        <v>8.5</v>
      </c>
      <c r="D20" s="2585">
        <v>6.1</v>
      </c>
      <c r="E20" s="2586">
        <v>9.6999999999999993</v>
      </c>
      <c r="F20" s="2584">
        <v>8.9465899755739819</v>
      </c>
      <c r="G20" s="2585">
        <v>6.4005280366357997</v>
      </c>
    </row>
    <row r="21" spans="1:7" ht="18" hidden="1" customHeight="1" x14ac:dyDescent="0.3">
      <c r="A21" s="2582">
        <v>39753</v>
      </c>
      <c r="B21" s="2583">
        <v>9.9</v>
      </c>
      <c r="C21" s="2584">
        <v>8.6999999999999993</v>
      </c>
      <c r="D21" s="2585">
        <v>6.1</v>
      </c>
      <c r="E21" s="2586">
        <v>8.2713754646840165</v>
      </c>
      <c r="F21" s="2584">
        <v>6.8990683520289142</v>
      </c>
      <c r="G21" s="2585">
        <v>6.3701621367625583</v>
      </c>
    </row>
    <row r="22" spans="1:7" ht="18" hidden="1" customHeight="1" x14ac:dyDescent="0.3">
      <c r="A22" s="2582">
        <v>39783</v>
      </c>
      <c r="B22" s="2583">
        <v>9.6999999999999993</v>
      </c>
      <c r="C22" s="2584">
        <v>8.6999999999999993</v>
      </c>
      <c r="D22" s="2585">
        <v>6.1</v>
      </c>
      <c r="E22" s="2586">
        <v>6.7467652495379005</v>
      </c>
      <c r="F22" s="2584">
        <v>5.9330079144542136</v>
      </c>
      <c r="G22" s="2585">
        <v>6.1671895591780546</v>
      </c>
    </row>
    <row r="23" spans="1:7" ht="18" hidden="1" customHeight="1" x14ac:dyDescent="0.3">
      <c r="A23" s="2582">
        <v>39814</v>
      </c>
      <c r="B23" s="2583">
        <v>9.3000000000000007</v>
      </c>
      <c r="C23" s="2584">
        <v>8.4</v>
      </c>
      <c r="D23" s="2585">
        <v>6</v>
      </c>
      <c r="E23" s="2586">
        <v>5.2007299270073082</v>
      </c>
      <c r="F23" s="2584">
        <v>3.9884438505438213</v>
      </c>
      <c r="G23" s="2585">
        <v>5.0258446525900391</v>
      </c>
    </row>
    <row r="24" spans="1:7" ht="18" hidden="1" customHeight="1" x14ac:dyDescent="0.3">
      <c r="A24" s="2582">
        <v>39845</v>
      </c>
      <c r="B24" s="2583">
        <v>8.8000000000000007</v>
      </c>
      <c r="C24" s="2584">
        <v>8</v>
      </c>
      <c r="D24" s="2585">
        <v>5.9</v>
      </c>
      <c r="E24" s="2586">
        <v>4.6070460704606964</v>
      </c>
      <c r="F24" s="2584">
        <v>4.2105221514626034</v>
      </c>
      <c r="G24" s="2585">
        <v>4.7818791575772623</v>
      </c>
    </row>
    <row r="25" spans="1:7" ht="18" hidden="1" customHeight="1" x14ac:dyDescent="0.3">
      <c r="A25" s="2582">
        <v>39873</v>
      </c>
      <c r="B25" s="2583">
        <v>8.5</v>
      </c>
      <c r="C25" s="2584">
        <v>7.6</v>
      </c>
      <c r="D25" s="2585">
        <v>5.8</v>
      </c>
      <c r="E25" s="2586">
        <v>4.8</v>
      </c>
      <c r="F25" s="2584">
        <v>4.0999999999999996</v>
      </c>
      <c r="G25" s="2585">
        <v>4.8</v>
      </c>
    </row>
    <row r="26" spans="1:7" ht="18" hidden="1" customHeight="1" x14ac:dyDescent="0.3">
      <c r="A26" s="2582">
        <v>39904</v>
      </c>
      <c r="B26" s="2583">
        <v>8</v>
      </c>
      <c r="C26" s="2584">
        <v>7.1</v>
      </c>
      <c r="D26" s="2585">
        <v>5.7</v>
      </c>
      <c r="E26" s="2586">
        <v>3.8</v>
      </c>
      <c r="F26" s="2584">
        <v>3.7</v>
      </c>
      <c r="G26" s="2585">
        <v>4.7</v>
      </c>
    </row>
    <row r="27" spans="1:7" ht="18" hidden="1" customHeight="1" x14ac:dyDescent="0.3">
      <c r="A27" s="2582">
        <v>39934</v>
      </c>
      <c r="B27" s="2583">
        <v>7.4</v>
      </c>
      <c r="C27" s="2584">
        <v>6.5</v>
      </c>
      <c r="D27" s="2585">
        <v>5.6</v>
      </c>
      <c r="E27" s="2586">
        <v>2.8</v>
      </c>
      <c r="F27" s="2584">
        <v>2.7</v>
      </c>
      <c r="G27" s="2585">
        <v>4.0999999999999996</v>
      </c>
    </row>
    <row r="28" spans="1:7" ht="18" hidden="1" customHeight="1" x14ac:dyDescent="0.3">
      <c r="A28" s="2582">
        <v>39965</v>
      </c>
      <c r="B28" s="2583">
        <v>6.9</v>
      </c>
      <c r="C28" s="2584">
        <v>6.1</v>
      </c>
      <c r="D28" s="2585">
        <v>5.5</v>
      </c>
      <c r="E28" s="2586">
        <v>3.3</v>
      </c>
      <c r="F28" s="2584">
        <v>3.6</v>
      </c>
      <c r="G28" s="2585">
        <v>4.5</v>
      </c>
    </row>
    <row r="29" spans="1:7" ht="18" hidden="1" customHeight="1" x14ac:dyDescent="0.3">
      <c r="A29" s="2582">
        <v>39995</v>
      </c>
      <c r="B29" s="2583">
        <v>6.1</v>
      </c>
      <c r="C29" s="2584">
        <v>5.5</v>
      </c>
      <c r="D29" s="2585">
        <v>5.4</v>
      </c>
      <c r="E29" s="2586">
        <v>1.9</v>
      </c>
      <c r="F29" s="2584">
        <v>1.6</v>
      </c>
      <c r="G29" s="2585">
        <v>3.9</v>
      </c>
    </row>
    <row r="30" spans="1:7" ht="18" hidden="1" customHeight="1" x14ac:dyDescent="0.3">
      <c r="A30" s="2582">
        <v>40026</v>
      </c>
      <c r="B30" s="2583">
        <v>5.2</v>
      </c>
      <c r="C30" s="2584">
        <v>4.5999999999999996</v>
      </c>
      <c r="D30" s="2585">
        <v>5.0999999999999996</v>
      </c>
      <c r="E30" s="2586">
        <v>1</v>
      </c>
      <c r="F30" s="2584">
        <v>0.7</v>
      </c>
      <c r="G30" s="2585">
        <v>3.5</v>
      </c>
    </row>
    <row r="31" spans="1:7" ht="18" hidden="1" customHeight="1" x14ac:dyDescent="0.3">
      <c r="A31" s="2582">
        <v>40057</v>
      </c>
      <c r="B31" s="2583">
        <v>4.4000000000000004</v>
      </c>
      <c r="C31" s="2584">
        <v>3.9</v>
      </c>
      <c r="D31" s="2585">
        <v>4.8</v>
      </c>
      <c r="E31" s="2586">
        <v>0.9</v>
      </c>
      <c r="F31" s="2584">
        <v>1</v>
      </c>
      <c r="G31" s="2585">
        <v>3.3</v>
      </c>
    </row>
    <row r="32" spans="1:7" ht="18" hidden="1" customHeight="1" x14ac:dyDescent="0.3">
      <c r="A32" s="2582">
        <v>40087</v>
      </c>
      <c r="B32" s="2583">
        <v>3.6</v>
      </c>
      <c r="C32" s="2584">
        <v>3.2</v>
      </c>
      <c r="D32" s="2585">
        <v>4.5</v>
      </c>
      <c r="E32" s="2586">
        <v>0.1</v>
      </c>
      <c r="F32" s="2584">
        <v>0.2</v>
      </c>
      <c r="G32" s="2585">
        <v>2.7</v>
      </c>
    </row>
    <row r="33" spans="1:7" ht="18" hidden="1" customHeight="1" x14ac:dyDescent="0.3">
      <c r="A33" s="2582">
        <v>40118</v>
      </c>
      <c r="B33" s="2583">
        <v>2.9</v>
      </c>
      <c r="C33" s="2584">
        <v>2.7</v>
      </c>
      <c r="D33" s="2585">
        <v>4.0999999999999996</v>
      </c>
      <c r="E33" s="2586">
        <v>0.7</v>
      </c>
      <c r="F33" s="2584">
        <v>1.2</v>
      </c>
      <c r="G33" s="2585">
        <v>2.2999999999999998</v>
      </c>
    </row>
    <row r="34" spans="1:7" ht="18" hidden="1" customHeight="1" x14ac:dyDescent="0.3">
      <c r="A34" s="2582">
        <v>40148</v>
      </c>
      <c r="B34" s="2583">
        <v>2.5</v>
      </c>
      <c r="C34" s="2584">
        <v>2.4</v>
      </c>
      <c r="D34" s="2585">
        <v>3.8</v>
      </c>
      <c r="E34" s="2586">
        <v>1.5</v>
      </c>
      <c r="F34" s="2584">
        <v>2.4</v>
      </c>
      <c r="G34" s="2585">
        <v>2.2000000000000002</v>
      </c>
    </row>
    <row r="35" spans="1:7" ht="18" hidden="1" customHeight="1" x14ac:dyDescent="0.3">
      <c r="A35" s="2582">
        <v>40179</v>
      </c>
      <c r="B35" s="2583">
        <v>2.2999999999999998</v>
      </c>
      <c r="C35" s="2584">
        <v>2.4</v>
      </c>
      <c r="D35" s="2585">
        <v>3.6</v>
      </c>
      <c r="E35" s="2586">
        <v>2.5</v>
      </c>
      <c r="F35" s="2584">
        <v>3.3</v>
      </c>
      <c r="G35" s="2585">
        <v>2.6</v>
      </c>
    </row>
    <row r="36" spans="1:7" ht="18" hidden="1" customHeight="1" x14ac:dyDescent="0.3">
      <c r="A36" s="2582">
        <v>40210</v>
      </c>
      <c r="B36" s="2583">
        <v>2.1</v>
      </c>
      <c r="C36" s="2584">
        <v>2.2999999999999998</v>
      </c>
      <c r="D36" s="2585">
        <v>3.4</v>
      </c>
      <c r="E36" s="2586">
        <v>2.4</v>
      </c>
      <c r="F36" s="2584">
        <v>3.2</v>
      </c>
      <c r="G36" s="2585">
        <v>2.2999999999999998</v>
      </c>
    </row>
    <row r="37" spans="1:7" ht="18" hidden="1" customHeight="1" x14ac:dyDescent="0.3">
      <c r="A37" s="2582">
        <v>40238</v>
      </c>
      <c r="B37" s="2583">
        <v>1.9</v>
      </c>
      <c r="C37" s="2584">
        <v>2.2000000000000002</v>
      </c>
      <c r="D37" s="2585">
        <v>3.2</v>
      </c>
      <c r="E37" s="2586">
        <v>2.2999999999999998</v>
      </c>
      <c r="F37" s="2584">
        <v>3.3</v>
      </c>
      <c r="G37" s="2585">
        <v>2.2000000000000002</v>
      </c>
    </row>
    <row r="38" spans="1:7" ht="18" hidden="1" customHeight="1" x14ac:dyDescent="0.3">
      <c r="A38" s="2582">
        <v>40269</v>
      </c>
      <c r="B38" s="2583">
        <v>1.8</v>
      </c>
      <c r="C38" s="2584">
        <v>2.2000000000000002</v>
      </c>
      <c r="D38" s="2585">
        <v>3</v>
      </c>
      <c r="E38" s="2586">
        <v>2.7</v>
      </c>
      <c r="F38" s="2584">
        <v>3.2</v>
      </c>
      <c r="G38" s="2585">
        <v>2.1</v>
      </c>
    </row>
    <row r="39" spans="1:7" ht="18" hidden="1" customHeight="1" x14ac:dyDescent="0.3">
      <c r="A39" s="2582">
        <v>40299</v>
      </c>
      <c r="B39" s="2583">
        <v>1.8</v>
      </c>
      <c r="C39" s="2584">
        <v>2.2000000000000002</v>
      </c>
      <c r="D39" s="2585">
        <v>2.8</v>
      </c>
      <c r="E39" s="2586">
        <v>2.5</v>
      </c>
      <c r="F39" s="2584">
        <v>2.8</v>
      </c>
      <c r="G39" s="2585">
        <v>2.2000000000000002</v>
      </c>
    </row>
    <row r="40" spans="1:7" ht="18" hidden="1" customHeight="1" x14ac:dyDescent="0.3">
      <c r="A40" s="2582">
        <v>40330</v>
      </c>
      <c r="B40" s="2583">
        <v>1.7</v>
      </c>
      <c r="C40" s="2584">
        <v>2.2000000000000002</v>
      </c>
      <c r="D40" s="2585">
        <v>2.6</v>
      </c>
      <c r="E40" s="2586">
        <v>2.4</v>
      </c>
      <c r="F40" s="2584">
        <v>3</v>
      </c>
      <c r="G40" s="2585">
        <v>2.4</v>
      </c>
    </row>
    <row r="41" spans="1:7" ht="18" hidden="1" customHeight="1" x14ac:dyDescent="0.3">
      <c r="A41" s="2582">
        <v>40360</v>
      </c>
      <c r="B41" s="2583">
        <v>1.8</v>
      </c>
      <c r="C41" s="2584">
        <v>2.2000000000000002</v>
      </c>
      <c r="D41" s="2585">
        <v>2.5</v>
      </c>
      <c r="E41" s="2586">
        <v>2</v>
      </c>
      <c r="F41" s="2584">
        <v>1.7</v>
      </c>
      <c r="G41" s="2585">
        <v>2.7</v>
      </c>
    </row>
    <row r="42" spans="1:7" ht="18" hidden="1" customHeight="1" x14ac:dyDescent="0.3">
      <c r="A42" s="2582">
        <v>40391</v>
      </c>
      <c r="B42" s="2583">
        <v>1.9</v>
      </c>
      <c r="C42" s="2584">
        <v>2.4</v>
      </c>
      <c r="D42" s="2585">
        <v>2.5</v>
      </c>
      <c r="E42" s="2586">
        <v>2.6</v>
      </c>
      <c r="F42" s="2584">
        <v>3.2</v>
      </c>
      <c r="G42" s="2585">
        <v>3</v>
      </c>
    </row>
    <row r="43" spans="1:7" ht="18" hidden="1" customHeight="1" x14ac:dyDescent="0.3">
      <c r="A43" s="2582">
        <v>40422</v>
      </c>
      <c r="B43" s="2583">
        <v>2</v>
      </c>
      <c r="C43" s="2584">
        <v>2.4</v>
      </c>
      <c r="D43" s="2585">
        <v>2.5</v>
      </c>
      <c r="E43" s="2586">
        <v>2.5</v>
      </c>
      <c r="F43" s="2584">
        <v>1.9</v>
      </c>
      <c r="G43" s="2585">
        <v>3</v>
      </c>
    </row>
    <row r="44" spans="1:7" ht="18" hidden="1" customHeight="1" x14ac:dyDescent="0.3">
      <c r="A44" s="2582">
        <v>40452</v>
      </c>
      <c r="B44" s="2583">
        <v>2.2999999999999998</v>
      </c>
      <c r="C44" s="2584">
        <v>2.7</v>
      </c>
      <c r="D44" s="2585">
        <v>2.5</v>
      </c>
      <c r="E44" s="2586">
        <v>3.2</v>
      </c>
      <c r="F44" s="2584">
        <v>3.3</v>
      </c>
      <c r="G44" s="2585">
        <v>3.3</v>
      </c>
    </row>
    <row r="45" spans="1:7" ht="18" hidden="1" customHeight="1" x14ac:dyDescent="0.3">
      <c r="A45" s="2582">
        <v>40483</v>
      </c>
      <c r="B45" s="2583">
        <v>2.5</v>
      </c>
      <c r="C45" s="2584">
        <v>2.9</v>
      </c>
      <c r="D45" s="2585">
        <v>2.6</v>
      </c>
      <c r="E45" s="2586">
        <v>3.9</v>
      </c>
      <c r="F45" s="2584">
        <v>3.7</v>
      </c>
      <c r="G45" s="2585">
        <v>3.1</v>
      </c>
    </row>
    <row r="46" spans="1:7" ht="18" hidden="1" customHeight="1" x14ac:dyDescent="0.3">
      <c r="A46" s="2582">
        <v>40513</v>
      </c>
      <c r="B46" s="2583">
        <v>2.9</v>
      </c>
      <c r="C46" s="2584">
        <v>3.2</v>
      </c>
      <c r="D46" s="2585">
        <v>2.8</v>
      </c>
      <c r="E46" s="2586">
        <v>6.1</v>
      </c>
      <c r="F46" s="2584">
        <v>5.0999999999999996</v>
      </c>
      <c r="G46" s="2585">
        <v>4.4000000000000004</v>
      </c>
    </row>
    <row r="47" spans="1:7" ht="18" hidden="1" customHeight="1" x14ac:dyDescent="0.3">
      <c r="A47" s="2582">
        <v>40544</v>
      </c>
      <c r="B47" s="2583">
        <v>3.3</v>
      </c>
      <c r="C47" s="2584">
        <v>3.4</v>
      </c>
      <c r="D47" s="2585">
        <v>3</v>
      </c>
      <c r="E47" s="2586">
        <v>6.4</v>
      </c>
      <c r="F47" s="2584">
        <v>6.2</v>
      </c>
      <c r="G47" s="2585">
        <v>4.8</v>
      </c>
    </row>
    <row r="48" spans="1:7" ht="18" hidden="1" customHeight="1" x14ac:dyDescent="0.3">
      <c r="A48" s="2582">
        <v>40575</v>
      </c>
      <c r="B48" s="2583">
        <v>3.6</v>
      </c>
      <c r="C48" s="2584">
        <v>3.7</v>
      </c>
      <c r="D48" s="2585">
        <v>3.2</v>
      </c>
      <c r="E48" s="2586">
        <v>6.8</v>
      </c>
      <c r="F48" s="2584">
        <v>6.4</v>
      </c>
      <c r="G48" s="2585">
        <v>5.0999999999999996</v>
      </c>
    </row>
    <row r="49" spans="1:7" ht="18" hidden="1" customHeight="1" x14ac:dyDescent="0.3">
      <c r="A49" s="2582">
        <v>40603</v>
      </c>
      <c r="B49" s="2583">
        <v>4</v>
      </c>
      <c r="C49" s="2584">
        <v>4</v>
      </c>
      <c r="D49" s="2585">
        <v>3.5</v>
      </c>
      <c r="E49" s="2586">
        <v>7.2</v>
      </c>
      <c r="F49" s="2584">
        <v>7</v>
      </c>
      <c r="G49" s="2585">
        <v>5.4</v>
      </c>
    </row>
    <row r="50" spans="1:7" ht="18" hidden="1" customHeight="1" x14ac:dyDescent="0.3">
      <c r="A50" s="2582">
        <v>40634</v>
      </c>
      <c r="B50" s="2583">
        <v>4.4000000000000004</v>
      </c>
      <c r="C50" s="2584">
        <v>4.3</v>
      </c>
      <c r="D50" s="2585">
        <v>3.8</v>
      </c>
      <c r="E50" s="2586">
        <v>7</v>
      </c>
      <c r="F50" s="2584">
        <v>6.6</v>
      </c>
      <c r="G50" s="2585">
        <v>6</v>
      </c>
    </row>
    <row r="51" spans="1:7" ht="18" hidden="1" customHeight="1" x14ac:dyDescent="0.3">
      <c r="A51" s="2582">
        <v>40664</v>
      </c>
      <c r="B51" s="2583">
        <v>4.8</v>
      </c>
      <c r="C51" s="2584">
        <v>4.5999999999999996</v>
      </c>
      <c r="D51" s="2585">
        <v>4.0999999999999996</v>
      </c>
      <c r="E51" s="2586">
        <v>7.1</v>
      </c>
      <c r="F51" s="2584">
        <v>7</v>
      </c>
      <c r="G51" s="2585">
        <v>5.8</v>
      </c>
    </row>
    <row r="52" spans="1:7" ht="18" hidden="1" customHeight="1" x14ac:dyDescent="0.3">
      <c r="A52" s="2582">
        <v>40695</v>
      </c>
      <c r="B52" s="2583">
        <v>5.0999999999999996</v>
      </c>
      <c r="C52" s="2584">
        <v>4.8</v>
      </c>
      <c r="D52" s="2585">
        <v>4.3</v>
      </c>
      <c r="E52" s="2586">
        <v>6.6</v>
      </c>
      <c r="F52" s="2584">
        <v>5.9</v>
      </c>
      <c r="G52" s="2585">
        <v>5.3</v>
      </c>
    </row>
    <row r="53" spans="1:7" ht="18" hidden="1" customHeight="1" x14ac:dyDescent="0.3">
      <c r="A53" s="2582">
        <v>40725</v>
      </c>
      <c r="B53" s="2583">
        <v>5.5</v>
      </c>
      <c r="C53" s="2584">
        <v>5.2</v>
      </c>
      <c r="D53" s="2585">
        <v>4.5</v>
      </c>
      <c r="E53" s="2586">
        <v>6.7</v>
      </c>
      <c r="F53" s="2584">
        <v>6.4</v>
      </c>
      <c r="G53" s="2585">
        <v>4.9000000000000004</v>
      </c>
    </row>
    <row r="54" spans="1:7" ht="18" hidden="1" customHeight="1" x14ac:dyDescent="0.3">
      <c r="A54" s="2582">
        <v>40756</v>
      </c>
      <c r="B54" s="2583">
        <v>5.8</v>
      </c>
      <c r="C54" s="2584">
        <v>5.5</v>
      </c>
      <c r="D54" s="2585">
        <v>4.7</v>
      </c>
      <c r="E54" s="2586">
        <v>6.5</v>
      </c>
      <c r="F54" s="2584">
        <v>5.7</v>
      </c>
      <c r="G54" s="2585">
        <v>4.8</v>
      </c>
    </row>
    <row r="55" spans="1:7" ht="18" hidden="1" customHeight="1" x14ac:dyDescent="0.3">
      <c r="A55" s="2582">
        <v>40787</v>
      </c>
      <c r="B55" s="2583">
        <v>6.2</v>
      </c>
      <c r="C55" s="2584">
        <v>5.8</v>
      </c>
      <c r="D55" s="2585">
        <v>4.8</v>
      </c>
      <c r="E55" s="2586">
        <v>6.3</v>
      </c>
      <c r="F55" s="2584">
        <v>5.9</v>
      </c>
      <c r="G55" s="2585">
        <v>4.0999999999999996</v>
      </c>
    </row>
    <row r="56" spans="1:7" ht="18" hidden="1" customHeight="1" x14ac:dyDescent="0.3">
      <c r="A56" s="2582">
        <v>40817</v>
      </c>
      <c r="B56" s="2583">
        <v>6.4</v>
      </c>
      <c r="C56" s="2584">
        <v>5.9</v>
      </c>
      <c r="D56" s="2585">
        <v>4.8</v>
      </c>
      <c r="E56" s="2586">
        <v>6</v>
      </c>
      <c r="F56" s="2584">
        <v>5.3</v>
      </c>
      <c r="G56" s="2585">
        <v>3.9</v>
      </c>
    </row>
    <row r="57" spans="1:7" ht="18" hidden="1" customHeight="1" x14ac:dyDescent="0.3">
      <c r="A57" s="2582">
        <v>40848</v>
      </c>
      <c r="B57" s="2583">
        <v>6.6</v>
      </c>
      <c r="C57" s="2584">
        <v>6.1</v>
      </c>
      <c r="D57" s="2585">
        <v>4.9000000000000004</v>
      </c>
      <c r="E57" s="2586">
        <v>7</v>
      </c>
      <c r="F57" s="2584">
        <v>5.5</v>
      </c>
      <c r="G57" s="2585">
        <v>4.0999999999999996</v>
      </c>
    </row>
    <row r="58" spans="1:7" ht="18" hidden="1" customHeight="1" x14ac:dyDescent="0.3">
      <c r="A58" s="2582">
        <v>40878</v>
      </c>
      <c r="B58" s="2583">
        <v>6.5</v>
      </c>
      <c r="C58" s="2584">
        <v>6</v>
      </c>
      <c r="D58" s="2585">
        <v>4.8</v>
      </c>
      <c r="E58" s="2586">
        <v>4.8</v>
      </c>
      <c r="F58" s="2584">
        <v>3.8</v>
      </c>
      <c r="G58" s="2585">
        <v>3</v>
      </c>
    </row>
    <row r="59" spans="1:7" ht="18" hidden="1" customHeight="1" x14ac:dyDescent="0.3">
      <c r="A59" s="2582">
        <v>40909</v>
      </c>
      <c r="B59" s="2583">
        <v>6.4</v>
      </c>
      <c r="C59" s="2584">
        <v>5.8</v>
      </c>
      <c r="D59" s="2585">
        <v>4.5999999999999996</v>
      </c>
      <c r="E59" s="2586">
        <v>4.8</v>
      </c>
      <c r="F59" s="2584">
        <v>4.2</v>
      </c>
      <c r="G59" s="2585">
        <v>3.4</v>
      </c>
    </row>
    <row r="60" spans="1:7" ht="18" hidden="1" customHeight="1" x14ac:dyDescent="0.3">
      <c r="A60" s="2582">
        <v>40940</v>
      </c>
      <c r="B60" s="2583">
        <v>6.2</v>
      </c>
      <c r="C60" s="2584">
        <v>5.6</v>
      </c>
      <c r="D60" s="2585">
        <v>4.5</v>
      </c>
      <c r="E60" s="2586">
        <v>4.0999999999999996</v>
      </c>
      <c r="F60" s="2584">
        <v>3.6</v>
      </c>
      <c r="G60" s="2585">
        <v>3.4</v>
      </c>
    </row>
    <row r="61" spans="1:7" ht="18" hidden="1" customHeight="1" x14ac:dyDescent="0.3">
      <c r="A61" s="2582">
        <v>40969</v>
      </c>
      <c r="B61" s="2583">
        <v>5.9</v>
      </c>
      <c r="C61" s="2584">
        <v>5.3</v>
      </c>
      <c r="D61" s="2585">
        <v>4.3</v>
      </c>
      <c r="E61" s="2586">
        <v>3.8</v>
      </c>
      <c r="F61" s="2584">
        <v>3.4</v>
      </c>
      <c r="G61" s="2585">
        <v>3.3</v>
      </c>
    </row>
    <row r="62" spans="1:7" ht="18" hidden="1" customHeight="1" x14ac:dyDescent="0.3">
      <c r="A62" s="2582">
        <v>41000</v>
      </c>
      <c r="B62" s="2583">
        <v>5.6</v>
      </c>
      <c r="C62" s="2584">
        <v>5</v>
      </c>
      <c r="D62" s="2585">
        <v>4.0999999999999996</v>
      </c>
      <c r="E62" s="2586">
        <v>3.8</v>
      </c>
      <c r="F62" s="2584">
        <v>3.1</v>
      </c>
      <c r="G62" s="2585">
        <v>2.8</v>
      </c>
    </row>
    <row r="63" spans="1:7" ht="18" hidden="1" customHeight="1" x14ac:dyDescent="0.3">
      <c r="A63" s="2582">
        <v>41030</v>
      </c>
      <c r="B63" s="2583">
        <v>5.3</v>
      </c>
      <c r="C63" s="2584">
        <v>4.5999999999999996</v>
      </c>
      <c r="D63" s="2585">
        <v>3.8</v>
      </c>
      <c r="E63" s="2586">
        <v>3.8</v>
      </c>
      <c r="F63" s="2584">
        <v>3.1</v>
      </c>
      <c r="G63" s="2585">
        <v>2.8</v>
      </c>
    </row>
    <row r="64" spans="1:7" ht="18" hidden="1" customHeight="1" x14ac:dyDescent="0.3">
      <c r="A64" s="2582">
        <v>41061</v>
      </c>
      <c r="B64" s="2583">
        <v>5.0999999999999996</v>
      </c>
      <c r="C64" s="2584">
        <v>4.4000000000000004</v>
      </c>
      <c r="D64" s="2585">
        <v>3.6</v>
      </c>
      <c r="E64" s="2586">
        <v>3.9</v>
      </c>
      <c r="F64" s="2584">
        <v>3.1</v>
      </c>
      <c r="G64" s="2585">
        <v>2.7</v>
      </c>
    </row>
    <row r="65" spans="1:7" ht="18" hidden="1" customHeight="1" x14ac:dyDescent="0.3">
      <c r="A65" s="2582">
        <v>41091</v>
      </c>
      <c r="B65" s="2583">
        <v>4.9000000000000004</v>
      </c>
      <c r="C65" s="2584">
        <v>4.0999999999999996</v>
      </c>
      <c r="D65" s="2585">
        <v>3.4</v>
      </c>
      <c r="E65" s="2586">
        <v>3.7</v>
      </c>
      <c r="F65" s="2584">
        <v>3</v>
      </c>
      <c r="G65" s="2585">
        <v>2.8</v>
      </c>
    </row>
    <row r="66" spans="1:7" ht="18" hidden="1" customHeight="1" x14ac:dyDescent="0.3">
      <c r="A66" s="2582">
        <v>41122</v>
      </c>
      <c r="B66" s="2583">
        <v>4.5999999999999996</v>
      </c>
      <c r="C66" s="2584">
        <v>3.9</v>
      </c>
      <c r="D66" s="2585">
        <v>3.2</v>
      </c>
      <c r="E66" s="2586">
        <v>3.7</v>
      </c>
      <c r="F66" s="2584">
        <v>3</v>
      </c>
      <c r="G66" s="2585">
        <v>2.7</v>
      </c>
    </row>
    <row r="67" spans="1:7" ht="18" hidden="1" customHeight="1" x14ac:dyDescent="0.3">
      <c r="A67" s="2582">
        <v>41153</v>
      </c>
      <c r="B67" s="2583">
        <v>4.4000000000000004</v>
      </c>
      <c r="C67" s="2584">
        <v>3.7</v>
      </c>
      <c r="D67" s="2585">
        <v>3.2</v>
      </c>
      <c r="E67" s="2586">
        <v>3.9</v>
      </c>
      <c r="F67" s="2584">
        <v>3.4</v>
      </c>
      <c r="G67" s="2585">
        <v>3.3</v>
      </c>
    </row>
    <row r="68" spans="1:7" ht="18" hidden="1" customHeight="1" x14ac:dyDescent="0.3">
      <c r="A68" s="2582">
        <v>41183</v>
      </c>
      <c r="B68" s="2583">
        <v>4.3</v>
      </c>
      <c r="C68" s="2584">
        <v>3.6</v>
      </c>
      <c r="D68" s="2585">
        <v>3.1</v>
      </c>
      <c r="E68" s="2586">
        <v>4.2</v>
      </c>
      <c r="F68" s="2584">
        <v>3.6</v>
      </c>
      <c r="G68" s="2585">
        <v>3.5</v>
      </c>
    </row>
    <row r="69" spans="1:7" ht="18" hidden="1" customHeight="1" x14ac:dyDescent="0.3">
      <c r="A69" s="2582">
        <v>41214</v>
      </c>
      <c r="B69" s="2583">
        <v>4</v>
      </c>
      <c r="C69" s="2584">
        <v>3.4</v>
      </c>
      <c r="D69" s="2585">
        <v>3.1</v>
      </c>
      <c r="E69" s="2586">
        <v>3.1</v>
      </c>
      <c r="F69" s="2584">
        <v>3.2</v>
      </c>
      <c r="G69" s="2585">
        <v>3</v>
      </c>
    </row>
    <row r="70" spans="1:7" ht="18" hidden="1" customHeight="1" x14ac:dyDescent="0.3">
      <c r="A70" s="2582">
        <v>41244</v>
      </c>
      <c r="B70" s="2583">
        <v>3.9</v>
      </c>
      <c r="C70" s="2584">
        <v>3.3</v>
      </c>
      <c r="D70" s="2585">
        <v>3</v>
      </c>
      <c r="E70" s="2586">
        <v>3.2</v>
      </c>
      <c r="F70" s="2584">
        <v>3.2</v>
      </c>
      <c r="G70" s="2585">
        <v>3</v>
      </c>
    </row>
    <row r="71" spans="1:7" ht="18" hidden="1" customHeight="1" x14ac:dyDescent="0.3">
      <c r="A71" s="2582">
        <v>41275</v>
      </c>
      <c r="B71" s="2583">
        <v>3.7</v>
      </c>
      <c r="C71" s="2584">
        <v>3.2</v>
      </c>
      <c r="D71" s="2585">
        <v>3</v>
      </c>
      <c r="E71" s="2586">
        <v>2.9</v>
      </c>
      <c r="F71" s="2584">
        <v>2.2000000000000002</v>
      </c>
      <c r="G71" s="2585">
        <v>2.6</v>
      </c>
    </row>
    <row r="72" spans="1:7" ht="18" hidden="1" customHeight="1" x14ac:dyDescent="0.3">
      <c r="A72" s="2582">
        <v>41306</v>
      </c>
      <c r="B72" s="2583">
        <v>3.6</v>
      </c>
      <c r="C72" s="2584">
        <v>3</v>
      </c>
      <c r="D72" s="2585">
        <v>2.9</v>
      </c>
      <c r="E72" s="2586">
        <v>3.6</v>
      </c>
      <c r="F72" s="2584">
        <v>2.2000000000000002</v>
      </c>
      <c r="G72" s="2585">
        <v>2.6</v>
      </c>
    </row>
    <row r="73" spans="1:7" ht="18" hidden="1" customHeight="1" x14ac:dyDescent="0.3">
      <c r="A73" s="2582">
        <v>41334</v>
      </c>
      <c r="B73" s="2583">
        <v>3.6</v>
      </c>
      <c r="C73" s="2584">
        <v>3</v>
      </c>
      <c r="D73" s="2585">
        <v>2.9</v>
      </c>
      <c r="E73" s="2586">
        <v>3.6</v>
      </c>
      <c r="F73" s="2584">
        <v>2.7</v>
      </c>
      <c r="G73" s="2585">
        <v>2.7</v>
      </c>
    </row>
    <row r="74" spans="1:7" ht="18" hidden="1" customHeight="1" x14ac:dyDescent="0.3">
      <c r="A74" s="2582">
        <v>41365</v>
      </c>
      <c r="B74" s="2583">
        <v>3.6</v>
      </c>
      <c r="C74" s="2584">
        <v>2.9</v>
      </c>
      <c r="D74" s="2585">
        <v>2.8</v>
      </c>
      <c r="E74" s="2586">
        <v>3.8</v>
      </c>
      <c r="F74" s="2584">
        <v>2.6</v>
      </c>
      <c r="G74" s="2585">
        <v>2.6</v>
      </c>
    </row>
    <row r="75" spans="1:7" ht="18" hidden="1" customHeight="1" x14ac:dyDescent="0.3">
      <c r="A75" s="2582">
        <v>41395</v>
      </c>
      <c r="B75" s="2583">
        <v>3.6</v>
      </c>
      <c r="C75" s="2584">
        <v>2.9</v>
      </c>
      <c r="D75" s="2585">
        <v>2.8</v>
      </c>
      <c r="E75" s="2586">
        <v>3.7</v>
      </c>
      <c r="F75" s="2584">
        <v>2.6</v>
      </c>
      <c r="G75" s="2585">
        <v>2.5</v>
      </c>
    </row>
    <row r="76" spans="1:7" ht="18" hidden="1" customHeight="1" x14ac:dyDescent="0.3">
      <c r="A76" s="2582">
        <v>41426</v>
      </c>
      <c r="B76" s="2583">
        <v>3.6</v>
      </c>
      <c r="C76" s="2584">
        <v>2.8</v>
      </c>
      <c r="D76" s="2585">
        <v>2.8</v>
      </c>
      <c r="E76" s="2586">
        <v>3.6</v>
      </c>
      <c r="F76" s="2584">
        <v>2.5</v>
      </c>
      <c r="G76" s="2585">
        <v>2.4</v>
      </c>
    </row>
    <row r="77" spans="1:7" ht="18" hidden="1" customHeight="1" x14ac:dyDescent="0.3">
      <c r="A77" s="2582">
        <v>41456</v>
      </c>
      <c r="B77" s="2583">
        <v>3.6</v>
      </c>
      <c r="C77" s="2584">
        <v>2.8</v>
      </c>
      <c r="D77" s="2585">
        <v>2.8</v>
      </c>
      <c r="E77" s="2586">
        <v>3.6</v>
      </c>
      <c r="F77" s="2584">
        <v>2.7</v>
      </c>
      <c r="G77" s="2585">
        <v>2.5</v>
      </c>
    </row>
    <row r="78" spans="1:7" ht="18" hidden="1" customHeight="1" x14ac:dyDescent="0.3">
      <c r="A78" s="2582">
        <v>41487</v>
      </c>
      <c r="B78" s="2583">
        <v>3.5</v>
      </c>
      <c r="C78" s="2584">
        <v>2.8</v>
      </c>
      <c r="D78" s="2585">
        <v>2.7</v>
      </c>
      <c r="E78" s="2586">
        <v>3.1</v>
      </c>
      <c r="F78" s="2584">
        <v>2.6</v>
      </c>
      <c r="G78" s="2585">
        <v>2.2999999999999998</v>
      </c>
    </row>
    <row r="79" spans="1:7" ht="18" hidden="1" customHeight="1" x14ac:dyDescent="0.3">
      <c r="A79" s="2582">
        <v>41518</v>
      </c>
      <c r="B79" s="2583">
        <v>3.5</v>
      </c>
      <c r="C79" s="2584">
        <v>2.7</v>
      </c>
      <c r="D79" s="2585">
        <v>2.7</v>
      </c>
      <c r="E79" s="2586">
        <v>3.3</v>
      </c>
      <c r="F79" s="2584">
        <v>2.6</v>
      </c>
      <c r="G79" s="2585">
        <v>2.2000000000000002</v>
      </c>
    </row>
    <row r="80" spans="1:7" ht="18" hidden="1" customHeight="1" x14ac:dyDescent="0.3">
      <c r="A80" s="2582">
        <v>41548</v>
      </c>
      <c r="B80" s="2583">
        <v>3.4</v>
      </c>
      <c r="C80" s="2584">
        <v>2.6</v>
      </c>
      <c r="D80" s="2585">
        <v>2.6</v>
      </c>
      <c r="E80" s="2586">
        <v>3.4</v>
      </c>
      <c r="F80" s="2584">
        <v>2.6</v>
      </c>
      <c r="G80" s="2585">
        <v>2.2999999999999998</v>
      </c>
    </row>
    <row r="81" spans="1:7" ht="18" hidden="1" customHeight="1" x14ac:dyDescent="0.3">
      <c r="A81" s="2582">
        <v>41579</v>
      </c>
      <c r="B81" s="2583">
        <v>3.5</v>
      </c>
      <c r="C81" s="2584">
        <v>2.6</v>
      </c>
      <c r="D81" s="2585">
        <v>2.5</v>
      </c>
      <c r="E81" s="2586">
        <v>3.9</v>
      </c>
      <c r="F81" s="2584">
        <v>3</v>
      </c>
      <c r="G81" s="2585">
        <v>2.9</v>
      </c>
    </row>
    <row r="82" spans="1:7" ht="18" hidden="1" customHeight="1" x14ac:dyDescent="0.3">
      <c r="A82" s="2582">
        <v>41609</v>
      </c>
      <c r="B82" s="2583">
        <v>3.5</v>
      </c>
      <c r="C82" s="2584">
        <v>2.6</v>
      </c>
      <c r="D82" s="2585">
        <v>2.6</v>
      </c>
      <c r="E82" s="2586">
        <v>4</v>
      </c>
      <c r="F82" s="2584">
        <v>3.3</v>
      </c>
      <c r="G82" s="2585">
        <v>3.2</v>
      </c>
    </row>
    <row r="83" spans="1:7" ht="18" hidden="1" customHeight="1" x14ac:dyDescent="0.3">
      <c r="A83" s="2582">
        <v>41640</v>
      </c>
      <c r="B83" s="2583">
        <v>3.7</v>
      </c>
      <c r="C83" s="2584">
        <v>2.8</v>
      </c>
      <c r="D83" s="2585">
        <v>2.6</v>
      </c>
      <c r="E83" s="2586">
        <v>5.0999999999999996</v>
      </c>
      <c r="F83" s="2584">
        <v>3.6</v>
      </c>
      <c r="G83" s="2585">
        <v>3.4</v>
      </c>
    </row>
    <row r="84" spans="1:7" ht="18" hidden="1" customHeight="1" x14ac:dyDescent="0.3">
      <c r="A84" s="2582">
        <v>41671</v>
      </c>
      <c r="B84" s="2583">
        <v>3.9</v>
      </c>
      <c r="C84" s="2584">
        <v>2.9</v>
      </c>
      <c r="D84" s="2585">
        <v>2.7</v>
      </c>
      <c r="E84" s="2586">
        <v>5.6</v>
      </c>
      <c r="F84" s="2584">
        <v>3.5</v>
      </c>
      <c r="G84" s="2585">
        <v>3.2</v>
      </c>
    </row>
    <row r="85" spans="1:7" ht="18" hidden="1" customHeight="1" x14ac:dyDescent="0.3">
      <c r="A85" s="2582">
        <v>41699</v>
      </c>
      <c r="B85" s="2583">
        <v>4</v>
      </c>
      <c r="C85" s="2584">
        <v>2.9</v>
      </c>
      <c r="D85" s="2585">
        <v>2.7</v>
      </c>
      <c r="E85" s="2586">
        <v>4.5</v>
      </c>
      <c r="F85" s="2584">
        <v>2.7</v>
      </c>
      <c r="G85" s="2585">
        <v>3.1</v>
      </c>
    </row>
    <row r="86" spans="1:7" ht="18" hidden="1" customHeight="1" x14ac:dyDescent="0.3">
      <c r="A86" s="2582">
        <v>41730</v>
      </c>
      <c r="B86" s="2583">
        <v>4</v>
      </c>
      <c r="C86" s="2584">
        <v>2.9</v>
      </c>
      <c r="D86" s="2585">
        <v>2.8</v>
      </c>
      <c r="E86" s="2586">
        <v>4.2</v>
      </c>
      <c r="F86" s="2584">
        <v>2.8</v>
      </c>
      <c r="G86" s="2585">
        <v>3.3</v>
      </c>
    </row>
    <row r="87" spans="1:7" ht="18" hidden="1" customHeight="1" x14ac:dyDescent="0.3">
      <c r="A87" s="2582">
        <v>41760</v>
      </c>
      <c r="B87" s="2583">
        <v>4</v>
      </c>
      <c r="C87" s="2584">
        <v>2.9</v>
      </c>
      <c r="D87" s="2585">
        <v>2.9</v>
      </c>
      <c r="E87" s="2586">
        <v>3.4</v>
      </c>
      <c r="F87" s="2584">
        <v>2.9</v>
      </c>
      <c r="G87" s="2585">
        <v>3.4</v>
      </c>
    </row>
    <row r="88" spans="1:7" ht="18" hidden="1" customHeight="1" x14ac:dyDescent="0.3">
      <c r="A88" s="2582">
        <v>41791</v>
      </c>
      <c r="B88" s="2583">
        <v>4</v>
      </c>
      <c r="C88" s="2584">
        <v>2.9</v>
      </c>
      <c r="D88" s="2585">
        <v>2.9</v>
      </c>
      <c r="E88" s="2586">
        <v>3.3</v>
      </c>
      <c r="F88" s="2584">
        <v>2.7</v>
      </c>
      <c r="G88" s="2585">
        <v>3.2</v>
      </c>
    </row>
    <row r="89" spans="1:7" ht="18" hidden="1" customHeight="1" x14ac:dyDescent="0.3">
      <c r="A89" s="2582">
        <v>41821</v>
      </c>
      <c r="B89" s="2583">
        <v>3.9</v>
      </c>
      <c r="C89" s="2584">
        <v>2.9</v>
      </c>
      <c r="D89" s="2585">
        <v>3</v>
      </c>
      <c r="E89" s="2586">
        <v>3.1</v>
      </c>
      <c r="F89" s="2584">
        <v>2.7</v>
      </c>
      <c r="G89" s="2585">
        <v>3.2</v>
      </c>
    </row>
    <row r="90" spans="1:7" ht="18" hidden="1" customHeight="1" x14ac:dyDescent="0.3">
      <c r="A90" s="2582">
        <v>41852</v>
      </c>
      <c r="B90" s="2583">
        <v>4</v>
      </c>
      <c r="C90" s="2584">
        <v>2.9</v>
      </c>
      <c r="D90" s="2585">
        <v>3.1</v>
      </c>
      <c r="E90" s="2586">
        <v>3.8</v>
      </c>
      <c r="F90" s="2584">
        <v>2.7</v>
      </c>
      <c r="G90" s="2585">
        <v>3.5</v>
      </c>
    </row>
    <row r="91" spans="1:7" ht="18" hidden="1" customHeight="1" x14ac:dyDescent="0.3">
      <c r="A91" s="2582">
        <v>41883</v>
      </c>
      <c r="B91" s="2583">
        <v>3.9</v>
      </c>
      <c r="C91" s="2584">
        <v>2.9</v>
      </c>
      <c r="D91" s="2585">
        <v>3.2</v>
      </c>
      <c r="E91" s="2586">
        <v>2.9</v>
      </c>
      <c r="F91" s="2584">
        <v>2.2999999999999998</v>
      </c>
      <c r="G91" s="2585">
        <v>3.3</v>
      </c>
    </row>
    <row r="92" spans="1:7" ht="18" hidden="1" customHeight="1" x14ac:dyDescent="0.3">
      <c r="A92" s="2582">
        <v>41913</v>
      </c>
      <c r="B92" s="2583">
        <v>3.8</v>
      </c>
      <c r="C92" s="2584">
        <v>2.9</v>
      </c>
      <c r="D92" s="2585">
        <v>3.2</v>
      </c>
      <c r="E92" s="2586">
        <v>1.9</v>
      </c>
      <c r="F92" s="2584">
        <v>2.1</v>
      </c>
      <c r="G92" s="2585">
        <v>3</v>
      </c>
    </row>
    <row r="93" spans="1:7" ht="18" hidden="1" customHeight="1" x14ac:dyDescent="0.3">
      <c r="A93" s="2582">
        <v>41944</v>
      </c>
      <c r="B93" s="2583">
        <v>3.5</v>
      </c>
      <c r="C93" s="2584">
        <v>2.8</v>
      </c>
      <c r="D93" s="2585">
        <v>3.2</v>
      </c>
      <c r="E93" s="2586">
        <v>0.9</v>
      </c>
      <c r="F93" s="2584">
        <v>1.7</v>
      </c>
      <c r="G93" s="2585">
        <v>2.6</v>
      </c>
    </row>
    <row r="94" spans="1:7" ht="18" hidden="1" customHeight="1" x14ac:dyDescent="0.3">
      <c r="A94" s="2582">
        <v>41974</v>
      </c>
      <c r="B94" s="2583">
        <v>3.2</v>
      </c>
      <c r="C94" s="2584">
        <v>2.6</v>
      </c>
      <c r="D94" s="2585">
        <v>3.1</v>
      </c>
      <c r="E94" s="2586">
        <v>0.2</v>
      </c>
      <c r="F94" s="2584">
        <v>0.8</v>
      </c>
      <c r="G94" s="2585">
        <v>2.1</v>
      </c>
    </row>
    <row r="95" spans="1:7" ht="18" hidden="1" customHeight="1" x14ac:dyDescent="0.3">
      <c r="A95" s="2582">
        <v>42005</v>
      </c>
      <c r="B95" s="2583">
        <v>2.8</v>
      </c>
      <c r="C95" s="2584">
        <v>2.2000000000000002</v>
      </c>
      <c r="D95" s="2585">
        <v>2.9</v>
      </c>
      <c r="E95" s="2586">
        <v>0.7</v>
      </c>
      <c r="F95" s="2584">
        <v>-0.4</v>
      </c>
      <c r="G95" s="2585">
        <v>0.8</v>
      </c>
    </row>
    <row r="96" spans="1:7" ht="18" hidden="1" customHeight="1" x14ac:dyDescent="0.3">
      <c r="A96" s="2582">
        <v>42036</v>
      </c>
      <c r="B96" s="2583">
        <v>2.5</v>
      </c>
      <c r="C96" s="2584">
        <v>1.9</v>
      </c>
      <c r="D96" s="2585">
        <v>2.7</v>
      </c>
      <c r="E96" s="2586">
        <v>2</v>
      </c>
      <c r="F96" s="2584">
        <v>0.2</v>
      </c>
      <c r="G96" s="2585">
        <v>1.6</v>
      </c>
    </row>
    <row r="97" spans="1:7" ht="18" hidden="1" customHeight="1" x14ac:dyDescent="0.3">
      <c r="A97" s="2582">
        <v>42064</v>
      </c>
      <c r="B97" s="2583">
        <v>2.4</v>
      </c>
      <c r="C97" s="2584">
        <v>1.7</v>
      </c>
      <c r="D97" s="2585">
        <v>2.6</v>
      </c>
      <c r="E97" s="2586">
        <v>2.2000000000000002</v>
      </c>
      <c r="F97" s="2584">
        <v>0.3</v>
      </c>
      <c r="G97" s="2585">
        <v>1.6</v>
      </c>
    </row>
    <row r="98" spans="1:7" ht="18" hidden="1" customHeight="1" x14ac:dyDescent="0.3">
      <c r="A98" s="2582">
        <v>42095</v>
      </c>
      <c r="B98" s="2583">
        <v>2.2000000000000002</v>
      </c>
      <c r="C98" s="2584">
        <v>1.5</v>
      </c>
      <c r="D98" s="2585">
        <v>2.5</v>
      </c>
      <c r="E98" s="2586">
        <v>2.1</v>
      </c>
      <c r="F98" s="2584">
        <v>0.3</v>
      </c>
      <c r="G98" s="2585">
        <v>1.6</v>
      </c>
    </row>
    <row r="99" spans="1:7" ht="18" hidden="1" customHeight="1" x14ac:dyDescent="0.3">
      <c r="A99" s="2582">
        <v>42125</v>
      </c>
      <c r="B99" s="2583">
        <v>2</v>
      </c>
      <c r="C99" s="2584">
        <v>1.3</v>
      </c>
      <c r="D99" s="2585">
        <v>2.2999999999999998</v>
      </c>
      <c r="E99" s="2586">
        <v>0.5</v>
      </c>
      <c r="F99" s="2584">
        <v>0.5</v>
      </c>
      <c r="G99" s="2585">
        <v>1.9</v>
      </c>
    </row>
    <row r="100" spans="1:7" ht="18" hidden="1" customHeight="1" x14ac:dyDescent="0.3">
      <c r="A100" s="2582">
        <v>42156</v>
      </c>
      <c r="B100" s="2583">
        <v>1.7</v>
      </c>
      <c r="C100" s="2584">
        <v>1.1000000000000001</v>
      </c>
      <c r="D100" s="2585">
        <v>2.2999999999999998</v>
      </c>
      <c r="E100" s="2586">
        <v>0.4</v>
      </c>
      <c r="F100" s="2584">
        <v>0.6</v>
      </c>
      <c r="G100" s="2585">
        <v>2.1</v>
      </c>
    </row>
    <row r="101" spans="1:7" ht="18" hidden="1" customHeight="1" x14ac:dyDescent="0.3">
      <c r="A101" s="2582">
        <v>42186</v>
      </c>
      <c r="B101" s="2583">
        <v>1.5</v>
      </c>
      <c r="C101" s="2584">
        <v>0.9</v>
      </c>
      <c r="D101" s="2585">
        <v>2.1</v>
      </c>
      <c r="E101" s="2586">
        <v>0.6</v>
      </c>
      <c r="F101" s="2584">
        <v>0.2</v>
      </c>
      <c r="G101" s="2585">
        <v>1.6</v>
      </c>
    </row>
    <row r="102" spans="1:7" ht="18" hidden="1" customHeight="1" x14ac:dyDescent="0.3">
      <c r="A102" s="2582">
        <v>42217</v>
      </c>
      <c r="B102" s="2583">
        <v>1.3</v>
      </c>
      <c r="C102" s="2584">
        <v>0.7</v>
      </c>
      <c r="D102" s="2585">
        <v>2</v>
      </c>
      <c r="E102" s="2586">
        <v>1.1000000000000001</v>
      </c>
      <c r="F102" s="2584">
        <v>0.4</v>
      </c>
      <c r="G102" s="2585">
        <v>1.7</v>
      </c>
    </row>
    <row r="103" spans="1:7" ht="18" hidden="1" customHeight="1" x14ac:dyDescent="0.3">
      <c r="A103" s="2582">
        <v>42248</v>
      </c>
      <c r="B103" s="2583">
        <v>1.2</v>
      </c>
      <c r="C103" s="2584">
        <v>0.6</v>
      </c>
      <c r="D103" s="2585">
        <v>1.9</v>
      </c>
      <c r="E103" s="2586">
        <v>2</v>
      </c>
      <c r="F103" s="2584">
        <v>0.9</v>
      </c>
      <c r="G103" s="2585">
        <v>2</v>
      </c>
    </row>
    <row r="104" spans="1:7" ht="18" hidden="1" customHeight="1" x14ac:dyDescent="0.3">
      <c r="A104" s="2582">
        <v>42278</v>
      </c>
      <c r="B104" s="2583">
        <v>1.2</v>
      </c>
      <c r="C104" s="2584">
        <v>0.5</v>
      </c>
      <c r="D104" s="2585">
        <v>1.8</v>
      </c>
      <c r="E104" s="2586">
        <v>1.5</v>
      </c>
      <c r="F104" s="2584">
        <v>0.7</v>
      </c>
      <c r="G104" s="2585">
        <v>1.8</v>
      </c>
    </row>
    <row r="105" spans="1:7" ht="18" hidden="1" customHeight="1" x14ac:dyDescent="0.3">
      <c r="A105" s="2582">
        <v>42309</v>
      </c>
      <c r="B105" s="2583">
        <v>1.2</v>
      </c>
      <c r="C105" s="2584">
        <v>0.4</v>
      </c>
      <c r="D105" s="2585">
        <v>1.7</v>
      </c>
      <c r="E105" s="2586">
        <v>1</v>
      </c>
      <c r="F105" s="2584">
        <v>0.5</v>
      </c>
      <c r="G105" s="2585">
        <v>2</v>
      </c>
    </row>
    <row r="106" spans="1:7" ht="18" hidden="1" customHeight="1" x14ac:dyDescent="0.3">
      <c r="A106" s="2582">
        <v>42339</v>
      </c>
      <c r="B106" s="2583">
        <v>1.3</v>
      </c>
      <c r="C106" s="2584">
        <v>0.4</v>
      </c>
      <c r="D106" s="2585">
        <v>1.7</v>
      </c>
      <c r="E106" s="2586">
        <v>1.3</v>
      </c>
      <c r="F106" s="2584">
        <v>1.1000000000000001</v>
      </c>
      <c r="G106" s="2585">
        <v>2.2999999999999998</v>
      </c>
    </row>
    <row r="107" spans="1:7" ht="18" hidden="1" customHeight="1" x14ac:dyDescent="0.3">
      <c r="A107" s="2582">
        <v>42370</v>
      </c>
      <c r="B107" s="2583">
        <v>1.3</v>
      </c>
      <c r="C107" s="2584">
        <v>0.6</v>
      </c>
      <c r="D107" s="2585">
        <v>2</v>
      </c>
      <c r="E107" s="2586">
        <v>0.4</v>
      </c>
      <c r="F107" s="2584">
        <v>1.9</v>
      </c>
      <c r="G107" s="2585">
        <v>3.5</v>
      </c>
    </row>
    <row r="108" spans="1:7" ht="18" hidden="1" customHeight="1" x14ac:dyDescent="0.3">
      <c r="A108" s="2582">
        <v>42401</v>
      </c>
      <c r="B108" s="2583">
        <v>1</v>
      </c>
      <c r="C108" s="2584">
        <v>0.7</v>
      </c>
      <c r="D108" s="2585">
        <v>2.1</v>
      </c>
      <c r="E108" s="2586">
        <v>-0.5</v>
      </c>
      <c r="F108" s="2584">
        <v>0.9</v>
      </c>
      <c r="G108" s="2585">
        <v>2.8</v>
      </c>
    </row>
    <row r="109" spans="1:7" ht="18" hidden="1" customHeight="1" x14ac:dyDescent="0.3">
      <c r="A109" s="2582">
        <v>42430</v>
      </c>
      <c r="B109" s="2583">
        <v>0.9</v>
      </c>
      <c r="C109" s="2584">
        <v>0.7</v>
      </c>
      <c r="D109" s="2585">
        <v>2.1</v>
      </c>
      <c r="E109" s="2586">
        <v>0.9</v>
      </c>
      <c r="F109" s="2584">
        <v>0.6</v>
      </c>
      <c r="G109" s="2585">
        <v>2.5</v>
      </c>
    </row>
    <row r="110" spans="1:7" ht="18" hidden="1" customHeight="1" x14ac:dyDescent="0.3">
      <c r="A110" s="2582">
        <v>42461</v>
      </c>
      <c r="B110" s="2583">
        <v>0.8</v>
      </c>
      <c r="C110" s="2584">
        <v>0.7</v>
      </c>
      <c r="D110" s="2585">
        <v>2.2000000000000002</v>
      </c>
      <c r="E110" s="2586">
        <v>0.2</v>
      </c>
      <c r="F110" s="2584">
        <v>0.7</v>
      </c>
      <c r="G110" s="2585">
        <v>2.6</v>
      </c>
    </row>
    <row r="111" spans="1:7" ht="18" hidden="1" customHeight="1" x14ac:dyDescent="0.3">
      <c r="A111" s="2582">
        <v>42491</v>
      </c>
      <c r="B111" s="2583">
        <v>0.8</v>
      </c>
      <c r="C111" s="2584">
        <v>0.7</v>
      </c>
      <c r="D111" s="2585">
        <v>2.2000000000000002</v>
      </c>
      <c r="E111" s="2586">
        <v>0.8</v>
      </c>
      <c r="F111" s="2584">
        <v>-0.1</v>
      </c>
      <c r="G111" s="2585">
        <v>1.7</v>
      </c>
    </row>
    <row r="112" spans="1:7" ht="18" hidden="1" customHeight="1" x14ac:dyDescent="0.3">
      <c r="A112" s="2582">
        <v>42522</v>
      </c>
      <c r="B112" s="2583">
        <v>0.9</v>
      </c>
      <c r="C112" s="2584">
        <v>0.7</v>
      </c>
      <c r="D112" s="2585">
        <v>2.2000000000000002</v>
      </c>
      <c r="E112" s="2586">
        <v>1.1000000000000001</v>
      </c>
      <c r="F112" s="2584">
        <v>0.4</v>
      </c>
      <c r="G112" s="2585">
        <v>2.2999999999999998</v>
      </c>
    </row>
    <row r="113" spans="1:7" ht="18" hidden="1" customHeight="1" x14ac:dyDescent="0.3">
      <c r="A113" s="2582">
        <v>42552</v>
      </c>
      <c r="B113" s="2583">
        <v>0.9</v>
      </c>
      <c r="C113" s="2584">
        <v>0.7</v>
      </c>
      <c r="D113" s="2585">
        <v>2.2999999999999998</v>
      </c>
      <c r="E113" s="2586">
        <v>1</v>
      </c>
      <c r="F113" s="2584">
        <v>0.7</v>
      </c>
      <c r="G113" s="2585">
        <v>2.6</v>
      </c>
    </row>
    <row r="114" spans="1:7" ht="18" hidden="1" customHeight="1" x14ac:dyDescent="0.3">
      <c r="A114" s="2582">
        <v>42583</v>
      </c>
      <c r="B114" s="2583">
        <v>0.9</v>
      </c>
      <c r="C114" s="2584">
        <v>0.7</v>
      </c>
      <c r="D114" s="2585">
        <v>2.2999999999999998</v>
      </c>
      <c r="E114" s="2586">
        <v>0.9</v>
      </c>
      <c r="F114" s="2584">
        <v>-0.4</v>
      </c>
      <c r="G114" s="2585">
        <v>1.8</v>
      </c>
    </row>
    <row r="115" spans="1:7" ht="18" hidden="1" customHeight="1" x14ac:dyDescent="0.3">
      <c r="A115" s="2582">
        <v>42614</v>
      </c>
      <c r="B115" s="2583">
        <v>0.8</v>
      </c>
      <c r="C115" s="2584">
        <v>0.6</v>
      </c>
      <c r="D115" s="2585">
        <v>2.2999999999999998</v>
      </c>
      <c r="E115" s="2586">
        <v>0.9</v>
      </c>
      <c r="F115" s="2584">
        <v>-0.3</v>
      </c>
      <c r="G115" s="2585">
        <v>1.9</v>
      </c>
    </row>
    <row r="116" spans="1:7" ht="18" hidden="1" customHeight="1" x14ac:dyDescent="0.3">
      <c r="A116" s="2582">
        <v>42644</v>
      </c>
      <c r="B116" s="2583">
        <v>0.8</v>
      </c>
      <c r="C116" s="2584">
        <v>0.5</v>
      </c>
      <c r="D116" s="2585">
        <v>2.2999999999999998</v>
      </c>
      <c r="E116" s="2586">
        <v>1.5</v>
      </c>
      <c r="F116" s="2584">
        <v>-0.4</v>
      </c>
      <c r="G116" s="2585">
        <v>1.8</v>
      </c>
    </row>
    <row r="117" spans="1:7" ht="18" hidden="1" customHeight="1" x14ac:dyDescent="0.3">
      <c r="A117" s="2582">
        <v>42675</v>
      </c>
      <c r="B117" s="2583">
        <v>0.9</v>
      </c>
      <c r="C117" s="2584">
        <v>0.4</v>
      </c>
      <c r="D117" s="2585">
        <v>2.2999999999999998</v>
      </c>
      <c r="E117" s="2586">
        <v>2.2000000000000002</v>
      </c>
      <c r="F117" s="2584">
        <v>0.1</v>
      </c>
      <c r="G117" s="2585">
        <v>1.8</v>
      </c>
    </row>
    <row r="118" spans="1:7" ht="18" hidden="1" customHeight="1" x14ac:dyDescent="0.3">
      <c r="A118" s="2582">
        <v>42705</v>
      </c>
      <c r="B118" s="2583">
        <v>1</v>
      </c>
      <c r="C118" s="2584">
        <v>0.4</v>
      </c>
      <c r="D118" s="2585">
        <v>2.2000000000000002</v>
      </c>
      <c r="E118" s="2586">
        <v>2.2999999999999998</v>
      </c>
      <c r="F118" s="2584">
        <v>0.3</v>
      </c>
      <c r="G118" s="2585">
        <v>1.7</v>
      </c>
    </row>
    <row r="119" spans="1:7" ht="18" hidden="1" customHeight="1" x14ac:dyDescent="0.3">
      <c r="A119" s="2582">
        <v>42736</v>
      </c>
      <c r="B119" s="2583">
        <v>1.1000000000000001</v>
      </c>
      <c r="C119" s="2584">
        <v>0.3</v>
      </c>
      <c r="D119" s="2585">
        <v>2.1</v>
      </c>
      <c r="E119" s="2586">
        <v>1.8</v>
      </c>
      <c r="F119" s="2584">
        <v>0.5</v>
      </c>
      <c r="G119" s="2585">
        <v>1.7</v>
      </c>
    </row>
    <row r="120" spans="1:7" ht="18" hidden="1" customHeight="1" x14ac:dyDescent="0.3">
      <c r="A120" s="2582">
        <v>42767</v>
      </c>
      <c r="B120" s="2583">
        <v>1.2</v>
      </c>
      <c r="C120" s="2584">
        <v>0.3</v>
      </c>
      <c r="D120" s="2585">
        <v>2</v>
      </c>
      <c r="E120" s="2586">
        <v>1.3</v>
      </c>
      <c r="F120" s="2584">
        <v>1.1000000000000001</v>
      </c>
      <c r="G120" s="2585">
        <v>1.6</v>
      </c>
    </row>
    <row r="121" spans="1:7" ht="18" hidden="1" customHeight="1" x14ac:dyDescent="0.3">
      <c r="A121" s="2582">
        <v>42795</v>
      </c>
      <c r="B121" s="2583">
        <v>1.3</v>
      </c>
      <c r="C121" s="2584">
        <v>0.4</v>
      </c>
      <c r="D121" s="2585">
        <v>1.9</v>
      </c>
      <c r="E121" s="2586">
        <v>1.3</v>
      </c>
      <c r="F121" s="2584">
        <v>1.7</v>
      </c>
      <c r="G121" s="2585">
        <v>1.8</v>
      </c>
    </row>
    <row r="122" spans="1:7" ht="18" hidden="1" customHeight="1" x14ac:dyDescent="0.3">
      <c r="A122" s="2582">
        <v>42826</v>
      </c>
      <c r="B122" s="2583">
        <v>1.5</v>
      </c>
      <c r="C122" s="2584">
        <v>0.5</v>
      </c>
      <c r="D122" s="2585">
        <v>1.9</v>
      </c>
      <c r="E122" s="2586">
        <v>2.9</v>
      </c>
      <c r="F122" s="2584">
        <v>1.9</v>
      </c>
      <c r="G122" s="2585">
        <v>2.1</v>
      </c>
    </row>
    <row r="123" spans="1:7" ht="18" hidden="1" customHeight="1" x14ac:dyDescent="0.3">
      <c r="A123" s="2582">
        <v>42856</v>
      </c>
      <c r="B123" s="2583">
        <v>1.9</v>
      </c>
      <c r="C123" s="2584">
        <v>0.7</v>
      </c>
      <c r="D123" s="2585">
        <v>2</v>
      </c>
      <c r="E123" s="2586">
        <v>5.9</v>
      </c>
      <c r="F123" s="2584">
        <v>2.6</v>
      </c>
      <c r="G123" s="2585">
        <v>3</v>
      </c>
    </row>
    <row r="124" spans="1:7" ht="18" hidden="1" customHeight="1" x14ac:dyDescent="0.3">
      <c r="A124" s="2582">
        <v>42887</v>
      </c>
      <c r="B124" s="2583">
        <v>2.4</v>
      </c>
      <c r="C124" s="2584">
        <v>0.8</v>
      </c>
      <c r="D124" s="2585">
        <v>2</v>
      </c>
      <c r="E124" s="2586">
        <v>6.4</v>
      </c>
      <c r="F124" s="2584">
        <v>2</v>
      </c>
      <c r="G124" s="2585">
        <v>2.2999999999999998</v>
      </c>
    </row>
    <row r="125" spans="1:7" ht="18" hidden="1" customHeight="1" x14ac:dyDescent="0.3">
      <c r="A125" s="2582">
        <v>42917</v>
      </c>
      <c r="B125" s="2583">
        <v>2.7</v>
      </c>
      <c r="C125" s="2584">
        <v>0.9</v>
      </c>
      <c r="D125" s="2585">
        <v>2</v>
      </c>
      <c r="E125" s="2586">
        <v>5.3</v>
      </c>
      <c r="F125" s="2584">
        <v>1.9</v>
      </c>
      <c r="G125" s="2585">
        <v>2.2000000000000002</v>
      </c>
    </row>
    <row r="126" spans="1:7" ht="18" hidden="1" customHeight="1" x14ac:dyDescent="0.3">
      <c r="A126" s="2582">
        <v>42948</v>
      </c>
      <c r="B126" s="2583">
        <v>3.0286765833461127</v>
      </c>
      <c r="C126" s="2584">
        <v>1.2222935693991577</v>
      </c>
      <c r="D126" s="2585">
        <v>2.0456514153099237</v>
      </c>
      <c r="E126" s="2586">
        <v>4.5703839122486212</v>
      </c>
      <c r="F126" s="2584">
        <v>3.1433178020487729</v>
      </c>
      <c r="G126" s="2585">
        <v>2.6876093090027808</v>
      </c>
    </row>
    <row r="127" spans="1:7" ht="18" hidden="1" customHeight="1" x14ac:dyDescent="0.3">
      <c r="A127" s="2582">
        <v>42979</v>
      </c>
      <c r="B127" s="2583">
        <v>3.2</v>
      </c>
      <c r="C127" s="2584">
        <v>1.5</v>
      </c>
      <c r="D127" s="2585">
        <v>2.1</v>
      </c>
      <c r="E127" s="2586">
        <v>3.5</v>
      </c>
      <c r="F127" s="2584">
        <v>2.7</v>
      </c>
      <c r="G127" s="2585">
        <v>2.1</v>
      </c>
    </row>
    <row r="128" spans="1:7" ht="18" hidden="1" customHeight="1" x14ac:dyDescent="0.3">
      <c r="A128" s="2582">
        <v>43009</v>
      </c>
      <c r="B128" s="2583">
        <v>3.4</v>
      </c>
      <c r="C128" s="2584">
        <v>1.7</v>
      </c>
      <c r="D128" s="2585">
        <v>2.1</v>
      </c>
      <c r="E128" s="2586">
        <v>3.5</v>
      </c>
      <c r="F128" s="2584">
        <v>2.9</v>
      </c>
      <c r="G128" s="2585">
        <v>2.4</v>
      </c>
    </row>
    <row r="129" spans="1:7" ht="18" hidden="1" customHeight="1" x14ac:dyDescent="0.3">
      <c r="A129" s="2582">
        <v>43040</v>
      </c>
      <c r="B129" s="2583">
        <v>3.5135960892147766</v>
      </c>
      <c r="C129" s="2584">
        <v>1.9613825093619752</v>
      </c>
      <c r="D129" s="2585">
        <v>2.1371120259215282</v>
      </c>
      <c r="E129" s="2586">
        <v>3.5648994515539156</v>
      </c>
      <c r="F129" s="2584">
        <v>2.7389160086513931</v>
      </c>
      <c r="G129" s="2585">
        <v>2.1266499895171931</v>
      </c>
    </row>
    <row r="130" spans="1:7" ht="18" hidden="1" customHeight="1" x14ac:dyDescent="0.3">
      <c r="A130" s="2582">
        <v>43070</v>
      </c>
      <c r="B130" s="2583">
        <v>3.7</v>
      </c>
      <c r="C130" s="2584">
        <v>2.2000000000000002</v>
      </c>
      <c r="D130" s="2585">
        <v>2.2000000000000002</v>
      </c>
      <c r="E130" s="2586">
        <v>4.2</v>
      </c>
      <c r="F130" s="2584">
        <v>2.9</v>
      </c>
      <c r="G130" s="2585">
        <v>2.2000000000000002</v>
      </c>
    </row>
    <row r="131" spans="1:7" ht="18" hidden="1" customHeight="1" x14ac:dyDescent="0.3">
      <c r="A131" s="2582">
        <v>43101</v>
      </c>
      <c r="B131" s="2583">
        <v>4.0347137637027686</v>
      </c>
      <c r="C131" s="2584">
        <v>2.3846825535486893</v>
      </c>
      <c r="D131" s="2585">
        <v>2.1804513646307644</v>
      </c>
      <c r="E131" s="2586">
        <v>6.1705989110707682</v>
      </c>
      <c r="F131" s="2584">
        <v>2.9291982620538226</v>
      </c>
      <c r="G131" s="2585">
        <v>1.7701381506116443</v>
      </c>
    </row>
    <row r="132" spans="1:7" ht="18" hidden="1" customHeight="1" x14ac:dyDescent="0.3">
      <c r="A132" s="2582">
        <v>43132</v>
      </c>
      <c r="B132" s="2583">
        <v>4.5171102661596851</v>
      </c>
      <c r="C132" s="2584">
        <v>2.5118378490783133</v>
      </c>
      <c r="D132" s="2585">
        <v>2.1965772455402544</v>
      </c>
      <c r="E132" s="2586">
        <v>6.995515695067267</v>
      </c>
      <c r="F132" s="2584">
        <v>2.6502478886668568</v>
      </c>
      <c r="G132" s="2585">
        <v>1.8158040266164077</v>
      </c>
    </row>
    <row r="133" spans="1:7" ht="18" hidden="1" customHeight="1" x14ac:dyDescent="0.3">
      <c r="A133" s="2582">
        <v>43160</v>
      </c>
      <c r="B133" s="2583">
        <v>4.9756912792464192</v>
      </c>
      <c r="C133" s="2584">
        <v>2.54927677755028</v>
      </c>
      <c r="D133" s="2585">
        <v>2.1728279888055591</v>
      </c>
      <c r="E133" s="2586">
        <v>6.6666666666666652</v>
      </c>
      <c r="F133" s="2584">
        <v>2.1375028224842385</v>
      </c>
      <c r="G133" s="2585">
        <v>1.5659157673754143</v>
      </c>
    </row>
    <row r="134" spans="1:7" ht="18" hidden="1" customHeight="1" x14ac:dyDescent="0.3">
      <c r="A134" s="2582">
        <v>43191</v>
      </c>
      <c r="B134" s="2583">
        <v>5</v>
      </c>
      <c r="C134" s="2584">
        <v>2.6</v>
      </c>
      <c r="D134" s="2585">
        <v>2.1</v>
      </c>
      <c r="E134" s="2586">
        <v>3.7</v>
      </c>
      <c r="F134" s="2584">
        <v>2.2000000000000002</v>
      </c>
      <c r="G134" s="2585">
        <v>1.5</v>
      </c>
    </row>
    <row r="135" spans="1:7" ht="18" hidden="1" customHeight="1" x14ac:dyDescent="0.3">
      <c r="A135" s="2582">
        <v>43221</v>
      </c>
      <c r="B135" s="2583">
        <v>4.7</v>
      </c>
      <c r="C135" s="2584">
        <v>2.5</v>
      </c>
      <c r="D135" s="2585">
        <v>2</v>
      </c>
      <c r="E135" s="2586">
        <v>2.4</v>
      </c>
      <c r="F135" s="2584">
        <v>2.2000000000000002</v>
      </c>
      <c r="G135" s="2585">
        <v>1.3</v>
      </c>
    </row>
    <row r="136" spans="1:7" ht="18" hidden="1" customHeight="1" x14ac:dyDescent="0.3">
      <c r="A136" s="2582">
        <v>43252</v>
      </c>
      <c r="B136" s="2583">
        <v>4.2920174056568339</v>
      </c>
      <c r="C136" s="2584">
        <v>2.5889959177030519</v>
      </c>
      <c r="D136" s="2585">
        <v>1.9236851262346866</v>
      </c>
      <c r="E136" s="2586">
        <v>1.031685458224918</v>
      </c>
      <c r="F136" s="2584">
        <v>2.5907728443276712</v>
      </c>
      <c r="G136" s="2585">
        <v>1.6020785026058526</v>
      </c>
    </row>
    <row r="137" spans="1:7" ht="18" hidden="1" customHeight="1" x14ac:dyDescent="0.3">
      <c r="A137" s="2582">
        <v>43282</v>
      </c>
      <c r="B137" s="2583">
        <v>4</v>
      </c>
      <c r="C137" s="2584">
        <v>2.6</v>
      </c>
      <c r="D137" s="2585">
        <v>1.9</v>
      </c>
      <c r="E137" s="2586">
        <v>1.7</v>
      </c>
      <c r="F137" s="2584">
        <v>2.5</v>
      </c>
      <c r="G137" s="2585">
        <v>1.9</v>
      </c>
    </row>
    <row r="138" spans="1:7" ht="18" hidden="1" customHeight="1" x14ac:dyDescent="0.3">
      <c r="A138" s="2582">
        <v>43313</v>
      </c>
      <c r="B138" s="2583">
        <v>3.7</v>
      </c>
      <c r="C138" s="2584">
        <v>2.5</v>
      </c>
      <c r="D138" s="2585">
        <v>1.8</v>
      </c>
      <c r="E138" s="2586">
        <v>0.9</v>
      </c>
      <c r="F138" s="2584">
        <v>1.8</v>
      </c>
      <c r="G138" s="2585">
        <v>1.4</v>
      </c>
    </row>
    <row r="139" spans="1:7" ht="18" hidden="1" customHeight="1" x14ac:dyDescent="0.3">
      <c r="A139" s="2582">
        <v>43344</v>
      </c>
      <c r="B139" s="2583">
        <v>3.5</v>
      </c>
      <c r="C139" s="2584">
        <v>2.5</v>
      </c>
      <c r="D139" s="2585">
        <v>1.8</v>
      </c>
      <c r="E139" s="2586">
        <v>1.9</v>
      </c>
      <c r="F139" s="2584">
        <v>2.1</v>
      </c>
      <c r="G139" s="2585">
        <v>1.8</v>
      </c>
    </row>
    <row r="140" spans="1:7" ht="18" hidden="1" customHeight="1" x14ac:dyDescent="0.3">
      <c r="A140" s="2582">
        <v>43374</v>
      </c>
      <c r="B140" s="2583">
        <v>3.4899837193813399</v>
      </c>
      <c r="C140" s="2584">
        <v>2.4218179892776304</v>
      </c>
      <c r="D140" s="2585">
        <v>1.7586366027664946</v>
      </c>
      <c r="E140" s="2586">
        <v>2.7779155594921834</v>
      </c>
      <c r="F140" s="2584">
        <v>2.2970321623414502</v>
      </c>
      <c r="G140" s="2585">
        <v>2.1178916329569253</v>
      </c>
    </row>
    <row r="141" spans="1:7" ht="18" hidden="1" customHeight="1" x14ac:dyDescent="0.3">
      <c r="A141" s="2582">
        <v>43405</v>
      </c>
      <c r="B141" s="2583">
        <v>3.4</v>
      </c>
      <c r="C141" s="2584">
        <v>2.4</v>
      </c>
      <c r="D141" s="2585">
        <v>1.8</v>
      </c>
      <c r="E141" s="2586">
        <v>2.8</v>
      </c>
      <c r="F141" s="2584">
        <v>2.6</v>
      </c>
      <c r="G141" s="2585">
        <v>2.5</v>
      </c>
    </row>
    <row r="142" spans="1:7" ht="18" hidden="1" customHeight="1" x14ac:dyDescent="0.3">
      <c r="A142" s="2582">
        <v>43435</v>
      </c>
      <c r="B142" s="2583">
        <v>3.2273827033387326</v>
      </c>
      <c r="C142" s="2584">
        <v>2.3432099051625688</v>
      </c>
      <c r="D142" s="2585">
        <v>1.7858993722993155</v>
      </c>
      <c r="E142" s="2586">
        <v>1.7861988304093579</v>
      </c>
      <c r="F142" s="2584">
        <v>2.1106037979508274</v>
      </c>
      <c r="G142" s="2585">
        <v>2.0890363570770898</v>
      </c>
    </row>
    <row r="143" spans="1:7" ht="18" hidden="1" customHeight="1" x14ac:dyDescent="0.3">
      <c r="A143" s="2582">
        <v>43466</v>
      </c>
      <c r="B143" s="2583">
        <v>2.8</v>
      </c>
      <c r="C143" s="2584">
        <v>2.2999999999999998</v>
      </c>
      <c r="D143" s="2585">
        <v>1.9</v>
      </c>
      <c r="E143" s="2586">
        <v>0.5</v>
      </c>
      <c r="F143" s="2584">
        <v>1.8</v>
      </c>
      <c r="G143" s="2585">
        <v>2.7</v>
      </c>
    </row>
    <row r="144" spans="1:7" ht="18" hidden="1" customHeight="1" x14ac:dyDescent="0.3">
      <c r="A144" s="2582">
        <v>43497</v>
      </c>
      <c r="B144" s="2583">
        <v>2.1035542782304795</v>
      </c>
      <c r="C144" s="2584">
        <v>2.1204152301877777</v>
      </c>
      <c r="D144" s="2585">
        <v>1.8690863024179549</v>
      </c>
      <c r="E144" s="2586">
        <v>-0.83604358759429287</v>
      </c>
      <c r="F144" s="2584">
        <v>1.0622973472985686</v>
      </c>
      <c r="G144" s="2585">
        <v>1.8763645467243739</v>
      </c>
    </row>
    <row r="145" spans="1:7" ht="18" hidden="1" customHeight="1" x14ac:dyDescent="0.3">
      <c r="A145" s="2582">
        <v>43525</v>
      </c>
      <c r="B145" s="2583">
        <v>1.4265757290686798</v>
      </c>
      <c r="C145" s="2584">
        <v>2.018192956343734</v>
      </c>
      <c r="D145" s="2585">
        <v>1.8780363097014474</v>
      </c>
      <c r="E145" s="2586">
        <v>-1.4144999999999963</v>
      </c>
      <c r="F145" s="2584">
        <v>0.92206959535967581</v>
      </c>
      <c r="G145" s="2585">
        <v>1.6773694976255804</v>
      </c>
    </row>
    <row r="146" spans="1:7" ht="18" hidden="1" customHeight="1" x14ac:dyDescent="0.3">
      <c r="A146" s="2582">
        <v>43556</v>
      </c>
      <c r="B146" s="2583">
        <v>1.2</v>
      </c>
      <c r="C146" s="2584">
        <v>1.9</v>
      </c>
      <c r="D146" s="2585">
        <v>1.9</v>
      </c>
      <c r="E146" s="2586">
        <v>0.6</v>
      </c>
      <c r="F146" s="2584">
        <v>0.6</v>
      </c>
      <c r="G146" s="2585">
        <v>1.4</v>
      </c>
    </row>
    <row r="147" spans="1:7" ht="18" hidden="1" customHeight="1" x14ac:dyDescent="0.3">
      <c r="A147" s="2582">
        <v>43586</v>
      </c>
      <c r="B147" s="2583">
        <v>1.0282470803488097</v>
      </c>
      <c r="C147" s="2584">
        <v>1.7292057679194839</v>
      </c>
      <c r="D147" s="2585">
        <v>1.8822821821713021</v>
      </c>
      <c r="E147" s="2586">
        <v>0.77220077220079286</v>
      </c>
      <c r="F147" s="2584">
        <v>0.35461436491504017</v>
      </c>
      <c r="G147" s="2585">
        <v>1.4121864530091122</v>
      </c>
    </row>
    <row r="148" spans="1:7" ht="18" hidden="1" customHeight="1" x14ac:dyDescent="0.3">
      <c r="A148" s="2582">
        <v>43617</v>
      </c>
      <c r="B148" s="2583">
        <v>0.99070578409852228</v>
      </c>
      <c r="C148" s="2584">
        <v>1.49386037472794</v>
      </c>
      <c r="D148" s="2585">
        <v>1.8675875336298997</v>
      </c>
      <c r="E148" s="2586">
        <v>0.58365758754863606</v>
      </c>
      <c r="F148" s="2584">
        <v>-0.21637203460876941</v>
      </c>
      <c r="G148" s="2585">
        <v>1.4318424366090321</v>
      </c>
    </row>
    <row r="149" spans="1:7" ht="18" hidden="1" customHeight="1" x14ac:dyDescent="0.3">
      <c r="A149" s="2582">
        <v>43647</v>
      </c>
      <c r="B149" s="2583">
        <v>0.91342430377603367</v>
      </c>
      <c r="C149" s="2584">
        <v>1.2663108409027624</v>
      </c>
      <c r="D149" s="2585">
        <v>1.8228805602991782</v>
      </c>
      <c r="E149" s="2586">
        <v>0.77972709551659136</v>
      </c>
      <c r="F149" s="2584">
        <v>-0.19899316757978625</v>
      </c>
      <c r="G149" s="2585">
        <v>1.3954747283652091</v>
      </c>
    </row>
    <row r="150" spans="1:7" ht="18" hidden="1" customHeight="1" x14ac:dyDescent="0.3">
      <c r="A150" s="2582">
        <v>43678</v>
      </c>
      <c r="B150" s="2583">
        <v>0.98235099529835335</v>
      </c>
      <c r="C150" s="2584">
        <v>1.1381059933942561</v>
      </c>
      <c r="D150" s="2585">
        <v>1.8749971211397876</v>
      </c>
      <c r="E150" s="2586">
        <v>1.7664376840039298</v>
      </c>
      <c r="F150" s="2584">
        <v>0.25501304274808678</v>
      </c>
      <c r="G150" s="2585">
        <v>2.0216034639047864</v>
      </c>
    </row>
    <row r="151" spans="1:7" ht="18" hidden="1" customHeight="1" x14ac:dyDescent="0.3">
      <c r="A151" s="2582">
        <v>43709</v>
      </c>
      <c r="B151" s="2583">
        <v>0.92993821398670296</v>
      </c>
      <c r="C151" s="2584">
        <v>0.97697752773011626</v>
      </c>
      <c r="D151" s="2585">
        <v>1.8787373128930307</v>
      </c>
      <c r="E151" s="2586">
        <v>1.2745098039215641</v>
      </c>
      <c r="F151" s="2584">
        <v>0.16177077715644472</v>
      </c>
      <c r="G151" s="2585">
        <v>1.8934138230198405</v>
      </c>
    </row>
    <row r="152" spans="1:7" ht="18" hidden="1" customHeight="1" x14ac:dyDescent="0.3">
      <c r="A152" s="2582">
        <v>43739</v>
      </c>
      <c r="B152" s="2583">
        <v>0.73599880554333641</v>
      </c>
      <c r="C152" s="2584">
        <v>0.79588360304012618</v>
      </c>
      <c r="D152" s="2585">
        <v>1.8538878855778984</v>
      </c>
      <c r="E152" s="2586">
        <v>0.390625</v>
      </c>
      <c r="F152" s="2584">
        <v>0.10975536594526325</v>
      </c>
      <c r="G152" s="2585">
        <v>1.8171571646045104</v>
      </c>
    </row>
    <row r="153" spans="1:7" ht="18" hidden="1" customHeight="1" x14ac:dyDescent="0.3">
      <c r="A153" s="2582">
        <v>43770</v>
      </c>
      <c r="B153" s="2583">
        <v>0.5310218919299281</v>
      </c>
      <c r="C153" s="2584">
        <v>0.58951659929322719</v>
      </c>
      <c r="D153" s="2585">
        <v>1.7927998449687843</v>
      </c>
      <c r="E153" s="2586">
        <v>0.29182879377431803</v>
      </c>
      <c r="F153" s="2584">
        <v>7.6094007126648044E-2</v>
      </c>
      <c r="G153" s="2585">
        <v>1.7636681664893183</v>
      </c>
    </row>
    <row r="154" spans="1:7" ht="18" hidden="1" customHeight="1" x14ac:dyDescent="0.3">
      <c r="A154" s="2582">
        <v>43800</v>
      </c>
      <c r="B154" s="2583">
        <v>0.45784101493639984</v>
      </c>
      <c r="C154" s="2584">
        <v>0.42733532629051219</v>
      </c>
      <c r="D154" s="2585">
        <v>1.7739323629121673</v>
      </c>
      <c r="E154" s="2586">
        <v>0.87890625</v>
      </c>
      <c r="F154" s="2584">
        <v>0.14336857949832638</v>
      </c>
      <c r="G154" s="2585">
        <v>1.8581762281632441</v>
      </c>
    </row>
    <row r="155" spans="1:7" ht="18" hidden="1" customHeight="1" x14ac:dyDescent="0.3">
      <c r="A155" s="2582">
        <v>43831</v>
      </c>
      <c r="B155" s="2583">
        <v>0.58274938347775418</v>
      </c>
      <c r="C155" s="2584">
        <v>0.29680653442141214</v>
      </c>
      <c r="D155" s="2585">
        <v>1.6820499857076232</v>
      </c>
      <c r="E155" s="2586">
        <v>2.0231213872832443</v>
      </c>
      <c r="F155" s="2584">
        <v>0.27152708923243729</v>
      </c>
      <c r="G155" s="2585">
        <v>1.5917333192526861</v>
      </c>
    </row>
    <row r="156" spans="1:7" ht="18" hidden="1" customHeight="1" x14ac:dyDescent="0.3">
      <c r="A156" s="2582">
        <v>43862</v>
      </c>
      <c r="B156" s="2583">
        <v>0.83188720012519202</v>
      </c>
      <c r="C156" s="2584">
        <v>0.28157669846429201</v>
      </c>
      <c r="D156" s="2585">
        <v>1.7078195371722948</v>
      </c>
      <c r="E156" s="2586">
        <v>2.1072796934865856</v>
      </c>
      <c r="F156" s="2584">
        <v>0.87178208872387142</v>
      </c>
      <c r="G156" s="2585">
        <v>2.1795294401745435</v>
      </c>
    </row>
    <row r="157" spans="1:7" ht="18" hidden="1" customHeight="1" x14ac:dyDescent="0.3">
      <c r="A157" s="2582">
        <v>43891</v>
      </c>
      <c r="B157" s="2583">
        <v>1.2</v>
      </c>
      <c r="C157" s="2584">
        <v>0.3</v>
      </c>
      <c r="D157" s="2585">
        <v>1.8</v>
      </c>
      <c r="E157" s="2586">
        <v>2.9</v>
      </c>
      <c r="F157" s="2584">
        <v>1.3</v>
      </c>
      <c r="G157" s="2585">
        <v>2.7</v>
      </c>
    </row>
    <row r="158" spans="1:7" ht="18" hidden="1" customHeight="1" x14ac:dyDescent="0.3">
      <c r="A158" s="2582">
        <v>43922</v>
      </c>
      <c r="B158" s="2583">
        <v>1.5030303030302949</v>
      </c>
      <c r="C158" s="2584">
        <v>0.38155295297568337</v>
      </c>
      <c r="D158" s="2585">
        <v>1.9276042231549662</v>
      </c>
      <c r="E158" s="2586">
        <v>4.2145593869731712</v>
      </c>
      <c r="F158" s="2584">
        <v>1.4691672980770898</v>
      </c>
      <c r="G158" s="2585">
        <v>3.0138732031102178</v>
      </c>
    </row>
    <row r="159" spans="1:7" ht="18" hidden="1" customHeight="1" thickTop="1" x14ac:dyDescent="0.3">
      <c r="A159" s="2582">
        <v>43952</v>
      </c>
      <c r="B159" s="2583">
        <v>1.6716466122910445</v>
      </c>
      <c r="C159" s="2584">
        <v>0.48645251872356798</v>
      </c>
      <c r="D159" s="2585">
        <v>2.0774059516008636</v>
      </c>
      <c r="E159" s="2586">
        <v>2.7777777777777679</v>
      </c>
      <c r="F159" s="2584">
        <v>1.6135344461770229</v>
      </c>
      <c r="G159" s="2585">
        <v>3.2092470152518482</v>
      </c>
    </row>
    <row r="160" spans="1:7" ht="18" hidden="1" customHeight="1" thickTop="1" x14ac:dyDescent="0.3">
      <c r="A160" s="2582">
        <v>43983</v>
      </c>
      <c r="B160" s="2583">
        <v>1.7676971506981998</v>
      </c>
      <c r="C160" s="2584">
        <v>0.6460172845733636</v>
      </c>
      <c r="D160" s="2585">
        <v>2.1957630381194582</v>
      </c>
      <c r="E160" s="2586">
        <v>1.740812379110257</v>
      </c>
      <c r="F160" s="2584">
        <v>1.7029712971434297</v>
      </c>
      <c r="G160" s="2585">
        <v>2.8537408506346118</v>
      </c>
    </row>
    <row r="161" spans="1:7" ht="18" hidden="1" customHeight="1" thickTop="1" x14ac:dyDescent="0.3">
      <c r="A161" s="2582">
        <v>44013</v>
      </c>
      <c r="B161" s="2583">
        <v>1.8230216987980885</v>
      </c>
      <c r="C161" s="2584">
        <v>0.8062314628626277</v>
      </c>
      <c r="D161" s="2585">
        <v>2.2937070446335639</v>
      </c>
      <c r="E161" s="2586">
        <v>1.4506769825918697</v>
      </c>
      <c r="F161" s="2584">
        <v>1.7254072617174376</v>
      </c>
      <c r="G161" s="2585">
        <v>2.5712357213994119</v>
      </c>
    </row>
    <row r="162" spans="1:7" ht="18" hidden="1" customHeight="1" thickTop="1" x14ac:dyDescent="0.3">
      <c r="A162" s="2582">
        <v>44044</v>
      </c>
      <c r="B162" s="2583">
        <v>1.8042690293999186</v>
      </c>
      <c r="C162" s="2584">
        <v>0.96802265763173967</v>
      </c>
      <c r="D162" s="2585">
        <v>2.3932585019679875</v>
      </c>
      <c r="E162" s="2586">
        <v>1.5429122468659573</v>
      </c>
      <c r="F162" s="2584">
        <v>2.1993339618013863</v>
      </c>
      <c r="G162" s="2585">
        <v>3.2107615778820264</v>
      </c>
    </row>
    <row r="163" spans="1:7" ht="18" hidden="1" customHeight="1" thickTop="1" x14ac:dyDescent="0.3">
      <c r="A163" s="2582">
        <v>44075</v>
      </c>
      <c r="B163" s="2583">
        <v>1.9150305761184372</v>
      </c>
      <c r="C163" s="2584">
        <v>1.1716521616716102</v>
      </c>
      <c r="D163" s="2585">
        <v>2.5483140930255166</v>
      </c>
      <c r="E163" s="2586">
        <v>2.6137463697967211</v>
      </c>
      <c r="F163" s="2584">
        <v>2.6060443209565687</v>
      </c>
      <c r="G163" s="2585">
        <v>3.7505567802426976</v>
      </c>
    </row>
    <row r="164" spans="1:7" ht="18" hidden="1" customHeight="1" thickTop="1" x14ac:dyDescent="0.3">
      <c r="A164" s="2582">
        <v>44105</v>
      </c>
      <c r="B164" s="2583">
        <v>2.1476833976834087</v>
      </c>
      <c r="C164" s="2584">
        <v>1.4000060105438639</v>
      </c>
      <c r="D164" s="2585">
        <v>2.7373380665246971</v>
      </c>
      <c r="E164" s="2586">
        <v>3.2101167315174983</v>
      </c>
      <c r="F164" s="2584">
        <v>2.8502785520538199</v>
      </c>
      <c r="G164" s="2585">
        <v>4.0809075847834331</v>
      </c>
    </row>
    <row r="165" spans="1:7" ht="18" hidden="1" customHeight="1" thickTop="1" x14ac:dyDescent="0.3">
      <c r="A165" s="2582">
        <v>44136</v>
      </c>
      <c r="B165" s="2583">
        <v>2.3803779654201662</v>
      </c>
      <c r="C165" s="2584">
        <v>1.608118338596487</v>
      </c>
      <c r="D165" s="2585">
        <v>2.8981268659719506</v>
      </c>
      <c r="E165" s="2586">
        <v>3.103782735208549</v>
      </c>
      <c r="F165" s="2584">
        <v>2.5663728117317097</v>
      </c>
      <c r="G165" s="2585">
        <v>3.6902162781021985</v>
      </c>
    </row>
    <row r="166" spans="1:7" ht="18" hidden="1" customHeight="1" thickTop="1" x14ac:dyDescent="0.3">
      <c r="A166" s="2582">
        <v>44166</v>
      </c>
      <c r="B166" s="2583">
        <v>2.5313404050144594</v>
      </c>
      <c r="C166" s="2584">
        <v>1.8139602258601562</v>
      </c>
      <c r="D166" s="2585">
        <v>3.0553337913181711</v>
      </c>
      <c r="E166" s="2586">
        <v>2.7105517909002952</v>
      </c>
      <c r="F166" s="2584">
        <v>2.6093599362168263</v>
      </c>
      <c r="G166" s="2585">
        <v>3.7486544116245968</v>
      </c>
    </row>
    <row r="167" spans="1:7" ht="18" hidden="1" customHeight="1" thickTop="1" x14ac:dyDescent="0.3">
      <c r="A167" s="2582">
        <v>44197</v>
      </c>
      <c r="B167" s="2583">
        <v>2.5</v>
      </c>
      <c r="C167" s="2584">
        <v>2</v>
      </c>
      <c r="D167" s="2585">
        <v>3.2</v>
      </c>
      <c r="E167" s="2586">
        <v>1</v>
      </c>
      <c r="F167" s="2584">
        <v>2.6</v>
      </c>
      <c r="G167" s="2585">
        <v>3.7</v>
      </c>
    </row>
    <row r="168" spans="1:7" ht="18" hidden="1" customHeight="1" thickTop="1" x14ac:dyDescent="0.3">
      <c r="A168" s="2582">
        <v>44228</v>
      </c>
      <c r="B168" s="2583">
        <v>2.37046528389524</v>
      </c>
      <c r="C168" s="2584">
        <v>2.1966457795428607</v>
      </c>
      <c r="D168" s="2585">
        <v>3.4205073142964393</v>
      </c>
      <c r="E168" s="2586">
        <v>1.2195121951219523</v>
      </c>
      <c r="F168" s="2584">
        <v>3.1054864028926765</v>
      </c>
      <c r="G168" s="2585">
        <v>4.4023870714384739</v>
      </c>
    </row>
    <row r="169" spans="1:7" ht="18" hidden="1" customHeight="1" thickTop="1" x14ac:dyDescent="0.3">
      <c r="A169" s="2582">
        <v>44256</v>
      </c>
      <c r="B169" s="2583">
        <v>2.2129903331469247</v>
      </c>
      <c r="C169" s="2584">
        <v>2.3386914440536755</v>
      </c>
      <c r="D169" s="2585">
        <v>3.5454567946086479</v>
      </c>
      <c r="E169" s="2586">
        <v>1.0242085661080091</v>
      </c>
      <c r="F169" s="2584">
        <v>2.9845038596151729</v>
      </c>
      <c r="G169" s="2585">
        <v>4.2375543193663434</v>
      </c>
    </row>
    <row r="170" spans="1:7" ht="18" hidden="1" customHeight="1" thickTop="1" x14ac:dyDescent="0.3">
      <c r="A170" s="2582">
        <v>44287</v>
      </c>
      <c r="B170" s="2583">
        <v>1.9</v>
      </c>
      <c r="C170" s="2584">
        <v>2.4</v>
      </c>
      <c r="D170" s="2585">
        <v>3.6</v>
      </c>
      <c r="E170" s="2586">
        <v>0.2</v>
      </c>
      <c r="F170" s="2584">
        <v>2.7</v>
      </c>
      <c r="G170" s="2585">
        <v>4.0999999999999996</v>
      </c>
    </row>
    <row r="171" spans="1:7" ht="18" hidden="1" customHeight="1" thickTop="1" x14ac:dyDescent="0.3">
      <c r="A171" s="2582">
        <v>44317</v>
      </c>
      <c r="B171" s="2583">
        <v>1.8</v>
      </c>
      <c r="C171" s="2584">
        <v>2.5</v>
      </c>
      <c r="D171" s="2585">
        <v>3.7</v>
      </c>
      <c r="E171" s="2586">
        <v>2.4</v>
      </c>
      <c r="F171" s="2584">
        <v>2.7</v>
      </c>
      <c r="G171" s="2585">
        <v>4.0999999999999996</v>
      </c>
    </row>
    <row r="172" spans="1:7" ht="18" hidden="1" customHeight="1" thickTop="1" x14ac:dyDescent="0.3">
      <c r="A172" s="2582">
        <v>44348</v>
      </c>
      <c r="B172" s="2583">
        <v>2.2000000000000002</v>
      </c>
      <c r="C172" s="2584">
        <v>2.7</v>
      </c>
      <c r="D172" s="2585">
        <v>3.8</v>
      </c>
      <c r="E172" s="2586">
        <v>5.9</v>
      </c>
      <c r="F172" s="2584">
        <v>4.0999999999999996</v>
      </c>
      <c r="G172" s="2585">
        <v>4.5</v>
      </c>
    </row>
    <row r="173" spans="1:7" ht="18" hidden="1" customHeight="1" thickTop="1" x14ac:dyDescent="0.3">
      <c r="A173" s="2582">
        <v>44378</v>
      </c>
      <c r="B173" s="2583">
        <v>2.6</v>
      </c>
      <c r="C173" s="2584">
        <v>3</v>
      </c>
      <c r="D173" s="2585">
        <v>4</v>
      </c>
      <c r="E173" s="2586">
        <v>6.5</v>
      </c>
      <c r="F173" s="2584">
        <v>4.9000000000000004</v>
      </c>
      <c r="G173" s="2585">
        <v>5</v>
      </c>
    </row>
    <row r="174" spans="1:7" ht="18" hidden="1" customHeight="1" thickTop="1" x14ac:dyDescent="0.3">
      <c r="A174" s="2582">
        <v>44409</v>
      </c>
      <c r="B174" s="2583">
        <v>3</v>
      </c>
      <c r="C174" s="2584">
        <v>3.2</v>
      </c>
      <c r="D174" s="2585">
        <v>4.0999999999999996</v>
      </c>
      <c r="E174" s="2586">
        <v>6</v>
      </c>
      <c r="F174" s="2584">
        <v>4.4000000000000004</v>
      </c>
      <c r="G174" s="2585">
        <v>4.3</v>
      </c>
    </row>
    <row r="175" spans="1:7" ht="18" customHeight="1" thickTop="1" x14ac:dyDescent="0.3">
      <c r="A175" s="2582">
        <v>44440</v>
      </c>
      <c r="B175" s="2583">
        <v>3.2</v>
      </c>
      <c r="C175" s="2584">
        <v>3.3</v>
      </c>
      <c r="D175" s="2585">
        <v>4.2</v>
      </c>
      <c r="E175" s="2586">
        <v>5.4</v>
      </c>
      <c r="F175" s="2584">
        <v>4.5999999999999996</v>
      </c>
      <c r="G175" s="2585">
        <v>4.5999999999999996</v>
      </c>
    </row>
    <row r="176" spans="1:7" ht="18" customHeight="1" x14ac:dyDescent="0.3">
      <c r="A176" s="2582">
        <v>44470</v>
      </c>
      <c r="B176" s="2583">
        <v>3.4</v>
      </c>
      <c r="C176" s="2584">
        <v>3.5</v>
      </c>
      <c r="D176" s="2585">
        <v>4.3</v>
      </c>
      <c r="E176" s="2586">
        <v>5.8</v>
      </c>
      <c r="F176" s="2584">
        <v>4.5</v>
      </c>
      <c r="G176" s="2585">
        <v>4.5</v>
      </c>
    </row>
    <row r="177" spans="1:7" ht="18" customHeight="1" x14ac:dyDescent="0.3">
      <c r="A177" s="2582">
        <v>44501</v>
      </c>
      <c r="B177" s="2583">
        <v>3.7</v>
      </c>
      <c r="C177" s="2584">
        <v>3.7</v>
      </c>
      <c r="D177" s="2585">
        <v>4.4000000000000004</v>
      </c>
      <c r="E177" s="2586">
        <v>6.4</v>
      </c>
      <c r="F177" s="2584">
        <v>5</v>
      </c>
      <c r="G177" s="2585">
        <v>5.2</v>
      </c>
    </row>
    <row r="178" spans="1:7" ht="18" customHeight="1" x14ac:dyDescent="0.3">
      <c r="A178" s="2582">
        <v>44531</v>
      </c>
      <c r="B178" s="2583">
        <v>4</v>
      </c>
      <c r="C178" s="2584">
        <v>3.9</v>
      </c>
      <c r="D178" s="2585">
        <v>4.5</v>
      </c>
      <c r="E178" s="2586">
        <v>6.8</v>
      </c>
      <c r="F178" s="2584">
        <v>5.0999999999999996</v>
      </c>
      <c r="G178" s="2585">
        <v>5.0999999999999996</v>
      </c>
    </row>
    <row r="179" spans="1:7" ht="18" customHeight="1" x14ac:dyDescent="0.3">
      <c r="A179" s="2582">
        <v>44562</v>
      </c>
      <c r="B179" s="2583">
        <v>4.5999999999999996</v>
      </c>
      <c r="C179" s="2584">
        <v>4.2</v>
      </c>
      <c r="D179" s="2585">
        <v>4.7</v>
      </c>
      <c r="E179" s="2586">
        <v>7.4</v>
      </c>
      <c r="F179" s="2584">
        <v>6</v>
      </c>
      <c r="G179" s="2585">
        <v>5.7</v>
      </c>
    </row>
    <row r="180" spans="1:7" ht="18" customHeight="1" x14ac:dyDescent="0.3">
      <c r="A180" s="2582">
        <v>44593</v>
      </c>
      <c r="B180" s="2583">
        <v>5.2</v>
      </c>
      <c r="C180" s="2584">
        <v>4.4000000000000004</v>
      </c>
      <c r="D180" s="2585">
        <v>4.8</v>
      </c>
      <c r="E180" s="2586">
        <v>9</v>
      </c>
      <c r="F180" s="2584">
        <v>6.1</v>
      </c>
      <c r="G180" s="2585">
        <v>5.8</v>
      </c>
    </row>
    <row r="181" spans="1:7" ht="18" customHeight="1" x14ac:dyDescent="0.3">
      <c r="A181" s="2582">
        <v>44621</v>
      </c>
      <c r="B181" s="2583">
        <v>6</v>
      </c>
      <c r="C181" s="2584">
        <v>4.8</v>
      </c>
      <c r="D181" s="2585">
        <v>5</v>
      </c>
      <c r="E181" s="2586">
        <v>10.7</v>
      </c>
      <c r="F181" s="2584">
        <v>7.6</v>
      </c>
      <c r="G181" s="2585">
        <v>6.6</v>
      </c>
    </row>
    <row r="182" spans="1:7" ht="18" customHeight="1" x14ac:dyDescent="0.3">
      <c r="A182" s="2582">
        <v>44652</v>
      </c>
      <c r="B182" s="2583">
        <v>7</v>
      </c>
      <c r="C182" s="2584">
        <v>5.3</v>
      </c>
      <c r="D182" s="2585">
        <v>5.2</v>
      </c>
      <c r="E182" s="2586">
        <v>11</v>
      </c>
      <c r="F182" s="2584">
        <v>8.6</v>
      </c>
      <c r="G182" s="2585">
        <v>7</v>
      </c>
    </row>
    <row r="183" spans="1:7" ht="18" customHeight="1" x14ac:dyDescent="0.3">
      <c r="A183" s="2582">
        <v>44682</v>
      </c>
      <c r="B183" s="2583">
        <v>7.7</v>
      </c>
      <c r="C183" s="2584">
        <v>6</v>
      </c>
      <c r="D183" s="2585">
        <v>5.5</v>
      </c>
      <c r="E183" s="2586">
        <v>10.7</v>
      </c>
      <c r="F183" s="2584">
        <v>11</v>
      </c>
      <c r="G183" s="2585">
        <v>7.9</v>
      </c>
    </row>
    <row r="184" spans="1:7" ht="18" customHeight="1" x14ac:dyDescent="0.3">
      <c r="A184" s="2582">
        <v>44713</v>
      </c>
      <c r="B184" s="2583">
        <v>8</v>
      </c>
      <c r="C184" s="2584">
        <v>6.6</v>
      </c>
      <c r="D184" s="2585">
        <v>5.8</v>
      </c>
      <c r="E184" s="2586">
        <v>9.6</v>
      </c>
      <c r="F184" s="2584">
        <v>10.9</v>
      </c>
      <c r="G184" s="2585">
        <v>8.1999999999999993</v>
      </c>
    </row>
    <row r="185" spans="1:7" ht="18" customHeight="1" x14ac:dyDescent="0.3">
      <c r="A185" s="2582">
        <v>44743</v>
      </c>
      <c r="B185" s="2583">
        <v>8.4</v>
      </c>
      <c r="C185" s="2584">
        <v>7.1</v>
      </c>
      <c r="D185" s="2585">
        <v>6.1</v>
      </c>
      <c r="E185" s="2586">
        <v>11</v>
      </c>
      <c r="F185" s="2584">
        <v>10.5</v>
      </c>
      <c r="G185" s="2585">
        <v>8.3000000000000007</v>
      </c>
    </row>
    <row r="186" spans="1:7" ht="18" customHeight="1" x14ac:dyDescent="0.3">
      <c r="A186" s="2582">
        <v>44774</v>
      </c>
      <c r="B186" s="2583">
        <v>8.8000000000000007</v>
      </c>
      <c r="C186" s="2584">
        <v>7.6</v>
      </c>
      <c r="D186" s="2585">
        <v>6.4</v>
      </c>
      <c r="E186" s="2586">
        <v>11.5</v>
      </c>
      <c r="F186" s="2584">
        <v>10.6</v>
      </c>
      <c r="G186" s="2585">
        <v>8.3000000000000007</v>
      </c>
    </row>
    <row r="187" spans="1:7" ht="18" customHeight="1" x14ac:dyDescent="0.3">
      <c r="A187" s="2582">
        <v>44805</v>
      </c>
      <c r="B187" s="2583">
        <v>9.4</v>
      </c>
      <c r="C187" s="2584">
        <v>8.1</v>
      </c>
      <c r="D187" s="2585">
        <v>6.7</v>
      </c>
      <c r="E187" s="2586">
        <v>11.9</v>
      </c>
      <c r="F187" s="2584">
        <v>10.199999999999999</v>
      </c>
      <c r="G187" s="2585">
        <v>7.8</v>
      </c>
    </row>
    <row r="188" spans="1:7" ht="18" customHeight="1" x14ac:dyDescent="0.3">
      <c r="A188" s="2582">
        <v>44835</v>
      </c>
      <c r="B188" s="2583">
        <v>9.9</v>
      </c>
      <c r="C188" s="2584">
        <v>8.5</v>
      </c>
      <c r="D188" s="2585">
        <v>7</v>
      </c>
      <c r="E188" s="2586">
        <v>11.9</v>
      </c>
      <c r="F188" s="2584">
        <v>10</v>
      </c>
      <c r="G188" s="2585">
        <v>7.5</v>
      </c>
    </row>
    <row r="189" spans="1:7" ht="18" customHeight="1" x14ac:dyDescent="0.3">
      <c r="A189" s="2582">
        <v>44866</v>
      </c>
      <c r="B189" s="2583">
        <v>10.3</v>
      </c>
      <c r="C189" s="2584">
        <v>8.9</v>
      </c>
      <c r="D189" s="2585">
        <v>7.1</v>
      </c>
      <c r="E189" s="2586">
        <v>12.1</v>
      </c>
      <c r="F189" s="2584">
        <v>9.6999999999999993</v>
      </c>
      <c r="G189" s="2585">
        <v>7.2</v>
      </c>
    </row>
    <row r="190" spans="1:7" ht="18" customHeight="1" x14ac:dyDescent="0.3">
      <c r="A190" s="2582">
        <v>44896</v>
      </c>
      <c r="B190" s="2583">
        <v>10.8</v>
      </c>
      <c r="C190" s="2584">
        <v>9.3000000000000007</v>
      </c>
      <c r="D190" s="2585">
        <v>7.3</v>
      </c>
      <c r="E190" s="2586">
        <v>12.2</v>
      </c>
      <c r="F190" s="2584">
        <v>9.8000000000000007</v>
      </c>
      <c r="G190" s="2585">
        <v>7.4</v>
      </c>
    </row>
    <row r="191" spans="1:7" ht="18" customHeight="1" x14ac:dyDescent="0.3">
      <c r="A191" s="2582">
        <v>44927</v>
      </c>
      <c r="B191" s="2583">
        <v>11.1</v>
      </c>
      <c r="C191" s="2584">
        <v>9.6</v>
      </c>
      <c r="D191" s="2585">
        <v>7.5</v>
      </c>
      <c r="E191" s="2586">
        <v>11.8</v>
      </c>
      <c r="F191" s="2584">
        <v>9.4</v>
      </c>
      <c r="G191" s="2585">
        <v>7.5</v>
      </c>
    </row>
    <row r="192" spans="1:7" ht="18" customHeight="1" x14ac:dyDescent="0.3">
      <c r="A192" s="2582">
        <v>44958</v>
      </c>
      <c r="B192" s="2583">
        <v>11.3</v>
      </c>
      <c r="C192" s="2584">
        <v>9.8000000000000007</v>
      </c>
      <c r="D192" s="2585">
        <v>7.5</v>
      </c>
      <c r="E192" s="2586">
        <v>11</v>
      </c>
      <c r="F192" s="2584">
        <v>9.6</v>
      </c>
      <c r="G192" s="2585">
        <v>7</v>
      </c>
    </row>
    <row r="193" spans="1:7" ht="18" customHeight="1" x14ac:dyDescent="0.3">
      <c r="A193" s="2582">
        <v>44986</v>
      </c>
      <c r="B193" s="2583">
        <v>11.1</v>
      </c>
      <c r="C193" s="2584">
        <v>9.9</v>
      </c>
      <c r="D193" s="2585">
        <v>7.5</v>
      </c>
      <c r="E193" s="2586">
        <v>9.1</v>
      </c>
      <c r="F193" s="2584">
        <v>8.3000000000000007</v>
      </c>
      <c r="G193" s="2585">
        <v>6.5</v>
      </c>
    </row>
    <row r="194" spans="1:7" ht="18" customHeight="1" x14ac:dyDescent="0.3">
      <c r="A194" s="2582">
        <v>45017</v>
      </c>
      <c r="B194" s="2583">
        <v>10.9</v>
      </c>
      <c r="C194" s="2584">
        <v>9.8000000000000007</v>
      </c>
      <c r="D194" s="2585">
        <v>7.5</v>
      </c>
      <c r="E194" s="2586">
        <v>8.3000000000000007</v>
      </c>
      <c r="F194" s="2584">
        <v>7.6</v>
      </c>
      <c r="G194" s="2585">
        <v>6.3</v>
      </c>
    </row>
    <row r="195" spans="1:7" ht="18" customHeight="1" x14ac:dyDescent="0.3">
      <c r="A195" s="2582">
        <v>45047</v>
      </c>
      <c r="B195" s="2583">
        <v>10.6</v>
      </c>
      <c r="C195" s="2584">
        <v>9.3000000000000007</v>
      </c>
      <c r="D195" s="2585">
        <v>7.3</v>
      </c>
      <c r="E195" s="2586">
        <v>7.9</v>
      </c>
      <c r="F195" s="2584">
        <v>5.3</v>
      </c>
      <c r="G195" s="2585">
        <v>5.3</v>
      </c>
    </row>
    <row r="196" spans="1:7" ht="18" customHeight="1" x14ac:dyDescent="0.3">
      <c r="A196" s="2582">
        <v>45078</v>
      </c>
      <c r="B196" s="2583">
        <v>10.5</v>
      </c>
      <c r="C196" s="2584">
        <v>8.6999999999999993</v>
      </c>
      <c r="D196" s="2585">
        <v>7</v>
      </c>
      <c r="E196" s="2586">
        <v>7.9</v>
      </c>
      <c r="F196" s="2584">
        <v>3.6</v>
      </c>
      <c r="G196" s="2585">
        <v>5</v>
      </c>
    </row>
    <row r="197" spans="1:7" ht="18" customHeight="1" x14ac:dyDescent="0.3">
      <c r="A197" s="2582">
        <v>45108</v>
      </c>
      <c r="B197" s="2583">
        <v>10</v>
      </c>
      <c r="C197" s="2584">
        <v>8</v>
      </c>
      <c r="D197" s="2585">
        <v>6.7</v>
      </c>
      <c r="E197" s="2586">
        <v>5.9</v>
      </c>
      <c r="F197" s="2584">
        <v>3.1</v>
      </c>
      <c r="G197" s="2585">
        <v>4.3</v>
      </c>
    </row>
    <row r="198" spans="1:7" ht="18" customHeight="1" x14ac:dyDescent="0.3">
      <c r="A198" s="2582">
        <v>45139</v>
      </c>
      <c r="B198" s="2583">
        <v>9.6</v>
      </c>
      <c r="C198" s="2584">
        <v>7.4</v>
      </c>
      <c r="D198" s="2585">
        <v>6.3</v>
      </c>
      <c r="E198" s="2586">
        <v>5.9</v>
      </c>
      <c r="F198" s="2584">
        <v>3.3</v>
      </c>
      <c r="G198" s="2585">
        <v>4.5</v>
      </c>
    </row>
    <row r="199" spans="1:7" ht="21" customHeight="1" thickBot="1" x14ac:dyDescent="0.35">
      <c r="A199" s="2588">
        <v>45170</v>
      </c>
      <c r="B199" s="2589">
        <v>9</v>
      </c>
      <c r="C199" s="2590">
        <v>6.8</v>
      </c>
      <c r="D199" s="2591">
        <v>6.1</v>
      </c>
      <c r="E199" s="2592">
        <v>5.2</v>
      </c>
      <c r="F199" s="2590">
        <v>3.3</v>
      </c>
      <c r="G199" s="2591">
        <v>4.5</v>
      </c>
    </row>
    <row r="200" spans="1:7" s="2593" customFormat="1" ht="46.5" customHeight="1" thickTop="1" x14ac:dyDescent="0.2">
      <c r="A200" s="3248" t="s">
        <v>2469</v>
      </c>
      <c r="B200" s="3248"/>
      <c r="C200" s="3248"/>
      <c r="D200" s="3248"/>
      <c r="E200" s="3248"/>
      <c r="F200" s="3248"/>
      <c r="G200" s="3248"/>
    </row>
    <row r="201" spans="1:7" s="2593" customFormat="1" ht="18.75" customHeight="1" x14ac:dyDescent="0.2">
      <c r="A201" s="3249" t="s">
        <v>53</v>
      </c>
      <c r="B201" s="3249"/>
      <c r="C201" s="3249"/>
      <c r="D201" s="3249"/>
      <c r="E201" s="3249"/>
      <c r="F201" s="3249"/>
      <c r="G201" s="3249"/>
    </row>
    <row r="202" spans="1:7" s="2593" customFormat="1" ht="29.25" customHeight="1" x14ac:dyDescent="0.2">
      <c r="A202" s="3243" t="s">
        <v>2470</v>
      </c>
      <c r="B202" s="3243"/>
      <c r="C202" s="3243"/>
      <c r="D202" s="3243"/>
      <c r="E202" s="3243"/>
      <c r="F202" s="3243"/>
      <c r="G202" s="3243"/>
    </row>
    <row r="203" spans="1:7" s="2593" customFormat="1" ht="28.5" customHeight="1" x14ac:dyDescent="0.2">
      <c r="A203" s="3243" t="s">
        <v>2471</v>
      </c>
      <c r="B203" s="3243"/>
      <c r="C203" s="3243"/>
      <c r="D203" s="3243"/>
      <c r="E203" s="3243"/>
      <c r="F203" s="3243"/>
      <c r="G203" s="3243"/>
    </row>
    <row r="204" spans="1:7" s="2593" customFormat="1" ht="31.5" customHeight="1" x14ac:dyDescent="0.2">
      <c r="A204" s="3243" t="s">
        <v>2472</v>
      </c>
      <c r="B204" s="3243"/>
      <c r="C204" s="3243"/>
      <c r="D204" s="3243"/>
      <c r="E204" s="3243"/>
      <c r="F204" s="3243"/>
      <c r="G204" s="3243"/>
    </row>
    <row r="205" spans="1:7" s="2593" customFormat="1" ht="33" customHeight="1" x14ac:dyDescent="0.2">
      <c r="A205" s="3243" t="s">
        <v>2473</v>
      </c>
      <c r="B205" s="3243"/>
      <c r="C205" s="3243"/>
      <c r="D205" s="3243"/>
      <c r="E205" s="3243"/>
      <c r="F205" s="3243"/>
      <c r="G205" s="3243"/>
    </row>
    <row r="206" spans="1:7" s="2593" customFormat="1" ht="14.25" x14ac:dyDescent="0.2">
      <c r="A206" s="3243" t="s">
        <v>2474</v>
      </c>
      <c r="B206" s="3243"/>
      <c r="C206" s="3243"/>
      <c r="D206" s="3243"/>
      <c r="E206" s="3243"/>
      <c r="F206" s="3243"/>
      <c r="G206" s="3243"/>
    </row>
    <row r="207" spans="1:7" s="2593" customFormat="1" ht="15" customHeight="1" x14ac:dyDescent="0.2">
      <c r="A207" s="3244" t="s">
        <v>2475</v>
      </c>
      <c r="B207" s="3244"/>
      <c r="C207" s="3244"/>
      <c r="D207" s="3244"/>
      <c r="E207" s="3244"/>
      <c r="F207" s="3244"/>
      <c r="G207" s="3244"/>
    </row>
    <row r="208" spans="1:7" s="2593" customFormat="1" ht="15" customHeight="1" x14ac:dyDescent="0.2">
      <c r="A208" s="2594"/>
      <c r="B208" s="2594"/>
      <c r="C208" s="2594"/>
      <c r="D208" s="2594"/>
      <c r="E208" s="2594"/>
      <c r="F208" s="2594"/>
      <c r="G208" s="2594"/>
    </row>
    <row r="209" spans="1:7" x14ac:dyDescent="0.25">
      <c r="A209" s="2595"/>
      <c r="B209" s="2595"/>
      <c r="C209" s="2595"/>
      <c r="D209" s="2595"/>
      <c r="E209" s="2595"/>
      <c r="F209" s="2595"/>
      <c r="G209" s="2595"/>
    </row>
  </sheetData>
  <mergeCells count="10">
    <mergeCell ref="A202:G202"/>
    <mergeCell ref="B3:D3"/>
    <mergeCell ref="E3:G3"/>
    <mergeCell ref="A200:G200"/>
    <mergeCell ref="A201:G201"/>
    <mergeCell ref="A203:G203"/>
    <mergeCell ref="A204:G204"/>
    <mergeCell ref="A205:G205"/>
    <mergeCell ref="A206:G206"/>
    <mergeCell ref="A207:G207"/>
  </mergeCells>
  <hyperlinks>
    <hyperlink ref="A1:G1" location="'5 '!A1" display="Table 5: Headline and Core Inflation Rates: September 2021 to September 20231" xr:uid="{00000000-0004-0000-0500-000000000000}"/>
  </hyperlinks>
  <pageMargins left="0.75" right="0.75" top="0.75" bottom="0.75" header="0.3" footer="0"/>
  <pageSetup paperSize="9" scale="9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S268"/>
  <sheetViews>
    <sheetView showGridLines="0" zoomScale="85" zoomScaleNormal="85" zoomScaleSheetLayoutView="90" workbookViewId="0">
      <selection activeCell="A38" sqref="A38"/>
    </sheetView>
  </sheetViews>
  <sheetFormatPr defaultColWidth="8.85546875" defaultRowHeight="15" x14ac:dyDescent="0.25"/>
  <cols>
    <col min="1" max="1" width="13.42578125" style="1027" customWidth="1"/>
    <col min="2" max="3" width="16.140625" style="1027" customWidth="1"/>
    <col min="4" max="4" width="14.28515625" style="1027" customWidth="1"/>
    <col min="5" max="5" width="15.7109375" style="1027" customWidth="1"/>
    <col min="6" max="7" width="14" style="1027" customWidth="1"/>
    <col min="8" max="8" width="10.7109375" style="1027" bestFit="1" customWidth="1"/>
    <col min="9" max="9" width="12.85546875" style="1027" customWidth="1"/>
    <col min="10" max="10" width="13.85546875" style="1027" customWidth="1"/>
    <col min="11" max="15" width="12.85546875" style="1027" customWidth="1"/>
    <col min="16" max="16" width="4.28515625" style="1027" customWidth="1"/>
    <col min="17" max="17" width="13.28515625" style="1027" bestFit="1" customWidth="1"/>
    <col min="18" max="18" width="12.7109375" style="1027" bestFit="1" customWidth="1"/>
    <col min="19" max="20" width="8.85546875" style="1027"/>
    <col min="21" max="21" width="7.140625" style="1027" customWidth="1"/>
    <col min="22" max="22" width="11.85546875" style="1027" customWidth="1"/>
    <col min="23" max="16384" width="8.85546875" style="1027"/>
  </cols>
  <sheetData>
    <row r="1" spans="1:15" s="2243" customFormat="1" ht="17.25" x14ac:dyDescent="0.25">
      <c r="A1" s="2242" t="s">
        <v>1872</v>
      </c>
    </row>
    <row r="2" spans="1:15" s="1" customFormat="1" ht="18" customHeight="1" thickBot="1" x14ac:dyDescent="0.3">
      <c r="A2" s="2"/>
      <c r="J2" s="2244"/>
      <c r="K2" s="2244"/>
    </row>
    <row r="3" spans="1:15" s="2247" customFormat="1" ht="16.5" x14ac:dyDescent="0.25">
      <c r="A3" s="3417" t="s">
        <v>5</v>
      </c>
      <c r="B3" s="2245" t="s">
        <v>1873</v>
      </c>
      <c r="C3" s="2245" t="s">
        <v>1291</v>
      </c>
      <c r="D3" s="2245" t="s">
        <v>1874</v>
      </c>
      <c r="E3" s="2245" t="s">
        <v>1875</v>
      </c>
      <c r="F3" s="2245" t="s">
        <v>1876</v>
      </c>
      <c r="G3" s="2245" t="s">
        <v>1291</v>
      </c>
      <c r="H3" s="2246"/>
      <c r="I3" s="2246"/>
      <c r="J3" s="2246"/>
      <c r="K3" s="2246"/>
      <c r="L3" s="2246"/>
      <c r="M3" s="2246"/>
      <c r="N3" s="2246"/>
      <c r="O3" s="2246"/>
    </row>
    <row r="4" spans="1:15" s="2247" customFormat="1" ht="16.5" x14ac:dyDescent="0.25">
      <c r="A4" s="3418"/>
      <c r="B4" s="2248" t="s">
        <v>1877</v>
      </c>
      <c r="C4" s="2248" t="s">
        <v>1878</v>
      </c>
      <c r="D4" s="2248" t="s">
        <v>1879</v>
      </c>
      <c r="E4" s="2248" t="s">
        <v>1880</v>
      </c>
      <c r="F4" s="2248" t="s">
        <v>1877</v>
      </c>
      <c r="G4" s="2248" t="s">
        <v>1878</v>
      </c>
      <c r="H4" s="2246"/>
      <c r="I4" s="2246"/>
      <c r="J4" s="2246"/>
      <c r="K4" s="2246"/>
      <c r="L4" s="2246"/>
      <c r="M4" s="2246"/>
      <c r="N4" s="2246"/>
      <c r="O4" s="2246"/>
    </row>
    <row r="5" spans="1:15" s="2247" customFormat="1" ht="16.5" x14ac:dyDescent="0.25">
      <c r="A5" s="3418"/>
      <c r="B5" s="2248"/>
      <c r="C5" s="2248" t="s">
        <v>1881</v>
      </c>
      <c r="D5" s="2248"/>
      <c r="E5" s="2248"/>
      <c r="F5" s="2248"/>
      <c r="G5" s="2248" t="s">
        <v>1882</v>
      </c>
      <c r="H5" s="2246"/>
      <c r="I5" s="2246"/>
      <c r="J5" s="2246"/>
      <c r="K5" s="2246"/>
      <c r="L5" s="2246"/>
      <c r="M5" s="2246"/>
      <c r="N5" s="2246"/>
      <c r="O5" s="2246"/>
    </row>
    <row r="6" spans="1:15" s="2251" customFormat="1" ht="29.25" customHeight="1" thickBot="1" x14ac:dyDescent="0.3">
      <c r="A6" s="3419"/>
      <c r="B6" s="2249" t="s">
        <v>1883</v>
      </c>
      <c r="C6" s="2249" t="s">
        <v>1556</v>
      </c>
      <c r="D6" s="2249" t="s">
        <v>1884</v>
      </c>
      <c r="E6" s="2249" t="s">
        <v>1885</v>
      </c>
      <c r="F6" s="2249" t="s">
        <v>1883</v>
      </c>
      <c r="G6" s="2249" t="s">
        <v>1556</v>
      </c>
      <c r="H6" s="2250"/>
      <c r="I6" s="2250"/>
      <c r="J6" s="2250"/>
      <c r="K6" s="2250"/>
      <c r="L6" s="2250"/>
      <c r="M6" s="2250"/>
      <c r="N6" s="2250"/>
      <c r="O6" s="2250"/>
    </row>
    <row r="7" spans="1:15" s="2256" customFormat="1" ht="16.5" hidden="1" x14ac:dyDescent="0.3">
      <c r="A7" s="2252">
        <v>42370</v>
      </c>
      <c r="B7" s="2253">
        <v>80.3</v>
      </c>
      <c r="C7" s="1849">
        <v>36.299999999999997</v>
      </c>
      <c r="D7" s="2254">
        <v>1066.5</v>
      </c>
      <c r="E7" s="1849">
        <v>3.4</v>
      </c>
      <c r="F7" s="2255" t="s">
        <v>1014</v>
      </c>
      <c r="G7" s="1849" t="s">
        <v>1014</v>
      </c>
    </row>
    <row r="8" spans="1:15" s="2256" customFormat="1" ht="16.5" hidden="1" x14ac:dyDescent="0.3">
      <c r="A8" s="2252">
        <v>42401</v>
      </c>
      <c r="B8" s="2253">
        <v>71.099999999999994</v>
      </c>
      <c r="C8" s="1849" t="s">
        <v>1886</v>
      </c>
      <c r="D8" s="2254">
        <v>1193.25</v>
      </c>
      <c r="E8" s="1849">
        <v>2.5</v>
      </c>
      <c r="F8" s="2255" t="s">
        <v>1014</v>
      </c>
      <c r="G8" s="1849" t="s">
        <v>1014</v>
      </c>
    </row>
    <row r="9" spans="1:15" s="2256" customFormat="1" ht="16.5" hidden="1" x14ac:dyDescent="0.3">
      <c r="A9" s="2252">
        <v>42430</v>
      </c>
      <c r="B9" s="2253">
        <v>50</v>
      </c>
      <c r="C9" s="1849">
        <v>35.700000000000003</v>
      </c>
      <c r="D9" s="2254">
        <v>960</v>
      </c>
      <c r="E9" s="1849">
        <v>2.7</v>
      </c>
      <c r="F9" s="2255" t="s">
        <v>1014</v>
      </c>
      <c r="G9" s="1849" t="s">
        <v>1014</v>
      </c>
    </row>
    <row r="10" spans="1:15" s="2256" customFormat="1" ht="16.5" hidden="1" x14ac:dyDescent="0.3">
      <c r="A10" s="2252">
        <v>42461</v>
      </c>
      <c r="B10" s="2253">
        <v>16.600000000000001</v>
      </c>
      <c r="C10" s="1849">
        <v>35.549999999999997</v>
      </c>
      <c r="D10" s="2254" t="s">
        <v>1014</v>
      </c>
      <c r="E10" s="1849" t="s">
        <v>1014</v>
      </c>
      <c r="F10" s="2255" t="s">
        <v>1014</v>
      </c>
      <c r="G10" s="1849" t="s">
        <v>1014</v>
      </c>
    </row>
    <row r="11" spans="1:15" s="2256" customFormat="1" ht="16.5" hidden="1" x14ac:dyDescent="0.3">
      <c r="A11" s="2252">
        <v>42491</v>
      </c>
      <c r="B11" s="1849">
        <v>73.05</v>
      </c>
      <c r="C11" s="1849">
        <v>35.35</v>
      </c>
      <c r="D11" s="2257">
        <v>1000</v>
      </c>
      <c r="E11" s="1849">
        <v>3.7</v>
      </c>
      <c r="F11" s="2255" t="s">
        <v>1014</v>
      </c>
      <c r="G11" s="1849" t="s">
        <v>1014</v>
      </c>
    </row>
    <row r="12" spans="1:15" s="2256" customFormat="1" ht="16.5" hidden="1" x14ac:dyDescent="0.3">
      <c r="A12" s="2252">
        <v>42522</v>
      </c>
      <c r="B12" s="2255">
        <v>96</v>
      </c>
      <c r="C12" s="1849" t="s">
        <v>1887</v>
      </c>
      <c r="D12" s="2254">
        <v>3424.5149999999999</v>
      </c>
      <c r="E12" s="1849" t="s">
        <v>1888</v>
      </c>
      <c r="F12" s="2255" t="s">
        <v>1014</v>
      </c>
      <c r="G12" s="1849" t="s">
        <v>1014</v>
      </c>
    </row>
    <row r="13" spans="1:15" s="2256" customFormat="1" ht="16.5" hidden="1" x14ac:dyDescent="0.3">
      <c r="A13" s="2252">
        <v>42552</v>
      </c>
      <c r="B13" s="2255">
        <v>10</v>
      </c>
      <c r="C13" s="1849">
        <v>35.5</v>
      </c>
      <c r="D13" s="2254" t="s">
        <v>1014</v>
      </c>
      <c r="E13" s="1849" t="s">
        <v>1014</v>
      </c>
      <c r="F13" s="2255" t="s">
        <v>1014</v>
      </c>
      <c r="G13" s="1849" t="s">
        <v>1014</v>
      </c>
    </row>
    <row r="14" spans="1:15" s="2256" customFormat="1" ht="16.5" hidden="1" x14ac:dyDescent="0.3">
      <c r="A14" s="2252">
        <v>42583</v>
      </c>
      <c r="B14" s="2255">
        <v>10</v>
      </c>
      <c r="C14" s="1849">
        <v>35.200000000000003</v>
      </c>
      <c r="D14" s="2257">
        <v>352</v>
      </c>
      <c r="E14" s="1849">
        <v>2.68</v>
      </c>
      <c r="F14" s="2255" t="s">
        <v>1014</v>
      </c>
      <c r="G14" s="1849" t="s">
        <v>1014</v>
      </c>
    </row>
    <row r="15" spans="1:15" s="2256" customFormat="1" ht="16.5" hidden="1" x14ac:dyDescent="0.3">
      <c r="A15" s="2252">
        <v>42614</v>
      </c>
      <c r="B15" s="2255">
        <v>43.2</v>
      </c>
      <c r="C15" s="1849">
        <v>35.479999999999997</v>
      </c>
      <c r="D15" s="2254">
        <v>1532.7360000000003</v>
      </c>
      <c r="E15" s="1849">
        <v>2.69</v>
      </c>
      <c r="F15" s="2255" t="s">
        <v>1014</v>
      </c>
      <c r="G15" s="1849" t="s">
        <v>1014</v>
      </c>
    </row>
    <row r="16" spans="1:15" s="2256" customFormat="1" ht="16.5" hidden="1" x14ac:dyDescent="0.3">
      <c r="A16" s="2252">
        <v>42644</v>
      </c>
      <c r="B16" s="2253" t="s">
        <v>1014</v>
      </c>
      <c r="C16" s="1849" t="s">
        <v>1014</v>
      </c>
      <c r="D16" s="2254" t="s">
        <v>1014</v>
      </c>
      <c r="E16" s="1849" t="s">
        <v>1014</v>
      </c>
      <c r="F16" s="2255" t="s">
        <v>1014</v>
      </c>
      <c r="G16" s="1849" t="s">
        <v>1014</v>
      </c>
    </row>
    <row r="17" spans="1:8" s="2256" customFormat="1" ht="16.5" hidden="1" x14ac:dyDescent="0.3">
      <c r="A17" s="2252">
        <v>42675</v>
      </c>
      <c r="B17" s="1849">
        <v>47.35</v>
      </c>
      <c r="C17" s="1849">
        <v>36.15</v>
      </c>
      <c r="D17" s="2254" t="s">
        <v>1014</v>
      </c>
      <c r="E17" s="1849" t="s">
        <v>1014</v>
      </c>
      <c r="F17" s="2255" t="s">
        <v>1014</v>
      </c>
      <c r="G17" s="1849" t="s">
        <v>1014</v>
      </c>
    </row>
    <row r="18" spans="1:8" s="2256" customFormat="1" ht="16.5" hidden="1" x14ac:dyDescent="0.3">
      <c r="A18" s="2252">
        <v>42705</v>
      </c>
      <c r="B18" s="2255">
        <v>55.5</v>
      </c>
      <c r="C18" s="1849">
        <v>36.200000000000003</v>
      </c>
      <c r="D18" s="2257">
        <v>905</v>
      </c>
      <c r="E18" s="1849">
        <v>2.8</v>
      </c>
      <c r="F18" s="2255" t="s">
        <v>1014</v>
      </c>
      <c r="G18" s="1849" t="s">
        <v>1014</v>
      </c>
    </row>
    <row r="19" spans="1:8" s="2256" customFormat="1" ht="16.5" hidden="1" x14ac:dyDescent="0.3">
      <c r="A19" s="2258">
        <v>42736</v>
      </c>
      <c r="B19" s="2253">
        <v>55.594999999999999</v>
      </c>
      <c r="C19" s="1849">
        <v>35.9</v>
      </c>
      <c r="D19" s="2254">
        <v>2540.3609999999999</v>
      </c>
      <c r="E19" s="1849" t="s">
        <v>1889</v>
      </c>
      <c r="F19" s="2255" t="s">
        <v>1014</v>
      </c>
      <c r="G19" s="1849" t="s">
        <v>1014</v>
      </c>
    </row>
    <row r="20" spans="1:8" s="2256" customFormat="1" ht="16.5" hidden="1" x14ac:dyDescent="0.3">
      <c r="A20" s="2258">
        <v>42767</v>
      </c>
      <c r="B20" s="2253" t="s">
        <v>1014</v>
      </c>
      <c r="C20" s="1849" t="s">
        <v>1014</v>
      </c>
      <c r="D20" s="2254" t="s">
        <v>1014</v>
      </c>
      <c r="E20" s="1849" t="s">
        <v>1014</v>
      </c>
      <c r="F20" s="2255" t="s">
        <v>1014</v>
      </c>
      <c r="G20" s="1849" t="s">
        <v>1014</v>
      </c>
    </row>
    <row r="21" spans="1:8" s="2256" customFormat="1" ht="16.5" hidden="1" x14ac:dyDescent="0.3">
      <c r="A21" s="2258">
        <v>42795</v>
      </c>
      <c r="B21" s="2255">
        <v>40</v>
      </c>
      <c r="C21" s="1849">
        <v>35.5</v>
      </c>
      <c r="D21" s="2257">
        <v>1420</v>
      </c>
      <c r="E21" s="1849">
        <v>2.58</v>
      </c>
      <c r="F21" s="2255" t="s">
        <v>1014</v>
      </c>
      <c r="G21" s="1849" t="s">
        <v>1014</v>
      </c>
    </row>
    <row r="22" spans="1:8" s="2256" customFormat="1" ht="16.5" hidden="1" x14ac:dyDescent="0.3">
      <c r="A22" s="2258">
        <v>42826</v>
      </c>
      <c r="B22" s="2255">
        <v>118</v>
      </c>
      <c r="C22" s="1849">
        <v>35.020000000000003</v>
      </c>
      <c r="D22" s="2259" t="s">
        <v>1014</v>
      </c>
      <c r="E22" s="2260" t="s">
        <v>1014</v>
      </c>
      <c r="F22" s="2260" t="s">
        <v>1014</v>
      </c>
      <c r="G22" s="2260" t="s">
        <v>1014</v>
      </c>
      <c r="H22" s="2261"/>
    </row>
    <row r="23" spans="1:8" s="2256" customFormat="1" ht="16.5" hidden="1" x14ac:dyDescent="0.3">
      <c r="A23" s="2258">
        <v>42856</v>
      </c>
      <c r="B23" s="2255">
        <v>45</v>
      </c>
      <c r="C23" s="1849" t="s">
        <v>1890</v>
      </c>
      <c r="D23" s="2257">
        <v>1577</v>
      </c>
      <c r="E23" s="1849" t="s">
        <v>1891</v>
      </c>
      <c r="F23" s="2255" t="s">
        <v>1014</v>
      </c>
      <c r="G23" s="1849" t="s">
        <v>1014</v>
      </c>
    </row>
    <row r="24" spans="1:8" s="2256" customFormat="1" ht="16.5" hidden="1" x14ac:dyDescent="0.3">
      <c r="A24" s="2258">
        <v>42887</v>
      </c>
      <c r="B24" s="2255">
        <v>25</v>
      </c>
      <c r="C24" s="1849">
        <v>34.85</v>
      </c>
      <c r="D24" s="2262">
        <v>700.48500000000001</v>
      </c>
      <c r="E24" s="1849">
        <v>2.1800000000000002</v>
      </c>
      <c r="F24" s="2255" t="s">
        <v>1014</v>
      </c>
      <c r="G24" s="1849" t="s">
        <v>1014</v>
      </c>
    </row>
    <row r="25" spans="1:8" s="2256" customFormat="1" ht="16.5" hidden="1" x14ac:dyDescent="0.3">
      <c r="A25" s="2258">
        <v>42917</v>
      </c>
      <c r="B25" s="2255" t="s">
        <v>1014</v>
      </c>
      <c r="C25" s="1849" t="s">
        <v>1014</v>
      </c>
      <c r="D25" s="2262" t="s">
        <v>1014</v>
      </c>
      <c r="E25" s="1849" t="s">
        <v>1014</v>
      </c>
      <c r="F25" s="2255" t="s">
        <v>1014</v>
      </c>
      <c r="G25" s="1849" t="s">
        <v>1014</v>
      </c>
    </row>
    <row r="26" spans="1:8" s="2256" customFormat="1" ht="16.5" hidden="1" x14ac:dyDescent="0.3">
      <c r="A26" s="2258">
        <v>42948</v>
      </c>
      <c r="B26" s="2255">
        <v>101</v>
      </c>
      <c r="C26" s="1849" t="s">
        <v>1892</v>
      </c>
      <c r="D26" s="2262">
        <v>1494</v>
      </c>
      <c r="E26" s="1849">
        <v>2.1</v>
      </c>
      <c r="F26" s="2255" t="s">
        <v>1014</v>
      </c>
      <c r="G26" s="1849" t="s">
        <v>1014</v>
      </c>
    </row>
    <row r="27" spans="1:8" s="2256" customFormat="1" ht="16.5" hidden="1" x14ac:dyDescent="0.3">
      <c r="A27" s="2258">
        <v>42979</v>
      </c>
      <c r="B27" s="2255">
        <v>30</v>
      </c>
      <c r="C27" s="1849" t="s">
        <v>1893</v>
      </c>
      <c r="D27" s="2257" t="s">
        <v>1014</v>
      </c>
      <c r="E27" s="1849" t="s">
        <v>1014</v>
      </c>
      <c r="F27" s="2255" t="s">
        <v>1014</v>
      </c>
      <c r="G27" s="1849" t="s">
        <v>1014</v>
      </c>
    </row>
    <row r="28" spans="1:8" s="2256" customFormat="1" ht="16.5" hidden="1" x14ac:dyDescent="0.3">
      <c r="A28" s="2258">
        <v>43009</v>
      </c>
      <c r="B28" s="2255" t="s">
        <v>1014</v>
      </c>
      <c r="C28" s="1849" t="s">
        <v>1014</v>
      </c>
      <c r="D28" s="2257" t="s">
        <v>1014</v>
      </c>
      <c r="E28" s="1849" t="s">
        <v>1014</v>
      </c>
      <c r="F28" s="2255" t="s">
        <v>1014</v>
      </c>
      <c r="G28" s="1849" t="s">
        <v>1014</v>
      </c>
    </row>
    <row r="29" spans="1:8" s="2256" customFormat="1" ht="16.5" hidden="1" x14ac:dyDescent="0.3">
      <c r="A29" s="2258">
        <v>43040</v>
      </c>
      <c r="B29" s="2255" t="s">
        <v>1014</v>
      </c>
      <c r="C29" s="1849" t="s">
        <v>1014</v>
      </c>
      <c r="D29" s="2257" t="s">
        <v>1014</v>
      </c>
      <c r="E29" s="1849" t="s">
        <v>1014</v>
      </c>
      <c r="F29" s="2255" t="s">
        <v>1014</v>
      </c>
      <c r="G29" s="1849" t="s">
        <v>1014</v>
      </c>
    </row>
    <row r="30" spans="1:8" s="2256" customFormat="1" ht="17.25" hidden="1" customHeight="1" x14ac:dyDescent="0.3">
      <c r="A30" s="2258">
        <v>43070</v>
      </c>
      <c r="B30" s="2255">
        <v>30</v>
      </c>
      <c r="C30" s="1849">
        <v>34</v>
      </c>
      <c r="D30" s="2257">
        <v>1020</v>
      </c>
      <c r="E30" s="1849">
        <v>2.5</v>
      </c>
      <c r="F30" s="2255" t="s">
        <v>1014</v>
      </c>
      <c r="G30" s="1849" t="s">
        <v>1014</v>
      </c>
    </row>
    <row r="31" spans="1:8" s="2256" customFormat="1" ht="16.5" hidden="1" x14ac:dyDescent="0.3">
      <c r="A31" s="2258">
        <v>43101</v>
      </c>
      <c r="B31" s="2255">
        <v>30</v>
      </c>
      <c r="C31" s="1849">
        <v>33.549999999999997</v>
      </c>
      <c r="D31" s="2257">
        <v>1006.5</v>
      </c>
      <c r="E31" s="1849">
        <v>2.5299999999999998</v>
      </c>
      <c r="F31" s="2255" t="s">
        <v>1014</v>
      </c>
      <c r="G31" s="1849" t="s">
        <v>1014</v>
      </c>
    </row>
    <row r="32" spans="1:8" s="2256" customFormat="1" ht="16.5" hidden="1" x14ac:dyDescent="0.3">
      <c r="A32" s="2258">
        <v>43132</v>
      </c>
      <c r="B32" s="2255">
        <v>95</v>
      </c>
      <c r="C32" s="1849" t="s">
        <v>1894</v>
      </c>
      <c r="D32" s="2257">
        <v>3133.5</v>
      </c>
      <c r="E32" s="1849" t="s">
        <v>1895</v>
      </c>
      <c r="F32" s="2255" t="s">
        <v>1014</v>
      </c>
      <c r="G32" s="1849" t="s">
        <v>1014</v>
      </c>
    </row>
    <row r="33" spans="1:7" s="2256" customFormat="1" ht="16.5" hidden="1" x14ac:dyDescent="0.3">
      <c r="A33" s="2258">
        <v>43160</v>
      </c>
      <c r="B33" s="2255">
        <v>116.9</v>
      </c>
      <c r="C33" s="1849" t="s">
        <v>1896</v>
      </c>
      <c r="D33" s="2257">
        <v>3867.9</v>
      </c>
      <c r="E33" s="1849">
        <v>3.82</v>
      </c>
      <c r="F33" s="2255" t="s">
        <v>1014</v>
      </c>
      <c r="G33" s="1849" t="s">
        <v>1014</v>
      </c>
    </row>
    <row r="34" spans="1:7" s="2256" customFormat="1" ht="19.5" hidden="1" customHeight="1" x14ac:dyDescent="0.3">
      <c r="A34" s="2258">
        <v>43191</v>
      </c>
      <c r="B34" s="2255">
        <v>75</v>
      </c>
      <c r="C34" s="1849" t="s">
        <v>1897</v>
      </c>
      <c r="D34" s="2257">
        <v>2563.5</v>
      </c>
      <c r="E34" s="1849" t="s">
        <v>1898</v>
      </c>
      <c r="F34" s="2255" t="s">
        <v>1014</v>
      </c>
      <c r="G34" s="1849" t="s">
        <v>1014</v>
      </c>
    </row>
    <row r="35" spans="1:7" s="2256" customFormat="1" ht="19.5" hidden="1" customHeight="1" x14ac:dyDescent="0.3">
      <c r="A35" s="2258">
        <v>43221</v>
      </c>
      <c r="B35" s="2255">
        <v>150</v>
      </c>
      <c r="C35" s="1849">
        <v>34.5</v>
      </c>
      <c r="D35" s="2257">
        <v>5175</v>
      </c>
      <c r="E35" s="1849">
        <v>3.65</v>
      </c>
      <c r="F35" s="2255" t="s">
        <v>1014</v>
      </c>
      <c r="G35" s="1849" t="s">
        <v>1014</v>
      </c>
    </row>
    <row r="36" spans="1:7" s="2256" customFormat="1" ht="19.5" hidden="1" customHeight="1" x14ac:dyDescent="0.3">
      <c r="A36" s="2258">
        <v>43252</v>
      </c>
      <c r="B36" s="2255">
        <v>15</v>
      </c>
      <c r="C36" s="1849">
        <v>34.28</v>
      </c>
      <c r="D36" s="2257">
        <v>514.20000000000005</v>
      </c>
      <c r="E36" s="1849">
        <v>3.5</v>
      </c>
      <c r="F36" s="2255" t="s">
        <v>1014</v>
      </c>
      <c r="G36" s="1849" t="s">
        <v>1014</v>
      </c>
    </row>
    <row r="37" spans="1:7" s="2256" customFormat="1" ht="19.5" hidden="1" customHeight="1" x14ac:dyDescent="0.3">
      <c r="A37" s="2258">
        <v>43282</v>
      </c>
      <c r="B37" s="2255" t="s">
        <v>1014</v>
      </c>
      <c r="C37" s="1849" t="s">
        <v>1014</v>
      </c>
      <c r="D37" s="2257" t="s">
        <v>1014</v>
      </c>
      <c r="E37" s="1849" t="s">
        <v>1014</v>
      </c>
      <c r="F37" s="2255" t="s">
        <v>1014</v>
      </c>
      <c r="G37" s="1849" t="s">
        <v>1014</v>
      </c>
    </row>
    <row r="38" spans="1:7" s="2256" customFormat="1" ht="19.5" hidden="1" customHeight="1" x14ac:dyDescent="0.3">
      <c r="A38" s="2258">
        <v>43313</v>
      </c>
      <c r="B38" s="2255">
        <v>15</v>
      </c>
      <c r="C38" s="1849">
        <v>34.450000000000003</v>
      </c>
      <c r="D38" s="2257" t="s">
        <v>1014</v>
      </c>
      <c r="E38" s="1849" t="s">
        <v>1014</v>
      </c>
      <c r="F38" s="2255" t="s">
        <v>1014</v>
      </c>
      <c r="G38" s="1849" t="s">
        <v>1014</v>
      </c>
    </row>
    <row r="39" spans="1:7" s="2256" customFormat="1" ht="19.5" hidden="1" customHeight="1" x14ac:dyDescent="0.3">
      <c r="A39" s="2258">
        <v>43344</v>
      </c>
      <c r="B39" s="2255">
        <v>10</v>
      </c>
      <c r="C39" s="1849">
        <v>34.5</v>
      </c>
      <c r="D39" s="2257" t="s">
        <v>1014</v>
      </c>
      <c r="E39" s="1849" t="s">
        <v>1014</v>
      </c>
      <c r="F39" s="2255" t="s">
        <v>1014</v>
      </c>
      <c r="G39" s="1849" t="s">
        <v>1014</v>
      </c>
    </row>
    <row r="40" spans="1:7" s="2256" customFormat="1" ht="19.5" hidden="1" customHeight="1" x14ac:dyDescent="0.3">
      <c r="A40" s="2258">
        <v>43374</v>
      </c>
      <c r="B40" s="2255" t="s">
        <v>1014</v>
      </c>
      <c r="C40" s="1849" t="s">
        <v>1014</v>
      </c>
      <c r="D40" s="2257" t="s">
        <v>1014</v>
      </c>
      <c r="E40" s="1849" t="s">
        <v>1014</v>
      </c>
      <c r="F40" s="2255" t="s">
        <v>1014</v>
      </c>
      <c r="G40" s="1849" t="s">
        <v>1014</v>
      </c>
    </row>
    <row r="41" spans="1:7" s="2256" customFormat="1" ht="19.5" hidden="1" customHeight="1" x14ac:dyDescent="0.3">
      <c r="A41" s="2258">
        <v>43405</v>
      </c>
      <c r="B41" s="2255">
        <v>15</v>
      </c>
      <c r="C41" s="1849">
        <v>34.75</v>
      </c>
      <c r="D41" s="2257" t="s">
        <v>1014</v>
      </c>
      <c r="E41" s="1849" t="s">
        <v>1014</v>
      </c>
      <c r="F41" s="2255" t="s">
        <v>1014</v>
      </c>
      <c r="G41" s="1849" t="s">
        <v>1014</v>
      </c>
    </row>
    <row r="42" spans="1:7" s="2256" customFormat="1" ht="19.5" hidden="1" customHeight="1" x14ac:dyDescent="0.3">
      <c r="A42" s="2258">
        <v>43435</v>
      </c>
      <c r="B42" s="2255">
        <v>15</v>
      </c>
      <c r="C42" s="1849">
        <v>34.4</v>
      </c>
      <c r="D42" s="2257">
        <v>516</v>
      </c>
      <c r="E42" s="1849">
        <v>3.6</v>
      </c>
      <c r="F42" s="2255" t="s">
        <v>1014</v>
      </c>
      <c r="G42" s="1849" t="s">
        <v>1014</v>
      </c>
    </row>
    <row r="43" spans="1:7" s="2256" customFormat="1" ht="19.5" hidden="1" customHeight="1" x14ac:dyDescent="0.3">
      <c r="A43" s="2258">
        <v>43466</v>
      </c>
      <c r="B43" s="2255">
        <v>10</v>
      </c>
      <c r="C43" s="1849">
        <v>34.5</v>
      </c>
      <c r="D43" s="2257">
        <v>345</v>
      </c>
      <c r="E43" s="1849">
        <v>3.5</v>
      </c>
      <c r="F43" s="2255" t="s">
        <v>1014</v>
      </c>
      <c r="G43" s="1849" t="s">
        <v>1014</v>
      </c>
    </row>
    <row r="44" spans="1:7" s="2256" customFormat="1" ht="19.5" hidden="1" customHeight="1" x14ac:dyDescent="0.3">
      <c r="A44" s="2258">
        <v>43497</v>
      </c>
      <c r="B44" s="2255">
        <v>30</v>
      </c>
      <c r="C44" s="1849">
        <v>34.299999999999997</v>
      </c>
      <c r="D44" s="2257" t="s">
        <v>1014</v>
      </c>
      <c r="E44" s="1849" t="s">
        <v>1014</v>
      </c>
      <c r="F44" s="2255" t="s">
        <v>1014</v>
      </c>
      <c r="G44" s="1849" t="s">
        <v>1014</v>
      </c>
    </row>
    <row r="45" spans="1:7" s="2256" customFormat="1" ht="19.5" hidden="1" customHeight="1" x14ac:dyDescent="0.3">
      <c r="A45" s="2258">
        <v>43525</v>
      </c>
      <c r="B45" s="2255">
        <v>33</v>
      </c>
      <c r="C45" s="2263" t="s">
        <v>1899</v>
      </c>
      <c r="D45" s="2257" t="s">
        <v>1014</v>
      </c>
      <c r="E45" s="1849" t="s">
        <v>1014</v>
      </c>
      <c r="F45" s="2255" t="s">
        <v>1014</v>
      </c>
      <c r="G45" s="1849" t="s">
        <v>1014</v>
      </c>
    </row>
    <row r="46" spans="1:7" s="2256" customFormat="1" ht="19.5" hidden="1" customHeight="1" x14ac:dyDescent="0.3">
      <c r="A46" s="2258">
        <v>43556</v>
      </c>
      <c r="B46" s="2255">
        <v>20</v>
      </c>
      <c r="C46" s="1849">
        <v>34.799999999999997</v>
      </c>
      <c r="D46" s="2257">
        <v>696</v>
      </c>
      <c r="E46" s="1849">
        <v>3.5</v>
      </c>
      <c r="F46" s="2255" t="s">
        <v>1014</v>
      </c>
      <c r="G46" s="1849" t="s">
        <v>1014</v>
      </c>
    </row>
    <row r="47" spans="1:7" s="2256" customFormat="1" ht="19.5" hidden="1" customHeight="1" x14ac:dyDescent="0.3">
      <c r="A47" s="2258">
        <v>43586</v>
      </c>
      <c r="B47" s="2255">
        <v>212.9</v>
      </c>
      <c r="C47" s="1849" t="s">
        <v>1900</v>
      </c>
      <c r="D47" s="2257" t="s">
        <v>1014</v>
      </c>
      <c r="E47" s="1849" t="s">
        <v>1014</v>
      </c>
      <c r="F47" s="2255" t="s">
        <v>1014</v>
      </c>
      <c r="G47" s="1849" t="s">
        <v>1014</v>
      </c>
    </row>
    <row r="48" spans="1:7" s="2256" customFormat="1" ht="19.5" hidden="1" customHeight="1" x14ac:dyDescent="0.3">
      <c r="A48" s="2258">
        <v>43617</v>
      </c>
      <c r="B48" s="2255">
        <v>105</v>
      </c>
      <c r="C48" s="1849" t="s">
        <v>1901</v>
      </c>
      <c r="D48" s="2257">
        <v>3738.6</v>
      </c>
      <c r="E48" s="1849" t="s">
        <v>1902</v>
      </c>
      <c r="F48" s="2255" t="s">
        <v>1014</v>
      </c>
      <c r="G48" s="1849" t="s">
        <v>1014</v>
      </c>
    </row>
    <row r="49" spans="1:7" s="2256" customFormat="1" ht="19.5" hidden="1" customHeight="1" x14ac:dyDescent="0.3">
      <c r="A49" s="2258">
        <v>43647</v>
      </c>
      <c r="B49" s="2255">
        <v>30</v>
      </c>
      <c r="C49" s="1849">
        <v>35.950000000000003</v>
      </c>
      <c r="D49" s="2257">
        <v>1078.5</v>
      </c>
      <c r="E49" s="1849">
        <v>3.34</v>
      </c>
      <c r="F49" s="2255" t="s">
        <v>1014</v>
      </c>
      <c r="G49" s="1849" t="s">
        <v>1014</v>
      </c>
    </row>
    <row r="50" spans="1:7" s="2256" customFormat="1" ht="19.5" hidden="1" customHeight="1" x14ac:dyDescent="0.3">
      <c r="A50" s="2258">
        <v>43678</v>
      </c>
      <c r="B50" s="2255">
        <v>50</v>
      </c>
      <c r="C50" s="1849">
        <v>36.1</v>
      </c>
      <c r="D50" s="2257" t="s">
        <v>1014</v>
      </c>
      <c r="E50" s="1849" t="s">
        <v>1014</v>
      </c>
      <c r="F50" s="2255">
        <v>76.8</v>
      </c>
      <c r="G50" s="1849" t="s">
        <v>1903</v>
      </c>
    </row>
    <row r="51" spans="1:7" s="2256" customFormat="1" ht="19.5" hidden="1" customHeight="1" x14ac:dyDescent="0.3">
      <c r="A51" s="2258">
        <v>43709</v>
      </c>
      <c r="B51" s="2255" t="s">
        <v>1014</v>
      </c>
      <c r="C51" s="1849" t="s">
        <v>1014</v>
      </c>
      <c r="D51" s="2257" t="s">
        <v>1014</v>
      </c>
      <c r="E51" s="1849" t="s">
        <v>1014</v>
      </c>
      <c r="F51" s="2255" t="s">
        <v>1014</v>
      </c>
      <c r="G51" s="1849" t="s">
        <v>1014</v>
      </c>
    </row>
    <row r="52" spans="1:7" s="2256" customFormat="1" ht="19.5" hidden="1" customHeight="1" x14ac:dyDescent="0.3">
      <c r="A52" s="2258">
        <v>43739</v>
      </c>
      <c r="B52" s="2255" t="s">
        <v>1014</v>
      </c>
      <c r="C52" s="1849" t="s">
        <v>1014</v>
      </c>
      <c r="D52" s="2257" t="s">
        <v>1014</v>
      </c>
      <c r="E52" s="1849" t="s">
        <v>1014</v>
      </c>
      <c r="F52" s="2255" t="s">
        <v>1014</v>
      </c>
      <c r="G52" s="1849" t="s">
        <v>1014</v>
      </c>
    </row>
    <row r="53" spans="1:7" s="2256" customFormat="1" ht="19.5" hidden="1" customHeight="1" x14ac:dyDescent="0.3">
      <c r="A53" s="2258">
        <v>43770</v>
      </c>
      <c r="B53" s="2255" t="s">
        <v>1014</v>
      </c>
      <c r="C53" s="1849" t="s">
        <v>1014</v>
      </c>
      <c r="D53" s="2257" t="s">
        <v>1014</v>
      </c>
      <c r="E53" s="1849" t="s">
        <v>1014</v>
      </c>
      <c r="F53" s="2255" t="s">
        <v>1014</v>
      </c>
      <c r="G53" s="1849" t="s">
        <v>1014</v>
      </c>
    </row>
    <row r="54" spans="1:7" s="2256" customFormat="1" ht="19.5" hidden="1" customHeight="1" x14ac:dyDescent="0.3">
      <c r="A54" s="2258">
        <v>43800</v>
      </c>
      <c r="B54" s="2255" t="s">
        <v>1014</v>
      </c>
      <c r="C54" s="1849" t="s">
        <v>1014</v>
      </c>
      <c r="D54" s="2257" t="s">
        <v>1014</v>
      </c>
      <c r="E54" s="1849" t="s">
        <v>1014</v>
      </c>
      <c r="F54" s="2255" t="s">
        <v>1014</v>
      </c>
      <c r="G54" s="1849" t="s">
        <v>1014</v>
      </c>
    </row>
    <row r="55" spans="1:7" s="2256" customFormat="1" ht="19.5" hidden="1" customHeight="1" x14ac:dyDescent="0.3">
      <c r="A55" s="2258">
        <v>43831</v>
      </c>
      <c r="B55" s="2255" t="s">
        <v>1014</v>
      </c>
      <c r="C55" s="1849" t="s">
        <v>1014</v>
      </c>
      <c r="D55" s="2257" t="s">
        <v>1014</v>
      </c>
      <c r="E55" s="1849" t="s">
        <v>1014</v>
      </c>
      <c r="F55" s="2255" t="s">
        <v>1014</v>
      </c>
      <c r="G55" s="1849" t="s">
        <v>1014</v>
      </c>
    </row>
    <row r="56" spans="1:7" s="2256" customFormat="1" ht="19.5" hidden="1" customHeight="1" x14ac:dyDescent="0.3">
      <c r="A56" s="2258">
        <v>43862</v>
      </c>
      <c r="B56" s="2255" t="s">
        <v>1014</v>
      </c>
      <c r="C56" s="1849" t="s">
        <v>1014</v>
      </c>
      <c r="D56" s="2257" t="s">
        <v>1014</v>
      </c>
      <c r="E56" s="1849" t="s">
        <v>1014</v>
      </c>
      <c r="F56" s="2255" t="s">
        <v>1014</v>
      </c>
      <c r="G56" s="1849" t="s">
        <v>1014</v>
      </c>
    </row>
    <row r="57" spans="1:7" s="2256" customFormat="1" ht="19.5" hidden="1" customHeight="1" x14ac:dyDescent="0.3">
      <c r="A57" s="2258">
        <v>43891</v>
      </c>
      <c r="B57" s="2255">
        <v>11.2</v>
      </c>
      <c r="C57" s="1849" t="s">
        <v>1904</v>
      </c>
      <c r="D57" s="2257" t="s">
        <v>1014</v>
      </c>
      <c r="E57" s="1849" t="s">
        <v>1014</v>
      </c>
      <c r="F57" s="2255">
        <v>20</v>
      </c>
      <c r="G57" s="1849" t="s">
        <v>1905</v>
      </c>
    </row>
    <row r="58" spans="1:7" s="2256" customFormat="1" ht="19.5" hidden="1" customHeight="1" x14ac:dyDescent="0.3">
      <c r="A58" s="2258">
        <v>43922</v>
      </c>
      <c r="B58" s="2255" t="s">
        <v>1014</v>
      </c>
      <c r="C58" s="1849" t="s">
        <v>1014</v>
      </c>
      <c r="D58" s="2257" t="s">
        <v>1014</v>
      </c>
      <c r="E58" s="1849" t="s">
        <v>1014</v>
      </c>
      <c r="F58" s="2255">
        <v>52.3</v>
      </c>
      <c r="G58" s="1849" t="s">
        <v>1906</v>
      </c>
    </row>
    <row r="59" spans="1:7" s="2256" customFormat="1" ht="19.5" hidden="1" customHeight="1" x14ac:dyDescent="0.3">
      <c r="A59" s="2258">
        <v>43952</v>
      </c>
      <c r="B59" s="2255" t="s">
        <v>1014</v>
      </c>
      <c r="C59" s="1849" t="s">
        <v>1014</v>
      </c>
      <c r="D59" s="2257" t="s">
        <v>1014</v>
      </c>
      <c r="E59" s="1849" t="s">
        <v>1014</v>
      </c>
      <c r="F59" s="2255">
        <v>100</v>
      </c>
      <c r="G59" s="1849">
        <v>39.85</v>
      </c>
    </row>
    <row r="60" spans="1:7" s="2256" customFormat="1" ht="19.5" hidden="1" customHeight="1" x14ac:dyDescent="0.3">
      <c r="A60" s="2258">
        <v>43983</v>
      </c>
      <c r="B60" s="2255" t="s">
        <v>1014</v>
      </c>
      <c r="C60" s="1849" t="s">
        <v>1014</v>
      </c>
      <c r="D60" s="2257" t="s">
        <v>1014</v>
      </c>
      <c r="E60" s="1849" t="s">
        <v>1014</v>
      </c>
      <c r="F60" s="2255">
        <v>50</v>
      </c>
      <c r="G60" s="1849" t="s">
        <v>1907</v>
      </c>
    </row>
    <row r="61" spans="1:7" s="2256" customFormat="1" ht="19.5" hidden="1" customHeight="1" x14ac:dyDescent="0.3">
      <c r="A61" s="2258">
        <v>44013</v>
      </c>
      <c r="B61" s="2255" t="s">
        <v>1014</v>
      </c>
      <c r="C61" s="1849" t="s">
        <v>1014</v>
      </c>
      <c r="D61" s="2257" t="s">
        <v>1014</v>
      </c>
      <c r="E61" s="1849" t="s">
        <v>1014</v>
      </c>
      <c r="F61" s="2255">
        <v>105.1</v>
      </c>
      <c r="G61" s="1849" t="s">
        <v>1908</v>
      </c>
    </row>
    <row r="62" spans="1:7" s="2256" customFormat="1" ht="19.5" hidden="1" customHeight="1" x14ac:dyDescent="0.3">
      <c r="A62" s="2258">
        <v>44044</v>
      </c>
      <c r="B62" s="2255">
        <v>2</v>
      </c>
      <c r="C62" s="1849">
        <v>39.700000000000003</v>
      </c>
      <c r="D62" s="2257" t="s">
        <v>1014</v>
      </c>
      <c r="E62" s="1849" t="s">
        <v>1014</v>
      </c>
      <c r="F62" s="2255">
        <v>275</v>
      </c>
      <c r="G62" s="1849" t="s">
        <v>1907</v>
      </c>
    </row>
    <row r="63" spans="1:7" s="2256" customFormat="1" ht="19.5" hidden="1" customHeight="1" x14ac:dyDescent="0.3">
      <c r="A63" s="2258">
        <v>44075</v>
      </c>
      <c r="B63" s="2255" t="s">
        <v>1014</v>
      </c>
      <c r="C63" s="1849" t="s">
        <v>1014</v>
      </c>
      <c r="D63" s="2257" t="s">
        <v>1014</v>
      </c>
      <c r="E63" s="1849" t="s">
        <v>1014</v>
      </c>
      <c r="F63" s="2255">
        <v>125</v>
      </c>
      <c r="G63" s="1849" t="s">
        <v>1909</v>
      </c>
    </row>
    <row r="64" spans="1:7" s="2256" customFormat="1" ht="19.5" hidden="1" customHeight="1" x14ac:dyDescent="0.3">
      <c r="A64" s="2258">
        <v>44105</v>
      </c>
      <c r="B64" s="2255" t="s">
        <v>1014</v>
      </c>
      <c r="C64" s="1849" t="s">
        <v>1014</v>
      </c>
      <c r="D64" s="2257" t="s">
        <v>1014</v>
      </c>
      <c r="E64" s="1849" t="s">
        <v>1014</v>
      </c>
      <c r="F64" s="2255">
        <v>100</v>
      </c>
      <c r="G64" s="1849" t="s">
        <v>1910</v>
      </c>
    </row>
    <row r="65" spans="1:7" s="2256" customFormat="1" ht="19.5" hidden="1" customHeight="1" x14ac:dyDescent="0.3">
      <c r="A65" s="2258">
        <v>44136</v>
      </c>
      <c r="B65" s="2255" t="s">
        <v>1014</v>
      </c>
      <c r="C65" s="1849" t="s">
        <v>1014</v>
      </c>
      <c r="D65" s="2257" t="s">
        <v>1014</v>
      </c>
      <c r="E65" s="1849" t="s">
        <v>1014</v>
      </c>
      <c r="F65" s="2255">
        <v>100</v>
      </c>
      <c r="G65" s="1849" t="s">
        <v>1909</v>
      </c>
    </row>
    <row r="66" spans="1:7" s="2256" customFormat="1" ht="19.5" hidden="1" customHeight="1" x14ac:dyDescent="0.3">
      <c r="A66" s="2258">
        <v>44166</v>
      </c>
      <c r="B66" s="2255" t="s">
        <v>1014</v>
      </c>
      <c r="C66" s="1849" t="s">
        <v>1014</v>
      </c>
      <c r="D66" s="2257" t="s">
        <v>1014</v>
      </c>
      <c r="E66" s="1849" t="s">
        <v>1014</v>
      </c>
      <c r="F66" s="2255">
        <v>50</v>
      </c>
      <c r="G66" s="1849" t="s">
        <v>1911</v>
      </c>
    </row>
    <row r="67" spans="1:7" s="2256" customFormat="1" ht="19.5" hidden="1" customHeight="1" x14ac:dyDescent="0.3">
      <c r="A67" s="2258">
        <v>44197</v>
      </c>
      <c r="B67" s="2255" t="s">
        <v>1014</v>
      </c>
      <c r="C67" s="1849" t="s">
        <v>1014</v>
      </c>
      <c r="D67" s="2257" t="s">
        <v>1014</v>
      </c>
      <c r="E67" s="1849" t="s">
        <v>1014</v>
      </c>
      <c r="F67" s="2255">
        <v>100</v>
      </c>
      <c r="G67" s="1849" t="s">
        <v>1912</v>
      </c>
    </row>
    <row r="68" spans="1:7" s="2256" customFormat="1" ht="19.5" hidden="1" customHeight="1" x14ac:dyDescent="0.3">
      <c r="A68" s="2258">
        <v>44228</v>
      </c>
      <c r="B68" s="2255" t="s">
        <v>1014</v>
      </c>
      <c r="C68" s="1849" t="s">
        <v>1014</v>
      </c>
      <c r="D68" s="2257" t="s">
        <v>1014</v>
      </c>
      <c r="E68" s="1849" t="s">
        <v>1014</v>
      </c>
      <c r="F68" s="2255">
        <v>75</v>
      </c>
      <c r="G68" s="1849" t="s">
        <v>1913</v>
      </c>
    </row>
    <row r="69" spans="1:7" s="2256" customFormat="1" ht="19.5" hidden="1" customHeight="1" x14ac:dyDescent="0.3">
      <c r="A69" s="2258">
        <v>44256</v>
      </c>
      <c r="B69" s="2255" t="s">
        <v>1014</v>
      </c>
      <c r="C69" s="1849" t="s">
        <v>1014</v>
      </c>
      <c r="D69" s="2257" t="s">
        <v>1014</v>
      </c>
      <c r="E69" s="1849" t="s">
        <v>1014</v>
      </c>
      <c r="F69" s="2255">
        <v>125</v>
      </c>
      <c r="G69" s="1849" t="s">
        <v>1914</v>
      </c>
    </row>
    <row r="70" spans="1:7" s="2256" customFormat="1" ht="19.5" hidden="1" customHeight="1" x14ac:dyDescent="0.3">
      <c r="A70" s="2258">
        <v>44287</v>
      </c>
      <c r="B70" s="2255" t="s">
        <v>1014</v>
      </c>
      <c r="C70" s="1849" t="s">
        <v>1014</v>
      </c>
      <c r="D70" s="2257" t="s">
        <v>1014</v>
      </c>
      <c r="E70" s="1849" t="s">
        <v>1014</v>
      </c>
      <c r="F70" s="2255">
        <v>150</v>
      </c>
      <c r="G70" s="1849" t="s">
        <v>1915</v>
      </c>
    </row>
    <row r="71" spans="1:7" s="2256" customFormat="1" ht="19.5" hidden="1" customHeight="1" x14ac:dyDescent="0.3">
      <c r="A71" s="2258">
        <v>44317</v>
      </c>
      <c r="B71" s="2255" t="s">
        <v>1014</v>
      </c>
      <c r="C71" s="1849" t="s">
        <v>1014</v>
      </c>
      <c r="D71" s="2257" t="s">
        <v>1014</v>
      </c>
      <c r="E71" s="1849" t="s">
        <v>1014</v>
      </c>
      <c r="F71" s="2255">
        <v>75</v>
      </c>
      <c r="G71" s="1849" t="s">
        <v>1915</v>
      </c>
    </row>
    <row r="72" spans="1:7" s="2256" customFormat="1" ht="19.5" hidden="1" customHeight="1" x14ac:dyDescent="0.3">
      <c r="A72" s="2258">
        <v>44348</v>
      </c>
      <c r="B72" s="2255" t="s">
        <v>1014</v>
      </c>
      <c r="C72" s="1849" t="s">
        <v>1014</v>
      </c>
      <c r="D72" s="2257" t="s">
        <v>1014</v>
      </c>
      <c r="E72" s="1849" t="s">
        <v>1014</v>
      </c>
      <c r="F72" s="2255">
        <v>50</v>
      </c>
      <c r="G72" s="1849" t="s">
        <v>1916</v>
      </c>
    </row>
    <row r="73" spans="1:7" s="2256" customFormat="1" ht="19.5" hidden="1" customHeight="1" x14ac:dyDescent="0.3">
      <c r="A73" s="2258">
        <v>44378</v>
      </c>
      <c r="B73" s="2255" t="s">
        <v>1014</v>
      </c>
      <c r="C73" s="1849" t="s">
        <v>1014</v>
      </c>
      <c r="D73" s="2257" t="s">
        <v>1014</v>
      </c>
      <c r="E73" s="1849" t="s">
        <v>1014</v>
      </c>
      <c r="F73" s="2255">
        <v>85</v>
      </c>
      <c r="G73" s="1849" t="s">
        <v>1917</v>
      </c>
    </row>
    <row r="74" spans="1:7" s="2256" customFormat="1" ht="19.5" hidden="1" customHeight="1" x14ac:dyDescent="0.3">
      <c r="A74" s="2258">
        <v>44409</v>
      </c>
      <c r="B74" s="2255" t="s">
        <v>1014</v>
      </c>
      <c r="C74" s="1849" t="s">
        <v>1014</v>
      </c>
      <c r="D74" s="2257" t="s">
        <v>1014</v>
      </c>
      <c r="E74" s="1849" t="s">
        <v>1014</v>
      </c>
      <c r="F74" s="2255">
        <v>75</v>
      </c>
      <c r="G74" s="1849" t="s">
        <v>1918</v>
      </c>
    </row>
    <row r="75" spans="1:7" s="2256" customFormat="1" ht="19.5" hidden="1" customHeight="1" x14ac:dyDescent="0.3">
      <c r="A75" s="2258">
        <v>44440</v>
      </c>
      <c r="B75" s="2255" t="s">
        <v>1014</v>
      </c>
      <c r="C75" s="1849" t="s">
        <v>1014</v>
      </c>
      <c r="D75" s="2257" t="s">
        <v>1014</v>
      </c>
      <c r="E75" s="1849" t="s">
        <v>1014</v>
      </c>
      <c r="F75" s="2255">
        <v>75</v>
      </c>
      <c r="G75" s="1849" t="s">
        <v>1919</v>
      </c>
    </row>
    <row r="76" spans="1:7" s="2256" customFormat="1" ht="19.5" hidden="1" customHeight="1" x14ac:dyDescent="0.3">
      <c r="A76" s="2258">
        <v>44470</v>
      </c>
      <c r="B76" s="2255" t="s">
        <v>1014</v>
      </c>
      <c r="C76" s="1849" t="s">
        <v>1014</v>
      </c>
      <c r="D76" s="2257" t="s">
        <v>1014</v>
      </c>
      <c r="E76" s="1849" t="s">
        <v>1014</v>
      </c>
      <c r="F76" s="2255">
        <v>100</v>
      </c>
      <c r="G76" s="1849" t="s">
        <v>1920</v>
      </c>
    </row>
    <row r="77" spans="1:7" s="2256" customFormat="1" ht="18.75" hidden="1" customHeight="1" x14ac:dyDescent="0.3">
      <c r="A77" s="2258">
        <v>44501</v>
      </c>
      <c r="B77" s="2255">
        <v>10.112830000000001</v>
      </c>
      <c r="C77" s="1849" t="s">
        <v>1921</v>
      </c>
      <c r="D77" s="2257" t="s">
        <v>1014</v>
      </c>
      <c r="E77" s="1849" t="s">
        <v>1014</v>
      </c>
      <c r="F77" s="2255">
        <v>50</v>
      </c>
      <c r="G77" s="1849" t="s">
        <v>1922</v>
      </c>
    </row>
    <row r="78" spans="1:7" s="2256" customFormat="1" ht="19.5" hidden="1" customHeight="1" x14ac:dyDescent="0.3">
      <c r="A78" s="2258">
        <v>44531</v>
      </c>
      <c r="B78" s="2255" t="s">
        <v>1014</v>
      </c>
      <c r="C78" s="1849" t="s">
        <v>1014</v>
      </c>
      <c r="D78" s="2257" t="s">
        <v>1014</v>
      </c>
      <c r="E78" s="1849" t="s">
        <v>1014</v>
      </c>
      <c r="F78" s="2255">
        <v>30</v>
      </c>
      <c r="G78" s="1849" t="s">
        <v>1923</v>
      </c>
    </row>
    <row r="79" spans="1:7" s="2256" customFormat="1" ht="19.5" hidden="1" customHeight="1" x14ac:dyDescent="0.3">
      <c r="A79" s="2258">
        <v>44562</v>
      </c>
      <c r="B79" s="2255" t="s">
        <v>1014</v>
      </c>
      <c r="C79" s="1849" t="s">
        <v>1014</v>
      </c>
      <c r="D79" s="2257" t="s">
        <v>1014</v>
      </c>
      <c r="E79" s="1849" t="s">
        <v>1014</v>
      </c>
      <c r="F79" s="2255">
        <v>20</v>
      </c>
      <c r="G79" s="1849" t="s">
        <v>1924</v>
      </c>
    </row>
    <row r="80" spans="1:7" s="2256" customFormat="1" ht="19.5" hidden="1" customHeight="1" x14ac:dyDescent="0.3">
      <c r="A80" s="2258">
        <v>44593</v>
      </c>
      <c r="B80" s="2255" t="s">
        <v>1014</v>
      </c>
      <c r="C80" s="1849" t="s">
        <v>1014</v>
      </c>
      <c r="D80" s="2257" t="s">
        <v>1014</v>
      </c>
      <c r="E80" s="1849" t="s">
        <v>1014</v>
      </c>
      <c r="F80" s="2255">
        <v>10</v>
      </c>
      <c r="G80" s="1849">
        <v>43.15</v>
      </c>
    </row>
    <row r="81" spans="1:7" s="2256" customFormat="1" ht="19.5" hidden="1" customHeight="1" x14ac:dyDescent="0.3">
      <c r="A81" s="2258">
        <v>44621</v>
      </c>
      <c r="B81" s="2255" t="s">
        <v>1014</v>
      </c>
      <c r="C81" s="1849" t="s">
        <v>1014</v>
      </c>
      <c r="D81" s="2257" t="s">
        <v>1014</v>
      </c>
      <c r="E81" s="1849" t="s">
        <v>1014</v>
      </c>
      <c r="F81" s="2255">
        <v>15</v>
      </c>
      <c r="G81" s="1849">
        <v>43.25</v>
      </c>
    </row>
    <row r="82" spans="1:7" s="2256" customFormat="1" ht="19.5" hidden="1" customHeight="1" x14ac:dyDescent="0.3">
      <c r="A82" s="2258">
        <v>44652</v>
      </c>
      <c r="B82" s="2255" t="s">
        <v>1014</v>
      </c>
      <c r="C82" s="1849" t="s">
        <v>1014</v>
      </c>
      <c r="D82" s="2257" t="s">
        <v>1014</v>
      </c>
      <c r="E82" s="1849" t="s">
        <v>1014</v>
      </c>
      <c r="F82" s="2255">
        <v>240</v>
      </c>
      <c r="G82" s="1849" t="s">
        <v>1925</v>
      </c>
    </row>
    <row r="83" spans="1:7" s="2256" customFormat="1" ht="19.5" hidden="1" customHeight="1" x14ac:dyDescent="0.3">
      <c r="A83" s="2258">
        <v>44682</v>
      </c>
      <c r="B83" s="2255" t="s">
        <v>1014</v>
      </c>
      <c r="C83" s="1849" t="s">
        <v>1014</v>
      </c>
      <c r="D83" s="2257" t="s">
        <v>1014</v>
      </c>
      <c r="E83" s="1849" t="s">
        <v>1014</v>
      </c>
      <c r="F83" s="2255">
        <v>30</v>
      </c>
      <c r="G83" s="1849" t="s">
        <v>1926</v>
      </c>
    </row>
    <row r="84" spans="1:7" s="2256" customFormat="1" ht="19.5" hidden="1" customHeight="1" x14ac:dyDescent="0.3">
      <c r="A84" s="2258">
        <v>44713</v>
      </c>
      <c r="B84" s="2255" t="s">
        <v>1014</v>
      </c>
      <c r="C84" s="1849" t="s">
        <v>1014</v>
      </c>
      <c r="D84" s="2257" t="s">
        <v>1014</v>
      </c>
      <c r="E84" s="1849" t="s">
        <v>1014</v>
      </c>
      <c r="F84" s="2255" t="s">
        <v>1014</v>
      </c>
      <c r="G84" s="1849" t="s">
        <v>1014</v>
      </c>
    </row>
    <row r="85" spans="1:7" s="2256" customFormat="1" ht="19.5" hidden="1" customHeight="1" x14ac:dyDescent="0.3">
      <c r="A85" s="2258">
        <v>44743</v>
      </c>
      <c r="B85" s="2255" t="s">
        <v>1014</v>
      </c>
      <c r="C85" s="1849" t="s">
        <v>1014</v>
      </c>
      <c r="D85" s="2257" t="s">
        <v>1014</v>
      </c>
      <c r="E85" s="1849" t="s">
        <v>1014</v>
      </c>
      <c r="F85" s="2255">
        <v>55</v>
      </c>
      <c r="G85" s="1849" t="s">
        <v>1927</v>
      </c>
    </row>
    <row r="86" spans="1:7" s="2256" customFormat="1" ht="19.5" hidden="1" customHeight="1" x14ac:dyDescent="0.3">
      <c r="A86" s="2258">
        <v>44774</v>
      </c>
      <c r="B86" s="2255" t="s">
        <v>1014</v>
      </c>
      <c r="C86" s="1849" t="s">
        <v>1014</v>
      </c>
      <c r="D86" s="2257" t="s">
        <v>1014</v>
      </c>
      <c r="E86" s="1849" t="s">
        <v>1014</v>
      </c>
      <c r="F86" s="2255">
        <v>20</v>
      </c>
      <c r="G86" s="1849" t="s">
        <v>1928</v>
      </c>
    </row>
    <row r="87" spans="1:7" s="2256" customFormat="1" ht="19.5" customHeight="1" x14ac:dyDescent="0.3">
      <c r="A87" s="2258">
        <v>44805</v>
      </c>
      <c r="B87" s="2255" t="s">
        <v>1014</v>
      </c>
      <c r="C87" s="1849" t="s">
        <v>1014</v>
      </c>
      <c r="D87" s="2257" t="s">
        <v>1014</v>
      </c>
      <c r="E87" s="1849" t="s">
        <v>1014</v>
      </c>
      <c r="F87" s="2255">
        <v>20</v>
      </c>
      <c r="G87" s="1849" t="s">
        <v>1929</v>
      </c>
    </row>
    <row r="88" spans="1:7" s="2256" customFormat="1" ht="19.5" customHeight="1" x14ac:dyDescent="0.3">
      <c r="A88" s="2258">
        <v>44835</v>
      </c>
      <c r="B88" s="2255" t="s">
        <v>1014</v>
      </c>
      <c r="C88" s="1849" t="s">
        <v>1014</v>
      </c>
      <c r="D88" s="2257" t="s">
        <v>1014</v>
      </c>
      <c r="E88" s="1849" t="s">
        <v>1014</v>
      </c>
      <c r="F88" s="2255">
        <v>60</v>
      </c>
      <c r="G88" s="1849">
        <v>43.8</v>
      </c>
    </row>
    <row r="89" spans="1:7" s="2256" customFormat="1" ht="19.5" customHeight="1" x14ac:dyDescent="0.3">
      <c r="A89" s="2258">
        <v>44866</v>
      </c>
      <c r="B89" s="2255" t="s">
        <v>1014</v>
      </c>
      <c r="C89" s="1849" t="s">
        <v>1014</v>
      </c>
      <c r="D89" s="2257" t="s">
        <v>1014</v>
      </c>
      <c r="E89" s="1849" t="s">
        <v>1014</v>
      </c>
      <c r="F89" s="2255">
        <v>300</v>
      </c>
      <c r="G89" s="1849" t="s">
        <v>1930</v>
      </c>
    </row>
    <row r="90" spans="1:7" s="2256" customFormat="1" ht="19.5" customHeight="1" x14ac:dyDescent="0.3">
      <c r="A90" s="2258">
        <v>44896</v>
      </c>
      <c r="B90" s="2255" t="s">
        <v>1014</v>
      </c>
      <c r="C90" s="1849" t="s">
        <v>1014</v>
      </c>
      <c r="D90" s="2257" t="s">
        <v>1014</v>
      </c>
      <c r="E90" s="1849" t="s">
        <v>1014</v>
      </c>
      <c r="F90" s="2255">
        <v>50</v>
      </c>
      <c r="G90" s="1849">
        <v>43.65</v>
      </c>
    </row>
    <row r="91" spans="1:7" s="2256" customFormat="1" ht="19.5" customHeight="1" x14ac:dyDescent="0.3">
      <c r="A91" s="2258">
        <v>44927</v>
      </c>
      <c r="B91" s="2255" t="s">
        <v>1014</v>
      </c>
      <c r="C91" s="1849" t="s">
        <v>1014</v>
      </c>
      <c r="D91" s="2257" t="s">
        <v>1014</v>
      </c>
      <c r="E91" s="1849" t="s">
        <v>1014</v>
      </c>
      <c r="F91" s="2255" t="s">
        <v>1014</v>
      </c>
      <c r="G91" s="1849" t="s">
        <v>1014</v>
      </c>
    </row>
    <row r="92" spans="1:7" s="2256" customFormat="1" ht="19.5" customHeight="1" x14ac:dyDescent="0.3">
      <c r="A92" s="2258">
        <v>44958</v>
      </c>
      <c r="B92" s="2255" t="s">
        <v>1014</v>
      </c>
      <c r="C92" s="1849" t="s">
        <v>1014</v>
      </c>
      <c r="D92" s="2257" t="s">
        <v>1014</v>
      </c>
      <c r="E92" s="1849" t="s">
        <v>1014</v>
      </c>
      <c r="F92" s="2255" t="s">
        <v>1014</v>
      </c>
      <c r="G92" s="1849" t="s">
        <v>1014</v>
      </c>
    </row>
    <row r="93" spans="1:7" s="2256" customFormat="1" ht="19.5" customHeight="1" x14ac:dyDescent="0.3">
      <c r="A93" s="2258">
        <v>44986</v>
      </c>
      <c r="B93" s="2255" t="s">
        <v>1014</v>
      </c>
      <c r="C93" s="1849" t="s">
        <v>1014</v>
      </c>
      <c r="D93" s="2257" t="s">
        <v>1014</v>
      </c>
      <c r="E93" s="1849" t="s">
        <v>1014</v>
      </c>
      <c r="F93" s="2255">
        <v>30</v>
      </c>
      <c r="G93" s="1849" t="s">
        <v>1931</v>
      </c>
    </row>
    <row r="94" spans="1:7" s="2256" customFormat="1" ht="19.5" customHeight="1" x14ac:dyDescent="0.3">
      <c r="A94" s="2258">
        <v>45017</v>
      </c>
      <c r="B94" s="2255" t="s">
        <v>1014</v>
      </c>
      <c r="C94" s="1849" t="s">
        <v>1014</v>
      </c>
      <c r="D94" s="2257" t="s">
        <v>1014</v>
      </c>
      <c r="E94" s="1849" t="s">
        <v>1014</v>
      </c>
      <c r="F94" s="2255">
        <v>10</v>
      </c>
      <c r="G94" s="1849">
        <v>45.25</v>
      </c>
    </row>
    <row r="95" spans="1:7" s="2256" customFormat="1" ht="19.5" customHeight="1" x14ac:dyDescent="0.3">
      <c r="A95" s="2258">
        <v>45047</v>
      </c>
      <c r="B95" s="2255" t="s">
        <v>1014</v>
      </c>
      <c r="C95" s="1849" t="s">
        <v>1014</v>
      </c>
      <c r="D95" s="2257" t="s">
        <v>1014</v>
      </c>
      <c r="E95" s="1849" t="s">
        <v>1014</v>
      </c>
      <c r="F95" s="2255">
        <v>10</v>
      </c>
      <c r="G95" s="1849">
        <v>45.25</v>
      </c>
    </row>
    <row r="96" spans="1:7" s="2256" customFormat="1" ht="19.5" customHeight="1" x14ac:dyDescent="0.3">
      <c r="A96" s="2258">
        <v>45078</v>
      </c>
      <c r="B96" s="2255" t="s">
        <v>1014</v>
      </c>
      <c r="C96" s="1849" t="s">
        <v>1014</v>
      </c>
      <c r="D96" s="2257" t="s">
        <v>1014</v>
      </c>
      <c r="E96" s="1849" t="s">
        <v>1014</v>
      </c>
      <c r="F96" s="1849" t="s">
        <v>1014</v>
      </c>
      <c r="G96" s="1849" t="s">
        <v>1014</v>
      </c>
    </row>
    <row r="97" spans="1:16" s="2256" customFormat="1" ht="19.5" customHeight="1" x14ac:dyDescent="0.3">
      <c r="A97" s="2258">
        <v>45108</v>
      </c>
      <c r="B97" s="2255" t="s">
        <v>1014</v>
      </c>
      <c r="C97" s="1849" t="s">
        <v>1014</v>
      </c>
      <c r="D97" s="2257" t="s">
        <v>1014</v>
      </c>
      <c r="E97" s="1849" t="s">
        <v>1014</v>
      </c>
      <c r="F97" s="1849" t="s">
        <v>1014</v>
      </c>
      <c r="G97" s="1849" t="s">
        <v>1014</v>
      </c>
    </row>
    <row r="98" spans="1:16" s="2256" customFormat="1" ht="19.5" customHeight="1" x14ac:dyDescent="0.3">
      <c r="A98" s="2258">
        <v>45139</v>
      </c>
      <c r="B98" s="2255" t="s">
        <v>1014</v>
      </c>
      <c r="C98" s="1849" t="s">
        <v>1014</v>
      </c>
      <c r="D98" s="2257" t="s">
        <v>1014</v>
      </c>
      <c r="E98" s="1849" t="s">
        <v>1014</v>
      </c>
      <c r="F98" s="1849">
        <v>10</v>
      </c>
      <c r="G98" s="1849">
        <v>45.2</v>
      </c>
    </row>
    <row r="99" spans="1:16" s="2256" customFormat="1" ht="19.5" customHeight="1" x14ac:dyDescent="0.3">
      <c r="A99" s="2258">
        <v>45170</v>
      </c>
      <c r="B99" s="2255" t="s">
        <v>1014</v>
      </c>
      <c r="C99" s="1849" t="s">
        <v>1014</v>
      </c>
      <c r="D99" s="2257" t="s">
        <v>1014</v>
      </c>
      <c r="E99" s="1849" t="s">
        <v>1014</v>
      </c>
      <c r="F99" s="1849">
        <v>100</v>
      </c>
      <c r="G99" s="1849" t="s">
        <v>1932</v>
      </c>
    </row>
    <row r="100" spans="1:16" s="2256" customFormat="1" ht="10.5" customHeight="1" thickBot="1" x14ac:dyDescent="0.35">
      <c r="A100" s="2264"/>
      <c r="B100" s="2265"/>
      <c r="C100" s="2265"/>
      <c r="D100" s="2265"/>
      <c r="E100" s="2266"/>
      <c r="F100" s="2265"/>
      <c r="G100" s="2265"/>
    </row>
    <row r="101" spans="1:16" s="6" customFormat="1" ht="18.75" customHeight="1" x14ac:dyDescent="0.25">
      <c r="A101" s="2267" t="s">
        <v>0</v>
      </c>
      <c r="C101" s="2268"/>
      <c r="D101" s="2269"/>
      <c r="P101" s="2270"/>
    </row>
    <row r="102" spans="1:16" s="2256" customFormat="1" ht="15" customHeight="1" x14ac:dyDescent="0.3">
      <c r="A102" s="2267"/>
    </row>
    <row r="103" spans="1:16" s="2256" customFormat="1" ht="15" customHeight="1" x14ac:dyDescent="0.3">
      <c r="A103" s="2267"/>
    </row>
    <row r="104" spans="1:16" s="2243" customFormat="1" ht="21.75" customHeight="1" x14ac:dyDescent="0.25">
      <c r="A104" s="1828" t="s">
        <v>1933</v>
      </c>
    </row>
    <row r="105" spans="1:16" s="1" customFormat="1" ht="13.5" customHeight="1" thickBot="1" x14ac:dyDescent="0.3">
      <c r="A105" s="2"/>
    </row>
    <row r="106" spans="1:16" s="2247" customFormat="1" ht="18" thickTop="1" thickBot="1" x14ac:dyDescent="0.3">
      <c r="A106" s="3420" t="s">
        <v>5</v>
      </c>
      <c r="B106" s="3423" t="s">
        <v>255</v>
      </c>
      <c r="C106" s="3424"/>
      <c r="D106" s="3424"/>
      <c r="E106" s="3424"/>
      <c r="F106" s="3424"/>
      <c r="G106" s="3424"/>
      <c r="H106" s="3424"/>
      <c r="I106" s="3425" t="s">
        <v>254</v>
      </c>
      <c r="J106" s="3424"/>
      <c r="K106" s="3424"/>
      <c r="L106" s="3424"/>
      <c r="M106" s="3424"/>
      <c r="N106" s="3424"/>
      <c r="O106" s="3426"/>
    </row>
    <row r="107" spans="1:16" s="2247" customFormat="1" ht="16.5" x14ac:dyDescent="0.25">
      <c r="A107" s="3421"/>
      <c r="B107" s="2248" t="s">
        <v>1934</v>
      </c>
      <c r="C107" s="2248" t="s">
        <v>1880</v>
      </c>
      <c r="D107" s="2248" t="s">
        <v>1935</v>
      </c>
      <c r="E107" s="2248" t="s">
        <v>1880</v>
      </c>
      <c r="F107" s="2271" t="s">
        <v>1936</v>
      </c>
      <c r="G107" s="2272" t="s">
        <v>1880</v>
      </c>
      <c r="H107" s="2273" t="s">
        <v>287</v>
      </c>
      <c r="I107" s="2274" t="s">
        <v>1934</v>
      </c>
      <c r="J107" s="2248" t="s">
        <v>1880</v>
      </c>
      <c r="K107" s="2248" t="s">
        <v>1935</v>
      </c>
      <c r="L107" s="2248" t="s">
        <v>1880</v>
      </c>
      <c r="M107" s="2271" t="s">
        <v>1936</v>
      </c>
      <c r="N107" s="2272" t="s">
        <v>1880</v>
      </c>
      <c r="O107" s="2275" t="s">
        <v>287</v>
      </c>
    </row>
    <row r="108" spans="1:16" s="2278" customFormat="1" ht="16.5" x14ac:dyDescent="0.25">
      <c r="A108" s="3421"/>
      <c r="B108" s="3427" t="s">
        <v>1883</v>
      </c>
      <c r="C108" s="3427" t="s">
        <v>1556</v>
      </c>
      <c r="D108" s="3427" t="s">
        <v>1937</v>
      </c>
      <c r="E108" s="3427" t="s">
        <v>1938</v>
      </c>
      <c r="F108" s="3429" t="s">
        <v>1939</v>
      </c>
      <c r="G108" s="3415" t="s">
        <v>1940</v>
      </c>
      <c r="H108" s="2276" t="s">
        <v>1941</v>
      </c>
      <c r="I108" s="3431" t="s">
        <v>1883</v>
      </c>
      <c r="J108" s="3427" t="s">
        <v>1556</v>
      </c>
      <c r="K108" s="3427" t="s">
        <v>1937</v>
      </c>
      <c r="L108" s="3427" t="s">
        <v>1938</v>
      </c>
      <c r="M108" s="3429" t="s">
        <v>1939</v>
      </c>
      <c r="N108" s="3415" t="s">
        <v>1940</v>
      </c>
      <c r="O108" s="2277" t="s">
        <v>1941</v>
      </c>
    </row>
    <row r="109" spans="1:16" s="2278" customFormat="1" ht="17.25" thickBot="1" x14ac:dyDescent="0.3">
      <c r="A109" s="3422"/>
      <c r="B109" s="3428"/>
      <c r="C109" s="3428"/>
      <c r="D109" s="3428"/>
      <c r="E109" s="3428"/>
      <c r="F109" s="3430"/>
      <c r="G109" s="3416"/>
      <c r="H109" s="2279" t="s">
        <v>1942</v>
      </c>
      <c r="I109" s="3432"/>
      <c r="J109" s="3428"/>
      <c r="K109" s="3428"/>
      <c r="L109" s="3428"/>
      <c r="M109" s="3430"/>
      <c r="N109" s="3416"/>
      <c r="O109" s="2280" t="s">
        <v>1942</v>
      </c>
    </row>
    <row r="110" spans="1:16" s="1" customFormat="1" ht="19.5" hidden="1" customHeight="1" x14ac:dyDescent="0.25">
      <c r="A110" s="2281">
        <v>42370</v>
      </c>
      <c r="B110" s="2282"/>
      <c r="C110" s="2283"/>
      <c r="D110" s="2282">
        <v>0.251</v>
      </c>
      <c r="E110" s="2283" t="s">
        <v>1943</v>
      </c>
      <c r="F110" s="2284" t="s">
        <v>1014</v>
      </c>
      <c r="G110" s="2285" t="s">
        <v>1014</v>
      </c>
      <c r="H110" s="2286" t="s">
        <v>1014</v>
      </c>
      <c r="I110" s="2287">
        <v>4</v>
      </c>
      <c r="J110" s="2285">
        <v>36.549999999999997</v>
      </c>
      <c r="K110" s="2288">
        <v>1.0167999999999999</v>
      </c>
      <c r="L110" s="2285" t="s">
        <v>1944</v>
      </c>
      <c r="M110" s="2285" t="s">
        <v>1014</v>
      </c>
      <c r="N110" s="2285" t="s">
        <v>1014</v>
      </c>
      <c r="O110" s="2289" t="s">
        <v>1014</v>
      </c>
    </row>
    <row r="111" spans="1:16" s="1" customFormat="1" ht="19.5" hidden="1" customHeight="1" x14ac:dyDescent="0.25">
      <c r="A111" s="2281">
        <v>42401</v>
      </c>
      <c r="B111" s="2282"/>
      <c r="C111" s="2283"/>
      <c r="D111" s="2282">
        <v>5.6000000000000001E-2</v>
      </c>
      <c r="E111" s="2283" t="s">
        <v>1945</v>
      </c>
      <c r="F111" s="2284" t="s">
        <v>1014</v>
      </c>
      <c r="G111" s="2285" t="s">
        <v>1014</v>
      </c>
      <c r="H111" s="2286" t="s">
        <v>1014</v>
      </c>
      <c r="I111" s="2287">
        <v>3.7919999999999998</v>
      </c>
      <c r="J111" s="2285" t="s">
        <v>1946</v>
      </c>
      <c r="K111" s="2288">
        <v>0.69299999999999995</v>
      </c>
      <c r="L111" s="2285" t="s">
        <v>1947</v>
      </c>
      <c r="M111" s="2288">
        <v>0.19</v>
      </c>
      <c r="N111" s="2285" t="s">
        <v>1948</v>
      </c>
      <c r="O111" s="2289" t="s">
        <v>1014</v>
      </c>
    </row>
    <row r="112" spans="1:16" s="1" customFormat="1" ht="19.5" hidden="1" customHeight="1" x14ac:dyDescent="0.25">
      <c r="A112" s="2281">
        <v>42430</v>
      </c>
      <c r="B112" s="2282"/>
      <c r="C112" s="2283"/>
      <c r="D112" s="2282">
        <v>1.4159999999999999</v>
      </c>
      <c r="E112" s="2283" t="s">
        <v>1949</v>
      </c>
      <c r="F112" s="2284" t="s">
        <v>1014</v>
      </c>
      <c r="G112" s="2285" t="s">
        <v>1014</v>
      </c>
      <c r="H112" s="2286" t="s">
        <v>1014</v>
      </c>
      <c r="I112" s="2287">
        <v>5.1832750000000001</v>
      </c>
      <c r="J112" s="2285" t="s">
        <v>1950</v>
      </c>
      <c r="K112" s="2288">
        <v>12.425000000000001</v>
      </c>
      <c r="L112" s="2285" t="s">
        <v>1951</v>
      </c>
      <c r="M112" s="2288">
        <v>0.108</v>
      </c>
      <c r="N112" s="2285" t="s">
        <v>1952</v>
      </c>
      <c r="O112" s="2289" t="s">
        <v>1014</v>
      </c>
    </row>
    <row r="113" spans="1:15" s="1" customFormat="1" ht="19.5" hidden="1" customHeight="1" x14ac:dyDescent="0.25">
      <c r="A113" s="2281">
        <v>42461</v>
      </c>
      <c r="B113" s="2282">
        <v>0.14199999999999999</v>
      </c>
      <c r="C113" s="2283">
        <v>35.130000000000003</v>
      </c>
      <c r="D113" s="2282">
        <v>0.122</v>
      </c>
      <c r="E113" s="2283" t="s">
        <v>1953</v>
      </c>
      <c r="F113" s="2284" t="s">
        <v>1014</v>
      </c>
      <c r="G113" s="2285" t="s">
        <v>1014</v>
      </c>
      <c r="H113" s="2286" t="s">
        <v>1014</v>
      </c>
      <c r="I113" s="2287">
        <v>3.2</v>
      </c>
      <c r="J113" s="2285">
        <v>35.549999999999997</v>
      </c>
      <c r="K113" s="2288">
        <v>0.96499999999999997</v>
      </c>
      <c r="L113" s="2285" t="s">
        <v>1954</v>
      </c>
      <c r="M113" s="2288">
        <v>0.34899999999999998</v>
      </c>
      <c r="N113" s="2285" t="s">
        <v>1955</v>
      </c>
      <c r="O113" s="2289" t="s">
        <v>1014</v>
      </c>
    </row>
    <row r="114" spans="1:15" s="1" customFormat="1" ht="19.5" hidden="1" customHeight="1" x14ac:dyDescent="0.25">
      <c r="A114" s="2281">
        <v>42491</v>
      </c>
      <c r="B114" s="2290">
        <v>45</v>
      </c>
      <c r="C114" s="2283">
        <v>35.04</v>
      </c>
      <c r="D114" s="2282">
        <v>0.63100000000000001</v>
      </c>
      <c r="E114" s="2283" t="s">
        <v>1956</v>
      </c>
      <c r="F114" s="2284" t="s">
        <v>1014</v>
      </c>
      <c r="G114" s="2285" t="s">
        <v>1014</v>
      </c>
      <c r="H114" s="2286" t="s">
        <v>1014</v>
      </c>
      <c r="I114" s="2287">
        <v>4.3380000000000001</v>
      </c>
      <c r="J114" s="2285" t="s">
        <v>1886</v>
      </c>
      <c r="K114" s="2288">
        <v>3.1059999999999999</v>
      </c>
      <c r="L114" s="2285" t="s">
        <v>1957</v>
      </c>
      <c r="M114" s="2288">
        <v>0.34399999999999997</v>
      </c>
      <c r="N114" s="2285" t="s">
        <v>1958</v>
      </c>
      <c r="O114" s="2289" t="s">
        <v>1014</v>
      </c>
    </row>
    <row r="115" spans="1:15" s="1" customFormat="1" ht="19.5" hidden="1" customHeight="1" x14ac:dyDescent="0.25">
      <c r="A115" s="2281">
        <v>42522</v>
      </c>
      <c r="B115" s="2282">
        <v>0.39800000000000002</v>
      </c>
      <c r="C115" s="2283">
        <v>35.21</v>
      </c>
      <c r="D115" s="2283">
        <v>10.050000000000001</v>
      </c>
      <c r="E115" s="2283" t="s">
        <v>1959</v>
      </c>
      <c r="F115" s="2284" t="s">
        <v>1014</v>
      </c>
      <c r="G115" s="2285" t="s">
        <v>1014</v>
      </c>
      <c r="H115" s="2286" t="s">
        <v>1014</v>
      </c>
      <c r="I115" s="2287">
        <v>4.4889999999999999</v>
      </c>
      <c r="J115" s="2285" t="s">
        <v>1960</v>
      </c>
      <c r="K115" s="2288">
        <v>2.5750000000000002</v>
      </c>
      <c r="L115" s="2285" t="s">
        <v>1961</v>
      </c>
      <c r="M115" s="2288">
        <v>1.2470000000000001</v>
      </c>
      <c r="N115" s="2285" t="s">
        <v>1962</v>
      </c>
      <c r="O115" s="2289" t="s">
        <v>1014</v>
      </c>
    </row>
    <row r="116" spans="1:15" s="1" customFormat="1" ht="19.5" hidden="1" customHeight="1" x14ac:dyDescent="0.25">
      <c r="A116" s="2281">
        <v>42552</v>
      </c>
      <c r="B116" s="2282" t="s">
        <v>1014</v>
      </c>
      <c r="C116" s="2283" t="s">
        <v>1014</v>
      </c>
      <c r="D116" s="2282">
        <v>0.29299999999999998</v>
      </c>
      <c r="E116" s="2283" t="s">
        <v>1963</v>
      </c>
      <c r="F116" s="2284" t="s">
        <v>1014</v>
      </c>
      <c r="G116" s="2285" t="s">
        <v>1014</v>
      </c>
      <c r="H116" s="2286" t="s">
        <v>1014</v>
      </c>
      <c r="I116" s="2287">
        <v>1.663</v>
      </c>
      <c r="J116" s="2285">
        <v>35.85</v>
      </c>
      <c r="K116" s="2288">
        <v>0.64900000000000002</v>
      </c>
      <c r="L116" s="2285" t="s">
        <v>1964</v>
      </c>
      <c r="M116" s="2288">
        <v>0.129</v>
      </c>
      <c r="N116" s="2285">
        <v>47.86</v>
      </c>
      <c r="O116" s="2289" t="s">
        <v>1014</v>
      </c>
    </row>
    <row r="117" spans="1:15" s="1" customFormat="1" ht="19.5" hidden="1" customHeight="1" x14ac:dyDescent="0.25">
      <c r="A117" s="2281">
        <v>42583</v>
      </c>
      <c r="B117" s="2282" t="s">
        <v>1014</v>
      </c>
      <c r="C117" s="2283" t="s">
        <v>1014</v>
      </c>
      <c r="D117" s="2282">
        <v>0.96099999999999997</v>
      </c>
      <c r="E117" s="2283" t="s">
        <v>1965</v>
      </c>
      <c r="F117" s="2284" t="s">
        <v>1014</v>
      </c>
      <c r="G117" s="2285" t="s">
        <v>1014</v>
      </c>
      <c r="H117" s="2286" t="s">
        <v>1014</v>
      </c>
      <c r="I117" s="2287" t="s">
        <v>1014</v>
      </c>
      <c r="J117" s="2285" t="s">
        <v>1014</v>
      </c>
      <c r="K117" s="2288">
        <v>1.2110000000000001</v>
      </c>
      <c r="L117" s="2285" t="s">
        <v>1966</v>
      </c>
      <c r="M117" s="2288" t="s">
        <v>1014</v>
      </c>
      <c r="N117" s="2285" t="s">
        <v>1014</v>
      </c>
      <c r="O117" s="2289" t="s">
        <v>1014</v>
      </c>
    </row>
    <row r="118" spans="1:15" s="1" customFormat="1" ht="19.5" hidden="1" customHeight="1" x14ac:dyDescent="0.25">
      <c r="A118" s="2281">
        <v>42614</v>
      </c>
      <c r="B118" s="2282" t="s">
        <v>1014</v>
      </c>
      <c r="C118" s="2283" t="s">
        <v>1014</v>
      </c>
      <c r="D118" s="2282">
        <v>15.598000000000001</v>
      </c>
      <c r="E118" s="2283" t="s">
        <v>1967</v>
      </c>
      <c r="F118" s="2284" t="s">
        <v>1014</v>
      </c>
      <c r="G118" s="2285" t="s">
        <v>1014</v>
      </c>
      <c r="H118" s="2286" t="s">
        <v>1014</v>
      </c>
      <c r="I118" s="2287" t="s">
        <v>1014</v>
      </c>
      <c r="J118" s="2285" t="s">
        <v>1014</v>
      </c>
      <c r="K118" s="2288">
        <v>8.7690000000000001</v>
      </c>
      <c r="L118" s="2285" t="s">
        <v>1968</v>
      </c>
      <c r="M118" s="2288">
        <v>8.2000000000000003E-2</v>
      </c>
      <c r="N118" s="2285" t="s">
        <v>1969</v>
      </c>
      <c r="O118" s="2289" t="s">
        <v>1014</v>
      </c>
    </row>
    <row r="119" spans="1:15" s="1" customFormat="1" ht="19.5" hidden="1" customHeight="1" x14ac:dyDescent="0.25">
      <c r="A119" s="2281">
        <v>42644</v>
      </c>
      <c r="B119" s="2282" t="s">
        <v>1014</v>
      </c>
      <c r="C119" s="2283" t="s">
        <v>1014</v>
      </c>
      <c r="D119" s="2282">
        <v>0.93145199999999995</v>
      </c>
      <c r="E119" s="2283" t="s">
        <v>1970</v>
      </c>
      <c r="F119" s="2284" t="s">
        <v>1014</v>
      </c>
      <c r="G119" s="2285" t="s">
        <v>1014</v>
      </c>
      <c r="H119" s="2286" t="s">
        <v>1014</v>
      </c>
      <c r="I119" s="2287" t="s">
        <v>1014</v>
      </c>
      <c r="J119" s="2285" t="s">
        <v>1014</v>
      </c>
      <c r="K119" s="2288">
        <v>0.504</v>
      </c>
      <c r="L119" s="2285" t="s">
        <v>1971</v>
      </c>
      <c r="M119" s="2288">
        <v>0.33200000000000002</v>
      </c>
      <c r="N119" s="2285" t="s">
        <v>1972</v>
      </c>
      <c r="O119" s="2289" t="s">
        <v>1014</v>
      </c>
    </row>
    <row r="120" spans="1:15" s="1" customFormat="1" ht="19.5" hidden="1" customHeight="1" x14ac:dyDescent="0.25">
      <c r="A120" s="2281">
        <v>42675</v>
      </c>
      <c r="B120" s="2282" t="s">
        <v>1014</v>
      </c>
      <c r="C120" s="2283" t="s">
        <v>1014</v>
      </c>
      <c r="D120" s="2282">
        <v>5.6289999999999996</v>
      </c>
      <c r="E120" s="2283" t="s">
        <v>1973</v>
      </c>
      <c r="F120" s="2284" t="s">
        <v>1014</v>
      </c>
      <c r="G120" s="2285" t="s">
        <v>1014</v>
      </c>
      <c r="H120" s="2286" t="s">
        <v>1014</v>
      </c>
      <c r="I120" s="2287" t="s">
        <v>1014</v>
      </c>
      <c r="J120" s="2285" t="s">
        <v>1014</v>
      </c>
      <c r="K120" s="2288">
        <v>3.8</v>
      </c>
      <c r="L120" s="2285" t="s">
        <v>1974</v>
      </c>
      <c r="M120" s="2288">
        <v>0.32100000000000001</v>
      </c>
      <c r="N120" s="2285" t="s">
        <v>1975</v>
      </c>
      <c r="O120" s="2289" t="s">
        <v>1014</v>
      </c>
    </row>
    <row r="121" spans="1:15" s="1" customFormat="1" ht="19.5" hidden="1" customHeight="1" x14ac:dyDescent="0.25">
      <c r="A121" s="2281">
        <v>42705</v>
      </c>
      <c r="B121" s="2282" t="s">
        <v>1014</v>
      </c>
      <c r="C121" s="2283" t="s">
        <v>1014</v>
      </c>
      <c r="D121" s="2282">
        <v>27.902999999999999</v>
      </c>
      <c r="E121" s="2283" t="s">
        <v>1976</v>
      </c>
      <c r="F121" s="2284" t="s">
        <v>1014</v>
      </c>
      <c r="G121" s="2285" t="s">
        <v>1014</v>
      </c>
      <c r="H121" s="2286" t="s">
        <v>1014</v>
      </c>
      <c r="I121" s="2287" t="s">
        <v>1014</v>
      </c>
      <c r="J121" s="2285" t="s">
        <v>1014</v>
      </c>
      <c r="K121" s="2288">
        <v>3.714</v>
      </c>
      <c r="L121" s="2285" t="s">
        <v>1977</v>
      </c>
      <c r="M121" s="2288">
        <v>1.226</v>
      </c>
      <c r="N121" s="2285" t="s">
        <v>1978</v>
      </c>
      <c r="O121" s="2289" t="s">
        <v>1014</v>
      </c>
    </row>
    <row r="122" spans="1:15" s="1" customFormat="1" ht="16.5" hidden="1" x14ac:dyDescent="0.25">
      <c r="A122" s="2291">
        <v>42736</v>
      </c>
      <c r="B122" s="2253" t="s">
        <v>1014</v>
      </c>
      <c r="C122" s="1849" t="s">
        <v>1014</v>
      </c>
      <c r="D122" s="2253">
        <v>0.41349999999999998</v>
      </c>
      <c r="E122" s="1849" t="s">
        <v>1979</v>
      </c>
      <c r="F122" s="2292" t="s">
        <v>1014</v>
      </c>
      <c r="G122" s="2293" t="s">
        <v>1014</v>
      </c>
      <c r="H122" s="2294" t="s">
        <v>1014</v>
      </c>
      <c r="I122" s="2295" t="s">
        <v>1014</v>
      </c>
      <c r="J122" s="2293" t="s">
        <v>1014</v>
      </c>
      <c r="K122" s="2296">
        <v>1.214</v>
      </c>
      <c r="L122" s="2293" t="s">
        <v>1980</v>
      </c>
      <c r="M122" s="2296">
        <v>0.69879999999999998</v>
      </c>
      <c r="N122" s="2293" t="s">
        <v>1981</v>
      </c>
      <c r="O122" s="2297" t="s">
        <v>1014</v>
      </c>
    </row>
    <row r="123" spans="1:15" s="1" customFormat="1" ht="16.5" hidden="1" x14ac:dyDescent="0.25">
      <c r="A123" s="2291">
        <v>42767</v>
      </c>
      <c r="B123" s="2253" t="s">
        <v>1014</v>
      </c>
      <c r="C123" s="1849" t="s">
        <v>1014</v>
      </c>
      <c r="D123" s="2253">
        <v>0.29399999999999998</v>
      </c>
      <c r="E123" s="1849" t="s">
        <v>1982</v>
      </c>
      <c r="F123" s="2292" t="s">
        <v>1014</v>
      </c>
      <c r="G123" s="2293" t="s">
        <v>1014</v>
      </c>
      <c r="H123" s="2294" t="s">
        <v>1014</v>
      </c>
      <c r="I123" s="2295" t="s">
        <v>1014</v>
      </c>
      <c r="J123" s="2293" t="s">
        <v>1014</v>
      </c>
      <c r="K123" s="2296">
        <v>0.377</v>
      </c>
      <c r="L123" s="2293" t="s">
        <v>1983</v>
      </c>
      <c r="M123" s="2296">
        <v>0.39</v>
      </c>
      <c r="N123" s="2293" t="s">
        <v>1984</v>
      </c>
      <c r="O123" s="2297" t="s">
        <v>1014</v>
      </c>
    </row>
    <row r="124" spans="1:15" s="1" customFormat="1" ht="16.5" hidden="1" x14ac:dyDescent="0.25">
      <c r="A124" s="2291">
        <v>42795</v>
      </c>
      <c r="B124" s="2253" t="s">
        <v>1014</v>
      </c>
      <c r="C124" s="1849" t="s">
        <v>1014</v>
      </c>
      <c r="D124" s="2253">
        <v>5.3479999999999999</v>
      </c>
      <c r="E124" s="1849" t="s">
        <v>1985</v>
      </c>
      <c r="F124" s="2292" t="s">
        <v>1014</v>
      </c>
      <c r="G124" s="2293" t="s">
        <v>1014</v>
      </c>
      <c r="H124" s="2294" t="s">
        <v>1014</v>
      </c>
      <c r="I124" s="2295" t="s">
        <v>1014</v>
      </c>
      <c r="J124" s="2293" t="s">
        <v>1014</v>
      </c>
      <c r="K124" s="2296">
        <v>12.314</v>
      </c>
      <c r="L124" s="2293" t="s">
        <v>1986</v>
      </c>
      <c r="M124" s="2296" t="s">
        <v>1014</v>
      </c>
      <c r="N124" s="2293" t="s">
        <v>1014</v>
      </c>
      <c r="O124" s="2298">
        <v>1.2150000000000001</v>
      </c>
    </row>
    <row r="125" spans="1:15" s="1" customFormat="1" ht="16.5" hidden="1" x14ac:dyDescent="0.25">
      <c r="A125" s="2291">
        <v>42826</v>
      </c>
      <c r="B125" s="2253" t="s">
        <v>1014</v>
      </c>
      <c r="C125" s="1849" t="s">
        <v>1014</v>
      </c>
      <c r="D125" s="2253">
        <v>0.60699999999999998</v>
      </c>
      <c r="E125" s="1849" t="s">
        <v>1987</v>
      </c>
      <c r="F125" s="2292" t="s">
        <v>1014</v>
      </c>
      <c r="G125" s="2293" t="s">
        <v>1014</v>
      </c>
      <c r="H125" s="2299">
        <v>4.4589999999999996</v>
      </c>
      <c r="I125" s="2295" t="s">
        <v>1014</v>
      </c>
      <c r="J125" s="2293" t="s">
        <v>1014</v>
      </c>
      <c r="K125" s="2296">
        <v>1.226</v>
      </c>
      <c r="L125" s="2293" t="s">
        <v>1988</v>
      </c>
      <c r="M125" s="2296">
        <v>0.255</v>
      </c>
      <c r="N125" s="2293" t="s">
        <v>1989</v>
      </c>
      <c r="O125" s="2298">
        <v>0.02</v>
      </c>
    </row>
    <row r="126" spans="1:15" s="1" customFormat="1" ht="16.5" hidden="1" x14ac:dyDescent="0.25">
      <c r="A126" s="2291">
        <v>42856</v>
      </c>
      <c r="B126" s="2253" t="s">
        <v>1014</v>
      </c>
      <c r="C126" s="1849" t="s">
        <v>1014</v>
      </c>
      <c r="D126" s="2253">
        <v>0.504</v>
      </c>
      <c r="E126" s="1849" t="s">
        <v>1990</v>
      </c>
      <c r="F126" s="2292" t="s">
        <v>1014</v>
      </c>
      <c r="G126" s="2293" t="s">
        <v>1014</v>
      </c>
      <c r="H126" s="2299">
        <v>1E-3</v>
      </c>
      <c r="I126" s="2295" t="s">
        <v>1014</v>
      </c>
      <c r="J126" s="2293" t="s">
        <v>1014</v>
      </c>
      <c r="K126" s="2296">
        <v>3.6259999999999999</v>
      </c>
      <c r="L126" s="2293" t="s">
        <v>1991</v>
      </c>
      <c r="M126" s="2296">
        <v>4.7600000000000003E-2</v>
      </c>
      <c r="N126" s="2293" t="s">
        <v>1992</v>
      </c>
      <c r="O126" s="2298">
        <v>3.1798E-2</v>
      </c>
    </row>
    <row r="127" spans="1:15" s="1" customFormat="1" ht="16.5" hidden="1" x14ac:dyDescent="0.25">
      <c r="A127" s="2291">
        <v>42887</v>
      </c>
      <c r="B127" s="2253" t="s">
        <v>1014</v>
      </c>
      <c r="C127" s="1849" t="s">
        <v>1014</v>
      </c>
      <c r="D127" s="2253">
        <v>9.0690000000000008</v>
      </c>
      <c r="E127" s="1849" t="s">
        <v>1993</v>
      </c>
      <c r="F127" s="2292" t="s">
        <v>1014</v>
      </c>
      <c r="G127" s="2293" t="s">
        <v>1014</v>
      </c>
      <c r="H127" s="2299">
        <v>0.71</v>
      </c>
      <c r="I127" s="2295" t="s">
        <v>1014</v>
      </c>
      <c r="J127" s="2293" t="s">
        <v>1014</v>
      </c>
      <c r="K127" s="2296">
        <v>3.855</v>
      </c>
      <c r="L127" s="2293" t="s">
        <v>1994</v>
      </c>
      <c r="M127" s="2296">
        <v>1.105</v>
      </c>
      <c r="N127" s="2293" t="s">
        <v>1995</v>
      </c>
      <c r="O127" s="2298">
        <v>0.112</v>
      </c>
    </row>
    <row r="128" spans="1:15" s="1" customFormat="1" ht="16.5" hidden="1" x14ac:dyDescent="0.25">
      <c r="A128" s="2291">
        <v>42917</v>
      </c>
      <c r="B128" s="2253" t="s">
        <v>1014</v>
      </c>
      <c r="C128" s="1849" t="s">
        <v>1014</v>
      </c>
      <c r="D128" s="2253">
        <v>1.1140000000000001</v>
      </c>
      <c r="E128" s="1849" t="s">
        <v>1996</v>
      </c>
      <c r="F128" s="2292" t="s">
        <v>1014</v>
      </c>
      <c r="G128" s="2293" t="s">
        <v>1014</v>
      </c>
      <c r="H128" s="2299">
        <v>0.19500000000000001</v>
      </c>
      <c r="I128" s="2295" t="s">
        <v>1014</v>
      </c>
      <c r="J128" s="2293" t="s">
        <v>1014</v>
      </c>
      <c r="K128" s="2296">
        <v>0.54100000000000004</v>
      </c>
      <c r="L128" s="2293" t="s">
        <v>1997</v>
      </c>
      <c r="M128" s="2296" t="s">
        <v>1014</v>
      </c>
      <c r="N128" s="2293" t="s">
        <v>1014</v>
      </c>
      <c r="O128" s="2298">
        <v>2.4E-2</v>
      </c>
    </row>
    <row r="129" spans="1:15" s="1" customFormat="1" ht="16.5" hidden="1" x14ac:dyDescent="0.25">
      <c r="A129" s="2291">
        <v>42948</v>
      </c>
      <c r="B129" s="2253" t="s">
        <v>1014</v>
      </c>
      <c r="C129" s="1849" t="s">
        <v>1014</v>
      </c>
      <c r="D129" s="2253">
        <v>0.4536</v>
      </c>
      <c r="E129" s="1849" t="s">
        <v>1998</v>
      </c>
      <c r="F129" s="2292" t="s">
        <v>1014</v>
      </c>
      <c r="G129" s="2293" t="s">
        <v>1014</v>
      </c>
      <c r="H129" s="2299">
        <v>3.7650000000000003E-2</v>
      </c>
      <c r="I129" s="2295" t="s">
        <v>1014</v>
      </c>
      <c r="J129" s="2293" t="s">
        <v>1014</v>
      </c>
      <c r="K129" s="2296">
        <v>1.0980350000000001</v>
      </c>
      <c r="L129" s="2293" t="s">
        <v>1999</v>
      </c>
      <c r="M129" s="2296" t="s">
        <v>1014</v>
      </c>
      <c r="N129" s="2293" t="s">
        <v>1014</v>
      </c>
      <c r="O129" s="2298">
        <v>0.37590000000000001</v>
      </c>
    </row>
    <row r="130" spans="1:15" s="1" customFormat="1" ht="16.5" hidden="1" x14ac:dyDescent="0.25">
      <c r="A130" s="2291">
        <v>42979</v>
      </c>
      <c r="B130" s="2253" t="s">
        <v>1014</v>
      </c>
      <c r="C130" s="1849" t="s">
        <v>1014</v>
      </c>
      <c r="D130" s="2253">
        <v>2.1080000000000001</v>
      </c>
      <c r="E130" s="1849" t="s">
        <v>2000</v>
      </c>
      <c r="F130" s="2292" t="s">
        <v>1014</v>
      </c>
      <c r="G130" s="2293" t="s">
        <v>1014</v>
      </c>
      <c r="H130" s="2299">
        <v>0.24299999999999999</v>
      </c>
      <c r="I130" s="2295" t="s">
        <v>1014</v>
      </c>
      <c r="J130" s="2293" t="s">
        <v>1014</v>
      </c>
      <c r="K130" s="2296">
        <v>12.426</v>
      </c>
      <c r="L130" s="2293" t="s">
        <v>2001</v>
      </c>
      <c r="M130" s="2296" t="s">
        <v>1014</v>
      </c>
      <c r="N130" s="2293" t="s">
        <v>1014</v>
      </c>
      <c r="O130" s="2298">
        <v>1.2669999999999999</v>
      </c>
    </row>
    <row r="131" spans="1:15" s="1" customFormat="1" ht="16.5" hidden="1" x14ac:dyDescent="0.25">
      <c r="A131" s="2291">
        <v>43009</v>
      </c>
      <c r="B131" s="2253" t="s">
        <v>1014</v>
      </c>
      <c r="C131" s="1849" t="s">
        <v>1014</v>
      </c>
      <c r="D131" s="2253">
        <v>13.933999999999999</v>
      </c>
      <c r="E131" s="1849" t="s">
        <v>2002</v>
      </c>
      <c r="F131" s="2292" t="s">
        <v>1014</v>
      </c>
      <c r="G131" s="2293" t="s">
        <v>1014</v>
      </c>
      <c r="H131" s="2299">
        <v>0.38927699999999998</v>
      </c>
      <c r="I131" s="2295" t="s">
        <v>1014</v>
      </c>
      <c r="J131" s="2293" t="s">
        <v>1014</v>
      </c>
      <c r="K131" s="2296">
        <v>0.55583499999999997</v>
      </c>
      <c r="L131" s="2293" t="s">
        <v>2003</v>
      </c>
      <c r="M131" s="2296">
        <v>8.6999999999999994E-2</v>
      </c>
      <c r="N131" s="2293" t="s">
        <v>2004</v>
      </c>
      <c r="O131" s="2298">
        <v>1.7999999999999999E-2</v>
      </c>
    </row>
    <row r="132" spans="1:15" s="1" customFormat="1" ht="16.5" hidden="1" x14ac:dyDescent="0.25">
      <c r="A132" s="2291">
        <v>43040</v>
      </c>
      <c r="B132" s="2253" t="s">
        <v>1014</v>
      </c>
      <c r="C132" s="1849" t="s">
        <v>1014</v>
      </c>
      <c r="D132" s="2253">
        <v>1.0269999999999999</v>
      </c>
      <c r="E132" s="1849" t="s">
        <v>2005</v>
      </c>
      <c r="F132" s="2292" t="s">
        <v>1014</v>
      </c>
      <c r="G132" s="2293" t="s">
        <v>1014</v>
      </c>
      <c r="H132" s="2299">
        <v>1.6E-2</v>
      </c>
      <c r="I132" s="2295" t="s">
        <v>1014</v>
      </c>
      <c r="J132" s="2293" t="s">
        <v>1014</v>
      </c>
      <c r="K132" s="2296">
        <v>3.3029999999999999</v>
      </c>
      <c r="L132" s="2293" t="s">
        <v>2006</v>
      </c>
      <c r="M132" s="2296">
        <v>0.41199999999999998</v>
      </c>
      <c r="N132" s="2293" t="s">
        <v>2007</v>
      </c>
      <c r="O132" s="2298">
        <v>7.5999999999999998E-2</v>
      </c>
    </row>
    <row r="133" spans="1:15" s="1" customFormat="1" ht="16.5" hidden="1" x14ac:dyDescent="0.25">
      <c r="A133" s="2291">
        <v>43070</v>
      </c>
      <c r="B133" s="2253" t="s">
        <v>1014</v>
      </c>
      <c r="C133" s="1849" t="s">
        <v>1014</v>
      </c>
      <c r="D133" s="2253">
        <v>6.9969999999999999</v>
      </c>
      <c r="E133" s="1849" t="s">
        <v>2008</v>
      </c>
      <c r="F133" s="2292" t="s">
        <v>1014</v>
      </c>
      <c r="G133" s="2293" t="s">
        <v>1014</v>
      </c>
      <c r="H133" s="2299">
        <v>1.3640000000000001</v>
      </c>
      <c r="I133" s="2295" t="s">
        <v>1014</v>
      </c>
      <c r="J133" s="2293" t="s">
        <v>1014</v>
      </c>
      <c r="K133" s="2296">
        <v>3.5510000000000002</v>
      </c>
      <c r="L133" s="2293" t="s">
        <v>2009</v>
      </c>
      <c r="M133" s="2296">
        <v>1.0349999999999999</v>
      </c>
      <c r="N133" s="2293" t="s">
        <v>2010</v>
      </c>
      <c r="O133" s="2298">
        <v>4.2000000000000003E-2</v>
      </c>
    </row>
    <row r="134" spans="1:15" s="1" customFormat="1" ht="16.5" hidden="1" x14ac:dyDescent="0.25">
      <c r="A134" s="2291">
        <v>43101</v>
      </c>
      <c r="B134" s="2253" t="s">
        <v>1014</v>
      </c>
      <c r="C134" s="1849" t="s">
        <v>1014</v>
      </c>
      <c r="D134" s="2253">
        <v>1.919</v>
      </c>
      <c r="E134" s="1849" t="s">
        <v>2011</v>
      </c>
      <c r="F134" s="2292" t="s">
        <v>1014</v>
      </c>
      <c r="G134" s="2293" t="s">
        <v>1014</v>
      </c>
      <c r="H134" s="2299">
        <v>1E-3</v>
      </c>
      <c r="I134" s="2295" t="s">
        <v>1014</v>
      </c>
      <c r="J134" s="2293" t="s">
        <v>1014</v>
      </c>
      <c r="K134" s="2296">
        <v>1.0469999999999999</v>
      </c>
      <c r="L134" s="2293" t="s">
        <v>2012</v>
      </c>
      <c r="M134" s="2296" t="s">
        <v>1014</v>
      </c>
      <c r="N134" s="2293" t="s">
        <v>1014</v>
      </c>
      <c r="O134" s="2298">
        <v>2.5999999999999999E-2</v>
      </c>
    </row>
    <row r="135" spans="1:15" s="1" customFormat="1" ht="12.75" hidden="1" customHeight="1" x14ac:dyDescent="0.25">
      <c r="A135" s="2291">
        <v>43132</v>
      </c>
      <c r="B135" s="2253" t="s">
        <v>1014</v>
      </c>
      <c r="C135" s="1849" t="s">
        <v>1014</v>
      </c>
      <c r="D135" s="2253">
        <v>0.59199999999999997</v>
      </c>
      <c r="E135" s="1849" t="s">
        <v>2013</v>
      </c>
      <c r="F135" s="2292" t="s">
        <v>1014</v>
      </c>
      <c r="G135" s="2293" t="s">
        <v>1014</v>
      </c>
      <c r="H135" s="2299">
        <v>0.02</v>
      </c>
      <c r="I135" s="2295" t="s">
        <v>1014</v>
      </c>
      <c r="J135" s="2293" t="s">
        <v>1014</v>
      </c>
      <c r="K135" s="2296">
        <v>1.0489999999999999</v>
      </c>
      <c r="L135" s="2293" t="s">
        <v>2014</v>
      </c>
      <c r="M135" s="2296">
        <v>0.57499999999999996</v>
      </c>
      <c r="N135" s="2293" t="s">
        <v>2015</v>
      </c>
      <c r="O135" s="2298">
        <v>0.39</v>
      </c>
    </row>
    <row r="136" spans="1:15" s="1" customFormat="1" ht="16.5" hidden="1" x14ac:dyDescent="0.25">
      <c r="A136" s="2291">
        <v>43160</v>
      </c>
      <c r="B136" s="2253" t="s">
        <v>1014</v>
      </c>
      <c r="C136" s="1849" t="s">
        <v>1014</v>
      </c>
      <c r="D136" s="2253">
        <v>3.3392770000000001</v>
      </c>
      <c r="E136" s="1849" t="s">
        <v>2016</v>
      </c>
      <c r="F136" s="2292" t="s">
        <v>1014</v>
      </c>
      <c r="G136" s="2293" t="s">
        <v>1014</v>
      </c>
      <c r="H136" s="2300">
        <v>0.11</v>
      </c>
      <c r="I136" s="2295" t="s">
        <v>1014</v>
      </c>
      <c r="J136" s="2293" t="s">
        <v>1014</v>
      </c>
      <c r="K136" s="2296">
        <v>12.500999999999999</v>
      </c>
      <c r="L136" s="2293" t="s">
        <v>2017</v>
      </c>
      <c r="M136" s="2296">
        <v>0.23200000000000001</v>
      </c>
      <c r="N136" s="2293" t="s">
        <v>2018</v>
      </c>
      <c r="O136" s="2301">
        <v>1.4630000000000001</v>
      </c>
    </row>
    <row r="137" spans="1:15" s="1" customFormat="1" ht="16.5" hidden="1" x14ac:dyDescent="0.25">
      <c r="A137" s="2291">
        <v>43191</v>
      </c>
      <c r="B137" s="2253" t="s">
        <v>1014</v>
      </c>
      <c r="C137" s="1849" t="s">
        <v>1014</v>
      </c>
      <c r="D137" s="2253">
        <v>14.351000000000001</v>
      </c>
      <c r="E137" s="1849" t="s">
        <v>2019</v>
      </c>
      <c r="F137" s="2292" t="s">
        <v>1014</v>
      </c>
      <c r="G137" s="2293" t="s">
        <v>1014</v>
      </c>
      <c r="H137" s="2299">
        <v>2.3E-2</v>
      </c>
      <c r="I137" s="2295" t="s">
        <v>1014</v>
      </c>
      <c r="J137" s="2293" t="s">
        <v>1014</v>
      </c>
      <c r="K137" s="2296">
        <v>0.57299999999999995</v>
      </c>
      <c r="L137" s="2293" t="s">
        <v>2020</v>
      </c>
      <c r="M137" s="2296">
        <v>0.73899999999999999</v>
      </c>
      <c r="N137" s="2293" t="s">
        <v>2021</v>
      </c>
      <c r="O137" s="2298">
        <v>0.79800000000000004</v>
      </c>
    </row>
    <row r="138" spans="1:15" s="1" customFormat="1" ht="16.5" hidden="1" x14ac:dyDescent="0.25">
      <c r="A138" s="2291">
        <v>43221</v>
      </c>
      <c r="B138" s="2253">
        <v>12.712</v>
      </c>
      <c r="C138" s="1849">
        <v>34.22</v>
      </c>
      <c r="D138" s="2253">
        <v>1.101</v>
      </c>
      <c r="E138" s="1849" t="s">
        <v>2022</v>
      </c>
      <c r="F138" s="2292" t="s">
        <v>1014</v>
      </c>
      <c r="G138" s="2293" t="s">
        <v>1014</v>
      </c>
      <c r="H138" s="2299">
        <v>1.9E-2</v>
      </c>
      <c r="I138" s="2295" t="s">
        <v>1014</v>
      </c>
      <c r="J138" s="2293" t="s">
        <v>1014</v>
      </c>
      <c r="K138" s="2296">
        <v>4.7489999999999997</v>
      </c>
      <c r="L138" s="2293" t="s">
        <v>2023</v>
      </c>
      <c r="M138" s="2296">
        <v>0.22900000000000001</v>
      </c>
      <c r="N138" s="2293" t="s">
        <v>2024</v>
      </c>
      <c r="O138" s="2298">
        <v>6.5000000000000002E-2</v>
      </c>
    </row>
    <row r="139" spans="1:15" s="1" customFormat="1" ht="16.5" hidden="1" x14ac:dyDescent="0.25">
      <c r="A139" s="2291">
        <v>43252</v>
      </c>
      <c r="B139" s="2253" t="s">
        <v>1014</v>
      </c>
      <c r="C139" s="1849" t="s">
        <v>1014</v>
      </c>
      <c r="D139" s="2253">
        <v>9.5920000000000005</v>
      </c>
      <c r="E139" s="1849" t="s">
        <v>2025</v>
      </c>
      <c r="F139" s="2292" t="s">
        <v>1014</v>
      </c>
      <c r="G139" s="2293" t="s">
        <v>1014</v>
      </c>
      <c r="H139" s="2299">
        <v>1.504</v>
      </c>
      <c r="I139" s="2295" t="s">
        <v>1014</v>
      </c>
      <c r="J139" s="2293" t="s">
        <v>1014</v>
      </c>
      <c r="K139" s="2296">
        <v>21.206</v>
      </c>
      <c r="L139" s="2293" t="s">
        <v>2026</v>
      </c>
      <c r="M139" s="2296">
        <v>1.175</v>
      </c>
      <c r="N139" s="2293" t="s">
        <v>2027</v>
      </c>
      <c r="O139" s="2298">
        <v>0.10100000000000001</v>
      </c>
    </row>
    <row r="140" spans="1:15" s="1" customFormat="1" ht="16.5" hidden="1" x14ac:dyDescent="0.25">
      <c r="A140" s="2291">
        <v>43282</v>
      </c>
      <c r="B140" s="2253" t="s">
        <v>1014</v>
      </c>
      <c r="C140" s="1849" t="s">
        <v>1014</v>
      </c>
      <c r="D140" s="2253">
        <v>0.84981899999999999</v>
      </c>
      <c r="E140" s="1849" t="s">
        <v>2028</v>
      </c>
      <c r="F140" s="2292" t="s">
        <v>1014</v>
      </c>
      <c r="G140" s="2293" t="s">
        <v>1014</v>
      </c>
      <c r="H140" s="2299">
        <v>6.0000000000000001E-3</v>
      </c>
      <c r="I140" s="2295" t="s">
        <v>1014</v>
      </c>
      <c r="J140" s="2293" t="s">
        <v>1014</v>
      </c>
      <c r="K140" s="2296">
        <v>0.457623</v>
      </c>
      <c r="L140" s="2293" t="s">
        <v>2029</v>
      </c>
      <c r="M140" s="2296">
        <v>0.128</v>
      </c>
      <c r="N140" s="2293">
        <v>46.03</v>
      </c>
      <c r="O140" s="2298">
        <v>5.7000000000000002E-2</v>
      </c>
    </row>
    <row r="141" spans="1:15" s="1" customFormat="1" ht="16.5" hidden="1" x14ac:dyDescent="0.25">
      <c r="A141" s="2291">
        <v>43313</v>
      </c>
      <c r="B141" s="2253" t="s">
        <v>1014</v>
      </c>
      <c r="C141" s="1849" t="s">
        <v>1014</v>
      </c>
      <c r="D141" s="2253">
        <v>0.998</v>
      </c>
      <c r="E141" s="1849" t="s">
        <v>2030</v>
      </c>
      <c r="F141" s="2292" t="s">
        <v>1014</v>
      </c>
      <c r="G141" s="2293" t="s">
        <v>1014</v>
      </c>
      <c r="H141" s="2299">
        <v>1.7999999999999999E-2</v>
      </c>
      <c r="I141" s="2295" t="s">
        <v>1014</v>
      </c>
      <c r="J141" s="2293" t="s">
        <v>1014</v>
      </c>
      <c r="K141" s="2296">
        <v>5.8879999999999999</v>
      </c>
      <c r="L141" s="2293" t="s">
        <v>2031</v>
      </c>
      <c r="M141" s="2296" t="s">
        <v>1014</v>
      </c>
      <c r="N141" s="2293" t="s">
        <v>1014</v>
      </c>
      <c r="O141" s="2298">
        <v>0.38600000000000001</v>
      </c>
    </row>
    <row r="142" spans="1:15" s="1" customFormat="1" ht="16.5" hidden="1" x14ac:dyDescent="0.25">
      <c r="A142" s="2291">
        <v>43344</v>
      </c>
      <c r="B142" s="2253" t="s">
        <v>1014</v>
      </c>
      <c r="C142" s="1849" t="s">
        <v>1014</v>
      </c>
      <c r="D142" s="2253">
        <v>1.387</v>
      </c>
      <c r="E142" s="1849" t="s">
        <v>2032</v>
      </c>
      <c r="F142" s="2292" t="s">
        <v>1014</v>
      </c>
      <c r="G142" s="2293" t="s">
        <v>1014</v>
      </c>
      <c r="H142" s="2299">
        <v>0.26400000000000001</v>
      </c>
      <c r="I142" s="2295" t="s">
        <v>1014</v>
      </c>
      <c r="J142" s="2293" t="s">
        <v>1014</v>
      </c>
      <c r="K142" s="2296">
        <v>12.827</v>
      </c>
      <c r="L142" s="2293" t="s">
        <v>2033</v>
      </c>
      <c r="M142" s="2296" t="s">
        <v>1014</v>
      </c>
      <c r="N142" s="2293" t="s">
        <v>1014</v>
      </c>
      <c r="O142" s="2298">
        <v>1.2969999999999999</v>
      </c>
    </row>
    <row r="143" spans="1:15" s="1" customFormat="1" ht="16.5" hidden="1" x14ac:dyDescent="0.25">
      <c r="A143" s="2291">
        <v>43374</v>
      </c>
      <c r="B143" s="2253" t="s">
        <v>1014</v>
      </c>
      <c r="C143" s="1849" t="s">
        <v>1014</v>
      </c>
      <c r="D143" s="2253">
        <v>0.73099999999999998</v>
      </c>
      <c r="E143" s="1849" t="s">
        <v>2034</v>
      </c>
      <c r="F143" s="2292" t="s">
        <v>1014</v>
      </c>
      <c r="G143" s="2293" t="s">
        <v>1014</v>
      </c>
      <c r="H143" s="2299">
        <v>0.66600000000000004</v>
      </c>
      <c r="I143" s="2295" t="s">
        <v>1014</v>
      </c>
      <c r="J143" s="2293" t="s">
        <v>1014</v>
      </c>
      <c r="K143" s="2296">
        <v>0.79900000000000004</v>
      </c>
      <c r="L143" s="2293" t="s">
        <v>2035</v>
      </c>
      <c r="M143" s="2296">
        <v>0.38</v>
      </c>
      <c r="N143" s="2293" t="s">
        <v>2036</v>
      </c>
      <c r="O143" s="2298">
        <v>3.9E-2</v>
      </c>
    </row>
    <row r="144" spans="1:15" s="1" customFormat="1" ht="16.5" hidden="1" x14ac:dyDescent="0.25">
      <c r="A144" s="2291">
        <v>43405</v>
      </c>
      <c r="B144" s="2253">
        <v>29</v>
      </c>
      <c r="C144" s="1849">
        <v>34.119999999999997</v>
      </c>
      <c r="D144" s="2253">
        <v>1.473516</v>
      </c>
      <c r="E144" s="1849" t="s">
        <v>2037</v>
      </c>
      <c r="F144" s="2292" t="s">
        <v>1014</v>
      </c>
      <c r="G144" s="2293" t="s">
        <v>1014</v>
      </c>
      <c r="H144" s="2299">
        <v>9.0499999999999997E-2</v>
      </c>
      <c r="I144" s="2295" t="s">
        <v>1014</v>
      </c>
      <c r="J144" s="2293" t="s">
        <v>1014</v>
      </c>
      <c r="K144" s="2296">
        <v>4.7976999999999999</v>
      </c>
      <c r="L144" s="2293" t="s">
        <v>2038</v>
      </c>
      <c r="M144" s="2296">
        <v>0.51970000000000005</v>
      </c>
      <c r="N144" s="2293" t="s">
        <v>2039</v>
      </c>
      <c r="O144" s="2298">
        <v>7.8E-2</v>
      </c>
    </row>
    <row r="145" spans="1:15" s="1" customFormat="1" ht="16.5" hidden="1" x14ac:dyDescent="0.25">
      <c r="A145" s="2291">
        <v>43435</v>
      </c>
      <c r="B145" s="2253">
        <v>79.91</v>
      </c>
      <c r="C145" s="1849" t="s">
        <v>2040</v>
      </c>
      <c r="D145" s="2253">
        <v>7.2030000000000003</v>
      </c>
      <c r="E145" s="1849" t="s">
        <v>2041</v>
      </c>
      <c r="F145" s="2292" t="s">
        <v>1014</v>
      </c>
      <c r="G145" s="2293" t="s">
        <v>1014</v>
      </c>
      <c r="H145" s="2299">
        <v>0.39800000000000002</v>
      </c>
      <c r="I145" s="2295" t="s">
        <v>1014</v>
      </c>
      <c r="J145" s="2293" t="s">
        <v>1014</v>
      </c>
      <c r="K145" s="2296">
        <v>4.62</v>
      </c>
      <c r="L145" s="2293" t="s">
        <v>2042</v>
      </c>
      <c r="M145" s="2296">
        <v>1.6339999999999999</v>
      </c>
      <c r="N145" s="2293" t="s">
        <v>2043</v>
      </c>
      <c r="O145" s="2298">
        <v>8.7999999999999995E-2</v>
      </c>
    </row>
    <row r="146" spans="1:15" s="1" customFormat="1" ht="18" hidden="1" customHeight="1" x14ac:dyDescent="0.25">
      <c r="A146" s="2291">
        <v>43466</v>
      </c>
      <c r="B146" s="2253" t="s">
        <v>1014</v>
      </c>
      <c r="C146" s="1849" t="s">
        <v>1014</v>
      </c>
      <c r="D146" s="2253">
        <v>0.95299999999999996</v>
      </c>
      <c r="E146" s="1849" t="s">
        <v>2044</v>
      </c>
      <c r="F146" s="2292" t="s">
        <v>1014</v>
      </c>
      <c r="G146" s="2293" t="s">
        <v>1014</v>
      </c>
      <c r="H146" s="2299">
        <v>2.9000000000000001E-2</v>
      </c>
      <c r="I146" s="2295" t="s">
        <v>1014</v>
      </c>
      <c r="J146" s="2293" t="s">
        <v>1014</v>
      </c>
      <c r="K146" s="2296">
        <v>10.601000000000001</v>
      </c>
      <c r="L146" s="2293" t="s">
        <v>2045</v>
      </c>
      <c r="M146" s="2296">
        <v>0.10299999999999999</v>
      </c>
      <c r="N146" s="2293" t="s">
        <v>2046</v>
      </c>
      <c r="O146" s="2298">
        <v>0.16</v>
      </c>
    </row>
    <row r="147" spans="1:15" s="1" customFormat="1" ht="18" hidden="1" customHeight="1" x14ac:dyDescent="0.25">
      <c r="A147" s="2291">
        <v>43497</v>
      </c>
      <c r="B147" s="2253" t="s">
        <v>1014</v>
      </c>
      <c r="C147" s="1849" t="s">
        <v>1014</v>
      </c>
      <c r="D147" s="2253">
        <v>0.376</v>
      </c>
      <c r="E147" s="1849" t="s">
        <v>2047</v>
      </c>
      <c r="F147" s="2292" t="s">
        <v>1014</v>
      </c>
      <c r="G147" s="2293" t="s">
        <v>1014</v>
      </c>
      <c r="H147" s="2299">
        <v>0.193</v>
      </c>
      <c r="I147" s="2295" t="s">
        <v>1014</v>
      </c>
      <c r="J147" s="2293" t="s">
        <v>1014</v>
      </c>
      <c r="K147" s="2296">
        <v>1.0820000000000001</v>
      </c>
      <c r="L147" s="2293" t="s">
        <v>2048</v>
      </c>
      <c r="M147" s="2296">
        <v>0.67200000000000004</v>
      </c>
      <c r="N147" s="2293" t="s">
        <v>2049</v>
      </c>
      <c r="O147" s="2298">
        <v>0.35499999999999998</v>
      </c>
    </row>
    <row r="148" spans="1:15" s="1" customFormat="1" ht="18" hidden="1" customHeight="1" x14ac:dyDescent="0.25">
      <c r="A148" s="2291">
        <v>43525</v>
      </c>
      <c r="B148" s="2253" t="s">
        <v>1014</v>
      </c>
      <c r="C148" s="1849" t="s">
        <v>1014</v>
      </c>
      <c r="D148" s="2253">
        <v>1.0669999999999999</v>
      </c>
      <c r="E148" s="1849" t="s">
        <v>2050</v>
      </c>
      <c r="F148" s="2292" t="s">
        <v>1014</v>
      </c>
      <c r="G148" s="2293" t="s">
        <v>1014</v>
      </c>
      <c r="H148" s="2299">
        <v>6.5000000000000002E-2</v>
      </c>
      <c r="I148" s="2295" t="s">
        <v>1014</v>
      </c>
      <c r="J148" s="2293" t="s">
        <v>1014</v>
      </c>
      <c r="K148" s="2296">
        <v>20.87</v>
      </c>
      <c r="L148" s="2293" t="s">
        <v>2051</v>
      </c>
      <c r="M148" s="2296">
        <v>6.4000000000000001E-2</v>
      </c>
      <c r="N148" s="2293" t="s">
        <v>2052</v>
      </c>
      <c r="O148" s="2298">
        <v>1.3320000000000001</v>
      </c>
    </row>
    <row r="149" spans="1:15" s="1" customFormat="1" ht="18" hidden="1" customHeight="1" x14ac:dyDescent="0.25">
      <c r="A149" s="2291">
        <v>43556</v>
      </c>
      <c r="B149" s="2253" t="s">
        <v>1014</v>
      </c>
      <c r="C149" s="1849" t="s">
        <v>1014</v>
      </c>
      <c r="D149" s="2253">
        <v>2.532</v>
      </c>
      <c r="E149" s="1849" t="s">
        <v>2053</v>
      </c>
      <c r="F149" s="2292" t="s">
        <v>1014</v>
      </c>
      <c r="G149" s="2293" t="s">
        <v>1014</v>
      </c>
      <c r="H149" s="2299">
        <v>0.03</v>
      </c>
      <c r="I149" s="2295" t="s">
        <v>1014</v>
      </c>
      <c r="J149" s="2293" t="s">
        <v>1014</v>
      </c>
      <c r="K149" s="2296">
        <v>0.47</v>
      </c>
      <c r="L149" s="2293" t="s">
        <v>2054</v>
      </c>
      <c r="M149" s="2296">
        <v>0.64100000000000001</v>
      </c>
      <c r="N149" s="2293" t="s">
        <v>2055</v>
      </c>
      <c r="O149" s="2298">
        <v>7.9000000000000001E-2</v>
      </c>
    </row>
    <row r="150" spans="1:15" s="1" customFormat="1" ht="18" hidden="1" customHeight="1" x14ac:dyDescent="0.25">
      <c r="A150" s="2291">
        <v>43586</v>
      </c>
      <c r="B150" s="2253" t="s">
        <v>1014</v>
      </c>
      <c r="C150" s="1849" t="s">
        <v>1014</v>
      </c>
      <c r="D150" s="2253">
        <v>0.46800000000000003</v>
      </c>
      <c r="E150" s="1849" t="s">
        <v>2056</v>
      </c>
      <c r="F150" s="2292" t="s">
        <v>1014</v>
      </c>
      <c r="G150" s="2293" t="s">
        <v>1014</v>
      </c>
      <c r="H150" s="2299">
        <v>0.105</v>
      </c>
      <c r="I150" s="2295" t="s">
        <v>1014</v>
      </c>
      <c r="J150" s="2293" t="s">
        <v>1014</v>
      </c>
      <c r="K150" s="2296">
        <v>7.7039999999999997</v>
      </c>
      <c r="L150" s="2293" t="s">
        <v>2057</v>
      </c>
      <c r="M150" s="2296">
        <v>0.155</v>
      </c>
      <c r="N150" s="2293" t="s">
        <v>2058</v>
      </c>
      <c r="O150" s="2298">
        <v>0.183</v>
      </c>
    </row>
    <row r="151" spans="1:15" s="1" customFormat="1" ht="18" hidden="1" customHeight="1" x14ac:dyDescent="0.25">
      <c r="A151" s="2291">
        <v>43617</v>
      </c>
      <c r="B151" s="2253">
        <v>130.08799999999999</v>
      </c>
      <c r="C151" s="1849" t="s">
        <v>2059</v>
      </c>
      <c r="D151" s="2253">
        <v>8.3640000000000008</v>
      </c>
      <c r="E151" s="1849" t="s">
        <v>2060</v>
      </c>
      <c r="F151" s="2292" t="s">
        <v>1014</v>
      </c>
      <c r="G151" s="2293" t="s">
        <v>1014</v>
      </c>
      <c r="H151" s="2299">
        <v>1.419</v>
      </c>
      <c r="I151" s="2295" t="s">
        <v>1014</v>
      </c>
      <c r="J151" s="2293" t="s">
        <v>1014</v>
      </c>
      <c r="K151" s="2296">
        <v>6.8550000000000004</v>
      </c>
      <c r="L151" s="2293" t="s">
        <v>2061</v>
      </c>
      <c r="M151" s="2296">
        <v>1.222</v>
      </c>
      <c r="N151" s="2293" t="s">
        <v>2062</v>
      </c>
      <c r="O151" s="2298">
        <v>5.5E-2</v>
      </c>
    </row>
    <row r="152" spans="1:15" s="1" customFormat="1" ht="18" hidden="1" customHeight="1" x14ac:dyDescent="0.25">
      <c r="A152" s="2291">
        <v>43647</v>
      </c>
      <c r="B152" s="2253" t="s">
        <v>1014</v>
      </c>
      <c r="C152" s="1849" t="s">
        <v>1014</v>
      </c>
      <c r="D152" s="2253">
        <v>0.93799999999999994</v>
      </c>
      <c r="E152" s="1849" t="s">
        <v>2063</v>
      </c>
      <c r="F152" s="2292" t="s">
        <v>1014</v>
      </c>
      <c r="G152" s="2293" t="s">
        <v>1014</v>
      </c>
      <c r="H152" s="2299">
        <v>0.05</v>
      </c>
      <c r="I152" s="2295" t="s">
        <v>1014</v>
      </c>
      <c r="J152" s="2293" t="s">
        <v>1014</v>
      </c>
      <c r="K152" s="2296">
        <v>0.442</v>
      </c>
      <c r="L152" s="2293" t="s">
        <v>2064</v>
      </c>
      <c r="M152" s="2296">
        <v>5.0000000000000001E-3</v>
      </c>
      <c r="N152" s="2293" t="s">
        <v>2065</v>
      </c>
      <c r="O152" s="2298">
        <v>0.152</v>
      </c>
    </row>
    <row r="153" spans="1:15" s="1" customFormat="1" ht="18" hidden="1" customHeight="1" x14ac:dyDescent="0.25">
      <c r="A153" s="2291">
        <v>43678</v>
      </c>
      <c r="B153" s="2253" t="s">
        <v>1014</v>
      </c>
      <c r="C153" s="1849" t="s">
        <v>1014</v>
      </c>
      <c r="D153" s="2253">
        <v>0.55600000000000005</v>
      </c>
      <c r="E153" s="1849" t="s">
        <v>2066</v>
      </c>
      <c r="F153" s="2292" t="s">
        <v>1014</v>
      </c>
      <c r="G153" s="2293" t="s">
        <v>1014</v>
      </c>
      <c r="H153" s="2299">
        <v>3.4000000000000002E-2</v>
      </c>
      <c r="I153" s="2295" t="s">
        <v>1014</v>
      </c>
      <c r="J153" s="2293" t="s">
        <v>1014</v>
      </c>
      <c r="K153" s="2296">
        <v>9.6059999999999999</v>
      </c>
      <c r="L153" s="2293" t="s">
        <v>2067</v>
      </c>
      <c r="M153" s="2296" t="s">
        <v>1014</v>
      </c>
      <c r="N153" s="2293" t="s">
        <v>1014</v>
      </c>
      <c r="O153" s="2298">
        <v>0.38200000000000001</v>
      </c>
    </row>
    <row r="154" spans="1:15" s="1" customFormat="1" ht="18" hidden="1" customHeight="1" x14ac:dyDescent="0.25">
      <c r="A154" s="2291">
        <v>43709</v>
      </c>
      <c r="B154" s="2253" t="s">
        <v>1014</v>
      </c>
      <c r="C154" s="1849" t="s">
        <v>1014</v>
      </c>
      <c r="D154" s="2253">
        <v>1.9530000000000001</v>
      </c>
      <c r="E154" s="1849" t="s">
        <v>2068</v>
      </c>
      <c r="F154" s="2292" t="s">
        <v>1014</v>
      </c>
      <c r="G154" s="2293" t="s">
        <v>1014</v>
      </c>
      <c r="H154" s="2299">
        <v>0.38600000000000001</v>
      </c>
      <c r="I154" s="2295" t="s">
        <v>1014</v>
      </c>
      <c r="J154" s="2293" t="s">
        <v>1014</v>
      </c>
      <c r="K154" s="2296">
        <v>22.109511999999999</v>
      </c>
      <c r="L154" s="2293" t="s">
        <v>2069</v>
      </c>
      <c r="M154" s="2296" t="s">
        <v>1014</v>
      </c>
      <c r="N154" s="2293" t="s">
        <v>1014</v>
      </c>
      <c r="O154" s="2298">
        <v>1.996</v>
      </c>
    </row>
    <row r="155" spans="1:15" s="1" customFormat="1" ht="18" hidden="1" customHeight="1" x14ac:dyDescent="0.25">
      <c r="A155" s="2291">
        <v>43739</v>
      </c>
      <c r="B155" s="2253">
        <v>49.070974</v>
      </c>
      <c r="C155" s="1849">
        <v>36.03</v>
      </c>
      <c r="D155" s="2253">
        <v>1.357815</v>
      </c>
      <c r="E155" s="1849" t="s">
        <v>2070</v>
      </c>
      <c r="F155" s="2292" t="s">
        <v>1014</v>
      </c>
      <c r="G155" s="2293" t="s">
        <v>1014</v>
      </c>
      <c r="H155" s="2299">
        <v>8.0500000000000002E-2</v>
      </c>
      <c r="I155" s="2295" t="s">
        <v>1014</v>
      </c>
      <c r="J155" s="2293" t="s">
        <v>1014</v>
      </c>
      <c r="K155" s="2296">
        <v>2.7803749999999998</v>
      </c>
      <c r="L155" s="2293" t="s">
        <v>2071</v>
      </c>
      <c r="M155" s="2296" t="s">
        <v>1014</v>
      </c>
      <c r="N155" s="2293" t="s">
        <v>1014</v>
      </c>
      <c r="O155" s="2298">
        <v>0.20599999999999999</v>
      </c>
    </row>
    <row r="156" spans="1:15" s="1" customFormat="1" ht="18" hidden="1" customHeight="1" x14ac:dyDescent="0.25">
      <c r="A156" s="2291">
        <v>43770</v>
      </c>
      <c r="B156" s="2253">
        <v>15.038</v>
      </c>
      <c r="C156" s="1849">
        <v>36.44</v>
      </c>
      <c r="D156" s="2253">
        <v>0.99079099999999998</v>
      </c>
      <c r="E156" s="1849" t="s">
        <v>2072</v>
      </c>
      <c r="F156" s="2292" t="s">
        <v>1014</v>
      </c>
      <c r="G156" s="2293" t="s">
        <v>1014</v>
      </c>
      <c r="H156" s="2299">
        <v>5.9999999999999995E-4</v>
      </c>
      <c r="I156" s="2295" t="s">
        <v>1014</v>
      </c>
      <c r="J156" s="2293" t="s">
        <v>1014</v>
      </c>
      <c r="K156" s="2296">
        <v>4.1235999999999997</v>
      </c>
      <c r="L156" s="2293" t="s">
        <v>2073</v>
      </c>
      <c r="M156" s="2296" t="s">
        <v>1014</v>
      </c>
      <c r="N156" s="2293" t="s">
        <v>1014</v>
      </c>
      <c r="O156" s="2298">
        <v>1.7999999999999999E-2</v>
      </c>
    </row>
    <row r="157" spans="1:15" s="1" customFormat="1" ht="18" hidden="1" customHeight="1" x14ac:dyDescent="0.25">
      <c r="A157" s="2291">
        <v>43800</v>
      </c>
      <c r="B157" s="2253" t="s">
        <v>1014</v>
      </c>
      <c r="C157" s="1849" t="s">
        <v>1014</v>
      </c>
      <c r="D157" s="2253">
        <v>7.5060000000000002</v>
      </c>
      <c r="E157" s="1849" t="s">
        <v>2074</v>
      </c>
      <c r="F157" s="2292" t="s">
        <v>1014</v>
      </c>
      <c r="G157" s="2293" t="s">
        <v>1014</v>
      </c>
      <c r="H157" s="2299">
        <v>0.41899999999999998</v>
      </c>
      <c r="I157" s="2295" t="s">
        <v>1014</v>
      </c>
      <c r="J157" s="2293" t="s">
        <v>1014</v>
      </c>
      <c r="K157" s="2296">
        <v>6.2709999999999999</v>
      </c>
      <c r="L157" s="2293" t="s">
        <v>2075</v>
      </c>
      <c r="M157" s="2296">
        <v>0.191</v>
      </c>
      <c r="N157" s="2293" t="s">
        <v>2076</v>
      </c>
      <c r="O157" s="2298">
        <v>0.23400000000000001</v>
      </c>
    </row>
    <row r="158" spans="1:15" s="1" customFormat="1" ht="18" hidden="1" customHeight="1" x14ac:dyDescent="0.25">
      <c r="A158" s="2291">
        <v>43831</v>
      </c>
      <c r="B158" s="2253" t="s">
        <v>1014</v>
      </c>
      <c r="C158" s="1849" t="s">
        <v>1014</v>
      </c>
      <c r="D158" s="2253">
        <v>0.71534399999999998</v>
      </c>
      <c r="E158" s="1849" t="s">
        <v>2077</v>
      </c>
      <c r="F158" s="2292" t="s">
        <v>1014</v>
      </c>
      <c r="G158" s="2293" t="s">
        <v>1014</v>
      </c>
      <c r="H158" s="2299">
        <v>3.2000000000000001E-2</v>
      </c>
      <c r="I158" s="2295">
        <v>124.73699999999999</v>
      </c>
      <c r="J158" s="2293" t="s">
        <v>2078</v>
      </c>
      <c r="K158" s="2296">
        <v>6.6797589999999998</v>
      </c>
      <c r="L158" s="2293" t="s">
        <v>2079</v>
      </c>
      <c r="M158" s="2296" t="s">
        <v>1014</v>
      </c>
      <c r="N158" s="2293" t="s">
        <v>1014</v>
      </c>
      <c r="O158" s="2298">
        <v>0.1055</v>
      </c>
    </row>
    <row r="159" spans="1:15" s="1" customFormat="1" ht="18" hidden="1" customHeight="1" x14ac:dyDescent="0.25">
      <c r="A159" s="2291">
        <v>43862</v>
      </c>
      <c r="B159" s="2253">
        <v>7.8323989999999997</v>
      </c>
      <c r="C159" s="1849">
        <v>37.36</v>
      </c>
      <c r="D159" s="2253">
        <v>0.29888900000000002</v>
      </c>
      <c r="E159" s="1849" t="s">
        <v>2080</v>
      </c>
      <c r="F159" s="2292" t="s">
        <v>1014</v>
      </c>
      <c r="G159" s="2293" t="s">
        <v>1014</v>
      </c>
      <c r="H159" s="2299">
        <v>1.5299999999999999E-2</v>
      </c>
      <c r="I159" s="2295">
        <v>6.2573449999999999</v>
      </c>
      <c r="J159" s="2293" t="s">
        <v>2081</v>
      </c>
      <c r="K159" s="2296">
        <v>0.69825599999999999</v>
      </c>
      <c r="L159" s="2293" t="s">
        <v>2082</v>
      </c>
      <c r="M159" s="2296">
        <v>0.71540899999999996</v>
      </c>
      <c r="N159" s="2293" t="s">
        <v>2083</v>
      </c>
      <c r="O159" s="2298">
        <v>1.4E-2</v>
      </c>
    </row>
    <row r="160" spans="1:15" s="1" customFormat="1" ht="18" hidden="1" customHeight="1" x14ac:dyDescent="0.25">
      <c r="A160" s="2291">
        <v>43891</v>
      </c>
      <c r="B160" s="2253" t="s">
        <v>1014</v>
      </c>
      <c r="C160" s="1849" t="s">
        <v>1014</v>
      </c>
      <c r="D160" s="2253">
        <v>1.6689000000000001</v>
      </c>
      <c r="E160" s="1849" t="s">
        <v>2084</v>
      </c>
      <c r="F160" s="2292" t="s">
        <v>1014</v>
      </c>
      <c r="G160" s="2293" t="s">
        <v>1014</v>
      </c>
      <c r="H160" s="2299">
        <v>3.7999999999999999E-2</v>
      </c>
      <c r="I160" s="2295">
        <v>19.608000000000001</v>
      </c>
      <c r="J160" s="2293" t="s">
        <v>2085</v>
      </c>
      <c r="K160" s="2296">
        <v>11.872999999999999</v>
      </c>
      <c r="L160" s="2293" t="s">
        <v>2086</v>
      </c>
      <c r="M160" s="2296">
        <v>0.03</v>
      </c>
      <c r="N160" s="2293">
        <v>48.78</v>
      </c>
      <c r="O160" s="2298">
        <v>0.33900000000000002</v>
      </c>
    </row>
    <row r="161" spans="1:15" s="1" customFormat="1" ht="18" hidden="1" customHeight="1" x14ac:dyDescent="0.25">
      <c r="A161" s="2291">
        <v>43922</v>
      </c>
      <c r="B161" s="2253" t="s">
        <v>1014</v>
      </c>
      <c r="C161" s="1849" t="s">
        <v>1014</v>
      </c>
      <c r="D161" s="2253">
        <v>1.927</v>
      </c>
      <c r="E161" s="1849" t="s">
        <v>2087</v>
      </c>
      <c r="F161" s="2292" t="s">
        <v>1014</v>
      </c>
      <c r="G161" s="2293" t="s">
        <v>1014</v>
      </c>
      <c r="H161" s="2299">
        <v>2.4E-2</v>
      </c>
      <c r="I161" s="2295">
        <v>25</v>
      </c>
      <c r="J161" s="2293" t="s">
        <v>2088</v>
      </c>
      <c r="K161" s="2296">
        <v>1.288</v>
      </c>
      <c r="L161" s="2293" t="s">
        <v>2089</v>
      </c>
      <c r="M161" s="2296">
        <v>0.58299999999999996</v>
      </c>
      <c r="N161" s="2293" t="s">
        <v>2090</v>
      </c>
      <c r="O161" s="2298">
        <v>0.248</v>
      </c>
    </row>
    <row r="162" spans="1:15" s="1" customFormat="1" ht="18" hidden="1" customHeight="1" x14ac:dyDescent="0.25">
      <c r="A162" s="2291">
        <v>43952</v>
      </c>
      <c r="B162" s="2253" t="s">
        <v>1014</v>
      </c>
      <c r="C162" s="1849" t="s">
        <v>1014</v>
      </c>
      <c r="D162" s="2253">
        <v>0.41899999999999998</v>
      </c>
      <c r="E162" s="1849" t="s">
        <v>2091</v>
      </c>
      <c r="F162" s="2292" t="s">
        <v>1014</v>
      </c>
      <c r="G162" s="2293" t="s">
        <v>1014</v>
      </c>
      <c r="H162" s="2299">
        <v>2E-3</v>
      </c>
      <c r="I162" s="2295">
        <v>22.2</v>
      </c>
      <c r="J162" s="2293" t="s">
        <v>2092</v>
      </c>
      <c r="K162" s="2296">
        <v>4.2649999999999997</v>
      </c>
      <c r="L162" s="2293" t="s">
        <v>2093</v>
      </c>
      <c r="M162" s="2296">
        <v>0.1</v>
      </c>
      <c r="N162" s="2293" t="s">
        <v>2094</v>
      </c>
      <c r="O162" s="2298">
        <v>8.6999999999999994E-2</v>
      </c>
    </row>
    <row r="163" spans="1:15" s="1" customFormat="1" ht="18" hidden="1" customHeight="1" x14ac:dyDescent="0.25">
      <c r="A163" s="2291">
        <v>43983</v>
      </c>
      <c r="B163" s="2253" t="s">
        <v>1014</v>
      </c>
      <c r="C163" s="1849" t="s">
        <v>1014</v>
      </c>
      <c r="D163" s="2253">
        <v>197.34200000000001</v>
      </c>
      <c r="E163" s="1849" t="s">
        <v>2095</v>
      </c>
      <c r="F163" s="2292" t="s">
        <v>1014</v>
      </c>
      <c r="G163" s="2293" t="s">
        <v>1014</v>
      </c>
      <c r="H163" s="2299">
        <v>0.66100000000000003</v>
      </c>
      <c r="I163" s="2295">
        <v>18.832999999999998</v>
      </c>
      <c r="J163" s="2293" t="s">
        <v>2096</v>
      </c>
      <c r="K163" s="2296">
        <v>8.0030000000000001</v>
      </c>
      <c r="L163" s="2293" t="s">
        <v>2097</v>
      </c>
      <c r="M163" s="2296">
        <v>1.1930000000000001</v>
      </c>
      <c r="N163" s="2293" t="s">
        <v>2098</v>
      </c>
      <c r="O163" s="2298">
        <v>0.05</v>
      </c>
    </row>
    <row r="164" spans="1:15" s="1" customFormat="1" ht="18" hidden="1" customHeight="1" x14ac:dyDescent="0.25">
      <c r="A164" s="2291">
        <v>44013</v>
      </c>
      <c r="B164" s="2253" t="s">
        <v>1014</v>
      </c>
      <c r="C164" s="1849" t="s">
        <v>1014</v>
      </c>
      <c r="D164" s="2253">
        <v>300.98700000000002</v>
      </c>
      <c r="E164" s="1849" t="s">
        <v>2099</v>
      </c>
      <c r="F164" s="2292" t="s">
        <v>1014</v>
      </c>
      <c r="G164" s="2293" t="s">
        <v>1014</v>
      </c>
      <c r="H164" s="2299" t="s">
        <v>1014</v>
      </c>
      <c r="I164" s="2295">
        <v>11.137</v>
      </c>
      <c r="J164" s="2293" t="s">
        <v>2100</v>
      </c>
      <c r="K164" s="2296">
        <v>6.0090000000000003</v>
      </c>
      <c r="L164" s="2293" t="s">
        <v>2101</v>
      </c>
      <c r="M164" s="2296" t="s">
        <v>1014</v>
      </c>
      <c r="N164" s="2293" t="s">
        <v>1014</v>
      </c>
      <c r="O164" s="2298">
        <v>0.14799999999999999</v>
      </c>
    </row>
    <row r="165" spans="1:15" s="1" customFormat="1" ht="18" hidden="1" customHeight="1" x14ac:dyDescent="0.25">
      <c r="A165" s="2291">
        <v>44044</v>
      </c>
      <c r="B165" s="2253" t="s">
        <v>1014</v>
      </c>
      <c r="C165" s="1849" t="s">
        <v>1014</v>
      </c>
      <c r="D165" s="2253">
        <v>1.1830000000000001</v>
      </c>
      <c r="E165" s="1849" t="s">
        <v>2102</v>
      </c>
      <c r="F165" s="2292" t="s">
        <v>1014</v>
      </c>
      <c r="G165" s="2293" t="s">
        <v>1014</v>
      </c>
      <c r="H165" s="2299">
        <v>0.02</v>
      </c>
      <c r="I165" s="2295">
        <v>21.945</v>
      </c>
      <c r="J165" s="2293" t="s">
        <v>2103</v>
      </c>
      <c r="K165" s="2296">
        <v>1.2909999999999999</v>
      </c>
      <c r="L165" s="2293" t="s">
        <v>2104</v>
      </c>
      <c r="M165" s="2296" t="s">
        <v>1014</v>
      </c>
      <c r="N165" s="2293" t="s">
        <v>1014</v>
      </c>
      <c r="O165" s="2298">
        <v>0.09</v>
      </c>
    </row>
    <row r="166" spans="1:15" s="1" customFormat="1" ht="18.75" hidden="1" customHeight="1" x14ac:dyDescent="0.25">
      <c r="A166" s="2291">
        <v>44075</v>
      </c>
      <c r="B166" s="2253" t="s">
        <v>1014</v>
      </c>
      <c r="C166" s="1849" t="s">
        <v>1014</v>
      </c>
      <c r="D166" s="2253">
        <v>2.7419600000000002</v>
      </c>
      <c r="E166" s="1849" t="s">
        <v>2105</v>
      </c>
      <c r="F166" s="2292" t="s">
        <v>1014</v>
      </c>
      <c r="G166" s="2293" t="s">
        <v>1014</v>
      </c>
      <c r="H166" s="2299">
        <v>0.222</v>
      </c>
      <c r="I166" s="2295">
        <v>26.196000000000002</v>
      </c>
      <c r="J166" s="2293" t="s">
        <v>2106</v>
      </c>
      <c r="K166" s="2296">
        <v>12.595000000000001</v>
      </c>
      <c r="L166" s="2293" t="s">
        <v>2107</v>
      </c>
      <c r="M166" s="2296" t="s">
        <v>1014</v>
      </c>
      <c r="N166" s="2293" t="s">
        <v>1014</v>
      </c>
      <c r="O166" s="2298">
        <v>5.8000000000000003E-2</v>
      </c>
    </row>
    <row r="167" spans="1:15" s="1" customFormat="1" ht="18.75" hidden="1" customHeight="1" x14ac:dyDescent="0.25">
      <c r="A167" s="2291">
        <v>44105</v>
      </c>
      <c r="B167" s="2253" t="s">
        <v>1014</v>
      </c>
      <c r="C167" s="1849" t="s">
        <v>1014</v>
      </c>
      <c r="D167" s="2253">
        <v>0.248</v>
      </c>
      <c r="E167" s="1849" t="s">
        <v>2108</v>
      </c>
      <c r="F167" s="2292" t="s">
        <v>1014</v>
      </c>
      <c r="G167" s="2293" t="s">
        <v>1014</v>
      </c>
      <c r="H167" s="2299">
        <v>5.8999999999999997E-2</v>
      </c>
      <c r="I167" s="2295">
        <v>19.094999999999999</v>
      </c>
      <c r="J167" s="2293" t="s">
        <v>2109</v>
      </c>
      <c r="K167" s="2296">
        <v>0.97299999999999998</v>
      </c>
      <c r="L167" s="2293" t="s">
        <v>2110</v>
      </c>
      <c r="M167" s="2296" t="s">
        <v>1014</v>
      </c>
      <c r="N167" s="2293" t="s">
        <v>1014</v>
      </c>
      <c r="O167" s="2298">
        <v>3.6999999999999998E-2</v>
      </c>
    </row>
    <row r="168" spans="1:15" s="1" customFormat="1" ht="18.75" hidden="1" customHeight="1" x14ac:dyDescent="0.25">
      <c r="A168" s="2291">
        <v>44136</v>
      </c>
      <c r="B168" s="2253" t="s">
        <v>1014</v>
      </c>
      <c r="C168" s="1849" t="s">
        <v>1014</v>
      </c>
      <c r="D168" s="2253">
        <v>0.79300000000000004</v>
      </c>
      <c r="E168" s="1849" t="s">
        <v>2111</v>
      </c>
      <c r="F168" s="2292" t="s">
        <v>1014</v>
      </c>
      <c r="G168" s="2293" t="s">
        <v>1014</v>
      </c>
      <c r="H168" s="2299">
        <v>6.0000000000000001E-3</v>
      </c>
      <c r="I168" s="2295">
        <v>21.260999999999999</v>
      </c>
      <c r="J168" s="2293" t="s">
        <v>2112</v>
      </c>
      <c r="K168" s="2296">
        <v>4.0919999999999996</v>
      </c>
      <c r="L168" s="2293" t="s">
        <v>2113</v>
      </c>
      <c r="M168" s="2296" t="s">
        <v>1014</v>
      </c>
      <c r="N168" s="2293" t="s">
        <v>1014</v>
      </c>
      <c r="O168" s="2298">
        <v>0.23599999999999999</v>
      </c>
    </row>
    <row r="169" spans="1:15" s="1" customFormat="1" ht="18.75" hidden="1" customHeight="1" x14ac:dyDescent="0.25">
      <c r="A169" s="2291">
        <v>44166</v>
      </c>
      <c r="B169" s="2253" t="s">
        <v>1014</v>
      </c>
      <c r="C169" s="1849" t="s">
        <v>1014</v>
      </c>
      <c r="D169" s="2253">
        <v>6.8250000000000002</v>
      </c>
      <c r="E169" s="1849" t="s">
        <v>2114</v>
      </c>
      <c r="F169" s="2292" t="s">
        <v>1014</v>
      </c>
      <c r="G169" s="2293" t="s">
        <v>1014</v>
      </c>
      <c r="H169" s="2299">
        <v>0.157</v>
      </c>
      <c r="I169" s="2295">
        <v>20.010000000000002</v>
      </c>
      <c r="J169" s="2293" t="s">
        <v>2115</v>
      </c>
      <c r="K169" s="2296">
        <v>6.4109999999999996</v>
      </c>
      <c r="L169" s="2293" t="s">
        <v>2116</v>
      </c>
      <c r="M169" s="2296">
        <v>0.995</v>
      </c>
      <c r="N169" s="2293" t="s">
        <v>2117</v>
      </c>
      <c r="O169" s="2298">
        <v>5.7000000000000002E-2</v>
      </c>
    </row>
    <row r="170" spans="1:15" s="1" customFormat="1" ht="18.75" hidden="1" customHeight="1" x14ac:dyDescent="0.25">
      <c r="A170" s="2291">
        <v>44197</v>
      </c>
      <c r="B170" s="2253" t="s">
        <v>1014</v>
      </c>
      <c r="C170" s="1849" t="s">
        <v>1014</v>
      </c>
      <c r="D170" s="2253">
        <v>0.20699999999999999</v>
      </c>
      <c r="E170" s="1849" t="s">
        <v>2118</v>
      </c>
      <c r="F170" s="2292" t="s">
        <v>1014</v>
      </c>
      <c r="G170" s="2293" t="s">
        <v>1014</v>
      </c>
      <c r="H170" s="2299">
        <v>3.0700000000000002E-2</v>
      </c>
      <c r="I170" s="2295">
        <v>24.558</v>
      </c>
      <c r="J170" s="2293" t="s">
        <v>2119</v>
      </c>
      <c r="K170" s="2296">
        <v>7.4130000000000003</v>
      </c>
      <c r="L170" s="2293" t="s">
        <v>2120</v>
      </c>
      <c r="M170" s="2296" t="s">
        <v>1014</v>
      </c>
      <c r="N170" s="2293" t="s">
        <v>1014</v>
      </c>
      <c r="O170" s="2298">
        <v>0.05</v>
      </c>
    </row>
    <row r="171" spans="1:15" s="1" customFormat="1" ht="18.75" hidden="1" customHeight="1" x14ac:dyDescent="0.25">
      <c r="A171" s="2291">
        <v>44228</v>
      </c>
      <c r="B171" s="2253" t="s">
        <v>1014</v>
      </c>
      <c r="C171" s="1849" t="s">
        <v>1014</v>
      </c>
      <c r="D171" s="2253">
        <v>0.251133</v>
      </c>
      <c r="E171" s="1849" t="s">
        <v>2121</v>
      </c>
      <c r="F171" s="2292" t="s">
        <v>1014</v>
      </c>
      <c r="G171" s="2293" t="s">
        <v>1014</v>
      </c>
      <c r="H171" s="2299">
        <v>1E-4</v>
      </c>
      <c r="I171" s="2295">
        <v>10.016999999999999</v>
      </c>
      <c r="J171" s="2293" t="s">
        <v>2122</v>
      </c>
      <c r="K171" s="2296">
        <v>0.52541099999999996</v>
      </c>
      <c r="L171" s="2293" t="s">
        <v>2123</v>
      </c>
      <c r="M171" s="2296">
        <v>0.76783900000000005</v>
      </c>
      <c r="N171" s="2293" t="s">
        <v>2124</v>
      </c>
      <c r="O171" s="2298">
        <v>0.14199999999999999</v>
      </c>
    </row>
    <row r="172" spans="1:15" s="1" customFormat="1" ht="18.75" hidden="1" customHeight="1" x14ac:dyDescent="0.25">
      <c r="A172" s="2291">
        <v>44256</v>
      </c>
      <c r="B172" s="2253" t="s">
        <v>1014</v>
      </c>
      <c r="C172" s="1849" t="s">
        <v>1014</v>
      </c>
      <c r="D172" s="2253">
        <v>0.23300000000000001</v>
      </c>
      <c r="E172" s="1849" t="s">
        <v>2125</v>
      </c>
      <c r="F172" s="2292" t="s">
        <v>1014</v>
      </c>
      <c r="G172" s="2293" t="s">
        <v>1014</v>
      </c>
      <c r="H172" s="2299">
        <v>270.80799999999999</v>
      </c>
      <c r="I172" s="2295">
        <v>28.193000000000001</v>
      </c>
      <c r="J172" s="2293" t="s">
        <v>2126</v>
      </c>
      <c r="K172" s="2296">
        <v>11.134</v>
      </c>
      <c r="L172" s="2293" t="s">
        <v>2127</v>
      </c>
      <c r="M172" s="2296">
        <v>0.14299999999999999</v>
      </c>
      <c r="N172" s="2293" t="s">
        <v>2128</v>
      </c>
      <c r="O172" s="2298">
        <v>1.631</v>
      </c>
    </row>
    <row r="173" spans="1:15" s="1" customFormat="1" ht="18.75" hidden="1" customHeight="1" x14ac:dyDescent="0.25">
      <c r="A173" s="2291">
        <v>44287</v>
      </c>
      <c r="B173" s="2253" t="s">
        <v>1014</v>
      </c>
      <c r="C173" s="1849" t="s">
        <v>1014</v>
      </c>
      <c r="D173" s="2253">
        <v>1.0980000000000001</v>
      </c>
      <c r="E173" s="1849" t="s">
        <v>2129</v>
      </c>
      <c r="F173" s="2292" t="s">
        <v>1014</v>
      </c>
      <c r="G173" s="2293" t="s">
        <v>1014</v>
      </c>
      <c r="H173" s="2299">
        <v>3.3000000000000002E-2</v>
      </c>
      <c r="I173" s="2295">
        <v>3.8180000000000001</v>
      </c>
      <c r="J173" s="2293" t="s">
        <v>2130</v>
      </c>
      <c r="K173" s="2296">
        <v>1.6839999999999999</v>
      </c>
      <c r="L173" s="2293" t="s">
        <v>2131</v>
      </c>
      <c r="M173" s="2296">
        <v>9.1999999999999998E-2</v>
      </c>
      <c r="N173" s="2293">
        <v>57.25</v>
      </c>
      <c r="O173" s="2298">
        <v>0.307</v>
      </c>
    </row>
    <row r="174" spans="1:15" s="1" customFormat="1" ht="18.75" hidden="1" customHeight="1" x14ac:dyDescent="0.25">
      <c r="A174" s="2291">
        <v>44317</v>
      </c>
      <c r="B174" s="2253" t="s">
        <v>1014</v>
      </c>
      <c r="C174" s="1849" t="s">
        <v>1014</v>
      </c>
      <c r="D174" s="2253">
        <v>0.2964</v>
      </c>
      <c r="E174" s="1849" t="s">
        <v>2132</v>
      </c>
      <c r="F174" s="2292" t="s">
        <v>1014</v>
      </c>
      <c r="G174" s="2293" t="s">
        <v>1014</v>
      </c>
      <c r="H174" s="2299">
        <v>7.0000000000000001E-3</v>
      </c>
      <c r="I174" s="2295">
        <v>32</v>
      </c>
      <c r="J174" s="2293" t="s">
        <v>2133</v>
      </c>
      <c r="K174" s="2296">
        <v>6.7145000000000001</v>
      </c>
      <c r="L174" s="2293" t="s">
        <v>2134</v>
      </c>
      <c r="M174" s="2296">
        <v>0.35846</v>
      </c>
      <c r="N174" s="2293" t="s">
        <v>2135</v>
      </c>
      <c r="O174" s="2298">
        <v>0.35499999999999998</v>
      </c>
    </row>
    <row r="175" spans="1:15" s="1" customFormat="1" ht="18.75" hidden="1" customHeight="1" x14ac:dyDescent="0.25">
      <c r="A175" s="2291">
        <v>44348</v>
      </c>
      <c r="B175" s="2253" t="s">
        <v>1014</v>
      </c>
      <c r="C175" s="1849" t="s">
        <v>1014</v>
      </c>
      <c r="D175" s="2253">
        <v>8.0090000000000003</v>
      </c>
      <c r="E175" s="1849" t="s">
        <v>2136</v>
      </c>
      <c r="F175" s="2292" t="s">
        <v>1014</v>
      </c>
      <c r="G175" s="2293" t="s">
        <v>1014</v>
      </c>
      <c r="H175" s="2299">
        <v>0.6</v>
      </c>
      <c r="I175" s="2295">
        <v>185.49299999999999</v>
      </c>
      <c r="J175" s="2293" t="s">
        <v>2137</v>
      </c>
      <c r="K175" s="2296">
        <v>11.778</v>
      </c>
      <c r="L175" s="2293" t="s">
        <v>2138</v>
      </c>
      <c r="M175" s="2296">
        <v>1.17</v>
      </c>
      <c r="N175" s="2293" t="s">
        <v>2139</v>
      </c>
      <c r="O175" s="2298">
        <v>0.189</v>
      </c>
    </row>
    <row r="176" spans="1:15" s="1" customFormat="1" ht="18.75" hidden="1" customHeight="1" x14ac:dyDescent="0.25">
      <c r="A176" s="2291">
        <v>44378</v>
      </c>
      <c r="B176" s="2253" t="s">
        <v>1014</v>
      </c>
      <c r="C176" s="1849" t="s">
        <v>1014</v>
      </c>
      <c r="D176" s="2253">
        <v>1.1599999999999999</v>
      </c>
      <c r="E176" s="1849" t="s">
        <v>2140</v>
      </c>
      <c r="F176" s="2292" t="s">
        <v>1014</v>
      </c>
      <c r="G176" s="2293" t="s">
        <v>1014</v>
      </c>
      <c r="H176" s="2299" t="s">
        <v>1014</v>
      </c>
      <c r="I176" s="2295">
        <v>1</v>
      </c>
      <c r="J176" s="2293">
        <v>43.23</v>
      </c>
      <c r="K176" s="2296">
        <v>7.468</v>
      </c>
      <c r="L176" s="2293" t="s">
        <v>2141</v>
      </c>
      <c r="M176" s="2296" t="s">
        <v>1014</v>
      </c>
      <c r="N176" s="2293" t="s">
        <v>1014</v>
      </c>
      <c r="O176" s="2298">
        <v>0.44800000000000001</v>
      </c>
    </row>
    <row r="177" spans="1:15" s="1" customFormat="1" ht="18.75" hidden="1" customHeight="1" x14ac:dyDescent="0.25">
      <c r="A177" s="2291">
        <v>44409</v>
      </c>
      <c r="B177" s="2253" t="s">
        <v>1014</v>
      </c>
      <c r="C177" s="1849" t="s">
        <v>1014</v>
      </c>
      <c r="D177" s="2253">
        <v>0.61130200000000001</v>
      </c>
      <c r="E177" s="1849" t="s">
        <v>2142</v>
      </c>
      <c r="F177" s="2292" t="s">
        <v>1014</v>
      </c>
      <c r="G177" s="2293" t="s">
        <v>1014</v>
      </c>
      <c r="H177" s="2299">
        <v>4.0000000000000001E-3</v>
      </c>
      <c r="I177" s="2295">
        <v>14.474</v>
      </c>
      <c r="J177" s="2293" t="s">
        <v>2143</v>
      </c>
      <c r="K177" s="2296">
        <v>0.53754900000000005</v>
      </c>
      <c r="L177" s="2293" t="s">
        <v>2144</v>
      </c>
      <c r="M177" s="2296" t="s">
        <v>1014</v>
      </c>
      <c r="N177" s="2293" t="s">
        <v>1014</v>
      </c>
      <c r="O177" s="2298">
        <v>7.0999999999999994E-2</v>
      </c>
    </row>
    <row r="178" spans="1:15" s="1" customFormat="1" ht="18.75" hidden="1" customHeight="1" x14ac:dyDescent="0.25">
      <c r="A178" s="2291">
        <v>44440</v>
      </c>
      <c r="B178" s="2253" t="s">
        <v>1014</v>
      </c>
      <c r="C178" s="1849" t="s">
        <v>1014</v>
      </c>
      <c r="D178" s="2253">
        <v>2.536</v>
      </c>
      <c r="E178" s="1849" t="s">
        <v>2145</v>
      </c>
      <c r="F178" s="2292" t="s">
        <v>1014</v>
      </c>
      <c r="G178" s="2293" t="s">
        <v>1014</v>
      </c>
      <c r="H178" s="2299">
        <v>0.52300000000000002</v>
      </c>
      <c r="I178" s="2295">
        <v>43.218000000000004</v>
      </c>
      <c r="J178" s="2293" t="s">
        <v>2146</v>
      </c>
      <c r="K178" s="2296">
        <v>11.393000000000001</v>
      </c>
      <c r="L178" s="2293" t="s">
        <v>2147</v>
      </c>
      <c r="M178" s="2296" t="s">
        <v>1014</v>
      </c>
      <c r="N178" s="2293" t="s">
        <v>1014</v>
      </c>
      <c r="O178" s="2298">
        <v>8.1000000000000003E-2</v>
      </c>
    </row>
    <row r="179" spans="1:15" s="1" customFormat="1" ht="18.75" hidden="1" customHeight="1" x14ac:dyDescent="0.25">
      <c r="A179" s="2291">
        <v>44470</v>
      </c>
      <c r="B179" s="2253" t="s">
        <v>1014</v>
      </c>
      <c r="C179" s="1849" t="s">
        <v>1014</v>
      </c>
      <c r="D179" s="2253">
        <v>0.73922699999999997</v>
      </c>
      <c r="E179" s="1849" t="s">
        <v>2148</v>
      </c>
      <c r="F179" s="2292" t="s">
        <v>1014</v>
      </c>
      <c r="G179" s="2293" t="s">
        <v>1014</v>
      </c>
      <c r="H179" s="2299">
        <v>2.5999999999999999E-2</v>
      </c>
      <c r="I179" s="2295">
        <v>116.967</v>
      </c>
      <c r="J179" s="2293" t="s">
        <v>2149</v>
      </c>
      <c r="K179" s="2296">
        <v>1.421</v>
      </c>
      <c r="L179" s="2293" t="s">
        <v>2150</v>
      </c>
      <c r="M179" s="2296">
        <v>0.48599999999999999</v>
      </c>
      <c r="N179" s="2293">
        <v>59.59</v>
      </c>
      <c r="O179" s="2298">
        <v>4.3999999999999997E-2</v>
      </c>
    </row>
    <row r="180" spans="1:15" s="1" customFormat="1" ht="18.75" hidden="1" customHeight="1" x14ac:dyDescent="0.25">
      <c r="A180" s="2291">
        <v>44501</v>
      </c>
      <c r="B180" s="2253" t="s">
        <v>1014</v>
      </c>
      <c r="C180" s="1849" t="s">
        <v>1014</v>
      </c>
      <c r="D180" s="2253">
        <v>0.80669800000000003</v>
      </c>
      <c r="E180" s="1849" t="s">
        <v>2151</v>
      </c>
      <c r="F180" s="2292" t="s">
        <v>1014</v>
      </c>
      <c r="G180" s="2293" t="s">
        <v>1014</v>
      </c>
      <c r="H180" s="2299">
        <v>3.2500000000000001E-2</v>
      </c>
      <c r="I180" s="2295">
        <v>21.815000000000001</v>
      </c>
      <c r="J180" s="2293" t="s">
        <v>2152</v>
      </c>
      <c r="K180" s="2296">
        <v>5.4290000000000003</v>
      </c>
      <c r="L180" s="2293" t="s">
        <v>2153</v>
      </c>
      <c r="M180" s="2296">
        <v>0.48027300000000001</v>
      </c>
      <c r="N180" s="2293" t="s">
        <v>2154</v>
      </c>
      <c r="O180" s="2298">
        <v>3.5000000000000003E-2</v>
      </c>
    </row>
    <row r="181" spans="1:15" s="1" customFormat="1" ht="18.75" hidden="1" customHeight="1" x14ac:dyDescent="0.25">
      <c r="A181" s="2291">
        <v>44531</v>
      </c>
      <c r="B181" s="2253" t="s">
        <v>1014</v>
      </c>
      <c r="C181" s="1849" t="s">
        <v>1014</v>
      </c>
      <c r="D181" s="2253">
        <v>4.0255049999999999</v>
      </c>
      <c r="E181" s="1849" t="s">
        <v>2155</v>
      </c>
      <c r="F181" s="2292" t="s">
        <v>1014</v>
      </c>
      <c r="G181" s="2293" t="s">
        <v>1014</v>
      </c>
      <c r="H181" s="2299">
        <v>0.58499999999999996</v>
      </c>
      <c r="I181" s="2295">
        <v>47.578000000000003</v>
      </c>
      <c r="J181" s="2293" t="s">
        <v>2156</v>
      </c>
      <c r="K181" s="2296">
        <v>6.286689</v>
      </c>
      <c r="L181" s="2293" t="s">
        <v>2157</v>
      </c>
      <c r="M181" s="2296">
        <v>1.319</v>
      </c>
      <c r="N181" s="2293" t="s">
        <v>2158</v>
      </c>
      <c r="O181" s="2298">
        <v>5.5E-2</v>
      </c>
    </row>
    <row r="182" spans="1:15" s="1" customFormat="1" ht="19.5" hidden="1" customHeight="1" x14ac:dyDescent="0.25">
      <c r="A182" s="2291">
        <v>44562</v>
      </c>
      <c r="B182" s="2253" t="s">
        <v>1014</v>
      </c>
      <c r="C182" s="1849" t="s">
        <v>1014</v>
      </c>
      <c r="D182" s="2302">
        <v>0.30984400000000001</v>
      </c>
      <c r="E182" s="2303" t="s">
        <v>2159</v>
      </c>
      <c r="F182" s="2304" t="s">
        <v>1014</v>
      </c>
      <c r="G182" s="2305" t="s">
        <v>1014</v>
      </c>
      <c r="H182" s="2299" t="s">
        <v>1014</v>
      </c>
      <c r="I182" s="2295">
        <v>37.429000000000002</v>
      </c>
      <c r="J182" s="2293" t="s">
        <v>2160</v>
      </c>
      <c r="K182" s="2296">
        <v>8.3187610000000003</v>
      </c>
      <c r="L182" s="2293" t="s">
        <v>2161</v>
      </c>
      <c r="M182" s="2296">
        <v>9.5098000000000002E-2</v>
      </c>
      <c r="N182" s="2293" t="s">
        <v>2162</v>
      </c>
      <c r="O182" s="2298">
        <v>6.8000000000000005E-2</v>
      </c>
    </row>
    <row r="183" spans="1:15" s="1" customFormat="1" ht="19.5" hidden="1" customHeight="1" x14ac:dyDescent="0.25">
      <c r="A183" s="2291">
        <v>44593</v>
      </c>
      <c r="B183" s="2253" t="s">
        <v>1014</v>
      </c>
      <c r="C183" s="1849" t="s">
        <v>1014</v>
      </c>
      <c r="D183" s="2302">
        <v>0.60829200000000005</v>
      </c>
      <c r="E183" s="2303" t="s">
        <v>2163</v>
      </c>
      <c r="F183" s="2304" t="s">
        <v>1014</v>
      </c>
      <c r="G183" s="2305" t="s">
        <v>1014</v>
      </c>
      <c r="H183" s="2299">
        <v>8.9999999999999993E-3</v>
      </c>
      <c r="I183" s="2295">
        <v>36.493000000000002</v>
      </c>
      <c r="J183" s="2293" t="s">
        <v>2164</v>
      </c>
      <c r="K183" s="2296">
        <v>2.5539999999999998</v>
      </c>
      <c r="L183" s="2293" t="s">
        <v>2165</v>
      </c>
      <c r="M183" s="2296">
        <v>0.458152</v>
      </c>
      <c r="N183" s="2293">
        <v>59.842700000000001</v>
      </c>
      <c r="O183" s="2298">
        <v>8.4000000000000005E-2</v>
      </c>
    </row>
    <row r="184" spans="1:15" s="1" customFormat="1" ht="19.5" hidden="1" customHeight="1" x14ac:dyDescent="0.25">
      <c r="A184" s="2291">
        <v>44621</v>
      </c>
      <c r="B184" s="2253" t="s">
        <v>1014</v>
      </c>
      <c r="C184" s="1849" t="s">
        <v>1014</v>
      </c>
      <c r="D184" s="2302">
        <v>0.77823600000000004</v>
      </c>
      <c r="E184" s="2303" t="s">
        <v>2166</v>
      </c>
      <c r="F184" s="2304" t="s">
        <v>1014</v>
      </c>
      <c r="G184" s="2305" t="s">
        <v>1014</v>
      </c>
      <c r="H184" s="2299" t="s">
        <v>1014</v>
      </c>
      <c r="I184" s="2295">
        <v>41.067999999999998</v>
      </c>
      <c r="J184" s="2293" t="s">
        <v>2167</v>
      </c>
      <c r="K184" s="2296">
        <v>8.2710000000000008</v>
      </c>
      <c r="L184" s="2293" t="s">
        <v>2168</v>
      </c>
      <c r="M184" s="2296">
        <v>2.7060000000000001E-2</v>
      </c>
      <c r="N184" s="2293">
        <v>58.79</v>
      </c>
      <c r="O184" s="2298">
        <v>1.141</v>
      </c>
    </row>
    <row r="185" spans="1:15" s="1" customFormat="1" ht="19.5" hidden="1" customHeight="1" x14ac:dyDescent="0.25">
      <c r="A185" s="2291">
        <v>44652</v>
      </c>
      <c r="B185" s="2253">
        <v>110.5</v>
      </c>
      <c r="C185" s="1849" t="s">
        <v>2169</v>
      </c>
      <c r="D185" s="2302">
        <v>4.6539999999999999</v>
      </c>
      <c r="E185" s="2303" t="s">
        <v>2170</v>
      </c>
      <c r="F185" s="2304" t="s">
        <v>1014</v>
      </c>
      <c r="G185" s="2305" t="s">
        <v>1014</v>
      </c>
      <c r="H185" s="2299">
        <v>0.191</v>
      </c>
      <c r="I185" s="2295">
        <f>48.87+10</f>
        <v>58.87</v>
      </c>
      <c r="J185" s="2293" t="s">
        <v>2171</v>
      </c>
      <c r="K185" s="2296">
        <v>1.377</v>
      </c>
      <c r="L185" s="2293" t="s">
        <v>2172</v>
      </c>
      <c r="M185" s="2296">
        <v>0.70865999999999996</v>
      </c>
      <c r="N185" s="2293" t="s">
        <v>2173</v>
      </c>
      <c r="O185" s="2298">
        <v>0.154</v>
      </c>
    </row>
    <row r="186" spans="1:15" s="1" customFormat="1" ht="19.5" hidden="1" customHeight="1" x14ac:dyDescent="0.25">
      <c r="A186" s="2291">
        <v>44682</v>
      </c>
      <c r="B186" s="2253">
        <v>35</v>
      </c>
      <c r="C186" s="1849">
        <v>42.96</v>
      </c>
      <c r="D186" s="2302">
        <v>1.0920000000000001</v>
      </c>
      <c r="E186" s="2303" t="s">
        <v>2174</v>
      </c>
      <c r="F186" s="2304" t="s">
        <v>1014</v>
      </c>
      <c r="G186" s="2305" t="s">
        <v>1014</v>
      </c>
      <c r="H186" s="2299">
        <v>7.3800000000000003E-3</v>
      </c>
      <c r="I186" s="2295" t="s">
        <v>1014</v>
      </c>
      <c r="J186" s="2293" t="s">
        <v>1014</v>
      </c>
      <c r="K186" s="2296">
        <v>5.2889999999999997</v>
      </c>
      <c r="L186" s="2293" t="s">
        <v>2175</v>
      </c>
      <c r="M186" s="2296">
        <v>0.13200000000000001</v>
      </c>
      <c r="N186" s="2293" t="s">
        <v>2176</v>
      </c>
      <c r="O186" s="2298">
        <v>5.6000000000000001E-2</v>
      </c>
    </row>
    <row r="187" spans="1:15" s="1" customFormat="1" ht="19.5" hidden="1" customHeight="1" x14ac:dyDescent="0.25">
      <c r="A187" s="2291">
        <v>44713</v>
      </c>
      <c r="B187" s="2253">
        <v>52</v>
      </c>
      <c r="C187" s="1849" t="s">
        <v>2177</v>
      </c>
      <c r="D187" s="2302">
        <v>9.9920000000000009</v>
      </c>
      <c r="E187" s="2303" t="s">
        <v>2178</v>
      </c>
      <c r="F187" s="2304" t="s">
        <v>1014</v>
      </c>
      <c r="G187" s="2305" t="s">
        <v>1014</v>
      </c>
      <c r="H187" s="2299">
        <v>3.3860000000000001</v>
      </c>
      <c r="I187" s="2295">
        <v>24.45</v>
      </c>
      <c r="J187" s="2293" t="s">
        <v>2179</v>
      </c>
      <c r="K187" s="2296">
        <v>7.992</v>
      </c>
      <c r="L187" s="2293" t="s">
        <v>2180</v>
      </c>
      <c r="M187" s="2296">
        <v>1.0840000000000001</v>
      </c>
      <c r="N187" s="2293" t="s">
        <v>2181</v>
      </c>
      <c r="O187" s="2298">
        <v>5.6000000000000001E-2</v>
      </c>
    </row>
    <row r="188" spans="1:15" s="1" customFormat="1" ht="19.5" hidden="1" customHeight="1" x14ac:dyDescent="0.25">
      <c r="A188" s="2291">
        <v>44743</v>
      </c>
      <c r="B188" s="2253">
        <v>36</v>
      </c>
      <c r="C188" s="1849" t="s">
        <v>2182</v>
      </c>
      <c r="D188" s="2302">
        <v>1.4770000000000001</v>
      </c>
      <c r="E188" s="2303" t="s">
        <v>2183</v>
      </c>
      <c r="F188" s="2304" t="s">
        <v>1014</v>
      </c>
      <c r="G188" s="2305" t="s">
        <v>1014</v>
      </c>
      <c r="H188" s="2299">
        <v>7.2999999999999995E-2</v>
      </c>
      <c r="I188" s="2295">
        <v>13.5</v>
      </c>
      <c r="J188" s="2293" t="s">
        <v>2184</v>
      </c>
      <c r="K188" s="2296">
        <v>3.1749999999999998</v>
      </c>
      <c r="L188" s="2293" t="s">
        <v>2185</v>
      </c>
      <c r="M188" s="2296" t="s">
        <v>1014</v>
      </c>
      <c r="N188" s="2293" t="s">
        <v>1014</v>
      </c>
      <c r="O188" s="2298">
        <v>0.14899999999999999</v>
      </c>
    </row>
    <row r="189" spans="1:15" s="1" customFormat="1" ht="19.5" hidden="1" customHeight="1" x14ac:dyDescent="0.25">
      <c r="A189" s="2291">
        <v>44774</v>
      </c>
      <c r="B189" s="2253" t="s">
        <v>1014</v>
      </c>
      <c r="C189" s="1849" t="s">
        <v>1014</v>
      </c>
      <c r="D189" s="2302">
        <v>4.8710000000000004</v>
      </c>
      <c r="E189" s="2303" t="s">
        <v>2186</v>
      </c>
      <c r="F189" s="2304" t="s">
        <v>1014</v>
      </c>
      <c r="G189" s="2305" t="s">
        <v>1014</v>
      </c>
      <c r="H189" s="2299">
        <v>8.0000000000000002E-3</v>
      </c>
      <c r="I189" s="2295" t="s">
        <v>1014</v>
      </c>
      <c r="J189" s="2293" t="s">
        <v>1014</v>
      </c>
      <c r="K189" s="2296">
        <v>5.9459999999999997</v>
      </c>
      <c r="L189" s="2293" t="s">
        <v>2187</v>
      </c>
      <c r="M189" s="2296" t="s">
        <v>1014</v>
      </c>
      <c r="N189" s="2293" t="s">
        <v>1014</v>
      </c>
      <c r="O189" s="2298">
        <v>4.9000000000000002E-2</v>
      </c>
    </row>
    <row r="190" spans="1:15" s="1" customFormat="1" ht="19.5" customHeight="1" x14ac:dyDescent="0.25">
      <c r="A190" s="2291">
        <v>44805</v>
      </c>
      <c r="B190" s="2253">
        <v>1.7</v>
      </c>
      <c r="C190" s="1849">
        <v>43.9</v>
      </c>
      <c r="D190" s="2302">
        <v>4.9480000000000004</v>
      </c>
      <c r="E190" s="2303" t="s">
        <v>2188</v>
      </c>
      <c r="F190" s="2304" t="s">
        <v>1014</v>
      </c>
      <c r="G190" s="2305" t="s">
        <v>1014</v>
      </c>
      <c r="H190" s="2299">
        <v>4.0730000000000004</v>
      </c>
      <c r="I190" s="2295" t="s">
        <v>1014</v>
      </c>
      <c r="J190" s="2293" t="s">
        <v>1014</v>
      </c>
      <c r="K190" s="2296">
        <v>8.27</v>
      </c>
      <c r="L190" s="2293" t="s">
        <v>2189</v>
      </c>
      <c r="M190" s="2296">
        <v>4.1000000000000002E-2</v>
      </c>
      <c r="N190" s="2293">
        <v>48.965200000000003</v>
      </c>
      <c r="O190" s="2298">
        <v>0.03</v>
      </c>
    </row>
    <row r="191" spans="1:15" s="1" customFormat="1" ht="19.5" customHeight="1" x14ac:dyDescent="0.25">
      <c r="A191" s="2291">
        <v>44835</v>
      </c>
      <c r="B191" s="2253">
        <v>21</v>
      </c>
      <c r="C191" s="1849" t="s">
        <v>2190</v>
      </c>
      <c r="D191" s="2302">
        <v>0.34460000000000002</v>
      </c>
      <c r="E191" s="2303" t="s">
        <v>2191</v>
      </c>
      <c r="F191" s="2304" t="s">
        <v>1014</v>
      </c>
      <c r="G191" s="2305" t="s">
        <v>1014</v>
      </c>
      <c r="H191" s="2299">
        <v>5.2999999999999999E-2</v>
      </c>
      <c r="I191" s="2295" t="s">
        <v>1014</v>
      </c>
      <c r="J191" s="2293" t="s">
        <v>1014</v>
      </c>
      <c r="K191" s="2296">
        <v>0.187</v>
      </c>
      <c r="L191" s="2293" t="s">
        <v>2192</v>
      </c>
      <c r="M191" s="2296">
        <v>0.47339999999999999</v>
      </c>
      <c r="N191" s="2293">
        <v>50.37</v>
      </c>
      <c r="O191" s="2298">
        <v>4.3999999999999997E-2</v>
      </c>
    </row>
    <row r="192" spans="1:15" s="1" customFormat="1" ht="19.5" customHeight="1" x14ac:dyDescent="0.25">
      <c r="A192" s="2291">
        <v>44866</v>
      </c>
      <c r="B192" s="2253">
        <f>1+290</f>
        <v>291</v>
      </c>
      <c r="C192" s="1849" t="s">
        <v>2193</v>
      </c>
      <c r="D192" s="2302" t="s">
        <v>1014</v>
      </c>
      <c r="E192" s="2303" t="s">
        <v>1014</v>
      </c>
      <c r="F192" s="2304" t="s">
        <v>1014</v>
      </c>
      <c r="G192" s="2305" t="s">
        <v>1014</v>
      </c>
      <c r="H192" s="2299">
        <v>1.7999999999999999E-2</v>
      </c>
      <c r="I192" s="2295">
        <v>0.11085299999999999</v>
      </c>
      <c r="J192" s="2293">
        <v>45.1</v>
      </c>
      <c r="K192" s="2296">
        <v>4.4530000000000003</v>
      </c>
      <c r="L192" s="2293" t="s">
        <v>2194</v>
      </c>
      <c r="M192" s="2296">
        <v>4.5721999999999999E-2</v>
      </c>
      <c r="N192" s="2293">
        <v>53.35</v>
      </c>
      <c r="O192" s="2298">
        <v>5.7000000000000002E-2</v>
      </c>
    </row>
    <row r="193" spans="1:19" s="1" customFormat="1" ht="19.5" customHeight="1" x14ac:dyDescent="0.25">
      <c r="A193" s="2291">
        <v>44896</v>
      </c>
      <c r="B193" s="2253">
        <v>33</v>
      </c>
      <c r="C193" s="1849" t="s">
        <v>2195</v>
      </c>
      <c r="D193" s="2302" t="s">
        <v>1014</v>
      </c>
      <c r="E193" s="2303" t="s">
        <v>1014</v>
      </c>
      <c r="F193" s="2304" t="s">
        <v>1014</v>
      </c>
      <c r="G193" s="2305" t="s">
        <v>1014</v>
      </c>
      <c r="H193" s="2299">
        <v>3.9693407185865981</v>
      </c>
      <c r="I193" s="2295">
        <v>4.3</v>
      </c>
      <c r="J193" s="2293">
        <v>44.15</v>
      </c>
      <c r="K193" s="2296">
        <v>5.2460000000000004</v>
      </c>
      <c r="L193" s="2293">
        <v>47.496699999999997</v>
      </c>
      <c r="M193" s="2296">
        <v>1.413</v>
      </c>
      <c r="N193" s="2293" t="s">
        <v>2196</v>
      </c>
      <c r="O193" s="2298">
        <v>5.0734010786983127E-2</v>
      </c>
    </row>
    <row r="194" spans="1:19" s="1" customFormat="1" ht="19.5" customHeight="1" x14ac:dyDescent="0.25">
      <c r="A194" s="2291">
        <v>44927</v>
      </c>
      <c r="B194" s="2253">
        <v>15</v>
      </c>
      <c r="C194" s="1849">
        <v>43.575899999999997</v>
      </c>
      <c r="D194" s="2302" t="s">
        <v>1014</v>
      </c>
      <c r="E194" s="2303" t="s">
        <v>1014</v>
      </c>
      <c r="F194" s="2304" t="s">
        <v>1014</v>
      </c>
      <c r="G194" s="2305" t="s">
        <v>1014</v>
      </c>
      <c r="H194" s="2299">
        <v>4.5156881500481492E-2</v>
      </c>
      <c r="I194" s="2295" t="s">
        <v>1014</v>
      </c>
      <c r="J194" s="2293" t="s">
        <v>1014</v>
      </c>
      <c r="K194" s="2296" t="s">
        <v>1014</v>
      </c>
      <c r="L194" s="2296" t="s">
        <v>1014</v>
      </c>
      <c r="M194" s="2293" t="s">
        <v>1014</v>
      </c>
      <c r="N194" s="2293" t="s">
        <v>1014</v>
      </c>
      <c r="O194" s="2298">
        <v>4.124503452939586E-2</v>
      </c>
    </row>
    <row r="195" spans="1:19" s="1" customFormat="1" ht="19.5" customHeight="1" x14ac:dyDescent="0.25">
      <c r="A195" s="2291">
        <v>44958</v>
      </c>
      <c r="B195" s="2302">
        <v>3.6</v>
      </c>
      <c r="C195" s="2302" t="s">
        <v>2197</v>
      </c>
      <c r="D195" s="2302" t="s">
        <v>1014</v>
      </c>
      <c r="E195" s="2303" t="s">
        <v>1014</v>
      </c>
      <c r="F195" s="2304" t="s">
        <v>1014</v>
      </c>
      <c r="G195" s="2305" t="s">
        <v>1014</v>
      </c>
      <c r="H195" s="2299">
        <v>1.8083418907542968E-2</v>
      </c>
      <c r="I195" s="2295" t="s">
        <v>1014</v>
      </c>
      <c r="J195" s="2293" t="s">
        <v>1014</v>
      </c>
      <c r="K195" s="2296">
        <v>0.139849</v>
      </c>
      <c r="L195" s="2293">
        <v>49.189399999999999</v>
      </c>
      <c r="M195" s="2296">
        <v>1.1665641599999999</v>
      </c>
      <c r="N195" s="2293" t="s">
        <v>2198</v>
      </c>
      <c r="O195" s="2298">
        <v>3.1988003482859816E-2</v>
      </c>
    </row>
    <row r="196" spans="1:19" s="1" customFormat="1" ht="19.5" customHeight="1" x14ac:dyDescent="0.25">
      <c r="A196" s="2291">
        <v>44986</v>
      </c>
      <c r="B196" s="2302">
        <v>15.78</v>
      </c>
      <c r="C196" s="2302" t="s">
        <v>2199</v>
      </c>
      <c r="D196" s="2302" t="s">
        <v>1014</v>
      </c>
      <c r="E196" s="2303" t="s">
        <v>1014</v>
      </c>
      <c r="F196" s="2306">
        <v>1.0489999999999999</v>
      </c>
      <c r="G196" s="2305">
        <v>56.41</v>
      </c>
      <c r="H196" s="2299">
        <v>0.18099999999999999</v>
      </c>
      <c r="I196" s="2295" t="s">
        <v>1014</v>
      </c>
      <c r="J196" s="2293" t="s">
        <v>1014</v>
      </c>
      <c r="K196" s="2296">
        <v>5.4269999999999996</v>
      </c>
      <c r="L196" s="2293" t="s">
        <v>2200</v>
      </c>
      <c r="M196" s="2296">
        <v>8.9499999999999996E-2</v>
      </c>
      <c r="N196" s="2293" t="s">
        <v>2201</v>
      </c>
      <c r="O196" s="2298">
        <v>3.95E-2</v>
      </c>
    </row>
    <row r="197" spans="1:19" s="1" customFormat="1" ht="19.5" customHeight="1" x14ac:dyDescent="0.25">
      <c r="A197" s="2291">
        <v>45017</v>
      </c>
      <c r="B197" s="2302">
        <v>1.64</v>
      </c>
      <c r="C197" s="2303">
        <v>44.65</v>
      </c>
      <c r="D197" s="2302" t="s">
        <v>1014</v>
      </c>
      <c r="E197" s="2303" t="s">
        <v>1014</v>
      </c>
      <c r="F197" s="2302" t="s">
        <v>1014</v>
      </c>
      <c r="G197" s="2303" t="s">
        <v>1014</v>
      </c>
      <c r="H197" s="2299">
        <v>3.7543226628857472E-3</v>
      </c>
      <c r="I197" s="2302" t="s">
        <v>1014</v>
      </c>
      <c r="J197" s="2303" t="s">
        <v>1014</v>
      </c>
      <c r="K197" s="2302" t="s">
        <v>1014</v>
      </c>
      <c r="L197" s="2303" t="s">
        <v>1014</v>
      </c>
      <c r="M197" s="2296">
        <v>0.46760640000000003</v>
      </c>
      <c r="N197" s="2293">
        <v>56.707599999999999</v>
      </c>
      <c r="O197" s="2298">
        <v>4.9378873314850316E-2</v>
      </c>
      <c r="R197" s="1986"/>
    </row>
    <row r="198" spans="1:19" s="1" customFormat="1" ht="19.5" customHeight="1" x14ac:dyDescent="0.25">
      <c r="A198" s="2291">
        <v>45047</v>
      </c>
      <c r="B198" s="2302">
        <v>11.625</v>
      </c>
      <c r="C198" s="2303" t="s">
        <v>2202</v>
      </c>
      <c r="D198" s="2302">
        <v>0.65</v>
      </c>
      <c r="E198" s="2303" t="s">
        <v>2203</v>
      </c>
      <c r="F198" s="2302" t="s">
        <v>1014</v>
      </c>
      <c r="G198" s="2303" t="s">
        <v>1014</v>
      </c>
      <c r="H198" s="2299">
        <v>5.7971649953149858E-5</v>
      </c>
      <c r="I198" s="2302">
        <v>0.15</v>
      </c>
      <c r="J198" s="2303">
        <v>46.04</v>
      </c>
      <c r="K198" s="2302">
        <v>0.45246818999999999</v>
      </c>
      <c r="L198" s="2303" t="s">
        <v>2204</v>
      </c>
      <c r="M198" s="2296">
        <v>0.14183499999999999</v>
      </c>
      <c r="N198" s="2293" t="s">
        <v>2205</v>
      </c>
      <c r="O198" s="2298">
        <v>0.23034784196073305</v>
      </c>
    </row>
    <row r="199" spans="1:19" s="1" customFormat="1" ht="19.5" customHeight="1" x14ac:dyDescent="0.25">
      <c r="A199" s="2291">
        <v>45078</v>
      </c>
      <c r="B199" s="2302">
        <v>70.125</v>
      </c>
      <c r="C199" s="2303" t="s">
        <v>2206</v>
      </c>
      <c r="D199" s="2302">
        <v>3.5000000000000003E-2</v>
      </c>
      <c r="E199" s="2303">
        <v>48.15</v>
      </c>
      <c r="F199" s="2302" t="s">
        <v>1014</v>
      </c>
      <c r="G199" s="2303" t="s">
        <v>1014</v>
      </c>
      <c r="H199" s="2299">
        <v>4.4236086660219005</v>
      </c>
      <c r="I199" s="2302" t="s">
        <v>1014</v>
      </c>
      <c r="J199" s="2303" t="s">
        <v>1014</v>
      </c>
      <c r="K199" s="2302" t="s">
        <v>1014</v>
      </c>
      <c r="L199" s="2303" t="s">
        <v>1014</v>
      </c>
      <c r="M199" s="2296">
        <v>1.18394204</v>
      </c>
      <c r="N199" s="2293">
        <v>58.547499999999999</v>
      </c>
      <c r="O199" s="2298">
        <v>0.18036204169784853</v>
      </c>
    </row>
    <row r="200" spans="1:19" s="1" customFormat="1" ht="19.5" customHeight="1" x14ac:dyDescent="0.25">
      <c r="A200" s="2291">
        <v>45108</v>
      </c>
      <c r="B200" s="2302">
        <v>2.5</v>
      </c>
      <c r="C200" s="2303">
        <v>45.2</v>
      </c>
      <c r="D200" s="2303" t="s">
        <v>1014</v>
      </c>
      <c r="E200" s="2303" t="s">
        <v>1014</v>
      </c>
      <c r="F200" s="2302" t="s">
        <v>1014</v>
      </c>
      <c r="G200" s="2303" t="s">
        <v>1014</v>
      </c>
      <c r="H200" s="2299">
        <v>0.16059065013616758</v>
      </c>
      <c r="I200" s="2302">
        <v>3.8</v>
      </c>
      <c r="J200" s="2303" t="s">
        <v>2207</v>
      </c>
      <c r="K200" s="2302" t="s">
        <v>1014</v>
      </c>
      <c r="L200" s="2303" t="s">
        <v>1014</v>
      </c>
      <c r="M200" s="2296">
        <v>0.22081424999999999</v>
      </c>
      <c r="N200" s="2293" t="s">
        <v>2208</v>
      </c>
      <c r="O200" s="2298">
        <v>5.7943777195151824</v>
      </c>
    </row>
    <row r="201" spans="1:19" s="1" customFormat="1" ht="19.5" customHeight="1" x14ac:dyDescent="0.25">
      <c r="A201" s="2291">
        <v>45139</v>
      </c>
      <c r="B201" s="2302">
        <v>11</v>
      </c>
      <c r="C201" s="2303" t="s">
        <v>2209</v>
      </c>
      <c r="D201" s="2303" t="s">
        <v>1014</v>
      </c>
      <c r="E201" s="2303" t="s">
        <v>1014</v>
      </c>
      <c r="F201" s="2302" t="s">
        <v>1014</v>
      </c>
      <c r="G201" s="2303" t="s">
        <v>1014</v>
      </c>
      <c r="H201" s="2299">
        <v>1.9340865499791891E-2</v>
      </c>
      <c r="I201" s="2302" t="s">
        <v>1014</v>
      </c>
      <c r="J201" s="2303" t="s">
        <v>1014</v>
      </c>
      <c r="K201" s="2302" t="s">
        <v>1014</v>
      </c>
      <c r="L201" s="2303" t="s">
        <v>1014</v>
      </c>
      <c r="M201" s="2302">
        <v>0.58335059999999994</v>
      </c>
      <c r="N201" s="2303" t="s">
        <v>2210</v>
      </c>
      <c r="O201" s="2298">
        <v>5.9054994510284994E-2</v>
      </c>
    </row>
    <row r="202" spans="1:19" s="1" customFormat="1" ht="19.5" customHeight="1" x14ac:dyDescent="0.25">
      <c r="A202" s="2291">
        <v>45170</v>
      </c>
      <c r="B202" s="2302">
        <v>38.700000000000003</v>
      </c>
      <c r="C202" s="2303" t="s">
        <v>2211</v>
      </c>
      <c r="D202" s="2303">
        <v>4</v>
      </c>
      <c r="E202" s="2303">
        <v>47.85</v>
      </c>
      <c r="F202" s="2302" t="s">
        <v>1014</v>
      </c>
      <c r="G202" s="2303" t="s">
        <v>1014</v>
      </c>
      <c r="H202" s="2299">
        <v>1.4520254345030394</v>
      </c>
      <c r="I202" s="2302" t="s">
        <v>1014</v>
      </c>
      <c r="J202" s="2303" t="s">
        <v>1014</v>
      </c>
      <c r="K202" s="2302" t="s">
        <v>1014</v>
      </c>
      <c r="L202" s="2303" t="s">
        <v>1014</v>
      </c>
      <c r="M202" s="2302">
        <v>0.46533799999999997</v>
      </c>
      <c r="N202" s="2303" t="s">
        <v>2212</v>
      </c>
      <c r="O202" s="2298">
        <v>6.092630050556111E-2</v>
      </c>
    </row>
    <row r="203" spans="1:19" s="1" customFormat="1" ht="7.5" customHeight="1" thickBot="1" x14ac:dyDescent="0.3">
      <c r="A203" s="2307"/>
      <c r="B203" s="2308"/>
      <c r="C203" s="2308"/>
      <c r="D203" s="2308"/>
      <c r="E203" s="2308"/>
      <c r="F203" s="2309"/>
      <c r="G203" s="2310"/>
      <c r="H203" s="2311"/>
      <c r="I203" s="2312"/>
      <c r="J203" s="2313"/>
      <c r="K203" s="2314"/>
      <c r="L203" s="2310"/>
      <c r="M203" s="2315"/>
      <c r="N203" s="2315"/>
      <c r="O203" s="2316"/>
    </row>
    <row r="204" spans="1:19" s="6" customFormat="1" ht="18" customHeight="1" thickTop="1" x14ac:dyDescent="0.25">
      <c r="A204" s="2267" t="s">
        <v>2213</v>
      </c>
      <c r="B204" s="2267"/>
      <c r="C204" s="2267"/>
      <c r="D204" s="2267"/>
    </row>
    <row r="205" spans="1:19" s="2256" customFormat="1" ht="22.5" customHeight="1" x14ac:dyDescent="0.3">
      <c r="Q205" s="1"/>
      <c r="R205" s="1"/>
      <c r="S205" s="1"/>
    </row>
    <row r="206" spans="1:19" s="2256" customFormat="1" ht="19.5" customHeight="1" x14ac:dyDescent="0.3">
      <c r="Q206" s="1"/>
      <c r="R206" s="1"/>
      <c r="S206" s="1"/>
    </row>
    <row r="207" spans="1:19" s="2256" customFormat="1" ht="19.5" hidden="1" customHeight="1" x14ac:dyDescent="0.3">
      <c r="Q207" s="1"/>
      <c r="R207" s="1"/>
      <c r="S207" s="1"/>
    </row>
    <row r="208" spans="1:19" s="2256" customFormat="1" ht="19.5" hidden="1" customHeight="1" x14ac:dyDescent="0.3">
      <c r="I208" s="2256">
        <v>1820487</v>
      </c>
      <c r="J208" s="2256">
        <v>2.6183999999999998</v>
      </c>
      <c r="K208" s="2256">
        <f>I208*J208</f>
        <v>4766763.1607999997</v>
      </c>
      <c r="Q208" s="1"/>
      <c r="R208" s="1"/>
      <c r="S208" s="1"/>
    </row>
    <row r="209" spans="2:19" s="2256" customFormat="1" ht="19.5" hidden="1" customHeight="1" x14ac:dyDescent="0.3">
      <c r="I209" s="2256">
        <v>747</v>
      </c>
      <c r="J209" s="2256">
        <v>2.5840000000000001</v>
      </c>
      <c r="K209" s="2256">
        <f>I209*J209</f>
        <v>1930.248</v>
      </c>
      <c r="Q209" s="1"/>
      <c r="R209" s="1"/>
      <c r="S209" s="1"/>
    </row>
    <row r="210" spans="2:19" s="2256" customFormat="1" ht="16.5" hidden="1" x14ac:dyDescent="0.3">
      <c r="I210" s="2256">
        <v>157386</v>
      </c>
      <c r="J210" s="2256">
        <v>2.6297999999999999</v>
      </c>
      <c r="K210" s="2256">
        <f>I210*J210</f>
        <v>413893.70279999997</v>
      </c>
      <c r="N210" s="2256">
        <v>34.42</v>
      </c>
      <c r="S210" s="1"/>
    </row>
    <row r="211" spans="2:19" s="2256" customFormat="1" ht="16.5" hidden="1" x14ac:dyDescent="0.3">
      <c r="I211" s="2256">
        <v>488750</v>
      </c>
      <c r="J211" s="2256">
        <v>2.5956000000000001</v>
      </c>
      <c r="K211" s="2256">
        <f>I211*J211</f>
        <v>1268599.5</v>
      </c>
    </row>
    <row r="212" spans="2:19" s="2256" customFormat="1" ht="16.5" hidden="1" x14ac:dyDescent="0.3">
      <c r="K212" s="2256">
        <f>SUM(K208:K211)</f>
        <v>6451186.6115999995</v>
      </c>
      <c r="L212" s="2256">
        <f>K212/33.15</f>
        <v>194605.93096832579</v>
      </c>
    </row>
    <row r="213" spans="2:19" s="2256" customFormat="1" ht="16.5" hidden="1" x14ac:dyDescent="0.3"/>
    <row r="214" spans="2:19" s="2256" customFormat="1" ht="16.5" hidden="1" x14ac:dyDescent="0.3">
      <c r="N214" s="2256">
        <v>25500</v>
      </c>
      <c r="O214" s="2256">
        <v>2.6023999999999998</v>
      </c>
      <c r="P214" s="2256">
        <f>N214*O214</f>
        <v>66361.2</v>
      </c>
    </row>
    <row r="215" spans="2:19" s="2256" customFormat="1" ht="16.5" hidden="1" x14ac:dyDescent="0.3">
      <c r="N215" s="2256">
        <v>300000</v>
      </c>
      <c r="O215" s="2256">
        <v>2.5851000000000002</v>
      </c>
      <c r="P215" s="2256">
        <f>N215*O215</f>
        <v>775530</v>
      </c>
    </row>
    <row r="216" spans="2:19" s="2256" customFormat="1" ht="16.5" hidden="1" x14ac:dyDescent="0.3">
      <c r="P216" s="2256">
        <f>SUM(P214:P215)</f>
        <v>841891.2</v>
      </c>
      <c r="Q216" s="2256">
        <f>P216/34.42</f>
        <v>24459.360836722833</v>
      </c>
    </row>
    <row r="217" spans="2:19" s="2256" customFormat="1" ht="16.5" hidden="1" x14ac:dyDescent="0.3"/>
    <row r="218" spans="2:19" s="2256" customFormat="1" ht="16.5" hidden="1" x14ac:dyDescent="0.3"/>
    <row r="219" spans="2:19" s="2256" customFormat="1" ht="16.5" hidden="1" x14ac:dyDescent="0.3"/>
    <row r="220" spans="2:19" ht="16.5" x14ac:dyDescent="0.3">
      <c r="B220" s="2256"/>
      <c r="C220" s="2256"/>
      <c r="D220" s="2256"/>
      <c r="E220" s="2256"/>
      <c r="F220" s="2256"/>
      <c r="G220" s="2256"/>
      <c r="H220" s="2256"/>
      <c r="I220" s="2256"/>
      <c r="J220" s="2256"/>
      <c r="K220" s="2256"/>
      <c r="L220" s="2256"/>
      <c r="M220" s="2256"/>
      <c r="N220" s="2256"/>
      <c r="O220" s="2256"/>
      <c r="P220" s="2256"/>
      <c r="Q220" s="2256"/>
    </row>
    <row r="223" spans="2:19" hidden="1" x14ac:dyDescent="0.25"/>
    <row r="224" spans="2:19" hidden="1" x14ac:dyDescent="0.25">
      <c r="I224" s="2317" t="s">
        <v>2214</v>
      </c>
    </row>
    <row r="225" spans="8:14" hidden="1" x14ac:dyDescent="0.25">
      <c r="H225" s="1027" t="s">
        <v>2215</v>
      </c>
      <c r="I225" s="2318">
        <v>616339</v>
      </c>
      <c r="J225" s="1027">
        <v>2.2462</v>
      </c>
      <c r="K225" s="2319">
        <f t="shared" ref="K225:K235" si="0">I225*J225</f>
        <v>1384420.6617999999</v>
      </c>
    </row>
    <row r="226" spans="8:14" hidden="1" x14ac:dyDescent="0.25">
      <c r="I226" s="2318">
        <v>18627</v>
      </c>
      <c r="J226" s="1027">
        <v>2.2040000000000002</v>
      </c>
      <c r="K226" s="2319">
        <f t="shared" si="0"/>
        <v>41053.908000000003</v>
      </c>
    </row>
    <row r="227" spans="8:14" hidden="1" x14ac:dyDescent="0.25">
      <c r="I227" s="1027">
        <v>41066</v>
      </c>
      <c r="J227" s="1027">
        <v>2.1720999999999999</v>
      </c>
      <c r="K227" s="1027">
        <f t="shared" si="0"/>
        <v>89199.458599999998</v>
      </c>
    </row>
    <row r="228" spans="8:14" hidden="1" x14ac:dyDescent="0.25">
      <c r="K228" s="1027">
        <f t="shared" si="0"/>
        <v>0</v>
      </c>
    </row>
    <row r="229" spans="8:14" hidden="1" x14ac:dyDescent="0.25">
      <c r="K229" s="1027">
        <f t="shared" si="0"/>
        <v>0</v>
      </c>
    </row>
    <row r="230" spans="8:14" hidden="1" x14ac:dyDescent="0.25">
      <c r="K230" s="1027">
        <f t="shared" si="0"/>
        <v>0</v>
      </c>
    </row>
    <row r="231" spans="8:14" hidden="1" x14ac:dyDescent="0.25">
      <c r="K231" s="1027">
        <f t="shared" si="0"/>
        <v>0</v>
      </c>
    </row>
    <row r="232" spans="8:14" hidden="1" x14ac:dyDescent="0.25">
      <c r="K232" s="1027">
        <f t="shared" si="0"/>
        <v>0</v>
      </c>
    </row>
    <row r="233" spans="8:14" hidden="1" x14ac:dyDescent="0.25">
      <c r="K233" s="1027">
        <f t="shared" si="0"/>
        <v>0</v>
      </c>
    </row>
    <row r="234" spans="8:14" hidden="1" x14ac:dyDescent="0.25">
      <c r="K234" s="1027">
        <f t="shared" si="0"/>
        <v>0</v>
      </c>
    </row>
    <row r="235" spans="8:14" hidden="1" x14ac:dyDescent="0.25">
      <c r="K235" s="1027">
        <f t="shared" si="0"/>
        <v>0</v>
      </c>
    </row>
    <row r="236" spans="8:14" ht="15.75" hidden="1" thickBot="1" x14ac:dyDescent="0.3">
      <c r="I236" s="2320">
        <f>SUM(I225:I235)</f>
        <v>676032</v>
      </c>
      <c r="J236" s="2321"/>
      <c r="K236" s="2320">
        <f>SUM(K225:K235)</f>
        <v>1514674.0284</v>
      </c>
      <c r="L236" s="1027">
        <v>39.399299999999997</v>
      </c>
      <c r="M236" s="1027" t="s">
        <v>2216</v>
      </c>
      <c r="N236" s="2322"/>
    </row>
    <row r="237" spans="8:14" hidden="1" x14ac:dyDescent="0.25">
      <c r="I237" s="2318"/>
      <c r="K237" s="2319"/>
      <c r="N237" s="2323"/>
    </row>
    <row r="238" spans="8:14" hidden="1" x14ac:dyDescent="0.25">
      <c r="I238" s="2318"/>
      <c r="K238" s="2319"/>
      <c r="N238" s="2323"/>
    </row>
    <row r="239" spans="8:14" ht="15.75" hidden="1" thickBot="1" x14ac:dyDescent="0.3">
      <c r="I239" s="2320"/>
      <c r="J239" s="2321"/>
      <c r="K239" s="2320"/>
      <c r="L239" s="2318">
        <f>K236/$L$236</f>
        <v>38444.186277421177</v>
      </c>
      <c r="M239" s="2318"/>
    </row>
    <row r="240" spans="8:14" hidden="1" x14ac:dyDescent="0.25">
      <c r="M240" s="1027">
        <f>L239/1000000</f>
        <v>3.8444186277421175E-2</v>
      </c>
    </row>
    <row r="241" spans="8:13" hidden="1" x14ac:dyDescent="0.25">
      <c r="I241" s="1027" t="s">
        <v>2217</v>
      </c>
    </row>
    <row r="242" spans="8:13" hidden="1" x14ac:dyDescent="0.25">
      <c r="H242" s="1027" t="s">
        <v>2215</v>
      </c>
      <c r="I242" s="1027">
        <v>1501500</v>
      </c>
      <c r="J242" s="1027">
        <v>2.3689</v>
      </c>
      <c r="K242" s="1027">
        <f t="shared" ref="K242:K248" si="1">I242*J242</f>
        <v>3556903.35</v>
      </c>
    </row>
    <row r="243" spans="8:13" hidden="1" x14ac:dyDescent="0.25">
      <c r="I243" s="1027">
        <v>753285.5</v>
      </c>
      <c r="J243" s="1027">
        <v>2.2999999999999998</v>
      </c>
      <c r="K243" s="1027">
        <f t="shared" si="1"/>
        <v>1732556.65</v>
      </c>
    </row>
    <row r="244" spans="8:13" hidden="1" x14ac:dyDescent="0.25">
      <c r="K244" s="1027">
        <f t="shared" si="1"/>
        <v>0</v>
      </c>
    </row>
    <row r="245" spans="8:13" hidden="1" x14ac:dyDescent="0.25">
      <c r="K245" s="1027">
        <f t="shared" si="1"/>
        <v>0</v>
      </c>
    </row>
    <row r="246" spans="8:13" hidden="1" x14ac:dyDescent="0.25">
      <c r="K246" s="1027">
        <f t="shared" si="1"/>
        <v>0</v>
      </c>
    </row>
    <row r="247" spans="8:13" hidden="1" x14ac:dyDescent="0.25">
      <c r="K247" s="1027">
        <f t="shared" si="1"/>
        <v>0</v>
      </c>
    </row>
    <row r="248" spans="8:13" hidden="1" x14ac:dyDescent="0.25">
      <c r="K248" s="1027">
        <f t="shared" si="1"/>
        <v>0</v>
      </c>
    </row>
    <row r="249" spans="8:13" hidden="1" x14ac:dyDescent="0.25">
      <c r="I249" s="2324">
        <f>SUM(I242:I248)</f>
        <v>2254785.5</v>
      </c>
      <c r="K249" s="2319">
        <f>SUM(K242:K248)</f>
        <v>5289460</v>
      </c>
      <c r="L249" s="2318">
        <f>K249/$L$236</f>
        <v>134252.63900627676</v>
      </c>
      <c r="M249" s="1027">
        <f>L249/1000000</f>
        <v>0.13425263900627676</v>
      </c>
    </row>
    <row r="250" spans="8:13" hidden="1" x14ac:dyDescent="0.25">
      <c r="I250" s="2319"/>
      <c r="K250" s="2319"/>
      <c r="L250" s="2318"/>
    </row>
    <row r="251" spans="8:13" hidden="1" x14ac:dyDescent="0.25">
      <c r="H251" s="1027" t="s">
        <v>2218</v>
      </c>
      <c r="I251" s="2318"/>
      <c r="K251" s="2318">
        <f>I251*J251</f>
        <v>0</v>
      </c>
      <c r="L251" s="2318"/>
    </row>
    <row r="252" spans="8:13" hidden="1" x14ac:dyDescent="0.25">
      <c r="K252" s="2318">
        <f>I252*J252</f>
        <v>0</v>
      </c>
    </row>
    <row r="253" spans="8:13" hidden="1" x14ac:dyDescent="0.25">
      <c r="I253" s="2319">
        <f>SUM(I251:I252)</f>
        <v>0</v>
      </c>
      <c r="K253" s="2319">
        <f>SUM(K251:K252)</f>
        <v>0</v>
      </c>
      <c r="L253" s="1027">
        <f>K253/$L$236</f>
        <v>0</v>
      </c>
      <c r="M253" s="1027">
        <f>L253/1000000</f>
        <v>0</v>
      </c>
    </row>
    <row r="254" spans="8:13" hidden="1" x14ac:dyDescent="0.25">
      <c r="K254" s="2319"/>
    </row>
    <row r="255" spans="8:13" hidden="1" x14ac:dyDescent="0.25">
      <c r="H255" s="1027" t="s">
        <v>2219</v>
      </c>
      <c r="I255" s="1027">
        <v>100000</v>
      </c>
      <c r="J255" s="1027">
        <v>40.651600000000002</v>
      </c>
      <c r="K255" s="2318">
        <f>I255*J255</f>
        <v>4065160</v>
      </c>
    </row>
    <row r="256" spans="8:13" hidden="1" x14ac:dyDescent="0.25">
      <c r="I256" s="1027">
        <v>12100</v>
      </c>
      <c r="J256" s="1027">
        <v>41.478000000000002</v>
      </c>
      <c r="K256" s="2318">
        <f>I256*J256</f>
        <v>501883.80000000005</v>
      </c>
      <c r="L256" s="2318"/>
    </row>
    <row r="257" spans="8:13" hidden="1" x14ac:dyDescent="0.25">
      <c r="L257" s="2318"/>
    </row>
    <row r="258" spans="8:13" hidden="1" x14ac:dyDescent="0.25">
      <c r="I258" s="1027">
        <f>SUM(I255:I257)</f>
        <v>112100</v>
      </c>
      <c r="K258" s="2319">
        <f>SUM(K255:K257)</f>
        <v>4567043.8</v>
      </c>
      <c r="L258" s="2318">
        <f>K258/$L$236</f>
        <v>115916.87669577886</v>
      </c>
      <c r="M258" s="1027">
        <f>L258/1000000</f>
        <v>0.11591687669577887</v>
      </c>
    </row>
    <row r="259" spans="8:13" hidden="1" x14ac:dyDescent="0.25"/>
    <row r="260" spans="8:13" hidden="1" x14ac:dyDescent="0.25">
      <c r="H260" s="1027" t="s">
        <v>2220</v>
      </c>
      <c r="I260" s="1027">
        <v>143051.21</v>
      </c>
      <c r="J260" s="1027">
        <v>23.5489</v>
      </c>
      <c r="K260" s="2318">
        <f>I260*J260</f>
        <v>3368698.6391689996</v>
      </c>
    </row>
    <row r="261" spans="8:13" hidden="1" x14ac:dyDescent="0.25">
      <c r="I261" s="1027">
        <v>6000</v>
      </c>
      <c r="J261" s="1027">
        <v>24.5442</v>
      </c>
      <c r="K261" s="2318">
        <f>I261*J261</f>
        <v>147265.20000000001</v>
      </c>
    </row>
    <row r="262" spans="8:13" hidden="1" x14ac:dyDescent="0.25">
      <c r="K262" s="2318">
        <f>I262*J262</f>
        <v>0</v>
      </c>
    </row>
    <row r="263" spans="8:13" hidden="1" x14ac:dyDescent="0.25">
      <c r="I263" s="2317">
        <f>SUM(I260:I262)</f>
        <v>149051.21</v>
      </c>
      <c r="K263" s="2319">
        <f>SUM(K260:K262)</f>
        <v>3515963.8391689998</v>
      </c>
      <c r="L263" s="2325">
        <f>K263/$L$236</f>
        <v>89239.246361458208</v>
      </c>
      <c r="M263" s="2326">
        <f>L263/1000000</f>
        <v>8.9239246361458205E-2</v>
      </c>
    </row>
    <row r="264" spans="8:13" hidden="1" x14ac:dyDescent="0.25">
      <c r="K264" s="2319"/>
    </row>
    <row r="265" spans="8:13" hidden="1" x14ac:dyDescent="0.25">
      <c r="K265" s="2319">
        <f>K249+K253+K258+K263</f>
        <v>13372467.639169</v>
      </c>
      <c r="L265" s="1027">
        <f>K265/$L$236</f>
        <v>339408.76206351386</v>
      </c>
      <c r="M265" s="2327">
        <f>SUM(M249:M264)</f>
        <v>0.33940876206351384</v>
      </c>
    </row>
    <row r="266" spans="8:13" hidden="1" x14ac:dyDescent="0.25"/>
    <row r="267" spans="8:13" hidden="1" x14ac:dyDescent="0.25">
      <c r="K267" s="2328" t="s">
        <v>2221</v>
      </c>
      <c r="L267" s="2327">
        <f>L265/1000000</f>
        <v>0.33940876206351384</v>
      </c>
    </row>
    <row r="268" spans="8:13" hidden="1" x14ac:dyDescent="0.25"/>
  </sheetData>
  <mergeCells count="16">
    <mergeCell ref="N108:N109"/>
    <mergeCell ref="A3:A6"/>
    <mergeCell ref="A106:A109"/>
    <mergeCell ref="B106:H106"/>
    <mergeCell ref="I106:O106"/>
    <mergeCell ref="B108:B109"/>
    <mergeCell ref="C108:C109"/>
    <mergeCell ref="D108:D109"/>
    <mergeCell ref="E108:E109"/>
    <mergeCell ref="F108:F109"/>
    <mergeCell ref="G108:G109"/>
    <mergeCell ref="I108:I109"/>
    <mergeCell ref="J108:J109"/>
    <mergeCell ref="K108:K109"/>
    <mergeCell ref="L108:L109"/>
    <mergeCell ref="M108:M109"/>
  </mergeCells>
  <pageMargins left="0.25" right="0.25" top="0.25" bottom="0.25" header="0.31496062992126" footer="0"/>
  <pageSetup paperSize="9" scale="6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K143"/>
  <sheetViews>
    <sheetView showGridLines="0" zoomScale="90" zoomScaleNormal="90" zoomScaleSheetLayoutView="100" workbookViewId="0">
      <pane xSplit="1" ySplit="79" topLeftCell="B80" activePane="bottomRight" state="frozen"/>
      <selection activeCell="A38" sqref="A38"/>
      <selection pane="topRight" activeCell="A38" sqref="A38"/>
      <selection pane="bottomLeft" activeCell="A38" sqref="A38"/>
      <selection pane="bottomRight" activeCell="A38" sqref="A38"/>
    </sheetView>
  </sheetViews>
  <sheetFormatPr defaultColWidth="8.85546875" defaultRowHeight="14.25" x14ac:dyDescent="0.25"/>
  <cols>
    <col min="1" max="1" width="13.85546875" style="2" customWidth="1"/>
    <col min="2" max="2" width="13.85546875" style="1" customWidth="1"/>
    <col min="3" max="3" width="15" style="1" bestFit="1" customWidth="1"/>
    <col min="4" max="4" width="14.28515625" style="1" bestFit="1" customWidth="1"/>
    <col min="5" max="5" width="15" style="1" bestFit="1" customWidth="1"/>
    <col min="6" max="6" width="12.42578125" style="1" bestFit="1" customWidth="1"/>
    <col min="7" max="7" width="15" style="1" bestFit="1" customWidth="1"/>
    <col min="8" max="8" width="11.42578125" style="1" customWidth="1"/>
    <col min="9" max="9" width="15" style="1" bestFit="1" customWidth="1"/>
    <col min="10" max="10" width="13.42578125" style="1" customWidth="1"/>
    <col min="11" max="11" width="15" style="1" bestFit="1" customWidth="1"/>
    <col min="12" max="12" width="19.42578125" style="1" bestFit="1" customWidth="1"/>
    <col min="13" max="13" width="8.85546875" style="1"/>
    <col min="14" max="14" width="8.7109375" style="1" customWidth="1"/>
    <col min="15" max="15" width="8.85546875" style="1"/>
    <col min="16" max="16" width="14.28515625" style="1" bestFit="1" customWidth="1"/>
    <col min="17" max="256" width="8.85546875" style="1"/>
    <col min="257" max="257" width="10.7109375" style="1" customWidth="1"/>
    <col min="258" max="258" width="11.85546875" style="1" bestFit="1" customWidth="1"/>
    <col min="259" max="259" width="15" style="1" bestFit="1" customWidth="1"/>
    <col min="260" max="260" width="14.28515625" style="1" bestFit="1" customWidth="1"/>
    <col min="261" max="261" width="15" style="1" bestFit="1" customWidth="1"/>
    <col min="262" max="262" width="11.28515625" style="1" bestFit="1" customWidth="1"/>
    <col min="263" max="263" width="15" style="1" bestFit="1" customWidth="1"/>
    <col min="264" max="264" width="13.140625" style="1" customWidth="1"/>
    <col min="265" max="265" width="15" style="1" bestFit="1" customWidth="1"/>
    <col min="266" max="266" width="13.42578125" style="1" customWidth="1"/>
    <col min="267" max="267" width="15" style="1" bestFit="1" customWidth="1"/>
    <col min="268" max="268" width="19.42578125" style="1" bestFit="1" customWidth="1"/>
    <col min="269" max="269" width="8.85546875" style="1"/>
    <col min="270" max="270" width="8.7109375" style="1" customWidth="1"/>
    <col min="271" max="271" width="8.85546875" style="1"/>
    <col min="272" max="272" width="14.28515625" style="1" bestFit="1" customWidth="1"/>
    <col min="273" max="512" width="8.85546875" style="1"/>
    <col min="513" max="513" width="10.7109375" style="1" customWidth="1"/>
    <col min="514" max="514" width="11.85546875" style="1" bestFit="1" customWidth="1"/>
    <col min="515" max="515" width="15" style="1" bestFit="1" customWidth="1"/>
    <col min="516" max="516" width="14.28515625" style="1" bestFit="1" customWidth="1"/>
    <col min="517" max="517" width="15" style="1" bestFit="1" customWidth="1"/>
    <col min="518" max="518" width="11.28515625" style="1" bestFit="1" customWidth="1"/>
    <col min="519" max="519" width="15" style="1" bestFit="1" customWidth="1"/>
    <col min="520" max="520" width="13.140625" style="1" customWidth="1"/>
    <col min="521" max="521" width="15" style="1" bestFit="1" customWidth="1"/>
    <col min="522" max="522" width="13.42578125" style="1" customWidth="1"/>
    <col min="523" max="523" width="15" style="1" bestFit="1" customWidth="1"/>
    <col min="524" max="524" width="19.42578125" style="1" bestFit="1" customWidth="1"/>
    <col min="525" max="525" width="8.85546875" style="1"/>
    <col min="526" max="526" width="8.7109375" style="1" customWidth="1"/>
    <col min="527" max="527" width="8.85546875" style="1"/>
    <col min="528" max="528" width="14.28515625" style="1" bestFit="1" customWidth="1"/>
    <col min="529" max="768" width="8.85546875" style="1"/>
    <col min="769" max="769" width="10.7109375" style="1" customWidth="1"/>
    <col min="770" max="770" width="11.85546875" style="1" bestFit="1" customWidth="1"/>
    <col min="771" max="771" width="15" style="1" bestFit="1" customWidth="1"/>
    <col min="772" max="772" width="14.28515625" style="1" bestFit="1" customWidth="1"/>
    <col min="773" max="773" width="15" style="1" bestFit="1" customWidth="1"/>
    <col min="774" max="774" width="11.28515625" style="1" bestFit="1" customWidth="1"/>
    <col min="775" max="775" width="15" style="1" bestFit="1" customWidth="1"/>
    <col min="776" max="776" width="13.140625" style="1" customWidth="1"/>
    <col min="777" max="777" width="15" style="1" bestFit="1" customWidth="1"/>
    <col min="778" max="778" width="13.42578125" style="1" customWidth="1"/>
    <col min="779" max="779" width="15" style="1" bestFit="1" customWidth="1"/>
    <col min="780" max="780" width="19.42578125" style="1" bestFit="1" customWidth="1"/>
    <col min="781" max="781" width="8.85546875" style="1"/>
    <col min="782" max="782" width="8.7109375" style="1" customWidth="1"/>
    <col min="783" max="783" width="8.85546875" style="1"/>
    <col min="784" max="784" width="14.28515625" style="1" bestFit="1" customWidth="1"/>
    <col min="785" max="1024" width="8.85546875" style="1"/>
    <col min="1025" max="1025" width="10.7109375" style="1" customWidth="1"/>
    <col min="1026" max="1026" width="11.85546875" style="1" bestFit="1" customWidth="1"/>
    <col min="1027" max="1027" width="15" style="1" bestFit="1" customWidth="1"/>
    <col min="1028" max="1028" width="14.28515625" style="1" bestFit="1" customWidth="1"/>
    <col min="1029" max="1029" width="15" style="1" bestFit="1" customWidth="1"/>
    <col min="1030" max="1030" width="11.28515625" style="1" bestFit="1" customWidth="1"/>
    <col min="1031" max="1031" width="15" style="1" bestFit="1" customWidth="1"/>
    <col min="1032" max="1032" width="13.140625" style="1" customWidth="1"/>
    <col min="1033" max="1033" width="15" style="1" bestFit="1" customWidth="1"/>
    <col min="1034" max="1034" width="13.42578125" style="1" customWidth="1"/>
    <col min="1035" max="1035" width="15" style="1" bestFit="1" customWidth="1"/>
    <col min="1036" max="1036" width="19.42578125" style="1" bestFit="1" customWidth="1"/>
    <col min="1037" max="1037" width="8.85546875" style="1"/>
    <col min="1038" max="1038" width="8.7109375" style="1" customWidth="1"/>
    <col min="1039" max="1039" width="8.85546875" style="1"/>
    <col min="1040" max="1040" width="14.28515625" style="1" bestFit="1" customWidth="1"/>
    <col min="1041" max="1280" width="8.85546875" style="1"/>
    <col min="1281" max="1281" width="10.7109375" style="1" customWidth="1"/>
    <col min="1282" max="1282" width="11.85546875" style="1" bestFit="1" customWidth="1"/>
    <col min="1283" max="1283" width="15" style="1" bestFit="1" customWidth="1"/>
    <col min="1284" max="1284" width="14.28515625" style="1" bestFit="1" customWidth="1"/>
    <col min="1285" max="1285" width="15" style="1" bestFit="1" customWidth="1"/>
    <col min="1286" max="1286" width="11.28515625" style="1" bestFit="1" customWidth="1"/>
    <col min="1287" max="1287" width="15" style="1" bestFit="1" customWidth="1"/>
    <col min="1288" max="1288" width="13.140625" style="1" customWidth="1"/>
    <col min="1289" max="1289" width="15" style="1" bestFit="1" customWidth="1"/>
    <col min="1290" max="1290" width="13.42578125" style="1" customWidth="1"/>
    <col min="1291" max="1291" width="15" style="1" bestFit="1" customWidth="1"/>
    <col min="1292" max="1292" width="19.42578125" style="1" bestFit="1" customWidth="1"/>
    <col min="1293" max="1293" width="8.85546875" style="1"/>
    <col min="1294" max="1294" width="8.7109375" style="1" customWidth="1"/>
    <col min="1295" max="1295" width="8.85546875" style="1"/>
    <col min="1296" max="1296" width="14.28515625" style="1" bestFit="1" customWidth="1"/>
    <col min="1297" max="1536" width="8.85546875" style="1"/>
    <col min="1537" max="1537" width="10.7109375" style="1" customWidth="1"/>
    <col min="1538" max="1538" width="11.85546875" style="1" bestFit="1" customWidth="1"/>
    <col min="1539" max="1539" width="15" style="1" bestFit="1" customWidth="1"/>
    <col min="1540" max="1540" width="14.28515625" style="1" bestFit="1" customWidth="1"/>
    <col min="1541" max="1541" width="15" style="1" bestFit="1" customWidth="1"/>
    <col min="1542" max="1542" width="11.28515625" style="1" bestFit="1" customWidth="1"/>
    <col min="1543" max="1543" width="15" style="1" bestFit="1" customWidth="1"/>
    <col min="1544" max="1544" width="13.140625" style="1" customWidth="1"/>
    <col min="1545" max="1545" width="15" style="1" bestFit="1" customWidth="1"/>
    <col min="1546" max="1546" width="13.42578125" style="1" customWidth="1"/>
    <col min="1547" max="1547" width="15" style="1" bestFit="1" customWidth="1"/>
    <col min="1548" max="1548" width="19.42578125" style="1" bestFit="1" customWidth="1"/>
    <col min="1549" max="1549" width="8.85546875" style="1"/>
    <col min="1550" max="1550" width="8.7109375" style="1" customWidth="1"/>
    <col min="1551" max="1551" width="8.85546875" style="1"/>
    <col min="1552" max="1552" width="14.28515625" style="1" bestFit="1" customWidth="1"/>
    <col min="1553" max="1792" width="8.85546875" style="1"/>
    <col min="1793" max="1793" width="10.7109375" style="1" customWidth="1"/>
    <col min="1794" max="1794" width="11.85546875" style="1" bestFit="1" customWidth="1"/>
    <col min="1795" max="1795" width="15" style="1" bestFit="1" customWidth="1"/>
    <col min="1796" max="1796" width="14.28515625" style="1" bestFit="1" customWidth="1"/>
    <col min="1797" max="1797" width="15" style="1" bestFit="1" customWidth="1"/>
    <col min="1798" max="1798" width="11.28515625" style="1" bestFit="1" customWidth="1"/>
    <col min="1799" max="1799" width="15" style="1" bestFit="1" customWidth="1"/>
    <col min="1800" max="1800" width="13.140625" style="1" customWidth="1"/>
    <col min="1801" max="1801" width="15" style="1" bestFit="1" customWidth="1"/>
    <col min="1802" max="1802" width="13.42578125" style="1" customWidth="1"/>
    <col min="1803" max="1803" width="15" style="1" bestFit="1" customWidth="1"/>
    <col min="1804" max="1804" width="19.42578125" style="1" bestFit="1" customWidth="1"/>
    <col min="1805" max="1805" width="8.85546875" style="1"/>
    <col min="1806" max="1806" width="8.7109375" style="1" customWidth="1"/>
    <col min="1807" max="1807" width="8.85546875" style="1"/>
    <col min="1808" max="1808" width="14.28515625" style="1" bestFit="1" customWidth="1"/>
    <col min="1809" max="2048" width="8.85546875" style="1"/>
    <col min="2049" max="2049" width="10.7109375" style="1" customWidth="1"/>
    <col min="2050" max="2050" width="11.85546875" style="1" bestFit="1" customWidth="1"/>
    <col min="2051" max="2051" width="15" style="1" bestFit="1" customWidth="1"/>
    <col min="2052" max="2052" width="14.28515625" style="1" bestFit="1" customWidth="1"/>
    <col min="2053" max="2053" width="15" style="1" bestFit="1" customWidth="1"/>
    <col min="2054" max="2054" width="11.28515625" style="1" bestFit="1" customWidth="1"/>
    <col min="2055" max="2055" width="15" style="1" bestFit="1" customWidth="1"/>
    <col min="2056" max="2056" width="13.140625" style="1" customWidth="1"/>
    <col min="2057" max="2057" width="15" style="1" bestFit="1" customWidth="1"/>
    <col min="2058" max="2058" width="13.42578125" style="1" customWidth="1"/>
    <col min="2059" max="2059" width="15" style="1" bestFit="1" customWidth="1"/>
    <col min="2060" max="2060" width="19.42578125" style="1" bestFit="1" customWidth="1"/>
    <col min="2061" max="2061" width="8.85546875" style="1"/>
    <col min="2062" max="2062" width="8.7109375" style="1" customWidth="1"/>
    <col min="2063" max="2063" width="8.85546875" style="1"/>
    <col min="2064" max="2064" width="14.28515625" style="1" bestFit="1" customWidth="1"/>
    <col min="2065" max="2304" width="8.85546875" style="1"/>
    <col min="2305" max="2305" width="10.7109375" style="1" customWidth="1"/>
    <col min="2306" max="2306" width="11.85546875" style="1" bestFit="1" customWidth="1"/>
    <col min="2307" max="2307" width="15" style="1" bestFit="1" customWidth="1"/>
    <col min="2308" max="2308" width="14.28515625" style="1" bestFit="1" customWidth="1"/>
    <col min="2309" max="2309" width="15" style="1" bestFit="1" customWidth="1"/>
    <col min="2310" max="2310" width="11.28515625" style="1" bestFit="1" customWidth="1"/>
    <col min="2311" max="2311" width="15" style="1" bestFit="1" customWidth="1"/>
    <col min="2312" max="2312" width="13.140625" style="1" customWidth="1"/>
    <col min="2313" max="2313" width="15" style="1" bestFit="1" customWidth="1"/>
    <col min="2314" max="2314" width="13.42578125" style="1" customWidth="1"/>
    <col min="2315" max="2315" width="15" style="1" bestFit="1" customWidth="1"/>
    <col min="2316" max="2316" width="19.42578125" style="1" bestFit="1" customWidth="1"/>
    <col min="2317" max="2317" width="8.85546875" style="1"/>
    <col min="2318" max="2318" width="8.7109375" style="1" customWidth="1"/>
    <col min="2319" max="2319" width="8.85546875" style="1"/>
    <col min="2320" max="2320" width="14.28515625" style="1" bestFit="1" customWidth="1"/>
    <col min="2321" max="2560" width="8.85546875" style="1"/>
    <col min="2561" max="2561" width="10.7109375" style="1" customWidth="1"/>
    <col min="2562" max="2562" width="11.85546875" style="1" bestFit="1" customWidth="1"/>
    <col min="2563" max="2563" width="15" style="1" bestFit="1" customWidth="1"/>
    <col min="2564" max="2564" width="14.28515625" style="1" bestFit="1" customWidth="1"/>
    <col min="2565" max="2565" width="15" style="1" bestFit="1" customWidth="1"/>
    <col min="2566" max="2566" width="11.28515625" style="1" bestFit="1" customWidth="1"/>
    <col min="2567" max="2567" width="15" style="1" bestFit="1" customWidth="1"/>
    <col min="2568" max="2568" width="13.140625" style="1" customWidth="1"/>
    <col min="2569" max="2569" width="15" style="1" bestFit="1" customWidth="1"/>
    <col min="2570" max="2570" width="13.42578125" style="1" customWidth="1"/>
    <col min="2571" max="2571" width="15" style="1" bestFit="1" customWidth="1"/>
    <col min="2572" max="2572" width="19.42578125" style="1" bestFit="1" customWidth="1"/>
    <col min="2573" max="2573" width="8.85546875" style="1"/>
    <col min="2574" max="2574" width="8.7109375" style="1" customWidth="1"/>
    <col min="2575" max="2575" width="8.85546875" style="1"/>
    <col min="2576" max="2576" width="14.28515625" style="1" bestFit="1" customWidth="1"/>
    <col min="2577" max="2816" width="8.85546875" style="1"/>
    <col min="2817" max="2817" width="10.7109375" style="1" customWidth="1"/>
    <col min="2818" max="2818" width="11.85546875" style="1" bestFit="1" customWidth="1"/>
    <col min="2819" max="2819" width="15" style="1" bestFit="1" customWidth="1"/>
    <col min="2820" max="2820" width="14.28515625" style="1" bestFit="1" customWidth="1"/>
    <col min="2821" max="2821" width="15" style="1" bestFit="1" customWidth="1"/>
    <col min="2822" max="2822" width="11.28515625" style="1" bestFit="1" customWidth="1"/>
    <col min="2823" max="2823" width="15" style="1" bestFit="1" customWidth="1"/>
    <col min="2824" max="2824" width="13.140625" style="1" customWidth="1"/>
    <col min="2825" max="2825" width="15" style="1" bestFit="1" customWidth="1"/>
    <col min="2826" max="2826" width="13.42578125" style="1" customWidth="1"/>
    <col min="2827" max="2827" width="15" style="1" bestFit="1" customWidth="1"/>
    <col min="2828" max="2828" width="19.42578125" style="1" bestFit="1" customWidth="1"/>
    <col min="2829" max="2829" width="8.85546875" style="1"/>
    <col min="2830" max="2830" width="8.7109375" style="1" customWidth="1"/>
    <col min="2831" max="2831" width="8.85546875" style="1"/>
    <col min="2832" max="2832" width="14.28515625" style="1" bestFit="1" customWidth="1"/>
    <col min="2833" max="3072" width="8.85546875" style="1"/>
    <col min="3073" max="3073" width="10.7109375" style="1" customWidth="1"/>
    <col min="3074" max="3074" width="11.85546875" style="1" bestFit="1" customWidth="1"/>
    <col min="3075" max="3075" width="15" style="1" bestFit="1" customWidth="1"/>
    <col min="3076" max="3076" width="14.28515625" style="1" bestFit="1" customWidth="1"/>
    <col min="3077" max="3077" width="15" style="1" bestFit="1" customWidth="1"/>
    <col min="3078" max="3078" width="11.28515625" style="1" bestFit="1" customWidth="1"/>
    <col min="3079" max="3079" width="15" style="1" bestFit="1" customWidth="1"/>
    <col min="3080" max="3080" width="13.140625" style="1" customWidth="1"/>
    <col min="3081" max="3081" width="15" style="1" bestFit="1" customWidth="1"/>
    <col min="3082" max="3082" width="13.42578125" style="1" customWidth="1"/>
    <col min="3083" max="3083" width="15" style="1" bestFit="1" customWidth="1"/>
    <col min="3084" max="3084" width="19.42578125" style="1" bestFit="1" customWidth="1"/>
    <col min="3085" max="3085" width="8.85546875" style="1"/>
    <col min="3086" max="3086" width="8.7109375" style="1" customWidth="1"/>
    <col min="3087" max="3087" width="8.85546875" style="1"/>
    <col min="3088" max="3088" width="14.28515625" style="1" bestFit="1" customWidth="1"/>
    <col min="3089" max="3328" width="8.85546875" style="1"/>
    <col min="3329" max="3329" width="10.7109375" style="1" customWidth="1"/>
    <col min="3330" max="3330" width="11.85546875" style="1" bestFit="1" customWidth="1"/>
    <col min="3331" max="3331" width="15" style="1" bestFit="1" customWidth="1"/>
    <col min="3332" max="3332" width="14.28515625" style="1" bestFit="1" customWidth="1"/>
    <col min="3333" max="3333" width="15" style="1" bestFit="1" customWidth="1"/>
    <col min="3334" max="3334" width="11.28515625" style="1" bestFit="1" customWidth="1"/>
    <col min="3335" max="3335" width="15" style="1" bestFit="1" customWidth="1"/>
    <col min="3336" max="3336" width="13.140625" style="1" customWidth="1"/>
    <col min="3337" max="3337" width="15" style="1" bestFit="1" customWidth="1"/>
    <col min="3338" max="3338" width="13.42578125" style="1" customWidth="1"/>
    <col min="3339" max="3339" width="15" style="1" bestFit="1" customWidth="1"/>
    <col min="3340" max="3340" width="19.42578125" style="1" bestFit="1" customWidth="1"/>
    <col min="3341" max="3341" width="8.85546875" style="1"/>
    <col min="3342" max="3342" width="8.7109375" style="1" customWidth="1"/>
    <col min="3343" max="3343" width="8.85546875" style="1"/>
    <col min="3344" max="3344" width="14.28515625" style="1" bestFit="1" customWidth="1"/>
    <col min="3345" max="3584" width="8.85546875" style="1"/>
    <col min="3585" max="3585" width="10.7109375" style="1" customWidth="1"/>
    <col min="3586" max="3586" width="11.85546875" style="1" bestFit="1" customWidth="1"/>
    <col min="3587" max="3587" width="15" style="1" bestFit="1" customWidth="1"/>
    <col min="3588" max="3588" width="14.28515625" style="1" bestFit="1" customWidth="1"/>
    <col min="3589" max="3589" width="15" style="1" bestFit="1" customWidth="1"/>
    <col min="3590" max="3590" width="11.28515625" style="1" bestFit="1" customWidth="1"/>
    <col min="3591" max="3591" width="15" style="1" bestFit="1" customWidth="1"/>
    <col min="3592" max="3592" width="13.140625" style="1" customWidth="1"/>
    <col min="3593" max="3593" width="15" style="1" bestFit="1" customWidth="1"/>
    <col min="3594" max="3594" width="13.42578125" style="1" customWidth="1"/>
    <col min="3595" max="3595" width="15" style="1" bestFit="1" customWidth="1"/>
    <col min="3596" max="3596" width="19.42578125" style="1" bestFit="1" customWidth="1"/>
    <col min="3597" max="3597" width="8.85546875" style="1"/>
    <col min="3598" max="3598" width="8.7109375" style="1" customWidth="1"/>
    <col min="3599" max="3599" width="8.85546875" style="1"/>
    <col min="3600" max="3600" width="14.28515625" style="1" bestFit="1" customWidth="1"/>
    <col min="3601" max="3840" width="8.85546875" style="1"/>
    <col min="3841" max="3841" width="10.7109375" style="1" customWidth="1"/>
    <col min="3842" max="3842" width="11.85546875" style="1" bestFit="1" customWidth="1"/>
    <col min="3843" max="3843" width="15" style="1" bestFit="1" customWidth="1"/>
    <col min="3844" max="3844" width="14.28515625" style="1" bestFit="1" customWidth="1"/>
    <col min="3845" max="3845" width="15" style="1" bestFit="1" customWidth="1"/>
    <col min="3846" max="3846" width="11.28515625" style="1" bestFit="1" customWidth="1"/>
    <col min="3847" max="3847" width="15" style="1" bestFit="1" customWidth="1"/>
    <col min="3848" max="3848" width="13.140625" style="1" customWidth="1"/>
    <col min="3849" max="3849" width="15" style="1" bestFit="1" customWidth="1"/>
    <col min="3850" max="3850" width="13.42578125" style="1" customWidth="1"/>
    <col min="3851" max="3851" width="15" style="1" bestFit="1" customWidth="1"/>
    <col min="3852" max="3852" width="19.42578125" style="1" bestFit="1" customWidth="1"/>
    <col min="3853" max="3853" width="8.85546875" style="1"/>
    <col min="3854" max="3854" width="8.7109375" style="1" customWidth="1"/>
    <col min="3855" max="3855" width="8.85546875" style="1"/>
    <col min="3856" max="3856" width="14.28515625" style="1" bestFit="1" customWidth="1"/>
    <col min="3857" max="4096" width="8.85546875" style="1"/>
    <col min="4097" max="4097" width="10.7109375" style="1" customWidth="1"/>
    <col min="4098" max="4098" width="11.85546875" style="1" bestFit="1" customWidth="1"/>
    <col min="4099" max="4099" width="15" style="1" bestFit="1" customWidth="1"/>
    <col min="4100" max="4100" width="14.28515625" style="1" bestFit="1" customWidth="1"/>
    <col min="4101" max="4101" width="15" style="1" bestFit="1" customWidth="1"/>
    <col min="4102" max="4102" width="11.28515625" style="1" bestFit="1" customWidth="1"/>
    <col min="4103" max="4103" width="15" style="1" bestFit="1" customWidth="1"/>
    <col min="4104" max="4104" width="13.140625" style="1" customWidth="1"/>
    <col min="4105" max="4105" width="15" style="1" bestFit="1" customWidth="1"/>
    <col min="4106" max="4106" width="13.42578125" style="1" customWidth="1"/>
    <col min="4107" max="4107" width="15" style="1" bestFit="1" customWidth="1"/>
    <col min="4108" max="4108" width="19.42578125" style="1" bestFit="1" customWidth="1"/>
    <col min="4109" max="4109" width="8.85546875" style="1"/>
    <col min="4110" max="4110" width="8.7109375" style="1" customWidth="1"/>
    <col min="4111" max="4111" width="8.85546875" style="1"/>
    <col min="4112" max="4112" width="14.28515625" style="1" bestFit="1" customWidth="1"/>
    <col min="4113" max="4352" width="8.85546875" style="1"/>
    <col min="4353" max="4353" width="10.7109375" style="1" customWidth="1"/>
    <col min="4354" max="4354" width="11.85546875" style="1" bestFit="1" customWidth="1"/>
    <col min="4355" max="4355" width="15" style="1" bestFit="1" customWidth="1"/>
    <col min="4356" max="4356" width="14.28515625" style="1" bestFit="1" customWidth="1"/>
    <col min="4357" max="4357" width="15" style="1" bestFit="1" customWidth="1"/>
    <col min="4358" max="4358" width="11.28515625" style="1" bestFit="1" customWidth="1"/>
    <col min="4359" max="4359" width="15" style="1" bestFit="1" customWidth="1"/>
    <col min="4360" max="4360" width="13.140625" style="1" customWidth="1"/>
    <col min="4361" max="4361" width="15" style="1" bestFit="1" customWidth="1"/>
    <col min="4362" max="4362" width="13.42578125" style="1" customWidth="1"/>
    <col min="4363" max="4363" width="15" style="1" bestFit="1" customWidth="1"/>
    <col min="4364" max="4364" width="19.42578125" style="1" bestFit="1" customWidth="1"/>
    <col min="4365" max="4365" width="8.85546875" style="1"/>
    <col min="4366" max="4366" width="8.7109375" style="1" customWidth="1"/>
    <col min="4367" max="4367" width="8.85546875" style="1"/>
    <col min="4368" max="4368" width="14.28515625" style="1" bestFit="1" customWidth="1"/>
    <col min="4369" max="4608" width="8.85546875" style="1"/>
    <col min="4609" max="4609" width="10.7109375" style="1" customWidth="1"/>
    <col min="4610" max="4610" width="11.85546875" style="1" bestFit="1" customWidth="1"/>
    <col min="4611" max="4611" width="15" style="1" bestFit="1" customWidth="1"/>
    <col min="4612" max="4612" width="14.28515625" style="1" bestFit="1" customWidth="1"/>
    <col min="4613" max="4613" width="15" style="1" bestFit="1" customWidth="1"/>
    <col min="4614" max="4614" width="11.28515625" style="1" bestFit="1" customWidth="1"/>
    <col min="4615" max="4615" width="15" style="1" bestFit="1" customWidth="1"/>
    <col min="4616" max="4616" width="13.140625" style="1" customWidth="1"/>
    <col min="4617" max="4617" width="15" style="1" bestFit="1" customWidth="1"/>
    <col min="4618" max="4618" width="13.42578125" style="1" customWidth="1"/>
    <col min="4619" max="4619" width="15" style="1" bestFit="1" customWidth="1"/>
    <col min="4620" max="4620" width="19.42578125" style="1" bestFit="1" customWidth="1"/>
    <col min="4621" max="4621" width="8.85546875" style="1"/>
    <col min="4622" max="4622" width="8.7109375" style="1" customWidth="1"/>
    <col min="4623" max="4623" width="8.85546875" style="1"/>
    <col min="4624" max="4624" width="14.28515625" style="1" bestFit="1" customWidth="1"/>
    <col min="4625" max="4864" width="8.85546875" style="1"/>
    <col min="4865" max="4865" width="10.7109375" style="1" customWidth="1"/>
    <col min="4866" max="4866" width="11.85546875" style="1" bestFit="1" customWidth="1"/>
    <col min="4867" max="4867" width="15" style="1" bestFit="1" customWidth="1"/>
    <col min="4868" max="4868" width="14.28515625" style="1" bestFit="1" customWidth="1"/>
    <col min="4869" max="4869" width="15" style="1" bestFit="1" customWidth="1"/>
    <col min="4870" max="4870" width="11.28515625" style="1" bestFit="1" customWidth="1"/>
    <col min="4871" max="4871" width="15" style="1" bestFit="1" customWidth="1"/>
    <col min="4872" max="4872" width="13.140625" style="1" customWidth="1"/>
    <col min="4873" max="4873" width="15" style="1" bestFit="1" customWidth="1"/>
    <col min="4874" max="4874" width="13.42578125" style="1" customWidth="1"/>
    <col min="4875" max="4875" width="15" style="1" bestFit="1" customWidth="1"/>
    <col min="4876" max="4876" width="19.42578125" style="1" bestFit="1" customWidth="1"/>
    <col min="4877" max="4877" width="8.85546875" style="1"/>
    <col min="4878" max="4878" width="8.7109375" style="1" customWidth="1"/>
    <col min="4879" max="4879" width="8.85546875" style="1"/>
    <col min="4880" max="4880" width="14.28515625" style="1" bestFit="1" customWidth="1"/>
    <col min="4881" max="5120" width="8.85546875" style="1"/>
    <col min="5121" max="5121" width="10.7109375" style="1" customWidth="1"/>
    <col min="5122" max="5122" width="11.85546875" style="1" bestFit="1" customWidth="1"/>
    <col min="5123" max="5123" width="15" style="1" bestFit="1" customWidth="1"/>
    <col min="5124" max="5124" width="14.28515625" style="1" bestFit="1" customWidth="1"/>
    <col min="5125" max="5125" width="15" style="1" bestFit="1" customWidth="1"/>
    <col min="5126" max="5126" width="11.28515625" style="1" bestFit="1" customWidth="1"/>
    <col min="5127" max="5127" width="15" style="1" bestFit="1" customWidth="1"/>
    <col min="5128" max="5128" width="13.140625" style="1" customWidth="1"/>
    <col min="5129" max="5129" width="15" style="1" bestFit="1" customWidth="1"/>
    <col min="5130" max="5130" width="13.42578125" style="1" customWidth="1"/>
    <col min="5131" max="5131" width="15" style="1" bestFit="1" customWidth="1"/>
    <col min="5132" max="5132" width="19.42578125" style="1" bestFit="1" customWidth="1"/>
    <col min="5133" max="5133" width="8.85546875" style="1"/>
    <col min="5134" max="5134" width="8.7109375" style="1" customWidth="1"/>
    <col min="5135" max="5135" width="8.85546875" style="1"/>
    <col min="5136" max="5136" width="14.28515625" style="1" bestFit="1" customWidth="1"/>
    <col min="5137" max="5376" width="8.85546875" style="1"/>
    <col min="5377" max="5377" width="10.7109375" style="1" customWidth="1"/>
    <col min="5378" max="5378" width="11.85546875" style="1" bestFit="1" customWidth="1"/>
    <col min="5379" max="5379" width="15" style="1" bestFit="1" customWidth="1"/>
    <col min="5380" max="5380" width="14.28515625" style="1" bestFit="1" customWidth="1"/>
    <col min="5381" max="5381" width="15" style="1" bestFit="1" customWidth="1"/>
    <col min="5382" max="5382" width="11.28515625" style="1" bestFit="1" customWidth="1"/>
    <col min="5383" max="5383" width="15" style="1" bestFit="1" customWidth="1"/>
    <col min="5384" max="5384" width="13.140625" style="1" customWidth="1"/>
    <col min="5385" max="5385" width="15" style="1" bestFit="1" customWidth="1"/>
    <col min="5386" max="5386" width="13.42578125" style="1" customWidth="1"/>
    <col min="5387" max="5387" width="15" style="1" bestFit="1" customWidth="1"/>
    <col min="5388" max="5388" width="19.42578125" style="1" bestFit="1" customWidth="1"/>
    <col min="5389" max="5389" width="8.85546875" style="1"/>
    <col min="5390" max="5390" width="8.7109375" style="1" customWidth="1"/>
    <col min="5391" max="5391" width="8.85546875" style="1"/>
    <col min="5392" max="5392" width="14.28515625" style="1" bestFit="1" customWidth="1"/>
    <col min="5393" max="5632" width="8.85546875" style="1"/>
    <col min="5633" max="5633" width="10.7109375" style="1" customWidth="1"/>
    <col min="5634" max="5634" width="11.85546875" style="1" bestFit="1" customWidth="1"/>
    <col min="5635" max="5635" width="15" style="1" bestFit="1" customWidth="1"/>
    <col min="5636" max="5636" width="14.28515625" style="1" bestFit="1" customWidth="1"/>
    <col min="5637" max="5637" width="15" style="1" bestFit="1" customWidth="1"/>
    <col min="5638" max="5638" width="11.28515625" style="1" bestFit="1" customWidth="1"/>
    <col min="5639" max="5639" width="15" style="1" bestFit="1" customWidth="1"/>
    <col min="5640" max="5640" width="13.140625" style="1" customWidth="1"/>
    <col min="5641" max="5641" width="15" style="1" bestFit="1" customWidth="1"/>
    <col min="5642" max="5642" width="13.42578125" style="1" customWidth="1"/>
    <col min="5643" max="5643" width="15" style="1" bestFit="1" customWidth="1"/>
    <col min="5644" max="5644" width="19.42578125" style="1" bestFit="1" customWidth="1"/>
    <col min="5645" max="5645" width="8.85546875" style="1"/>
    <col min="5646" max="5646" width="8.7109375" style="1" customWidth="1"/>
    <col min="5647" max="5647" width="8.85546875" style="1"/>
    <col min="5648" max="5648" width="14.28515625" style="1" bestFit="1" customWidth="1"/>
    <col min="5649" max="5888" width="8.85546875" style="1"/>
    <col min="5889" max="5889" width="10.7109375" style="1" customWidth="1"/>
    <col min="5890" max="5890" width="11.85546875" style="1" bestFit="1" customWidth="1"/>
    <col min="5891" max="5891" width="15" style="1" bestFit="1" customWidth="1"/>
    <col min="5892" max="5892" width="14.28515625" style="1" bestFit="1" customWidth="1"/>
    <col min="5893" max="5893" width="15" style="1" bestFit="1" customWidth="1"/>
    <col min="5894" max="5894" width="11.28515625" style="1" bestFit="1" customWidth="1"/>
    <col min="5895" max="5895" width="15" style="1" bestFit="1" customWidth="1"/>
    <col min="5896" max="5896" width="13.140625" style="1" customWidth="1"/>
    <col min="5897" max="5897" width="15" style="1" bestFit="1" customWidth="1"/>
    <col min="5898" max="5898" width="13.42578125" style="1" customWidth="1"/>
    <col min="5899" max="5899" width="15" style="1" bestFit="1" customWidth="1"/>
    <col min="5900" max="5900" width="19.42578125" style="1" bestFit="1" customWidth="1"/>
    <col min="5901" max="5901" width="8.85546875" style="1"/>
    <col min="5902" max="5902" width="8.7109375" style="1" customWidth="1"/>
    <col min="5903" max="5903" width="8.85546875" style="1"/>
    <col min="5904" max="5904" width="14.28515625" style="1" bestFit="1" customWidth="1"/>
    <col min="5905" max="6144" width="8.85546875" style="1"/>
    <col min="6145" max="6145" width="10.7109375" style="1" customWidth="1"/>
    <col min="6146" max="6146" width="11.85546875" style="1" bestFit="1" customWidth="1"/>
    <col min="6147" max="6147" width="15" style="1" bestFit="1" customWidth="1"/>
    <col min="6148" max="6148" width="14.28515625" style="1" bestFit="1" customWidth="1"/>
    <col min="6149" max="6149" width="15" style="1" bestFit="1" customWidth="1"/>
    <col min="6150" max="6150" width="11.28515625" style="1" bestFit="1" customWidth="1"/>
    <col min="6151" max="6151" width="15" style="1" bestFit="1" customWidth="1"/>
    <col min="6152" max="6152" width="13.140625" style="1" customWidth="1"/>
    <col min="6153" max="6153" width="15" style="1" bestFit="1" customWidth="1"/>
    <col min="6154" max="6154" width="13.42578125" style="1" customWidth="1"/>
    <col min="6155" max="6155" width="15" style="1" bestFit="1" customWidth="1"/>
    <col min="6156" max="6156" width="19.42578125" style="1" bestFit="1" customWidth="1"/>
    <col min="6157" max="6157" width="8.85546875" style="1"/>
    <col min="6158" max="6158" width="8.7109375" style="1" customWidth="1"/>
    <col min="6159" max="6159" width="8.85546875" style="1"/>
    <col min="6160" max="6160" width="14.28515625" style="1" bestFit="1" customWidth="1"/>
    <col min="6161" max="6400" width="8.85546875" style="1"/>
    <col min="6401" max="6401" width="10.7109375" style="1" customWidth="1"/>
    <col min="6402" max="6402" width="11.85546875" style="1" bestFit="1" customWidth="1"/>
    <col min="6403" max="6403" width="15" style="1" bestFit="1" customWidth="1"/>
    <col min="6404" max="6404" width="14.28515625" style="1" bestFit="1" customWidth="1"/>
    <col min="6405" max="6405" width="15" style="1" bestFit="1" customWidth="1"/>
    <col min="6406" max="6406" width="11.28515625" style="1" bestFit="1" customWidth="1"/>
    <col min="6407" max="6407" width="15" style="1" bestFit="1" customWidth="1"/>
    <col min="6408" max="6408" width="13.140625" style="1" customWidth="1"/>
    <col min="6409" max="6409" width="15" style="1" bestFit="1" customWidth="1"/>
    <col min="6410" max="6410" width="13.42578125" style="1" customWidth="1"/>
    <col min="6411" max="6411" width="15" style="1" bestFit="1" customWidth="1"/>
    <col min="6412" max="6412" width="19.42578125" style="1" bestFit="1" customWidth="1"/>
    <col min="6413" max="6413" width="8.85546875" style="1"/>
    <col min="6414" max="6414" width="8.7109375" style="1" customWidth="1"/>
    <col min="6415" max="6415" width="8.85546875" style="1"/>
    <col min="6416" max="6416" width="14.28515625" style="1" bestFit="1" customWidth="1"/>
    <col min="6417" max="6656" width="8.85546875" style="1"/>
    <col min="6657" max="6657" width="10.7109375" style="1" customWidth="1"/>
    <col min="6658" max="6658" width="11.85546875" style="1" bestFit="1" customWidth="1"/>
    <col min="6659" max="6659" width="15" style="1" bestFit="1" customWidth="1"/>
    <col min="6660" max="6660" width="14.28515625" style="1" bestFit="1" customWidth="1"/>
    <col min="6661" max="6661" width="15" style="1" bestFit="1" customWidth="1"/>
    <col min="6662" max="6662" width="11.28515625" style="1" bestFit="1" customWidth="1"/>
    <col min="6663" max="6663" width="15" style="1" bestFit="1" customWidth="1"/>
    <col min="6664" max="6664" width="13.140625" style="1" customWidth="1"/>
    <col min="6665" max="6665" width="15" style="1" bestFit="1" customWidth="1"/>
    <col min="6666" max="6666" width="13.42578125" style="1" customWidth="1"/>
    <col min="6667" max="6667" width="15" style="1" bestFit="1" customWidth="1"/>
    <col min="6668" max="6668" width="19.42578125" style="1" bestFit="1" customWidth="1"/>
    <col min="6669" max="6669" width="8.85546875" style="1"/>
    <col min="6670" max="6670" width="8.7109375" style="1" customWidth="1"/>
    <col min="6671" max="6671" width="8.85546875" style="1"/>
    <col min="6672" max="6672" width="14.28515625" style="1" bestFit="1" customWidth="1"/>
    <col min="6673" max="6912" width="8.85546875" style="1"/>
    <col min="6913" max="6913" width="10.7109375" style="1" customWidth="1"/>
    <col min="6914" max="6914" width="11.85546875" style="1" bestFit="1" customWidth="1"/>
    <col min="6915" max="6915" width="15" style="1" bestFit="1" customWidth="1"/>
    <col min="6916" max="6916" width="14.28515625" style="1" bestFit="1" customWidth="1"/>
    <col min="6917" max="6917" width="15" style="1" bestFit="1" customWidth="1"/>
    <col min="6918" max="6918" width="11.28515625" style="1" bestFit="1" customWidth="1"/>
    <col min="6919" max="6919" width="15" style="1" bestFit="1" customWidth="1"/>
    <col min="6920" max="6920" width="13.140625" style="1" customWidth="1"/>
    <col min="6921" max="6921" width="15" style="1" bestFit="1" customWidth="1"/>
    <col min="6922" max="6922" width="13.42578125" style="1" customWidth="1"/>
    <col min="6923" max="6923" width="15" style="1" bestFit="1" customWidth="1"/>
    <col min="6924" max="6924" width="19.42578125" style="1" bestFit="1" customWidth="1"/>
    <col min="6925" max="6925" width="8.85546875" style="1"/>
    <col min="6926" max="6926" width="8.7109375" style="1" customWidth="1"/>
    <col min="6927" max="6927" width="8.85546875" style="1"/>
    <col min="6928" max="6928" width="14.28515625" style="1" bestFit="1" customWidth="1"/>
    <col min="6929" max="7168" width="8.85546875" style="1"/>
    <col min="7169" max="7169" width="10.7109375" style="1" customWidth="1"/>
    <col min="7170" max="7170" width="11.85546875" style="1" bestFit="1" customWidth="1"/>
    <col min="7171" max="7171" width="15" style="1" bestFit="1" customWidth="1"/>
    <col min="7172" max="7172" width="14.28515625" style="1" bestFit="1" customWidth="1"/>
    <col min="7173" max="7173" width="15" style="1" bestFit="1" customWidth="1"/>
    <col min="7174" max="7174" width="11.28515625" style="1" bestFit="1" customWidth="1"/>
    <col min="7175" max="7175" width="15" style="1" bestFit="1" customWidth="1"/>
    <col min="7176" max="7176" width="13.140625" style="1" customWidth="1"/>
    <col min="7177" max="7177" width="15" style="1" bestFit="1" customWidth="1"/>
    <col min="7178" max="7178" width="13.42578125" style="1" customWidth="1"/>
    <col min="7179" max="7179" width="15" style="1" bestFit="1" customWidth="1"/>
    <col min="7180" max="7180" width="19.42578125" style="1" bestFit="1" customWidth="1"/>
    <col min="7181" max="7181" width="8.85546875" style="1"/>
    <col min="7182" max="7182" width="8.7109375" style="1" customWidth="1"/>
    <col min="7183" max="7183" width="8.85546875" style="1"/>
    <col min="7184" max="7184" width="14.28515625" style="1" bestFit="1" customWidth="1"/>
    <col min="7185" max="7424" width="8.85546875" style="1"/>
    <col min="7425" max="7425" width="10.7109375" style="1" customWidth="1"/>
    <col min="7426" max="7426" width="11.85546875" style="1" bestFit="1" customWidth="1"/>
    <col min="7427" max="7427" width="15" style="1" bestFit="1" customWidth="1"/>
    <col min="7428" max="7428" width="14.28515625" style="1" bestFit="1" customWidth="1"/>
    <col min="7429" max="7429" width="15" style="1" bestFit="1" customWidth="1"/>
    <col min="7430" max="7430" width="11.28515625" style="1" bestFit="1" customWidth="1"/>
    <col min="7431" max="7431" width="15" style="1" bestFit="1" customWidth="1"/>
    <col min="7432" max="7432" width="13.140625" style="1" customWidth="1"/>
    <col min="7433" max="7433" width="15" style="1" bestFit="1" customWidth="1"/>
    <col min="7434" max="7434" width="13.42578125" style="1" customWidth="1"/>
    <col min="7435" max="7435" width="15" style="1" bestFit="1" customWidth="1"/>
    <col min="7436" max="7436" width="19.42578125" style="1" bestFit="1" customWidth="1"/>
    <col min="7437" max="7437" width="8.85546875" style="1"/>
    <col min="7438" max="7438" width="8.7109375" style="1" customWidth="1"/>
    <col min="7439" max="7439" width="8.85546875" style="1"/>
    <col min="7440" max="7440" width="14.28515625" style="1" bestFit="1" customWidth="1"/>
    <col min="7441" max="7680" width="8.85546875" style="1"/>
    <col min="7681" max="7681" width="10.7109375" style="1" customWidth="1"/>
    <col min="7682" max="7682" width="11.85546875" style="1" bestFit="1" customWidth="1"/>
    <col min="7683" max="7683" width="15" style="1" bestFit="1" customWidth="1"/>
    <col min="7684" max="7684" width="14.28515625" style="1" bestFit="1" customWidth="1"/>
    <col min="7685" max="7685" width="15" style="1" bestFit="1" customWidth="1"/>
    <col min="7686" max="7686" width="11.28515625" style="1" bestFit="1" customWidth="1"/>
    <col min="7687" max="7687" width="15" style="1" bestFit="1" customWidth="1"/>
    <col min="7688" max="7688" width="13.140625" style="1" customWidth="1"/>
    <col min="7689" max="7689" width="15" style="1" bestFit="1" customWidth="1"/>
    <col min="7690" max="7690" width="13.42578125" style="1" customWidth="1"/>
    <col min="7691" max="7691" width="15" style="1" bestFit="1" customWidth="1"/>
    <col min="7692" max="7692" width="19.42578125" style="1" bestFit="1" customWidth="1"/>
    <col min="7693" max="7693" width="8.85546875" style="1"/>
    <col min="7694" max="7694" width="8.7109375" style="1" customWidth="1"/>
    <col min="7695" max="7695" width="8.85546875" style="1"/>
    <col min="7696" max="7696" width="14.28515625" style="1" bestFit="1" customWidth="1"/>
    <col min="7697" max="7936" width="8.85546875" style="1"/>
    <col min="7937" max="7937" width="10.7109375" style="1" customWidth="1"/>
    <col min="7938" max="7938" width="11.85546875" style="1" bestFit="1" customWidth="1"/>
    <col min="7939" max="7939" width="15" style="1" bestFit="1" customWidth="1"/>
    <col min="7940" max="7940" width="14.28515625" style="1" bestFit="1" customWidth="1"/>
    <col min="7941" max="7941" width="15" style="1" bestFit="1" customWidth="1"/>
    <col min="7942" max="7942" width="11.28515625" style="1" bestFit="1" customWidth="1"/>
    <col min="7943" max="7943" width="15" style="1" bestFit="1" customWidth="1"/>
    <col min="7944" max="7944" width="13.140625" style="1" customWidth="1"/>
    <col min="7945" max="7945" width="15" style="1" bestFit="1" customWidth="1"/>
    <col min="7946" max="7946" width="13.42578125" style="1" customWidth="1"/>
    <col min="7947" max="7947" width="15" style="1" bestFit="1" customWidth="1"/>
    <col min="7948" max="7948" width="19.42578125" style="1" bestFit="1" customWidth="1"/>
    <col min="7949" max="7949" width="8.85546875" style="1"/>
    <col min="7950" max="7950" width="8.7109375" style="1" customWidth="1"/>
    <col min="7951" max="7951" width="8.85546875" style="1"/>
    <col min="7952" max="7952" width="14.28515625" style="1" bestFit="1" customWidth="1"/>
    <col min="7953" max="8192" width="8.85546875" style="1"/>
    <col min="8193" max="8193" width="10.7109375" style="1" customWidth="1"/>
    <col min="8194" max="8194" width="11.85546875" style="1" bestFit="1" customWidth="1"/>
    <col min="8195" max="8195" width="15" style="1" bestFit="1" customWidth="1"/>
    <col min="8196" max="8196" width="14.28515625" style="1" bestFit="1" customWidth="1"/>
    <col min="8197" max="8197" width="15" style="1" bestFit="1" customWidth="1"/>
    <col min="8198" max="8198" width="11.28515625" style="1" bestFit="1" customWidth="1"/>
    <col min="8199" max="8199" width="15" style="1" bestFit="1" customWidth="1"/>
    <col min="8200" max="8200" width="13.140625" style="1" customWidth="1"/>
    <col min="8201" max="8201" width="15" style="1" bestFit="1" customWidth="1"/>
    <col min="8202" max="8202" width="13.42578125" style="1" customWidth="1"/>
    <col min="8203" max="8203" width="15" style="1" bestFit="1" customWidth="1"/>
    <col min="8204" max="8204" width="19.42578125" style="1" bestFit="1" customWidth="1"/>
    <col min="8205" max="8205" width="8.85546875" style="1"/>
    <col min="8206" max="8206" width="8.7109375" style="1" customWidth="1"/>
    <col min="8207" max="8207" width="8.85546875" style="1"/>
    <col min="8208" max="8208" width="14.28515625" style="1" bestFit="1" customWidth="1"/>
    <col min="8209" max="8448" width="8.85546875" style="1"/>
    <col min="8449" max="8449" width="10.7109375" style="1" customWidth="1"/>
    <col min="8450" max="8450" width="11.85546875" style="1" bestFit="1" customWidth="1"/>
    <col min="8451" max="8451" width="15" style="1" bestFit="1" customWidth="1"/>
    <col min="8452" max="8452" width="14.28515625" style="1" bestFit="1" customWidth="1"/>
    <col min="8453" max="8453" width="15" style="1" bestFit="1" customWidth="1"/>
    <col min="8454" max="8454" width="11.28515625" style="1" bestFit="1" customWidth="1"/>
    <col min="8455" max="8455" width="15" style="1" bestFit="1" customWidth="1"/>
    <col min="8456" max="8456" width="13.140625" style="1" customWidth="1"/>
    <col min="8457" max="8457" width="15" style="1" bestFit="1" customWidth="1"/>
    <col min="8458" max="8458" width="13.42578125" style="1" customWidth="1"/>
    <col min="8459" max="8459" width="15" style="1" bestFit="1" customWidth="1"/>
    <col min="8460" max="8460" width="19.42578125" style="1" bestFit="1" customWidth="1"/>
    <col min="8461" max="8461" width="8.85546875" style="1"/>
    <col min="8462" max="8462" width="8.7109375" style="1" customWidth="1"/>
    <col min="8463" max="8463" width="8.85546875" style="1"/>
    <col min="8464" max="8464" width="14.28515625" style="1" bestFit="1" customWidth="1"/>
    <col min="8465" max="8704" width="8.85546875" style="1"/>
    <col min="8705" max="8705" width="10.7109375" style="1" customWidth="1"/>
    <col min="8706" max="8706" width="11.85546875" style="1" bestFit="1" customWidth="1"/>
    <col min="8707" max="8707" width="15" style="1" bestFit="1" customWidth="1"/>
    <col min="8708" max="8708" width="14.28515625" style="1" bestFit="1" customWidth="1"/>
    <col min="8709" max="8709" width="15" style="1" bestFit="1" customWidth="1"/>
    <col min="8710" max="8710" width="11.28515625" style="1" bestFit="1" customWidth="1"/>
    <col min="8711" max="8711" width="15" style="1" bestFit="1" customWidth="1"/>
    <col min="8712" max="8712" width="13.140625" style="1" customWidth="1"/>
    <col min="8713" max="8713" width="15" style="1" bestFit="1" customWidth="1"/>
    <col min="8714" max="8714" width="13.42578125" style="1" customWidth="1"/>
    <col min="8715" max="8715" width="15" style="1" bestFit="1" customWidth="1"/>
    <col min="8716" max="8716" width="19.42578125" style="1" bestFit="1" customWidth="1"/>
    <col min="8717" max="8717" width="8.85546875" style="1"/>
    <col min="8718" max="8718" width="8.7109375" style="1" customWidth="1"/>
    <col min="8719" max="8719" width="8.85546875" style="1"/>
    <col min="8720" max="8720" width="14.28515625" style="1" bestFit="1" customWidth="1"/>
    <col min="8721" max="8960" width="8.85546875" style="1"/>
    <col min="8961" max="8961" width="10.7109375" style="1" customWidth="1"/>
    <col min="8962" max="8962" width="11.85546875" style="1" bestFit="1" customWidth="1"/>
    <col min="8963" max="8963" width="15" style="1" bestFit="1" customWidth="1"/>
    <col min="8964" max="8964" width="14.28515625" style="1" bestFit="1" customWidth="1"/>
    <col min="8965" max="8965" width="15" style="1" bestFit="1" customWidth="1"/>
    <col min="8966" max="8966" width="11.28515625" style="1" bestFit="1" customWidth="1"/>
    <col min="8967" max="8967" width="15" style="1" bestFit="1" customWidth="1"/>
    <col min="8968" max="8968" width="13.140625" style="1" customWidth="1"/>
    <col min="8969" max="8969" width="15" style="1" bestFit="1" customWidth="1"/>
    <col min="8970" max="8970" width="13.42578125" style="1" customWidth="1"/>
    <col min="8971" max="8971" width="15" style="1" bestFit="1" customWidth="1"/>
    <col min="8972" max="8972" width="19.42578125" style="1" bestFit="1" customWidth="1"/>
    <col min="8973" max="8973" width="8.85546875" style="1"/>
    <col min="8974" max="8974" width="8.7109375" style="1" customWidth="1"/>
    <col min="8975" max="8975" width="8.85546875" style="1"/>
    <col min="8976" max="8976" width="14.28515625" style="1" bestFit="1" customWidth="1"/>
    <col min="8977" max="9216" width="8.85546875" style="1"/>
    <col min="9217" max="9217" width="10.7109375" style="1" customWidth="1"/>
    <col min="9218" max="9218" width="11.85546875" style="1" bestFit="1" customWidth="1"/>
    <col min="9219" max="9219" width="15" style="1" bestFit="1" customWidth="1"/>
    <col min="9220" max="9220" width="14.28515625" style="1" bestFit="1" customWidth="1"/>
    <col min="9221" max="9221" width="15" style="1" bestFit="1" customWidth="1"/>
    <col min="9222" max="9222" width="11.28515625" style="1" bestFit="1" customWidth="1"/>
    <col min="9223" max="9223" width="15" style="1" bestFit="1" customWidth="1"/>
    <col min="9224" max="9224" width="13.140625" style="1" customWidth="1"/>
    <col min="9225" max="9225" width="15" style="1" bestFit="1" customWidth="1"/>
    <col min="9226" max="9226" width="13.42578125" style="1" customWidth="1"/>
    <col min="9227" max="9227" width="15" style="1" bestFit="1" customWidth="1"/>
    <col min="9228" max="9228" width="19.42578125" style="1" bestFit="1" customWidth="1"/>
    <col min="9229" max="9229" width="8.85546875" style="1"/>
    <col min="9230" max="9230" width="8.7109375" style="1" customWidth="1"/>
    <col min="9231" max="9231" width="8.85546875" style="1"/>
    <col min="9232" max="9232" width="14.28515625" style="1" bestFit="1" customWidth="1"/>
    <col min="9233" max="9472" width="8.85546875" style="1"/>
    <col min="9473" max="9473" width="10.7109375" style="1" customWidth="1"/>
    <col min="9474" max="9474" width="11.85546875" style="1" bestFit="1" customWidth="1"/>
    <col min="9475" max="9475" width="15" style="1" bestFit="1" customWidth="1"/>
    <col min="9476" max="9476" width="14.28515625" style="1" bestFit="1" customWidth="1"/>
    <col min="9477" max="9477" width="15" style="1" bestFit="1" customWidth="1"/>
    <col min="9478" max="9478" width="11.28515625" style="1" bestFit="1" customWidth="1"/>
    <col min="9479" max="9479" width="15" style="1" bestFit="1" customWidth="1"/>
    <col min="9480" max="9480" width="13.140625" style="1" customWidth="1"/>
    <col min="9481" max="9481" width="15" style="1" bestFit="1" customWidth="1"/>
    <col min="9482" max="9482" width="13.42578125" style="1" customWidth="1"/>
    <col min="9483" max="9483" width="15" style="1" bestFit="1" customWidth="1"/>
    <col min="9484" max="9484" width="19.42578125" style="1" bestFit="1" customWidth="1"/>
    <col min="9485" max="9485" width="8.85546875" style="1"/>
    <col min="9486" max="9486" width="8.7109375" style="1" customWidth="1"/>
    <col min="9487" max="9487" width="8.85546875" style="1"/>
    <col min="9488" max="9488" width="14.28515625" style="1" bestFit="1" customWidth="1"/>
    <col min="9489" max="9728" width="8.85546875" style="1"/>
    <col min="9729" max="9729" width="10.7109375" style="1" customWidth="1"/>
    <col min="9730" max="9730" width="11.85546875" style="1" bestFit="1" customWidth="1"/>
    <col min="9731" max="9731" width="15" style="1" bestFit="1" customWidth="1"/>
    <col min="9732" max="9732" width="14.28515625" style="1" bestFit="1" customWidth="1"/>
    <col min="9733" max="9733" width="15" style="1" bestFit="1" customWidth="1"/>
    <col min="9734" max="9734" width="11.28515625" style="1" bestFit="1" customWidth="1"/>
    <col min="9735" max="9735" width="15" style="1" bestFit="1" customWidth="1"/>
    <col min="9736" max="9736" width="13.140625" style="1" customWidth="1"/>
    <col min="9737" max="9737" width="15" style="1" bestFit="1" customWidth="1"/>
    <col min="9738" max="9738" width="13.42578125" style="1" customWidth="1"/>
    <col min="9739" max="9739" width="15" style="1" bestFit="1" customWidth="1"/>
    <col min="9740" max="9740" width="19.42578125" style="1" bestFit="1" customWidth="1"/>
    <col min="9741" max="9741" width="8.85546875" style="1"/>
    <col min="9742" max="9742" width="8.7109375" style="1" customWidth="1"/>
    <col min="9743" max="9743" width="8.85546875" style="1"/>
    <col min="9744" max="9744" width="14.28515625" style="1" bestFit="1" customWidth="1"/>
    <col min="9745" max="9984" width="8.85546875" style="1"/>
    <col min="9985" max="9985" width="10.7109375" style="1" customWidth="1"/>
    <col min="9986" max="9986" width="11.85546875" style="1" bestFit="1" customWidth="1"/>
    <col min="9987" max="9987" width="15" style="1" bestFit="1" customWidth="1"/>
    <col min="9988" max="9988" width="14.28515625" style="1" bestFit="1" customWidth="1"/>
    <col min="9989" max="9989" width="15" style="1" bestFit="1" customWidth="1"/>
    <col min="9990" max="9990" width="11.28515625" style="1" bestFit="1" customWidth="1"/>
    <col min="9991" max="9991" width="15" style="1" bestFit="1" customWidth="1"/>
    <col min="9992" max="9992" width="13.140625" style="1" customWidth="1"/>
    <col min="9993" max="9993" width="15" style="1" bestFit="1" customWidth="1"/>
    <col min="9994" max="9994" width="13.42578125" style="1" customWidth="1"/>
    <col min="9995" max="9995" width="15" style="1" bestFit="1" customWidth="1"/>
    <col min="9996" max="9996" width="19.42578125" style="1" bestFit="1" customWidth="1"/>
    <col min="9997" max="9997" width="8.85546875" style="1"/>
    <col min="9998" max="9998" width="8.7109375" style="1" customWidth="1"/>
    <col min="9999" max="9999" width="8.85546875" style="1"/>
    <col min="10000" max="10000" width="14.28515625" style="1" bestFit="1" customWidth="1"/>
    <col min="10001" max="10240" width="8.85546875" style="1"/>
    <col min="10241" max="10241" width="10.7109375" style="1" customWidth="1"/>
    <col min="10242" max="10242" width="11.85546875" style="1" bestFit="1" customWidth="1"/>
    <col min="10243" max="10243" width="15" style="1" bestFit="1" customWidth="1"/>
    <col min="10244" max="10244" width="14.28515625" style="1" bestFit="1" customWidth="1"/>
    <col min="10245" max="10245" width="15" style="1" bestFit="1" customWidth="1"/>
    <col min="10246" max="10246" width="11.28515625" style="1" bestFit="1" customWidth="1"/>
    <col min="10247" max="10247" width="15" style="1" bestFit="1" customWidth="1"/>
    <col min="10248" max="10248" width="13.140625" style="1" customWidth="1"/>
    <col min="10249" max="10249" width="15" style="1" bestFit="1" customWidth="1"/>
    <col min="10250" max="10250" width="13.42578125" style="1" customWidth="1"/>
    <col min="10251" max="10251" width="15" style="1" bestFit="1" customWidth="1"/>
    <col min="10252" max="10252" width="19.42578125" style="1" bestFit="1" customWidth="1"/>
    <col min="10253" max="10253" width="8.85546875" style="1"/>
    <col min="10254" max="10254" width="8.7109375" style="1" customWidth="1"/>
    <col min="10255" max="10255" width="8.85546875" style="1"/>
    <col min="10256" max="10256" width="14.28515625" style="1" bestFit="1" customWidth="1"/>
    <col min="10257" max="10496" width="8.85546875" style="1"/>
    <col min="10497" max="10497" width="10.7109375" style="1" customWidth="1"/>
    <col min="10498" max="10498" width="11.85546875" style="1" bestFit="1" customWidth="1"/>
    <col min="10499" max="10499" width="15" style="1" bestFit="1" customWidth="1"/>
    <col min="10500" max="10500" width="14.28515625" style="1" bestFit="1" customWidth="1"/>
    <col min="10501" max="10501" width="15" style="1" bestFit="1" customWidth="1"/>
    <col min="10502" max="10502" width="11.28515625" style="1" bestFit="1" customWidth="1"/>
    <col min="10503" max="10503" width="15" style="1" bestFit="1" customWidth="1"/>
    <col min="10504" max="10504" width="13.140625" style="1" customWidth="1"/>
    <col min="10505" max="10505" width="15" style="1" bestFit="1" customWidth="1"/>
    <col min="10506" max="10506" width="13.42578125" style="1" customWidth="1"/>
    <col min="10507" max="10507" width="15" style="1" bestFit="1" customWidth="1"/>
    <col min="10508" max="10508" width="19.42578125" style="1" bestFit="1" customWidth="1"/>
    <col min="10509" max="10509" width="8.85546875" style="1"/>
    <col min="10510" max="10510" width="8.7109375" style="1" customWidth="1"/>
    <col min="10511" max="10511" width="8.85546875" style="1"/>
    <col min="10512" max="10512" width="14.28515625" style="1" bestFit="1" customWidth="1"/>
    <col min="10513" max="10752" width="8.85546875" style="1"/>
    <col min="10753" max="10753" width="10.7109375" style="1" customWidth="1"/>
    <col min="10754" max="10754" width="11.85546875" style="1" bestFit="1" customWidth="1"/>
    <col min="10755" max="10755" width="15" style="1" bestFit="1" customWidth="1"/>
    <col min="10756" max="10756" width="14.28515625" style="1" bestFit="1" customWidth="1"/>
    <col min="10757" max="10757" width="15" style="1" bestFit="1" customWidth="1"/>
    <col min="10758" max="10758" width="11.28515625" style="1" bestFit="1" customWidth="1"/>
    <col min="10759" max="10759" width="15" style="1" bestFit="1" customWidth="1"/>
    <col min="10760" max="10760" width="13.140625" style="1" customWidth="1"/>
    <col min="10761" max="10761" width="15" style="1" bestFit="1" customWidth="1"/>
    <col min="10762" max="10762" width="13.42578125" style="1" customWidth="1"/>
    <col min="10763" max="10763" width="15" style="1" bestFit="1" customWidth="1"/>
    <col min="10764" max="10764" width="19.42578125" style="1" bestFit="1" customWidth="1"/>
    <col min="10765" max="10765" width="8.85546875" style="1"/>
    <col min="10766" max="10766" width="8.7109375" style="1" customWidth="1"/>
    <col min="10767" max="10767" width="8.85546875" style="1"/>
    <col min="10768" max="10768" width="14.28515625" style="1" bestFit="1" customWidth="1"/>
    <col min="10769" max="11008" width="8.85546875" style="1"/>
    <col min="11009" max="11009" width="10.7109375" style="1" customWidth="1"/>
    <col min="11010" max="11010" width="11.85546875" style="1" bestFit="1" customWidth="1"/>
    <col min="11011" max="11011" width="15" style="1" bestFit="1" customWidth="1"/>
    <col min="11012" max="11012" width="14.28515625" style="1" bestFit="1" customWidth="1"/>
    <col min="11013" max="11013" width="15" style="1" bestFit="1" customWidth="1"/>
    <col min="11014" max="11014" width="11.28515625" style="1" bestFit="1" customWidth="1"/>
    <col min="11015" max="11015" width="15" style="1" bestFit="1" customWidth="1"/>
    <col min="11016" max="11016" width="13.140625" style="1" customWidth="1"/>
    <col min="11017" max="11017" width="15" style="1" bestFit="1" customWidth="1"/>
    <col min="11018" max="11018" width="13.42578125" style="1" customWidth="1"/>
    <col min="11019" max="11019" width="15" style="1" bestFit="1" customWidth="1"/>
    <col min="11020" max="11020" width="19.42578125" style="1" bestFit="1" customWidth="1"/>
    <col min="11021" max="11021" width="8.85546875" style="1"/>
    <col min="11022" max="11022" width="8.7109375" style="1" customWidth="1"/>
    <col min="11023" max="11023" width="8.85546875" style="1"/>
    <col min="11024" max="11024" width="14.28515625" style="1" bestFit="1" customWidth="1"/>
    <col min="11025" max="11264" width="8.85546875" style="1"/>
    <col min="11265" max="11265" width="10.7109375" style="1" customWidth="1"/>
    <col min="11266" max="11266" width="11.85546875" style="1" bestFit="1" customWidth="1"/>
    <col min="11267" max="11267" width="15" style="1" bestFit="1" customWidth="1"/>
    <col min="11268" max="11268" width="14.28515625" style="1" bestFit="1" customWidth="1"/>
    <col min="11269" max="11269" width="15" style="1" bestFit="1" customWidth="1"/>
    <col min="11270" max="11270" width="11.28515625" style="1" bestFit="1" customWidth="1"/>
    <col min="11271" max="11271" width="15" style="1" bestFit="1" customWidth="1"/>
    <col min="11272" max="11272" width="13.140625" style="1" customWidth="1"/>
    <col min="11273" max="11273" width="15" style="1" bestFit="1" customWidth="1"/>
    <col min="11274" max="11274" width="13.42578125" style="1" customWidth="1"/>
    <col min="11275" max="11275" width="15" style="1" bestFit="1" customWidth="1"/>
    <col min="11276" max="11276" width="19.42578125" style="1" bestFit="1" customWidth="1"/>
    <col min="11277" max="11277" width="8.85546875" style="1"/>
    <col min="11278" max="11278" width="8.7109375" style="1" customWidth="1"/>
    <col min="11279" max="11279" width="8.85546875" style="1"/>
    <col min="11280" max="11280" width="14.28515625" style="1" bestFit="1" customWidth="1"/>
    <col min="11281" max="11520" width="8.85546875" style="1"/>
    <col min="11521" max="11521" width="10.7109375" style="1" customWidth="1"/>
    <col min="11522" max="11522" width="11.85546875" style="1" bestFit="1" customWidth="1"/>
    <col min="11523" max="11523" width="15" style="1" bestFit="1" customWidth="1"/>
    <col min="11524" max="11524" width="14.28515625" style="1" bestFit="1" customWidth="1"/>
    <col min="11525" max="11525" width="15" style="1" bestFit="1" customWidth="1"/>
    <col min="11526" max="11526" width="11.28515625" style="1" bestFit="1" customWidth="1"/>
    <col min="11527" max="11527" width="15" style="1" bestFit="1" customWidth="1"/>
    <col min="11528" max="11528" width="13.140625" style="1" customWidth="1"/>
    <col min="11529" max="11529" width="15" style="1" bestFit="1" customWidth="1"/>
    <col min="11530" max="11530" width="13.42578125" style="1" customWidth="1"/>
    <col min="11531" max="11531" width="15" style="1" bestFit="1" customWidth="1"/>
    <col min="11532" max="11532" width="19.42578125" style="1" bestFit="1" customWidth="1"/>
    <col min="11533" max="11533" width="8.85546875" style="1"/>
    <col min="11534" max="11534" width="8.7109375" style="1" customWidth="1"/>
    <col min="11535" max="11535" width="8.85546875" style="1"/>
    <col min="11536" max="11536" width="14.28515625" style="1" bestFit="1" customWidth="1"/>
    <col min="11537" max="11776" width="8.85546875" style="1"/>
    <col min="11777" max="11777" width="10.7109375" style="1" customWidth="1"/>
    <col min="11778" max="11778" width="11.85546875" style="1" bestFit="1" customWidth="1"/>
    <col min="11779" max="11779" width="15" style="1" bestFit="1" customWidth="1"/>
    <col min="11780" max="11780" width="14.28515625" style="1" bestFit="1" customWidth="1"/>
    <col min="11781" max="11781" width="15" style="1" bestFit="1" customWidth="1"/>
    <col min="11782" max="11782" width="11.28515625" style="1" bestFit="1" customWidth="1"/>
    <col min="11783" max="11783" width="15" style="1" bestFit="1" customWidth="1"/>
    <col min="11784" max="11784" width="13.140625" style="1" customWidth="1"/>
    <col min="11785" max="11785" width="15" style="1" bestFit="1" customWidth="1"/>
    <col min="11786" max="11786" width="13.42578125" style="1" customWidth="1"/>
    <col min="11787" max="11787" width="15" style="1" bestFit="1" customWidth="1"/>
    <col min="11788" max="11788" width="19.42578125" style="1" bestFit="1" customWidth="1"/>
    <col min="11789" max="11789" width="8.85546875" style="1"/>
    <col min="11790" max="11790" width="8.7109375" style="1" customWidth="1"/>
    <col min="11791" max="11791" width="8.85546875" style="1"/>
    <col min="11792" max="11792" width="14.28515625" style="1" bestFit="1" customWidth="1"/>
    <col min="11793" max="12032" width="8.85546875" style="1"/>
    <col min="12033" max="12033" width="10.7109375" style="1" customWidth="1"/>
    <col min="12034" max="12034" width="11.85546875" style="1" bestFit="1" customWidth="1"/>
    <col min="12035" max="12035" width="15" style="1" bestFit="1" customWidth="1"/>
    <col min="12036" max="12036" width="14.28515625" style="1" bestFit="1" customWidth="1"/>
    <col min="12037" max="12037" width="15" style="1" bestFit="1" customWidth="1"/>
    <col min="12038" max="12038" width="11.28515625" style="1" bestFit="1" customWidth="1"/>
    <col min="12039" max="12039" width="15" style="1" bestFit="1" customWidth="1"/>
    <col min="12040" max="12040" width="13.140625" style="1" customWidth="1"/>
    <col min="12041" max="12041" width="15" style="1" bestFit="1" customWidth="1"/>
    <col min="12042" max="12042" width="13.42578125" style="1" customWidth="1"/>
    <col min="12043" max="12043" width="15" style="1" bestFit="1" customWidth="1"/>
    <col min="12044" max="12044" width="19.42578125" style="1" bestFit="1" customWidth="1"/>
    <col min="12045" max="12045" width="8.85546875" style="1"/>
    <col min="12046" max="12046" width="8.7109375" style="1" customWidth="1"/>
    <col min="12047" max="12047" width="8.85546875" style="1"/>
    <col min="12048" max="12048" width="14.28515625" style="1" bestFit="1" customWidth="1"/>
    <col min="12049" max="12288" width="8.85546875" style="1"/>
    <col min="12289" max="12289" width="10.7109375" style="1" customWidth="1"/>
    <col min="12290" max="12290" width="11.85546875" style="1" bestFit="1" customWidth="1"/>
    <col min="12291" max="12291" width="15" style="1" bestFit="1" customWidth="1"/>
    <col min="12292" max="12292" width="14.28515625" style="1" bestFit="1" customWidth="1"/>
    <col min="12293" max="12293" width="15" style="1" bestFit="1" customWidth="1"/>
    <col min="12294" max="12294" width="11.28515625" style="1" bestFit="1" customWidth="1"/>
    <col min="12295" max="12295" width="15" style="1" bestFit="1" customWidth="1"/>
    <col min="12296" max="12296" width="13.140625" style="1" customWidth="1"/>
    <col min="12297" max="12297" width="15" style="1" bestFit="1" customWidth="1"/>
    <col min="12298" max="12298" width="13.42578125" style="1" customWidth="1"/>
    <col min="12299" max="12299" width="15" style="1" bestFit="1" customWidth="1"/>
    <col min="12300" max="12300" width="19.42578125" style="1" bestFit="1" customWidth="1"/>
    <col min="12301" max="12301" width="8.85546875" style="1"/>
    <col min="12302" max="12302" width="8.7109375" style="1" customWidth="1"/>
    <col min="12303" max="12303" width="8.85546875" style="1"/>
    <col min="12304" max="12304" width="14.28515625" style="1" bestFit="1" customWidth="1"/>
    <col min="12305" max="12544" width="8.85546875" style="1"/>
    <col min="12545" max="12545" width="10.7109375" style="1" customWidth="1"/>
    <col min="12546" max="12546" width="11.85546875" style="1" bestFit="1" customWidth="1"/>
    <col min="12547" max="12547" width="15" style="1" bestFit="1" customWidth="1"/>
    <col min="12548" max="12548" width="14.28515625" style="1" bestFit="1" customWidth="1"/>
    <col min="12549" max="12549" width="15" style="1" bestFit="1" customWidth="1"/>
    <col min="12550" max="12550" width="11.28515625" style="1" bestFit="1" customWidth="1"/>
    <col min="12551" max="12551" width="15" style="1" bestFit="1" customWidth="1"/>
    <col min="12552" max="12552" width="13.140625" style="1" customWidth="1"/>
    <col min="12553" max="12553" width="15" style="1" bestFit="1" customWidth="1"/>
    <col min="12554" max="12554" width="13.42578125" style="1" customWidth="1"/>
    <col min="12555" max="12555" width="15" style="1" bestFit="1" customWidth="1"/>
    <col min="12556" max="12556" width="19.42578125" style="1" bestFit="1" customWidth="1"/>
    <col min="12557" max="12557" width="8.85546875" style="1"/>
    <col min="12558" max="12558" width="8.7109375" style="1" customWidth="1"/>
    <col min="12559" max="12559" width="8.85546875" style="1"/>
    <col min="12560" max="12560" width="14.28515625" style="1" bestFit="1" customWidth="1"/>
    <col min="12561" max="12800" width="8.85546875" style="1"/>
    <col min="12801" max="12801" width="10.7109375" style="1" customWidth="1"/>
    <col min="12802" max="12802" width="11.85546875" style="1" bestFit="1" customWidth="1"/>
    <col min="12803" max="12803" width="15" style="1" bestFit="1" customWidth="1"/>
    <col min="12804" max="12804" width="14.28515625" style="1" bestFit="1" customWidth="1"/>
    <col min="12805" max="12805" width="15" style="1" bestFit="1" customWidth="1"/>
    <col min="12806" max="12806" width="11.28515625" style="1" bestFit="1" customWidth="1"/>
    <col min="12807" max="12807" width="15" style="1" bestFit="1" customWidth="1"/>
    <col min="12808" max="12808" width="13.140625" style="1" customWidth="1"/>
    <col min="12809" max="12809" width="15" style="1" bestFit="1" customWidth="1"/>
    <col min="12810" max="12810" width="13.42578125" style="1" customWidth="1"/>
    <col min="12811" max="12811" width="15" style="1" bestFit="1" customWidth="1"/>
    <col min="12812" max="12812" width="19.42578125" style="1" bestFit="1" customWidth="1"/>
    <col min="12813" max="12813" width="8.85546875" style="1"/>
    <col min="12814" max="12814" width="8.7109375" style="1" customWidth="1"/>
    <col min="12815" max="12815" width="8.85546875" style="1"/>
    <col min="12816" max="12816" width="14.28515625" style="1" bestFit="1" customWidth="1"/>
    <col min="12817" max="13056" width="8.85546875" style="1"/>
    <col min="13057" max="13057" width="10.7109375" style="1" customWidth="1"/>
    <col min="13058" max="13058" width="11.85546875" style="1" bestFit="1" customWidth="1"/>
    <col min="13059" max="13059" width="15" style="1" bestFit="1" customWidth="1"/>
    <col min="13060" max="13060" width="14.28515625" style="1" bestFit="1" customWidth="1"/>
    <col min="13061" max="13061" width="15" style="1" bestFit="1" customWidth="1"/>
    <col min="13062" max="13062" width="11.28515625" style="1" bestFit="1" customWidth="1"/>
    <col min="13063" max="13063" width="15" style="1" bestFit="1" customWidth="1"/>
    <col min="13064" max="13064" width="13.140625" style="1" customWidth="1"/>
    <col min="13065" max="13065" width="15" style="1" bestFit="1" customWidth="1"/>
    <col min="13066" max="13066" width="13.42578125" style="1" customWidth="1"/>
    <col min="13067" max="13067" width="15" style="1" bestFit="1" customWidth="1"/>
    <col min="13068" max="13068" width="19.42578125" style="1" bestFit="1" customWidth="1"/>
    <col min="13069" max="13069" width="8.85546875" style="1"/>
    <col min="13070" max="13070" width="8.7109375" style="1" customWidth="1"/>
    <col min="13071" max="13071" width="8.85546875" style="1"/>
    <col min="13072" max="13072" width="14.28515625" style="1" bestFit="1" customWidth="1"/>
    <col min="13073" max="13312" width="8.85546875" style="1"/>
    <col min="13313" max="13313" width="10.7109375" style="1" customWidth="1"/>
    <col min="13314" max="13314" width="11.85546875" style="1" bestFit="1" customWidth="1"/>
    <col min="13315" max="13315" width="15" style="1" bestFit="1" customWidth="1"/>
    <col min="13316" max="13316" width="14.28515625" style="1" bestFit="1" customWidth="1"/>
    <col min="13317" max="13317" width="15" style="1" bestFit="1" customWidth="1"/>
    <col min="13318" max="13318" width="11.28515625" style="1" bestFit="1" customWidth="1"/>
    <col min="13319" max="13319" width="15" style="1" bestFit="1" customWidth="1"/>
    <col min="13320" max="13320" width="13.140625" style="1" customWidth="1"/>
    <col min="13321" max="13321" width="15" style="1" bestFit="1" customWidth="1"/>
    <col min="13322" max="13322" width="13.42578125" style="1" customWidth="1"/>
    <col min="13323" max="13323" width="15" style="1" bestFit="1" customWidth="1"/>
    <col min="13324" max="13324" width="19.42578125" style="1" bestFit="1" customWidth="1"/>
    <col min="13325" max="13325" width="8.85546875" style="1"/>
    <col min="13326" max="13326" width="8.7109375" style="1" customWidth="1"/>
    <col min="13327" max="13327" width="8.85546875" style="1"/>
    <col min="13328" max="13328" width="14.28515625" style="1" bestFit="1" customWidth="1"/>
    <col min="13329" max="13568" width="8.85546875" style="1"/>
    <col min="13569" max="13569" width="10.7109375" style="1" customWidth="1"/>
    <col min="13570" max="13570" width="11.85546875" style="1" bestFit="1" customWidth="1"/>
    <col min="13571" max="13571" width="15" style="1" bestFit="1" customWidth="1"/>
    <col min="13572" max="13572" width="14.28515625" style="1" bestFit="1" customWidth="1"/>
    <col min="13573" max="13573" width="15" style="1" bestFit="1" customWidth="1"/>
    <col min="13574" max="13574" width="11.28515625" style="1" bestFit="1" customWidth="1"/>
    <col min="13575" max="13575" width="15" style="1" bestFit="1" customWidth="1"/>
    <col min="13576" max="13576" width="13.140625" style="1" customWidth="1"/>
    <col min="13577" max="13577" width="15" style="1" bestFit="1" customWidth="1"/>
    <col min="13578" max="13578" width="13.42578125" style="1" customWidth="1"/>
    <col min="13579" max="13579" width="15" style="1" bestFit="1" customWidth="1"/>
    <col min="13580" max="13580" width="19.42578125" style="1" bestFit="1" customWidth="1"/>
    <col min="13581" max="13581" width="8.85546875" style="1"/>
    <col min="13582" max="13582" width="8.7109375" style="1" customWidth="1"/>
    <col min="13583" max="13583" width="8.85546875" style="1"/>
    <col min="13584" max="13584" width="14.28515625" style="1" bestFit="1" customWidth="1"/>
    <col min="13585" max="13824" width="8.85546875" style="1"/>
    <col min="13825" max="13825" width="10.7109375" style="1" customWidth="1"/>
    <col min="13826" max="13826" width="11.85546875" style="1" bestFit="1" customWidth="1"/>
    <col min="13827" max="13827" width="15" style="1" bestFit="1" customWidth="1"/>
    <col min="13828" max="13828" width="14.28515625" style="1" bestFit="1" customWidth="1"/>
    <col min="13829" max="13829" width="15" style="1" bestFit="1" customWidth="1"/>
    <col min="13830" max="13830" width="11.28515625" style="1" bestFit="1" customWidth="1"/>
    <col min="13831" max="13831" width="15" style="1" bestFit="1" customWidth="1"/>
    <col min="13832" max="13832" width="13.140625" style="1" customWidth="1"/>
    <col min="13833" max="13833" width="15" style="1" bestFit="1" customWidth="1"/>
    <col min="13834" max="13834" width="13.42578125" style="1" customWidth="1"/>
    <col min="13835" max="13835" width="15" style="1" bestFit="1" customWidth="1"/>
    <col min="13836" max="13836" width="19.42578125" style="1" bestFit="1" customWidth="1"/>
    <col min="13837" max="13837" width="8.85546875" style="1"/>
    <col min="13838" max="13838" width="8.7109375" style="1" customWidth="1"/>
    <col min="13839" max="13839" width="8.85546875" style="1"/>
    <col min="13840" max="13840" width="14.28515625" style="1" bestFit="1" customWidth="1"/>
    <col min="13841" max="14080" width="8.85546875" style="1"/>
    <col min="14081" max="14081" width="10.7109375" style="1" customWidth="1"/>
    <col min="14082" max="14082" width="11.85546875" style="1" bestFit="1" customWidth="1"/>
    <col min="14083" max="14083" width="15" style="1" bestFit="1" customWidth="1"/>
    <col min="14084" max="14084" width="14.28515625" style="1" bestFit="1" customWidth="1"/>
    <col min="14085" max="14085" width="15" style="1" bestFit="1" customWidth="1"/>
    <col min="14086" max="14086" width="11.28515625" style="1" bestFit="1" customWidth="1"/>
    <col min="14087" max="14087" width="15" style="1" bestFit="1" customWidth="1"/>
    <col min="14088" max="14088" width="13.140625" style="1" customWidth="1"/>
    <col min="14089" max="14089" width="15" style="1" bestFit="1" customWidth="1"/>
    <col min="14090" max="14090" width="13.42578125" style="1" customWidth="1"/>
    <col min="14091" max="14091" width="15" style="1" bestFit="1" customWidth="1"/>
    <col min="14092" max="14092" width="19.42578125" style="1" bestFit="1" customWidth="1"/>
    <col min="14093" max="14093" width="8.85546875" style="1"/>
    <col min="14094" max="14094" width="8.7109375" style="1" customWidth="1"/>
    <col min="14095" max="14095" width="8.85546875" style="1"/>
    <col min="14096" max="14096" width="14.28515625" style="1" bestFit="1" customWidth="1"/>
    <col min="14097" max="14336" width="8.85546875" style="1"/>
    <col min="14337" max="14337" width="10.7109375" style="1" customWidth="1"/>
    <col min="14338" max="14338" width="11.85546875" style="1" bestFit="1" customWidth="1"/>
    <col min="14339" max="14339" width="15" style="1" bestFit="1" customWidth="1"/>
    <col min="14340" max="14340" width="14.28515625" style="1" bestFit="1" customWidth="1"/>
    <col min="14341" max="14341" width="15" style="1" bestFit="1" customWidth="1"/>
    <col min="14342" max="14342" width="11.28515625" style="1" bestFit="1" customWidth="1"/>
    <col min="14343" max="14343" width="15" style="1" bestFit="1" customWidth="1"/>
    <col min="14344" max="14344" width="13.140625" style="1" customWidth="1"/>
    <col min="14345" max="14345" width="15" style="1" bestFit="1" customWidth="1"/>
    <col min="14346" max="14346" width="13.42578125" style="1" customWidth="1"/>
    <col min="14347" max="14347" width="15" style="1" bestFit="1" customWidth="1"/>
    <col min="14348" max="14348" width="19.42578125" style="1" bestFit="1" customWidth="1"/>
    <col min="14349" max="14349" width="8.85546875" style="1"/>
    <col min="14350" max="14350" width="8.7109375" style="1" customWidth="1"/>
    <col min="14351" max="14351" width="8.85546875" style="1"/>
    <col min="14352" max="14352" width="14.28515625" style="1" bestFit="1" customWidth="1"/>
    <col min="14353" max="14592" width="8.85546875" style="1"/>
    <col min="14593" max="14593" width="10.7109375" style="1" customWidth="1"/>
    <col min="14594" max="14594" width="11.85546875" style="1" bestFit="1" customWidth="1"/>
    <col min="14595" max="14595" width="15" style="1" bestFit="1" customWidth="1"/>
    <col min="14596" max="14596" width="14.28515625" style="1" bestFit="1" customWidth="1"/>
    <col min="14597" max="14597" width="15" style="1" bestFit="1" customWidth="1"/>
    <col min="14598" max="14598" width="11.28515625" style="1" bestFit="1" customWidth="1"/>
    <col min="14599" max="14599" width="15" style="1" bestFit="1" customWidth="1"/>
    <col min="14600" max="14600" width="13.140625" style="1" customWidth="1"/>
    <col min="14601" max="14601" width="15" style="1" bestFit="1" customWidth="1"/>
    <col min="14602" max="14602" width="13.42578125" style="1" customWidth="1"/>
    <col min="14603" max="14603" width="15" style="1" bestFit="1" customWidth="1"/>
    <col min="14604" max="14604" width="19.42578125" style="1" bestFit="1" customWidth="1"/>
    <col min="14605" max="14605" width="8.85546875" style="1"/>
    <col min="14606" max="14606" width="8.7109375" style="1" customWidth="1"/>
    <col min="14607" max="14607" width="8.85546875" style="1"/>
    <col min="14608" max="14608" width="14.28515625" style="1" bestFit="1" customWidth="1"/>
    <col min="14609" max="14848" width="8.85546875" style="1"/>
    <col min="14849" max="14849" width="10.7109375" style="1" customWidth="1"/>
    <col min="14850" max="14850" width="11.85546875" style="1" bestFit="1" customWidth="1"/>
    <col min="14851" max="14851" width="15" style="1" bestFit="1" customWidth="1"/>
    <col min="14852" max="14852" width="14.28515625" style="1" bestFit="1" customWidth="1"/>
    <col min="14853" max="14853" width="15" style="1" bestFit="1" customWidth="1"/>
    <col min="14854" max="14854" width="11.28515625" style="1" bestFit="1" customWidth="1"/>
    <col min="14855" max="14855" width="15" style="1" bestFit="1" customWidth="1"/>
    <col min="14856" max="14856" width="13.140625" style="1" customWidth="1"/>
    <col min="14857" max="14857" width="15" style="1" bestFit="1" customWidth="1"/>
    <col min="14858" max="14858" width="13.42578125" style="1" customWidth="1"/>
    <col min="14859" max="14859" width="15" style="1" bestFit="1" customWidth="1"/>
    <col min="14860" max="14860" width="19.42578125" style="1" bestFit="1" customWidth="1"/>
    <col min="14861" max="14861" width="8.85546875" style="1"/>
    <col min="14862" max="14862" width="8.7109375" style="1" customWidth="1"/>
    <col min="14863" max="14863" width="8.85546875" style="1"/>
    <col min="14864" max="14864" width="14.28515625" style="1" bestFit="1" customWidth="1"/>
    <col min="14865" max="15104" width="8.85546875" style="1"/>
    <col min="15105" max="15105" width="10.7109375" style="1" customWidth="1"/>
    <col min="15106" max="15106" width="11.85546875" style="1" bestFit="1" customWidth="1"/>
    <col min="15107" max="15107" width="15" style="1" bestFit="1" customWidth="1"/>
    <col min="15108" max="15108" width="14.28515625" style="1" bestFit="1" customWidth="1"/>
    <col min="15109" max="15109" width="15" style="1" bestFit="1" customWidth="1"/>
    <col min="15110" max="15110" width="11.28515625" style="1" bestFit="1" customWidth="1"/>
    <col min="15111" max="15111" width="15" style="1" bestFit="1" customWidth="1"/>
    <col min="15112" max="15112" width="13.140625" style="1" customWidth="1"/>
    <col min="15113" max="15113" width="15" style="1" bestFit="1" customWidth="1"/>
    <col min="15114" max="15114" width="13.42578125" style="1" customWidth="1"/>
    <col min="15115" max="15115" width="15" style="1" bestFit="1" customWidth="1"/>
    <col min="15116" max="15116" width="19.42578125" style="1" bestFit="1" customWidth="1"/>
    <col min="15117" max="15117" width="8.85546875" style="1"/>
    <col min="15118" max="15118" width="8.7109375" style="1" customWidth="1"/>
    <col min="15119" max="15119" width="8.85546875" style="1"/>
    <col min="15120" max="15120" width="14.28515625" style="1" bestFit="1" customWidth="1"/>
    <col min="15121" max="15360" width="8.85546875" style="1"/>
    <col min="15361" max="15361" width="10.7109375" style="1" customWidth="1"/>
    <col min="15362" max="15362" width="11.85546875" style="1" bestFit="1" customWidth="1"/>
    <col min="15363" max="15363" width="15" style="1" bestFit="1" customWidth="1"/>
    <col min="15364" max="15364" width="14.28515625" style="1" bestFit="1" customWidth="1"/>
    <col min="15365" max="15365" width="15" style="1" bestFit="1" customWidth="1"/>
    <col min="15366" max="15366" width="11.28515625" style="1" bestFit="1" customWidth="1"/>
    <col min="15367" max="15367" width="15" style="1" bestFit="1" customWidth="1"/>
    <col min="15368" max="15368" width="13.140625" style="1" customWidth="1"/>
    <col min="15369" max="15369" width="15" style="1" bestFit="1" customWidth="1"/>
    <col min="15370" max="15370" width="13.42578125" style="1" customWidth="1"/>
    <col min="15371" max="15371" width="15" style="1" bestFit="1" customWidth="1"/>
    <col min="15372" max="15372" width="19.42578125" style="1" bestFit="1" customWidth="1"/>
    <col min="15373" max="15373" width="8.85546875" style="1"/>
    <col min="15374" max="15374" width="8.7109375" style="1" customWidth="1"/>
    <col min="15375" max="15375" width="8.85546875" style="1"/>
    <col min="15376" max="15376" width="14.28515625" style="1" bestFit="1" customWidth="1"/>
    <col min="15377" max="15616" width="8.85546875" style="1"/>
    <col min="15617" max="15617" width="10.7109375" style="1" customWidth="1"/>
    <col min="15618" max="15618" width="11.85546875" style="1" bestFit="1" customWidth="1"/>
    <col min="15619" max="15619" width="15" style="1" bestFit="1" customWidth="1"/>
    <col min="15620" max="15620" width="14.28515625" style="1" bestFit="1" customWidth="1"/>
    <col min="15621" max="15621" width="15" style="1" bestFit="1" customWidth="1"/>
    <col min="15622" max="15622" width="11.28515625" style="1" bestFit="1" customWidth="1"/>
    <col min="15623" max="15623" width="15" style="1" bestFit="1" customWidth="1"/>
    <col min="15624" max="15624" width="13.140625" style="1" customWidth="1"/>
    <col min="15625" max="15625" width="15" style="1" bestFit="1" customWidth="1"/>
    <col min="15626" max="15626" width="13.42578125" style="1" customWidth="1"/>
    <col min="15627" max="15627" width="15" style="1" bestFit="1" customWidth="1"/>
    <col min="15628" max="15628" width="19.42578125" style="1" bestFit="1" customWidth="1"/>
    <col min="15629" max="15629" width="8.85546875" style="1"/>
    <col min="15630" max="15630" width="8.7109375" style="1" customWidth="1"/>
    <col min="15631" max="15631" width="8.85546875" style="1"/>
    <col min="15632" max="15632" width="14.28515625" style="1" bestFit="1" customWidth="1"/>
    <col min="15633" max="15872" width="8.85546875" style="1"/>
    <col min="15873" max="15873" width="10.7109375" style="1" customWidth="1"/>
    <col min="15874" max="15874" width="11.85546875" style="1" bestFit="1" customWidth="1"/>
    <col min="15875" max="15875" width="15" style="1" bestFit="1" customWidth="1"/>
    <col min="15876" max="15876" width="14.28515625" style="1" bestFit="1" customWidth="1"/>
    <col min="15877" max="15877" width="15" style="1" bestFit="1" customWidth="1"/>
    <col min="15878" max="15878" width="11.28515625" style="1" bestFit="1" customWidth="1"/>
    <col min="15879" max="15879" width="15" style="1" bestFit="1" customWidth="1"/>
    <col min="15880" max="15880" width="13.140625" style="1" customWidth="1"/>
    <col min="15881" max="15881" width="15" style="1" bestFit="1" customWidth="1"/>
    <col min="15882" max="15882" width="13.42578125" style="1" customWidth="1"/>
    <col min="15883" max="15883" width="15" style="1" bestFit="1" customWidth="1"/>
    <col min="15884" max="15884" width="19.42578125" style="1" bestFit="1" customWidth="1"/>
    <col min="15885" max="15885" width="8.85546875" style="1"/>
    <col min="15886" max="15886" width="8.7109375" style="1" customWidth="1"/>
    <col min="15887" max="15887" width="8.85546875" style="1"/>
    <col min="15888" max="15888" width="14.28515625" style="1" bestFit="1" customWidth="1"/>
    <col min="15889" max="16128" width="8.85546875" style="1"/>
    <col min="16129" max="16129" width="10.7109375" style="1" customWidth="1"/>
    <col min="16130" max="16130" width="11.85546875" style="1" bestFit="1" customWidth="1"/>
    <col min="16131" max="16131" width="15" style="1" bestFit="1" customWidth="1"/>
    <col min="16132" max="16132" width="14.28515625" style="1" bestFit="1" customWidth="1"/>
    <col min="16133" max="16133" width="15" style="1" bestFit="1" customWidth="1"/>
    <col min="16134" max="16134" width="11.28515625" style="1" bestFit="1" customWidth="1"/>
    <col min="16135" max="16135" width="15" style="1" bestFit="1" customWidth="1"/>
    <col min="16136" max="16136" width="13.140625" style="1" customWidth="1"/>
    <col min="16137" max="16137" width="15" style="1" bestFit="1" customWidth="1"/>
    <col min="16138" max="16138" width="13.42578125" style="1" customWidth="1"/>
    <col min="16139" max="16139" width="15" style="1" bestFit="1" customWidth="1"/>
    <col min="16140" max="16140" width="19.42578125" style="1" bestFit="1" customWidth="1"/>
    <col min="16141" max="16141" width="8.85546875" style="1"/>
    <col min="16142" max="16142" width="8.7109375" style="1" customWidth="1"/>
    <col min="16143" max="16143" width="8.85546875" style="1"/>
    <col min="16144" max="16144" width="14.28515625" style="1" bestFit="1" customWidth="1"/>
    <col min="16145" max="16384" width="8.85546875" style="1"/>
  </cols>
  <sheetData>
    <row r="1" spans="1:11" s="6" customFormat="1" ht="20.25" x14ac:dyDescent="0.25">
      <c r="A1" s="30" t="s">
        <v>10</v>
      </c>
      <c r="B1" s="29"/>
      <c r="C1" s="29"/>
      <c r="D1" s="28"/>
      <c r="E1" s="28"/>
      <c r="F1" s="28"/>
      <c r="G1" s="27"/>
      <c r="H1" s="27"/>
      <c r="I1" s="27"/>
      <c r="J1" s="17"/>
      <c r="K1" s="1"/>
    </row>
    <row r="2" spans="1:11" ht="21" thickBot="1" x14ac:dyDescent="0.3">
      <c r="A2" s="30" t="s">
        <v>9</v>
      </c>
      <c r="B2" s="29"/>
      <c r="C2" s="29"/>
      <c r="D2" s="28"/>
      <c r="E2" s="28"/>
      <c r="F2" s="28"/>
      <c r="G2" s="27"/>
      <c r="H2" s="27"/>
      <c r="I2" s="27"/>
      <c r="J2" s="17"/>
    </row>
    <row r="3" spans="1:11" ht="17.25" thickTop="1" x14ac:dyDescent="0.25">
      <c r="A3" s="26"/>
      <c r="B3" s="3435" t="s">
        <v>8</v>
      </c>
      <c r="C3" s="3435" t="s">
        <v>7</v>
      </c>
      <c r="D3" s="3435" t="s">
        <v>6</v>
      </c>
      <c r="E3" s="3435" t="s">
        <v>8</v>
      </c>
      <c r="F3" s="3437" t="s">
        <v>7</v>
      </c>
      <c r="G3" s="3438" t="s">
        <v>6</v>
      </c>
      <c r="H3" s="18"/>
      <c r="I3" s="18"/>
      <c r="J3" s="17"/>
    </row>
    <row r="4" spans="1:11" ht="17.25" thickBot="1" x14ac:dyDescent="0.3">
      <c r="A4" s="25" t="s">
        <v>5</v>
      </c>
      <c r="B4" s="3436"/>
      <c r="C4" s="3436"/>
      <c r="D4" s="3436"/>
      <c r="E4" s="3436"/>
      <c r="F4" s="3436"/>
      <c r="G4" s="3439"/>
      <c r="H4" s="18"/>
      <c r="I4" s="18"/>
      <c r="J4" s="17"/>
    </row>
    <row r="5" spans="1:11" ht="19.5" customHeight="1" thickBot="1" x14ac:dyDescent="0.3">
      <c r="A5" s="24"/>
      <c r="B5" s="3433" t="s">
        <v>4</v>
      </c>
      <c r="C5" s="3433"/>
      <c r="D5" s="3433"/>
      <c r="E5" s="3433" t="s">
        <v>3</v>
      </c>
      <c r="F5" s="3433"/>
      <c r="G5" s="3434"/>
      <c r="H5" s="18"/>
      <c r="I5" s="18"/>
      <c r="J5" s="17"/>
    </row>
    <row r="6" spans="1:11" ht="16.5" hidden="1" customHeight="1" x14ac:dyDescent="0.25">
      <c r="A6" s="20">
        <v>41275</v>
      </c>
      <c r="B6" s="14">
        <v>30.430700000000002</v>
      </c>
      <c r="C6" s="14">
        <v>41.271900000000002</v>
      </c>
      <c r="D6" s="14">
        <v>48.303600000000003</v>
      </c>
      <c r="E6" s="14">
        <v>30.603123809523812</v>
      </c>
      <c r="F6" s="14">
        <v>40.656466666666653</v>
      </c>
      <c r="G6" s="13">
        <v>48.939066666666662</v>
      </c>
      <c r="H6" s="18"/>
      <c r="I6" s="18"/>
      <c r="J6" s="17"/>
    </row>
    <row r="7" spans="1:11" ht="16.5" hidden="1" customHeight="1" x14ac:dyDescent="0.25">
      <c r="A7" s="20">
        <v>41306</v>
      </c>
      <c r="B7" s="14">
        <v>30.850300000000001</v>
      </c>
      <c r="C7" s="14">
        <v>40.475099999999998</v>
      </c>
      <c r="D7" s="14">
        <v>46.942799999999998</v>
      </c>
      <c r="E7" s="14">
        <v>30.654636842105255</v>
      </c>
      <c r="F7" s="14">
        <v>40.882905263157895</v>
      </c>
      <c r="G7" s="13">
        <v>47.462326315789475</v>
      </c>
      <c r="H7" s="18"/>
      <c r="I7" s="18"/>
      <c r="J7" s="17"/>
    </row>
    <row r="8" spans="1:11" ht="16.5" hidden="1" customHeight="1" x14ac:dyDescent="0.25">
      <c r="A8" s="20">
        <v>41334</v>
      </c>
      <c r="B8" s="14">
        <v>31.3004</v>
      </c>
      <c r="C8" s="14">
        <v>40.124299999999998</v>
      </c>
      <c r="D8" s="14">
        <v>47.625500000000002</v>
      </c>
      <c r="E8" s="14">
        <v>31.066909999999996</v>
      </c>
      <c r="F8" s="14">
        <v>40.289155000000001</v>
      </c>
      <c r="G8" s="13">
        <v>46.976050000000001</v>
      </c>
      <c r="H8" s="18"/>
      <c r="I8" s="18"/>
      <c r="J8" s="17"/>
    </row>
    <row r="9" spans="1:11" ht="16.5" hidden="1" customHeight="1" x14ac:dyDescent="0.25">
      <c r="A9" s="20">
        <v>41365</v>
      </c>
      <c r="B9" s="14">
        <v>31.0306</v>
      </c>
      <c r="C9" s="14">
        <v>40.616300000000003</v>
      </c>
      <c r="D9" s="14">
        <v>48.115400000000001</v>
      </c>
      <c r="E9" s="14">
        <v>31.116445000000006</v>
      </c>
      <c r="F9" s="14">
        <v>40.532910000000001</v>
      </c>
      <c r="G9" s="13">
        <v>47.664449999999995</v>
      </c>
      <c r="H9" s="18"/>
      <c r="I9" s="18"/>
      <c r="J9" s="17"/>
    </row>
    <row r="10" spans="1:11" ht="16.5" hidden="1" customHeight="1" x14ac:dyDescent="0.25">
      <c r="A10" s="20">
        <v>41395</v>
      </c>
      <c r="B10" s="14">
        <v>31.124199999999998</v>
      </c>
      <c r="C10" s="14">
        <v>40.674700000000001</v>
      </c>
      <c r="D10" s="14">
        <v>47.593200000000003</v>
      </c>
      <c r="E10" s="14">
        <v>31.167886363636363</v>
      </c>
      <c r="F10" s="14">
        <v>40.473986363636371</v>
      </c>
      <c r="G10" s="13">
        <v>47.741309090909091</v>
      </c>
      <c r="H10" s="18"/>
      <c r="I10" s="18"/>
      <c r="J10" s="17"/>
    </row>
    <row r="11" spans="1:11" ht="16.5" hidden="1" customHeight="1" x14ac:dyDescent="0.25">
      <c r="A11" s="20">
        <v>41426</v>
      </c>
      <c r="B11" s="14">
        <v>31.184000000000001</v>
      </c>
      <c r="C11" s="14">
        <v>40.688499999999998</v>
      </c>
      <c r="D11" s="14">
        <v>47.794499999999999</v>
      </c>
      <c r="E11" s="14">
        <v>30.964214999999996</v>
      </c>
      <c r="F11" s="14">
        <v>40.875264999999999</v>
      </c>
      <c r="G11" s="13">
        <v>48.045384999999996</v>
      </c>
      <c r="H11" s="18"/>
      <c r="I11" s="18"/>
      <c r="J11" s="17"/>
    </row>
    <row r="12" spans="1:11" ht="16.5" hidden="1" customHeight="1" x14ac:dyDescent="0.25">
      <c r="A12" s="20">
        <v>41456</v>
      </c>
      <c r="B12" s="14">
        <v>30.9513</v>
      </c>
      <c r="C12" s="14">
        <v>40.958199999999998</v>
      </c>
      <c r="D12" s="14">
        <v>47.088099999999997</v>
      </c>
      <c r="E12" s="14">
        <v>31.088491304347823</v>
      </c>
      <c r="F12" s="14">
        <v>40.690691304347823</v>
      </c>
      <c r="G12" s="13">
        <v>47.32544782608695</v>
      </c>
      <c r="H12" s="18"/>
      <c r="I12" s="18"/>
      <c r="J12" s="17"/>
    </row>
    <row r="13" spans="1:11" ht="16.5" hidden="1" customHeight="1" x14ac:dyDescent="0.25">
      <c r="A13" s="20">
        <v>41487</v>
      </c>
      <c r="B13" s="14">
        <v>30.9194</v>
      </c>
      <c r="C13" s="14">
        <v>40.973500000000001</v>
      </c>
      <c r="D13" s="14">
        <v>48.167000000000002</v>
      </c>
      <c r="E13" s="14">
        <v>30.870180952380956</v>
      </c>
      <c r="F13" s="14">
        <v>41.119528571428582</v>
      </c>
      <c r="G13" s="13">
        <v>47.858095238095245</v>
      </c>
      <c r="H13" s="18"/>
      <c r="I13" s="18"/>
      <c r="J13" s="17"/>
    </row>
    <row r="14" spans="1:11" ht="16.5" hidden="1" customHeight="1" x14ac:dyDescent="0.25">
      <c r="A14" s="20">
        <v>41518</v>
      </c>
      <c r="B14" s="14">
        <v>30.5107</v>
      </c>
      <c r="C14" s="14">
        <v>41.2699</v>
      </c>
      <c r="D14" s="14">
        <v>49.3065</v>
      </c>
      <c r="E14" s="14">
        <v>30.840750000000003</v>
      </c>
      <c r="F14" s="14">
        <v>41.215094999999998</v>
      </c>
      <c r="G14" s="13">
        <v>49.017115000000004</v>
      </c>
      <c r="H14" s="18"/>
      <c r="I14" s="18"/>
      <c r="J14" s="17"/>
    </row>
    <row r="15" spans="1:11" ht="16.5" hidden="1" customHeight="1" x14ac:dyDescent="0.25">
      <c r="A15" s="20">
        <v>41548</v>
      </c>
      <c r="B15" s="14">
        <v>30.186</v>
      </c>
      <c r="C15" s="14">
        <v>41.391800000000003</v>
      </c>
      <c r="D15" s="14">
        <v>48.579700000000003</v>
      </c>
      <c r="E15" s="14">
        <v>30.381</v>
      </c>
      <c r="F15" s="14">
        <v>41.430999999999997</v>
      </c>
      <c r="G15" s="13">
        <v>48.997</v>
      </c>
      <c r="H15" s="18"/>
      <c r="I15" s="18"/>
      <c r="J15" s="17"/>
    </row>
    <row r="16" spans="1:11" ht="16.5" hidden="1" customHeight="1" x14ac:dyDescent="0.25">
      <c r="A16" s="20">
        <v>41579</v>
      </c>
      <c r="B16" s="14">
        <v>30.365400000000001</v>
      </c>
      <c r="C16" s="14">
        <v>41.359900000000003</v>
      </c>
      <c r="D16" s="14">
        <v>49.6</v>
      </c>
      <c r="E16" s="14">
        <v>30.513550000000002</v>
      </c>
      <c r="F16" s="14">
        <v>41.245615000000001</v>
      </c>
      <c r="G16" s="13">
        <v>49.231155000000008</v>
      </c>
      <c r="H16" s="18"/>
      <c r="I16" s="18"/>
      <c r="J16" s="17"/>
    </row>
    <row r="17" spans="1:10" ht="16.5" hidden="1" customHeight="1" x14ac:dyDescent="0.25">
      <c r="A17" s="20">
        <v>41609</v>
      </c>
      <c r="B17" s="14">
        <v>30.261500000000002</v>
      </c>
      <c r="C17" s="14">
        <v>41.633800000000001</v>
      </c>
      <c r="D17" s="14">
        <v>49.841200000000001</v>
      </c>
      <c r="E17" s="14">
        <v>30.280761904761896</v>
      </c>
      <c r="F17" s="14">
        <v>41.475899999999996</v>
      </c>
      <c r="G17" s="13">
        <v>49.642990476190462</v>
      </c>
      <c r="H17" s="18"/>
      <c r="I17" s="18"/>
      <c r="J17" s="17"/>
    </row>
    <row r="18" spans="1:10" ht="16.5" hidden="1" customHeight="1" x14ac:dyDescent="0.25">
      <c r="A18" s="20">
        <v>41640</v>
      </c>
      <c r="B18" s="14">
        <v>30.334599999999998</v>
      </c>
      <c r="C18" s="14">
        <v>41.370199999999997</v>
      </c>
      <c r="D18" s="14">
        <v>50.411900000000003</v>
      </c>
      <c r="E18" s="14">
        <v>30.334347368421057</v>
      </c>
      <c r="F18" s="14">
        <v>41.345510526315792</v>
      </c>
      <c r="G18" s="13">
        <v>50.067547368421039</v>
      </c>
      <c r="H18" s="18"/>
      <c r="I18" s="18"/>
      <c r="J18" s="17"/>
    </row>
    <row r="19" spans="1:10" ht="16.5" hidden="1" customHeight="1" x14ac:dyDescent="0.25">
      <c r="A19" s="20">
        <v>41671</v>
      </c>
      <c r="B19" s="14">
        <v>30.182300000000001</v>
      </c>
      <c r="C19" s="14">
        <v>41.464199999999998</v>
      </c>
      <c r="D19" s="14">
        <v>50.6616</v>
      </c>
      <c r="E19" s="14">
        <v>30.301788888888893</v>
      </c>
      <c r="F19" s="14">
        <v>41.413055555555559</v>
      </c>
      <c r="G19" s="13">
        <v>50.306766666666668</v>
      </c>
      <c r="H19" s="18"/>
      <c r="I19" s="18"/>
      <c r="J19" s="17"/>
    </row>
    <row r="20" spans="1:10" ht="16.5" hidden="1" customHeight="1" x14ac:dyDescent="0.25">
      <c r="A20" s="20">
        <v>41699</v>
      </c>
      <c r="B20" s="14">
        <v>30.196400000000001</v>
      </c>
      <c r="C20" s="14">
        <v>41.5411</v>
      </c>
      <c r="D20" s="14">
        <v>50.4268</v>
      </c>
      <c r="E20" s="14">
        <v>30.107694736842106</v>
      </c>
      <c r="F20" s="14">
        <v>41.639631578947366</v>
      </c>
      <c r="G20" s="13">
        <v>50.17263157894736</v>
      </c>
      <c r="H20" s="18"/>
      <c r="I20" s="18"/>
      <c r="J20" s="17"/>
    </row>
    <row r="21" spans="1:10" ht="16.5" hidden="1" customHeight="1" x14ac:dyDescent="0.25">
      <c r="A21" s="20">
        <v>41730</v>
      </c>
      <c r="B21" s="14">
        <v>30.079899999999999</v>
      </c>
      <c r="C21" s="14">
        <v>41.506999999999998</v>
      </c>
      <c r="D21" s="14">
        <v>50.912799999999997</v>
      </c>
      <c r="E21" s="14">
        <v>30.104427272727275</v>
      </c>
      <c r="F21" s="14">
        <v>41.582795454545455</v>
      </c>
      <c r="G21" s="13">
        <v>50.567418181818191</v>
      </c>
      <c r="H21" s="18"/>
      <c r="I21" s="18"/>
      <c r="J21" s="17"/>
    </row>
    <row r="22" spans="1:10" ht="16.5" hidden="1" customHeight="1" x14ac:dyDescent="0.25">
      <c r="A22" s="20">
        <v>41760</v>
      </c>
      <c r="B22" s="14">
        <v>30.342099999999999</v>
      </c>
      <c r="C22" s="14">
        <v>41.297800000000002</v>
      </c>
      <c r="D22" s="23">
        <v>50.977800000000002</v>
      </c>
      <c r="E22" s="23">
        <v>30.180161904761899</v>
      </c>
      <c r="F22" s="23">
        <v>41.459180952380954</v>
      </c>
      <c r="G22" s="22">
        <v>51.058476190476192</v>
      </c>
      <c r="H22" s="21"/>
      <c r="I22" s="18"/>
      <c r="J22" s="17"/>
    </row>
    <row r="23" spans="1:10" ht="16.5" hidden="1" customHeight="1" x14ac:dyDescent="0.25">
      <c r="A23" s="20">
        <v>41791</v>
      </c>
      <c r="B23" s="14">
        <v>30.352499999999999</v>
      </c>
      <c r="C23" s="14">
        <v>41.417000000000002</v>
      </c>
      <c r="D23" s="14">
        <v>51.6494</v>
      </c>
      <c r="E23" s="14">
        <v>30.390471428571427</v>
      </c>
      <c r="F23" s="14">
        <v>41.325047619047623</v>
      </c>
      <c r="G23" s="13">
        <v>51.443295238095246</v>
      </c>
      <c r="H23" s="18"/>
      <c r="I23" s="18"/>
      <c r="J23" s="17"/>
    </row>
    <row r="24" spans="1:10" ht="16.5" hidden="1" customHeight="1" x14ac:dyDescent="0.25">
      <c r="A24" s="20">
        <v>41821</v>
      </c>
      <c r="B24" s="14">
        <v>30.631799999999998</v>
      </c>
      <c r="C24" s="14">
        <v>40.9527</v>
      </c>
      <c r="D24" s="14">
        <v>51.8</v>
      </c>
      <c r="E24" s="14">
        <v>30.387900000000002</v>
      </c>
      <c r="F24" s="14">
        <v>41.174877272727265</v>
      </c>
      <c r="G24" s="13">
        <v>52.062963636363634</v>
      </c>
      <c r="H24" s="18"/>
      <c r="I24" s="18"/>
      <c r="J24" s="17"/>
    </row>
    <row r="25" spans="1:10" ht="16.5" hidden="1" customHeight="1" x14ac:dyDescent="0.25">
      <c r="A25" s="20">
        <v>41852</v>
      </c>
      <c r="B25" s="14">
        <v>30.990300000000001</v>
      </c>
      <c r="C25" s="14">
        <v>40.837899999999998</v>
      </c>
      <c r="D25" s="14">
        <v>51.498899999999999</v>
      </c>
      <c r="E25" s="14">
        <v>30.730385000000002</v>
      </c>
      <c r="F25" s="14">
        <v>40.936310000000006</v>
      </c>
      <c r="G25" s="13">
        <v>51.490829999999995</v>
      </c>
      <c r="H25" s="18"/>
      <c r="I25" s="18"/>
      <c r="J25" s="17"/>
    </row>
    <row r="26" spans="1:10" ht="16.5" hidden="1" customHeight="1" x14ac:dyDescent="0.25">
      <c r="A26" s="20">
        <v>41883</v>
      </c>
      <c r="B26" s="14">
        <v>31.4359</v>
      </c>
      <c r="C26" s="14">
        <v>39.856200000000001</v>
      </c>
      <c r="D26" s="14">
        <v>51.328800000000001</v>
      </c>
      <c r="E26" s="14">
        <v>31.273809090909094</v>
      </c>
      <c r="F26" s="14">
        <v>40.420631818181818</v>
      </c>
      <c r="G26" s="13">
        <v>51.156013636363632</v>
      </c>
      <c r="H26" s="18"/>
      <c r="I26" s="18"/>
      <c r="J26" s="17"/>
    </row>
    <row r="27" spans="1:10" ht="16.5" hidden="1" customHeight="1" x14ac:dyDescent="0.25">
      <c r="A27" s="20">
        <v>41913</v>
      </c>
      <c r="B27" s="14">
        <v>31.444500000000001</v>
      </c>
      <c r="C27" s="14">
        <v>39.494900000000001</v>
      </c>
      <c r="D27" s="14">
        <v>50.3752</v>
      </c>
      <c r="E27" s="14">
        <v>31.450813636363645</v>
      </c>
      <c r="F27" s="14">
        <v>39.92524090909091</v>
      </c>
      <c r="G27" s="13">
        <v>50.720499999999994</v>
      </c>
      <c r="H27" s="18"/>
      <c r="I27" s="18"/>
      <c r="J27" s="17"/>
    </row>
    <row r="28" spans="1:10" ht="16.5" hidden="1" customHeight="1" x14ac:dyDescent="0.25">
      <c r="A28" s="20">
        <v>41944</v>
      </c>
      <c r="B28" s="14">
        <v>31.5869</v>
      </c>
      <c r="C28" s="14">
        <v>39.469000000000001</v>
      </c>
      <c r="D28" s="14">
        <v>49.673000000000002</v>
      </c>
      <c r="E28" s="14">
        <v>31.606960000000004</v>
      </c>
      <c r="F28" s="14">
        <v>39.470185000000001</v>
      </c>
      <c r="G28" s="13">
        <v>50.003565000000002</v>
      </c>
      <c r="H28" s="18"/>
      <c r="I28" s="18"/>
      <c r="J28" s="17"/>
    </row>
    <row r="29" spans="1:10" ht="16.5" hidden="1" customHeight="1" x14ac:dyDescent="0.25">
      <c r="A29" s="20">
        <v>41974</v>
      </c>
      <c r="B29" s="14">
        <v>31.883600000000001</v>
      </c>
      <c r="C29" s="14">
        <v>38.831400000000002</v>
      </c>
      <c r="D29" s="14">
        <v>49.82</v>
      </c>
      <c r="E29" s="14">
        <v>31.681861904761906</v>
      </c>
      <c r="F29" s="14">
        <v>39.086842857142855</v>
      </c>
      <c r="G29" s="13">
        <v>49.587885714285711</v>
      </c>
      <c r="H29" s="18"/>
      <c r="I29" s="18"/>
      <c r="J29" s="17"/>
    </row>
    <row r="30" spans="1:10" ht="16.5" hidden="1" customHeight="1" x14ac:dyDescent="0.25">
      <c r="A30" s="20">
        <v>42005</v>
      </c>
      <c r="B30" s="14">
        <v>32.769100000000002</v>
      </c>
      <c r="C30" s="14">
        <v>37.204700000000003</v>
      </c>
      <c r="D30" s="14">
        <v>49.795200000000001</v>
      </c>
      <c r="E30" s="14">
        <v>32.44679</v>
      </c>
      <c r="F30" s="14">
        <v>37.734644999999986</v>
      </c>
      <c r="G30" s="13">
        <v>49.31915</v>
      </c>
      <c r="H30" s="18"/>
      <c r="I30" s="18"/>
      <c r="J30" s="17"/>
    </row>
    <row r="31" spans="1:10" ht="16.5" hidden="1" customHeight="1" x14ac:dyDescent="0.25">
      <c r="A31" s="20">
        <v>42036</v>
      </c>
      <c r="B31" s="14">
        <v>33.496000000000002</v>
      </c>
      <c r="C31" s="14">
        <v>37.521999999999998</v>
      </c>
      <c r="D31" s="14">
        <v>51.804000000000002</v>
      </c>
      <c r="E31" s="14">
        <v>33.163241176470585</v>
      </c>
      <c r="F31" s="14">
        <v>37.696670588235293</v>
      </c>
      <c r="G31" s="13">
        <v>50.946335294117652</v>
      </c>
      <c r="H31" s="18"/>
      <c r="I31" s="18"/>
      <c r="J31" s="17"/>
    </row>
    <row r="32" spans="1:10" ht="16.5" hidden="1" customHeight="1" x14ac:dyDescent="0.25">
      <c r="A32" s="20">
        <v>42064</v>
      </c>
      <c r="B32" s="14">
        <v>36.533700000000003</v>
      </c>
      <c r="C32" s="14">
        <v>39.396999999999998</v>
      </c>
      <c r="D32" s="14">
        <v>54.261800000000001</v>
      </c>
      <c r="E32" s="14">
        <v>35.711238095238095</v>
      </c>
      <c r="F32" s="14">
        <v>38.783804761904761</v>
      </c>
      <c r="G32" s="13">
        <v>53.618961904761917</v>
      </c>
      <c r="H32" s="18"/>
      <c r="I32" s="18"/>
      <c r="J32" s="17"/>
    </row>
    <row r="33" spans="1:10" ht="16.5" hidden="1" customHeight="1" x14ac:dyDescent="0.25">
      <c r="A33" s="20">
        <v>42095</v>
      </c>
      <c r="B33" s="14">
        <v>35.067300000000003</v>
      </c>
      <c r="C33" s="14">
        <v>39.120899999999999</v>
      </c>
      <c r="D33" s="14">
        <v>55.087499999999999</v>
      </c>
      <c r="E33" s="14">
        <v>36.152000000000001</v>
      </c>
      <c r="F33" s="14">
        <v>39.0839</v>
      </c>
      <c r="G33" s="13">
        <v>54.255818181818178</v>
      </c>
      <c r="H33" s="18"/>
      <c r="I33" s="18"/>
      <c r="J33" s="17"/>
    </row>
    <row r="34" spans="1:10" ht="16.5" hidden="1" customHeight="1" x14ac:dyDescent="0.25">
      <c r="A34" s="20">
        <v>42125</v>
      </c>
      <c r="B34" s="14">
        <v>35.526299999999999</v>
      </c>
      <c r="C34" s="14">
        <v>39.037300000000002</v>
      </c>
      <c r="D34" s="14">
        <v>54.902900000000002</v>
      </c>
      <c r="E34" s="14">
        <v>35.10493000000001</v>
      </c>
      <c r="F34" s="14">
        <v>39.225574999999992</v>
      </c>
      <c r="G34" s="13">
        <v>54.551184999999997</v>
      </c>
      <c r="H34" s="18"/>
      <c r="I34" s="18"/>
      <c r="J34" s="17"/>
    </row>
    <row r="35" spans="1:10" ht="16.5" hidden="1" customHeight="1" x14ac:dyDescent="0.25">
      <c r="A35" s="20">
        <v>42156</v>
      </c>
      <c r="B35" s="14">
        <v>35.245600000000003</v>
      </c>
      <c r="C35" s="14">
        <v>39.340800000000002</v>
      </c>
      <c r="D35" s="14">
        <v>55.643099999999997</v>
      </c>
      <c r="E35" s="14">
        <v>35.211413636363638</v>
      </c>
      <c r="F35" s="14">
        <v>39.550413636363629</v>
      </c>
      <c r="G35" s="13">
        <v>55.049790909090916</v>
      </c>
      <c r="H35" s="18"/>
      <c r="I35" s="18"/>
      <c r="J35" s="17"/>
    </row>
    <row r="36" spans="1:10" ht="16.5" hidden="1" customHeight="1" x14ac:dyDescent="0.25">
      <c r="A36" s="20">
        <v>42186</v>
      </c>
      <c r="B36" s="14">
        <v>35.602400000000003</v>
      </c>
      <c r="C36" s="14">
        <v>38.931100000000001</v>
      </c>
      <c r="D36" s="14">
        <v>55.432600000000001</v>
      </c>
      <c r="E36" s="14">
        <v>35.541395652173911</v>
      </c>
      <c r="F36" s="14">
        <v>39.164904347826088</v>
      </c>
      <c r="G36" s="13">
        <v>55.623243478260868</v>
      </c>
      <c r="H36" s="18"/>
      <c r="I36" s="18"/>
      <c r="J36" s="17"/>
    </row>
    <row r="37" spans="1:10" ht="16.5" hidden="1" customHeight="1" x14ac:dyDescent="0.25">
      <c r="A37" s="19">
        <v>42217</v>
      </c>
      <c r="B37" s="14">
        <v>35.357999999999997</v>
      </c>
      <c r="C37" s="14">
        <v>39.658099999999997</v>
      </c>
      <c r="D37" s="14">
        <v>54.506999999999998</v>
      </c>
      <c r="E37" s="14">
        <v>35.451128571428569</v>
      </c>
      <c r="F37" s="14">
        <v>39.56780952380953</v>
      </c>
      <c r="G37" s="13">
        <v>55.555642857142857</v>
      </c>
      <c r="H37" s="18"/>
      <c r="I37" s="18"/>
      <c r="J37" s="17"/>
    </row>
    <row r="38" spans="1:10" ht="19.5" hidden="1" customHeight="1" x14ac:dyDescent="0.25">
      <c r="A38" s="19">
        <v>42248</v>
      </c>
      <c r="B38" s="14">
        <v>35.625900000000001</v>
      </c>
      <c r="C38" s="14">
        <v>40.204599999999999</v>
      </c>
      <c r="D38" s="14">
        <v>54.518000000000001</v>
      </c>
      <c r="E38" s="14">
        <v>35.461142857142853</v>
      </c>
      <c r="F38" s="14">
        <v>39.864480952380951</v>
      </c>
      <c r="G38" s="13">
        <v>54.687228571428577</v>
      </c>
      <c r="H38" s="18"/>
      <c r="I38" s="18"/>
      <c r="J38" s="17"/>
    </row>
    <row r="39" spans="1:10" ht="19.5" hidden="1" customHeight="1" x14ac:dyDescent="0.25">
      <c r="A39" s="19">
        <v>42278</v>
      </c>
      <c r="B39" s="14">
        <v>35.912100000000002</v>
      </c>
      <c r="C39" s="14">
        <v>39.531799999999997</v>
      </c>
      <c r="D39" s="14">
        <v>55.803100000000001</v>
      </c>
      <c r="E39" s="14">
        <v>35.613545454545445</v>
      </c>
      <c r="F39" s="14">
        <v>40.071904545454544</v>
      </c>
      <c r="G39" s="13">
        <v>55.075572727272721</v>
      </c>
      <c r="H39" s="18"/>
      <c r="I39" s="18"/>
      <c r="J39" s="17"/>
    </row>
    <row r="40" spans="1:10" ht="19.5" hidden="1" customHeight="1" x14ac:dyDescent="0.25">
      <c r="A40" s="19">
        <v>42309</v>
      </c>
      <c r="B40" s="14">
        <v>36.3431</v>
      </c>
      <c r="C40" s="14">
        <v>38.615200000000002</v>
      </c>
      <c r="D40" s="14">
        <v>55.118699999999997</v>
      </c>
      <c r="E40" s="14">
        <v>36.209136842105274</v>
      </c>
      <c r="F40" s="14">
        <v>38.965699999999998</v>
      </c>
      <c r="G40" s="13">
        <v>55.402447368421058</v>
      </c>
      <c r="H40" s="18"/>
      <c r="I40" s="18"/>
      <c r="J40" s="17"/>
    </row>
    <row r="41" spans="1:10" ht="19.5" hidden="1" customHeight="1" x14ac:dyDescent="0.25">
      <c r="A41" s="19">
        <v>42339</v>
      </c>
      <c r="B41" s="14">
        <v>36.090899999999998</v>
      </c>
      <c r="C41" s="14">
        <v>39.706899999999997</v>
      </c>
      <c r="D41" s="14">
        <v>54.100499999999997</v>
      </c>
      <c r="E41" s="14">
        <v>36.171272727272729</v>
      </c>
      <c r="F41" s="14">
        <v>39.432181818181817</v>
      </c>
      <c r="G41" s="13">
        <v>54.526572727272722</v>
      </c>
      <c r="H41" s="18"/>
      <c r="I41" s="18"/>
      <c r="J41" s="17"/>
    </row>
    <row r="42" spans="1:10" ht="19.5" hidden="1" customHeight="1" x14ac:dyDescent="0.25">
      <c r="A42" s="19">
        <v>42370</v>
      </c>
      <c r="B42" s="14">
        <v>36.0886</v>
      </c>
      <c r="C42" s="14">
        <v>39.447200000000002</v>
      </c>
      <c r="D42" s="14">
        <v>52.2577</v>
      </c>
      <c r="E42" s="14">
        <v>36.175170000000008</v>
      </c>
      <c r="F42" s="14">
        <v>39.370570000000001</v>
      </c>
      <c r="G42" s="13">
        <v>52.425730000000001</v>
      </c>
      <c r="H42" s="18"/>
      <c r="I42" s="18"/>
      <c r="J42" s="17"/>
    </row>
    <row r="43" spans="1:10" ht="19.5" hidden="1" customHeight="1" x14ac:dyDescent="0.25">
      <c r="A43" s="19">
        <v>42401</v>
      </c>
      <c r="B43" s="14">
        <v>35.965800000000002</v>
      </c>
      <c r="C43" s="14">
        <v>39.363300000000002</v>
      </c>
      <c r="D43" s="14">
        <v>50.029600000000002</v>
      </c>
      <c r="E43" s="14">
        <v>35.814689473684197</v>
      </c>
      <c r="F43" s="14">
        <v>39.801199999999994</v>
      </c>
      <c r="G43" s="13">
        <v>51.539510526315794</v>
      </c>
      <c r="H43" s="18"/>
      <c r="I43" s="18"/>
      <c r="J43" s="17"/>
    </row>
    <row r="44" spans="1:10" ht="19.5" hidden="1" customHeight="1" x14ac:dyDescent="0.25">
      <c r="A44" s="19">
        <v>42430</v>
      </c>
      <c r="B44" s="14">
        <v>35.294499999999999</v>
      </c>
      <c r="C44" s="14">
        <v>40.366399999999999</v>
      </c>
      <c r="D44" s="14">
        <v>50.775799999999997</v>
      </c>
      <c r="E44" s="14">
        <v>35.691613636363634</v>
      </c>
      <c r="F44" s="14">
        <v>39.740290909090909</v>
      </c>
      <c r="G44" s="13">
        <v>51.059077272727272</v>
      </c>
      <c r="H44" s="18"/>
      <c r="I44" s="18"/>
      <c r="J44" s="17"/>
    </row>
    <row r="45" spans="1:10" ht="19.5" hidden="1" customHeight="1" x14ac:dyDescent="0.25">
      <c r="A45" s="19">
        <v>42461</v>
      </c>
      <c r="B45" s="14">
        <v>35.105600000000003</v>
      </c>
      <c r="C45" s="14">
        <v>39.954999999999998</v>
      </c>
      <c r="D45" s="14">
        <v>52.022500000000001</v>
      </c>
      <c r="E45" s="14">
        <v>35.208295</v>
      </c>
      <c r="F45" s="14">
        <v>40.0227</v>
      </c>
      <c r="G45" s="13">
        <v>50.73481000000001</v>
      </c>
      <c r="H45" s="18"/>
      <c r="I45" s="18"/>
      <c r="J45" s="17"/>
    </row>
    <row r="46" spans="1:10" ht="19.5" hidden="1" customHeight="1" x14ac:dyDescent="0.25">
      <c r="A46" s="19">
        <v>42491</v>
      </c>
      <c r="B46" s="14">
        <v>35.6126</v>
      </c>
      <c r="C46" s="14">
        <v>39.799799999999998</v>
      </c>
      <c r="D46" s="14">
        <v>52.490400000000001</v>
      </c>
      <c r="E46" s="14">
        <v>35.301159090909088</v>
      </c>
      <c r="F46" s="14">
        <v>39.967968181818186</v>
      </c>
      <c r="G46" s="13">
        <v>51.646972727272718</v>
      </c>
      <c r="H46" s="18"/>
      <c r="I46" s="18"/>
      <c r="J46" s="17"/>
    </row>
    <row r="47" spans="1:10" ht="19.5" hidden="1" customHeight="1" x14ac:dyDescent="0.25">
      <c r="A47" s="19">
        <v>42522</v>
      </c>
      <c r="B47" s="14">
        <v>35.735599999999998</v>
      </c>
      <c r="C47" s="14">
        <v>39.7483</v>
      </c>
      <c r="D47" s="14">
        <v>48.383800000000001</v>
      </c>
      <c r="E47" s="14">
        <v>35.544613636363636</v>
      </c>
      <c r="F47" s="14">
        <v>39.980518181818177</v>
      </c>
      <c r="G47" s="13">
        <v>50.91941818181818</v>
      </c>
      <c r="H47" s="18"/>
      <c r="I47" s="18"/>
      <c r="J47" s="17"/>
    </row>
    <row r="48" spans="1:10" ht="19.5" hidden="1" customHeight="1" x14ac:dyDescent="0.25">
      <c r="A48" s="19">
        <v>42552</v>
      </c>
      <c r="B48" s="14">
        <v>35.533900000000003</v>
      </c>
      <c r="C48" s="14">
        <v>39.572899999999997</v>
      </c>
      <c r="D48" s="14">
        <v>47.316200000000002</v>
      </c>
      <c r="E48" s="14">
        <v>35.600175</v>
      </c>
      <c r="F48" s="14">
        <v>39.511890000000001</v>
      </c>
      <c r="G48" s="13">
        <v>47.374229999999997</v>
      </c>
      <c r="H48" s="18"/>
      <c r="I48" s="18"/>
      <c r="J48" s="17"/>
    </row>
    <row r="49" spans="1:10" ht="19.5" hidden="1" customHeight="1" x14ac:dyDescent="0.25">
      <c r="A49" s="19">
        <v>42583</v>
      </c>
      <c r="B49" s="14">
        <v>35.378300000000003</v>
      </c>
      <c r="C49" s="14">
        <v>39.672499999999999</v>
      </c>
      <c r="D49" s="14">
        <v>47.089700000000001</v>
      </c>
      <c r="E49" s="14">
        <v>35.355586363636363</v>
      </c>
      <c r="F49" s="14">
        <v>39.750722727272723</v>
      </c>
      <c r="G49" s="13">
        <v>46.890404545454551</v>
      </c>
      <c r="H49" s="18"/>
      <c r="I49" s="18"/>
      <c r="J49" s="17"/>
    </row>
    <row r="50" spans="1:10" ht="19.5" hidden="1" customHeight="1" x14ac:dyDescent="0.25">
      <c r="A50" s="19">
        <v>42614</v>
      </c>
      <c r="B50" s="14">
        <v>35.619999999999997</v>
      </c>
      <c r="C50" s="14">
        <v>39.894300000000001</v>
      </c>
      <c r="D50" s="14">
        <v>46.030200000000001</v>
      </c>
      <c r="E50" s="14">
        <v>35.46364761904762</v>
      </c>
      <c r="F50" s="14">
        <v>39.870876190476189</v>
      </c>
      <c r="G50" s="13">
        <v>47.098304761904764</v>
      </c>
      <c r="H50" s="18"/>
      <c r="I50" s="18"/>
      <c r="J50" s="17"/>
    </row>
    <row r="51" spans="1:10" ht="19.5" hidden="1" customHeight="1" x14ac:dyDescent="0.25">
      <c r="A51" s="19">
        <v>42644</v>
      </c>
      <c r="B51" s="14">
        <v>35.961799999999997</v>
      </c>
      <c r="C51" s="14">
        <v>39.6158</v>
      </c>
      <c r="D51" s="14">
        <v>44.244999999999997</v>
      </c>
      <c r="E51" s="14">
        <v>35.738699999999994</v>
      </c>
      <c r="F51" s="14">
        <v>39.559261904761904</v>
      </c>
      <c r="G51" s="13">
        <v>44.515657142857137</v>
      </c>
      <c r="H51" s="18"/>
      <c r="I51" s="18"/>
      <c r="J51" s="17"/>
    </row>
    <row r="52" spans="1:10" ht="19.5" hidden="1" customHeight="1" x14ac:dyDescent="0.25">
      <c r="A52" s="19">
        <v>42675</v>
      </c>
      <c r="B52" s="14">
        <v>36.109200000000001</v>
      </c>
      <c r="C52" s="14">
        <v>38.628399999999999</v>
      </c>
      <c r="D52" s="14">
        <v>45.381</v>
      </c>
      <c r="E52" s="14">
        <v>35.940314285714287</v>
      </c>
      <c r="F52" s="14">
        <v>38.950295238095229</v>
      </c>
      <c r="G52" s="13">
        <v>45.143271428571417</v>
      </c>
      <c r="H52" s="18"/>
      <c r="I52" s="18"/>
      <c r="J52" s="17"/>
    </row>
    <row r="53" spans="1:10" ht="19.5" hidden="1" customHeight="1" x14ac:dyDescent="0.25">
      <c r="A53" s="19">
        <v>42705</v>
      </c>
      <c r="B53" s="14">
        <v>36.107799999999997</v>
      </c>
      <c r="C53" s="14">
        <v>38.221200000000003</v>
      </c>
      <c r="D53" s="14">
        <v>44.578099999999999</v>
      </c>
      <c r="E53" s="14">
        <v>36.077445454545447</v>
      </c>
      <c r="F53" s="14">
        <v>38.207472727272723</v>
      </c>
      <c r="G53" s="13">
        <v>45.352440909090916</v>
      </c>
      <c r="H53" s="18"/>
      <c r="I53" s="18"/>
      <c r="J53" s="17"/>
    </row>
    <row r="54" spans="1:10" ht="19.5" hidden="1" customHeight="1" x14ac:dyDescent="0.25">
      <c r="A54" s="19">
        <v>42736</v>
      </c>
      <c r="B54" s="14">
        <v>35.847999999999999</v>
      </c>
      <c r="C54" s="14">
        <v>38.584499999999998</v>
      </c>
      <c r="D54" s="14">
        <v>45.059100000000001</v>
      </c>
      <c r="E54" s="14">
        <v>35.951009523809525</v>
      </c>
      <c r="F54" s="14">
        <v>38.386071428571427</v>
      </c>
      <c r="G54" s="13">
        <v>44.697000000000003</v>
      </c>
      <c r="H54" s="18"/>
      <c r="I54" s="18"/>
      <c r="J54" s="17"/>
    </row>
    <row r="55" spans="1:10" ht="19.5" hidden="1" customHeight="1" x14ac:dyDescent="0.25">
      <c r="A55" s="19">
        <v>42767</v>
      </c>
      <c r="B55" s="14">
        <v>35.723500000000001</v>
      </c>
      <c r="C55" s="14">
        <v>38.063200000000002</v>
      </c>
      <c r="D55" s="14">
        <v>45.108800000000002</v>
      </c>
      <c r="E55" s="14">
        <v>35.649535294117641</v>
      </c>
      <c r="F55" s="14">
        <v>38.081417647058821</v>
      </c>
      <c r="G55" s="13">
        <v>45.055194117647055</v>
      </c>
      <c r="H55" s="18"/>
      <c r="I55" s="18"/>
      <c r="J55" s="17"/>
    </row>
    <row r="56" spans="1:10" ht="19.5" hidden="1" customHeight="1" x14ac:dyDescent="0.25">
      <c r="A56" s="19">
        <v>42795</v>
      </c>
      <c r="B56" s="14">
        <v>35.409799999999997</v>
      </c>
      <c r="C56" s="14">
        <v>37.874099999999999</v>
      </c>
      <c r="D56" s="14">
        <v>44.634500000000003</v>
      </c>
      <c r="E56" s="14">
        <v>35.518218181818185</v>
      </c>
      <c r="F56" s="14">
        <v>38.082045454545458</v>
      </c>
      <c r="G56" s="13">
        <v>44.283445454545465</v>
      </c>
      <c r="H56" s="18"/>
      <c r="I56" s="18"/>
      <c r="J56" s="17"/>
    </row>
    <row r="57" spans="1:10" ht="19.5" hidden="1" customHeight="1" x14ac:dyDescent="0.25">
      <c r="A57" s="19">
        <v>42826</v>
      </c>
      <c r="B57" s="14">
        <v>34.976799999999997</v>
      </c>
      <c r="C57" s="14">
        <v>38.186100000000003</v>
      </c>
      <c r="D57" s="14">
        <v>45.686300000000003</v>
      </c>
      <c r="E57" s="14">
        <v>35.341865280975846</v>
      </c>
      <c r="F57" s="14">
        <v>38.046381642788418</v>
      </c>
      <c r="G57" s="13">
        <v>45.018340000000009</v>
      </c>
      <c r="H57" s="18"/>
      <c r="I57" s="18"/>
      <c r="J57" s="17"/>
    </row>
    <row r="58" spans="1:10" ht="19.5" hidden="1" customHeight="1" x14ac:dyDescent="0.25">
      <c r="A58" s="19">
        <v>42856</v>
      </c>
      <c r="B58" s="14">
        <v>34.851870162663502</v>
      </c>
      <c r="C58" s="14">
        <v>39.128784057020397</v>
      </c>
      <c r="D58" s="14">
        <v>45.064499682939598</v>
      </c>
      <c r="E58" s="14">
        <v>34.890059881176406</v>
      </c>
      <c r="F58" s="14">
        <v>38.68710100759305</v>
      </c>
      <c r="G58" s="13">
        <v>45.435134914290302</v>
      </c>
      <c r="H58" s="18"/>
      <c r="I58" s="18"/>
      <c r="J58" s="17"/>
    </row>
    <row r="59" spans="1:10" ht="19.5" hidden="1" customHeight="1" x14ac:dyDescent="0.25">
      <c r="A59" s="19">
        <v>42887</v>
      </c>
      <c r="B59" s="14">
        <v>34.5229</v>
      </c>
      <c r="C59" s="14">
        <v>39.524099999999997</v>
      </c>
      <c r="D59" s="14">
        <v>44.7577</v>
      </c>
      <c r="E59" s="14">
        <v>34.800409999999999</v>
      </c>
      <c r="F59" s="14">
        <v>39.140869999999993</v>
      </c>
      <c r="G59" s="13">
        <v>44.82938</v>
      </c>
      <c r="H59" s="18"/>
      <c r="I59" s="18"/>
      <c r="J59" s="17"/>
    </row>
    <row r="60" spans="1:10" ht="19.5" hidden="1" customHeight="1" x14ac:dyDescent="0.25">
      <c r="A60" s="19">
        <v>42917</v>
      </c>
      <c r="B60" s="14">
        <v>33.548733264759299</v>
      </c>
      <c r="C60" s="14">
        <v>39.3849534206581</v>
      </c>
      <c r="D60" s="14">
        <v>45.033999999999999</v>
      </c>
      <c r="E60" s="14">
        <v>34.180549203083785</v>
      </c>
      <c r="F60" s="14">
        <v>39.487864448602764</v>
      </c>
      <c r="G60" s="13">
        <v>44.922485714285699</v>
      </c>
      <c r="H60" s="18"/>
      <c r="I60" s="18"/>
      <c r="J60" s="17"/>
    </row>
    <row r="61" spans="1:10" ht="19.5" hidden="1" customHeight="1" x14ac:dyDescent="0.25">
      <c r="A61" s="19">
        <v>42948</v>
      </c>
      <c r="B61" s="14">
        <v>32.787300000000002</v>
      </c>
      <c r="C61" s="14">
        <v>39.066499999999998</v>
      </c>
      <c r="D61" s="14">
        <v>42.859299999999998</v>
      </c>
      <c r="E61" s="14">
        <v>33.180421739130431</v>
      </c>
      <c r="F61" s="14">
        <v>39.31388260869565</v>
      </c>
      <c r="G61" s="13">
        <v>43.486995652173917</v>
      </c>
      <c r="H61" s="18"/>
      <c r="I61" s="18"/>
      <c r="J61" s="17"/>
    </row>
    <row r="62" spans="1:10" ht="19.5" hidden="1" customHeight="1" x14ac:dyDescent="0.25">
      <c r="A62" s="19">
        <v>42979</v>
      </c>
      <c r="B62" s="14">
        <v>34.026400000000002</v>
      </c>
      <c r="C62" s="14">
        <v>40.460700000000003</v>
      </c>
      <c r="D62" s="14">
        <v>45.773200000000003</v>
      </c>
      <c r="E62" s="14">
        <v>33.407761904761912</v>
      </c>
      <c r="F62" s="14">
        <v>39.949085714285715</v>
      </c>
      <c r="G62" s="13">
        <v>44.671857142857142</v>
      </c>
      <c r="H62" s="18"/>
      <c r="I62" s="18"/>
      <c r="J62" s="17"/>
    </row>
    <row r="63" spans="1:10" ht="19.5" hidden="1" customHeight="1" x14ac:dyDescent="0.25">
      <c r="A63" s="19">
        <v>43009</v>
      </c>
      <c r="B63" s="14">
        <v>34.401228180156799</v>
      </c>
      <c r="C63" s="14">
        <v>40.082501301682697</v>
      </c>
      <c r="D63" s="14">
        <v>45.769854284319898</v>
      </c>
      <c r="E63" s="14">
        <v>34.104034675245558</v>
      </c>
      <c r="F63" s="14">
        <v>40.199590538175357</v>
      </c>
      <c r="G63" s="13">
        <v>45.33927401353904</v>
      </c>
      <c r="H63" s="18"/>
      <c r="I63" s="18"/>
      <c r="J63" s="17"/>
    </row>
    <row r="64" spans="1:10" ht="19.5" hidden="1" customHeight="1" x14ac:dyDescent="0.25">
      <c r="A64" s="19">
        <v>43040</v>
      </c>
      <c r="B64" s="14">
        <v>33.734579598892601</v>
      </c>
      <c r="C64" s="14">
        <v>40.039291988708797</v>
      </c>
      <c r="D64" s="14">
        <v>45.722010797968302</v>
      </c>
      <c r="E64" s="14">
        <v>34.106928979944634</v>
      </c>
      <c r="F64" s="14">
        <v>40.117529599435436</v>
      </c>
      <c r="G64" s="13">
        <v>45.421455539898425</v>
      </c>
      <c r="H64" s="18"/>
      <c r="I64" s="18"/>
      <c r="J64" s="17"/>
    </row>
    <row r="65" spans="1:11" ht="19.5" hidden="1" customHeight="1" x14ac:dyDescent="0.25">
      <c r="A65" s="19">
        <v>43070</v>
      </c>
      <c r="B65" s="14">
        <v>33.5379</v>
      </c>
      <c r="C65" s="14">
        <v>40.214599999999997</v>
      </c>
      <c r="D65" s="14">
        <v>45.468400000000003</v>
      </c>
      <c r="E65" s="14">
        <v>33.828320953241445</v>
      </c>
      <c r="F65" s="14">
        <v>40.168991248647288</v>
      </c>
      <c r="G65" s="13">
        <v>45.735172700872603</v>
      </c>
      <c r="H65" s="18"/>
      <c r="I65" s="18"/>
      <c r="J65" s="17"/>
    </row>
    <row r="66" spans="1:11" ht="19.5" hidden="1" customHeight="1" x14ac:dyDescent="0.25">
      <c r="A66" s="19">
        <v>43101</v>
      </c>
      <c r="B66" s="14">
        <v>32.480818210228101</v>
      </c>
      <c r="C66" s="14">
        <v>40.2809088373061</v>
      </c>
      <c r="D66" s="14">
        <v>45.661305489043102</v>
      </c>
      <c r="E66" s="14">
        <v>33.055817936079869</v>
      </c>
      <c r="F66" s="14">
        <v>40.415731023658232</v>
      </c>
      <c r="G66" s="13">
        <v>45.948293928183126</v>
      </c>
      <c r="H66" s="18"/>
      <c r="I66" s="18"/>
      <c r="J66" s="17"/>
    </row>
    <row r="67" spans="1:11" ht="19.5" hidden="1" customHeight="1" x14ac:dyDescent="0.25">
      <c r="A67" s="19">
        <v>43132</v>
      </c>
      <c r="B67" s="14">
        <v>32.994788624026803</v>
      </c>
      <c r="C67" s="14">
        <v>40.7561492827639</v>
      </c>
      <c r="D67" s="14">
        <v>46.605897356788397</v>
      </c>
      <c r="E67" s="14">
        <v>32.704925817044156</v>
      </c>
      <c r="F67" s="14">
        <v>40.513011621783527</v>
      </c>
      <c r="G67" s="13">
        <v>46.058259502874144</v>
      </c>
      <c r="H67" s="18"/>
      <c r="I67" s="18"/>
      <c r="J67" s="17"/>
    </row>
    <row r="68" spans="1:11" ht="19.5" hidden="1" customHeight="1" x14ac:dyDescent="0.25">
      <c r="A68" s="19">
        <v>43160</v>
      </c>
      <c r="B68" s="14">
        <v>33.572660423001501</v>
      </c>
      <c r="C68" s="14">
        <v>41.527312232172299</v>
      </c>
      <c r="D68" s="14">
        <v>47.358333333333299</v>
      </c>
      <c r="E68" s="14">
        <v>33.15001240109531</v>
      </c>
      <c r="F68" s="14">
        <v>40.996229153912978</v>
      </c>
      <c r="G68" s="13">
        <v>46.707406349206344</v>
      </c>
      <c r="H68" s="18"/>
      <c r="I68" s="18"/>
      <c r="J68" s="17"/>
    </row>
    <row r="69" spans="1:11" ht="19.5" hidden="1" customHeight="1" x14ac:dyDescent="0.25">
      <c r="A69" s="19">
        <v>43191</v>
      </c>
      <c r="B69" s="14">
        <v>34.348300000000002</v>
      </c>
      <c r="C69" s="14">
        <v>41.373199999999997</v>
      </c>
      <c r="D69" s="14">
        <v>47.132399999999997</v>
      </c>
      <c r="E69" s="14">
        <v>33.836635857442268</v>
      </c>
      <c r="F69" s="14">
        <v>41.620513443475453</v>
      </c>
      <c r="G69" s="13">
        <v>47.856737634709802</v>
      </c>
      <c r="H69" s="18"/>
      <c r="I69" s="18"/>
      <c r="J69" s="17"/>
    </row>
    <row r="70" spans="1:11" ht="19.5" hidden="1" customHeight="1" x14ac:dyDescent="0.25">
      <c r="A70" s="19">
        <v>43221</v>
      </c>
      <c r="B70" s="14">
        <v>34.345210000000002</v>
      </c>
      <c r="C70" s="14">
        <v>40.440089999999998</v>
      </c>
      <c r="D70" s="14">
        <v>46.268230000000003</v>
      </c>
      <c r="E70" s="14">
        <v>34.573513267664048</v>
      </c>
      <c r="F70" s="14">
        <v>40.915333789334746</v>
      </c>
      <c r="G70" s="13">
        <v>46.906047055101276</v>
      </c>
      <c r="H70" s="18"/>
      <c r="I70" s="18"/>
      <c r="J70" s="17"/>
    </row>
    <row r="71" spans="1:11" ht="1.5" hidden="1" customHeight="1" x14ac:dyDescent="0.25">
      <c r="A71" s="19">
        <v>43252</v>
      </c>
      <c r="B71" s="14">
        <v>34.622803076115098</v>
      </c>
      <c r="C71" s="14">
        <v>40.556923716048203</v>
      </c>
      <c r="D71" s="14">
        <v>45.669653365674797</v>
      </c>
      <c r="E71" s="14">
        <v>34.532389646596961</v>
      </c>
      <c r="F71" s="14">
        <v>40.458717016002893</v>
      </c>
      <c r="G71" s="13">
        <v>46.103840695727591</v>
      </c>
      <c r="H71" s="18"/>
      <c r="I71" s="18"/>
      <c r="J71" s="17"/>
    </row>
    <row r="72" spans="1:11" ht="19.5" hidden="1" customHeight="1" x14ac:dyDescent="0.25">
      <c r="A72" s="15">
        <v>43282</v>
      </c>
      <c r="B72" s="14">
        <v>34.212637049245103</v>
      </c>
      <c r="C72" s="14">
        <v>40.139166161748498</v>
      </c>
      <c r="D72" s="14">
        <v>44.811594018839102</v>
      </c>
      <c r="E72" s="14">
        <v>34.336399252312212</v>
      </c>
      <c r="F72" s="14">
        <v>40.237238920168437</v>
      </c>
      <c r="G72" s="13">
        <v>45.543328217988524</v>
      </c>
      <c r="H72" s="18"/>
      <c r="I72" s="18"/>
      <c r="J72" s="17"/>
    </row>
    <row r="73" spans="1:11" ht="19.5" hidden="1" customHeight="1" x14ac:dyDescent="0.25">
      <c r="A73" s="15">
        <v>43313</v>
      </c>
      <c r="B73" s="14">
        <v>34.280999999999999</v>
      </c>
      <c r="C73" s="14">
        <v>40.188000000000002</v>
      </c>
      <c r="D73" s="14">
        <v>45.093000000000004</v>
      </c>
      <c r="E73" s="14">
        <v>34.412999999999997</v>
      </c>
      <c r="F73" s="14">
        <v>39.881</v>
      </c>
      <c r="G73" s="13">
        <v>44.606000000000002</v>
      </c>
      <c r="H73" s="18"/>
      <c r="I73" s="18"/>
      <c r="J73" s="17"/>
    </row>
    <row r="74" spans="1:11" ht="19.5" hidden="1" customHeight="1" x14ac:dyDescent="0.25">
      <c r="A74" s="15">
        <v>43344</v>
      </c>
      <c r="B74" s="14">
        <v>34.443729233604301</v>
      </c>
      <c r="C74" s="14">
        <v>40.012458502721202</v>
      </c>
      <c r="D74" s="14">
        <v>44.893739873001998</v>
      </c>
      <c r="E74" s="14">
        <v>34.363713944726008</v>
      </c>
      <c r="F74" s="14">
        <v>40.111693106209074</v>
      </c>
      <c r="G74" s="13">
        <v>45.04532767688513</v>
      </c>
      <c r="H74" s="18"/>
      <c r="I74" s="18"/>
      <c r="J74" s="17"/>
    </row>
    <row r="75" spans="1:11" ht="19.5" hidden="1" customHeight="1" x14ac:dyDescent="0.25">
      <c r="A75" s="15">
        <v>43374</v>
      </c>
      <c r="B75" s="14">
        <v>34.583799999999997</v>
      </c>
      <c r="C75" s="14">
        <v>39.361699999999999</v>
      </c>
      <c r="D75" s="14">
        <v>44.2378</v>
      </c>
      <c r="E75" s="14">
        <v>34.523596756250789</v>
      </c>
      <c r="F75" s="14">
        <v>39.723202982616449</v>
      </c>
      <c r="G75" s="13">
        <v>45.170135989620547</v>
      </c>
      <c r="H75" s="18"/>
      <c r="I75" s="18"/>
      <c r="J75" s="17"/>
    </row>
    <row r="76" spans="1:11" ht="19.5" hidden="1" customHeight="1" x14ac:dyDescent="0.25">
      <c r="A76" s="15">
        <v>43405</v>
      </c>
      <c r="B76" s="14">
        <v>34.4111894121868</v>
      </c>
      <c r="C76" s="14">
        <v>39.295071058899097</v>
      </c>
      <c r="D76" s="14">
        <v>44.240662015904299</v>
      </c>
      <c r="E76" s="14">
        <v>34.512826628970885</v>
      </c>
      <c r="F76" s="14">
        <v>39.26323147100171</v>
      </c>
      <c r="G76" s="13">
        <v>44.828456405771696</v>
      </c>
      <c r="H76" s="18"/>
      <c r="I76" s="18"/>
      <c r="J76" s="17"/>
      <c r="K76" s="4"/>
    </row>
    <row r="77" spans="1:11" ht="19.5" hidden="1" customHeight="1" x14ac:dyDescent="0.25">
      <c r="A77" s="15">
        <v>43435</v>
      </c>
      <c r="B77" s="14">
        <v>34.405319368256798</v>
      </c>
      <c r="C77" s="14">
        <v>39.335050470011502</v>
      </c>
      <c r="D77" s="14">
        <v>43.989942956926697</v>
      </c>
      <c r="E77" s="14">
        <v>34.368018452963014</v>
      </c>
      <c r="F77" s="14">
        <v>39.20355264472532</v>
      </c>
      <c r="G77" s="13">
        <v>43.755565078908106</v>
      </c>
      <c r="H77" s="18"/>
      <c r="I77" s="18"/>
      <c r="J77" s="17"/>
    </row>
    <row r="78" spans="1:11" ht="19.5" hidden="1" customHeight="1" x14ac:dyDescent="0.25">
      <c r="A78" s="15">
        <v>43466</v>
      </c>
      <c r="B78" s="14">
        <v>33.991093358141498</v>
      </c>
      <c r="C78" s="14">
        <v>39.323886949481</v>
      </c>
      <c r="D78" s="14">
        <v>45.041925566952997</v>
      </c>
      <c r="E78" s="14">
        <v>34.23729136617164</v>
      </c>
      <c r="F78" s="14">
        <v>39.197501841982486</v>
      </c>
      <c r="G78" s="13">
        <v>44.399151819022727</v>
      </c>
      <c r="H78" s="18"/>
      <c r="I78" s="18"/>
      <c r="J78" s="17"/>
    </row>
    <row r="79" spans="1:11" ht="19.5" hidden="1" customHeight="1" x14ac:dyDescent="0.25">
      <c r="A79" s="15">
        <v>43497</v>
      </c>
      <c r="B79" s="14">
        <v>34.149700000000003</v>
      </c>
      <c r="C79" s="14">
        <v>39.033099999999997</v>
      </c>
      <c r="D79" s="14">
        <v>45.859099999999998</v>
      </c>
      <c r="E79" s="14">
        <v>34.229295268628817</v>
      </c>
      <c r="F79" s="14">
        <v>38.929378848006387</v>
      </c>
      <c r="G79" s="13">
        <v>44.79150339613107</v>
      </c>
      <c r="H79" s="18"/>
      <c r="I79" s="18"/>
      <c r="J79" s="17"/>
    </row>
    <row r="80" spans="1:11" ht="19.5" hidden="1" customHeight="1" x14ac:dyDescent="0.25">
      <c r="A80" s="15">
        <v>43525</v>
      </c>
      <c r="B80" s="14">
        <v>34.9</v>
      </c>
      <c r="C80" s="14">
        <v>39.131700000000002</v>
      </c>
      <c r="D80" s="14">
        <v>45.6539</v>
      </c>
      <c r="E80" s="14">
        <v>34.639700610972319</v>
      </c>
      <c r="F80" s="14">
        <v>39.212850891690266</v>
      </c>
      <c r="G80" s="13">
        <v>45.881945824758027</v>
      </c>
      <c r="H80" s="18"/>
      <c r="I80" s="18"/>
      <c r="J80" s="17"/>
    </row>
    <row r="81" spans="1:10" ht="19.5" hidden="1" customHeight="1" x14ac:dyDescent="0.25">
      <c r="A81" s="15">
        <v>43556</v>
      </c>
      <c r="B81" s="14">
        <v>34.965494822417497</v>
      </c>
      <c r="C81" s="14">
        <v>39.264092657240198</v>
      </c>
      <c r="D81" s="14">
        <v>45.745815807861497</v>
      </c>
      <c r="E81" s="14">
        <v>34.864640851315365</v>
      </c>
      <c r="F81" s="14">
        <v>39.187343978144767</v>
      </c>
      <c r="G81" s="13">
        <v>45.720761925753031</v>
      </c>
      <c r="H81" s="18"/>
      <c r="I81" s="18"/>
      <c r="J81" s="17"/>
    </row>
    <row r="82" spans="1:10" ht="19.5" hidden="1" customHeight="1" x14ac:dyDescent="0.25">
      <c r="A82" s="15">
        <v>43586</v>
      </c>
      <c r="B82" s="14">
        <v>35.584048625981303</v>
      </c>
      <c r="C82" s="14">
        <v>39.693778449582403</v>
      </c>
      <c r="D82" s="14">
        <v>45.059566248426201</v>
      </c>
      <c r="E82" s="14">
        <v>35.19</v>
      </c>
      <c r="F82" s="14">
        <v>39.449215675303357</v>
      </c>
      <c r="G82" s="13">
        <v>45.403155239354653</v>
      </c>
      <c r="H82" s="18"/>
      <c r="I82" s="18"/>
      <c r="J82" s="17"/>
    </row>
    <row r="83" spans="1:10" ht="19.5" hidden="1" customHeight="1" x14ac:dyDescent="0.25">
      <c r="A83" s="15">
        <v>43617</v>
      </c>
      <c r="B83" s="14">
        <v>35.577738850702303</v>
      </c>
      <c r="C83" s="14">
        <v>40.465173168891198</v>
      </c>
      <c r="D83" s="14">
        <v>45.275914117117097</v>
      </c>
      <c r="E83" s="14">
        <v>35.61529092385522</v>
      </c>
      <c r="F83" s="14">
        <v>40.257024213850194</v>
      </c>
      <c r="G83" s="13">
        <v>45.353893178479169</v>
      </c>
      <c r="H83" s="18"/>
      <c r="I83" s="18"/>
      <c r="J83" s="17"/>
    </row>
    <row r="84" spans="1:10" ht="19.5" hidden="1" customHeight="1" x14ac:dyDescent="0.25">
      <c r="A84" s="15">
        <v>43647</v>
      </c>
      <c r="B84" s="14">
        <v>35.9611609885768</v>
      </c>
      <c r="C84" s="14">
        <v>40.325375712908098</v>
      </c>
      <c r="D84" s="14">
        <v>44.049014194785997</v>
      </c>
      <c r="E84" s="14">
        <v>35.888664742203112</v>
      </c>
      <c r="F84" s="14">
        <v>40.336605098421629</v>
      </c>
      <c r="G84" s="13">
        <v>45.016437508316478</v>
      </c>
      <c r="H84" s="18"/>
      <c r="I84" s="18"/>
      <c r="J84" s="17"/>
    </row>
    <row r="85" spans="1:10" ht="19.5" hidden="1" customHeight="1" x14ac:dyDescent="0.25">
      <c r="A85" s="15">
        <v>43678</v>
      </c>
      <c r="B85" s="14">
        <v>36.199168531427603</v>
      </c>
      <c r="C85" s="14">
        <v>40.1265770018029</v>
      </c>
      <c r="D85" s="14">
        <v>44.402774012304398</v>
      </c>
      <c r="E85" s="14">
        <v>36.050330316214868</v>
      </c>
      <c r="F85" s="14">
        <v>40.169406916893166</v>
      </c>
      <c r="G85" s="13">
        <v>44.014220132303699</v>
      </c>
      <c r="H85" s="18"/>
      <c r="I85" s="18"/>
      <c r="J85" s="17"/>
    </row>
    <row r="86" spans="1:10" ht="19.5" hidden="1" customHeight="1" x14ac:dyDescent="0.25">
      <c r="A86" s="15">
        <v>43709</v>
      </c>
      <c r="B86" s="14">
        <v>36.634</v>
      </c>
      <c r="C86" s="14">
        <v>40.124600000000001</v>
      </c>
      <c r="D86" s="14">
        <v>45.24</v>
      </c>
      <c r="E86" s="14">
        <v>36.365211867007119</v>
      </c>
      <c r="F86" s="14">
        <v>40.102707125820302</v>
      </c>
      <c r="G86" s="13">
        <v>45.181975269512371</v>
      </c>
      <c r="H86" s="18"/>
      <c r="I86" s="18"/>
      <c r="J86" s="17"/>
    </row>
    <row r="87" spans="1:10" ht="19.5" hidden="1" customHeight="1" x14ac:dyDescent="0.25">
      <c r="A87" s="15">
        <v>43739</v>
      </c>
      <c r="B87" s="14">
        <v>36.360700000000001</v>
      </c>
      <c r="C87" s="14">
        <v>40.732300000000002</v>
      </c>
      <c r="D87" s="14">
        <v>47.278700000000001</v>
      </c>
      <c r="E87" s="14">
        <v>36.508000000000003</v>
      </c>
      <c r="F87" s="14">
        <v>40.41405598053224</v>
      </c>
      <c r="G87" s="13">
        <v>46.231195987678554</v>
      </c>
      <c r="H87" s="18"/>
      <c r="I87" s="18"/>
      <c r="J87" s="17"/>
    </row>
    <row r="88" spans="1:10" ht="19.5" hidden="1" customHeight="1" x14ac:dyDescent="0.25">
      <c r="A88" s="15">
        <v>43770</v>
      </c>
      <c r="B88" s="14">
        <v>36.834099999999999</v>
      </c>
      <c r="C88" s="14">
        <v>40.567999999999998</v>
      </c>
      <c r="D88" s="14">
        <v>47.641399999999997</v>
      </c>
      <c r="E88" s="14">
        <v>36.664968421052635</v>
      </c>
      <c r="F88" s="14">
        <v>40.549057894736841</v>
      </c>
      <c r="G88" s="13">
        <v>47.396378947368419</v>
      </c>
      <c r="H88" s="18"/>
      <c r="I88" s="18"/>
      <c r="J88" s="17"/>
    </row>
    <row r="89" spans="1:10" ht="17.25" hidden="1" customHeight="1" x14ac:dyDescent="0.25">
      <c r="A89" s="15">
        <v>43800</v>
      </c>
      <c r="B89" s="14">
        <v>36.595100000000002</v>
      </c>
      <c r="C89" s="14">
        <v>41.026899999999998</v>
      </c>
      <c r="D89" s="14">
        <v>48.259</v>
      </c>
      <c r="E89" s="14">
        <v>36.722470000000001</v>
      </c>
      <c r="F89" s="14">
        <v>40.824490000000004</v>
      </c>
      <c r="G89" s="13">
        <v>48.260509999999996</v>
      </c>
      <c r="H89" s="18"/>
      <c r="I89" s="18"/>
      <c r="J89" s="17"/>
    </row>
    <row r="90" spans="1:10" ht="19.5" hidden="1" customHeight="1" x14ac:dyDescent="0.25">
      <c r="A90" s="15">
        <v>43831</v>
      </c>
      <c r="B90" s="14">
        <v>37.0152</v>
      </c>
      <c r="C90" s="14">
        <v>40.807299999999998</v>
      </c>
      <c r="D90" s="14">
        <v>48.453600000000002</v>
      </c>
      <c r="E90" s="14">
        <v>36.758599999999994</v>
      </c>
      <c r="F90" s="14">
        <v>40.814952380952384</v>
      </c>
      <c r="G90" s="13">
        <v>48.139752380952373</v>
      </c>
      <c r="H90" s="18"/>
      <c r="I90" s="18"/>
      <c r="J90" s="17"/>
    </row>
    <row r="91" spans="1:10" ht="19.5" hidden="1" customHeight="1" x14ac:dyDescent="0.25">
      <c r="A91" s="15">
        <v>43862</v>
      </c>
      <c r="B91" s="14">
        <v>37.600099999999998</v>
      </c>
      <c r="C91" s="14">
        <v>41.421799999999998</v>
      </c>
      <c r="D91" s="14">
        <v>48.520400000000002</v>
      </c>
      <c r="E91" s="14">
        <v>37.397157894736836</v>
      </c>
      <c r="F91" s="14">
        <v>40.851457894736846</v>
      </c>
      <c r="G91" s="13">
        <v>48.623510526315791</v>
      </c>
      <c r="H91" s="18"/>
      <c r="I91" s="18"/>
      <c r="J91" s="17"/>
    </row>
    <row r="92" spans="1:10" ht="19.5" hidden="1" customHeight="1" x14ac:dyDescent="0.25">
      <c r="A92" s="15">
        <v>43891</v>
      </c>
      <c r="B92" s="14">
        <v>39.718135444410898</v>
      </c>
      <c r="C92" s="14">
        <v>43.737735625710897</v>
      </c>
      <c r="D92" s="14">
        <v>48.9</v>
      </c>
      <c r="E92" s="14">
        <v>38.627043614872825</v>
      </c>
      <c r="F92" s="14">
        <v>42.820633715211315</v>
      </c>
      <c r="G92" s="13">
        <v>47.960056215621876</v>
      </c>
      <c r="H92" s="18"/>
      <c r="I92" s="18"/>
      <c r="J92" s="17"/>
    </row>
    <row r="93" spans="1:10" ht="19.5" hidden="1" customHeight="1" x14ac:dyDescent="0.25">
      <c r="A93" s="15">
        <v>43922</v>
      </c>
      <c r="B93" s="14">
        <v>40.504094342929903</v>
      </c>
      <c r="C93" s="14">
        <v>44.090508975852103</v>
      </c>
      <c r="D93" s="14">
        <v>50.517414653175599</v>
      </c>
      <c r="E93" s="14">
        <v>40.106428557935907</v>
      </c>
      <c r="F93" s="14">
        <v>43.69890446230324</v>
      </c>
      <c r="G93" s="13">
        <v>49.896000000000001</v>
      </c>
      <c r="H93" s="18"/>
      <c r="I93" s="18"/>
      <c r="J93" s="17"/>
    </row>
    <row r="94" spans="1:10" ht="19.5" hidden="1" customHeight="1" x14ac:dyDescent="0.25">
      <c r="A94" s="15">
        <v>43952</v>
      </c>
      <c r="B94" s="14">
        <v>40.357300000000002</v>
      </c>
      <c r="C94" s="14">
        <v>44.873800000000003</v>
      </c>
      <c r="D94" s="14">
        <v>49.818899999999999</v>
      </c>
      <c r="E94" s="14">
        <v>40.400093124051679</v>
      </c>
      <c r="F94" s="14">
        <v>44.100329773291634</v>
      </c>
      <c r="G94" s="13">
        <v>49.686988814684298</v>
      </c>
      <c r="H94" s="18"/>
      <c r="I94" s="18"/>
      <c r="J94" s="17"/>
    </row>
    <row r="95" spans="1:10" ht="19.5" hidden="1" customHeight="1" x14ac:dyDescent="0.25">
      <c r="A95" s="15">
        <v>43983</v>
      </c>
      <c r="B95" s="14">
        <v>40.464399999999998</v>
      </c>
      <c r="C95" s="14">
        <v>45.514400000000002</v>
      </c>
      <c r="D95" s="14">
        <v>50.085099999999997</v>
      </c>
      <c r="E95" s="14">
        <v>40.281868181818183</v>
      </c>
      <c r="F95" s="14">
        <v>45.41628636363636</v>
      </c>
      <c r="G95" s="13">
        <v>50.545909999999992</v>
      </c>
      <c r="H95" s="18"/>
      <c r="I95" s="18"/>
      <c r="J95" s="17"/>
    </row>
    <row r="96" spans="1:10" ht="19.5" hidden="1" customHeight="1" x14ac:dyDescent="0.25">
      <c r="A96" s="15">
        <v>44013</v>
      </c>
      <c r="B96" s="14">
        <v>40.024299999999997</v>
      </c>
      <c r="C96" s="14">
        <v>47.6768</v>
      </c>
      <c r="D96" s="14">
        <v>52.789700000000003</v>
      </c>
      <c r="E96" s="14">
        <v>40.30767391304348</v>
      </c>
      <c r="F96" s="14">
        <v>46.268439130434778</v>
      </c>
      <c r="G96" s="13">
        <v>51.197647826086957</v>
      </c>
      <c r="H96" s="18"/>
      <c r="I96" s="18"/>
      <c r="J96" s="17"/>
    </row>
    <row r="97" spans="1:11" ht="19.5" hidden="1" customHeight="1" x14ac:dyDescent="0.25">
      <c r="A97" s="15">
        <v>44044</v>
      </c>
      <c r="B97" s="14">
        <v>39.926400000000001</v>
      </c>
      <c r="C97" s="14">
        <v>47.619799999999998</v>
      </c>
      <c r="D97" s="14">
        <v>53.223999999999997</v>
      </c>
      <c r="E97" s="14">
        <v>40.021521875952288</v>
      </c>
      <c r="F97" s="14">
        <v>47.368000000000002</v>
      </c>
      <c r="G97" s="13">
        <v>52.694074967172824</v>
      </c>
      <c r="H97" s="18"/>
      <c r="I97" s="18"/>
      <c r="J97" s="17"/>
    </row>
    <row r="98" spans="1:11" ht="19.5" hidden="1" customHeight="1" x14ac:dyDescent="0.25">
      <c r="A98" s="15">
        <v>44075</v>
      </c>
      <c r="B98" s="14">
        <v>40.199300000000001</v>
      </c>
      <c r="C98" s="14">
        <v>47.2333</v>
      </c>
      <c r="D98" s="14">
        <v>51.714300000000001</v>
      </c>
      <c r="E98" s="14">
        <v>40.035526958676435</v>
      </c>
      <c r="F98" s="14">
        <v>47.272187413672803</v>
      </c>
      <c r="G98" s="13">
        <v>52.115131147436983</v>
      </c>
      <c r="H98" s="18"/>
      <c r="I98" s="18"/>
      <c r="J98" s="17"/>
    </row>
    <row r="99" spans="1:11" ht="19.5" hidden="1" customHeight="1" x14ac:dyDescent="0.25">
      <c r="A99" s="15">
        <v>44105</v>
      </c>
      <c r="B99" s="14">
        <v>40.319200000000002</v>
      </c>
      <c r="C99" s="14">
        <v>47.106000000000002</v>
      </c>
      <c r="D99" s="14">
        <v>52.3658</v>
      </c>
      <c r="E99" s="14">
        <v>40.176067995457963</v>
      </c>
      <c r="F99" s="14">
        <v>47.335008685508427</v>
      </c>
      <c r="G99" s="13">
        <v>52.255690113987974</v>
      </c>
      <c r="H99" s="18"/>
      <c r="I99" s="18"/>
      <c r="J99" s="17"/>
    </row>
    <row r="100" spans="1:11" ht="19.5" hidden="1" customHeight="1" x14ac:dyDescent="0.25">
      <c r="A100" s="15">
        <v>44136</v>
      </c>
      <c r="B100" s="14">
        <v>40.192666344755501</v>
      </c>
      <c r="C100" s="14">
        <v>48.166528332071799</v>
      </c>
      <c r="D100" s="14">
        <v>53.766146952768104</v>
      </c>
      <c r="E100" s="14">
        <v>40.237446849727796</v>
      </c>
      <c r="F100" s="14">
        <v>47.698795024287293</v>
      </c>
      <c r="G100" s="13">
        <v>53.304160365935168</v>
      </c>
      <c r="H100" s="18"/>
      <c r="I100" s="18"/>
      <c r="J100" s="17"/>
    </row>
    <row r="101" spans="1:11" ht="19.5" hidden="1" customHeight="1" x14ac:dyDescent="0.25">
      <c r="A101" s="15">
        <v>44166</v>
      </c>
      <c r="B101" s="14">
        <v>39.7428714262265</v>
      </c>
      <c r="C101" s="14">
        <v>48.852440459461398</v>
      </c>
      <c r="D101" s="14">
        <v>54.25</v>
      </c>
      <c r="E101" s="14">
        <v>39.905860777478523</v>
      </c>
      <c r="F101" s="14">
        <v>48.594231956875554</v>
      </c>
      <c r="G101" s="13">
        <v>53.692999999999998</v>
      </c>
      <c r="H101" s="18"/>
      <c r="I101" s="18"/>
      <c r="J101" s="17"/>
    </row>
    <row r="102" spans="1:11" s="6" customFormat="1" ht="19.5" hidden="1" customHeight="1" x14ac:dyDescent="0.25">
      <c r="A102" s="15">
        <v>44197</v>
      </c>
      <c r="B102" s="14">
        <v>40.0188656713783</v>
      </c>
      <c r="C102" s="14">
        <v>48.4889748961116</v>
      </c>
      <c r="D102" s="14">
        <v>54.871881584916402</v>
      </c>
      <c r="E102" s="14">
        <v>39.765178731238876</v>
      </c>
      <c r="F102" s="14">
        <v>48.479978144215558</v>
      </c>
      <c r="G102" s="13">
        <v>54.326980984698423</v>
      </c>
      <c r="H102" s="7"/>
      <c r="I102" s="7"/>
      <c r="J102" s="7"/>
    </row>
    <row r="103" spans="1:11" s="6" customFormat="1" ht="19.5" hidden="1" customHeight="1" x14ac:dyDescent="0.25">
      <c r="A103" s="15">
        <v>44228</v>
      </c>
      <c r="B103" s="14">
        <v>40.162300000000002</v>
      </c>
      <c r="C103" s="14">
        <v>48.846800000000002</v>
      </c>
      <c r="D103" s="14">
        <v>56.051499999999997</v>
      </c>
      <c r="E103" s="14">
        <v>40.124645688548021</v>
      </c>
      <c r="F103" s="14">
        <v>48.572958843022903</v>
      </c>
      <c r="G103" s="13">
        <v>55.72716613847448</v>
      </c>
      <c r="H103" s="7"/>
      <c r="I103" s="7"/>
      <c r="J103" s="7"/>
    </row>
    <row r="104" spans="1:11" s="6" customFormat="1" ht="19.5" hidden="1" customHeight="1" x14ac:dyDescent="0.25">
      <c r="A104" s="15">
        <v>44256</v>
      </c>
      <c r="B104" s="14">
        <v>40.825365207327998</v>
      </c>
      <c r="C104" s="14">
        <v>47.941386665206899</v>
      </c>
      <c r="D104" s="14">
        <v>56.22</v>
      </c>
      <c r="E104" s="14">
        <v>40.557661036953753</v>
      </c>
      <c r="F104" s="14">
        <v>48.341658857693858</v>
      </c>
      <c r="G104" s="13">
        <v>56.27088260384236</v>
      </c>
      <c r="H104" s="7"/>
      <c r="I104" s="7"/>
      <c r="J104" s="7"/>
    </row>
    <row r="105" spans="1:11" s="6" customFormat="1" ht="19.5" hidden="1" customHeight="1" x14ac:dyDescent="0.25">
      <c r="A105" s="15">
        <v>44287</v>
      </c>
      <c r="B105" s="14">
        <v>40.754864843957797</v>
      </c>
      <c r="C105" s="14">
        <v>49.431517701281201</v>
      </c>
      <c r="D105" s="14">
        <v>56.900568941216797</v>
      </c>
      <c r="E105" s="14">
        <v>40.835138997225151</v>
      </c>
      <c r="F105" s="14">
        <v>48.88631523642276</v>
      </c>
      <c r="G105" s="13">
        <v>56.613028379829132</v>
      </c>
      <c r="H105" s="7"/>
      <c r="I105" s="7"/>
      <c r="J105" s="7"/>
    </row>
    <row r="106" spans="1:11" s="6" customFormat="1" ht="19.5" hidden="1" customHeight="1" x14ac:dyDescent="0.25">
      <c r="A106" s="15">
        <v>44317</v>
      </c>
      <c r="B106" s="14">
        <v>40.901206552797298</v>
      </c>
      <c r="C106" s="14">
        <v>49.977445962784302</v>
      </c>
      <c r="D106" s="14">
        <v>58.2242280445641</v>
      </c>
      <c r="E106" s="14">
        <v>40.853913669137604</v>
      </c>
      <c r="F106" s="14">
        <v>49.682558435459569</v>
      </c>
      <c r="G106" s="13">
        <v>57.620838019660198</v>
      </c>
      <c r="H106" s="7"/>
      <c r="I106" s="7"/>
      <c r="J106" s="7"/>
    </row>
    <row r="107" spans="1:11" s="6" customFormat="1" ht="19.5" hidden="1" customHeight="1" x14ac:dyDescent="0.25">
      <c r="A107" s="15">
        <v>44348</v>
      </c>
      <c r="B107" s="14">
        <v>43.027070648070001</v>
      </c>
      <c r="C107" s="14">
        <v>51.347501004925199</v>
      </c>
      <c r="D107" s="14">
        <v>59.708872667479298</v>
      </c>
      <c r="E107" s="14">
        <v>41.415773790750308</v>
      </c>
      <c r="F107" s="14">
        <v>49.999477789233509</v>
      </c>
      <c r="G107" s="13">
        <v>58.220417894889188</v>
      </c>
      <c r="H107" s="7"/>
      <c r="I107" s="7"/>
      <c r="J107" s="7"/>
    </row>
    <row r="108" spans="1:11" s="6" customFormat="1" ht="19.5" hidden="1" customHeight="1" x14ac:dyDescent="0.25">
      <c r="A108" s="15">
        <v>44378</v>
      </c>
      <c r="B108" s="14">
        <v>42.9559062278109</v>
      </c>
      <c r="C108" s="14">
        <v>51.215824389474399</v>
      </c>
      <c r="D108" s="14">
        <v>59.832957204315797</v>
      </c>
      <c r="E108" s="14">
        <v>43.06015514325059</v>
      </c>
      <c r="F108" s="14">
        <v>51.056875584969163</v>
      </c>
      <c r="G108" s="13">
        <v>59.585281413306376</v>
      </c>
      <c r="H108" s="7"/>
      <c r="I108" s="7"/>
      <c r="J108" s="7"/>
    </row>
    <row r="109" spans="1:11" s="6" customFormat="1" ht="19.5" hidden="1" customHeight="1" x14ac:dyDescent="0.25">
      <c r="A109" s="15">
        <v>44409</v>
      </c>
      <c r="B109" s="14">
        <v>42.882636160066902</v>
      </c>
      <c r="C109" s="14">
        <v>50.823942252825503</v>
      </c>
      <c r="D109" s="14">
        <v>59.229080150937698</v>
      </c>
      <c r="E109" s="14">
        <v>42.947233104736604</v>
      </c>
      <c r="F109" s="14">
        <v>50.698222615897926</v>
      </c>
      <c r="G109" s="13">
        <v>59.412876594283688</v>
      </c>
      <c r="H109" s="7"/>
      <c r="I109" s="7"/>
      <c r="J109" s="7"/>
    </row>
    <row r="110" spans="1:11" s="6" customFormat="1" ht="19.5" hidden="1" customHeight="1" x14ac:dyDescent="0.25">
      <c r="A110" s="15">
        <v>44440</v>
      </c>
      <c r="B110" s="14">
        <v>43.003816975309299</v>
      </c>
      <c r="C110" s="14">
        <v>50.087948575586402</v>
      </c>
      <c r="D110" s="14">
        <v>58.135339711710699</v>
      </c>
      <c r="E110" s="14">
        <v>42.871738650588391</v>
      </c>
      <c r="F110" s="14">
        <v>50.650820746178553</v>
      </c>
      <c r="G110" s="13">
        <v>59.034430490104569</v>
      </c>
      <c r="H110" s="16"/>
      <c r="I110" s="16"/>
      <c r="J110" s="16"/>
    </row>
    <row r="111" spans="1:11" s="6" customFormat="1" ht="19.5" hidden="1" customHeight="1" x14ac:dyDescent="0.25">
      <c r="A111" s="15">
        <v>44470</v>
      </c>
      <c r="B111" s="14">
        <v>43.208891174120403</v>
      </c>
      <c r="C111" s="14">
        <v>50.453174712862399</v>
      </c>
      <c r="D111" s="14">
        <v>59.624644474157499</v>
      </c>
      <c r="E111" s="14">
        <v>43.057206213872</v>
      </c>
      <c r="F111" s="14">
        <v>50.091822703950847</v>
      </c>
      <c r="G111" s="13">
        <v>59.036279901256499</v>
      </c>
      <c r="H111" s="7"/>
      <c r="I111" s="7"/>
      <c r="J111" s="7"/>
      <c r="K111" s="6" t="s">
        <v>2</v>
      </c>
    </row>
    <row r="112" spans="1:11" s="6" customFormat="1" ht="19.5" hidden="1" customHeight="1" x14ac:dyDescent="0.25">
      <c r="A112" s="15">
        <v>44501</v>
      </c>
      <c r="B112" s="14">
        <v>43.422478518608301</v>
      </c>
      <c r="C112" s="14">
        <v>49.2600461909594</v>
      </c>
      <c r="D112" s="14">
        <v>58.000315497213897</v>
      </c>
      <c r="E112" s="14">
        <v>43.380805086512019</v>
      </c>
      <c r="F112" s="14">
        <v>49.55054225676448</v>
      </c>
      <c r="G112" s="13">
        <v>58.418116871010589</v>
      </c>
      <c r="H112" s="7"/>
      <c r="I112" s="7"/>
      <c r="J112" s="7"/>
    </row>
    <row r="113" spans="1:11" s="6" customFormat="1" ht="19.5" hidden="1" customHeight="1" x14ac:dyDescent="0.25">
      <c r="A113" s="15">
        <v>44531</v>
      </c>
      <c r="B113" s="14">
        <v>43.703561199231402</v>
      </c>
      <c r="C113" s="14">
        <v>49.636204052269299</v>
      </c>
      <c r="D113" s="14">
        <v>58.512821393570697</v>
      </c>
      <c r="E113" s="14">
        <v>43.629060299986747</v>
      </c>
      <c r="F113" s="14">
        <v>49.488878686839499</v>
      </c>
      <c r="G113" s="13">
        <v>58.185240813401336</v>
      </c>
      <c r="H113" s="7"/>
      <c r="I113" s="7"/>
      <c r="J113" s="7"/>
    </row>
    <row r="114" spans="1:11" s="6" customFormat="1" ht="19.5" hidden="1" customHeight="1" x14ac:dyDescent="0.25">
      <c r="A114" s="15">
        <v>44562</v>
      </c>
      <c r="B114" s="14">
        <v>43.594100467290801</v>
      </c>
      <c r="C114" s="14">
        <v>48.952932360681899</v>
      </c>
      <c r="D114" s="14">
        <v>58.634486983154702</v>
      </c>
      <c r="E114" s="14">
        <v>43.769248550367756</v>
      </c>
      <c r="F114" s="14">
        <v>49.718702184078268</v>
      </c>
      <c r="G114" s="13">
        <v>59.549264654888262</v>
      </c>
      <c r="H114" s="7"/>
      <c r="I114" s="7"/>
      <c r="J114" s="7"/>
    </row>
    <row r="115" spans="1:11" s="6" customFormat="1" ht="18.75" hidden="1" customHeight="1" x14ac:dyDescent="0.25">
      <c r="A115" s="15">
        <v>44593</v>
      </c>
      <c r="B115" s="14">
        <v>44.3516347382822</v>
      </c>
      <c r="C115" s="14">
        <v>49.684459831125402</v>
      </c>
      <c r="D115" s="14">
        <v>59.416751656801203</v>
      </c>
      <c r="E115" s="14">
        <v>43.979333655252866</v>
      </c>
      <c r="F115" s="14">
        <v>50.006319540110717</v>
      </c>
      <c r="G115" s="13">
        <v>59.638592946466218</v>
      </c>
      <c r="H115" s="7"/>
      <c r="I115" s="7"/>
      <c r="J115" s="7"/>
    </row>
    <row r="116" spans="1:11" s="6" customFormat="1" ht="18.75" hidden="1" customHeight="1" x14ac:dyDescent="0.25">
      <c r="A116" s="15">
        <v>44621</v>
      </c>
      <c r="B116" s="14">
        <v>44.683702993841599</v>
      </c>
      <c r="C116" s="14">
        <v>50.199310608525799</v>
      </c>
      <c r="D116" s="14">
        <v>58.670360948069003</v>
      </c>
      <c r="E116" s="14">
        <v>44.372235038208338</v>
      </c>
      <c r="F116" s="14">
        <v>49.131868829971602</v>
      </c>
      <c r="G116" s="13">
        <v>58.525480638611207</v>
      </c>
      <c r="H116" s="7"/>
      <c r="I116" s="7"/>
      <c r="J116" s="7"/>
    </row>
    <row r="117" spans="1:11" s="6" customFormat="1" ht="18.75" hidden="1" customHeight="1" x14ac:dyDescent="0.25">
      <c r="A117" s="15">
        <v>44652</v>
      </c>
      <c r="B117" s="14">
        <v>43.355954020602198</v>
      </c>
      <c r="C117" s="14">
        <v>45.809529289931</v>
      </c>
      <c r="D117" s="14">
        <v>54.041150730669202</v>
      </c>
      <c r="E117" s="14">
        <v>43.745173055517093</v>
      </c>
      <c r="F117" s="14">
        <v>47.691960121496074</v>
      </c>
      <c r="G117" s="13">
        <v>56.862237113113224</v>
      </c>
      <c r="H117" s="7"/>
      <c r="I117" s="7"/>
      <c r="J117" s="7"/>
    </row>
    <row r="118" spans="1:11" s="6" customFormat="1" ht="13.5" hidden="1" customHeight="1" x14ac:dyDescent="0.25">
      <c r="A118" s="15">
        <v>44682</v>
      </c>
      <c r="B118" s="14">
        <v>43.688853931646499</v>
      </c>
      <c r="C118" s="14">
        <v>47.308542184214097</v>
      </c>
      <c r="D118" s="14">
        <v>55.311553786056102</v>
      </c>
      <c r="E118" s="14">
        <v>43.463777375847485</v>
      </c>
      <c r="F118" s="14">
        <v>46.287211356778826</v>
      </c>
      <c r="G118" s="13">
        <v>54.352751275017667</v>
      </c>
      <c r="H118" s="7"/>
      <c r="I118" s="7"/>
      <c r="J118" s="7"/>
    </row>
    <row r="119" spans="1:11" s="6" customFormat="1" ht="18.75" hidden="1" customHeight="1" x14ac:dyDescent="0.25">
      <c r="A119" s="15">
        <v>44713</v>
      </c>
      <c r="B119" s="14">
        <v>45.483331472204902</v>
      </c>
      <c r="C119" s="14">
        <v>47.800813452174097</v>
      </c>
      <c r="D119" s="14">
        <v>55.2863367910374</v>
      </c>
      <c r="E119" s="14">
        <v>44.529866602848081</v>
      </c>
      <c r="F119" s="14">
        <v>47.479872848768807</v>
      </c>
      <c r="G119" s="13">
        <v>55.153760678759291</v>
      </c>
      <c r="H119" s="7"/>
      <c r="I119" s="7"/>
      <c r="J119" s="7"/>
    </row>
    <row r="120" spans="1:11" s="6" customFormat="1" ht="18.75" hidden="1" customHeight="1" x14ac:dyDescent="0.25">
      <c r="A120" s="15">
        <v>44743</v>
      </c>
      <c r="B120" s="14">
        <v>45.427177387411703</v>
      </c>
      <c r="C120" s="14">
        <v>47.027859603049102</v>
      </c>
      <c r="D120" s="14">
        <v>55.828612463211698</v>
      </c>
      <c r="E120" s="14">
        <v>45.36473131689862</v>
      </c>
      <c r="F120" s="14">
        <v>46.736225873752595</v>
      </c>
      <c r="G120" s="13">
        <v>54.904231159647964</v>
      </c>
      <c r="H120" s="7"/>
      <c r="I120" s="7"/>
      <c r="J120" s="7"/>
    </row>
    <row r="121" spans="1:11" s="6" customFormat="1" ht="18.75" hidden="1" customHeight="1" x14ac:dyDescent="0.25">
      <c r="A121" s="15">
        <v>44774</v>
      </c>
      <c r="B121" s="14">
        <v>44.866014839413403</v>
      </c>
      <c r="C121" s="14">
        <v>45.769801201866301</v>
      </c>
      <c r="D121" s="14">
        <v>52.850246088095403</v>
      </c>
      <c r="E121" s="14">
        <v>45.313537013064121</v>
      </c>
      <c r="F121" s="14">
        <v>46.424082290684332</v>
      </c>
      <c r="G121" s="13">
        <v>54.937892141255411</v>
      </c>
      <c r="H121" s="7"/>
      <c r="I121" s="7"/>
      <c r="J121" s="7"/>
    </row>
    <row r="122" spans="1:11" s="6" customFormat="1" ht="18.75" customHeight="1" x14ac:dyDescent="0.25">
      <c r="A122" s="15">
        <v>44805</v>
      </c>
      <c r="B122" s="14">
        <v>45.255340287533301</v>
      </c>
      <c r="C122" s="14">
        <v>44.929515216671298</v>
      </c>
      <c r="D122" s="14">
        <v>49.652123159018799</v>
      </c>
      <c r="E122" s="14">
        <v>44.9621673781566</v>
      </c>
      <c r="F122" s="14">
        <v>44.836280648986644</v>
      </c>
      <c r="G122" s="13">
        <v>51.165446203826271</v>
      </c>
      <c r="H122" s="7"/>
      <c r="I122" s="7"/>
      <c r="J122" s="7"/>
    </row>
    <row r="123" spans="1:11" s="6" customFormat="1" ht="18.75" customHeight="1" x14ac:dyDescent="0.25">
      <c r="A123" s="15">
        <v>44835</v>
      </c>
      <c r="B123" s="14">
        <v>44.565360523605598</v>
      </c>
      <c r="C123" s="14">
        <v>44.644329140456598</v>
      </c>
      <c r="D123" s="14">
        <v>51.758566410990603</v>
      </c>
      <c r="E123" s="14">
        <v>44.88651181433265</v>
      </c>
      <c r="F123" s="14">
        <v>44.314889093444016</v>
      </c>
      <c r="G123" s="13">
        <v>50.774333750455256</v>
      </c>
      <c r="H123" s="7"/>
      <c r="I123" s="7"/>
      <c r="J123" s="7"/>
    </row>
    <row r="124" spans="1:11" s="6" customFormat="1" ht="18.75" customHeight="1" x14ac:dyDescent="0.25">
      <c r="A124" s="15">
        <v>44866</v>
      </c>
      <c r="B124" s="14">
        <v>44.1450347950775</v>
      </c>
      <c r="C124" s="14">
        <v>45.896267474473902</v>
      </c>
      <c r="D124" s="14">
        <v>53.3923904181202</v>
      </c>
      <c r="E124" s="14">
        <v>44.281254554252655</v>
      </c>
      <c r="F124" s="14">
        <v>45.418274896069924</v>
      </c>
      <c r="G124" s="13">
        <v>52.191570404194515</v>
      </c>
      <c r="H124" s="7"/>
      <c r="I124" s="7"/>
      <c r="J124" s="7"/>
      <c r="K124" s="7"/>
    </row>
    <row r="125" spans="1:11" s="6" customFormat="1" ht="18.75" customHeight="1" x14ac:dyDescent="0.25">
      <c r="A125" s="15">
        <v>44896</v>
      </c>
      <c r="B125" s="14">
        <v>44.2271453658146</v>
      </c>
      <c r="C125" s="14">
        <v>47.500399480839299</v>
      </c>
      <c r="D125" s="14">
        <v>53.354920492724801</v>
      </c>
      <c r="E125" s="14">
        <v>44.09786692775031</v>
      </c>
      <c r="F125" s="14">
        <v>46.920407226110861</v>
      </c>
      <c r="G125" s="13">
        <v>53.954773066806744</v>
      </c>
      <c r="H125" s="7"/>
      <c r="I125" s="7"/>
      <c r="J125" s="7"/>
    </row>
    <row r="126" spans="1:11" s="6" customFormat="1" ht="18.75" customHeight="1" x14ac:dyDescent="0.25">
      <c r="A126" s="15">
        <v>44927</v>
      </c>
      <c r="B126" s="14">
        <v>45.515085654540101</v>
      </c>
      <c r="C126" s="14">
        <v>49.174596362311</v>
      </c>
      <c r="D126" s="14">
        <v>55.516704540678703</v>
      </c>
      <c r="E126" s="14">
        <v>44.539023322650444</v>
      </c>
      <c r="F126" s="14">
        <v>48.253646853178182</v>
      </c>
      <c r="G126" s="13">
        <v>54.574117005642606</v>
      </c>
      <c r="H126" s="7"/>
      <c r="I126" s="7"/>
      <c r="J126" s="7"/>
    </row>
    <row r="127" spans="1:11" s="6" customFormat="1" ht="18.75" customHeight="1" x14ac:dyDescent="0.25">
      <c r="A127" s="15">
        <v>44958</v>
      </c>
      <c r="B127" s="14">
        <v>46.727190439556502</v>
      </c>
      <c r="C127" s="14">
        <v>49.7579734991008</v>
      </c>
      <c r="D127" s="14">
        <v>56.72</v>
      </c>
      <c r="E127" s="14">
        <v>46.034776178356822</v>
      </c>
      <c r="F127" s="14">
        <v>49.517055596670119</v>
      </c>
      <c r="G127" s="13">
        <v>55.804536638752943</v>
      </c>
      <c r="H127" s="7"/>
      <c r="I127" s="7"/>
      <c r="J127" s="7"/>
    </row>
    <row r="128" spans="1:11" s="6" customFormat="1" ht="18.75" customHeight="1" x14ac:dyDescent="0.25">
      <c r="A128" s="15">
        <v>44986</v>
      </c>
      <c r="B128" s="14">
        <v>46.077791587309299</v>
      </c>
      <c r="C128" s="14">
        <v>50.428839418799598</v>
      </c>
      <c r="D128" s="14">
        <v>57.2500948666952</v>
      </c>
      <c r="E128" s="14">
        <v>46.910963147544614</v>
      </c>
      <c r="F128" s="14">
        <v>50.491071309902061</v>
      </c>
      <c r="G128" s="13">
        <v>57.176724881012184</v>
      </c>
      <c r="H128" s="7"/>
      <c r="I128" s="7"/>
      <c r="J128" s="7"/>
    </row>
    <row r="129" spans="1:10" s="6" customFormat="1" ht="18.75" customHeight="1" x14ac:dyDescent="0.25">
      <c r="A129" s="15">
        <v>45017</v>
      </c>
      <c r="B129" s="14">
        <v>45.287999999999997</v>
      </c>
      <c r="C129" s="14">
        <v>50.170400000000001</v>
      </c>
      <c r="D129" s="14">
        <v>56.771000000000001</v>
      </c>
      <c r="E129" s="14">
        <v>45.529727818476445</v>
      </c>
      <c r="F129" s="14">
        <v>50.094136095834514</v>
      </c>
      <c r="G129" s="13">
        <v>56.807319908163038</v>
      </c>
      <c r="H129" s="7"/>
      <c r="I129" s="7"/>
      <c r="J129" s="7"/>
    </row>
    <row r="130" spans="1:10" s="6" customFormat="1" ht="18.75" customHeight="1" x14ac:dyDescent="0.25">
      <c r="A130" s="15">
        <v>45047</v>
      </c>
      <c r="B130" s="14">
        <v>46.093000000000004</v>
      </c>
      <c r="C130" s="14">
        <v>49.415999999999997</v>
      </c>
      <c r="D130" s="14">
        <v>57.298999999999999</v>
      </c>
      <c r="E130" s="14">
        <v>45.798999999999999</v>
      </c>
      <c r="F130" s="14">
        <v>50.014000000000003</v>
      </c>
      <c r="G130" s="13">
        <v>57.392000000000003</v>
      </c>
      <c r="H130" s="7"/>
      <c r="I130" s="7"/>
      <c r="J130" s="7"/>
    </row>
    <row r="131" spans="1:10" s="6" customFormat="1" ht="18.75" customHeight="1" x14ac:dyDescent="0.25">
      <c r="A131" s="15">
        <v>45078</v>
      </c>
      <c r="B131" s="14">
        <v>46.004399999999997</v>
      </c>
      <c r="C131" s="14">
        <v>50.237000000000002</v>
      </c>
      <c r="D131" s="14">
        <v>57.951099999999997</v>
      </c>
      <c r="E131" s="14">
        <v>45.970798264368483</v>
      </c>
      <c r="F131" s="14">
        <v>50.017931797505049</v>
      </c>
      <c r="G131" s="13">
        <v>58.259103150699225</v>
      </c>
      <c r="H131" s="7"/>
      <c r="I131" s="7"/>
      <c r="J131" s="7"/>
    </row>
    <row r="132" spans="1:10" s="6" customFormat="1" ht="18.75" customHeight="1" x14ac:dyDescent="0.25">
      <c r="A132" s="15">
        <v>45108</v>
      </c>
      <c r="B132" s="14">
        <v>46.188643829901501</v>
      </c>
      <c r="C132" s="14">
        <v>51.2679649871138</v>
      </c>
      <c r="D132" s="14">
        <v>59.772674713222997</v>
      </c>
      <c r="E132" s="14">
        <v>45.947111315238814</v>
      </c>
      <c r="F132" s="14">
        <v>51.137214676271732</v>
      </c>
      <c r="G132" s="13">
        <v>59.528575318180593</v>
      </c>
      <c r="H132" s="7"/>
      <c r="I132" s="7"/>
      <c r="J132" s="7"/>
    </row>
    <row r="133" spans="1:10" s="6" customFormat="1" ht="18.75" customHeight="1" x14ac:dyDescent="0.25">
      <c r="A133" s="15">
        <v>45139</v>
      </c>
      <c r="B133" s="14">
        <v>45.917219217403598</v>
      </c>
      <c r="C133" s="14">
        <v>50.515000000000001</v>
      </c>
      <c r="D133" s="14">
        <v>58.89</v>
      </c>
      <c r="E133" s="14">
        <v>45.798362727623143</v>
      </c>
      <c r="F133" s="14">
        <v>50.328732234695387</v>
      </c>
      <c r="G133" s="13">
        <v>58.531440497207413</v>
      </c>
      <c r="H133" s="7"/>
      <c r="I133" s="7"/>
      <c r="J133" s="7"/>
    </row>
    <row r="134" spans="1:10" s="6" customFormat="1" ht="18.75" customHeight="1" thickBot="1" x14ac:dyDescent="0.3">
      <c r="A134" s="12">
        <v>45170</v>
      </c>
      <c r="B134" s="11">
        <v>44.9115926879402</v>
      </c>
      <c r="C134" s="11">
        <v>47.802368718112199</v>
      </c>
      <c r="D134" s="11">
        <v>55.207384824292497</v>
      </c>
      <c r="E134" s="11">
        <v>45.381591200191203</v>
      </c>
      <c r="F134" s="11">
        <v>48.872295860562254</v>
      </c>
      <c r="G134" s="10">
        <v>56.682151690304941</v>
      </c>
      <c r="H134" s="7"/>
      <c r="I134" s="7"/>
      <c r="J134" s="7"/>
    </row>
    <row r="135" spans="1:10" s="6" customFormat="1" ht="18.95" customHeight="1" thickTop="1" x14ac:dyDescent="0.25">
      <c r="A135" s="9" t="s">
        <v>1</v>
      </c>
      <c r="B135" s="8"/>
      <c r="C135" s="8"/>
      <c r="D135" s="8"/>
      <c r="E135" s="5"/>
      <c r="F135" s="5"/>
      <c r="G135" s="5"/>
      <c r="H135" s="7"/>
      <c r="I135" s="7"/>
      <c r="J135" s="7"/>
    </row>
    <row r="136" spans="1:10" ht="18.95" customHeight="1" x14ac:dyDescent="0.25">
      <c r="A136" s="5" t="s">
        <v>0</v>
      </c>
      <c r="B136" s="5"/>
      <c r="C136" s="5"/>
      <c r="D136" s="5"/>
      <c r="E136" s="5"/>
      <c r="F136" s="5"/>
      <c r="G136" s="5"/>
    </row>
    <row r="138" spans="1:10" x14ac:dyDescent="0.25">
      <c r="D138" s="4"/>
      <c r="G138" s="4"/>
    </row>
    <row r="143" spans="1:10" x14ac:dyDescent="0.25">
      <c r="A143" s="1"/>
      <c r="H143" s="3"/>
    </row>
  </sheetData>
  <mergeCells count="8">
    <mergeCell ref="B5:D5"/>
    <mergeCell ref="E5:G5"/>
    <mergeCell ref="B3:B4"/>
    <mergeCell ref="C3:C4"/>
    <mergeCell ref="D3:D4"/>
    <mergeCell ref="E3:E4"/>
    <mergeCell ref="F3:F4"/>
    <mergeCell ref="G3:G4"/>
  </mergeCells>
  <pageMargins left="0.75" right="0.75" top="0.75" bottom="0.75" header="0.31496062992125984" footer="0"/>
  <pageSetup paperSize="9"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IS285"/>
  <sheetViews>
    <sheetView showGridLines="0" zoomScale="85" zoomScaleNormal="85" zoomScaleSheetLayoutView="85" workbookViewId="0">
      <selection activeCell="A38" sqref="A38"/>
    </sheetView>
  </sheetViews>
  <sheetFormatPr defaultRowHeight="16.5" x14ac:dyDescent="0.3"/>
  <cols>
    <col min="1" max="1" width="23.7109375" style="31" customWidth="1"/>
    <col min="2" max="2" width="9.5703125" style="32" hidden="1" customWidth="1"/>
    <col min="3" max="37" width="9.140625" style="31" hidden="1" customWidth="1"/>
    <col min="38" max="38" width="9.7109375" style="31" hidden="1" customWidth="1"/>
    <col min="39" max="39" width="10.140625" style="31" hidden="1" customWidth="1"/>
    <col min="40" max="41" width="9.28515625" style="31" hidden="1" customWidth="1"/>
    <col min="42" max="42" width="9.85546875" style="31" hidden="1" customWidth="1"/>
    <col min="43" max="43" width="9.140625" style="31" hidden="1" customWidth="1"/>
    <col min="44" max="44" width="7.7109375" style="31" hidden="1" customWidth="1"/>
    <col min="45" max="45" width="9.85546875" style="31" hidden="1" customWidth="1"/>
    <col min="46" max="46" width="9.7109375" style="31" hidden="1" customWidth="1"/>
    <col min="47" max="47" width="9.42578125" style="31" hidden="1" customWidth="1"/>
    <col min="48" max="48" width="10" style="31" hidden="1" customWidth="1"/>
    <col min="49" max="49" width="10.28515625" style="31" hidden="1" customWidth="1"/>
    <col min="50" max="50" width="10" style="31" hidden="1" customWidth="1"/>
    <col min="51" max="51" width="10.5703125" style="31" hidden="1" customWidth="1"/>
    <col min="52" max="52" width="9.5703125" style="31" hidden="1" customWidth="1"/>
    <col min="53" max="53" width="9.42578125" style="31" hidden="1" customWidth="1"/>
    <col min="54" max="54" width="10.140625" style="31" hidden="1" customWidth="1"/>
    <col min="55" max="55" width="10" style="31" hidden="1" customWidth="1"/>
    <col min="56" max="56" width="9.85546875" style="31" hidden="1" customWidth="1"/>
    <col min="57" max="57" width="10.28515625" style="31" hidden="1" customWidth="1"/>
    <col min="58" max="58" width="10" style="31" hidden="1" customWidth="1"/>
    <col min="59" max="59" width="9.42578125" style="31" hidden="1" customWidth="1"/>
    <col min="60" max="60" width="10" style="31" hidden="1" customWidth="1"/>
    <col min="61" max="61" width="10.140625" style="31" hidden="1" customWidth="1"/>
    <col min="62" max="62" width="9.85546875" style="31" hidden="1" customWidth="1"/>
    <col min="63" max="63" width="10.28515625" style="31" hidden="1" customWidth="1"/>
    <col min="64" max="65" width="9.42578125" style="31" hidden="1" customWidth="1"/>
    <col min="66" max="66" width="10" style="31" hidden="1" customWidth="1"/>
    <col min="67" max="67" width="9.85546875" style="31" hidden="1" customWidth="1"/>
    <col min="68" max="68" width="9.5703125" style="31" hidden="1" customWidth="1"/>
    <col min="69" max="69" width="9.85546875" style="31" hidden="1" customWidth="1"/>
    <col min="70" max="70" width="9.7109375" style="31" hidden="1" customWidth="1"/>
    <col min="71" max="94" width="9.140625" style="31" hidden="1" customWidth="1"/>
    <col min="95" max="95" width="6.5703125" style="31" hidden="1" customWidth="1"/>
    <col min="96" max="106" width="7.42578125" style="31" hidden="1" customWidth="1"/>
    <col min="107" max="144" width="9.140625" style="31" hidden="1" customWidth="1"/>
    <col min="145" max="158" width="8.85546875" style="31" hidden="1" customWidth="1"/>
    <col min="159" max="159" width="9.28515625" style="31" hidden="1" customWidth="1"/>
    <col min="160" max="164" width="8.85546875" style="31" hidden="1" customWidth="1"/>
    <col min="165" max="165" width="9.42578125" style="31" hidden="1" customWidth="1"/>
    <col min="166" max="170" width="8.85546875" style="31" hidden="1" customWidth="1"/>
    <col min="171" max="171" width="9.28515625" style="31" hidden="1" customWidth="1"/>
    <col min="172" max="176" width="8.85546875" style="31" hidden="1" customWidth="1"/>
    <col min="177" max="177" width="9.28515625" style="31" hidden="1" customWidth="1"/>
    <col min="178" max="178" width="8.85546875" style="31" hidden="1" customWidth="1"/>
    <col min="179" max="179" width="9.28515625" style="31" hidden="1" customWidth="1"/>
    <col min="180" max="180" width="8.85546875" style="31" hidden="1" customWidth="1"/>
    <col min="181" max="181" width="9.28515625" style="31" hidden="1" customWidth="1"/>
    <col min="182" max="182" width="8.85546875" style="31" hidden="1" customWidth="1"/>
    <col min="183" max="187" width="9.5703125" style="31" hidden="1" customWidth="1"/>
    <col min="188" max="188" width="9.28515625" style="31" hidden="1" customWidth="1"/>
    <col min="189" max="209" width="9.5703125" style="31" hidden="1" customWidth="1"/>
    <col min="210" max="210" width="10.140625" style="31" hidden="1" customWidth="1"/>
    <col min="211" max="211" width="10" style="31" hidden="1" customWidth="1"/>
    <col min="212" max="213" width="9.7109375" style="31" hidden="1" customWidth="1"/>
    <col min="214" max="214" width="10.28515625" style="31" hidden="1" customWidth="1"/>
    <col min="215" max="240" width="9.7109375" style="31" hidden="1" customWidth="1"/>
    <col min="241" max="247" width="9.7109375" style="31" bestFit="1" customWidth="1"/>
    <col min="248" max="253" width="9.7109375" style="31" customWidth="1"/>
    <col min="254" max="254" width="3.7109375" style="31" customWidth="1"/>
    <col min="255" max="292" width="9.140625" style="31"/>
    <col min="293" max="293" width="28.7109375" style="31" customWidth="1"/>
    <col min="294" max="495" width="0" style="31" hidden="1" customWidth="1"/>
    <col min="496" max="501" width="9.5703125" style="31" customWidth="1"/>
    <col min="502" max="502" width="10.140625" style="31" bestFit="1" customWidth="1"/>
    <col min="503" max="503" width="10" style="31" bestFit="1" customWidth="1"/>
    <col min="504" max="505" width="9.7109375" style="31" bestFit="1" customWidth="1"/>
    <col min="506" max="506" width="10.28515625" style="31" bestFit="1" customWidth="1"/>
    <col min="507" max="507" width="9.7109375" style="31" bestFit="1" customWidth="1"/>
    <col min="508" max="508" width="10" style="31" bestFit="1" customWidth="1"/>
    <col min="509" max="548" width="9.140625" style="31"/>
    <col min="549" max="549" width="28.7109375" style="31" customWidth="1"/>
    <col min="550" max="751" width="0" style="31" hidden="1" customWidth="1"/>
    <col min="752" max="757" width="9.5703125" style="31" customWidth="1"/>
    <col min="758" max="758" width="10.140625" style="31" bestFit="1" customWidth="1"/>
    <col min="759" max="759" width="10" style="31" bestFit="1" customWidth="1"/>
    <col min="760" max="761" width="9.7109375" style="31" bestFit="1" customWidth="1"/>
    <col min="762" max="762" width="10.28515625" style="31" bestFit="1" customWidth="1"/>
    <col min="763" max="763" width="9.7109375" style="31" bestFit="1" customWidth="1"/>
    <col min="764" max="764" width="10" style="31" bestFit="1" customWidth="1"/>
    <col min="765" max="804" width="9.140625" style="31"/>
    <col min="805" max="805" width="28.7109375" style="31" customWidth="1"/>
    <col min="806" max="1007" width="0" style="31" hidden="1" customWidth="1"/>
    <col min="1008" max="1013" width="9.5703125" style="31" customWidth="1"/>
    <col min="1014" max="1014" width="10.140625" style="31" bestFit="1" customWidth="1"/>
    <col min="1015" max="1015" width="10" style="31" bestFit="1" customWidth="1"/>
    <col min="1016" max="1017" width="9.7109375" style="31" bestFit="1" customWidth="1"/>
    <col min="1018" max="1018" width="10.28515625" style="31" bestFit="1" customWidth="1"/>
    <col min="1019" max="1019" width="9.7109375" style="31" bestFit="1" customWidth="1"/>
    <col min="1020" max="1020" width="10" style="31" bestFit="1" customWidth="1"/>
    <col min="1021" max="1060" width="9.140625" style="31"/>
    <col min="1061" max="1061" width="28.7109375" style="31" customWidth="1"/>
    <col min="1062" max="1263" width="0" style="31" hidden="1" customWidth="1"/>
    <col min="1264" max="1269" width="9.5703125" style="31" customWidth="1"/>
    <col min="1270" max="1270" width="10.140625" style="31" bestFit="1" customWidth="1"/>
    <col min="1271" max="1271" width="10" style="31" bestFit="1" customWidth="1"/>
    <col min="1272" max="1273" width="9.7109375" style="31" bestFit="1" customWidth="1"/>
    <col min="1274" max="1274" width="10.28515625" style="31" bestFit="1" customWidth="1"/>
    <col min="1275" max="1275" width="9.7109375" style="31" bestFit="1" customWidth="1"/>
    <col min="1276" max="1276" width="10" style="31" bestFit="1" customWidth="1"/>
    <col min="1277" max="1316" width="9.140625" style="31"/>
    <col min="1317" max="1317" width="28.7109375" style="31" customWidth="1"/>
    <col min="1318" max="1519" width="0" style="31" hidden="1" customWidth="1"/>
    <col min="1520" max="1525" width="9.5703125" style="31" customWidth="1"/>
    <col min="1526" max="1526" width="10.140625" style="31" bestFit="1" customWidth="1"/>
    <col min="1527" max="1527" width="10" style="31" bestFit="1" customWidth="1"/>
    <col min="1528" max="1529" width="9.7109375" style="31" bestFit="1" customWidth="1"/>
    <col min="1530" max="1530" width="10.28515625" style="31" bestFit="1" customWidth="1"/>
    <col min="1531" max="1531" width="9.7109375" style="31" bestFit="1" customWidth="1"/>
    <col min="1532" max="1532" width="10" style="31" bestFit="1" customWidth="1"/>
    <col min="1533" max="1572" width="9.140625" style="31"/>
    <col min="1573" max="1573" width="28.7109375" style="31" customWidth="1"/>
    <col min="1574" max="1775" width="0" style="31" hidden="1" customWidth="1"/>
    <col min="1776" max="1781" width="9.5703125" style="31" customWidth="1"/>
    <col min="1782" max="1782" width="10.140625" style="31" bestFit="1" customWidth="1"/>
    <col min="1783" max="1783" width="10" style="31" bestFit="1" customWidth="1"/>
    <col min="1784" max="1785" width="9.7109375" style="31" bestFit="1" customWidth="1"/>
    <col min="1786" max="1786" width="10.28515625" style="31" bestFit="1" customWidth="1"/>
    <col min="1787" max="1787" width="9.7109375" style="31" bestFit="1" customWidth="1"/>
    <col min="1788" max="1788" width="10" style="31" bestFit="1" customWidth="1"/>
    <col min="1789" max="1828" width="9.140625" style="31"/>
    <col min="1829" max="1829" width="28.7109375" style="31" customWidth="1"/>
    <col min="1830" max="2031" width="0" style="31" hidden="1" customWidth="1"/>
    <col min="2032" max="2037" width="9.5703125" style="31" customWidth="1"/>
    <col min="2038" max="2038" width="10.140625" style="31" bestFit="1" customWidth="1"/>
    <col min="2039" max="2039" width="10" style="31" bestFit="1" customWidth="1"/>
    <col min="2040" max="2041" width="9.7109375" style="31" bestFit="1" customWidth="1"/>
    <col min="2042" max="2042" width="10.28515625" style="31" bestFit="1" customWidth="1"/>
    <col min="2043" max="2043" width="9.7109375" style="31" bestFit="1" customWidth="1"/>
    <col min="2044" max="2044" width="10" style="31" bestFit="1" customWidth="1"/>
    <col min="2045" max="2084" width="9.140625" style="31"/>
    <col min="2085" max="2085" width="28.7109375" style="31" customWidth="1"/>
    <col min="2086" max="2287" width="0" style="31" hidden="1" customWidth="1"/>
    <col min="2288" max="2293" width="9.5703125" style="31" customWidth="1"/>
    <col min="2294" max="2294" width="10.140625" style="31" bestFit="1" customWidth="1"/>
    <col min="2295" max="2295" width="10" style="31" bestFit="1" customWidth="1"/>
    <col min="2296" max="2297" width="9.7109375" style="31" bestFit="1" customWidth="1"/>
    <col min="2298" max="2298" width="10.28515625" style="31" bestFit="1" customWidth="1"/>
    <col min="2299" max="2299" width="9.7109375" style="31" bestFit="1" customWidth="1"/>
    <col min="2300" max="2300" width="10" style="31" bestFit="1" customWidth="1"/>
    <col min="2301" max="2340" width="9.140625" style="31"/>
    <col min="2341" max="2341" width="28.7109375" style="31" customWidth="1"/>
    <col min="2342" max="2543" width="0" style="31" hidden="1" customWidth="1"/>
    <col min="2544" max="2549" width="9.5703125" style="31" customWidth="1"/>
    <col min="2550" max="2550" width="10.140625" style="31" bestFit="1" customWidth="1"/>
    <col min="2551" max="2551" width="10" style="31" bestFit="1" customWidth="1"/>
    <col min="2552" max="2553" width="9.7109375" style="31" bestFit="1" customWidth="1"/>
    <col min="2554" max="2554" width="10.28515625" style="31" bestFit="1" customWidth="1"/>
    <col min="2555" max="2555" width="9.7109375" style="31" bestFit="1" customWidth="1"/>
    <col min="2556" max="2556" width="10" style="31" bestFit="1" customWidth="1"/>
    <col min="2557" max="2596" width="9.140625" style="31"/>
    <col min="2597" max="2597" width="28.7109375" style="31" customWidth="1"/>
    <col min="2598" max="2799" width="0" style="31" hidden="1" customWidth="1"/>
    <col min="2800" max="2805" width="9.5703125" style="31" customWidth="1"/>
    <col min="2806" max="2806" width="10.140625" style="31" bestFit="1" customWidth="1"/>
    <col min="2807" max="2807" width="10" style="31" bestFit="1" customWidth="1"/>
    <col min="2808" max="2809" width="9.7109375" style="31" bestFit="1" customWidth="1"/>
    <col min="2810" max="2810" width="10.28515625" style="31" bestFit="1" customWidth="1"/>
    <col min="2811" max="2811" width="9.7109375" style="31" bestFit="1" customWidth="1"/>
    <col min="2812" max="2812" width="10" style="31" bestFit="1" customWidth="1"/>
    <col min="2813" max="2852" width="9.140625" style="31"/>
    <col min="2853" max="2853" width="28.7109375" style="31" customWidth="1"/>
    <col min="2854" max="3055" width="0" style="31" hidden="1" customWidth="1"/>
    <col min="3056" max="3061" width="9.5703125" style="31" customWidth="1"/>
    <col min="3062" max="3062" width="10.140625" style="31" bestFit="1" customWidth="1"/>
    <col min="3063" max="3063" width="10" style="31" bestFit="1" customWidth="1"/>
    <col min="3064" max="3065" width="9.7109375" style="31" bestFit="1" customWidth="1"/>
    <col min="3066" max="3066" width="10.28515625" style="31" bestFit="1" customWidth="1"/>
    <col min="3067" max="3067" width="9.7109375" style="31" bestFit="1" customWidth="1"/>
    <col min="3068" max="3068" width="10" style="31" bestFit="1" customWidth="1"/>
    <col min="3069" max="3108" width="9.140625" style="31"/>
    <col min="3109" max="3109" width="28.7109375" style="31" customWidth="1"/>
    <col min="3110" max="3311" width="0" style="31" hidden="1" customWidth="1"/>
    <col min="3312" max="3317" width="9.5703125" style="31" customWidth="1"/>
    <col min="3318" max="3318" width="10.140625" style="31" bestFit="1" customWidth="1"/>
    <col min="3319" max="3319" width="10" style="31" bestFit="1" customWidth="1"/>
    <col min="3320" max="3321" width="9.7109375" style="31" bestFit="1" customWidth="1"/>
    <col min="3322" max="3322" width="10.28515625" style="31" bestFit="1" customWidth="1"/>
    <col min="3323" max="3323" width="9.7109375" style="31" bestFit="1" customWidth="1"/>
    <col min="3324" max="3324" width="10" style="31" bestFit="1" customWidth="1"/>
    <col min="3325" max="3364" width="9.140625" style="31"/>
    <col min="3365" max="3365" width="28.7109375" style="31" customWidth="1"/>
    <col min="3366" max="3567" width="0" style="31" hidden="1" customWidth="1"/>
    <col min="3568" max="3573" width="9.5703125" style="31" customWidth="1"/>
    <col min="3574" max="3574" width="10.140625" style="31" bestFit="1" customWidth="1"/>
    <col min="3575" max="3575" width="10" style="31" bestFit="1" customWidth="1"/>
    <col min="3576" max="3577" width="9.7109375" style="31" bestFit="1" customWidth="1"/>
    <col min="3578" max="3578" width="10.28515625" style="31" bestFit="1" customWidth="1"/>
    <col min="3579" max="3579" width="9.7109375" style="31" bestFit="1" customWidth="1"/>
    <col min="3580" max="3580" width="10" style="31" bestFit="1" customWidth="1"/>
    <col min="3581" max="3620" width="9.140625" style="31"/>
    <col min="3621" max="3621" width="28.7109375" style="31" customWidth="1"/>
    <col min="3622" max="3823" width="0" style="31" hidden="1" customWidth="1"/>
    <col min="3824" max="3829" width="9.5703125" style="31" customWidth="1"/>
    <col min="3830" max="3830" width="10.140625" style="31" bestFit="1" customWidth="1"/>
    <col min="3831" max="3831" width="10" style="31" bestFit="1" customWidth="1"/>
    <col min="3832" max="3833" width="9.7109375" style="31" bestFit="1" customWidth="1"/>
    <col min="3834" max="3834" width="10.28515625" style="31" bestFit="1" customWidth="1"/>
    <col min="3835" max="3835" width="9.7109375" style="31" bestFit="1" customWidth="1"/>
    <col min="3836" max="3836" width="10" style="31" bestFit="1" customWidth="1"/>
    <col min="3837" max="3876" width="9.140625" style="31"/>
    <col min="3877" max="3877" width="28.7109375" style="31" customWidth="1"/>
    <col min="3878" max="4079" width="0" style="31" hidden="1" customWidth="1"/>
    <col min="4080" max="4085" width="9.5703125" style="31" customWidth="1"/>
    <col min="4086" max="4086" width="10.140625" style="31" bestFit="1" customWidth="1"/>
    <col min="4087" max="4087" width="10" style="31" bestFit="1" customWidth="1"/>
    <col min="4088" max="4089" width="9.7109375" style="31" bestFit="1" customWidth="1"/>
    <col min="4090" max="4090" width="10.28515625" style="31" bestFit="1" customWidth="1"/>
    <col min="4091" max="4091" width="9.7109375" style="31" bestFit="1" customWidth="1"/>
    <col min="4092" max="4092" width="10" style="31" bestFit="1" customWidth="1"/>
    <col min="4093" max="4132" width="9.140625" style="31"/>
    <col min="4133" max="4133" width="28.7109375" style="31" customWidth="1"/>
    <col min="4134" max="4335" width="0" style="31" hidden="1" customWidth="1"/>
    <col min="4336" max="4341" width="9.5703125" style="31" customWidth="1"/>
    <col min="4342" max="4342" width="10.140625" style="31" bestFit="1" customWidth="1"/>
    <col min="4343" max="4343" width="10" style="31" bestFit="1" customWidth="1"/>
    <col min="4344" max="4345" width="9.7109375" style="31" bestFit="1" customWidth="1"/>
    <col min="4346" max="4346" width="10.28515625" style="31" bestFit="1" customWidth="1"/>
    <col min="4347" max="4347" width="9.7109375" style="31" bestFit="1" customWidth="1"/>
    <col min="4348" max="4348" width="10" style="31" bestFit="1" customWidth="1"/>
    <col min="4349" max="4388" width="9.140625" style="31"/>
    <col min="4389" max="4389" width="28.7109375" style="31" customWidth="1"/>
    <col min="4390" max="4591" width="0" style="31" hidden="1" customWidth="1"/>
    <col min="4592" max="4597" width="9.5703125" style="31" customWidth="1"/>
    <col min="4598" max="4598" width="10.140625" style="31" bestFit="1" customWidth="1"/>
    <col min="4599" max="4599" width="10" style="31" bestFit="1" customWidth="1"/>
    <col min="4600" max="4601" width="9.7109375" style="31" bestFit="1" customWidth="1"/>
    <col min="4602" max="4602" width="10.28515625" style="31" bestFit="1" customWidth="1"/>
    <col min="4603" max="4603" width="9.7109375" style="31" bestFit="1" customWidth="1"/>
    <col min="4604" max="4604" width="10" style="31" bestFit="1" customWidth="1"/>
    <col min="4605" max="4644" width="9.140625" style="31"/>
    <col min="4645" max="4645" width="28.7109375" style="31" customWidth="1"/>
    <col min="4646" max="4847" width="0" style="31" hidden="1" customWidth="1"/>
    <col min="4848" max="4853" width="9.5703125" style="31" customWidth="1"/>
    <col min="4854" max="4854" width="10.140625" style="31" bestFit="1" customWidth="1"/>
    <col min="4855" max="4855" width="10" style="31" bestFit="1" customWidth="1"/>
    <col min="4856" max="4857" width="9.7109375" style="31" bestFit="1" customWidth="1"/>
    <col min="4858" max="4858" width="10.28515625" style="31" bestFit="1" customWidth="1"/>
    <col min="4859" max="4859" width="9.7109375" style="31" bestFit="1" customWidth="1"/>
    <col min="4860" max="4860" width="10" style="31" bestFit="1" customWidth="1"/>
    <col min="4861" max="4900" width="9.140625" style="31"/>
    <col min="4901" max="4901" width="28.7109375" style="31" customWidth="1"/>
    <col min="4902" max="5103" width="0" style="31" hidden="1" customWidth="1"/>
    <col min="5104" max="5109" width="9.5703125" style="31" customWidth="1"/>
    <col min="5110" max="5110" width="10.140625" style="31" bestFit="1" customWidth="1"/>
    <col min="5111" max="5111" width="10" style="31" bestFit="1" customWidth="1"/>
    <col min="5112" max="5113" width="9.7109375" style="31" bestFit="1" customWidth="1"/>
    <col min="5114" max="5114" width="10.28515625" style="31" bestFit="1" customWidth="1"/>
    <col min="5115" max="5115" width="9.7109375" style="31" bestFit="1" customWidth="1"/>
    <col min="5116" max="5116" width="10" style="31" bestFit="1" customWidth="1"/>
    <col min="5117" max="5156" width="9.140625" style="31"/>
    <col min="5157" max="5157" width="28.7109375" style="31" customWidth="1"/>
    <col min="5158" max="5359" width="0" style="31" hidden="1" customWidth="1"/>
    <col min="5360" max="5365" width="9.5703125" style="31" customWidth="1"/>
    <col min="5366" max="5366" width="10.140625" style="31" bestFit="1" customWidth="1"/>
    <col min="5367" max="5367" width="10" style="31" bestFit="1" customWidth="1"/>
    <col min="5368" max="5369" width="9.7109375" style="31" bestFit="1" customWidth="1"/>
    <col min="5370" max="5370" width="10.28515625" style="31" bestFit="1" customWidth="1"/>
    <col min="5371" max="5371" width="9.7109375" style="31" bestFit="1" customWidth="1"/>
    <col min="5372" max="5372" width="10" style="31" bestFit="1" customWidth="1"/>
    <col min="5373" max="5412" width="9.140625" style="31"/>
    <col min="5413" max="5413" width="28.7109375" style="31" customWidth="1"/>
    <col min="5414" max="5615" width="0" style="31" hidden="1" customWidth="1"/>
    <col min="5616" max="5621" width="9.5703125" style="31" customWidth="1"/>
    <col min="5622" max="5622" width="10.140625" style="31" bestFit="1" customWidth="1"/>
    <col min="5623" max="5623" width="10" style="31" bestFit="1" customWidth="1"/>
    <col min="5624" max="5625" width="9.7109375" style="31" bestFit="1" customWidth="1"/>
    <col min="5626" max="5626" width="10.28515625" style="31" bestFit="1" customWidth="1"/>
    <col min="5627" max="5627" width="9.7109375" style="31" bestFit="1" customWidth="1"/>
    <col min="5628" max="5628" width="10" style="31" bestFit="1" customWidth="1"/>
    <col min="5629" max="5668" width="9.140625" style="31"/>
    <col min="5669" max="5669" width="28.7109375" style="31" customWidth="1"/>
    <col min="5670" max="5871" width="0" style="31" hidden="1" customWidth="1"/>
    <col min="5872" max="5877" width="9.5703125" style="31" customWidth="1"/>
    <col min="5878" max="5878" width="10.140625" style="31" bestFit="1" customWidth="1"/>
    <col min="5879" max="5879" width="10" style="31" bestFit="1" customWidth="1"/>
    <col min="5880" max="5881" width="9.7109375" style="31" bestFit="1" customWidth="1"/>
    <col min="5882" max="5882" width="10.28515625" style="31" bestFit="1" customWidth="1"/>
    <col min="5883" max="5883" width="9.7109375" style="31" bestFit="1" customWidth="1"/>
    <col min="5884" max="5884" width="10" style="31" bestFit="1" customWidth="1"/>
    <col min="5885" max="5924" width="9.140625" style="31"/>
    <col min="5925" max="5925" width="28.7109375" style="31" customWidth="1"/>
    <col min="5926" max="6127" width="0" style="31" hidden="1" customWidth="1"/>
    <col min="6128" max="6133" width="9.5703125" style="31" customWidth="1"/>
    <col min="6134" max="6134" width="10.140625" style="31" bestFit="1" customWidth="1"/>
    <col min="6135" max="6135" width="10" style="31" bestFit="1" customWidth="1"/>
    <col min="6136" max="6137" width="9.7109375" style="31" bestFit="1" customWidth="1"/>
    <col min="6138" max="6138" width="10.28515625" style="31" bestFit="1" customWidth="1"/>
    <col min="6139" max="6139" width="9.7109375" style="31" bestFit="1" customWidth="1"/>
    <col min="6140" max="6140" width="10" style="31" bestFit="1" customWidth="1"/>
    <col min="6141" max="6180" width="9.140625" style="31"/>
    <col min="6181" max="6181" width="28.7109375" style="31" customWidth="1"/>
    <col min="6182" max="6383" width="0" style="31" hidden="1" customWidth="1"/>
    <col min="6384" max="6389" width="9.5703125" style="31" customWidth="1"/>
    <col min="6390" max="6390" width="10.140625" style="31" bestFit="1" customWidth="1"/>
    <col min="6391" max="6391" width="10" style="31" bestFit="1" customWidth="1"/>
    <col min="6392" max="6393" width="9.7109375" style="31" bestFit="1" customWidth="1"/>
    <col min="6394" max="6394" width="10.28515625" style="31" bestFit="1" customWidth="1"/>
    <col min="6395" max="6395" width="9.7109375" style="31" bestFit="1" customWidth="1"/>
    <col min="6396" max="6396" width="10" style="31" bestFit="1" customWidth="1"/>
    <col min="6397" max="6436" width="9.140625" style="31"/>
    <col min="6437" max="6437" width="28.7109375" style="31" customWidth="1"/>
    <col min="6438" max="6639" width="0" style="31" hidden="1" customWidth="1"/>
    <col min="6640" max="6645" width="9.5703125" style="31" customWidth="1"/>
    <col min="6646" max="6646" width="10.140625" style="31" bestFit="1" customWidth="1"/>
    <col min="6647" max="6647" width="10" style="31" bestFit="1" customWidth="1"/>
    <col min="6648" max="6649" width="9.7109375" style="31" bestFit="1" customWidth="1"/>
    <col min="6650" max="6650" width="10.28515625" style="31" bestFit="1" customWidth="1"/>
    <col min="6651" max="6651" width="9.7109375" style="31" bestFit="1" customWidth="1"/>
    <col min="6652" max="6652" width="10" style="31" bestFit="1" customWidth="1"/>
    <col min="6653" max="6692" width="9.140625" style="31"/>
    <col min="6693" max="6693" width="28.7109375" style="31" customWidth="1"/>
    <col min="6694" max="6895" width="0" style="31" hidden="1" customWidth="1"/>
    <col min="6896" max="6901" width="9.5703125" style="31" customWidth="1"/>
    <col min="6902" max="6902" width="10.140625" style="31" bestFit="1" customWidth="1"/>
    <col min="6903" max="6903" width="10" style="31" bestFit="1" customWidth="1"/>
    <col min="6904" max="6905" width="9.7109375" style="31" bestFit="1" customWidth="1"/>
    <col min="6906" max="6906" width="10.28515625" style="31" bestFit="1" customWidth="1"/>
    <col min="6907" max="6907" width="9.7109375" style="31" bestFit="1" customWidth="1"/>
    <col min="6908" max="6908" width="10" style="31" bestFit="1" customWidth="1"/>
    <col min="6909" max="6948" width="9.140625" style="31"/>
    <col min="6949" max="6949" width="28.7109375" style="31" customWidth="1"/>
    <col min="6950" max="7151" width="0" style="31" hidden="1" customWidth="1"/>
    <col min="7152" max="7157" width="9.5703125" style="31" customWidth="1"/>
    <col min="7158" max="7158" width="10.140625" style="31" bestFit="1" customWidth="1"/>
    <col min="7159" max="7159" width="10" style="31" bestFit="1" customWidth="1"/>
    <col min="7160" max="7161" width="9.7109375" style="31" bestFit="1" customWidth="1"/>
    <col min="7162" max="7162" width="10.28515625" style="31" bestFit="1" customWidth="1"/>
    <col min="7163" max="7163" width="9.7109375" style="31" bestFit="1" customWidth="1"/>
    <col min="7164" max="7164" width="10" style="31" bestFit="1" customWidth="1"/>
    <col min="7165" max="7204" width="9.140625" style="31"/>
    <col min="7205" max="7205" width="28.7109375" style="31" customWidth="1"/>
    <col min="7206" max="7407" width="0" style="31" hidden="1" customWidth="1"/>
    <col min="7408" max="7413" width="9.5703125" style="31" customWidth="1"/>
    <col min="7414" max="7414" width="10.140625" style="31" bestFit="1" customWidth="1"/>
    <col min="7415" max="7415" width="10" style="31" bestFit="1" customWidth="1"/>
    <col min="7416" max="7417" width="9.7109375" style="31" bestFit="1" customWidth="1"/>
    <col min="7418" max="7418" width="10.28515625" style="31" bestFit="1" customWidth="1"/>
    <col min="7419" max="7419" width="9.7109375" style="31" bestFit="1" customWidth="1"/>
    <col min="7420" max="7420" width="10" style="31" bestFit="1" customWidth="1"/>
    <col min="7421" max="7460" width="9.140625" style="31"/>
    <col min="7461" max="7461" width="28.7109375" style="31" customWidth="1"/>
    <col min="7462" max="7663" width="0" style="31" hidden="1" customWidth="1"/>
    <col min="7664" max="7669" width="9.5703125" style="31" customWidth="1"/>
    <col min="7670" max="7670" width="10.140625" style="31" bestFit="1" customWidth="1"/>
    <col min="7671" max="7671" width="10" style="31" bestFit="1" customWidth="1"/>
    <col min="7672" max="7673" width="9.7109375" style="31" bestFit="1" customWidth="1"/>
    <col min="7674" max="7674" width="10.28515625" style="31" bestFit="1" customWidth="1"/>
    <col min="7675" max="7675" width="9.7109375" style="31" bestFit="1" customWidth="1"/>
    <col min="7676" max="7676" width="10" style="31" bestFit="1" customWidth="1"/>
    <col min="7677" max="7716" width="9.140625" style="31"/>
    <col min="7717" max="7717" width="28.7109375" style="31" customWidth="1"/>
    <col min="7718" max="7919" width="0" style="31" hidden="1" customWidth="1"/>
    <col min="7920" max="7925" width="9.5703125" style="31" customWidth="1"/>
    <col min="7926" max="7926" width="10.140625" style="31" bestFit="1" customWidth="1"/>
    <col min="7927" max="7927" width="10" style="31" bestFit="1" customWidth="1"/>
    <col min="7928" max="7929" width="9.7109375" style="31" bestFit="1" customWidth="1"/>
    <col min="7930" max="7930" width="10.28515625" style="31" bestFit="1" customWidth="1"/>
    <col min="7931" max="7931" width="9.7109375" style="31" bestFit="1" customWidth="1"/>
    <col min="7932" max="7932" width="10" style="31" bestFit="1" customWidth="1"/>
    <col min="7933" max="7972" width="9.140625" style="31"/>
    <col min="7973" max="7973" width="28.7109375" style="31" customWidth="1"/>
    <col min="7974" max="8175" width="0" style="31" hidden="1" customWidth="1"/>
    <col min="8176" max="8181" width="9.5703125" style="31" customWidth="1"/>
    <col min="8182" max="8182" width="10.140625" style="31" bestFit="1" customWidth="1"/>
    <col min="8183" max="8183" width="10" style="31" bestFit="1" customWidth="1"/>
    <col min="8184" max="8185" width="9.7109375" style="31" bestFit="1" customWidth="1"/>
    <col min="8186" max="8186" width="10.28515625" style="31" bestFit="1" customWidth="1"/>
    <col min="8187" max="8187" width="9.7109375" style="31" bestFit="1" customWidth="1"/>
    <col min="8188" max="8188" width="10" style="31" bestFit="1" customWidth="1"/>
    <col min="8189" max="8228" width="9.140625" style="31"/>
    <col min="8229" max="8229" width="28.7109375" style="31" customWidth="1"/>
    <col min="8230" max="8431" width="0" style="31" hidden="1" customWidth="1"/>
    <col min="8432" max="8437" width="9.5703125" style="31" customWidth="1"/>
    <col min="8438" max="8438" width="10.140625" style="31" bestFit="1" customWidth="1"/>
    <col min="8439" max="8439" width="10" style="31" bestFit="1" customWidth="1"/>
    <col min="8440" max="8441" width="9.7109375" style="31" bestFit="1" customWidth="1"/>
    <col min="8442" max="8442" width="10.28515625" style="31" bestFit="1" customWidth="1"/>
    <col min="8443" max="8443" width="9.7109375" style="31" bestFit="1" customWidth="1"/>
    <col min="8444" max="8444" width="10" style="31" bestFit="1" customWidth="1"/>
    <col min="8445" max="8484" width="9.140625" style="31"/>
    <col min="8485" max="8485" width="28.7109375" style="31" customWidth="1"/>
    <col min="8486" max="8687" width="0" style="31" hidden="1" customWidth="1"/>
    <col min="8688" max="8693" width="9.5703125" style="31" customWidth="1"/>
    <col min="8694" max="8694" width="10.140625" style="31" bestFit="1" customWidth="1"/>
    <col min="8695" max="8695" width="10" style="31" bestFit="1" customWidth="1"/>
    <col min="8696" max="8697" width="9.7109375" style="31" bestFit="1" customWidth="1"/>
    <col min="8698" max="8698" width="10.28515625" style="31" bestFit="1" customWidth="1"/>
    <col min="8699" max="8699" width="9.7109375" style="31" bestFit="1" customWidth="1"/>
    <col min="8700" max="8700" width="10" style="31" bestFit="1" customWidth="1"/>
    <col min="8701" max="8740" width="9.140625" style="31"/>
    <col min="8741" max="8741" width="28.7109375" style="31" customWidth="1"/>
    <col min="8742" max="8943" width="0" style="31" hidden="1" customWidth="1"/>
    <col min="8944" max="8949" width="9.5703125" style="31" customWidth="1"/>
    <col min="8950" max="8950" width="10.140625" style="31" bestFit="1" customWidth="1"/>
    <col min="8951" max="8951" width="10" style="31" bestFit="1" customWidth="1"/>
    <col min="8952" max="8953" width="9.7109375" style="31" bestFit="1" customWidth="1"/>
    <col min="8954" max="8954" width="10.28515625" style="31" bestFit="1" customWidth="1"/>
    <col min="8955" max="8955" width="9.7109375" style="31" bestFit="1" customWidth="1"/>
    <col min="8956" max="8956" width="10" style="31" bestFit="1" customWidth="1"/>
    <col min="8957" max="8996" width="9.140625" style="31"/>
    <col min="8997" max="8997" width="28.7109375" style="31" customWidth="1"/>
    <col min="8998" max="9199" width="0" style="31" hidden="1" customWidth="1"/>
    <col min="9200" max="9205" width="9.5703125" style="31" customWidth="1"/>
    <col min="9206" max="9206" width="10.140625" style="31" bestFit="1" customWidth="1"/>
    <col min="9207" max="9207" width="10" style="31" bestFit="1" customWidth="1"/>
    <col min="9208" max="9209" width="9.7109375" style="31" bestFit="1" customWidth="1"/>
    <col min="9210" max="9210" width="10.28515625" style="31" bestFit="1" customWidth="1"/>
    <col min="9211" max="9211" width="9.7109375" style="31" bestFit="1" customWidth="1"/>
    <col min="9212" max="9212" width="10" style="31" bestFit="1" customWidth="1"/>
    <col min="9213" max="9252" width="9.140625" style="31"/>
    <col min="9253" max="9253" width="28.7109375" style="31" customWidth="1"/>
    <col min="9254" max="9455" width="0" style="31" hidden="1" customWidth="1"/>
    <col min="9456" max="9461" width="9.5703125" style="31" customWidth="1"/>
    <col min="9462" max="9462" width="10.140625" style="31" bestFit="1" customWidth="1"/>
    <col min="9463" max="9463" width="10" style="31" bestFit="1" customWidth="1"/>
    <col min="9464" max="9465" width="9.7109375" style="31" bestFit="1" customWidth="1"/>
    <col min="9466" max="9466" width="10.28515625" style="31" bestFit="1" customWidth="1"/>
    <col min="9467" max="9467" width="9.7109375" style="31" bestFit="1" customWidth="1"/>
    <col min="9468" max="9468" width="10" style="31" bestFit="1" customWidth="1"/>
    <col min="9469" max="9508" width="9.140625" style="31"/>
    <col min="9509" max="9509" width="28.7109375" style="31" customWidth="1"/>
    <col min="9510" max="9711" width="0" style="31" hidden="1" customWidth="1"/>
    <col min="9712" max="9717" width="9.5703125" style="31" customWidth="1"/>
    <col min="9718" max="9718" width="10.140625" style="31" bestFit="1" customWidth="1"/>
    <col min="9719" max="9719" width="10" style="31" bestFit="1" customWidth="1"/>
    <col min="9720" max="9721" width="9.7109375" style="31" bestFit="1" customWidth="1"/>
    <col min="9722" max="9722" width="10.28515625" style="31" bestFit="1" customWidth="1"/>
    <col min="9723" max="9723" width="9.7109375" style="31" bestFit="1" customWidth="1"/>
    <col min="9724" max="9724" width="10" style="31" bestFit="1" customWidth="1"/>
    <col min="9725" max="9764" width="9.140625" style="31"/>
    <col min="9765" max="9765" width="28.7109375" style="31" customWidth="1"/>
    <col min="9766" max="9967" width="0" style="31" hidden="1" customWidth="1"/>
    <col min="9968" max="9973" width="9.5703125" style="31" customWidth="1"/>
    <col min="9974" max="9974" width="10.140625" style="31" bestFit="1" customWidth="1"/>
    <col min="9975" max="9975" width="10" style="31" bestFit="1" customWidth="1"/>
    <col min="9976" max="9977" width="9.7109375" style="31" bestFit="1" customWidth="1"/>
    <col min="9978" max="9978" width="10.28515625" style="31" bestFit="1" customWidth="1"/>
    <col min="9979" max="9979" width="9.7109375" style="31" bestFit="1" customWidth="1"/>
    <col min="9980" max="9980" width="10" style="31" bestFit="1" customWidth="1"/>
    <col min="9981" max="10020" width="9.140625" style="31"/>
    <col min="10021" max="10021" width="28.7109375" style="31" customWidth="1"/>
    <col min="10022" max="10223" width="0" style="31" hidden="1" customWidth="1"/>
    <col min="10224" max="10229" width="9.5703125" style="31" customWidth="1"/>
    <col min="10230" max="10230" width="10.140625" style="31" bestFit="1" customWidth="1"/>
    <col min="10231" max="10231" width="10" style="31" bestFit="1" customWidth="1"/>
    <col min="10232" max="10233" width="9.7109375" style="31" bestFit="1" customWidth="1"/>
    <col min="10234" max="10234" width="10.28515625" style="31" bestFit="1" customWidth="1"/>
    <col min="10235" max="10235" width="9.7109375" style="31" bestFit="1" customWidth="1"/>
    <col min="10236" max="10236" width="10" style="31" bestFit="1" customWidth="1"/>
    <col min="10237" max="10276" width="9.140625" style="31"/>
    <col min="10277" max="10277" width="28.7109375" style="31" customWidth="1"/>
    <col min="10278" max="10479" width="0" style="31" hidden="1" customWidth="1"/>
    <col min="10480" max="10485" width="9.5703125" style="31" customWidth="1"/>
    <col min="10486" max="10486" width="10.140625" style="31" bestFit="1" customWidth="1"/>
    <col min="10487" max="10487" width="10" style="31" bestFit="1" customWidth="1"/>
    <col min="10488" max="10489" width="9.7109375" style="31" bestFit="1" customWidth="1"/>
    <col min="10490" max="10490" width="10.28515625" style="31" bestFit="1" customWidth="1"/>
    <col min="10491" max="10491" width="9.7109375" style="31" bestFit="1" customWidth="1"/>
    <col min="10492" max="10492" width="10" style="31" bestFit="1" customWidth="1"/>
    <col min="10493" max="10532" width="9.140625" style="31"/>
    <col min="10533" max="10533" width="28.7109375" style="31" customWidth="1"/>
    <col min="10534" max="10735" width="0" style="31" hidden="1" customWidth="1"/>
    <col min="10736" max="10741" width="9.5703125" style="31" customWidth="1"/>
    <col min="10742" max="10742" width="10.140625" style="31" bestFit="1" customWidth="1"/>
    <col min="10743" max="10743" width="10" style="31" bestFit="1" customWidth="1"/>
    <col min="10744" max="10745" width="9.7109375" style="31" bestFit="1" customWidth="1"/>
    <col min="10746" max="10746" width="10.28515625" style="31" bestFit="1" customWidth="1"/>
    <col min="10747" max="10747" width="9.7109375" style="31" bestFit="1" customWidth="1"/>
    <col min="10748" max="10748" width="10" style="31" bestFit="1" customWidth="1"/>
    <col min="10749" max="10788" width="9.140625" style="31"/>
    <col min="10789" max="10789" width="28.7109375" style="31" customWidth="1"/>
    <col min="10790" max="10991" width="0" style="31" hidden="1" customWidth="1"/>
    <col min="10992" max="10997" width="9.5703125" style="31" customWidth="1"/>
    <col min="10998" max="10998" width="10.140625" style="31" bestFit="1" customWidth="1"/>
    <col min="10999" max="10999" width="10" style="31" bestFit="1" customWidth="1"/>
    <col min="11000" max="11001" width="9.7109375" style="31" bestFit="1" customWidth="1"/>
    <col min="11002" max="11002" width="10.28515625" style="31" bestFit="1" customWidth="1"/>
    <col min="11003" max="11003" width="9.7109375" style="31" bestFit="1" customWidth="1"/>
    <col min="11004" max="11004" width="10" style="31" bestFit="1" customWidth="1"/>
    <col min="11005" max="11044" width="9.140625" style="31"/>
    <col min="11045" max="11045" width="28.7109375" style="31" customWidth="1"/>
    <col min="11046" max="11247" width="0" style="31" hidden="1" customWidth="1"/>
    <col min="11248" max="11253" width="9.5703125" style="31" customWidth="1"/>
    <col min="11254" max="11254" width="10.140625" style="31" bestFit="1" customWidth="1"/>
    <col min="11255" max="11255" width="10" style="31" bestFit="1" customWidth="1"/>
    <col min="11256" max="11257" width="9.7109375" style="31" bestFit="1" customWidth="1"/>
    <col min="11258" max="11258" width="10.28515625" style="31" bestFit="1" customWidth="1"/>
    <col min="11259" max="11259" width="9.7109375" style="31" bestFit="1" customWidth="1"/>
    <col min="11260" max="11260" width="10" style="31" bestFit="1" customWidth="1"/>
    <col min="11261" max="11300" width="9.140625" style="31"/>
    <col min="11301" max="11301" width="28.7109375" style="31" customWidth="1"/>
    <col min="11302" max="11503" width="0" style="31" hidden="1" customWidth="1"/>
    <col min="11504" max="11509" width="9.5703125" style="31" customWidth="1"/>
    <col min="11510" max="11510" width="10.140625" style="31" bestFit="1" customWidth="1"/>
    <col min="11511" max="11511" width="10" style="31" bestFit="1" customWidth="1"/>
    <col min="11512" max="11513" width="9.7109375" style="31" bestFit="1" customWidth="1"/>
    <col min="11514" max="11514" width="10.28515625" style="31" bestFit="1" customWidth="1"/>
    <col min="11515" max="11515" width="9.7109375" style="31" bestFit="1" customWidth="1"/>
    <col min="11516" max="11516" width="10" style="31" bestFit="1" customWidth="1"/>
    <col min="11517" max="11556" width="9.140625" style="31"/>
    <col min="11557" max="11557" width="28.7109375" style="31" customWidth="1"/>
    <col min="11558" max="11759" width="0" style="31" hidden="1" customWidth="1"/>
    <col min="11760" max="11765" width="9.5703125" style="31" customWidth="1"/>
    <col min="11766" max="11766" width="10.140625" style="31" bestFit="1" customWidth="1"/>
    <col min="11767" max="11767" width="10" style="31" bestFit="1" customWidth="1"/>
    <col min="11768" max="11769" width="9.7109375" style="31" bestFit="1" customWidth="1"/>
    <col min="11770" max="11770" width="10.28515625" style="31" bestFit="1" customWidth="1"/>
    <col min="11771" max="11771" width="9.7109375" style="31" bestFit="1" customWidth="1"/>
    <col min="11772" max="11772" width="10" style="31" bestFit="1" customWidth="1"/>
    <col min="11773" max="11812" width="9.140625" style="31"/>
    <col min="11813" max="11813" width="28.7109375" style="31" customWidth="1"/>
    <col min="11814" max="12015" width="0" style="31" hidden="1" customWidth="1"/>
    <col min="12016" max="12021" width="9.5703125" style="31" customWidth="1"/>
    <col min="12022" max="12022" width="10.140625" style="31" bestFit="1" customWidth="1"/>
    <col min="12023" max="12023" width="10" style="31" bestFit="1" customWidth="1"/>
    <col min="12024" max="12025" width="9.7109375" style="31" bestFit="1" customWidth="1"/>
    <col min="12026" max="12026" width="10.28515625" style="31" bestFit="1" customWidth="1"/>
    <col min="12027" max="12027" width="9.7109375" style="31" bestFit="1" customWidth="1"/>
    <col min="12028" max="12028" width="10" style="31" bestFit="1" customWidth="1"/>
    <col min="12029" max="12068" width="9.140625" style="31"/>
    <col min="12069" max="12069" width="28.7109375" style="31" customWidth="1"/>
    <col min="12070" max="12271" width="0" style="31" hidden="1" customWidth="1"/>
    <col min="12272" max="12277" width="9.5703125" style="31" customWidth="1"/>
    <col min="12278" max="12278" width="10.140625" style="31" bestFit="1" customWidth="1"/>
    <col min="12279" max="12279" width="10" style="31" bestFit="1" customWidth="1"/>
    <col min="12280" max="12281" width="9.7109375" style="31" bestFit="1" customWidth="1"/>
    <col min="12282" max="12282" width="10.28515625" style="31" bestFit="1" customWidth="1"/>
    <col min="12283" max="12283" width="9.7109375" style="31" bestFit="1" customWidth="1"/>
    <col min="12284" max="12284" width="10" style="31" bestFit="1" customWidth="1"/>
    <col min="12285" max="12324" width="9.140625" style="31"/>
    <col min="12325" max="12325" width="28.7109375" style="31" customWidth="1"/>
    <col min="12326" max="12527" width="0" style="31" hidden="1" customWidth="1"/>
    <col min="12528" max="12533" width="9.5703125" style="31" customWidth="1"/>
    <col min="12534" max="12534" width="10.140625" style="31" bestFit="1" customWidth="1"/>
    <col min="12535" max="12535" width="10" style="31" bestFit="1" customWidth="1"/>
    <col min="12536" max="12537" width="9.7109375" style="31" bestFit="1" customWidth="1"/>
    <col min="12538" max="12538" width="10.28515625" style="31" bestFit="1" customWidth="1"/>
    <col min="12539" max="12539" width="9.7109375" style="31" bestFit="1" customWidth="1"/>
    <col min="12540" max="12540" width="10" style="31" bestFit="1" customWidth="1"/>
    <col min="12541" max="12580" width="9.140625" style="31"/>
    <col min="12581" max="12581" width="28.7109375" style="31" customWidth="1"/>
    <col min="12582" max="12783" width="0" style="31" hidden="1" customWidth="1"/>
    <col min="12784" max="12789" width="9.5703125" style="31" customWidth="1"/>
    <col min="12790" max="12790" width="10.140625" style="31" bestFit="1" customWidth="1"/>
    <col min="12791" max="12791" width="10" style="31" bestFit="1" customWidth="1"/>
    <col min="12792" max="12793" width="9.7109375" style="31" bestFit="1" customWidth="1"/>
    <col min="12794" max="12794" width="10.28515625" style="31" bestFit="1" customWidth="1"/>
    <col min="12795" max="12795" width="9.7109375" style="31" bestFit="1" customWidth="1"/>
    <col min="12796" max="12796" width="10" style="31" bestFit="1" customWidth="1"/>
    <col min="12797" max="12836" width="9.140625" style="31"/>
    <col min="12837" max="12837" width="28.7109375" style="31" customWidth="1"/>
    <col min="12838" max="13039" width="0" style="31" hidden="1" customWidth="1"/>
    <col min="13040" max="13045" width="9.5703125" style="31" customWidth="1"/>
    <col min="13046" max="13046" width="10.140625" style="31" bestFit="1" customWidth="1"/>
    <col min="13047" max="13047" width="10" style="31" bestFit="1" customWidth="1"/>
    <col min="13048" max="13049" width="9.7109375" style="31" bestFit="1" customWidth="1"/>
    <col min="13050" max="13050" width="10.28515625" style="31" bestFit="1" customWidth="1"/>
    <col min="13051" max="13051" width="9.7109375" style="31" bestFit="1" customWidth="1"/>
    <col min="13052" max="13052" width="10" style="31" bestFit="1" customWidth="1"/>
    <col min="13053" max="13092" width="9.140625" style="31"/>
    <col min="13093" max="13093" width="28.7109375" style="31" customWidth="1"/>
    <col min="13094" max="13295" width="0" style="31" hidden="1" customWidth="1"/>
    <col min="13296" max="13301" width="9.5703125" style="31" customWidth="1"/>
    <col min="13302" max="13302" width="10.140625" style="31" bestFit="1" customWidth="1"/>
    <col min="13303" max="13303" width="10" style="31" bestFit="1" customWidth="1"/>
    <col min="13304" max="13305" width="9.7109375" style="31" bestFit="1" customWidth="1"/>
    <col min="13306" max="13306" width="10.28515625" style="31" bestFit="1" customWidth="1"/>
    <col min="13307" max="13307" width="9.7109375" style="31" bestFit="1" customWidth="1"/>
    <col min="13308" max="13308" width="10" style="31" bestFit="1" customWidth="1"/>
    <col min="13309" max="13348" width="9.140625" style="31"/>
    <col min="13349" max="13349" width="28.7109375" style="31" customWidth="1"/>
    <col min="13350" max="13551" width="0" style="31" hidden="1" customWidth="1"/>
    <col min="13552" max="13557" width="9.5703125" style="31" customWidth="1"/>
    <col min="13558" max="13558" width="10.140625" style="31" bestFit="1" customWidth="1"/>
    <col min="13559" max="13559" width="10" style="31" bestFit="1" customWidth="1"/>
    <col min="13560" max="13561" width="9.7109375" style="31" bestFit="1" customWidth="1"/>
    <col min="13562" max="13562" width="10.28515625" style="31" bestFit="1" customWidth="1"/>
    <col min="13563" max="13563" width="9.7109375" style="31" bestFit="1" customWidth="1"/>
    <col min="13564" max="13564" width="10" style="31" bestFit="1" customWidth="1"/>
    <col min="13565" max="13604" width="9.140625" style="31"/>
    <col min="13605" max="13605" width="28.7109375" style="31" customWidth="1"/>
    <col min="13606" max="13807" width="0" style="31" hidden="1" customWidth="1"/>
    <col min="13808" max="13813" width="9.5703125" style="31" customWidth="1"/>
    <col min="13814" max="13814" width="10.140625" style="31" bestFit="1" customWidth="1"/>
    <col min="13815" max="13815" width="10" style="31" bestFit="1" customWidth="1"/>
    <col min="13816" max="13817" width="9.7109375" style="31" bestFit="1" customWidth="1"/>
    <col min="13818" max="13818" width="10.28515625" style="31" bestFit="1" customWidth="1"/>
    <col min="13819" max="13819" width="9.7109375" style="31" bestFit="1" customWidth="1"/>
    <col min="13820" max="13820" width="10" style="31" bestFit="1" customWidth="1"/>
    <col min="13821" max="13860" width="9.140625" style="31"/>
    <col min="13861" max="13861" width="28.7109375" style="31" customWidth="1"/>
    <col min="13862" max="14063" width="0" style="31" hidden="1" customWidth="1"/>
    <col min="14064" max="14069" width="9.5703125" style="31" customWidth="1"/>
    <col min="14070" max="14070" width="10.140625" style="31" bestFit="1" customWidth="1"/>
    <col min="14071" max="14071" width="10" style="31" bestFit="1" customWidth="1"/>
    <col min="14072" max="14073" width="9.7109375" style="31" bestFit="1" customWidth="1"/>
    <col min="14074" max="14074" width="10.28515625" style="31" bestFit="1" customWidth="1"/>
    <col min="14075" max="14075" width="9.7109375" style="31" bestFit="1" customWidth="1"/>
    <col min="14076" max="14076" width="10" style="31" bestFit="1" customWidth="1"/>
    <col min="14077" max="14116" width="9.140625" style="31"/>
    <col min="14117" max="14117" width="28.7109375" style="31" customWidth="1"/>
    <col min="14118" max="14319" width="0" style="31" hidden="1" customWidth="1"/>
    <col min="14320" max="14325" width="9.5703125" style="31" customWidth="1"/>
    <col min="14326" max="14326" width="10.140625" style="31" bestFit="1" customWidth="1"/>
    <col min="14327" max="14327" width="10" style="31" bestFit="1" customWidth="1"/>
    <col min="14328" max="14329" width="9.7109375" style="31" bestFit="1" customWidth="1"/>
    <col min="14330" max="14330" width="10.28515625" style="31" bestFit="1" customWidth="1"/>
    <col min="14331" max="14331" width="9.7109375" style="31" bestFit="1" customWidth="1"/>
    <col min="14332" max="14332" width="10" style="31" bestFit="1" customWidth="1"/>
    <col min="14333" max="14372" width="9.140625" style="31"/>
    <col min="14373" max="14373" width="28.7109375" style="31" customWidth="1"/>
    <col min="14374" max="14575" width="0" style="31" hidden="1" customWidth="1"/>
    <col min="14576" max="14581" width="9.5703125" style="31" customWidth="1"/>
    <col min="14582" max="14582" width="10.140625" style="31" bestFit="1" customWidth="1"/>
    <col min="14583" max="14583" width="10" style="31" bestFit="1" customWidth="1"/>
    <col min="14584" max="14585" width="9.7109375" style="31" bestFit="1" customWidth="1"/>
    <col min="14586" max="14586" width="10.28515625" style="31" bestFit="1" customWidth="1"/>
    <col min="14587" max="14587" width="9.7109375" style="31" bestFit="1" customWidth="1"/>
    <col min="14588" max="14588" width="10" style="31" bestFit="1" customWidth="1"/>
    <col min="14589" max="14628" width="9.140625" style="31"/>
    <col min="14629" max="14629" width="28.7109375" style="31" customWidth="1"/>
    <col min="14630" max="14831" width="0" style="31" hidden="1" customWidth="1"/>
    <col min="14832" max="14837" width="9.5703125" style="31" customWidth="1"/>
    <col min="14838" max="14838" width="10.140625" style="31" bestFit="1" customWidth="1"/>
    <col min="14839" max="14839" width="10" style="31" bestFit="1" customWidth="1"/>
    <col min="14840" max="14841" width="9.7109375" style="31" bestFit="1" customWidth="1"/>
    <col min="14842" max="14842" width="10.28515625" style="31" bestFit="1" customWidth="1"/>
    <col min="14843" max="14843" width="9.7109375" style="31" bestFit="1" customWidth="1"/>
    <col min="14844" max="14844" width="10" style="31" bestFit="1" customWidth="1"/>
    <col min="14845" max="14884" width="9.140625" style="31"/>
    <col min="14885" max="14885" width="28.7109375" style="31" customWidth="1"/>
    <col min="14886" max="15087" width="0" style="31" hidden="1" customWidth="1"/>
    <col min="15088" max="15093" width="9.5703125" style="31" customWidth="1"/>
    <col min="15094" max="15094" width="10.140625" style="31" bestFit="1" customWidth="1"/>
    <col min="15095" max="15095" width="10" style="31" bestFit="1" customWidth="1"/>
    <col min="15096" max="15097" width="9.7109375" style="31" bestFit="1" customWidth="1"/>
    <col min="15098" max="15098" width="10.28515625" style="31" bestFit="1" customWidth="1"/>
    <col min="15099" max="15099" width="9.7109375" style="31" bestFit="1" customWidth="1"/>
    <col min="15100" max="15100" width="10" style="31" bestFit="1" customWidth="1"/>
    <col min="15101" max="15140" width="9.140625" style="31"/>
    <col min="15141" max="15141" width="28.7109375" style="31" customWidth="1"/>
    <col min="15142" max="15343" width="0" style="31" hidden="1" customWidth="1"/>
    <col min="15344" max="15349" width="9.5703125" style="31" customWidth="1"/>
    <col min="15350" max="15350" width="10.140625" style="31" bestFit="1" customWidth="1"/>
    <col min="15351" max="15351" width="10" style="31" bestFit="1" customWidth="1"/>
    <col min="15352" max="15353" width="9.7109375" style="31" bestFit="1" customWidth="1"/>
    <col min="15354" max="15354" width="10.28515625" style="31" bestFit="1" customWidth="1"/>
    <col min="15355" max="15355" width="9.7109375" style="31" bestFit="1" customWidth="1"/>
    <col min="15356" max="15356" width="10" style="31" bestFit="1" customWidth="1"/>
    <col min="15357" max="15396" width="9.140625" style="31"/>
    <col min="15397" max="15397" width="28.7109375" style="31" customWidth="1"/>
    <col min="15398" max="15599" width="0" style="31" hidden="1" customWidth="1"/>
    <col min="15600" max="15605" width="9.5703125" style="31" customWidth="1"/>
    <col min="15606" max="15606" width="10.140625" style="31" bestFit="1" customWidth="1"/>
    <col min="15607" max="15607" width="10" style="31" bestFit="1" customWidth="1"/>
    <col min="15608" max="15609" width="9.7109375" style="31" bestFit="1" customWidth="1"/>
    <col min="15610" max="15610" width="10.28515625" style="31" bestFit="1" customWidth="1"/>
    <col min="15611" max="15611" width="9.7109375" style="31" bestFit="1" customWidth="1"/>
    <col min="15612" max="15612" width="10" style="31" bestFit="1" customWidth="1"/>
    <col min="15613" max="15652" width="9.140625" style="31"/>
    <col min="15653" max="15653" width="28.7109375" style="31" customWidth="1"/>
    <col min="15654" max="15855" width="0" style="31" hidden="1" customWidth="1"/>
    <col min="15856" max="15861" width="9.5703125" style="31" customWidth="1"/>
    <col min="15862" max="15862" width="10.140625" style="31" bestFit="1" customWidth="1"/>
    <col min="15863" max="15863" width="10" style="31" bestFit="1" customWidth="1"/>
    <col min="15864" max="15865" width="9.7109375" style="31" bestFit="1" customWidth="1"/>
    <col min="15866" max="15866" width="10.28515625" style="31" bestFit="1" customWidth="1"/>
    <col min="15867" max="15867" width="9.7109375" style="31" bestFit="1" customWidth="1"/>
    <col min="15868" max="15868" width="10" style="31" bestFit="1" customWidth="1"/>
    <col min="15869" max="15908" width="9.140625" style="31"/>
    <col min="15909" max="15909" width="28.7109375" style="31" customWidth="1"/>
    <col min="15910" max="16111" width="0" style="31" hidden="1" customWidth="1"/>
    <col min="16112" max="16117" width="9.5703125" style="31" customWidth="1"/>
    <col min="16118" max="16118" width="10.140625" style="31" bestFit="1" customWidth="1"/>
    <col min="16119" max="16119" width="10" style="31" bestFit="1" customWidth="1"/>
    <col min="16120" max="16121" width="9.7109375" style="31" bestFit="1" customWidth="1"/>
    <col min="16122" max="16122" width="10.28515625" style="31" bestFit="1" customWidth="1"/>
    <col min="16123" max="16123" width="9.7109375" style="31" bestFit="1" customWidth="1"/>
    <col min="16124" max="16124" width="10" style="31" bestFit="1" customWidth="1"/>
    <col min="16125" max="16164" width="9.140625" style="31"/>
    <col min="16165" max="16165" width="28.7109375" style="31" customWidth="1"/>
    <col min="16166" max="16367" width="0" style="31" hidden="1" customWidth="1"/>
    <col min="16368" max="16373" width="9.5703125" style="31" customWidth="1"/>
    <col min="16374" max="16374" width="10.140625" style="31" bestFit="1" customWidth="1"/>
    <col min="16375" max="16375" width="10" style="31" bestFit="1" customWidth="1"/>
    <col min="16376" max="16377" width="9.7109375" style="31" bestFit="1" customWidth="1"/>
    <col min="16378" max="16378" width="10.28515625" style="31" bestFit="1" customWidth="1"/>
    <col min="16379" max="16379" width="9.7109375" style="31" bestFit="1" customWidth="1"/>
    <col min="16380" max="16380" width="10" style="31" bestFit="1" customWidth="1"/>
    <col min="16381" max="16384" width="9.140625" style="31"/>
  </cols>
  <sheetData>
    <row r="1" spans="1:253" ht="19.899999999999999" customHeight="1" x14ac:dyDescent="0.35">
      <c r="A1" s="57" t="s">
        <v>27</v>
      </c>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56"/>
      <c r="EW1" s="56"/>
      <c r="EX1" s="56"/>
      <c r="EY1" s="56"/>
      <c r="EZ1" s="56"/>
      <c r="FA1" s="56"/>
      <c r="FB1" s="56"/>
      <c r="FC1" s="56"/>
      <c r="FD1" s="56"/>
      <c r="FE1" s="56"/>
      <c r="FF1" s="56"/>
      <c r="FG1" s="56"/>
      <c r="FH1" s="56"/>
      <c r="FI1" s="56"/>
      <c r="FJ1" s="56"/>
      <c r="FL1" s="56"/>
    </row>
    <row r="2" spans="1:253" ht="6.75" customHeight="1" thickBot="1" x14ac:dyDescent="0.35">
      <c r="B2" s="31"/>
    </row>
    <row r="3" spans="1:253" ht="17.25" thickTop="1" x14ac:dyDescent="0.3">
      <c r="A3" s="55" t="s">
        <v>25</v>
      </c>
      <c r="B3" s="53">
        <v>37258</v>
      </c>
      <c r="C3" s="53">
        <v>37348</v>
      </c>
      <c r="D3" s="53">
        <v>37378</v>
      </c>
      <c r="E3" s="53">
        <v>37409</v>
      </c>
      <c r="F3" s="53">
        <v>37439</v>
      </c>
      <c r="G3" s="53">
        <v>37470</v>
      </c>
      <c r="H3" s="53">
        <v>37501</v>
      </c>
      <c r="I3" s="53">
        <v>37531</v>
      </c>
      <c r="J3" s="53">
        <v>37562</v>
      </c>
      <c r="K3" s="53">
        <v>37592</v>
      </c>
      <c r="L3" s="53">
        <v>37623</v>
      </c>
      <c r="M3" s="53">
        <v>37654</v>
      </c>
      <c r="N3" s="53">
        <v>37682</v>
      </c>
      <c r="O3" s="53">
        <v>37713</v>
      </c>
      <c r="P3" s="53">
        <v>37743</v>
      </c>
      <c r="Q3" s="53">
        <v>37774</v>
      </c>
      <c r="R3" s="53">
        <v>37804</v>
      </c>
      <c r="S3" s="53">
        <v>37835</v>
      </c>
      <c r="T3" s="53">
        <v>37866</v>
      </c>
      <c r="U3" s="53">
        <v>37896</v>
      </c>
      <c r="V3" s="53">
        <v>37927</v>
      </c>
      <c r="W3" s="53">
        <v>37957</v>
      </c>
      <c r="X3" s="53">
        <v>37988</v>
      </c>
      <c r="Y3" s="53">
        <v>38019</v>
      </c>
      <c r="Z3" s="53">
        <v>38048</v>
      </c>
      <c r="AA3" s="53">
        <v>38079</v>
      </c>
      <c r="AB3" s="53">
        <v>38109</v>
      </c>
      <c r="AC3" s="53">
        <v>38140</v>
      </c>
      <c r="AD3" s="53">
        <v>38170</v>
      </c>
      <c r="AE3" s="53">
        <v>38201</v>
      </c>
      <c r="AF3" s="53">
        <v>38232</v>
      </c>
      <c r="AG3" s="53">
        <v>38262</v>
      </c>
      <c r="AH3" s="53">
        <v>38293</v>
      </c>
      <c r="AI3" s="53">
        <v>38323</v>
      </c>
      <c r="AJ3" s="53">
        <v>38354</v>
      </c>
      <c r="AK3" s="53">
        <v>38413</v>
      </c>
      <c r="AL3" s="53">
        <v>38444</v>
      </c>
      <c r="AM3" s="53">
        <v>38474</v>
      </c>
      <c r="AN3" s="53">
        <v>38505</v>
      </c>
      <c r="AO3" s="53">
        <v>38535</v>
      </c>
      <c r="AP3" s="53">
        <v>38565</v>
      </c>
      <c r="AQ3" s="53">
        <v>38596</v>
      </c>
      <c r="AR3" s="53">
        <v>38626</v>
      </c>
      <c r="AS3" s="53">
        <v>38657</v>
      </c>
      <c r="AT3" s="53">
        <v>38687</v>
      </c>
      <c r="AU3" s="53">
        <v>38718</v>
      </c>
      <c r="AV3" s="53">
        <v>38749</v>
      </c>
      <c r="AW3" s="53">
        <v>38777</v>
      </c>
      <c r="AX3" s="53">
        <v>38808</v>
      </c>
      <c r="AY3" s="53">
        <v>38838</v>
      </c>
      <c r="AZ3" s="53">
        <v>38869</v>
      </c>
      <c r="BA3" s="53">
        <v>38899</v>
      </c>
      <c r="BB3" s="53">
        <v>38930</v>
      </c>
      <c r="BC3" s="53">
        <v>38961</v>
      </c>
      <c r="BD3" s="53">
        <v>38991</v>
      </c>
      <c r="BE3" s="53">
        <v>39022</v>
      </c>
      <c r="BF3" s="53">
        <v>39052</v>
      </c>
      <c r="BG3" s="53">
        <v>39083</v>
      </c>
      <c r="BH3" s="53">
        <v>39114</v>
      </c>
      <c r="BI3" s="53">
        <v>39142</v>
      </c>
      <c r="BJ3" s="53">
        <v>39173</v>
      </c>
      <c r="BK3" s="53">
        <v>39203</v>
      </c>
      <c r="BL3" s="53">
        <v>39234</v>
      </c>
      <c r="BM3" s="53">
        <v>39264</v>
      </c>
      <c r="BN3" s="53">
        <v>39295</v>
      </c>
      <c r="BO3" s="53">
        <v>39326</v>
      </c>
      <c r="BP3" s="53">
        <v>39356</v>
      </c>
      <c r="BQ3" s="53">
        <v>39387</v>
      </c>
      <c r="BR3" s="53">
        <v>39417</v>
      </c>
      <c r="BS3" s="53">
        <v>39448</v>
      </c>
      <c r="BT3" s="53">
        <v>39479</v>
      </c>
      <c r="BU3" s="53">
        <v>39508</v>
      </c>
      <c r="BV3" s="53">
        <v>39539</v>
      </c>
      <c r="BW3" s="53">
        <v>39569</v>
      </c>
      <c r="BX3" s="53">
        <v>39600</v>
      </c>
      <c r="BY3" s="53">
        <v>39630</v>
      </c>
      <c r="BZ3" s="53">
        <v>39661</v>
      </c>
      <c r="CA3" s="53">
        <v>39692</v>
      </c>
      <c r="CB3" s="53">
        <v>39722</v>
      </c>
      <c r="CC3" s="53">
        <v>39753</v>
      </c>
      <c r="CD3" s="53">
        <v>39783</v>
      </c>
      <c r="CE3" s="53">
        <v>39814</v>
      </c>
      <c r="CF3" s="53">
        <v>39845</v>
      </c>
      <c r="CG3" s="53">
        <v>39873</v>
      </c>
      <c r="CH3" s="53">
        <v>39904</v>
      </c>
      <c r="CI3" s="53">
        <v>39934</v>
      </c>
      <c r="CJ3" s="53">
        <v>39965</v>
      </c>
      <c r="CK3" s="53">
        <v>39995</v>
      </c>
      <c r="CL3" s="53">
        <v>40026</v>
      </c>
      <c r="CM3" s="53">
        <v>40057</v>
      </c>
      <c r="CN3" s="53">
        <v>40087</v>
      </c>
      <c r="CO3" s="53">
        <v>40118</v>
      </c>
      <c r="CP3" s="53">
        <v>40299</v>
      </c>
      <c r="CQ3" s="53">
        <v>40360</v>
      </c>
      <c r="CR3" s="53">
        <v>40391</v>
      </c>
      <c r="CS3" s="53">
        <v>40422</v>
      </c>
      <c r="CT3" s="53">
        <v>40452</v>
      </c>
      <c r="CU3" s="53">
        <v>40483</v>
      </c>
      <c r="CV3" s="53">
        <v>40513</v>
      </c>
      <c r="CW3" s="53">
        <v>40544</v>
      </c>
      <c r="CX3" s="53">
        <v>40575</v>
      </c>
      <c r="CY3" s="53">
        <v>40603</v>
      </c>
      <c r="CZ3" s="53">
        <v>40634</v>
      </c>
      <c r="DA3" s="53">
        <v>40664</v>
      </c>
      <c r="DB3" s="53">
        <v>40695</v>
      </c>
      <c r="DC3" s="53">
        <v>40725</v>
      </c>
      <c r="DD3" s="53">
        <v>40756</v>
      </c>
      <c r="DE3" s="53">
        <v>40787</v>
      </c>
      <c r="DF3" s="53">
        <v>40817</v>
      </c>
      <c r="DG3" s="53">
        <v>40848</v>
      </c>
      <c r="DH3" s="53">
        <v>40878</v>
      </c>
      <c r="DI3" s="53">
        <v>40909</v>
      </c>
      <c r="DJ3" s="53">
        <v>40940</v>
      </c>
      <c r="DK3" s="53">
        <v>40969</v>
      </c>
      <c r="DL3" s="53">
        <v>41000</v>
      </c>
      <c r="DM3" s="53">
        <v>41030</v>
      </c>
      <c r="DN3" s="53">
        <v>41061</v>
      </c>
      <c r="DO3" s="53">
        <v>41091</v>
      </c>
      <c r="DP3" s="53">
        <v>41122</v>
      </c>
      <c r="DQ3" s="53">
        <v>41153</v>
      </c>
      <c r="DR3" s="53">
        <v>41183</v>
      </c>
      <c r="DS3" s="53">
        <f t="shared" ref="DS3:EX3" si="0">DR3+31</f>
        <v>41214</v>
      </c>
      <c r="DT3" s="53">
        <f t="shared" si="0"/>
        <v>41245</v>
      </c>
      <c r="DU3" s="53">
        <f t="shared" si="0"/>
        <v>41276</v>
      </c>
      <c r="DV3" s="53">
        <f t="shared" si="0"/>
        <v>41307</v>
      </c>
      <c r="DW3" s="53">
        <f t="shared" si="0"/>
        <v>41338</v>
      </c>
      <c r="DX3" s="53">
        <f t="shared" si="0"/>
        <v>41369</v>
      </c>
      <c r="DY3" s="53">
        <f t="shared" si="0"/>
        <v>41400</v>
      </c>
      <c r="DZ3" s="53">
        <f t="shared" si="0"/>
        <v>41431</v>
      </c>
      <c r="EA3" s="53">
        <f t="shared" si="0"/>
        <v>41462</v>
      </c>
      <c r="EB3" s="53">
        <f t="shared" si="0"/>
        <v>41493</v>
      </c>
      <c r="EC3" s="53">
        <f t="shared" si="0"/>
        <v>41524</v>
      </c>
      <c r="ED3" s="53">
        <f t="shared" si="0"/>
        <v>41555</v>
      </c>
      <c r="EE3" s="53">
        <f t="shared" si="0"/>
        <v>41586</v>
      </c>
      <c r="EF3" s="53">
        <f t="shared" si="0"/>
        <v>41617</v>
      </c>
      <c r="EG3" s="53">
        <f t="shared" si="0"/>
        <v>41648</v>
      </c>
      <c r="EH3" s="53">
        <f t="shared" si="0"/>
        <v>41679</v>
      </c>
      <c r="EI3" s="53">
        <f t="shared" si="0"/>
        <v>41710</v>
      </c>
      <c r="EJ3" s="53">
        <f t="shared" si="0"/>
        <v>41741</v>
      </c>
      <c r="EK3" s="53">
        <f t="shared" si="0"/>
        <v>41772</v>
      </c>
      <c r="EL3" s="53">
        <f t="shared" si="0"/>
        <v>41803</v>
      </c>
      <c r="EM3" s="53">
        <f t="shared" si="0"/>
        <v>41834</v>
      </c>
      <c r="EN3" s="53">
        <f t="shared" si="0"/>
        <v>41865</v>
      </c>
      <c r="EO3" s="53">
        <f t="shared" si="0"/>
        <v>41896</v>
      </c>
      <c r="EP3" s="53">
        <f t="shared" si="0"/>
        <v>41927</v>
      </c>
      <c r="EQ3" s="53">
        <f t="shared" si="0"/>
        <v>41958</v>
      </c>
      <c r="ER3" s="53">
        <f t="shared" si="0"/>
        <v>41989</v>
      </c>
      <c r="ES3" s="53">
        <f t="shared" si="0"/>
        <v>42020</v>
      </c>
      <c r="ET3" s="53">
        <f t="shared" si="0"/>
        <v>42051</v>
      </c>
      <c r="EU3" s="53">
        <f t="shared" si="0"/>
        <v>42082</v>
      </c>
      <c r="EV3" s="53">
        <f t="shared" si="0"/>
        <v>42113</v>
      </c>
      <c r="EW3" s="53">
        <f t="shared" si="0"/>
        <v>42144</v>
      </c>
      <c r="EX3" s="53">
        <f t="shared" si="0"/>
        <v>42175</v>
      </c>
      <c r="EY3" s="53">
        <f t="shared" ref="EY3:FQ3" si="1">EX3+31</f>
        <v>42206</v>
      </c>
      <c r="EZ3" s="53">
        <f t="shared" si="1"/>
        <v>42237</v>
      </c>
      <c r="FA3" s="53">
        <f t="shared" si="1"/>
        <v>42268</v>
      </c>
      <c r="FB3" s="53">
        <f t="shared" si="1"/>
        <v>42299</v>
      </c>
      <c r="FC3" s="53">
        <f t="shared" si="1"/>
        <v>42330</v>
      </c>
      <c r="FD3" s="53">
        <f t="shared" si="1"/>
        <v>42361</v>
      </c>
      <c r="FE3" s="53">
        <f t="shared" si="1"/>
        <v>42392</v>
      </c>
      <c r="FF3" s="53">
        <f t="shared" si="1"/>
        <v>42423</v>
      </c>
      <c r="FG3" s="53">
        <f t="shared" si="1"/>
        <v>42454</v>
      </c>
      <c r="FH3" s="53">
        <f t="shared" si="1"/>
        <v>42485</v>
      </c>
      <c r="FI3" s="53">
        <f t="shared" si="1"/>
        <v>42516</v>
      </c>
      <c r="FJ3" s="53">
        <f t="shared" si="1"/>
        <v>42547</v>
      </c>
      <c r="FK3" s="53">
        <f t="shared" si="1"/>
        <v>42578</v>
      </c>
      <c r="FL3" s="53">
        <f t="shared" si="1"/>
        <v>42609</v>
      </c>
      <c r="FM3" s="53">
        <f t="shared" si="1"/>
        <v>42640</v>
      </c>
      <c r="FN3" s="53">
        <f t="shared" si="1"/>
        <v>42671</v>
      </c>
      <c r="FO3" s="53">
        <f t="shared" si="1"/>
        <v>42702</v>
      </c>
      <c r="FP3" s="53">
        <f t="shared" si="1"/>
        <v>42733</v>
      </c>
      <c r="FQ3" s="53">
        <f t="shared" si="1"/>
        <v>42764</v>
      </c>
      <c r="FR3" s="53">
        <f t="shared" ref="FR3:GB3" si="2">FQ3+28</f>
        <v>42792</v>
      </c>
      <c r="FS3" s="53">
        <f t="shared" si="2"/>
        <v>42820</v>
      </c>
      <c r="FT3" s="53">
        <f t="shared" si="2"/>
        <v>42848</v>
      </c>
      <c r="FU3" s="53">
        <f t="shared" si="2"/>
        <v>42876</v>
      </c>
      <c r="FV3" s="53">
        <f t="shared" si="2"/>
        <v>42904</v>
      </c>
      <c r="FW3" s="53">
        <f t="shared" si="2"/>
        <v>42932</v>
      </c>
      <c r="FX3" s="53">
        <f t="shared" si="2"/>
        <v>42960</v>
      </c>
      <c r="FY3" s="53">
        <f t="shared" si="2"/>
        <v>42988</v>
      </c>
      <c r="FZ3" s="53">
        <f t="shared" si="2"/>
        <v>43016</v>
      </c>
      <c r="GA3" s="53">
        <f t="shared" si="2"/>
        <v>43044</v>
      </c>
      <c r="GB3" s="53">
        <f t="shared" si="2"/>
        <v>43072</v>
      </c>
      <c r="GC3" s="53">
        <f>GB3+29</f>
        <v>43101</v>
      </c>
      <c r="GD3" s="53">
        <f t="shared" ref="GD3:HQ3" si="3">GC3+31</f>
        <v>43132</v>
      </c>
      <c r="GE3" s="53">
        <f t="shared" si="3"/>
        <v>43163</v>
      </c>
      <c r="GF3" s="53">
        <f t="shared" si="3"/>
        <v>43194</v>
      </c>
      <c r="GG3" s="53">
        <f t="shared" si="3"/>
        <v>43225</v>
      </c>
      <c r="GH3" s="53">
        <f t="shared" si="3"/>
        <v>43256</v>
      </c>
      <c r="GI3" s="3440">
        <f t="shared" si="3"/>
        <v>43287</v>
      </c>
      <c r="GJ3" s="3440">
        <f t="shared" si="3"/>
        <v>43318</v>
      </c>
      <c r="GK3" s="3440">
        <f t="shared" si="3"/>
        <v>43349</v>
      </c>
      <c r="GL3" s="3440">
        <f t="shared" si="3"/>
        <v>43380</v>
      </c>
      <c r="GM3" s="3440">
        <f t="shared" si="3"/>
        <v>43411</v>
      </c>
      <c r="GN3" s="3440">
        <f t="shared" si="3"/>
        <v>43442</v>
      </c>
      <c r="GO3" s="3440">
        <f t="shared" si="3"/>
        <v>43473</v>
      </c>
      <c r="GP3" s="3440">
        <f t="shared" si="3"/>
        <v>43504</v>
      </c>
      <c r="GQ3" s="3440">
        <f t="shared" si="3"/>
        <v>43535</v>
      </c>
      <c r="GR3" s="3440">
        <f t="shared" si="3"/>
        <v>43566</v>
      </c>
      <c r="GS3" s="3440">
        <f t="shared" si="3"/>
        <v>43597</v>
      </c>
      <c r="GT3" s="3440">
        <f t="shared" si="3"/>
        <v>43628</v>
      </c>
      <c r="GU3" s="3440">
        <f t="shared" si="3"/>
        <v>43659</v>
      </c>
      <c r="GV3" s="3440">
        <f t="shared" si="3"/>
        <v>43690</v>
      </c>
      <c r="GW3" s="3440">
        <f t="shared" si="3"/>
        <v>43721</v>
      </c>
      <c r="GX3" s="3440">
        <f t="shared" si="3"/>
        <v>43752</v>
      </c>
      <c r="GY3" s="3440">
        <f t="shared" si="3"/>
        <v>43783</v>
      </c>
      <c r="GZ3" s="3440">
        <f t="shared" si="3"/>
        <v>43814</v>
      </c>
      <c r="HA3" s="3440">
        <f t="shared" si="3"/>
        <v>43845</v>
      </c>
      <c r="HB3" s="3440">
        <f t="shared" si="3"/>
        <v>43876</v>
      </c>
      <c r="HC3" s="3444">
        <f t="shared" si="3"/>
        <v>43907</v>
      </c>
      <c r="HD3" s="3440">
        <f t="shared" si="3"/>
        <v>43938</v>
      </c>
      <c r="HE3" s="3440">
        <f t="shared" si="3"/>
        <v>43969</v>
      </c>
      <c r="HF3" s="3444">
        <f t="shared" si="3"/>
        <v>44000</v>
      </c>
      <c r="HG3" s="3440">
        <f t="shared" si="3"/>
        <v>44031</v>
      </c>
      <c r="HH3" s="3440">
        <f t="shared" si="3"/>
        <v>44062</v>
      </c>
      <c r="HI3" s="3440">
        <f t="shared" si="3"/>
        <v>44093</v>
      </c>
      <c r="HJ3" s="3440">
        <f t="shared" si="3"/>
        <v>44124</v>
      </c>
      <c r="HK3" s="3440">
        <f t="shared" si="3"/>
        <v>44155</v>
      </c>
      <c r="HL3" s="3440">
        <f t="shared" si="3"/>
        <v>44186</v>
      </c>
      <c r="HM3" s="3440">
        <f t="shared" si="3"/>
        <v>44217</v>
      </c>
      <c r="HN3" s="3440">
        <f t="shared" si="3"/>
        <v>44248</v>
      </c>
      <c r="HO3" s="3440">
        <f t="shared" si="3"/>
        <v>44279</v>
      </c>
      <c r="HP3" s="3440">
        <f t="shared" si="3"/>
        <v>44310</v>
      </c>
      <c r="HQ3" s="3440">
        <f t="shared" si="3"/>
        <v>44341</v>
      </c>
      <c r="HR3" s="3440">
        <f t="shared" ref="HR3:IS3" si="4">HQ3+30</f>
        <v>44371</v>
      </c>
      <c r="HS3" s="3440">
        <f t="shared" si="4"/>
        <v>44401</v>
      </c>
      <c r="HT3" s="3440">
        <f t="shared" si="4"/>
        <v>44431</v>
      </c>
      <c r="HU3" s="3440">
        <f t="shared" si="4"/>
        <v>44461</v>
      </c>
      <c r="HV3" s="3440">
        <f t="shared" si="4"/>
        <v>44491</v>
      </c>
      <c r="HW3" s="3440">
        <f t="shared" si="4"/>
        <v>44521</v>
      </c>
      <c r="HX3" s="3440">
        <f t="shared" si="4"/>
        <v>44551</v>
      </c>
      <c r="HY3" s="3440">
        <f t="shared" si="4"/>
        <v>44581</v>
      </c>
      <c r="HZ3" s="3440">
        <f t="shared" si="4"/>
        <v>44611</v>
      </c>
      <c r="IA3" s="3440">
        <f t="shared" si="4"/>
        <v>44641</v>
      </c>
      <c r="IB3" s="3440">
        <f t="shared" si="4"/>
        <v>44671</v>
      </c>
      <c r="IC3" s="3440">
        <f t="shared" si="4"/>
        <v>44701</v>
      </c>
      <c r="ID3" s="3440">
        <f t="shared" si="4"/>
        <v>44731</v>
      </c>
      <c r="IE3" s="3440">
        <f t="shared" si="4"/>
        <v>44761</v>
      </c>
      <c r="IF3" s="3440">
        <f t="shared" si="4"/>
        <v>44791</v>
      </c>
      <c r="IG3" s="3440">
        <f t="shared" si="4"/>
        <v>44821</v>
      </c>
      <c r="IH3" s="3440">
        <f t="shared" si="4"/>
        <v>44851</v>
      </c>
      <c r="II3" s="3440">
        <f t="shared" si="4"/>
        <v>44881</v>
      </c>
      <c r="IJ3" s="3440">
        <f t="shared" si="4"/>
        <v>44911</v>
      </c>
      <c r="IK3" s="3440">
        <f t="shared" si="4"/>
        <v>44941</v>
      </c>
      <c r="IL3" s="3440">
        <f t="shared" si="4"/>
        <v>44971</v>
      </c>
      <c r="IM3" s="3440">
        <f t="shared" si="4"/>
        <v>45001</v>
      </c>
      <c r="IN3" s="3440">
        <f t="shared" si="4"/>
        <v>45031</v>
      </c>
      <c r="IO3" s="3440">
        <f t="shared" si="4"/>
        <v>45061</v>
      </c>
      <c r="IP3" s="3440">
        <f t="shared" si="4"/>
        <v>45091</v>
      </c>
      <c r="IQ3" s="3440">
        <f t="shared" si="4"/>
        <v>45121</v>
      </c>
      <c r="IR3" s="3440">
        <f t="shared" si="4"/>
        <v>45151</v>
      </c>
      <c r="IS3" s="3440">
        <f t="shared" si="4"/>
        <v>45181</v>
      </c>
    </row>
    <row r="4" spans="1:253" ht="16.5" customHeight="1" thickBot="1" x14ac:dyDescent="0.35">
      <c r="A4" s="52" t="s">
        <v>24</v>
      </c>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c r="CG4" s="51"/>
      <c r="CH4" s="51"/>
      <c r="CI4" s="51"/>
      <c r="CJ4" s="51"/>
      <c r="CK4" s="51"/>
      <c r="CL4" s="51"/>
      <c r="CM4" s="51"/>
      <c r="CN4" s="51"/>
      <c r="CO4" s="51"/>
      <c r="CP4" s="51"/>
      <c r="CQ4" s="51"/>
      <c r="CR4" s="51"/>
      <c r="CS4" s="51"/>
      <c r="CT4" s="51"/>
      <c r="CU4" s="51"/>
      <c r="CV4" s="51"/>
      <c r="CW4" s="51"/>
      <c r="CX4" s="51"/>
      <c r="CY4" s="51"/>
      <c r="CZ4" s="51"/>
      <c r="DA4" s="51"/>
      <c r="DB4" s="51"/>
      <c r="DC4" s="51"/>
      <c r="DD4" s="51"/>
      <c r="DE4" s="51"/>
      <c r="DF4" s="51"/>
      <c r="DG4" s="51"/>
      <c r="DH4" s="51"/>
      <c r="DI4" s="51"/>
      <c r="DJ4" s="51"/>
      <c r="DK4" s="51"/>
      <c r="DL4" s="51"/>
      <c r="DM4" s="51"/>
      <c r="DN4" s="51"/>
      <c r="DO4" s="51"/>
      <c r="DP4" s="51"/>
      <c r="DQ4" s="51"/>
      <c r="DR4" s="51"/>
      <c r="DS4" s="51"/>
      <c r="DT4" s="51"/>
      <c r="DU4" s="51"/>
      <c r="DV4" s="51"/>
      <c r="DW4" s="51"/>
      <c r="DX4" s="51"/>
      <c r="DY4" s="51"/>
      <c r="DZ4" s="51"/>
      <c r="EA4" s="51"/>
      <c r="EB4" s="51"/>
      <c r="EC4" s="51"/>
      <c r="ED4" s="51"/>
      <c r="EE4" s="51"/>
      <c r="EF4" s="51"/>
      <c r="EG4" s="51"/>
      <c r="EH4" s="51"/>
      <c r="EI4" s="51"/>
      <c r="EJ4" s="51"/>
      <c r="EK4" s="51"/>
      <c r="EL4" s="51"/>
      <c r="EM4" s="51"/>
      <c r="EN4" s="51"/>
      <c r="EO4" s="51"/>
      <c r="EP4" s="51"/>
      <c r="EQ4" s="51"/>
      <c r="ER4" s="51"/>
      <c r="ES4" s="51"/>
      <c r="ET4" s="51"/>
      <c r="EU4" s="51"/>
      <c r="EV4" s="51"/>
      <c r="EW4" s="51"/>
      <c r="EX4" s="51"/>
      <c r="EY4" s="51"/>
      <c r="EZ4" s="51"/>
      <c r="FA4" s="51"/>
      <c r="FB4" s="51"/>
      <c r="FC4" s="51"/>
      <c r="FD4" s="51"/>
      <c r="FE4" s="51"/>
      <c r="FF4" s="51"/>
      <c r="FG4" s="51"/>
      <c r="FH4" s="51"/>
      <c r="FI4" s="51"/>
      <c r="FJ4" s="51"/>
      <c r="FK4" s="51"/>
      <c r="FL4" s="51"/>
      <c r="FM4" s="51"/>
      <c r="FN4" s="51"/>
      <c r="FO4" s="51"/>
      <c r="FP4" s="51"/>
      <c r="FQ4" s="51"/>
      <c r="FR4" s="51"/>
      <c r="FS4" s="51"/>
      <c r="FT4" s="51"/>
      <c r="FU4" s="51"/>
      <c r="FV4" s="51"/>
      <c r="FW4" s="51"/>
      <c r="FX4" s="51"/>
      <c r="FY4" s="51"/>
      <c r="FZ4" s="51"/>
      <c r="GA4" s="51"/>
      <c r="GB4" s="51"/>
      <c r="GC4" s="51"/>
      <c r="GD4" s="51"/>
      <c r="GE4" s="51"/>
      <c r="GF4" s="51"/>
      <c r="GG4" s="51"/>
      <c r="GH4" s="51"/>
      <c r="GI4" s="3441"/>
      <c r="GJ4" s="3441"/>
      <c r="GK4" s="3441"/>
      <c r="GL4" s="3441"/>
      <c r="GM4" s="3441"/>
      <c r="GN4" s="3441"/>
      <c r="GO4" s="3441"/>
      <c r="GP4" s="3441"/>
      <c r="GQ4" s="3441"/>
      <c r="GR4" s="3441"/>
      <c r="GS4" s="3441"/>
      <c r="GT4" s="3441"/>
      <c r="GU4" s="3441"/>
      <c r="GV4" s="3441"/>
      <c r="GW4" s="3441"/>
      <c r="GX4" s="3441"/>
      <c r="GY4" s="3441"/>
      <c r="GZ4" s="3441"/>
      <c r="HA4" s="3441"/>
      <c r="HB4" s="3441"/>
      <c r="HC4" s="3445"/>
      <c r="HD4" s="3441"/>
      <c r="HE4" s="3441"/>
      <c r="HF4" s="3445"/>
      <c r="HG4" s="3441"/>
      <c r="HH4" s="3441"/>
      <c r="HI4" s="3441"/>
      <c r="HJ4" s="3441"/>
      <c r="HK4" s="3441"/>
      <c r="HL4" s="3441"/>
      <c r="HM4" s="3441"/>
      <c r="HN4" s="3441"/>
      <c r="HO4" s="3441"/>
      <c r="HP4" s="3441"/>
      <c r="HQ4" s="3441"/>
      <c r="HR4" s="3441"/>
      <c r="HS4" s="3441"/>
      <c r="HT4" s="3441"/>
      <c r="HU4" s="3441"/>
      <c r="HV4" s="3441"/>
      <c r="HW4" s="3441"/>
      <c r="HX4" s="3441"/>
      <c r="HY4" s="3441"/>
      <c r="HZ4" s="3441"/>
      <c r="IA4" s="3441"/>
      <c r="IB4" s="3441"/>
      <c r="IC4" s="3441"/>
      <c r="ID4" s="3441"/>
      <c r="IE4" s="3441"/>
      <c r="IF4" s="3441"/>
      <c r="IG4" s="3441"/>
      <c r="IH4" s="3441"/>
      <c r="II4" s="3441"/>
      <c r="IJ4" s="3441"/>
      <c r="IK4" s="3441"/>
      <c r="IL4" s="3441"/>
      <c r="IM4" s="3441"/>
      <c r="IN4" s="3441"/>
      <c r="IO4" s="3441"/>
      <c r="IP4" s="3441"/>
      <c r="IQ4" s="3441"/>
      <c r="IR4" s="3441"/>
      <c r="IS4" s="3441"/>
    </row>
    <row r="5" spans="1:253" ht="21" customHeight="1" x14ac:dyDescent="0.3">
      <c r="A5" s="48" t="s">
        <v>23</v>
      </c>
      <c r="B5" s="46">
        <v>15.56</v>
      </c>
      <c r="C5" s="46">
        <v>16.52</v>
      </c>
      <c r="D5" s="46">
        <v>17.329999999999998</v>
      </c>
      <c r="E5" s="46">
        <v>17.13</v>
      </c>
      <c r="F5" s="46">
        <v>16.48</v>
      </c>
      <c r="G5" s="46">
        <v>16.59</v>
      </c>
      <c r="H5" s="46">
        <v>16.309999999999999</v>
      </c>
      <c r="I5" s="46">
        <v>16.600000000000001</v>
      </c>
      <c r="J5" s="46">
        <v>16.739999999999998</v>
      </c>
      <c r="K5" s="46">
        <v>16.73</v>
      </c>
      <c r="L5" s="46">
        <v>16.89</v>
      </c>
      <c r="M5" s="46">
        <v>17.05</v>
      </c>
      <c r="N5" s="46">
        <v>16.79</v>
      </c>
      <c r="O5" s="46">
        <v>17.3</v>
      </c>
      <c r="P5" s="46">
        <v>18.260000000000002</v>
      </c>
      <c r="Q5" s="46">
        <v>19.75</v>
      </c>
      <c r="R5" s="46">
        <v>19.510000000000002</v>
      </c>
      <c r="S5" s="46">
        <v>18.89</v>
      </c>
      <c r="T5" s="46">
        <v>19.77</v>
      </c>
      <c r="U5" s="46">
        <v>20.38</v>
      </c>
      <c r="V5" s="46">
        <v>20.54</v>
      </c>
      <c r="W5" s="46">
        <v>20.149999999999999</v>
      </c>
      <c r="X5" s="46">
        <v>20.03</v>
      </c>
      <c r="Y5" s="46">
        <v>20.13</v>
      </c>
      <c r="Z5" s="46">
        <v>20.420000000000002</v>
      </c>
      <c r="AA5" s="46">
        <v>20.190000000000001</v>
      </c>
      <c r="AB5" s="46">
        <v>20.37</v>
      </c>
      <c r="AC5" s="46">
        <v>19.649999999999999</v>
      </c>
      <c r="AD5" s="46">
        <v>20.03</v>
      </c>
      <c r="AE5" s="46">
        <v>20.239999999999998</v>
      </c>
      <c r="AF5" s="46">
        <v>20.7</v>
      </c>
      <c r="AG5" s="46">
        <v>21.53</v>
      </c>
      <c r="AH5" s="46">
        <v>22.38</v>
      </c>
      <c r="AI5" s="46">
        <v>22.26</v>
      </c>
      <c r="AJ5" s="46">
        <v>22.38</v>
      </c>
      <c r="AK5" s="46">
        <v>22.68</v>
      </c>
      <c r="AL5" s="46">
        <v>22.9</v>
      </c>
      <c r="AM5" s="46">
        <v>22.36</v>
      </c>
      <c r="AN5" s="46">
        <v>22.69</v>
      </c>
      <c r="AO5" s="46">
        <v>22.76</v>
      </c>
      <c r="AP5" s="46">
        <v>22.49</v>
      </c>
      <c r="AQ5" s="46">
        <v>23.29</v>
      </c>
      <c r="AR5" s="46">
        <v>22.97</v>
      </c>
      <c r="AS5" s="46">
        <v>22.82</v>
      </c>
      <c r="AT5" s="46">
        <v>22.69</v>
      </c>
      <c r="AU5" s="46">
        <v>23.25</v>
      </c>
      <c r="AV5" s="46">
        <v>22.91</v>
      </c>
      <c r="AW5" s="46">
        <v>22.29</v>
      </c>
      <c r="AX5" s="46">
        <v>23.52</v>
      </c>
      <c r="AY5" s="46">
        <v>23.79</v>
      </c>
      <c r="AZ5" s="46">
        <v>23.13</v>
      </c>
      <c r="BA5" s="46">
        <v>24.28</v>
      </c>
      <c r="BB5" s="46">
        <v>25.02</v>
      </c>
      <c r="BC5" s="46">
        <v>24.76</v>
      </c>
      <c r="BD5" s="46">
        <v>25.8</v>
      </c>
      <c r="BE5" s="46">
        <v>26.61</v>
      </c>
      <c r="BF5" s="46">
        <v>26.95</v>
      </c>
      <c r="BG5" s="46">
        <v>26.36</v>
      </c>
      <c r="BH5" s="46">
        <v>26.64</v>
      </c>
      <c r="BI5" s="46">
        <v>26.78</v>
      </c>
      <c r="BJ5" s="46">
        <v>26.87</v>
      </c>
      <c r="BK5" s="46">
        <v>26.29</v>
      </c>
      <c r="BL5" s="46">
        <v>27.22</v>
      </c>
      <c r="BM5" s="46">
        <v>27.39</v>
      </c>
      <c r="BN5" s="46">
        <v>26.0532</v>
      </c>
      <c r="BO5" s="46">
        <v>27.4922</v>
      </c>
      <c r="BP5" s="46">
        <v>28.593599999999999</v>
      </c>
      <c r="BQ5" s="46">
        <v>27.143999999999998</v>
      </c>
      <c r="BR5" s="46">
        <v>25.668299999999999</v>
      </c>
      <c r="BS5" s="46">
        <v>26.1235</v>
      </c>
      <c r="BT5" s="46">
        <v>26.605399999999999</v>
      </c>
      <c r="BU5" s="46">
        <v>24.6096</v>
      </c>
      <c r="BV5" s="46">
        <v>24.8872</v>
      </c>
      <c r="BW5" s="46">
        <v>27.118300000000001</v>
      </c>
      <c r="BX5" s="46">
        <v>26.8184</v>
      </c>
      <c r="BY5" s="46">
        <v>25.786799999999999</v>
      </c>
      <c r="BZ5" s="46">
        <v>24.9757</v>
      </c>
      <c r="CA5" s="46">
        <v>23.229199999999999</v>
      </c>
      <c r="CB5" s="46">
        <v>22.044899999999998</v>
      </c>
      <c r="CC5" s="46">
        <v>21.433499999999999</v>
      </c>
      <c r="CD5" s="46">
        <v>22.654699999999998</v>
      </c>
      <c r="CE5" s="46">
        <v>21.716699999999999</v>
      </c>
      <c r="CF5" s="46">
        <v>22.553599999999999</v>
      </c>
      <c r="CG5" s="46">
        <v>23.6126</v>
      </c>
      <c r="CH5" s="46">
        <v>25.0962</v>
      </c>
      <c r="CI5" s="46">
        <v>26.360900000000001</v>
      </c>
      <c r="CJ5" s="46">
        <v>26.9573</v>
      </c>
      <c r="CK5" s="46">
        <v>27.3185</v>
      </c>
      <c r="CL5" s="46">
        <v>27.529699999999998</v>
      </c>
      <c r="CM5" s="46">
        <v>27.882899999999999</v>
      </c>
      <c r="CN5" s="46">
        <v>28.681100000000001</v>
      </c>
      <c r="CO5" s="46">
        <v>28.164999999999999</v>
      </c>
      <c r="CP5" s="46">
        <v>29.251000000000001</v>
      </c>
      <c r="CQ5" s="46">
        <v>28.16612344759616</v>
      </c>
      <c r="CR5" s="46">
        <v>28.499452496458929</v>
      </c>
      <c r="CS5" s="46">
        <v>30.072427729575537</v>
      </c>
      <c r="CT5" s="46">
        <v>29.940966177511076</v>
      </c>
      <c r="CU5" s="46">
        <v>30.225972652943568</v>
      </c>
      <c r="CV5" s="46">
        <v>31.850720017085713</v>
      </c>
      <c r="CW5" s="46">
        <v>30.407761025539997</v>
      </c>
      <c r="CX5" s="46">
        <v>30.856948067410002</v>
      </c>
      <c r="CY5" s="46">
        <v>30.524032067954291</v>
      </c>
      <c r="CZ5" s="46">
        <v>31.015875573434645</v>
      </c>
      <c r="DA5" s="46">
        <v>30.808352357991776</v>
      </c>
      <c r="DB5" s="46">
        <v>31.199055418040707</v>
      </c>
      <c r="DC5" s="46">
        <v>31.640197820362499</v>
      </c>
      <c r="DD5" s="46">
        <v>30.636825936685359</v>
      </c>
      <c r="DE5" s="46">
        <v>29.047015291165362</v>
      </c>
      <c r="DF5" s="46">
        <v>31.14696479228607</v>
      </c>
      <c r="DG5" s="46">
        <v>30.016604410962859</v>
      </c>
      <c r="DH5" s="46">
        <v>30.653454635537496</v>
      </c>
      <c r="DI5" s="46">
        <v>31.78951233469142</v>
      </c>
      <c r="DJ5" s="46">
        <v>32.031724399628217</v>
      </c>
      <c r="DK5" s="46">
        <v>30.898686488191782</v>
      </c>
      <c r="DL5" s="46">
        <v>31.132376976534285</v>
      </c>
      <c r="DM5" s="46">
        <v>29.776268937628931</v>
      </c>
      <c r="DN5" s="46">
        <v>32.116625134594635</v>
      </c>
      <c r="DO5" s="46">
        <v>33.371623722129996</v>
      </c>
      <c r="DP5" s="46">
        <v>32.202497256828565</v>
      </c>
      <c r="DQ5" s="46">
        <v>32.544694504626854</v>
      </c>
      <c r="DR5" s="46">
        <v>32.824064693024859</v>
      </c>
      <c r="DS5" s="46">
        <v>32.862170824724437</v>
      </c>
      <c r="DT5" s="46">
        <v>32.391319341800006</v>
      </c>
      <c r="DU5" s="46">
        <v>32.120387970051432</v>
      </c>
      <c r="DV5" s="46">
        <v>32.161973845968575</v>
      </c>
      <c r="DW5" s="46">
        <v>33.017899227804911</v>
      </c>
      <c r="DX5" s="46">
        <v>32.650179029661359</v>
      </c>
      <c r="DY5" s="46">
        <v>30.508328271160714</v>
      </c>
      <c r="DZ5" s="46">
        <v>29.219234642313637</v>
      </c>
      <c r="EA5" s="46">
        <v>28.402400038163925</v>
      </c>
      <c r="EB5" s="46">
        <v>28.121851271808289</v>
      </c>
      <c r="EC5" s="46">
        <v>29.030171696165354</v>
      </c>
      <c r="ED5" s="46">
        <v>29.197605977405573</v>
      </c>
      <c r="EE5" s="46">
        <v>28.093810899874203</v>
      </c>
      <c r="EF5" s="46">
        <v>27.423530487067431</v>
      </c>
      <c r="EG5" s="46">
        <v>26.868356833097202</v>
      </c>
      <c r="EH5" s="46">
        <v>27.51289510131857</v>
      </c>
      <c r="EI5" s="46">
        <v>28.447808963130882</v>
      </c>
      <c r="EJ5" s="46">
        <v>28.441322898389053</v>
      </c>
      <c r="EK5" s="46">
        <v>28.738349329908999</v>
      </c>
      <c r="EL5" s="46">
        <v>29.040735419048563</v>
      </c>
      <c r="EM5" s="46">
        <v>28.91185272831196</v>
      </c>
      <c r="EN5" s="46">
        <v>29.269448482517515</v>
      </c>
      <c r="EO5" s="46">
        <v>27.939253139383428</v>
      </c>
      <c r="EP5" s="46">
        <v>28.124029890492597</v>
      </c>
      <c r="EQ5" s="46">
        <v>27.226541314789852</v>
      </c>
      <c r="ER5" s="46">
        <v>26.439216729061425</v>
      </c>
      <c r="ES5" s="46">
        <v>25.899436039495431</v>
      </c>
      <c r="ET5" s="46">
        <v>26.375192937004499</v>
      </c>
      <c r="EU5" s="46">
        <v>28.266616249922805</v>
      </c>
      <c r="EV5" s="46">
        <v>28.6661</v>
      </c>
      <c r="EW5" s="46">
        <v>27.625614285714281</v>
      </c>
      <c r="EX5" s="46">
        <v>27.537492857142901</v>
      </c>
      <c r="EY5" s="46">
        <v>26.409199999999998</v>
      </c>
      <c r="EZ5" s="46">
        <v>25.694435714285699</v>
      </c>
      <c r="FA5" s="46">
        <v>25.462199999999999</v>
      </c>
      <c r="FB5" s="46">
        <v>26.114100000000001</v>
      </c>
      <c r="FC5" s="46">
        <v>26.594899999999999</v>
      </c>
      <c r="FD5" s="46">
        <v>26.756599999999999</v>
      </c>
      <c r="FE5" s="46">
        <v>26.073399999999999</v>
      </c>
      <c r="FF5" s="46">
        <v>26.177199999999999</v>
      </c>
      <c r="FG5" s="46">
        <v>27.6374</v>
      </c>
      <c r="FH5" s="46">
        <v>27.498899999999999</v>
      </c>
      <c r="FI5" s="46">
        <v>26.2941</v>
      </c>
      <c r="FJ5" s="46">
        <v>27.1995</v>
      </c>
      <c r="FK5" s="46">
        <v>27.5107</v>
      </c>
      <c r="FL5" s="46">
        <v>27.319800000000001</v>
      </c>
      <c r="FM5" s="46">
        <v>27.7912</v>
      </c>
      <c r="FN5" s="46">
        <v>27.902000000000001</v>
      </c>
      <c r="FO5" s="46">
        <v>27.574000000000002</v>
      </c>
      <c r="FP5" s="46">
        <v>26.712299999999999</v>
      </c>
      <c r="FQ5" s="46">
        <v>27.6812</v>
      </c>
      <c r="FR5" s="46">
        <v>28.092600000000001</v>
      </c>
      <c r="FS5" s="46">
        <v>27.8217</v>
      </c>
      <c r="FT5" s="46">
        <v>26.9466</v>
      </c>
      <c r="FU5" s="46">
        <v>26.5915</v>
      </c>
      <c r="FV5" s="46">
        <v>27.2529</v>
      </c>
      <c r="FW5" s="46">
        <v>27.569500000000001</v>
      </c>
      <c r="FX5" s="46">
        <v>26.726700000000001</v>
      </c>
      <c r="FY5" s="46">
        <v>27.2149</v>
      </c>
      <c r="FZ5" s="46">
        <v>26.942900000000002</v>
      </c>
      <c r="GA5" s="46">
        <v>26.299499999999998</v>
      </c>
      <c r="GB5" s="46">
        <v>26.8718</v>
      </c>
      <c r="GC5" s="46">
        <v>27.0002</v>
      </c>
      <c r="GD5" s="46">
        <v>26.397099999999998</v>
      </c>
      <c r="GE5" s="46">
        <v>26.2913</v>
      </c>
      <c r="GF5" s="46">
        <v>26.432700000000001</v>
      </c>
      <c r="GG5" s="46">
        <v>26.623699999999999</v>
      </c>
      <c r="GH5" s="46">
        <v>26.178100000000001</v>
      </c>
      <c r="GI5" s="46">
        <v>25.941800000000001</v>
      </c>
      <c r="GJ5" s="46">
        <v>25.396999999999998</v>
      </c>
      <c r="GK5" s="46">
        <v>25.281500000000001</v>
      </c>
      <c r="GL5" s="46">
        <v>25.065200000000001</v>
      </c>
      <c r="GM5" s="46">
        <v>25.701000000000001</v>
      </c>
      <c r="GN5" s="46">
        <v>24.729700000000001</v>
      </c>
      <c r="GO5" s="46">
        <v>25.333600000000001</v>
      </c>
      <c r="GP5" s="46">
        <v>24.877099999999999</v>
      </c>
      <c r="GQ5" s="46">
        <v>25.213799999999999</v>
      </c>
      <c r="GR5" s="46">
        <v>25.185199999999998</v>
      </c>
      <c r="GS5" s="46">
        <v>25.120200000000001</v>
      </c>
      <c r="GT5" s="46">
        <v>25.3874</v>
      </c>
      <c r="GU5" s="46">
        <v>25.3841</v>
      </c>
      <c r="GV5" s="46">
        <v>24.7578</v>
      </c>
      <c r="GW5" s="46">
        <v>25.106000000000002</v>
      </c>
      <c r="GX5" s="46">
        <v>25.589099999999998</v>
      </c>
      <c r="GY5" s="46">
        <v>25.288399999999999</v>
      </c>
      <c r="GZ5" s="46">
        <v>25.9694</v>
      </c>
      <c r="HA5" s="46">
        <v>25.1722</v>
      </c>
      <c r="HB5" s="46">
        <v>24.8858</v>
      </c>
      <c r="HC5" s="47">
        <v>24.735199999999999</v>
      </c>
      <c r="HD5" s="46">
        <v>26.758099999999999</v>
      </c>
      <c r="HE5" s="46">
        <v>27.1037</v>
      </c>
      <c r="HF5" s="47">
        <v>28.151199999999999</v>
      </c>
      <c r="HG5" s="46">
        <v>29.2636</v>
      </c>
      <c r="HH5" s="46">
        <v>29.791399999999999</v>
      </c>
      <c r="HI5" s="46">
        <v>28.975899999999999</v>
      </c>
      <c r="HJ5" s="46">
        <v>28.757300000000001</v>
      </c>
      <c r="HK5" s="46">
        <v>30.0304</v>
      </c>
      <c r="HL5" s="46">
        <v>30.911799999999999</v>
      </c>
      <c r="HM5" s="46">
        <v>30.858699999999999</v>
      </c>
      <c r="HN5" s="46">
        <v>31.764399999999998</v>
      </c>
      <c r="HO5" s="46">
        <v>31.353100000000001</v>
      </c>
      <c r="HP5" s="46">
        <v>31.981100000000001</v>
      </c>
      <c r="HQ5" s="46">
        <v>31.9</v>
      </c>
      <c r="HR5" s="46">
        <v>32.633699999999997</v>
      </c>
      <c r="HS5" s="46">
        <v>32.055500000000002</v>
      </c>
      <c r="HT5" s="46">
        <v>31.683700000000002</v>
      </c>
      <c r="HU5" s="46">
        <v>31.291599999999999</v>
      </c>
      <c r="HV5" s="46">
        <v>32.921900000000001</v>
      </c>
      <c r="HW5" s="46">
        <v>31.416599999999999</v>
      </c>
      <c r="HX5" s="46">
        <v>32.083300000000001</v>
      </c>
      <c r="HY5" s="46">
        <v>30.965299999999999</v>
      </c>
      <c r="HZ5" s="46">
        <v>32.165599999999998</v>
      </c>
      <c r="IA5" s="46">
        <v>33.867699999999999</v>
      </c>
      <c r="IB5" s="46">
        <v>31.286899999999999</v>
      </c>
      <c r="IC5" s="46">
        <v>31.8323</v>
      </c>
      <c r="ID5" s="46">
        <v>31.838100000000001</v>
      </c>
      <c r="IE5" s="46">
        <v>32.356499999999997</v>
      </c>
      <c r="IF5" s="46">
        <v>31.4223</v>
      </c>
      <c r="IG5" s="46">
        <v>29.883099999999999</v>
      </c>
      <c r="IH5" s="46">
        <v>28.809100000000001</v>
      </c>
      <c r="II5" s="46">
        <v>29.936</v>
      </c>
      <c r="IJ5" s="46">
        <v>30.345800000000001</v>
      </c>
      <c r="IK5" s="46">
        <v>32.156799999999997</v>
      </c>
      <c r="IL5" s="46">
        <v>31.869499999999999</v>
      </c>
      <c r="IM5" s="46">
        <v>31.142900000000001</v>
      </c>
      <c r="IN5" s="46">
        <v>30.361499999999999</v>
      </c>
      <c r="IO5" s="46">
        <v>30.236899999999999</v>
      </c>
      <c r="IP5" s="46">
        <v>30.810600000000001</v>
      </c>
      <c r="IQ5" s="46">
        <v>31.132200000000001</v>
      </c>
      <c r="IR5" s="46">
        <v>30.087700000000002</v>
      </c>
      <c r="IS5" s="46">
        <v>29.367699999999999</v>
      </c>
    </row>
    <row r="6" spans="1:253" ht="21" customHeight="1" x14ac:dyDescent="0.3">
      <c r="A6" s="48" t="s">
        <v>22</v>
      </c>
      <c r="B6" s="46">
        <v>3.95</v>
      </c>
      <c r="C6" s="46">
        <v>3.94</v>
      </c>
      <c r="D6" s="50">
        <v>3.93</v>
      </c>
      <c r="E6" s="50">
        <v>3.9</v>
      </c>
      <c r="F6" s="46">
        <v>3.88</v>
      </c>
      <c r="G6" s="46">
        <v>3.87</v>
      </c>
      <c r="H6" s="50">
        <v>3.87</v>
      </c>
      <c r="I6" s="50">
        <v>3.87</v>
      </c>
      <c r="J6" s="50">
        <v>3.85</v>
      </c>
      <c r="K6" s="50">
        <v>3.81</v>
      </c>
      <c r="L6" s="50">
        <v>3.7</v>
      </c>
      <c r="M6" s="50">
        <v>3.63</v>
      </c>
      <c r="N6" s="50">
        <v>3.59</v>
      </c>
      <c r="O6" s="50">
        <v>3.58</v>
      </c>
      <c r="P6" s="50">
        <v>3.61</v>
      </c>
      <c r="Q6" s="50">
        <v>3.82</v>
      </c>
      <c r="R6" s="50">
        <v>3.85</v>
      </c>
      <c r="S6" s="50">
        <v>3.81</v>
      </c>
      <c r="T6" s="50">
        <v>3.78</v>
      </c>
      <c r="U6" s="50">
        <v>3.75</v>
      </c>
      <c r="V6" s="50">
        <v>3.69</v>
      </c>
      <c r="W6" s="50">
        <v>3.5</v>
      </c>
      <c r="X6" s="50">
        <v>3.41</v>
      </c>
      <c r="Y6" s="50">
        <v>3.39</v>
      </c>
      <c r="Z6" s="50">
        <v>3.48</v>
      </c>
      <c r="AA6" s="50">
        <v>3.62</v>
      </c>
      <c r="AB6" s="50">
        <v>3.69</v>
      </c>
      <c r="AC6" s="50">
        <v>3.68</v>
      </c>
      <c r="AD6" s="50">
        <v>3.7</v>
      </c>
      <c r="AE6" s="50">
        <v>3.72</v>
      </c>
      <c r="AF6" s="50">
        <v>3.73</v>
      </c>
      <c r="AG6" s="50">
        <v>3.74</v>
      </c>
      <c r="AH6" s="50">
        <v>3.73</v>
      </c>
      <c r="AI6" s="50">
        <v>3.7</v>
      </c>
      <c r="AJ6" s="50">
        <v>3.73</v>
      </c>
      <c r="AK6" s="50">
        <v>3.79</v>
      </c>
      <c r="AL6" s="50">
        <v>3.8</v>
      </c>
      <c r="AM6" s="50">
        <v>3.82</v>
      </c>
      <c r="AN6" s="50">
        <v>3.85</v>
      </c>
      <c r="AO6" s="50">
        <v>3.88</v>
      </c>
      <c r="AP6" s="50">
        <v>3.9</v>
      </c>
      <c r="AQ6" s="50">
        <v>3.96</v>
      </c>
      <c r="AR6" s="50">
        <v>3.99</v>
      </c>
      <c r="AS6" s="50">
        <v>4.0199999999999996</v>
      </c>
      <c r="AT6" s="50">
        <v>4.03</v>
      </c>
      <c r="AU6" s="50">
        <v>4.03</v>
      </c>
      <c r="AV6" s="50">
        <v>4.04</v>
      </c>
      <c r="AW6" s="50">
        <v>4.05</v>
      </c>
      <c r="AX6" s="50">
        <v>4.0599999999999996</v>
      </c>
      <c r="AY6" s="50">
        <v>4.05</v>
      </c>
      <c r="AZ6" s="50">
        <v>4.0599999999999996</v>
      </c>
      <c r="BA6" s="50">
        <v>4.1100000000000003</v>
      </c>
      <c r="BB6" s="50">
        <v>4.25</v>
      </c>
      <c r="BC6" s="50">
        <v>4.26</v>
      </c>
      <c r="BD6" s="50">
        <v>4.3099999999999996</v>
      </c>
      <c r="BE6" s="50">
        <v>4.34</v>
      </c>
      <c r="BF6" s="50">
        <v>4.37</v>
      </c>
      <c r="BG6" s="50">
        <v>4.3499999999999996</v>
      </c>
      <c r="BH6" s="50">
        <v>4.3099999999999996</v>
      </c>
      <c r="BI6" s="50">
        <v>4.2699999999999996</v>
      </c>
      <c r="BJ6" s="50">
        <v>4.18</v>
      </c>
      <c r="BK6" s="50">
        <v>4.12</v>
      </c>
      <c r="BL6" s="50">
        <v>4.13</v>
      </c>
      <c r="BM6" s="50">
        <v>4.09</v>
      </c>
      <c r="BN6" s="50">
        <v>4.0932000000000004</v>
      </c>
      <c r="BO6" s="50">
        <v>4.0366999999999997</v>
      </c>
      <c r="BP6" s="50">
        <v>4.0175999999999998</v>
      </c>
      <c r="BQ6" s="50">
        <v>3.948</v>
      </c>
      <c r="BR6" s="50">
        <v>3.7471999999999999</v>
      </c>
      <c r="BS6" s="50">
        <v>3.7690999999999999</v>
      </c>
      <c r="BT6" s="50">
        <v>3.6236000000000002</v>
      </c>
      <c r="BU6" s="50">
        <v>3.4592000000000001</v>
      </c>
      <c r="BV6" s="50">
        <v>3.4264999999999999</v>
      </c>
      <c r="BW6" s="50">
        <v>3.6351</v>
      </c>
      <c r="BX6" s="50">
        <v>3.5863999999999998</v>
      </c>
      <c r="BY6" s="50">
        <v>3.5167000000000002</v>
      </c>
      <c r="BZ6" s="50">
        <v>3.7092000000000001</v>
      </c>
      <c r="CA6" s="50">
        <v>3.7442000000000002</v>
      </c>
      <c r="CB6" s="50">
        <v>4.2183999999999999</v>
      </c>
      <c r="CC6" s="50">
        <v>4.2065000000000001</v>
      </c>
      <c r="CD6" s="50">
        <v>4.2130000000000001</v>
      </c>
      <c r="CE6" s="50">
        <v>4.3268000000000004</v>
      </c>
      <c r="CF6" s="50">
        <v>4.5053999999999998</v>
      </c>
      <c r="CG6" s="50">
        <v>4.4272</v>
      </c>
      <c r="CH6" s="50">
        <v>4.4598000000000004</v>
      </c>
      <c r="CI6" s="50">
        <v>4.3163</v>
      </c>
      <c r="CJ6" s="50">
        <v>4.2948000000000004</v>
      </c>
      <c r="CK6" s="50">
        <v>4.2535999999999996</v>
      </c>
      <c r="CL6" s="46">
        <v>4.2291999999999996</v>
      </c>
      <c r="CM6" s="46">
        <v>4.0975999999999999</v>
      </c>
      <c r="CN6" s="46">
        <v>4.0427</v>
      </c>
      <c r="CO6" s="46">
        <v>3.9632999999999998</v>
      </c>
      <c r="CP6" s="46">
        <v>4.4180000000000001</v>
      </c>
      <c r="CQ6" s="46">
        <v>4.032487560373756</v>
      </c>
      <c r="CR6" s="46">
        <v>4.0969714264583965</v>
      </c>
      <c r="CS6" s="46">
        <v>4.0047722008282394</v>
      </c>
      <c r="CT6" s="46">
        <v>3.9543564370945878</v>
      </c>
      <c r="CU6" s="46">
        <v>4.0426005138951515</v>
      </c>
      <c r="CV6" s="46">
        <v>4.0278040434054869</v>
      </c>
      <c r="CW6" s="46">
        <v>3.9279889267950394</v>
      </c>
      <c r="CX6" s="46">
        <v>3.8959044275968897</v>
      </c>
      <c r="CY6" s="46">
        <v>3.7942924247204624</v>
      </c>
      <c r="CZ6" s="46">
        <v>3.6576214562405553</v>
      </c>
      <c r="DA6" s="46">
        <v>3.6971726456905682</v>
      </c>
      <c r="DB6" s="46">
        <v>3.7294413698932494</v>
      </c>
      <c r="DC6" s="46">
        <v>3.6934897257530364</v>
      </c>
      <c r="DD6" s="46">
        <v>3.6818912762427973</v>
      </c>
      <c r="DE6" s="46">
        <v>3.8179949005074763</v>
      </c>
      <c r="DF6" s="46">
        <v>3.8047301396428601</v>
      </c>
      <c r="DG6" s="46">
        <v>3.8422869353282501</v>
      </c>
      <c r="DH6" s="46">
        <v>3.8844088727125103</v>
      </c>
      <c r="DI6" s="46">
        <v>3.8513244997920633</v>
      </c>
      <c r="DJ6" s="46">
        <v>3.8175666094278706</v>
      </c>
      <c r="DK6" s="46">
        <v>3.8251777537822003</v>
      </c>
      <c r="DL6" s="46">
        <v>3.8342347896408513</v>
      </c>
      <c r="DM6" s="46">
        <v>3.9417741110028013</v>
      </c>
      <c r="DN6" s="46">
        <v>4.0708354957761896</v>
      </c>
      <c r="DO6" s="46">
        <v>4.0905709470138962</v>
      </c>
      <c r="DP6" s="46">
        <v>4.030456479785907</v>
      </c>
      <c r="DQ6" s="46">
        <v>4.0078231107034785</v>
      </c>
      <c r="DR6" s="46">
        <v>4.0806980113313447</v>
      </c>
      <c r="DS6" s="46">
        <v>4.0671373455316617</v>
      </c>
      <c r="DT6" s="46">
        <v>4.0231595015807393</v>
      </c>
      <c r="DU6" s="46">
        <v>3.9837583570262205</v>
      </c>
      <c r="DV6" s="46">
        <v>4.028247168938881</v>
      </c>
      <c r="DW6" s="46">
        <v>4.0768341388566833</v>
      </c>
      <c r="DX6" s="46">
        <v>4.0628685596363976</v>
      </c>
      <c r="DY6" s="46">
        <v>4.0762222476361059</v>
      </c>
      <c r="DZ6" s="46">
        <v>4.0615859662385274</v>
      </c>
      <c r="EA6" s="46">
        <v>4.0526861410180075</v>
      </c>
      <c r="EB6" s="46">
        <v>4.0540417623135312</v>
      </c>
      <c r="EC6" s="46">
        <v>4.0257424481660626</v>
      </c>
      <c r="ED6" s="46">
        <v>3.9721481226092061</v>
      </c>
      <c r="EE6" s="46">
        <v>3.9915340622676623</v>
      </c>
      <c r="EF6" s="46">
        <v>3.961008416987966</v>
      </c>
      <c r="EG6" s="46">
        <v>3.96232685422873</v>
      </c>
      <c r="EH6" s="46">
        <v>3.9605346166013895</v>
      </c>
      <c r="EI6" s="46">
        <v>3.9588024734141762</v>
      </c>
      <c r="EJ6" s="46">
        <v>3.9540965649064481</v>
      </c>
      <c r="EK6" s="46">
        <v>3.9757805111719478</v>
      </c>
      <c r="EL6" s="46">
        <v>3.9760763116678146</v>
      </c>
      <c r="EM6" s="46">
        <v>4.0028902580014192</v>
      </c>
      <c r="EN6" s="46">
        <v>4.0383165436656885</v>
      </c>
      <c r="EO6" s="46">
        <v>4.1052129778189883</v>
      </c>
      <c r="EP6" s="46">
        <v>4.1152610216866359</v>
      </c>
      <c r="EQ6" s="46">
        <v>4.1406034676737535</v>
      </c>
      <c r="ER6" s="46">
        <v>4.1598926892904453</v>
      </c>
      <c r="ES6" s="46">
        <v>4.296523799351375</v>
      </c>
      <c r="ET6" s="46">
        <v>4.3693169590461753</v>
      </c>
      <c r="EU6" s="46">
        <v>4.7795437239206731</v>
      </c>
      <c r="EV6" s="46">
        <v>4.6391923076923076</v>
      </c>
      <c r="EW6" s="46">
        <v>4.6524538461538461</v>
      </c>
      <c r="EX6" s="46">
        <v>4.6358846153846196</v>
      </c>
      <c r="EY6" s="46">
        <v>4.6719999999999997</v>
      </c>
      <c r="EZ6" s="46">
        <v>4.6441499999999998</v>
      </c>
      <c r="FA6" s="46">
        <v>4.6896000000000004</v>
      </c>
      <c r="FB6" s="46">
        <v>4.7465999999999999</v>
      </c>
      <c r="FC6" s="46">
        <v>4.7805999999999997</v>
      </c>
      <c r="FD6" s="46">
        <v>4.7352999999999996</v>
      </c>
      <c r="FE6" s="46">
        <v>4.7266000000000004</v>
      </c>
      <c r="FF6" s="46">
        <v>4.7249999999999996</v>
      </c>
      <c r="FG6" s="46">
        <v>4.6643999999999997</v>
      </c>
      <c r="FH6" s="46">
        <v>4.6374000000000004</v>
      </c>
      <c r="FI6" s="46">
        <v>4.6788999999999996</v>
      </c>
      <c r="FJ6" s="46">
        <v>4.7206999999999999</v>
      </c>
      <c r="FK6" s="46">
        <v>4.7178000000000004</v>
      </c>
      <c r="FL6" s="46">
        <v>4.6908000000000003</v>
      </c>
      <c r="FM6" s="46">
        <v>4.7057000000000002</v>
      </c>
      <c r="FN6" s="46">
        <v>4.7340999999999998</v>
      </c>
      <c r="FO6" s="46">
        <v>4.7655000000000003</v>
      </c>
      <c r="FP6" s="46">
        <v>4.7702</v>
      </c>
      <c r="FQ6" s="46">
        <v>4.7239000000000004</v>
      </c>
      <c r="FR6" s="46">
        <v>4.7161999999999997</v>
      </c>
      <c r="FS6" s="46">
        <v>4.6936</v>
      </c>
      <c r="FT6" s="46">
        <v>4.6420000000000003</v>
      </c>
      <c r="FU6" s="46">
        <v>4.5907999999999998</v>
      </c>
      <c r="FV6" s="46">
        <v>4.5442</v>
      </c>
      <c r="FW6" s="46">
        <v>4.4356</v>
      </c>
      <c r="FX6" s="46">
        <v>4.3327</v>
      </c>
      <c r="FY6" s="46">
        <v>4.4561999999999999</v>
      </c>
      <c r="FZ6" s="46">
        <v>4.5107999999999997</v>
      </c>
      <c r="GA6" s="46">
        <v>4.4474999999999998</v>
      </c>
      <c r="GB6" s="46">
        <v>4.4173999999999998</v>
      </c>
      <c r="GC6" s="46">
        <v>4.2843</v>
      </c>
      <c r="GD6" s="46">
        <v>4.3367000000000004</v>
      </c>
      <c r="GE6" s="46">
        <v>4.3697999999999997</v>
      </c>
      <c r="GF6" s="46">
        <v>4.4657</v>
      </c>
      <c r="GG6" s="46">
        <v>4.5034000000000001</v>
      </c>
      <c r="GH6" s="46">
        <v>4.5309999999999997</v>
      </c>
      <c r="GI6" s="46">
        <v>4.4661</v>
      </c>
      <c r="GJ6" s="46">
        <v>4.4770000000000003</v>
      </c>
      <c r="GK6" s="46">
        <v>4.4945000000000004</v>
      </c>
      <c r="GL6" s="46">
        <v>4.5246000000000004</v>
      </c>
      <c r="GM6" s="46">
        <v>4.5039999999999996</v>
      </c>
      <c r="GN6" s="46">
        <v>4.4854000000000003</v>
      </c>
      <c r="GO6" s="46">
        <v>4.4579000000000004</v>
      </c>
      <c r="GP6" s="46">
        <v>4.4497</v>
      </c>
      <c r="GQ6" s="46">
        <v>4.5472999999999999</v>
      </c>
      <c r="GR6" s="46">
        <v>4.5719000000000003</v>
      </c>
      <c r="GS6" s="46">
        <v>4.6448</v>
      </c>
      <c r="GT6" s="46">
        <v>4.6502999999999997</v>
      </c>
      <c r="GU6" s="46">
        <v>4.7134</v>
      </c>
      <c r="GV6" s="46">
        <v>4.7119999999999997</v>
      </c>
      <c r="GW6" s="46">
        <v>4.7531999999999996</v>
      </c>
      <c r="GX6" s="46">
        <v>4.7290999999999999</v>
      </c>
      <c r="GY6" s="46">
        <v>4.7824999999999998</v>
      </c>
      <c r="GZ6" s="46">
        <v>4.7704000000000004</v>
      </c>
      <c r="HA6" s="46">
        <v>4.8326000000000002</v>
      </c>
      <c r="HB6" s="46">
        <v>4.8975999999999997</v>
      </c>
      <c r="HC6" s="47">
        <v>5.1717000000000004</v>
      </c>
      <c r="HD6" s="46">
        <v>5.2782999999999998</v>
      </c>
      <c r="HE6" s="46">
        <v>5.2723000000000004</v>
      </c>
      <c r="HF6" s="47">
        <v>5.2923999999999998</v>
      </c>
      <c r="HG6" s="46">
        <v>5.2454999999999998</v>
      </c>
      <c r="HH6" s="46">
        <v>5.2332000000000001</v>
      </c>
      <c r="HI6" s="46">
        <v>5.2538</v>
      </c>
      <c r="HJ6" s="46">
        <v>5.2717000000000001</v>
      </c>
      <c r="HK6" s="46">
        <v>5.2550999999999997</v>
      </c>
      <c r="HL6" s="46">
        <v>5.19</v>
      </c>
      <c r="HM6" s="46">
        <v>5.2191000000000001</v>
      </c>
      <c r="HN6" s="46">
        <v>5.2348999999999997</v>
      </c>
      <c r="HO6" s="46">
        <v>5.3159999999999998</v>
      </c>
      <c r="HP6" s="46">
        <v>5.3093000000000004</v>
      </c>
      <c r="HQ6" s="46">
        <v>5.3357000000000001</v>
      </c>
      <c r="HR6" s="46">
        <v>5.6052999999999997</v>
      </c>
      <c r="HS6" s="46">
        <v>5.5949999999999998</v>
      </c>
      <c r="HT6" s="46">
        <v>5.5831</v>
      </c>
      <c r="HU6" s="46">
        <v>5.5937999999999999</v>
      </c>
      <c r="HV6" s="46">
        <v>5.6246999999999998</v>
      </c>
      <c r="HW6" s="46">
        <v>5.6574999999999998</v>
      </c>
      <c r="HX6" s="46">
        <v>5.6901000000000002</v>
      </c>
      <c r="HY6" s="46">
        <v>5.6771000000000003</v>
      </c>
      <c r="HZ6" s="46">
        <v>5.7507000000000001</v>
      </c>
      <c r="IA6" s="46">
        <v>5.7984999999999998</v>
      </c>
      <c r="IB6" s="46">
        <v>5.6002999999999998</v>
      </c>
      <c r="IC6" s="46">
        <v>5.6647999999999996</v>
      </c>
      <c r="ID6" s="46">
        <v>5.9116999999999997</v>
      </c>
      <c r="IE6" s="46">
        <v>5.8997999999999999</v>
      </c>
      <c r="IF6" s="46">
        <v>5.8362999999999996</v>
      </c>
      <c r="IG6" s="46">
        <v>5.8787000000000003</v>
      </c>
      <c r="IH6" s="46">
        <v>5.7295999999999996</v>
      </c>
      <c r="II6" s="46">
        <v>5.7337999999999996</v>
      </c>
      <c r="IJ6" s="46">
        <v>5.7529000000000003</v>
      </c>
      <c r="IK6" s="46">
        <v>5.8474000000000004</v>
      </c>
      <c r="IL6" s="46">
        <v>6.0442</v>
      </c>
      <c r="IM6" s="46">
        <v>5.9288999999999996</v>
      </c>
      <c r="IN6" s="46">
        <v>5.8487</v>
      </c>
      <c r="IO6" s="46">
        <v>5.9459999999999997</v>
      </c>
      <c r="IP6" s="46">
        <v>5.9353999999999996</v>
      </c>
      <c r="IQ6" s="46">
        <v>5.9795999999999996</v>
      </c>
      <c r="IR6" s="46">
        <v>5.9128999999999996</v>
      </c>
      <c r="IS6" s="46">
        <v>5.8079999999999998</v>
      </c>
    </row>
    <row r="7" spans="1:253" ht="21" customHeight="1" x14ac:dyDescent="0.3">
      <c r="A7" s="48" t="s">
        <v>21</v>
      </c>
      <c r="B7" s="46">
        <v>64</v>
      </c>
      <c r="C7" s="50">
        <v>64</v>
      </c>
      <c r="D7" s="50">
        <v>63</v>
      </c>
      <c r="E7" s="50">
        <v>63</v>
      </c>
      <c r="F7" s="46">
        <v>63</v>
      </c>
      <c r="G7" s="50">
        <v>63</v>
      </c>
      <c r="H7" s="50">
        <v>63</v>
      </c>
      <c r="I7" s="50">
        <v>63</v>
      </c>
      <c r="J7" s="50">
        <v>63</v>
      </c>
      <c r="K7" s="50">
        <v>63</v>
      </c>
      <c r="L7" s="50">
        <v>61</v>
      </c>
      <c r="M7" s="50">
        <v>60</v>
      </c>
      <c r="N7" s="50">
        <v>60</v>
      </c>
      <c r="O7" s="50">
        <v>60</v>
      </c>
      <c r="P7" s="50">
        <v>60</v>
      </c>
      <c r="Q7" s="50">
        <v>65</v>
      </c>
      <c r="R7" s="50">
        <v>66</v>
      </c>
      <c r="S7" s="50">
        <v>65</v>
      </c>
      <c r="T7" s="50">
        <v>64</v>
      </c>
      <c r="U7" s="50">
        <v>65</v>
      </c>
      <c r="V7" s="50">
        <v>63</v>
      </c>
      <c r="W7" s="50">
        <v>60</v>
      </c>
      <c r="X7" s="50">
        <v>59</v>
      </c>
      <c r="Y7" s="50">
        <v>59</v>
      </c>
      <c r="Z7" s="50">
        <v>62</v>
      </c>
      <c r="AA7" s="50">
        <v>64</v>
      </c>
      <c r="AB7" s="50">
        <v>64</v>
      </c>
      <c r="AC7" s="50">
        <v>63</v>
      </c>
      <c r="AD7" s="50">
        <v>63</v>
      </c>
      <c r="AE7" s="50">
        <v>63</v>
      </c>
      <c r="AF7" s="50">
        <v>64</v>
      </c>
      <c r="AG7" s="50">
        <v>64</v>
      </c>
      <c r="AH7" s="50">
        <v>65</v>
      </c>
      <c r="AI7" s="50">
        <v>67</v>
      </c>
      <c r="AJ7" s="50">
        <v>67</v>
      </c>
      <c r="AK7" s="50">
        <v>68</v>
      </c>
      <c r="AL7" s="50">
        <v>68</v>
      </c>
      <c r="AM7" s="50">
        <v>69</v>
      </c>
      <c r="AN7" s="50">
        <v>69</v>
      </c>
      <c r="AO7" s="50">
        <v>70</v>
      </c>
      <c r="AP7" s="50">
        <v>69</v>
      </c>
      <c r="AQ7" s="50">
        <v>71</v>
      </c>
      <c r="AR7" s="50">
        <v>69</v>
      </c>
      <c r="AS7" s="50">
        <v>68</v>
      </c>
      <c r="AT7" s="50">
        <v>69</v>
      </c>
      <c r="AU7" s="50">
        <v>71</v>
      </c>
      <c r="AV7" s="50">
        <v>71</v>
      </c>
      <c r="AW7" s="50">
        <v>71</v>
      </c>
      <c r="AX7" s="50">
        <v>70</v>
      </c>
      <c r="AY7" s="50">
        <v>68</v>
      </c>
      <c r="AZ7" s="50">
        <v>68</v>
      </c>
      <c r="BA7" s="50">
        <v>69</v>
      </c>
      <c r="BB7" s="50">
        <v>71</v>
      </c>
      <c r="BC7" s="50">
        <v>72</v>
      </c>
      <c r="BD7" s="50">
        <v>74</v>
      </c>
      <c r="BE7" s="50">
        <v>76</v>
      </c>
      <c r="BF7" s="50">
        <v>77</v>
      </c>
      <c r="BG7" s="50">
        <v>77</v>
      </c>
      <c r="BH7" s="50">
        <v>76</v>
      </c>
      <c r="BI7" s="50">
        <v>77</v>
      </c>
      <c r="BJ7" s="50">
        <v>79</v>
      </c>
      <c r="BK7" s="50">
        <v>79</v>
      </c>
      <c r="BL7" s="50">
        <v>79</v>
      </c>
      <c r="BM7" s="50">
        <v>79</v>
      </c>
      <c r="BN7" s="50">
        <v>78.05</v>
      </c>
      <c r="BO7" s="50">
        <v>78.83</v>
      </c>
      <c r="BP7" s="50">
        <v>79.45</v>
      </c>
      <c r="BQ7" s="50">
        <v>77.67</v>
      </c>
      <c r="BR7" s="50">
        <v>74.400000000000006</v>
      </c>
      <c r="BS7" s="50">
        <v>74.81</v>
      </c>
      <c r="BT7" s="50">
        <v>70.86</v>
      </c>
      <c r="BU7" s="50">
        <v>67.650000000000006</v>
      </c>
      <c r="BV7" s="50">
        <v>66.27</v>
      </c>
      <c r="BW7" s="50">
        <v>66.94</v>
      </c>
      <c r="BX7" s="50">
        <v>65.48</v>
      </c>
      <c r="BY7" s="50">
        <v>64.739999999999995</v>
      </c>
      <c r="BZ7" s="50">
        <v>66.5</v>
      </c>
      <c r="CA7" s="50">
        <v>62.61</v>
      </c>
      <c r="CB7" s="50">
        <v>66.86</v>
      </c>
      <c r="CC7" s="50">
        <v>66.55</v>
      </c>
      <c r="CD7" s="50">
        <v>68.040000000000006</v>
      </c>
      <c r="CE7" s="50">
        <v>69.03</v>
      </c>
      <c r="CF7" s="50">
        <v>69.55</v>
      </c>
      <c r="CG7" s="50">
        <v>67.95</v>
      </c>
      <c r="CH7" s="50">
        <v>69.77</v>
      </c>
      <c r="CI7" s="50">
        <v>70.95</v>
      </c>
      <c r="CJ7" s="50">
        <v>70.099999999999994</v>
      </c>
      <c r="CK7" s="50">
        <v>68.75</v>
      </c>
      <c r="CL7" s="46">
        <v>67.5</v>
      </c>
      <c r="CM7" s="46">
        <v>66.58</v>
      </c>
      <c r="CN7" s="46">
        <v>67.03</v>
      </c>
      <c r="CO7" s="46">
        <v>66.52</v>
      </c>
      <c r="CP7" s="46">
        <v>74.162000000000006</v>
      </c>
      <c r="CQ7" s="46">
        <v>67.621465930757452</v>
      </c>
      <c r="CR7" s="46">
        <v>68.015153579793093</v>
      </c>
      <c r="CS7" s="46">
        <v>69.901770337746854</v>
      </c>
      <c r="CT7" s="46">
        <v>69.083785246121522</v>
      </c>
      <c r="CU7" s="46">
        <v>68.509426016998361</v>
      </c>
      <c r="CV7" s="46">
        <v>69.996160890346346</v>
      </c>
      <c r="CW7" s="46">
        <v>66.909526631273181</v>
      </c>
      <c r="CX7" s="46">
        <v>67.264028800817499</v>
      </c>
      <c r="CY7" s="46">
        <v>66.332525645814272</v>
      </c>
      <c r="CZ7" s="46">
        <v>64.215241661898332</v>
      </c>
      <c r="DA7" s="46">
        <v>64.096356697877539</v>
      </c>
      <c r="DB7" s="46">
        <v>65.064923392718725</v>
      </c>
      <c r="DC7" s="46">
        <v>65.514984532269622</v>
      </c>
      <c r="DD7" s="46">
        <v>62.609482794946224</v>
      </c>
      <c r="DE7" s="46">
        <v>60.925183705943788</v>
      </c>
      <c r="DF7" s="46">
        <v>60.805336797674201</v>
      </c>
      <c r="DG7" s="46">
        <v>57.766111715162715</v>
      </c>
      <c r="DH7" s="46">
        <v>56.978143790512256</v>
      </c>
      <c r="DI7" s="46">
        <v>60.469953757124337</v>
      </c>
      <c r="DJ7" s="46">
        <v>60.776811663977739</v>
      </c>
      <c r="DK7" s="46">
        <v>58.417736942427155</v>
      </c>
      <c r="DL7" s="46">
        <v>56.970322258528853</v>
      </c>
      <c r="DM7" s="46">
        <v>54.647744322051103</v>
      </c>
      <c r="DN7" s="46">
        <v>56.436876067778485</v>
      </c>
      <c r="DO7" s="46">
        <v>57.51169353670614</v>
      </c>
      <c r="DP7" s="46">
        <v>56.436974802987415</v>
      </c>
      <c r="DQ7" s="46">
        <v>59.337635921788724</v>
      </c>
      <c r="DR7" s="46">
        <v>58.708532587011099</v>
      </c>
      <c r="DS7" s="46">
        <v>57.981841042910823</v>
      </c>
      <c r="DT7" s="46">
        <v>57.267521762874281</v>
      </c>
      <c r="DU7" s="46">
        <v>58.453915276575344</v>
      </c>
      <c r="DV7" s="46">
        <v>58.559244870373362</v>
      </c>
      <c r="DW7" s="46">
        <v>58.55820232609873</v>
      </c>
      <c r="DX7" s="46">
        <v>58.431138629502399</v>
      </c>
      <c r="DY7" s="46">
        <v>56.22528491220492</v>
      </c>
      <c r="DZ7" s="46">
        <v>52.989112348896327</v>
      </c>
      <c r="EA7" s="46">
        <v>51.85604770778842</v>
      </c>
      <c r="EB7" s="46">
        <v>47.221571906416195</v>
      </c>
      <c r="EC7" s="46">
        <v>50.014158464413903</v>
      </c>
      <c r="ED7" s="46">
        <v>50.409903941346613</v>
      </c>
      <c r="EE7" s="46">
        <v>49.914315470957582</v>
      </c>
      <c r="EF7" s="46">
        <v>49.837389293521611</v>
      </c>
      <c r="EG7" s="46">
        <v>49.299081949840065</v>
      </c>
      <c r="EH7" s="46">
        <v>49.786150536251107</v>
      </c>
      <c r="EI7" s="46">
        <v>51.347800238420724</v>
      </c>
      <c r="EJ7" s="46">
        <v>51.08716923012463</v>
      </c>
      <c r="EK7" s="46">
        <v>52.503314757371811</v>
      </c>
      <c r="EL7" s="46">
        <v>51.54664824967994</v>
      </c>
      <c r="EM7" s="46">
        <v>51.75824170232719</v>
      </c>
      <c r="EN7" s="46">
        <v>51.987331807788294</v>
      </c>
      <c r="EO7" s="46">
        <v>52.084141875639226</v>
      </c>
      <c r="EP7" s="46">
        <v>52.278968496050794</v>
      </c>
      <c r="EQ7" s="46">
        <v>52.124514593445383</v>
      </c>
      <c r="ER7" s="46">
        <v>51.169495620222129</v>
      </c>
      <c r="ES7" s="46">
        <v>54.180032315431234</v>
      </c>
      <c r="ET7" s="46">
        <v>55.02539100202879</v>
      </c>
      <c r="EU7" s="46">
        <v>59.454253902015317</v>
      </c>
      <c r="EV7" s="46">
        <v>56.837500000000006</v>
      </c>
      <c r="EW7" s="46">
        <v>56.959230769230771</v>
      </c>
      <c r="EX7" s="46">
        <v>56.67</v>
      </c>
      <c r="EY7" s="46">
        <v>56.9130769230769</v>
      </c>
      <c r="EZ7" s="46">
        <v>54.547692307692294</v>
      </c>
      <c r="FA7" s="46">
        <v>55.540769230769207</v>
      </c>
      <c r="FB7" s="46">
        <v>56.65</v>
      </c>
      <c r="FC7" s="46">
        <v>55.789999999999992</v>
      </c>
      <c r="FD7" s="46">
        <v>55.589999999999996</v>
      </c>
      <c r="FE7" s="46">
        <v>54.390000000000008</v>
      </c>
      <c r="FF7" s="46">
        <v>53.93</v>
      </c>
      <c r="FG7" s="46">
        <v>54.92</v>
      </c>
      <c r="FH7" s="46">
        <v>54.43</v>
      </c>
      <c r="FI7" s="46">
        <v>54.410000000000004</v>
      </c>
      <c r="FJ7" s="46">
        <v>54.500000000000007</v>
      </c>
      <c r="FK7" s="46">
        <v>54.83</v>
      </c>
      <c r="FL7" s="46">
        <v>54.49</v>
      </c>
      <c r="FM7" s="46">
        <v>54.84</v>
      </c>
      <c r="FN7" s="46">
        <v>55.33</v>
      </c>
      <c r="FO7" s="46">
        <v>54.179999999999993</v>
      </c>
      <c r="FP7" s="46">
        <v>54.64</v>
      </c>
      <c r="FQ7" s="46">
        <v>54.300000000000004</v>
      </c>
      <c r="FR7" s="46">
        <v>55.16</v>
      </c>
      <c r="FS7" s="46">
        <v>56.45</v>
      </c>
      <c r="FT7" s="46">
        <v>56.44</v>
      </c>
      <c r="FU7" s="46">
        <v>55.53</v>
      </c>
      <c r="FV7" s="46">
        <v>55.1</v>
      </c>
      <c r="FW7" s="46">
        <v>54.24</v>
      </c>
      <c r="FX7" s="46">
        <v>53.11</v>
      </c>
      <c r="FY7" s="46">
        <v>53.410000000000004</v>
      </c>
      <c r="FZ7" s="46">
        <v>54.400000000000006</v>
      </c>
      <c r="GA7" s="46">
        <v>54.010000000000005</v>
      </c>
      <c r="GB7" s="46">
        <v>54.21</v>
      </c>
      <c r="GC7" s="46">
        <v>52.7</v>
      </c>
      <c r="GD7" s="46">
        <v>52.5</v>
      </c>
      <c r="GE7" s="46">
        <v>52.89</v>
      </c>
      <c r="GF7" s="46">
        <v>52.769999999999996</v>
      </c>
      <c r="GG7" s="46">
        <v>52.53</v>
      </c>
      <c r="GH7" s="46">
        <v>52.15</v>
      </c>
      <c r="GI7" s="46">
        <v>51.300000000000004</v>
      </c>
      <c r="GJ7" s="46">
        <v>49.76</v>
      </c>
      <c r="GK7" s="46">
        <v>48.699999999999996</v>
      </c>
      <c r="GL7" s="46">
        <v>48.209999999999994</v>
      </c>
      <c r="GM7" s="46">
        <v>50.8</v>
      </c>
      <c r="GN7" s="46">
        <v>50.519999999999996</v>
      </c>
      <c r="GO7" s="46">
        <v>49.49</v>
      </c>
      <c r="GP7" s="46">
        <v>49.38</v>
      </c>
      <c r="GQ7" s="46">
        <v>51.93</v>
      </c>
      <c r="GR7" s="46">
        <v>51.570000000000007</v>
      </c>
      <c r="GS7" s="46">
        <v>52.480000000000004</v>
      </c>
      <c r="GT7" s="46">
        <v>52.959999999999994</v>
      </c>
      <c r="GU7" s="46">
        <v>53.74</v>
      </c>
      <c r="GV7" s="46">
        <v>51.76</v>
      </c>
      <c r="GW7" s="46">
        <v>53.010000000000005</v>
      </c>
      <c r="GX7" s="46">
        <v>52.66</v>
      </c>
      <c r="GY7" s="46">
        <v>52.49</v>
      </c>
      <c r="GZ7" s="46">
        <v>52.410000000000004</v>
      </c>
      <c r="HA7" s="46">
        <v>52.93</v>
      </c>
      <c r="HB7" s="46">
        <v>53.43</v>
      </c>
      <c r="HC7" s="47">
        <v>53.53</v>
      </c>
      <c r="HD7" s="46">
        <v>54.63</v>
      </c>
      <c r="HE7" s="46">
        <v>54.31</v>
      </c>
      <c r="HF7" s="47">
        <v>54.66</v>
      </c>
      <c r="HG7" s="46">
        <v>54.620000000000005</v>
      </c>
      <c r="HH7" s="46">
        <v>55.74</v>
      </c>
      <c r="HI7" s="46">
        <v>55.46</v>
      </c>
      <c r="HJ7" s="46">
        <v>55.279999999999994</v>
      </c>
      <c r="HK7" s="46">
        <v>55.510000000000005</v>
      </c>
      <c r="HL7" s="46">
        <v>55.46</v>
      </c>
      <c r="HM7" s="46">
        <v>55.900000000000006</v>
      </c>
      <c r="HN7" s="46">
        <v>56.06</v>
      </c>
      <c r="HO7" s="46">
        <v>56.64</v>
      </c>
      <c r="HP7" s="46">
        <v>56.06</v>
      </c>
      <c r="HQ7" s="46">
        <v>57.589999999999996</v>
      </c>
      <c r="HR7" s="46">
        <v>59.040000000000006</v>
      </c>
      <c r="HS7" s="46">
        <v>58.89</v>
      </c>
      <c r="HT7" s="46">
        <v>59.8</v>
      </c>
      <c r="HU7" s="46">
        <v>59.06</v>
      </c>
      <c r="HV7" s="46">
        <v>58.96</v>
      </c>
      <c r="HW7" s="46">
        <v>59.29</v>
      </c>
      <c r="HX7" s="46">
        <v>60.050000000000004</v>
      </c>
      <c r="HY7" s="46">
        <v>59.540000000000006</v>
      </c>
      <c r="HZ7" s="46">
        <v>59.89</v>
      </c>
      <c r="IA7" s="46">
        <v>60.480000000000004</v>
      </c>
      <c r="IB7" s="46">
        <v>57.9</v>
      </c>
      <c r="IC7" s="46">
        <v>57.85</v>
      </c>
      <c r="ID7" s="46">
        <v>59.330000000000005</v>
      </c>
      <c r="IE7" s="46">
        <v>58.919999999999995</v>
      </c>
      <c r="IF7" s="46">
        <v>58.199999999999996</v>
      </c>
      <c r="IG7" s="46">
        <v>57.24</v>
      </c>
      <c r="IH7" s="46">
        <v>55.589999999999996</v>
      </c>
      <c r="II7" s="46">
        <v>55.75</v>
      </c>
      <c r="IJ7" s="46">
        <v>55.21</v>
      </c>
      <c r="IK7" s="46">
        <v>56.66</v>
      </c>
      <c r="IL7" s="46">
        <v>57.68</v>
      </c>
      <c r="IM7" s="46">
        <v>57.09</v>
      </c>
      <c r="IN7" s="46">
        <v>56.84</v>
      </c>
      <c r="IO7" s="46">
        <v>57.033000000000001</v>
      </c>
      <c r="IP7" s="46">
        <v>57.410000000000004</v>
      </c>
      <c r="IQ7" s="46">
        <v>57.69</v>
      </c>
      <c r="IR7" s="46">
        <v>57.06</v>
      </c>
      <c r="IS7" s="46">
        <v>55.779999999999994</v>
      </c>
    </row>
    <row r="8" spans="1:253" ht="21" customHeight="1" x14ac:dyDescent="0.3">
      <c r="A8" s="48" t="s">
        <v>20</v>
      </c>
      <c r="B8" s="46">
        <v>23.05</v>
      </c>
      <c r="C8" s="46">
        <v>23.86</v>
      </c>
      <c r="D8" s="46">
        <v>24.71</v>
      </c>
      <c r="E8" s="46">
        <v>25.31</v>
      </c>
      <c r="F8" s="46">
        <v>25.07</v>
      </c>
      <c r="G8" s="46">
        <v>25.44</v>
      </c>
      <c r="H8" s="46">
        <v>24.65</v>
      </c>
      <c r="I8" s="46">
        <v>24.4</v>
      </c>
      <c r="J8" s="46">
        <v>24.37</v>
      </c>
      <c r="K8" s="46">
        <v>24.87</v>
      </c>
      <c r="L8" s="46">
        <v>24.09</v>
      </c>
      <c r="M8" s="46">
        <v>23.88</v>
      </c>
      <c r="N8" s="46">
        <v>23.26</v>
      </c>
      <c r="O8" s="46">
        <v>23.22</v>
      </c>
      <c r="P8" s="46">
        <v>23.6</v>
      </c>
      <c r="Q8" s="46">
        <v>24.66</v>
      </c>
      <c r="R8" s="46">
        <v>24.82</v>
      </c>
      <c r="S8" s="46">
        <v>25.17</v>
      </c>
      <c r="T8" s="46">
        <v>26.15</v>
      </c>
      <c r="U8" s="46">
        <v>26.51</v>
      </c>
      <c r="V8" s="46">
        <v>25.98</v>
      </c>
      <c r="W8" s="46">
        <v>25.21</v>
      </c>
      <c r="X8" s="46">
        <v>24.75</v>
      </c>
      <c r="Y8" s="46">
        <v>23.83</v>
      </c>
      <c r="Z8" s="46">
        <v>25.83</v>
      </c>
      <c r="AA8" s="46">
        <v>25.41</v>
      </c>
      <c r="AB8" s="46">
        <v>25.96</v>
      </c>
      <c r="AC8" s="46">
        <v>26.24</v>
      </c>
      <c r="AD8" s="46">
        <v>25.55</v>
      </c>
      <c r="AE8" s="46">
        <v>26.25</v>
      </c>
      <c r="AF8" s="46">
        <v>26.03</v>
      </c>
      <c r="AG8" s="46">
        <v>27.15</v>
      </c>
      <c r="AH8" s="46">
        <v>27.88</v>
      </c>
      <c r="AI8" s="46">
        <v>27.79</v>
      </c>
      <c r="AJ8" s="46">
        <v>27.89</v>
      </c>
      <c r="AK8" s="46">
        <v>27.36</v>
      </c>
      <c r="AL8" s="46">
        <v>27.78</v>
      </c>
      <c r="AM8" s="46">
        <v>27.29</v>
      </c>
      <c r="AN8" s="46">
        <v>26.92</v>
      </c>
      <c r="AO8" s="46">
        <v>26.67</v>
      </c>
      <c r="AP8" s="46">
        <v>27.01</v>
      </c>
      <c r="AQ8" s="46">
        <v>27.02</v>
      </c>
      <c r="AR8" s="46">
        <v>26.48</v>
      </c>
      <c r="AS8" s="46">
        <v>25.83</v>
      </c>
      <c r="AT8" s="46">
        <v>26.37</v>
      </c>
      <c r="AU8" s="46">
        <v>26.32</v>
      </c>
      <c r="AV8" s="46">
        <v>26.66</v>
      </c>
      <c r="AW8" s="46">
        <v>26.52</v>
      </c>
      <c r="AX8" s="46">
        <v>27.26</v>
      </c>
      <c r="AY8" s="46">
        <v>27.8</v>
      </c>
      <c r="AZ8" s="46">
        <v>27.19</v>
      </c>
      <c r="BA8" s="46">
        <v>27.76</v>
      </c>
      <c r="BB8" s="46">
        <v>28.02</v>
      </c>
      <c r="BC8" s="46">
        <v>28.11</v>
      </c>
      <c r="BD8" s="46">
        <v>28.6</v>
      </c>
      <c r="BE8" s="46">
        <v>29.37</v>
      </c>
      <c r="BF8" s="46">
        <v>28.84</v>
      </c>
      <c r="BG8" s="46">
        <v>28.25</v>
      </c>
      <c r="BH8" s="46">
        <v>28.58</v>
      </c>
      <c r="BI8" s="46">
        <v>28.46</v>
      </c>
      <c r="BJ8" s="46">
        <v>27.4</v>
      </c>
      <c r="BK8" s="46">
        <v>26.4</v>
      </c>
      <c r="BL8" s="46">
        <v>26.07</v>
      </c>
      <c r="BM8" s="46">
        <v>26.84</v>
      </c>
      <c r="BN8" s="46">
        <v>27.363700000000001</v>
      </c>
      <c r="BO8" s="46">
        <v>27.070799999999998</v>
      </c>
      <c r="BP8" s="46">
        <v>27.028600000000001</v>
      </c>
      <c r="BQ8" s="46">
        <v>27.75</v>
      </c>
      <c r="BR8" s="46">
        <v>26.030200000000001</v>
      </c>
      <c r="BS8" s="46">
        <v>27.543900000000001</v>
      </c>
      <c r="BT8" s="46">
        <v>26.832599999999999</v>
      </c>
      <c r="BU8" s="46">
        <v>26.9102</v>
      </c>
      <c r="BV8" s="46">
        <v>25.618500000000001</v>
      </c>
      <c r="BW8" s="46">
        <v>26.8565</v>
      </c>
      <c r="BX8" s="46">
        <v>26.243600000000001</v>
      </c>
      <c r="BY8" s="46">
        <v>25.290500000000002</v>
      </c>
      <c r="BZ8" s="46">
        <v>26.493600000000001</v>
      </c>
      <c r="CA8" s="46">
        <v>27.8292</v>
      </c>
      <c r="CB8" s="46">
        <v>33.240400000000001</v>
      </c>
      <c r="CC8" s="46">
        <v>34.240400000000001</v>
      </c>
      <c r="CD8" s="46">
        <v>36.168199999999999</v>
      </c>
      <c r="CE8" s="46">
        <v>37.496499999999997</v>
      </c>
      <c r="CF8" s="46">
        <v>35.847799999999999</v>
      </c>
      <c r="CG8" s="46">
        <v>34.9191</v>
      </c>
      <c r="CH8" s="46">
        <v>35.516800000000003</v>
      </c>
      <c r="CI8" s="46">
        <v>34.719099999999997</v>
      </c>
      <c r="CJ8" s="46">
        <v>34.7348</v>
      </c>
      <c r="CK8" s="46">
        <v>34.563699999999997</v>
      </c>
      <c r="CL8" s="46">
        <v>35.354500000000002</v>
      </c>
      <c r="CM8" s="46">
        <v>35.363900000000001</v>
      </c>
      <c r="CN8" s="46">
        <v>34.321399999999997</v>
      </c>
      <c r="CO8" s="46">
        <v>35.4818</v>
      </c>
      <c r="CP8" s="46">
        <v>37.631</v>
      </c>
      <c r="CQ8" s="46">
        <v>36.192216935872509</v>
      </c>
      <c r="CR8" s="46">
        <v>37.821877308377502</v>
      </c>
      <c r="CS8" s="46">
        <v>37.219917508368873</v>
      </c>
      <c r="CT8" s="46">
        <v>38.030318317742591</v>
      </c>
      <c r="CU8" s="46">
        <v>37.397090542433666</v>
      </c>
      <c r="CV8" s="46">
        <v>38.398233090495204</v>
      </c>
      <c r="CW8" s="46">
        <v>37.330712340682318</v>
      </c>
      <c r="CX8" s="46">
        <v>37.162393104391363</v>
      </c>
      <c r="CY8" s="46">
        <v>35.747713129363255</v>
      </c>
      <c r="CZ8" s="46">
        <v>34.869090701984298</v>
      </c>
      <c r="DA8" s="46">
        <v>35.450514349747344</v>
      </c>
      <c r="DB8" s="46">
        <v>36.120491087199873</v>
      </c>
      <c r="DC8" s="46">
        <v>37.154141270855305</v>
      </c>
      <c r="DD8" s="46">
        <v>37.349127179501671</v>
      </c>
      <c r="DE8" s="46">
        <v>38.851794048499187</v>
      </c>
      <c r="DF8" s="46">
        <v>37.451097051576163</v>
      </c>
      <c r="DG8" s="46">
        <v>38.436976986220429</v>
      </c>
      <c r="DH8" s="46">
        <v>38.923089766284477</v>
      </c>
      <c r="DI8" s="46">
        <v>39.202769408927452</v>
      </c>
      <c r="DJ8" s="46">
        <v>36.854965424509523</v>
      </c>
      <c r="DK8" s="46">
        <v>36.236119514273106</v>
      </c>
      <c r="DL8" s="46">
        <v>37.138350371748196</v>
      </c>
      <c r="DM8" s="46">
        <v>38.936352352371884</v>
      </c>
      <c r="DN8" s="46">
        <v>39.920747363666543</v>
      </c>
      <c r="DO8" s="46">
        <v>40.605514524767266</v>
      </c>
      <c r="DP8" s="46">
        <v>39.877171772575444</v>
      </c>
      <c r="DQ8" s="46">
        <v>40.135376081692662</v>
      </c>
      <c r="DR8" s="46">
        <v>39.767120968869634</v>
      </c>
      <c r="DS8" s="46">
        <v>38.236477661312456</v>
      </c>
      <c r="DT8" s="46">
        <v>36.266761483454907</v>
      </c>
      <c r="DU8" s="46">
        <v>34.07411397709302</v>
      </c>
      <c r="DV8" s="46">
        <v>33.970538491751711</v>
      </c>
      <c r="DW8" s="46">
        <v>33.697482595387164</v>
      </c>
      <c r="DX8" s="46">
        <v>32.230965810489437</v>
      </c>
      <c r="DY8" s="46">
        <v>31.388335783391476</v>
      </c>
      <c r="DZ8" s="46">
        <v>31.92442258285098</v>
      </c>
      <c r="EA8" s="46">
        <v>32.110977551623179</v>
      </c>
      <c r="EB8" s="46">
        <v>32.027660234362443</v>
      </c>
      <c r="EC8" s="46">
        <v>31.884550718549914</v>
      </c>
      <c r="ED8" s="46">
        <v>31.347868020467789</v>
      </c>
      <c r="EE8" s="46">
        <v>30.27992693005519</v>
      </c>
      <c r="EF8" s="46">
        <v>29.302344743655862</v>
      </c>
      <c r="EG8" s="46">
        <v>30.1024054923767</v>
      </c>
      <c r="EH8" s="46">
        <v>30.254649525692013</v>
      </c>
      <c r="EI8" s="46">
        <v>30.114528189356157</v>
      </c>
      <c r="EJ8" s="46">
        <v>29.979010822972629</v>
      </c>
      <c r="EK8" s="46">
        <v>30.401556704455686</v>
      </c>
      <c r="EL8" s="46">
        <v>30.473484408435827</v>
      </c>
      <c r="EM8" s="46">
        <v>30.239180374258986</v>
      </c>
      <c r="EN8" s="46">
        <v>30.220516284028687</v>
      </c>
      <c r="EO8" s="46">
        <v>29.244391751543585</v>
      </c>
      <c r="EP8" s="46">
        <v>29.131282976020845</v>
      </c>
      <c r="EQ8" s="46">
        <v>27.189367636533095</v>
      </c>
      <c r="ER8" s="46">
        <v>27.052096734483751</v>
      </c>
      <c r="ES8" s="46">
        <v>28.263223244574245</v>
      </c>
      <c r="ET8" s="46">
        <v>28.452828945854574</v>
      </c>
      <c r="EU8" s="46">
        <v>30.898646839001891</v>
      </c>
      <c r="EV8" s="46">
        <v>30.2958</v>
      </c>
      <c r="EW8" s="46">
        <v>29.172507142857143</v>
      </c>
      <c r="EX8" s="46">
        <v>29.384114285714301</v>
      </c>
      <c r="EY8" s="46">
        <v>29.230035714285702</v>
      </c>
      <c r="EZ8" s="46">
        <v>29.7573857142857</v>
      </c>
      <c r="FA8" s="46">
        <v>30.322835714285699</v>
      </c>
      <c r="FB8" s="46">
        <v>30.3886</v>
      </c>
      <c r="FC8" s="46">
        <v>30.203600000000002</v>
      </c>
      <c r="FD8" s="46">
        <v>30.495799999999999</v>
      </c>
      <c r="FE8" s="46">
        <v>30.7272</v>
      </c>
      <c r="FF8" s="46">
        <v>32.443199999999997</v>
      </c>
      <c r="FG8" s="46">
        <v>32.218899999999998</v>
      </c>
      <c r="FH8" s="46">
        <v>33.5443</v>
      </c>
      <c r="FI8" s="46">
        <v>32.682299999999998</v>
      </c>
      <c r="FJ8" s="46">
        <v>35.639299999999999</v>
      </c>
      <c r="FK8" s="46">
        <v>35.415900000000001</v>
      </c>
      <c r="FL8" s="46">
        <v>35.313099999999999</v>
      </c>
      <c r="FM8" s="46">
        <v>36.005099999999999</v>
      </c>
      <c r="FN8" s="46">
        <v>35.028599999999997</v>
      </c>
      <c r="FO8" s="46">
        <v>32.769500000000001</v>
      </c>
      <c r="FP8" s="46">
        <v>31.680399999999999</v>
      </c>
      <c r="FQ8" s="46">
        <v>32.275399999999998</v>
      </c>
      <c r="FR8" s="46">
        <v>32.506799999999998</v>
      </c>
      <c r="FS8" s="46">
        <v>32.517400000000002</v>
      </c>
      <c r="FT8" s="46">
        <v>32.482399999999998</v>
      </c>
      <c r="FU8" s="46">
        <v>32.203600000000002</v>
      </c>
      <c r="FV8" s="46">
        <v>31.680399999999999</v>
      </c>
      <c r="FW8" s="46">
        <v>31.308199999999999</v>
      </c>
      <c r="FX8" s="46">
        <v>30.5946</v>
      </c>
      <c r="FY8" s="46">
        <v>30.828800000000001</v>
      </c>
      <c r="FZ8" s="46">
        <v>31.016100000000002</v>
      </c>
      <c r="GA8" s="46">
        <v>30.957000000000001</v>
      </c>
      <c r="GB8" s="46">
        <v>30.5686</v>
      </c>
      <c r="GC8" s="46">
        <v>30.732399999999998</v>
      </c>
      <c r="GD8" s="46">
        <v>31.609200000000001</v>
      </c>
      <c r="GE8" s="46">
        <v>32.191800000000001</v>
      </c>
      <c r="GF8" s="46">
        <v>32.018500000000003</v>
      </c>
      <c r="GG8" s="46">
        <v>32.4041</v>
      </c>
      <c r="GH8" s="46">
        <v>32.023299999999999</v>
      </c>
      <c r="GI8" s="46">
        <v>31.444900000000001</v>
      </c>
      <c r="GJ8" s="46">
        <v>31.557300000000001</v>
      </c>
      <c r="GK8" s="46">
        <v>30.891100000000002</v>
      </c>
      <c r="GL8" s="46">
        <v>31.264600000000002</v>
      </c>
      <c r="GM8" s="46">
        <v>30.989899999999999</v>
      </c>
      <c r="GN8" s="46">
        <v>31.7242</v>
      </c>
      <c r="GO8" s="46">
        <v>32.031999999999996</v>
      </c>
      <c r="GP8" s="46">
        <v>31.407499999999999</v>
      </c>
      <c r="GQ8" s="46">
        <v>32.137900000000002</v>
      </c>
      <c r="GR8" s="46">
        <v>32.058500000000002</v>
      </c>
      <c r="GS8" s="46">
        <v>33.3035</v>
      </c>
      <c r="GT8" s="46">
        <v>33.652500000000003</v>
      </c>
      <c r="GU8" s="46">
        <v>33.893599999999999</v>
      </c>
      <c r="GV8" s="46">
        <v>34.637999999999998</v>
      </c>
      <c r="GW8" s="46">
        <v>34.439</v>
      </c>
      <c r="GX8" s="46">
        <v>34.009399999999999</v>
      </c>
      <c r="GY8" s="46">
        <v>34.102499999999999</v>
      </c>
      <c r="GZ8" s="46">
        <v>34.089599999999997</v>
      </c>
      <c r="HA8" s="46">
        <v>34.3461</v>
      </c>
      <c r="HB8" s="46">
        <v>34.949300000000001</v>
      </c>
      <c r="HC8" s="47">
        <v>36.931399999999996</v>
      </c>
      <c r="HD8" s="46">
        <v>38.290100000000002</v>
      </c>
      <c r="HE8" s="46">
        <v>37.967700000000001</v>
      </c>
      <c r="HF8" s="47">
        <v>37.967199999999998</v>
      </c>
      <c r="HG8" s="46">
        <v>38.886600000000001</v>
      </c>
      <c r="HH8" s="46">
        <v>38.319800000000001</v>
      </c>
      <c r="HI8" s="46">
        <v>38.475099999999998</v>
      </c>
      <c r="HJ8" s="46">
        <v>39.052700000000002</v>
      </c>
      <c r="HK8" s="46">
        <v>39.104700000000001</v>
      </c>
      <c r="HL8" s="46">
        <v>38.894100000000002</v>
      </c>
      <c r="HM8" s="46">
        <v>38.6203</v>
      </c>
      <c r="HN8" s="46">
        <v>38.171199999999999</v>
      </c>
      <c r="HO8" s="46">
        <v>37.189599999999999</v>
      </c>
      <c r="HP8" s="46">
        <v>37.755699999999997</v>
      </c>
      <c r="HQ8" s="46">
        <v>37.634099999999997</v>
      </c>
      <c r="HR8" s="46">
        <v>39.2714</v>
      </c>
      <c r="HS8" s="46">
        <v>39.5946</v>
      </c>
      <c r="HT8" s="46">
        <v>39.430700000000002</v>
      </c>
      <c r="HU8" s="46">
        <v>38.792299999999997</v>
      </c>
      <c r="HV8" s="46">
        <v>38.364100000000001</v>
      </c>
      <c r="HW8" s="46">
        <v>38.718400000000003</v>
      </c>
      <c r="HX8" s="46">
        <v>38.4161</v>
      </c>
      <c r="HY8" s="46">
        <v>38.221800000000002</v>
      </c>
      <c r="HZ8" s="46">
        <v>38.748899999999999</v>
      </c>
      <c r="IA8" s="46">
        <v>37.011699999999998</v>
      </c>
      <c r="IB8" s="46">
        <v>33.562600000000003</v>
      </c>
      <c r="IC8" s="46">
        <v>34.593000000000004</v>
      </c>
      <c r="ID8" s="46">
        <v>33.855400000000003</v>
      </c>
      <c r="IE8" s="46">
        <v>34.6387</v>
      </c>
      <c r="IF8" s="46">
        <v>32.945999999999998</v>
      </c>
      <c r="IG8" s="46">
        <v>31.838999999999999</v>
      </c>
      <c r="IH8" s="46">
        <v>30.330500000000001</v>
      </c>
      <c r="II8" s="46">
        <v>32.223700000000001</v>
      </c>
      <c r="IJ8" s="46">
        <v>33.787500000000001</v>
      </c>
      <c r="IK8" s="46">
        <v>35.110599999999998</v>
      </c>
      <c r="IL8" s="46">
        <v>34.7483</v>
      </c>
      <c r="IM8" s="46">
        <v>34.926499999999997</v>
      </c>
      <c r="IN8" s="46">
        <v>34.081899999999997</v>
      </c>
      <c r="IO8" s="46">
        <v>33.325099999999999</v>
      </c>
      <c r="IP8" s="46">
        <v>32.148499999999999</v>
      </c>
      <c r="IQ8" s="46">
        <v>32.927999999999997</v>
      </c>
      <c r="IR8" s="46">
        <v>31.818000000000001</v>
      </c>
      <c r="IS8" s="46">
        <v>30.464300000000001</v>
      </c>
    </row>
    <row r="9" spans="1:253" ht="21" customHeight="1" x14ac:dyDescent="0.3">
      <c r="A9" s="48" t="s">
        <v>19</v>
      </c>
      <c r="B9" s="46">
        <v>39.5</v>
      </c>
      <c r="C9" s="46">
        <v>39.53</v>
      </c>
      <c r="D9" s="46">
        <v>39.369999999999997</v>
      </c>
      <c r="E9" s="46">
        <v>38.880000000000003</v>
      </c>
      <c r="F9" s="46">
        <v>38.69</v>
      </c>
      <c r="G9" s="46">
        <v>38.61</v>
      </c>
      <c r="H9" s="46">
        <v>38.42</v>
      </c>
      <c r="I9" s="46">
        <v>38.11</v>
      </c>
      <c r="J9" s="46">
        <v>37.68</v>
      </c>
      <c r="K9" s="46">
        <v>38.72</v>
      </c>
      <c r="L9" s="46">
        <v>37.39</v>
      </c>
      <c r="M9" s="46">
        <v>37.200000000000003</v>
      </c>
      <c r="N9" s="46">
        <v>36.71</v>
      </c>
      <c r="O9" s="46">
        <v>37.770000000000003</v>
      </c>
      <c r="P9" s="46">
        <v>39.159999999999997</v>
      </c>
      <c r="Q9" s="46">
        <v>40.520000000000003</v>
      </c>
      <c r="R9" s="46">
        <v>40.22</v>
      </c>
      <c r="S9" s="46">
        <v>39.08</v>
      </c>
      <c r="T9" s="46">
        <v>37.67</v>
      </c>
      <c r="U9" s="46">
        <v>37.450000000000003</v>
      </c>
      <c r="V9" s="46">
        <v>37.92</v>
      </c>
      <c r="W9" s="46">
        <v>35.92</v>
      </c>
      <c r="X9" s="46">
        <v>35.01</v>
      </c>
      <c r="Y9" s="46">
        <v>34.89</v>
      </c>
      <c r="Z9" s="46">
        <v>35.369999999999997</v>
      </c>
      <c r="AA9" s="46">
        <v>36.479999999999997</v>
      </c>
      <c r="AB9" s="46">
        <v>36.630000000000003</v>
      </c>
      <c r="AC9" s="46">
        <v>36.6</v>
      </c>
      <c r="AD9" s="46">
        <v>36.32</v>
      </c>
      <c r="AE9" s="46">
        <v>36.69</v>
      </c>
      <c r="AF9" s="46">
        <v>36.270000000000003</v>
      </c>
      <c r="AG9" s="46">
        <v>36.159999999999997</v>
      </c>
      <c r="AH9" s="46">
        <v>36.06</v>
      </c>
      <c r="AI9" s="46">
        <v>37.68</v>
      </c>
      <c r="AJ9" s="46">
        <v>38.229999999999997</v>
      </c>
      <c r="AK9" s="46">
        <v>39.9</v>
      </c>
      <c r="AL9" s="46">
        <v>39.07</v>
      </c>
      <c r="AM9" s="46">
        <v>39.06</v>
      </c>
      <c r="AN9" s="46">
        <v>39.67</v>
      </c>
      <c r="AO9" s="46">
        <v>40.1</v>
      </c>
      <c r="AP9" s="46">
        <v>40.44</v>
      </c>
      <c r="AQ9" s="46">
        <v>41.97</v>
      </c>
      <c r="AR9" s="46">
        <v>42.34</v>
      </c>
      <c r="AS9" s="46">
        <v>42.2</v>
      </c>
      <c r="AT9" s="46">
        <v>43.46</v>
      </c>
      <c r="AU9" s="46">
        <v>43.72</v>
      </c>
      <c r="AV9" s="46">
        <v>43.05</v>
      </c>
      <c r="AW9" s="46">
        <v>44.19</v>
      </c>
      <c r="AX9" s="46">
        <v>44.69</v>
      </c>
      <c r="AY9" s="46">
        <v>43.96</v>
      </c>
      <c r="AZ9" s="46">
        <v>43.06</v>
      </c>
      <c r="BA9" s="46">
        <v>43.77</v>
      </c>
      <c r="BB9" s="46">
        <v>46.09</v>
      </c>
      <c r="BC9" s="46">
        <v>46.26</v>
      </c>
      <c r="BD9" s="46">
        <v>46.86</v>
      </c>
      <c r="BE9" s="46">
        <v>48.75</v>
      </c>
      <c r="BF9" s="46">
        <v>49.24</v>
      </c>
      <c r="BG9" s="46">
        <v>48.73</v>
      </c>
      <c r="BH9" s="46">
        <v>48.8</v>
      </c>
      <c r="BI9" s="46">
        <v>48.86</v>
      </c>
      <c r="BJ9" s="46">
        <v>48.2</v>
      </c>
      <c r="BK9" s="46">
        <v>48.52</v>
      </c>
      <c r="BL9" s="46">
        <v>49.31</v>
      </c>
      <c r="BM9" s="46">
        <v>47.73</v>
      </c>
      <c r="BN9" s="46">
        <v>48.086100000000002</v>
      </c>
      <c r="BO9" s="46">
        <v>46.983499999999999</v>
      </c>
      <c r="BP9" s="46">
        <v>46.712400000000002</v>
      </c>
      <c r="BQ9" s="46">
        <v>48.061999999999998</v>
      </c>
      <c r="BR9" s="46">
        <v>46.351199999999999</v>
      </c>
      <c r="BS9" s="46">
        <v>42.833500000000001</v>
      </c>
      <c r="BT9" s="46">
        <v>41.456099999999999</v>
      </c>
      <c r="BU9" s="46">
        <v>43.562100000000001</v>
      </c>
      <c r="BV9" s="46">
        <v>43.444899999999997</v>
      </c>
      <c r="BW9" s="46">
        <v>46.621499999999997</v>
      </c>
      <c r="BX9" s="46">
        <v>43.881500000000003</v>
      </c>
      <c r="BY9" s="46">
        <v>41.286200000000001</v>
      </c>
      <c r="BZ9" s="46">
        <v>42.832299999999996</v>
      </c>
      <c r="CA9" s="46">
        <v>40.188099999999999</v>
      </c>
      <c r="CB9" s="46">
        <v>41.925800000000002</v>
      </c>
      <c r="CC9" s="46">
        <v>42.5319</v>
      </c>
      <c r="CD9" s="46">
        <v>42.685299999999998</v>
      </c>
      <c r="CE9" s="46">
        <v>42.953899999999997</v>
      </c>
      <c r="CF9" s="46">
        <v>44.591799999999999</v>
      </c>
      <c r="CG9" s="46">
        <v>43.173200000000001</v>
      </c>
      <c r="CH9" s="46">
        <v>44.6023</v>
      </c>
      <c r="CI9" s="46">
        <v>43.169600000000003</v>
      </c>
      <c r="CJ9" s="46">
        <v>43.700699999999998</v>
      </c>
      <c r="CK9" s="46">
        <v>43.552500000000002</v>
      </c>
      <c r="CL9" s="46">
        <v>43.598599999999998</v>
      </c>
      <c r="CM9" s="46">
        <v>42.632599999999996</v>
      </c>
      <c r="CN9" s="46">
        <v>42.175199999999997</v>
      </c>
      <c r="CO9" s="46">
        <v>41.384399999999999</v>
      </c>
      <c r="CP9" s="46">
        <v>43.67</v>
      </c>
      <c r="CQ9" s="46">
        <v>39.448201547168935</v>
      </c>
      <c r="CR9" s="46">
        <v>39.807171491282311</v>
      </c>
      <c r="CS9" s="46">
        <v>38.940702517048976</v>
      </c>
      <c r="CT9" s="46">
        <v>38.357676988847587</v>
      </c>
      <c r="CU9" s="46">
        <v>39.309670401978977</v>
      </c>
      <c r="CV9" s="46">
        <v>39.246129680337006</v>
      </c>
      <c r="CW9" s="46">
        <v>38.149468486249788</v>
      </c>
      <c r="CX9" s="46">
        <v>37.183644760024301</v>
      </c>
      <c r="CY9" s="46">
        <v>35.816256987951803</v>
      </c>
      <c r="CZ9" s="46">
        <v>34.477882160048139</v>
      </c>
      <c r="DA9" s="46">
        <v>33.865590774155997</v>
      </c>
      <c r="DB9" s="46">
        <v>32.66852165460282</v>
      </c>
      <c r="DC9" s="46">
        <v>31.954230491382464</v>
      </c>
      <c r="DD9" s="46">
        <v>30.867356745335403</v>
      </c>
      <c r="DE9" s="46">
        <v>30.221697560238344</v>
      </c>
      <c r="DF9" s="46">
        <v>30.178709401172526</v>
      </c>
      <c r="DG9" s="46">
        <v>33.62739457612939</v>
      </c>
      <c r="DH9" s="46">
        <v>35.734081954259914</v>
      </c>
      <c r="DI9" s="46">
        <v>35.48793805414352</v>
      </c>
      <c r="DJ9" s="46">
        <v>36.013985038337374</v>
      </c>
      <c r="DK9" s="46">
        <v>36.115987691686847</v>
      </c>
      <c r="DL9" s="46">
        <v>36.033456365461852</v>
      </c>
      <c r="DM9" s="46">
        <v>35.55844419374759</v>
      </c>
      <c r="DN9" s="46">
        <v>37.986345356006368</v>
      </c>
      <c r="DO9" s="46">
        <v>37.886444081551858</v>
      </c>
      <c r="DP9" s="46">
        <v>37.308728804994054</v>
      </c>
      <c r="DQ9" s="46">
        <v>36.717520231807505</v>
      </c>
      <c r="DR9" s="46">
        <v>37.432022630238933</v>
      </c>
      <c r="DS9" s="46">
        <v>36.767619413407822</v>
      </c>
      <c r="DT9" s="46">
        <v>36.517736578751105</v>
      </c>
      <c r="DU9" s="46">
        <v>35.514635228848817</v>
      </c>
      <c r="DV9" s="46">
        <v>36.574475718197725</v>
      </c>
      <c r="DW9" s="46">
        <v>37.291945083088955</v>
      </c>
      <c r="DX9" s="46">
        <v>37.914640898203594</v>
      </c>
      <c r="DY9" s="46">
        <v>37.485402302991581</v>
      </c>
      <c r="DZ9" s="46">
        <v>36.943646837407833</v>
      </c>
      <c r="EA9" s="46">
        <v>36.229906972916744</v>
      </c>
      <c r="EB9" s="46">
        <v>36.115347599771439</v>
      </c>
      <c r="EC9" s="46">
        <v>36.265731638744462</v>
      </c>
      <c r="ED9" s="46">
        <v>36.433260847058826</v>
      </c>
      <c r="EE9" s="46">
        <v>35.79830679178211</v>
      </c>
      <c r="EF9" s="46">
        <v>35.808276566125294</v>
      </c>
      <c r="EG9" s="46">
        <v>36.065237773776971</v>
      </c>
      <c r="EH9" s="46">
        <v>35.872774966760751</v>
      </c>
      <c r="EI9" s="46">
        <v>35.728443351112084</v>
      </c>
      <c r="EJ9" s="46">
        <v>35.500689623456935</v>
      </c>
      <c r="EK9" s="46">
        <v>35.38919677655678</v>
      </c>
      <c r="EL9" s="46">
        <v>35.485694226741309</v>
      </c>
      <c r="EM9" s="46">
        <v>35.611374769673148</v>
      </c>
      <c r="EN9" s="46">
        <v>35.700639656787608</v>
      </c>
      <c r="EO9" s="46">
        <v>35.993321870406305</v>
      </c>
      <c r="EP9" s="46">
        <v>36.000137087200514</v>
      </c>
      <c r="EQ9" s="46">
        <v>35.810162066397275</v>
      </c>
      <c r="ER9" s="46">
        <v>35.841276067364639</v>
      </c>
      <c r="ES9" s="46">
        <v>36.522306029154798</v>
      </c>
      <c r="ET9" s="46">
        <v>37.280387021659237</v>
      </c>
      <c r="EU9" s="46">
        <v>40.419455994428112</v>
      </c>
      <c r="EV9" s="46">
        <v>37.976633333333332</v>
      </c>
      <c r="EW9" s="46">
        <v>36.994566666666664</v>
      </c>
      <c r="EX9" s="46">
        <v>36.639416666666698</v>
      </c>
      <c r="EY9" s="46">
        <v>35.592550000000003</v>
      </c>
      <c r="EZ9" s="46">
        <v>34.777000000000001</v>
      </c>
      <c r="FA9" s="46">
        <v>34.794699999999999</v>
      </c>
      <c r="FB9" s="46">
        <v>36.288499999999999</v>
      </c>
      <c r="FC9" s="46">
        <v>36.440600000000003</v>
      </c>
      <c r="FD9" s="46">
        <v>36.009500000000003</v>
      </c>
      <c r="FE9" s="46">
        <v>36.143000000000001</v>
      </c>
      <c r="FF9" s="46">
        <v>36.311799999999998</v>
      </c>
      <c r="FG9" s="46">
        <v>35.845700000000001</v>
      </c>
      <c r="FH9" s="46">
        <v>35.8232</v>
      </c>
      <c r="FI9" s="46">
        <v>36.262</v>
      </c>
      <c r="FJ9" s="46">
        <v>36.349600000000002</v>
      </c>
      <c r="FK9" s="46">
        <v>36.191299999999998</v>
      </c>
      <c r="FL9" s="46">
        <v>35.980600000000003</v>
      </c>
      <c r="FM9" s="46">
        <v>36.078699999999998</v>
      </c>
      <c r="FN9" s="46">
        <v>36.220399999999998</v>
      </c>
      <c r="FO9" s="46">
        <v>36.327199999999998</v>
      </c>
      <c r="FP9" s="46">
        <v>36.166899999999998</v>
      </c>
      <c r="FQ9" s="46">
        <v>35.318600000000004</v>
      </c>
      <c r="FR9" s="46">
        <v>35.506399999999999</v>
      </c>
      <c r="FS9" s="46">
        <v>35.472099999999998</v>
      </c>
      <c r="FT9" s="46">
        <v>34.999699999999997</v>
      </c>
      <c r="FU9" s="46">
        <v>34.625500000000002</v>
      </c>
      <c r="FV9" s="46">
        <v>34.211799999999997</v>
      </c>
      <c r="FW9" s="46">
        <v>33.4512</v>
      </c>
      <c r="FX9" s="46">
        <v>32.945</v>
      </c>
      <c r="FY9" s="46">
        <v>33.762999999999998</v>
      </c>
      <c r="FZ9" s="46">
        <v>33.996600000000001</v>
      </c>
      <c r="GA9" s="46">
        <v>33.723799999999997</v>
      </c>
      <c r="GB9" s="46">
        <v>33.5077</v>
      </c>
      <c r="GC9" s="46">
        <v>32.832299999999996</v>
      </c>
      <c r="GD9" s="46">
        <v>33.509700000000002</v>
      </c>
      <c r="GE9" s="46">
        <v>34.056699999999999</v>
      </c>
      <c r="GF9" s="46">
        <v>34.950099999999999</v>
      </c>
      <c r="GG9" s="46">
        <v>34.860599999999998</v>
      </c>
      <c r="GH9" s="46">
        <v>35.224400000000003</v>
      </c>
      <c r="GI9" s="46">
        <v>34.923099999999998</v>
      </c>
      <c r="GJ9" s="46">
        <v>34.927799999999998</v>
      </c>
      <c r="GK9" s="46">
        <v>34.878500000000003</v>
      </c>
      <c r="GL9" s="46">
        <v>34.901499999999999</v>
      </c>
      <c r="GM9" s="46">
        <v>34.420099999999998</v>
      </c>
      <c r="GN9" s="46">
        <v>34.543500000000002</v>
      </c>
      <c r="GO9" s="46">
        <v>34.7044</v>
      </c>
      <c r="GP9" s="46">
        <v>34.902299999999997</v>
      </c>
      <c r="GQ9" s="46">
        <v>35.454799999999999</v>
      </c>
      <c r="GR9" s="46">
        <v>35.390300000000003</v>
      </c>
      <c r="GS9" s="46">
        <v>36.011299999999999</v>
      </c>
      <c r="GT9" s="46">
        <v>35.581099999999999</v>
      </c>
      <c r="GU9" s="46">
        <v>35.438299999999998</v>
      </c>
      <c r="GV9" s="46">
        <v>35.729500000000002</v>
      </c>
      <c r="GW9" s="46">
        <v>35.8949</v>
      </c>
      <c r="GX9" s="46">
        <v>35.934199999999997</v>
      </c>
      <c r="GY9" s="46">
        <v>36.470500000000001</v>
      </c>
      <c r="GZ9" s="46">
        <v>36.669600000000003</v>
      </c>
      <c r="HA9" s="46">
        <v>37.376800000000003</v>
      </c>
      <c r="HB9" s="46">
        <v>37.795699999999997</v>
      </c>
      <c r="HC9" s="47">
        <v>38.32</v>
      </c>
      <c r="HD9" s="46">
        <v>38.1419</v>
      </c>
      <c r="HE9" s="46">
        <v>38.218000000000004</v>
      </c>
      <c r="HF9" s="47">
        <v>38.493299999999998</v>
      </c>
      <c r="HG9" s="46">
        <v>37.824399999999997</v>
      </c>
      <c r="HH9" s="46">
        <v>37.554299999999998</v>
      </c>
      <c r="HI9" s="46">
        <v>37.569299999999998</v>
      </c>
      <c r="HJ9" s="46">
        <v>37.593800000000002</v>
      </c>
      <c r="HK9" s="46">
        <v>37.037700000000001</v>
      </c>
      <c r="HL9" s="46">
        <v>36.859099999999998</v>
      </c>
      <c r="HM9" s="46">
        <v>36.767299999999999</v>
      </c>
      <c r="HN9" s="46">
        <v>37.0261</v>
      </c>
      <c r="HO9" s="46">
        <v>37.728200000000001</v>
      </c>
      <c r="HP9" s="46">
        <v>38.241199999999999</v>
      </c>
      <c r="HQ9" s="46">
        <v>38.467100000000002</v>
      </c>
      <c r="HR9" s="46">
        <v>40.401299999999999</v>
      </c>
      <c r="HS9" s="46">
        <v>40.056699999999999</v>
      </c>
      <c r="HT9" s="46">
        <v>39.514899999999997</v>
      </c>
      <c r="HU9" s="46">
        <v>39.397300000000001</v>
      </c>
      <c r="HV9" s="46">
        <v>39.308599999999998</v>
      </c>
      <c r="HW9" s="46">
        <v>39.217700000000001</v>
      </c>
      <c r="HX9" s="46">
        <v>39.1036</v>
      </c>
      <c r="HY9" s="46">
        <v>39.075200000000002</v>
      </c>
      <c r="HZ9" s="46">
        <v>39.487400000000001</v>
      </c>
      <c r="IA9" s="46">
        <v>39.365900000000003</v>
      </c>
      <c r="IB9" s="46">
        <v>37.9863</v>
      </c>
      <c r="IC9" s="46">
        <v>38.053600000000003</v>
      </c>
      <c r="ID9" s="46">
        <v>39.4313</v>
      </c>
      <c r="IE9" s="46">
        <v>39.000100000000003</v>
      </c>
      <c r="IF9" s="46">
        <v>38.064700000000002</v>
      </c>
      <c r="IG9" s="46">
        <v>38.110500000000002</v>
      </c>
      <c r="IH9" s="46">
        <v>37.098700000000001</v>
      </c>
      <c r="II9" s="46">
        <v>36.652299999999997</v>
      </c>
      <c r="IJ9" s="46">
        <v>36.523800000000001</v>
      </c>
      <c r="IK9" s="46">
        <v>37.011699999999998</v>
      </c>
      <c r="IL9" s="46">
        <v>37.479300000000002</v>
      </c>
      <c r="IM9" s="46">
        <v>35.270200000000003</v>
      </c>
      <c r="IN9" s="46">
        <v>33.966700000000003</v>
      </c>
      <c r="IO9" s="46">
        <v>33.8279</v>
      </c>
      <c r="IP9" s="46">
        <v>33.299900000000001</v>
      </c>
      <c r="IQ9" s="46">
        <v>32.998199999999997</v>
      </c>
      <c r="IR9" s="46">
        <v>32.184199999999997</v>
      </c>
      <c r="IS9" s="46">
        <v>30.925000000000001</v>
      </c>
    </row>
    <row r="10" spans="1:253" ht="21" customHeight="1" x14ac:dyDescent="0.3">
      <c r="A10" s="48" t="s">
        <v>18</v>
      </c>
      <c r="B10" s="46">
        <v>12.75</v>
      </c>
      <c r="C10" s="46">
        <v>13.77</v>
      </c>
      <c r="D10" s="46">
        <v>14.71</v>
      </c>
      <c r="E10" s="46">
        <v>14.88</v>
      </c>
      <c r="F10" s="46">
        <v>14.22</v>
      </c>
      <c r="G10" s="46">
        <v>14.18</v>
      </c>
      <c r="H10" s="46">
        <v>14.15</v>
      </c>
      <c r="I10" s="46">
        <v>14.55</v>
      </c>
      <c r="J10" s="46">
        <v>14.9</v>
      </c>
      <c r="K10" s="46">
        <v>15.62</v>
      </c>
      <c r="L10" s="46">
        <v>15.77</v>
      </c>
      <c r="M10" s="46">
        <v>15.92</v>
      </c>
      <c r="N10" s="46">
        <v>15.48</v>
      </c>
      <c r="O10" s="46">
        <v>15.59</v>
      </c>
      <c r="P10" s="46">
        <v>16.22</v>
      </c>
      <c r="Q10" s="46">
        <v>17.29</v>
      </c>
      <c r="R10" s="46">
        <v>17.46</v>
      </c>
      <c r="S10" s="46">
        <v>16.96</v>
      </c>
      <c r="T10" s="46">
        <v>17.38</v>
      </c>
      <c r="U10" s="46">
        <v>17.75</v>
      </c>
      <c r="V10" s="46">
        <v>18.29</v>
      </c>
      <c r="W10" s="46">
        <v>17.739999999999998</v>
      </c>
      <c r="X10" s="46">
        <v>17.7</v>
      </c>
      <c r="Y10" s="46">
        <v>18.079999999999998</v>
      </c>
      <c r="Z10" s="46">
        <v>17.95</v>
      </c>
      <c r="AA10" s="46">
        <v>17.57</v>
      </c>
      <c r="AB10" s="46">
        <v>18.11</v>
      </c>
      <c r="AC10" s="46">
        <v>18.02</v>
      </c>
      <c r="AD10" s="46">
        <v>18.239999999999998</v>
      </c>
      <c r="AE10" s="46">
        <v>18.899999999999999</v>
      </c>
      <c r="AF10" s="46">
        <v>19.440000000000001</v>
      </c>
      <c r="AG10" s="46">
        <v>19.8</v>
      </c>
      <c r="AH10" s="46">
        <v>20.64</v>
      </c>
      <c r="AI10" s="46">
        <v>20.65</v>
      </c>
      <c r="AJ10" s="46">
        <v>20.65</v>
      </c>
      <c r="AK10" s="46">
        <v>20.91</v>
      </c>
      <c r="AL10" s="46">
        <v>21.53</v>
      </c>
      <c r="AM10" s="46">
        <v>21.03</v>
      </c>
      <c r="AN10" s="46">
        <v>20.93</v>
      </c>
      <c r="AO10" s="46">
        <v>20.56</v>
      </c>
      <c r="AP10" s="46">
        <v>20.84</v>
      </c>
      <c r="AQ10" s="46">
        <v>21.28</v>
      </c>
      <c r="AR10" s="46">
        <v>21.66</v>
      </c>
      <c r="AS10" s="46">
        <v>21.78</v>
      </c>
      <c r="AT10" s="46">
        <v>21.26</v>
      </c>
      <c r="AU10" s="46">
        <v>21.21</v>
      </c>
      <c r="AV10" s="46">
        <v>20.61</v>
      </c>
      <c r="AW10" s="46">
        <v>19.170000000000002</v>
      </c>
      <c r="AX10" s="46">
        <v>19.87</v>
      </c>
      <c r="AY10" s="46">
        <v>20.12</v>
      </c>
      <c r="AZ10" s="46">
        <v>19.09</v>
      </c>
      <c r="BA10" s="46">
        <v>19.739999999999998</v>
      </c>
      <c r="BB10" s="46">
        <v>21.42</v>
      </c>
      <c r="BC10" s="46">
        <v>21.56</v>
      </c>
      <c r="BD10" s="46">
        <v>22.13</v>
      </c>
      <c r="BE10" s="46">
        <v>22.78</v>
      </c>
      <c r="BF10" s="46">
        <v>23.78</v>
      </c>
      <c r="BG10" s="46">
        <v>23.25</v>
      </c>
      <c r="BH10" s="46">
        <v>23.43</v>
      </c>
      <c r="BI10" s="46">
        <v>23.61</v>
      </c>
      <c r="BJ10" s="46">
        <v>23.96</v>
      </c>
      <c r="BK10" s="46">
        <v>23.37</v>
      </c>
      <c r="BL10" s="46">
        <v>24.71</v>
      </c>
      <c r="BM10" s="46">
        <v>24.59</v>
      </c>
      <c r="BN10" s="46">
        <v>22.378499999999999</v>
      </c>
      <c r="BO10" s="46">
        <v>23.5595</v>
      </c>
      <c r="BP10" s="46">
        <v>23.744900000000001</v>
      </c>
      <c r="BQ10" s="46">
        <v>23.664000000000001</v>
      </c>
      <c r="BR10" s="46">
        <v>22.620100000000001</v>
      </c>
      <c r="BS10" s="46">
        <v>22.884499999999999</v>
      </c>
      <c r="BT10" s="46">
        <v>22.8843</v>
      </c>
      <c r="BU10" s="46">
        <v>21.301300000000001</v>
      </c>
      <c r="BV10" s="46">
        <v>20.659300000000002</v>
      </c>
      <c r="BW10" s="46">
        <v>22.065799999999999</v>
      </c>
      <c r="BX10" s="46">
        <v>21.183299999999999</v>
      </c>
      <c r="BY10" s="46">
        <v>19.969200000000001</v>
      </c>
      <c r="BZ10" s="46">
        <v>20.2379</v>
      </c>
      <c r="CA10" s="46">
        <v>19.410599999999999</v>
      </c>
      <c r="CB10" s="46">
        <v>19.113299999999999</v>
      </c>
      <c r="CC10" s="46">
        <v>17.889099999999999</v>
      </c>
      <c r="CD10" s="46">
        <v>18.799499999999998</v>
      </c>
      <c r="CE10" s="46">
        <v>17.034300000000002</v>
      </c>
      <c r="CF10" s="46">
        <v>17.554300000000001</v>
      </c>
      <c r="CG10" s="46">
        <v>19.397200000000002</v>
      </c>
      <c r="CH10" s="46">
        <v>19.4407</v>
      </c>
      <c r="CI10" s="46">
        <v>20.904</v>
      </c>
      <c r="CJ10" s="46">
        <v>21.625800000000002</v>
      </c>
      <c r="CK10" s="46">
        <v>21.570499999999999</v>
      </c>
      <c r="CL10" s="46">
        <v>22.291499999999999</v>
      </c>
      <c r="CM10" s="46">
        <v>22.784600000000001</v>
      </c>
      <c r="CN10" s="46">
        <v>22.831800000000001</v>
      </c>
      <c r="CO10" s="46">
        <v>22.0383</v>
      </c>
      <c r="CP10" s="46">
        <v>23.433</v>
      </c>
      <c r="CQ10" s="46">
        <v>22.51049273070306</v>
      </c>
      <c r="CR10" s="46">
        <v>22.336767871231114</v>
      </c>
      <c r="CS10" s="46">
        <v>22.793092906244446</v>
      </c>
      <c r="CT10" s="46">
        <v>23.060329477308553</v>
      </c>
      <c r="CU10" s="46">
        <v>23.337104069673778</v>
      </c>
      <c r="CV10" s="46">
        <v>24.118294648096278</v>
      </c>
      <c r="CW10" s="46">
        <v>23.589894136371111</v>
      </c>
      <c r="CX10" s="46">
        <v>22.795094819590112</v>
      </c>
      <c r="CY10" s="46">
        <v>22.416091104349775</v>
      </c>
      <c r="CZ10" s="46">
        <v>22.725342012365555</v>
      </c>
      <c r="DA10" s="46">
        <v>23.661131014326443</v>
      </c>
      <c r="DB10" s="46">
        <v>24.056207648872835</v>
      </c>
      <c r="DC10" s="46">
        <v>24.924314847970226</v>
      </c>
      <c r="DD10" s="46">
        <v>24.388963015491996</v>
      </c>
      <c r="DE10" s="46">
        <v>22.70873714052378</v>
      </c>
      <c r="DF10" s="46">
        <v>23.871387011537891</v>
      </c>
      <c r="DG10" s="46">
        <v>22.792030638855557</v>
      </c>
      <c r="DH10" s="46">
        <v>23.24533933484139</v>
      </c>
      <c r="DI10" s="46">
        <v>24.529134306086224</v>
      </c>
      <c r="DJ10" s="46">
        <v>24.848610985568889</v>
      </c>
      <c r="DK10" s="46">
        <v>24.240495011753776</v>
      </c>
      <c r="DL10" s="46">
        <v>24.386561242900221</v>
      </c>
      <c r="DM10" s="46">
        <v>22.994650279172497</v>
      </c>
      <c r="DN10" s="46">
        <v>25.090290364783996</v>
      </c>
      <c r="DO10" s="46">
        <v>25.666515317183556</v>
      </c>
      <c r="DP10" s="46">
        <v>24.988856378657555</v>
      </c>
      <c r="DQ10" s="46">
        <v>25.917974672244668</v>
      </c>
      <c r="DR10" s="46">
        <v>25.930719278911337</v>
      </c>
      <c r="DS10" s="46">
        <v>25.869438811000002</v>
      </c>
      <c r="DT10" s="46">
        <v>25.712930900833335</v>
      </c>
      <c r="DU10" s="46">
        <v>25.786687684722221</v>
      </c>
      <c r="DV10" s="46">
        <v>25.993485631277778</v>
      </c>
      <c r="DW10" s="46">
        <v>26.439144016611113</v>
      </c>
      <c r="DX10" s="46">
        <v>26.966896213611111</v>
      </c>
      <c r="DY10" s="46">
        <v>25.538747780277777</v>
      </c>
      <c r="DZ10" s="46">
        <v>24.589657090833335</v>
      </c>
      <c r="EA10" s="46">
        <v>25.075136399722222</v>
      </c>
      <c r="EB10" s="46">
        <v>24.438111794388888</v>
      </c>
      <c r="EC10" s="46">
        <v>25.846341576055554</v>
      </c>
      <c r="ED10" s="46">
        <v>25.441311304833334</v>
      </c>
      <c r="EE10" s="46">
        <v>25.097562516388887</v>
      </c>
      <c r="EF10" s="46">
        <v>25.265607173611116</v>
      </c>
      <c r="EG10" s="46">
        <v>25.208304772833337</v>
      </c>
      <c r="EH10" s="46">
        <v>25.829731957499998</v>
      </c>
      <c r="EI10" s="46">
        <v>26.674977349277782</v>
      </c>
      <c r="EJ10" s="46">
        <v>26.255111351833335</v>
      </c>
      <c r="EK10" s="46">
        <v>26.230697952915552</v>
      </c>
      <c r="EL10" s="46">
        <v>27.007198896257776</v>
      </c>
      <c r="EM10" s="46">
        <v>26.397489492166667</v>
      </c>
      <c r="EN10" s="46">
        <v>26.24299726927778</v>
      </c>
      <c r="EO10" s="46">
        <v>24.955523281944444</v>
      </c>
      <c r="EP10" s="46">
        <v>25.060287828</v>
      </c>
      <c r="EQ10" s="46">
        <v>25.157002229314816</v>
      </c>
      <c r="ER10" s="46">
        <v>25.316669506111111</v>
      </c>
      <c r="ES10" s="46">
        <v>24.275116100962965</v>
      </c>
      <c r="ET10" s="46">
        <v>25.584405469518515</v>
      </c>
      <c r="EU10" s="46">
        <v>27.762022222222225</v>
      </c>
      <c r="EV10" s="46">
        <v>27.3523</v>
      </c>
      <c r="EW10" s="46">
        <v>25.777077777777784</v>
      </c>
      <c r="EX10" s="46">
        <v>24.469088888888901</v>
      </c>
      <c r="EY10" s="46">
        <v>23.854211111111098</v>
      </c>
      <c r="EZ10" s="46">
        <v>23.145122222222199</v>
      </c>
      <c r="FA10" s="46">
        <v>23.173088888888898</v>
      </c>
      <c r="FB10" s="46">
        <v>24.788699999999999</v>
      </c>
      <c r="FC10" s="46">
        <v>24.2318</v>
      </c>
      <c r="FD10" s="46">
        <v>25.1433</v>
      </c>
      <c r="FE10" s="46">
        <v>23.898800000000001</v>
      </c>
      <c r="FF10" s="46">
        <v>24.179200000000002</v>
      </c>
      <c r="FG10" s="46">
        <v>24.9588</v>
      </c>
      <c r="FH10" s="46">
        <v>25.107399999999998</v>
      </c>
      <c r="FI10" s="46">
        <v>24.468599999999999</v>
      </c>
      <c r="FJ10" s="46">
        <v>25.961500000000001</v>
      </c>
      <c r="FK10" s="46">
        <v>25.9983</v>
      </c>
      <c r="FL10" s="46">
        <v>26.372199999999999</v>
      </c>
      <c r="FM10" s="46">
        <v>26.509</v>
      </c>
      <c r="FN10" s="46">
        <v>26.286000000000001</v>
      </c>
      <c r="FO10" s="46">
        <v>26.3979</v>
      </c>
      <c r="FP10" s="46">
        <v>25.744499999999999</v>
      </c>
      <c r="FQ10" s="46">
        <v>26.7254</v>
      </c>
      <c r="FR10" s="46">
        <v>26.3264</v>
      </c>
      <c r="FS10" s="46">
        <v>25.459700000000002</v>
      </c>
      <c r="FT10" s="46">
        <v>24.820699999999999</v>
      </c>
      <c r="FU10" s="46">
        <v>25.330200000000001</v>
      </c>
      <c r="FV10" s="46">
        <v>25.985800000000001</v>
      </c>
      <c r="FW10" s="46">
        <v>25.9604</v>
      </c>
      <c r="FX10" s="46">
        <v>24.278199999999998</v>
      </c>
      <c r="FY10" s="46">
        <v>25.091000000000001</v>
      </c>
      <c r="FZ10" s="46">
        <v>24.087199999999999</v>
      </c>
      <c r="GA10" s="46">
        <v>23.754300000000001</v>
      </c>
      <c r="GB10" s="46">
        <v>24.5001</v>
      </c>
      <c r="GC10" s="46">
        <v>24.525700000000001</v>
      </c>
      <c r="GD10" s="46">
        <v>24.519500000000001</v>
      </c>
      <c r="GE10" s="46">
        <v>24.781300000000002</v>
      </c>
      <c r="GF10" s="46">
        <v>24.8064</v>
      </c>
      <c r="GG10" s="46">
        <v>24.666899999999998</v>
      </c>
      <c r="GH10" s="46">
        <v>24.0899</v>
      </c>
      <c r="GI10" s="46">
        <v>23.918500000000002</v>
      </c>
      <c r="GJ10" s="46">
        <v>23.341799999999999</v>
      </c>
      <c r="GK10" s="46">
        <v>23.226700000000001</v>
      </c>
      <c r="GL10" s="46">
        <v>23.229900000000001</v>
      </c>
      <c r="GM10" s="46">
        <v>24.190100000000001</v>
      </c>
      <c r="GN10" s="46">
        <v>23.577200000000001</v>
      </c>
      <c r="GO10" s="46">
        <v>24.167999999999999</v>
      </c>
      <c r="GP10" s="46">
        <v>23.9114</v>
      </c>
      <c r="GQ10" s="46">
        <v>24.210599999999999</v>
      </c>
      <c r="GR10" s="46">
        <v>23.883400000000002</v>
      </c>
      <c r="GS10" s="46">
        <v>23.7179</v>
      </c>
      <c r="GT10" s="46">
        <v>24.327100000000002</v>
      </c>
      <c r="GU10" s="46">
        <v>24.3324</v>
      </c>
      <c r="GV10" s="46">
        <v>23.286899999999999</v>
      </c>
      <c r="GW10" s="46">
        <v>23.3642</v>
      </c>
      <c r="GX10" s="46">
        <v>23.827000000000002</v>
      </c>
      <c r="GY10" s="46">
        <v>24.0488</v>
      </c>
      <c r="GZ10" s="46">
        <v>25.0014</v>
      </c>
      <c r="HA10" s="46">
        <v>24.353300000000001</v>
      </c>
      <c r="HB10" s="46">
        <v>23.860099999999999</v>
      </c>
      <c r="HC10" s="47">
        <v>24.175999999999998</v>
      </c>
      <c r="HD10" s="46">
        <v>25.098600000000001</v>
      </c>
      <c r="HE10" s="46">
        <v>25.355899999999998</v>
      </c>
      <c r="HF10" s="47">
        <v>26.327300000000001</v>
      </c>
      <c r="HG10" s="46">
        <v>27.2437</v>
      </c>
      <c r="HH10" s="46">
        <v>27.300799999999999</v>
      </c>
      <c r="HI10" s="46">
        <v>26.832000000000001</v>
      </c>
      <c r="HJ10" s="46">
        <v>27.108599999999999</v>
      </c>
      <c r="HK10" s="46">
        <v>28.620799999999999</v>
      </c>
      <c r="HL10" s="46">
        <v>29.0428</v>
      </c>
      <c r="HM10" s="46">
        <v>28.953199999999999</v>
      </c>
      <c r="HN10" s="46">
        <v>29.848600000000001</v>
      </c>
      <c r="HO10" s="46">
        <v>28.857500000000002</v>
      </c>
      <c r="HP10" s="46">
        <v>29.880299999999998</v>
      </c>
      <c r="HQ10" s="46">
        <v>30.008099999999999</v>
      </c>
      <c r="HR10" s="46">
        <v>30.4741</v>
      </c>
      <c r="HS10" s="46">
        <v>30.4391</v>
      </c>
      <c r="HT10" s="46">
        <v>30.561699999999998</v>
      </c>
      <c r="HU10" s="46">
        <v>29.9543</v>
      </c>
      <c r="HV10" s="46">
        <v>31.371600000000001</v>
      </c>
      <c r="HW10" s="46">
        <v>30.026900000000001</v>
      </c>
      <c r="HX10" s="46">
        <v>30.19</v>
      </c>
      <c r="HY10" s="46">
        <v>29.011800000000001</v>
      </c>
      <c r="HZ10" s="46">
        <v>30.002700000000001</v>
      </c>
      <c r="IA10" s="46">
        <v>31.488900000000001</v>
      </c>
      <c r="IB10" s="46">
        <v>28.587399999999999</v>
      </c>
      <c r="IC10" s="46">
        <v>29.005099999999999</v>
      </c>
      <c r="ID10" s="46">
        <v>28.8505</v>
      </c>
      <c r="IE10" s="46">
        <v>29.2027</v>
      </c>
      <c r="IF10" s="46">
        <v>28.020700000000001</v>
      </c>
      <c r="IG10" s="46">
        <v>26.305499999999999</v>
      </c>
      <c r="IH10" s="46">
        <v>26.209299999999999</v>
      </c>
      <c r="II10" s="46">
        <v>27.887699999999999</v>
      </c>
      <c r="IJ10" s="46">
        <v>28.348299999999998</v>
      </c>
      <c r="IK10" s="46">
        <v>29.5518</v>
      </c>
      <c r="IL10" s="46">
        <v>29.215599999999998</v>
      </c>
      <c r="IM10" s="46">
        <v>29.184899999999999</v>
      </c>
      <c r="IN10" s="46">
        <v>28.272600000000001</v>
      </c>
      <c r="IO10" s="46">
        <v>28.0213</v>
      </c>
      <c r="IP10" s="46">
        <v>28.383299999999998</v>
      </c>
      <c r="IQ10" s="46">
        <v>28.9514</v>
      </c>
      <c r="IR10" s="46">
        <v>27.709</v>
      </c>
      <c r="IS10" s="46">
        <v>27.3553</v>
      </c>
    </row>
    <row r="11" spans="1:253" ht="21" customHeight="1" x14ac:dyDescent="0.3">
      <c r="A11" s="48" t="s">
        <v>17</v>
      </c>
      <c r="B11" s="46">
        <v>16.850000000000001</v>
      </c>
      <c r="C11" s="46">
        <v>17.010000000000002</v>
      </c>
      <c r="D11" s="46">
        <v>17.2</v>
      </c>
      <c r="E11" s="46">
        <v>17.27</v>
      </c>
      <c r="F11" s="46">
        <v>17.170000000000002</v>
      </c>
      <c r="G11" s="46">
        <v>17.29</v>
      </c>
      <c r="H11" s="46">
        <v>16.989999999999998</v>
      </c>
      <c r="I11" s="46">
        <v>17.09</v>
      </c>
      <c r="J11" s="46">
        <v>17.05</v>
      </c>
      <c r="K11" s="46">
        <v>17.14</v>
      </c>
      <c r="L11" s="46">
        <v>16.64</v>
      </c>
      <c r="M11" s="46">
        <v>16.309999999999999</v>
      </c>
      <c r="N11" s="46">
        <v>15.88</v>
      </c>
      <c r="O11" s="46">
        <v>15.78</v>
      </c>
      <c r="P11" s="46">
        <v>16.29</v>
      </c>
      <c r="Q11" s="46">
        <v>16.98</v>
      </c>
      <c r="R11" s="46">
        <v>17.11</v>
      </c>
      <c r="S11" s="46">
        <v>16.95</v>
      </c>
      <c r="T11" s="46">
        <v>16.96</v>
      </c>
      <c r="U11" s="46">
        <v>16.8</v>
      </c>
      <c r="V11" s="46">
        <v>16.64</v>
      </c>
      <c r="W11" s="46">
        <v>16.010000000000002</v>
      </c>
      <c r="X11" s="46">
        <v>15.57</v>
      </c>
      <c r="Y11" s="46">
        <v>15.47</v>
      </c>
      <c r="Z11" s="46">
        <v>16.2</v>
      </c>
      <c r="AA11" s="46">
        <v>16.579999999999998</v>
      </c>
      <c r="AB11" s="46">
        <v>16.940000000000001</v>
      </c>
      <c r="AC11" s="46">
        <v>16.760000000000002</v>
      </c>
      <c r="AD11" s="46">
        <v>16.75</v>
      </c>
      <c r="AE11" s="46">
        <v>16.95</v>
      </c>
      <c r="AF11" s="46">
        <v>17.22</v>
      </c>
      <c r="AG11" s="46">
        <v>17.48</v>
      </c>
      <c r="AH11" s="46">
        <v>17.66</v>
      </c>
      <c r="AI11" s="46">
        <v>17.62</v>
      </c>
      <c r="AJ11" s="46">
        <v>17.760000000000002</v>
      </c>
      <c r="AK11" s="46">
        <v>17.940000000000001</v>
      </c>
      <c r="AL11" s="46">
        <v>18</v>
      </c>
      <c r="AM11" s="46">
        <v>17.89</v>
      </c>
      <c r="AN11" s="46">
        <v>17.77</v>
      </c>
      <c r="AO11" s="46">
        <v>18.16</v>
      </c>
      <c r="AP11" s="46">
        <v>17.98</v>
      </c>
      <c r="AQ11" s="46">
        <v>18.22</v>
      </c>
      <c r="AR11" s="46">
        <v>18.25</v>
      </c>
      <c r="AS11" s="46">
        <v>18.37</v>
      </c>
      <c r="AT11" s="46">
        <v>18.72</v>
      </c>
      <c r="AU11" s="46">
        <v>19.16</v>
      </c>
      <c r="AV11" s="46">
        <v>19.239999999999998</v>
      </c>
      <c r="AW11" s="46">
        <v>19.36</v>
      </c>
      <c r="AX11" s="46">
        <v>19.82</v>
      </c>
      <c r="AY11" s="46">
        <v>19.899999999999999</v>
      </c>
      <c r="AZ11" s="46">
        <v>19.75</v>
      </c>
      <c r="BA11" s="46">
        <v>20.18</v>
      </c>
      <c r="BB11" s="46">
        <v>20.92</v>
      </c>
      <c r="BC11" s="46">
        <v>20.84</v>
      </c>
      <c r="BD11" s="46">
        <v>21.32</v>
      </c>
      <c r="BE11" s="46">
        <v>21.82</v>
      </c>
      <c r="BF11" s="46">
        <v>22.09</v>
      </c>
      <c r="BG11" s="46">
        <v>22.16</v>
      </c>
      <c r="BH11" s="46">
        <v>22.06</v>
      </c>
      <c r="BI11" s="46">
        <v>22.04</v>
      </c>
      <c r="BJ11" s="46">
        <v>21.58</v>
      </c>
      <c r="BK11" s="46">
        <v>21.06</v>
      </c>
      <c r="BL11" s="46">
        <v>21.09</v>
      </c>
      <c r="BM11" s="46">
        <v>21.22</v>
      </c>
      <c r="BN11" s="46">
        <v>20.9954</v>
      </c>
      <c r="BO11" s="46">
        <v>21.017099999999999</v>
      </c>
      <c r="BP11" s="46">
        <v>21.5122</v>
      </c>
      <c r="BQ11" s="46">
        <v>21.28</v>
      </c>
      <c r="BR11" s="46">
        <v>20.305299999999999</v>
      </c>
      <c r="BS11" s="46">
        <v>20.776700000000002</v>
      </c>
      <c r="BT11" s="46">
        <v>20.2807</v>
      </c>
      <c r="BU11" s="46">
        <v>19.541499999999999</v>
      </c>
      <c r="BV11" s="46">
        <v>19.653500000000001</v>
      </c>
      <c r="BW11" s="46">
        <v>20.8475</v>
      </c>
      <c r="BX11" s="46">
        <v>20.518699999999999</v>
      </c>
      <c r="BY11" s="46">
        <v>20.022099999999998</v>
      </c>
      <c r="BZ11" s="46">
        <v>20.439599999999999</v>
      </c>
      <c r="CA11" s="46">
        <v>20.322500000000002</v>
      </c>
      <c r="CB11" s="46">
        <v>22.139800000000001</v>
      </c>
      <c r="CC11" s="46">
        <v>21.678899999999999</v>
      </c>
      <c r="CD11" s="46">
        <v>22.704000000000001</v>
      </c>
      <c r="CE11" s="46">
        <v>22.2697</v>
      </c>
      <c r="CF11" s="46">
        <v>22.7026</v>
      </c>
      <c r="CG11" s="46">
        <v>22.583300000000001</v>
      </c>
      <c r="CH11" s="46">
        <v>23.343699999999998</v>
      </c>
      <c r="CI11" s="46">
        <v>23.0563</v>
      </c>
      <c r="CJ11" s="46">
        <v>22.9482</v>
      </c>
      <c r="CK11" s="46">
        <v>22.869599999999998</v>
      </c>
      <c r="CL11" s="46">
        <v>22.714200000000002</v>
      </c>
      <c r="CM11" s="46">
        <v>22.4344</v>
      </c>
      <c r="CN11" s="46">
        <v>22.424900000000001</v>
      </c>
      <c r="CO11" s="46">
        <v>22.178899999999999</v>
      </c>
      <c r="CP11" s="46">
        <v>24.553999999999998</v>
      </c>
      <c r="CQ11" s="46">
        <v>22.979750736309903</v>
      </c>
      <c r="CR11" s="46">
        <v>23.495568976502462</v>
      </c>
      <c r="CS11" s="46">
        <v>23.604589318060253</v>
      </c>
      <c r="CT11" s="46">
        <v>23.620461858123285</v>
      </c>
      <c r="CU11" s="46">
        <v>23.824710124065025</v>
      </c>
      <c r="CV11" s="46">
        <v>24.344978340879724</v>
      </c>
      <c r="CW11" s="46">
        <v>23.827363422350967</v>
      </c>
      <c r="CX11" s="46">
        <v>23.861557086273912</v>
      </c>
      <c r="CY11" s="46">
        <v>23.450030409655408</v>
      </c>
      <c r="CZ11" s="46">
        <v>23.184874091554882</v>
      </c>
      <c r="DA11" s="46">
        <v>23.349825866339689</v>
      </c>
      <c r="DB11" s="46">
        <v>23.635256762272142</v>
      </c>
      <c r="DC11" s="46">
        <v>23.940245247973078</v>
      </c>
      <c r="DD11" s="46">
        <v>23.82665098114591</v>
      </c>
      <c r="DE11" s="46">
        <v>22.950400022204978</v>
      </c>
      <c r="DF11" s="46">
        <v>23.632280686171832</v>
      </c>
      <c r="DG11" s="46">
        <v>23.13748750823979</v>
      </c>
      <c r="DH11" s="46">
        <v>23.213978027797367</v>
      </c>
      <c r="DI11" s="46">
        <v>23.817876536408367</v>
      </c>
      <c r="DJ11" s="46">
        <v>23.753362621030423</v>
      </c>
      <c r="DK11" s="46">
        <v>23.642961968781471</v>
      </c>
      <c r="DL11" s="46">
        <v>24.061781927536874</v>
      </c>
      <c r="DM11" s="46">
        <v>23.806851042410237</v>
      </c>
      <c r="DN11" s="46">
        <v>24.851950656125886</v>
      </c>
      <c r="DO11" s="46">
        <v>25.472975659131631</v>
      </c>
      <c r="DP11" s="46">
        <v>24.990812427548175</v>
      </c>
      <c r="DQ11" s="46">
        <v>25.397186926426055</v>
      </c>
      <c r="DR11" s="46">
        <v>25.915181864363976</v>
      </c>
      <c r="DS11" s="46">
        <v>25.816646508587684</v>
      </c>
      <c r="DT11" s="46">
        <v>25.538142405657677</v>
      </c>
      <c r="DU11" s="46">
        <v>24.982501117539673</v>
      </c>
      <c r="DV11" s="46">
        <v>25.290554705950132</v>
      </c>
      <c r="DW11" s="46">
        <v>25.58136703605134</v>
      </c>
      <c r="DX11" s="46">
        <v>25.598557554753821</v>
      </c>
      <c r="DY11" s="46">
        <v>25.1295938683676</v>
      </c>
      <c r="DZ11" s="46">
        <v>24.989095079094763</v>
      </c>
      <c r="EA11" s="46">
        <v>24.77068293294829</v>
      </c>
      <c r="EB11" s="46">
        <v>24.706018811918657</v>
      </c>
      <c r="EC11" s="46">
        <v>24.888127646674622</v>
      </c>
      <c r="ED11" s="46">
        <v>24.91482989172415</v>
      </c>
      <c r="EE11" s="46">
        <v>24.70227848317171</v>
      </c>
      <c r="EF11" s="46">
        <v>24.312816946908935</v>
      </c>
      <c r="EG11" s="46">
        <v>24.179187798932041</v>
      </c>
      <c r="EH11" s="46">
        <v>24.302293572645016</v>
      </c>
      <c r="EI11" s="46">
        <v>24.406026689994746</v>
      </c>
      <c r="EJ11" s="46">
        <v>24.457851961206529</v>
      </c>
      <c r="EK11" s="46">
        <v>24.635790605659434</v>
      </c>
      <c r="EL11" s="46">
        <v>24.749635173370081</v>
      </c>
      <c r="EM11" s="46">
        <v>24.966644486821696</v>
      </c>
      <c r="EN11" s="46">
        <v>25.140169893714752</v>
      </c>
      <c r="EO11" s="46">
        <v>25.119507805074029</v>
      </c>
      <c r="EP11" s="46">
        <v>25.024942088192258</v>
      </c>
      <c r="EQ11" s="46">
        <v>24.666615786501861</v>
      </c>
      <c r="ER11" s="46">
        <v>24.469160197967962</v>
      </c>
      <c r="ES11" s="46">
        <v>24.69420624172421</v>
      </c>
      <c r="ET11" s="46">
        <v>25.025246252105951</v>
      </c>
      <c r="EU11" s="46">
        <v>27.000790426380341</v>
      </c>
      <c r="EV11" s="46">
        <v>27.2225</v>
      </c>
      <c r="EW11" s="46">
        <v>26.839264285714282</v>
      </c>
      <c r="EX11" s="46">
        <v>26.736764285714301</v>
      </c>
      <c r="EY11" s="46">
        <v>26.4370642857143</v>
      </c>
      <c r="EZ11" s="46">
        <v>25.530464285714299</v>
      </c>
      <c r="FA11" s="46">
        <v>25.565721428571401</v>
      </c>
      <c r="FB11" s="46">
        <v>26.311399999999999</v>
      </c>
      <c r="FC11" s="46">
        <v>26.285799999999998</v>
      </c>
      <c r="FD11" s="46">
        <v>26.028400000000001</v>
      </c>
      <c r="FE11" s="46">
        <v>25.8611</v>
      </c>
      <c r="FF11" s="46">
        <v>26.150500000000001</v>
      </c>
      <c r="FG11" s="46">
        <v>26.811499999999999</v>
      </c>
      <c r="FH11" s="46">
        <v>26.834199999999999</v>
      </c>
      <c r="FI11" s="46">
        <v>26.410399999999999</v>
      </c>
      <c r="FJ11" s="46">
        <v>27.2182</v>
      </c>
      <c r="FK11" s="46">
        <v>27.197399999999998</v>
      </c>
      <c r="FL11" s="46">
        <v>26.751300000000001</v>
      </c>
      <c r="FM11" s="46">
        <v>26.782399999999999</v>
      </c>
      <c r="FN11" s="46">
        <v>26.443100000000001</v>
      </c>
      <c r="FO11" s="46">
        <v>25.991</v>
      </c>
      <c r="FP11" s="46">
        <v>25.6418</v>
      </c>
      <c r="FQ11" s="46">
        <v>25.877600000000001</v>
      </c>
      <c r="FR11" s="46">
        <v>26.131799999999998</v>
      </c>
      <c r="FS11" s="46">
        <v>26.1341</v>
      </c>
      <c r="FT11" s="46">
        <v>25.9358</v>
      </c>
      <c r="FU11" s="46">
        <v>25.883700000000001</v>
      </c>
      <c r="FV11" s="46">
        <v>25.8001</v>
      </c>
      <c r="FW11" s="46">
        <v>25.548999999999999</v>
      </c>
      <c r="FX11" s="46">
        <v>24.9389</v>
      </c>
      <c r="FY11" s="46">
        <v>25.588999999999999</v>
      </c>
      <c r="FZ11" s="46">
        <v>25.830100000000002</v>
      </c>
      <c r="GA11" s="46">
        <v>25.766400000000001</v>
      </c>
      <c r="GB11" s="46">
        <v>25.8325</v>
      </c>
      <c r="GC11" s="46">
        <v>25.5182</v>
      </c>
      <c r="GD11" s="46">
        <v>25.610900000000001</v>
      </c>
      <c r="GE11" s="46">
        <v>26.152999999999999</v>
      </c>
      <c r="GF11" s="46">
        <v>26.448499999999999</v>
      </c>
      <c r="GG11" s="46">
        <v>26.371500000000001</v>
      </c>
      <c r="GH11" s="46">
        <v>26.038</v>
      </c>
      <c r="GI11" s="46">
        <v>25.710899999999999</v>
      </c>
      <c r="GJ11" s="46">
        <v>25.6419</v>
      </c>
      <c r="GK11" s="46">
        <v>25.692</v>
      </c>
      <c r="GL11" s="46">
        <v>25.577300000000001</v>
      </c>
      <c r="GM11" s="46">
        <v>25.686399999999999</v>
      </c>
      <c r="GN11" s="46">
        <v>25.706</v>
      </c>
      <c r="GO11" s="46">
        <v>25.94</v>
      </c>
      <c r="GP11" s="46">
        <v>25.864599999999999</v>
      </c>
      <c r="GQ11" s="46">
        <v>26.2959</v>
      </c>
      <c r="GR11" s="46">
        <v>26.294799999999999</v>
      </c>
      <c r="GS11" s="46">
        <v>26.386700000000001</v>
      </c>
      <c r="GT11" s="46">
        <v>26.8</v>
      </c>
      <c r="GU11" s="46">
        <v>26.904299999999999</v>
      </c>
      <c r="GV11" s="46">
        <v>26.587800000000001</v>
      </c>
      <c r="GW11" s="46">
        <v>26.942900000000002</v>
      </c>
      <c r="GX11" s="46">
        <v>27.209299999999999</v>
      </c>
      <c r="GY11" s="46">
        <v>27.372699999999998</v>
      </c>
      <c r="GZ11" s="46">
        <v>27.569400000000002</v>
      </c>
      <c r="HA11" s="46">
        <v>27.561199999999999</v>
      </c>
      <c r="HB11" s="46">
        <v>27.2971</v>
      </c>
      <c r="HC11" s="47">
        <v>28.151299999999999</v>
      </c>
      <c r="HD11" s="46">
        <v>28.992699999999999</v>
      </c>
      <c r="HE11" s="46">
        <v>28.896599999999999</v>
      </c>
      <c r="HF11" s="47">
        <v>29.4085</v>
      </c>
      <c r="HG11" s="46">
        <v>29.6736</v>
      </c>
      <c r="HH11" s="46">
        <v>29.837499999999999</v>
      </c>
      <c r="HI11" s="46">
        <v>29.729900000000001</v>
      </c>
      <c r="HJ11" s="46">
        <v>29.9374</v>
      </c>
      <c r="HK11" s="46">
        <v>30.439299999999999</v>
      </c>
      <c r="HL11" s="46">
        <v>30.4053</v>
      </c>
      <c r="HM11" s="46">
        <v>30.371500000000001</v>
      </c>
      <c r="HN11" s="46">
        <v>30.547499999999999</v>
      </c>
      <c r="HO11" s="46">
        <v>30.645499999999998</v>
      </c>
      <c r="HP11" s="46">
        <v>31.037600000000001</v>
      </c>
      <c r="HQ11" s="46">
        <v>31.2685</v>
      </c>
      <c r="HR11" s="46">
        <v>32.337899999999998</v>
      </c>
      <c r="HS11" s="46">
        <v>32.105600000000003</v>
      </c>
      <c r="HT11" s="46">
        <v>32.292200000000001</v>
      </c>
      <c r="HU11" s="46">
        <v>31.9633</v>
      </c>
      <c r="HV11" s="46">
        <v>32.496400000000001</v>
      </c>
      <c r="HW11" s="46">
        <v>32.1937</v>
      </c>
      <c r="HX11" s="46">
        <v>32.787700000000001</v>
      </c>
      <c r="HY11" s="46">
        <v>32.615900000000003</v>
      </c>
      <c r="HZ11" s="46">
        <v>32.991999999999997</v>
      </c>
      <c r="IA11" s="46">
        <v>33.482100000000003</v>
      </c>
      <c r="IB11" s="46">
        <v>31.7029</v>
      </c>
      <c r="IC11" s="46">
        <v>32.3767</v>
      </c>
      <c r="ID11" s="46">
        <v>33.264099999999999</v>
      </c>
      <c r="IE11" s="46">
        <v>33.521700000000003</v>
      </c>
      <c r="IF11" s="46">
        <v>32.755800000000001</v>
      </c>
      <c r="IG11" s="46">
        <v>32.138500000000001</v>
      </c>
      <c r="IH11" s="46">
        <v>31.812200000000001</v>
      </c>
      <c r="II11" s="46">
        <v>32.6113</v>
      </c>
      <c r="IJ11" s="46">
        <v>33.373600000000003</v>
      </c>
      <c r="IK11" s="46">
        <v>34.823300000000003</v>
      </c>
      <c r="IL11" s="46">
        <v>35.141399999999997</v>
      </c>
      <c r="IM11" s="46">
        <v>35.019199999999998</v>
      </c>
      <c r="IN11" s="46">
        <v>34.375300000000003</v>
      </c>
      <c r="IO11" s="46">
        <v>34.411900000000003</v>
      </c>
      <c r="IP11" s="46">
        <v>34.311100000000003</v>
      </c>
      <c r="IQ11" s="46">
        <v>35.039000000000001</v>
      </c>
      <c r="IR11" s="46">
        <v>34.360199999999999</v>
      </c>
      <c r="IS11" s="46">
        <v>33.3157</v>
      </c>
    </row>
    <row r="12" spans="1:253" ht="21" customHeight="1" x14ac:dyDescent="0.3">
      <c r="A12" s="48" t="s">
        <v>16</v>
      </c>
      <c r="B12" s="46">
        <v>2.71</v>
      </c>
      <c r="C12" s="46">
        <v>2.92</v>
      </c>
      <c r="D12" s="46">
        <v>3.18</v>
      </c>
      <c r="E12" s="46">
        <v>2.95</v>
      </c>
      <c r="F12" s="46">
        <v>3</v>
      </c>
      <c r="G12" s="46">
        <v>2.85</v>
      </c>
      <c r="H12" s="46">
        <v>2.87</v>
      </c>
      <c r="I12" s="46">
        <v>3</v>
      </c>
      <c r="J12" s="46">
        <v>3.25</v>
      </c>
      <c r="K12" s="46">
        <v>3.46</v>
      </c>
      <c r="L12" s="46">
        <v>3.38</v>
      </c>
      <c r="M12" s="46">
        <v>3.55</v>
      </c>
      <c r="N12" s="46">
        <v>3.52</v>
      </c>
      <c r="O12" s="46">
        <v>3.96</v>
      </c>
      <c r="P12" s="46">
        <v>3.57</v>
      </c>
      <c r="Q12" s="46">
        <v>4</v>
      </c>
      <c r="R12" s="46">
        <v>4.0999999999999996</v>
      </c>
      <c r="S12" s="46">
        <v>4.0599999999999996</v>
      </c>
      <c r="T12" s="46">
        <v>4.13</v>
      </c>
      <c r="U12" s="46">
        <v>4.2300000000000004</v>
      </c>
      <c r="V12" s="46">
        <v>4.5</v>
      </c>
      <c r="W12" s="46">
        <v>4.12</v>
      </c>
      <c r="X12" s="46">
        <v>3.79</v>
      </c>
      <c r="Y12" s="46">
        <v>3.99</v>
      </c>
      <c r="Z12" s="46">
        <v>4.33</v>
      </c>
      <c r="AA12" s="46">
        <v>4.13</v>
      </c>
      <c r="AB12" s="46">
        <v>4.47</v>
      </c>
      <c r="AC12" s="46">
        <v>4.63</v>
      </c>
      <c r="AD12" s="46">
        <v>4.66</v>
      </c>
      <c r="AE12" s="46">
        <v>4.37</v>
      </c>
      <c r="AF12" s="46">
        <v>4.5599999999999996</v>
      </c>
      <c r="AG12" s="46">
        <v>4.8099999999999996</v>
      </c>
      <c r="AH12" s="46">
        <v>5.04</v>
      </c>
      <c r="AI12" s="46">
        <v>5.15</v>
      </c>
      <c r="AJ12" s="46">
        <v>4.95</v>
      </c>
      <c r="AK12" s="46">
        <v>4.75</v>
      </c>
      <c r="AL12" s="46">
        <v>4.87</v>
      </c>
      <c r="AM12" s="46">
        <v>4.49</v>
      </c>
      <c r="AN12" s="46">
        <v>4.5199999999999996</v>
      </c>
      <c r="AO12" s="46">
        <v>4.59</v>
      </c>
      <c r="AP12" s="46">
        <v>4.67</v>
      </c>
      <c r="AQ12" s="46">
        <v>4.88</v>
      </c>
      <c r="AR12" s="46">
        <v>4.6500000000000004</v>
      </c>
      <c r="AS12" s="46">
        <v>4.83</v>
      </c>
      <c r="AT12" s="46">
        <v>4.9800000000000004</v>
      </c>
      <c r="AU12" s="46">
        <v>5.15</v>
      </c>
      <c r="AV12" s="46">
        <v>5.12</v>
      </c>
      <c r="AW12" s="46">
        <v>5.13</v>
      </c>
      <c r="AX12" s="46">
        <v>5.14</v>
      </c>
      <c r="AY12" s="46">
        <v>4.74</v>
      </c>
      <c r="AZ12" s="46">
        <v>4.4800000000000004</v>
      </c>
      <c r="BA12" s="46">
        <v>4.7</v>
      </c>
      <c r="BB12" s="46">
        <v>4.72</v>
      </c>
      <c r="BC12" s="46">
        <v>4.41</v>
      </c>
      <c r="BD12" s="46">
        <v>4.54</v>
      </c>
      <c r="BE12" s="46">
        <v>4.83</v>
      </c>
      <c r="BF12" s="46">
        <v>4.97</v>
      </c>
      <c r="BG12" s="46">
        <v>4.7699999999999996</v>
      </c>
      <c r="BH12" s="46">
        <v>4.75</v>
      </c>
      <c r="BI12" s="46">
        <v>4.6399999999999997</v>
      </c>
      <c r="BJ12" s="46">
        <v>4.6399999999999997</v>
      </c>
      <c r="BK12" s="46">
        <v>4.5599999999999996</v>
      </c>
      <c r="BL12" s="46">
        <v>4.6100000000000003</v>
      </c>
      <c r="BM12" s="46">
        <v>4.5599999999999996</v>
      </c>
      <c r="BN12" s="46">
        <v>4.5206999999999997</v>
      </c>
      <c r="BO12" s="46">
        <v>4.5956000000000001</v>
      </c>
      <c r="BP12" s="46">
        <v>4.8032000000000004</v>
      </c>
      <c r="BQ12" s="46">
        <v>4.5529999999999999</v>
      </c>
      <c r="BR12" s="46">
        <v>4.3357000000000001</v>
      </c>
      <c r="BS12" s="46">
        <v>4.0781999999999998</v>
      </c>
      <c r="BT12" s="46">
        <v>3.7519</v>
      </c>
      <c r="BU12" s="46">
        <v>3.3517999999999999</v>
      </c>
      <c r="BV12" s="46">
        <v>3.5573999999999999</v>
      </c>
      <c r="BW12" s="46">
        <v>3.7837999999999998</v>
      </c>
      <c r="BX12" s="46">
        <v>3.5583</v>
      </c>
      <c r="BY12" s="46">
        <v>3.7401</v>
      </c>
      <c r="BZ12" s="46">
        <v>3.7854000000000001</v>
      </c>
      <c r="CA12" s="46">
        <v>3.5169000000000001</v>
      </c>
      <c r="CB12" s="46">
        <v>3.3273000000000001</v>
      </c>
      <c r="CC12" s="46">
        <v>3.3462999999999998</v>
      </c>
      <c r="CD12" s="46">
        <v>3.5257999999999998</v>
      </c>
      <c r="CE12" s="46">
        <v>3.3893</v>
      </c>
      <c r="CF12" s="46">
        <v>3.5701000000000001</v>
      </c>
      <c r="CG12" s="46">
        <v>3.6092</v>
      </c>
      <c r="CH12" s="46">
        <v>4.0724</v>
      </c>
      <c r="CI12" s="46">
        <v>4.1806000000000001</v>
      </c>
      <c r="CJ12" s="46">
        <v>4.2778</v>
      </c>
      <c r="CK12" s="46">
        <v>4.2488999999999999</v>
      </c>
      <c r="CL12" s="46">
        <v>4.2328000000000001</v>
      </c>
      <c r="CM12" s="46">
        <v>4.3078000000000003</v>
      </c>
      <c r="CN12" s="46">
        <v>4.08</v>
      </c>
      <c r="CO12" s="46">
        <v>4.1981000000000002</v>
      </c>
      <c r="CP12" s="46">
        <v>4.5529999999999999</v>
      </c>
      <c r="CQ12" s="46">
        <v>4.2662881482292896</v>
      </c>
      <c r="CR12" s="46">
        <v>4.3535725233239067</v>
      </c>
      <c r="CS12" s="46">
        <v>4.4865622356295907</v>
      </c>
      <c r="CT12" s="46">
        <v>4.3900698063661805</v>
      </c>
      <c r="CU12" s="46">
        <v>4.4187592485586178</v>
      </c>
      <c r="CV12" s="46">
        <v>4.7503250125142289</v>
      </c>
      <c r="CW12" s="46">
        <v>4.2975873036653569</v>
      </c>
      <c r="CX12" s="46">
        <v>4.3563444364321553</v>
      </c>
      <c r="CY12" s="46">
        <v>4.3519041504246037</v>
      </c>
      <c r="CZ12" s="46">
        <v>4.3385934646244273</v>
      </c>
      <c r="DA12" s="46">
        <v>4.1803338495633389</v>
      </c>
      <c r="DB12" s="46">
        <v>4.3043798954782542</v>
      </c>
      <c r="DC12" s="46">
        <v>4.3045015357541692</v>
      </c>
      <c r="DD12" s="46">
        <v>4.0919531515976555</v>
      </c>
      <c r="DE12" s="46">
        <v>3.7402603868307662</v>
      </c>
      <c r="DF12" s="46">
        <v>3.8001448787588425</v>
      </c>
      <c r="DG12" s="46">
        <v>3.620326359587414</v>
      </c>
      <c r="DH12" s="46">
        <v>3.7169001136883479</v>
      </c>
      <c r="DI12" s="46">
        <v>3.8416332838487675</v>
      </c>
      <c r="DJ12" s="46">
        <v>3.9856940794946629</v>
      </c>
      <c r="DK12" s="46">
        <v>3.8804111840386954</v>
      </c>
      <c r="DL12" s="46">
        <v>3.8606235174531576</v>
      </c>
      <c r="DM12" s="46">
        <v>3.6140125567878885</v>
      </c>
      <c r="DN12" s="46">
        <v>3.8222119233774383</v>
      </c>
      <c r="DO12" s="46">
        <v>3.8982737788837141</v>
      </c>
      <c r="DP12" s="46">
        <v>3.7075567501245077</v>
      </c>
      <c r="DQ12" s="46">
        <v>3.8035214549025018</v>
      </c>
      <c r="DR12" s="46">
        <v>3.6821802638359498</v>
      </c>
      <c r="DS12" s="46">
        <v>3.6104313236909489</v>
      </c>
      <c r="DT12" s="46">
        <v>3.7007841237688299</v>
      </c>
      <c r="DU12" s="46">
        <v>3.4514575122022371</v>
      </c>
      <c r="DV12" s="46">
        <v>3.5684358295906375</v>
      </c>
      <c r="DW12" s="46">
        <v>3.4586282264401969</v>
      </c>
      <c r="DX12" s="46">
        <v>3.5433765177716734</v>
      </c>
      <c r="DY12" s="46">
        <v>3.1577101274674666</v>
      </c>
      <c r="DZ12" s="46">
        <v>3.1948623579755697</v>
      </c>
      <c r="EA12" s="46">
        <v>3.2216301226697301</v>
      </c>
      <c r="EB12" s="46">
        <v>3.0618062191133828</v>
      </c>
      <c r="EC12" s="46">
        <v>3.1069691383618969</v>
      </c>
      <c r="ED12" s="46">
        <v>3.1246810292932805</v>
      </c>
      <c r="EE12" s="46">
        <v>3.0611223955103966</v>
      </c>
      <c r="EF12" s="46">
        <v>2.9708024823330113</v>
      </c>
      <c r="EG12" s="46">
        <v>2.7589730951480038</v>
      </c>
      <c r="EH12" s="46">
        <v>2.8939377336566787</v>
      </c>
      <c r="EI12" s="46">
        <v>2.9199374237218771</v>
      </c>
      <c r="EJ12" s="46">
        <v>2.9219567255974672</v>
      </c>
      <c r="EK12" s="46">
        <v>2.9761863492894265</v>
      </c>
      <c r="EL12" s="46">
        <v>2.9283808905926496</v>
      </c>
      <c r="EM12" s="46">
        <v>2.9214277143540328</v>
      </c>
      <c r="EN12" s="46">
        <v>2.9595329964046955</v>
      </c>
      <c r="EO12" s="46">
        <v>2.8501250640782794</v>
      </c>
      <c r="EP12" s="46">
        <v>2.9477639444256361</v>
      </c>
      <c r="EQ12" s="46">
        <v>2.9278357367228431</v>
      </c>
      <c r="ER12" s="46">
        <v>2.8050403330500502</v>
      </c>
      <c r="ES12" s="46">
        <v>2.8945578415356863</v>
      </c>
      <c r="ET12" s="46">
        <v>2.9460658295365638</v>
      </c>
      <c r="EU12" s="46">
        <v>3.0635138642632573</v>
      </c>
      <c r="EV12" s="46">
        <v>3.0590000000000002</v>
      </c>
      <c r="EW12" s="46">
        <v>2.9862785714285707</v>
      </c>
      <c r="EX12" s="46">
        <v>2.9436285714285702</v>
      </c>
      <c r="EY12" s="46">
        <v>2.86625714285714</v>
      </c>
      <c r="EZ12" s="46">
        <v>2.7198214285714299</v>
      </c>
      <c r="FA12" s="46">
        <v>2.6221357142857098</v>
      </c>
      <c r="FB12" s="46">
        <v>2.6720000000000002</v>
      </c>
      <c r="FC12" s="46">
        <v>2.5907</v>
      </c>
      <c r="FD12" s="46">
        <v>2.3746</v>
      </c>
      <c r="FE12" s="46">
        <v>2.2907000000000002</v>
      </c>
      <c r="FF12" s="46">
        <v>2.2873999999999999</v>
      </c>
      <c r="FG12" s="46">
        <v>2.4315000000000002</v>
      </c>
      <c r="FH12" s="46">
        <v>2.5362</v>
      </c>
      <c r="FI12" s="46">
        <v>2.3243999999999998</v>
      </c>
      <c r="FJ12" s="46">
        <v>2.4796</v>
      </c>
      <c r="FK12" s="46">
        <v>2.6006999999999998</v>
      </c>
      <c r="FL12" s="46">
        <v>2.5194000000000001</v>
      </c>
      <c r="FM12" s="46">
        <v>2.6360000000000001</v>
      </c>
      <c r="FN12" s="46">
        <v>2.6785999999999999</v>
      </c>
      <c r="FO12" s="46">
        <v>2.6633</v>
      </c>
      <c r="FP12" s="46">
        <v>2.7271000000000001</v>
      </c>
      <c r="FQ12" s="46">
        <v>2.7238000000000002</v>
      </c>
      <c r="FR12" s="46">
        <v>2.8247</v>
      </c>
      <c r="FS12" s="46">
        <v>2.7096</v>
      </c>
      <c r="FT12" s="46">
        <v>2.7097000000000002</v>
      </c>
      <c r="FU12" s="46">
        <v>2.7347999999999999</v>
      </c>
      <c r="FV12" s="46">
        <v>2.7322000000000002</v>
      </c>
      <c r="FW12" s="46">
        <v>2.6675</v>
      </c>
      <c r="FX12" s="46">
        <v>2.6036999999999999</v>
      </c>
      <c r="FY12" s="46">
        <v>2.5693000000000001</v>
      </c>
      <c r="FZ12" s="46">
        <v>2.5045999999999999</v>
      </c>
      <c r="GA12" s="46">
        <v>2.5432999999999999</v>
      </c>
      <c r="GB12" s="46">
        <v>2.7852999999999999</v>
      </c>
      <c r="GC12" s="46">
        <v>2.7909000000000002</v>
      </c>
      <c r="GD12" s="46">
        <v>2.895</v>
      </c>
      <c r="GE12" s="46">
        <v>2.9039000000000001</v>
      </c>
      <c r="GF12" s="46">
        <v>2.8492000000000002</v>
      </c>
      <c r="GG12" s="46">
        <v>2.8247</v>
      </c>
      <c r="GH12" s="46">
        <v>2.597</v>
      </c>
      <c r="GI12" s="46">
        <v>2.6678000000000002</v>
      </c>
      <c r="GJ12" s="46">
        <v>2.3935</v>
      </c>
      <c r="GK12" s="46">
        <v>2.5019999999999998</v>
      </c>
      <c r="GL12" s="46">
        <v>2.4319000000000002</v>
      </c>
      <c r="GM12" s="46">
        <v>2.5908000000000002</v>
      </c>
      <c r="GN12" s="46">
        <v>2.4462999999999999</v>
      </c>
      <c r="GO12" s="46">
        <v>2.6341000000000001</v>
      </c>
      <c r="GP12" s="46">
        <v>2.5160999999999998</v>
      </c>
      <c r="GQ12" s="46">
        <v>2.4579</v>
      </c>
      <c r="GR12" s="46">
        <v>2.5116999999999998</v>
      </c>
      <c r="GS12" s="46">
        <v>2.4714</v>
      </c>
      <c r="GT12" s="46">
        <v>2.5762999999999998</v>
      </c>
      <c r="GU12" s="46">
        <v>2.6141000000000001</v>
      </c>
      <c r="GV12" s="46">
        <v>2.4220999999999999</v>
      </c>
      <c r="GW12" s="46">
        <v>2.4758</v>
      </c>
      <c r="GX12" s="46">
        <v>2.4906000000000001</v>
      </c>
      <c r="GY12" s="46">
        <v>2.5632000000000001</v>
      </c>
      <c r="GZ12" s="46">
        <v>2.657</v>
      </c>
      <c r="HA12" s="46">
        <v>2.5634000000000001</v>
      </c>
      <c r="HB12" s="46">
        <v>2.4659</v>
      </c>
      <c r="HC12" s="47">
        <v>2.2543000000000002</v>
      </c>
      <c r="HD12" s="46">
        <v>2.2732000000000001</v>
      </c>
      <c r="HE12" s="46">
        <v>2.3576999999999999</v>
      </c>
      <c r="HF12" s="47">
        <v>2.3938999999999999</v>
      </c>
      <c r="HG12" s="46">
        <v>2.4481000000000002</v>
      </c>
      <c r="HH12" s="46">
        <v>2.4681000000000002</v>
      </c>
      <c r="HI12" s="46">
        <v>2.4256000000000002</v>
      </c>
      <c r="HJ12" s="46">
        <v>2.5213999999999999</v>
      </c>
      <c r="HK12" s="46">
        <v>2.6941999999999999</v>
      </c>
      <c r="HL12" s="46">
        <v>2.7728999999999999</v>
      </c>
      <c r="HM12" s="46">
        <v>2.67</v>
      </c>
      <c r="HN12" s="46">
        <v>2.7208000000000001</v>
      </c>
      <c r="HO12" s="46">
        <v>2.7879</v>
      </c>
      <c r="HP12" s="46">
        <v>2.9077999999999999</v>
      </c>
      <c r="HQ12" s="46">
        <v>3.0270000000000001</v>
      </c>
      <c r="HR12" s="46">
        <v>3.0672000000000001</v>
      </c>
      <c r="HS12" s="46">
        <v>3.0150000000000001</v>
      </c>
      <c r="HT12" s="46">
        <v>3.0045999999999999</v>
      </c>
      <c r="HU12" s="46">
        <v>2.9108999999999998</v>
      </c>
      <c r="HV12" s="46">
        <v>2.9218999999999999</v>
      </c>
      <c r="HW12" s="46">
        <v>2.7639</v>
      </c>
      <c r="HX12" s="46">
        <v>2.8115000000000001</v>
      </c>
      <c r="HY12" s="46">
        <v>2.8704999999999998</v>
      </c>
      <c r="HZ12" s="46">
        <v>2.9483000000000001</v>
      </c>
      <c r="IA12" s="46">
        <v>3.1480999999999999</v>
      </c>
      <c r="IB12" s="46">
        <v>2.7789000000000001</v>
      </c>
      <c r="IC12" s="46">
        <v>2.8875000000000002</v>
      </c>
      <c r="ID12" s="46">
        <v>2.8807</v>
      </c>
      <c r="IE12" s="46">
        <v>2.8534999999999999</v>
      </c>
      <c r="IF12" s="46">
        <v>2.7456</v>
      </c>
      <c r="IG12" s="46">
        <v>2.5994000000000002</v>
      </c>
      <c r="IH12" s="46">
        <v>2.5034000000000001</v>
      </c>
      <c r="II12" s="46">
        <v>2.6753999999999998</v>
      </c>
      <c r="IJ12" s="46">
        <v>2.6764000000000001</v>
      </c>
      <c r="IK12" s="46">
        <v>2.6629</v>
      </c>
      <c r="IL12" s="46">
        <v>2.6080999999999999</v>
      </c>
      <c r="IM12" s="46">
        <v>2.6549999999999998</v>
      </c>
      <c r="IN12" s="46">
        <v>2.5436999999999999</v>
      </c>
      <c r="IO12" s="46">
        <v>2.395</v>
      </c>
      <c r="IP12" s="46">
        <v>2.524</v>
      </c>
      <c r="IQ12" s="46">
        <v>2.6846999999999999</v>
      </c>
      <c r="IR12" s="46">
        <v>2.5230000000000001</v>
      </c>
      <c r="IS12" s="46">
        <v>2.4365999999999999</v>
      </c>
    </row>
    <row r="13" spans="1:253" ht="21" customHeight="1" x14ac:dyDescent="0.3">
      <c r="A13" s="48" t="s">
        <v>15</v>
      </c>
      <c r="B13" s="46">
        <v>17.87</v>
      </c>
      <c r="C13" s="46">
        <v>18.78</v>
      </c>
      <c r="D13" s="46">
        <v>19.48</v>
      </c>
      <c r="E13" s="46">
        <v>20.260000000000002</v>
      </c>
      <c r="F13" s="46">
        <v>20.239999999999998</v>
      </c>
      <c r="G13" s="46">
        <v>20.03</v>
      </c>
      <c r="H13" s="46">
        <v>20.07</v>
      </c>
      <c r="I13" s="46">
        <v>20.16</v>
      </c>
      <c r="J13" s="46">
        <v>20.02</v>
      </c>
      <c r="K13" s="46">
        <v>21.23</v>
      </c>
      <c r="L13" s="46">
        <v>21.08</v>
      </c>
      <c r="M13" s="46">
        <v>20.61</v>
      </c>
      <c r="N13" s="46">
        <v>20.32</v>
      </c>
      <c r="O13" s="46">
        <v>20.34</v>
      </c>
      <c r="P13" s="46">
        <v>21.62</v>
      </c>
      <c r="Q13" s="46">
        <v>21.81</v>
      </c>
      <c r="R13" s="46">
        <v>21.77</v>
      </c>
      <c r="S13" s="46">
        <v>20.79</v>
      </c>
      <c r="T13" s="46">
        <v>21.87</v>
      </c>
      <c r="U13" s="46">
        <v>21.61</v>
      </c>
      <c r="V13" s="46">
        <v>21.84</v>
      </c>
      <c r="W13" s="46">
        <v>21.6</v>
      </c>
      <c r="X13" s="46">
        <v>20.73</v>
      </c>
      <c r="Y13" s="46">
        <v>20.5</v>
      </c>
      <c r="Z13" s="46">
        <v>21.07</v>
      </c>
      <c r="AA13" s="46">
        <v>21.66</v>
      </c>
      <c r="AB13" s="46">
        <v>22.72</v>
      </c>
      <c r="AC13" s="46">
        <v>22.5</v>
      </c>
      <c r="AD13" s="46">
        <v>22.32</v>
      </c>
      <c r="AE13" s="46">
        <v>22.56</v>
      </c>
      <c r="AF13" s="46">
        <v>22.87</v>
      </c>
      <c r="AG13" s="46">
        <v>23.97</v>
      </c>
      <c r="AH13" s="46">
        <v>25.13</v>
      </c>
      <c r="AI13" s="46">
        <v>25.15</v>
      </c>
      <c r="AJ13" s="46">
        <v>24.23</v>
      </c>
      <c r="AK13" s="46">
        <v>24.43</v>
      </c>
      <c r="AL13" s="46">
        <v>24.63</v>
      </c>
      <c r="AM13" s="46">
        <v>23.67</v>
      </c>
      <c r="AN13" s="46">
        <v>23.14</v>
      </c>
      <c r="AO13" s="46">
        <v>23.22</v>
      </c>
      <c r="AP13" s="46">
        <v>23.64</v>
      </c>
      <c r="AQ13" s="46">
        <v>23.58</v>
      </c>
      <c r="AR13" s="46">
        <v>23.85</v>
      </c>
      <c r="AS13" s="46">
        <v>23.42</v>
      </c>
      <c r="AT13" s="46">
        <v>23.52</v>
      </c>
      <c r="AU13" s="46">
        <v>24.02</v>
      </c>
      <c r="AV13" s="46">
        <v>23.42</v>
      </c>
      <c r="AW13" s="46">
        <v>23.9</v>
      </c>
      <c r="AX13" s="46">
        <v>24.65</v>
      </c>
      <c r="AY13" s="46">
        <v>25.64</v>
      </c>
      <c r="AZ13" s="46">
        <v>25.23</v>
      </c>
      <c r="BA13" s="46">
        <v>25.63</v>
      </c>
      <c r="BB13" s="46">
        <v>26.68</v>
      </c>
      <c r="BC13" s="46">
        <v>26.42</v>
      </c>
      <c r="BD13" s="46">
        <v>26.56</v>
      </c>
      <c r="BE13" s="46">
        <v>27.71</v>
      </c>
      <c r="BF13" s="46">
        <v>27.56</v>
      </c>
      <c r="BG13" s="46">
        <v>26.95</v>
      </c>
      <c r="BH13" s="46">
        <v>27.48</v>
      </c>
      <c r="BI13" s="46">
        <v>27.2</v>
      </c>
      <c r="BJ13" s="46">
        <v>26.9</v>
      </c>
      <c r="BK13" s="46">
        <v>26.01</v>
      </c>
      <c r="BL13" s="46">
        <v>26.04</v>
      </c>
      <c r="BM13" s="46">
        <v>26.46</v>
      </c>
      <c r="BN13" s="46">
        <v>26.400200000000002</v>
      </c>
      <c r="BO13" s="46">
        <v>26.584900000000001</v>
      </c>
      <c r="BP13" s="46">
        <v>26.7209</v>
      </c>
      <c r="BQ13" s="46">
        <v>27.303999999999998</v>
      </c>
      <c r="BR13" s="46">
        <v>25.878499999999999</v>
      </c>
      <c r="BS13" s="46">
        <v>27.0215</v>
      </c>
      <c r="BT13" s="46">
        <v>26.695599999999999</v>
      </c>
      <c r="BU13" s="46">
        <v>26.8569</v>
      </c>
      <c r="BV13" s="46">
        <v>25.628499999999999</v>
      </c>
      <c r="BW13" s="46">
        <v>26.9651</v>
      </c>
      <c r="BX13" s="46">
        <v>27.309100000000001</v>
      </c>
      <c r="BY13" s="46">
        <v>26.000499999999999</v>
      </c>
      <c r="BZ13" s="46">
        <v>26.302299999999999</v>
      </c>
      <c r="CA13" s="46">
        <v>26.456700000000001</v>
      </c>
      <c r="CB13" s="46">
        <v>28.609500000000001</v>
      </c>
      <c r="CC13" s="46">
        <v>27.107099999999999</v>
      </c>
      <c r="CD13" s="46">
        <v>30.787600000000001</v>
      </c>
      <c r="CE13" s="46">
        <v>29.009</v>
      </c>
      <c r="CF13" s="46">
        <v>29.9011</v>
      </c>
      <c r="CG13" s="46">
        <v>29.859300000000001</v>
      </c>
      <c r="CH13" s="46">
        <v>30.399699999999999</v>
      </c>
      <c r="CI13" s="46">
        <v>30.834900000000001</v>
      </c>
      <c r="CJ13" s="46">
        <v>30.603999999999999</v>
      </c>
      <c r="CK13" s="46">
        <v>30.225899999999999</v>
      </c>
      <c r="CL13" s="46">
        <v>30.743400000000001</v>
      </c>
      <c r="CM13" s="46">
        <v>30.523499999999999</v>
      </c>
      <c r="CN13" s="46">
        <v>29.996300000000002</v>
      </c>
      <c r="CO13" s="46">
        <v>30.463799999999999</v>
      </c>
      <c r="CP13" s="46">
        <v>29.658999999999999</v>
      </c>
      <c r="CQ13" s="46">
        <v>29.932387020470024</v>
      </c>
      <c r="CR13" s="46">
        <v>31.006065967336447</v>
      </c>
      <c r="CS13" s="46">
        <v>31.667320192111127</v>
      </c>
      <c r="CT13" s="46">
        <v>31.002429732801833</v>
      </c>
      <c r="CU13" s="46">
        <v>31.312560317647158</v>
      </c>
      <c r="CV13" s="46">
        <v>33.26648573910277</v>
      </c>
      <c r="CW13" s="46">
        <v>32.417885079418781</v>
      </c>
      <c r="CX13" s="46">
        <v>32.648237071259658</v>
      </c>
      <c r="CY13" s="46">
        <v>32.119593530142126</v>
      </c>
      <c r="CZ13" s="46">
        <v>32.453339202412096</v>
      </c>
      <c r="DA13" s="46">
        <v>33.7003869210346</v>
      </c>
      <c r="DB13" s="46">
        <v>34.802824043659051</v>
      </c>
      <c r="DC13" s="46">
        <v>35.848340580052046</v>
      </c>
      <c r="DD13" s="46">
        <v>34.942476068757806</v>
      </c>
      <c r="DE13" s="46">
        <v>32.858827248066497</v>
      </c>
      <c r="DF13" s="46">
        <v>33.739890855462278</v>
      </c>
      <c r="DG13" s="46">
        <v>32.419063314337926</v>
      </c>
      <c r="DH13" s="46">
        <v>31.944445927649429</v>
      </c>
      <c r="DI13" s="46">
        <v>32.549865851118632</v>
      </c>
      <c r="DJ13" s="46">
        <v>32.988249011225641</v>
      </c>
      <c r="DK13" s="46">
        <v>32.769669209929454</v>
      </c>
      <c r="DL13" s="46">
        <v>32.673095466142037</v>
      </c>
      <c r="DM13" s="46">
        <v>31.46935338162195</v>
      </c>
      <c r="DN13" s="46">
        <v>32.985705936886248</v>
      </c>
      <c r="DO13" s="46">
        <v>32.286280264023411</v>
      </c>
      <c r="DP13" s="46">
        <v>32.461569632904229</v>
      </c>
      <c r="DQ13" s="46">
        <v>33.12353255262245</v>
      </c>
      <c r="DR13" s="46">
        <v>33.804537399921053</v>
      </c>
      <c r="DS13" s="46">
        <v>33.900937943332458</v>
      </c>
      <c r="DT13" s="46">
        <v>34.000860569091984</v>
      </c>
      <c r="DU13" s="46">
        <v>33.880883901578464</v>
      </c>
      <c r="DV13" s="46">
        <v>33.598031437847332</v>
      </c>
      <c r="DW13" s="46">
        <v>33.295861056000511</v>
      </c>
      <c r="DX13" s="46">
        <v>33.545808047010063</v>
      </c>
      <c r="DY13" s="46">
        <v>33.049334960454381</v>
      </c>
      <c r="DZ13" s="46">
        <v>33.338557746409883</v>
      </c>
      <c r="EA13" s="46">
        <v>33.741992337888043</v>
      </c>
      <c r="EB13" s="46">
        <v>33.692889019657507</v>
      </c>
      <c r="EC13" s="46">
        <v>34.366963186970331</v>
      </c>
      <c r="ED13" s="46">
        <v>34.099848636950199</v>
      </c>
      <c r="EE13" s="46">
        <v>34.089317010338014</v>
      </c>
      <c r="EF13" s="46">
        <v>34.493984546866109</v>
      </c>
      <c r="EG13" s="46">
        <v>34.265764580679743</v>
      </c>
      <c r="EH13" s="46">
        <v>34.519829125290215</v>
      </c>
      <c r="EI13" s="46">
        <v>34.543414154852449</v>
      </c>
      <c r="EJ13" s="46">
        <v>34.616587209475725</v>
      </c>
      <c r="EK13" s="46">
        <v>34.275326012044609</v>
      </c>
      <c r="EL13" s="46">
        <v>34.512134630468196</v>
      </c>
      <c r="EM13" s="46">
        <v>34.071467668531454</v>
      </c>
      <c r="EN13" s="46">
        <v>34.108328458431558</v>
      </c>
      <c r="EO13" s="46">
        <v>33.506337416692084</v>
      </c>
      <c r="EP13" s="46">
        <v>33.280490755568088</v>
      </c>
      <c r="EQ13" s="46">
        <v>33.150796174633285</v>
      </c>
      <c r="ER13" s="46">
        <v>32.553019100693419</v>
      </c>
      <c r="ES13" s="46">
        <v>36.063031378199504</v>
      </c>
      <c r="ET13" s="46">
        <v>35.536138469291238</v>
      </c>
      <c r="EU13" s="46">
        <v>38.169667996803135</v>
      </c>
      <c r="EV13" s="46">
        <v>38.182985714285714</v>
      </c>
      <c r="EW13" s="46">
        <v>38.26246428571428</v>
      </c>
      <c r="EX13" s="46">
        <v>38.563585714285701</v>
      </c>
      <c r="EY13" s="46">
        <v>37.409700000000001</v>
      </c>
      <c r="EZ13" s="46">
        <v>37.461314285714302</v>
      </c>
      <c r="FA13" s="46">
        <v>37.356064285714297</v>
      </c>
      <c r="FB13" s="46">
        <v>37.1175</v>
      </c>
      <c r="FC13" s="46">
        <v>35.9041</v>
      </c>
      <c r="FD13" s="46">
        <v>37.100099999999998</v>
      </c>
      <c r="FE13" s="46">
        <v>36.229300000000002</v>
      </c>
      <c r="FF13" s="46">
        <v>36.792400000000001</v>
      </c>
      <c r="FG13" s="46">
        <v>37.400599999999997</v>
      </c>
      <c r="FH13" s="46">
        <v>37.299900000000001</v>
      </c>
      <c r="FI13" s="46">
        <v>36.595799999999997</v>
      </c>
      <c r="FJ13" s="46">
        <v>37.314</v>
      </c>
      <c r="FK13" s="46">
        <v>37.3157</v>
      </c>
      <c r="FL13" s="46">
        <v>36.978900000000003</v>
      </c>
      <c r="FM13" s="46">
        <v>37.720399999999998</v>
      </c>
      <c r="FN13" s="46">
        <v>37.125300000000003</v>
      </c>
      <c r="FO13" s="46">
        <v>36.414299999999997</v>
      </c>
      <c r="FP13" s="46">
        <v>36.206000000000003</v>
      </c>
      <c r="FQ13" s="46">
        <v>36.781199999999998</v>
      </c>
      <c r="FR13" s="46">
        <v>36.263500000000001</v>
      </c>
      <c r="FS13" s="46">
        <v>36.354199999999999</v>
      </c>
      <c r="FT13" s="46">
        <v>36.230499999999999</v>
      </c>
      <c r="FU13" s="46">
        <v>36.554299999999998</v>
      </c>
      <c r="FV13" s="46">
        <v>36.958500000000001</v>
      </c>
      <c r="FW13" s="46">
        <v>35.652299999999997</v>
      </c>
      <c r="FX13" s="46">
        <v>35.055300000000003</v>
      </c>
      <c r="FY13" s="46">
        <v>35.7042</v>
      </c>
      <c r="FZ13" s="46">
        <v>35.206400000000002</v>
      </c>
      <c r="GA13" s="46">
        <v>35.178899999999999</v>
      </c>
      <c r="GB13" s="46">
        <v>35.158499999999997</v>
      </c>
      <c r="GC13" s="46">
        <v>35.618000000000002</v>
      </c>
      <c r="GD13" s="46">
        <v>36.009900000000002</v>
      </c>
      <c r="GE13" s="46">
        <v>35.813800000000001</v>
      </c>
      <c r="GF13" s="46">
        <v>35.322899999999997</v>
      </c>
      <c r="GG13" s="46">
        <v>35.604199999999999</v>
      </c>
      <c r="GH13" s="46">
        <v>35.619799999999998</v>
      </c>
      <c r="GI13" s="46">
        <v>35.282800000000002</v>
      </c>
      <c r="GJ13" s="46">
        <v>36.072299999999998</v>
      </c>
      <c r="GK13" s="46">
        <v>35.859200000000001</v>
      </c>
      <c r="GL13" s="46">
        <v>35.159100000000002</v>
      </c>
      <c r="GM13" s="46">
        <v>35.2151</v>
      </c>
      <c r="GN13" s="46">
        <v>35.510899999999999</v>
      </c>
      <c r="GO13" s="46">
        <v>35.076900000000002</v>
      </c>
      <c r="GP13" s="46">
        <v>34.817500000000003</v>
      </c>
      <c r="GQ13" s="46">
        <v>35.6873</v>
      </c>
      <c r="GR13" s="46">
        <v>35.038200000000003</v>
      </c>
      <c r="GS13" s="46">
        <v>36.0914</v>
      </c>
      <c r="GT13" s="46">
        <v>37.082299999999996</v>
      </c>
      <c r="GU13" s="46">
        <v>37.077300000000001</v>
      </c>
      <c r="GV13" s="46">
        <v>37.271700000000003</v>
      </c>
      <c r="GW13" s="46">
        <v>37.4465</v>
      </c>
      <c r="GX13" s="46">
        <v>37.391800000000003</v>
      </c>
      <c r="GY13" s="46">
        <v>37.347700000000003</v>
      </c>
      <c r="GZ13" s="46">
        <v>38.2134</v>
      </c>
      <c r="HA13" s="46">
        <v>38.555799999999998</v>
      </c>
      <c r="HB13" s="46">
        <v>39.309699999999999</v>
      </c>
      <c r="HC13" s="47">
        <v>41.644599999999997</v>
      </c>
      <c r="HD13" s="46">
        <v>41.856999999999999</v>
      </c>
      <c r="HE13" s="46">
        <v>42.307000000000002</v>
      </c>
      <c r="HF13" s="47">
        <v>42.946599999999997</v>
      </c>
      <c r="HG13" s="46">
        <v>44.6905</v>
      </c>
      <c r="HH13" s="46">
        <v>44.685499999999998</v>
      </c>
      <c r="HI13" s="46">
        <v>44.082000000000001</v>
      </c>
      <c r="HJ13" s="46">
        <v>44.515700000000002</v>
      </c>
      <c r="HK13" s="46">
        <v>44.889200000000002</v>
      </c>
      <c r="HL13" s="46">
        <v>45.4298</v>
      </c>
      <c r="HM13" s="46">
        <v>45.2986</v>
      </c>
      <c r="HN13" s="46">
        <v>44.6571</v>
      </c>
      <c r="HO13" s="46">
        <v>43.6023</v>
      </c>
      <c r="HP13" s="46">
        <v>45.139899999999997</v>
      </c>
      <c r="HQ13" s="46">
        <v>45.832900000000002</v>
      </c>
      <c r="HR13" s="46">
        <v>47.029699999999998</v>
      </c>
      <c r="HS13" s="46">
        <v>47.7468</v>
      </c>
      <c r="HT13" s="46">
        <v>47.2926</v>
      </c>
      <c r="HU13" s="46">
        <v>46.471699999999998</v>
      </c>
      <c r="HV13" s="46">
        <v>47.765300000000003</v>
      </c>
      <c r="HW13" s="46">
        <v>47.645499999999998</v>
      </c>
      <c r="HX13" s="46">
        <v>48.345799999999997</v>
      </c>
      <c r="HY13" s="46">
        <v>47.383299999999998</v>
      </c>
      <c r="HZ13" s="46">
        <v>48.305</v>
      </c>
      <c r="IA13" s="46">
        <v>48.896599999999999</v>
      </c>
      <c r="IB13" s="46">
        <v>45.078600000000002</v>
      </c>
      <c r="IC13" s="46">
        <v>46.108199999999997</v>
      </c>
      <c r="ID13" s="46">
        <v>48.380899999999997</v>
      </c>
      <c r="IE13" s="46">
        <v>48.422600000000003</v>
      </c>
      <c r="IF13" s="46">
        <v>46.837000000000003</v>
      </c>
      <c r="IG13" s="46">
        <v>47.11</v>
      </c>
      <c r="IH13" s="46">
        <v>44.97</v>
      </c>
      <c r="II13" s="46">
        <v>46.869199999999999</v>
      </c>
      <c r="IJ13" s="46">
        <v>48.483600000000003</v>
      </c>
      <c r="IK13" s="46">
        <v>49.404499999999999</v>
      </c>
      <c r="IL13" s="46">
        <v>50.506999999999998</v>
      </c>
      <c r="IM13" s="46">
        <v>50.785200000000003</v>
      </c>
      <c r="IN13" s="46">
        <v>51.218000000000004</v>
      </c>
      <c r="IO13" s="46">
        <v>51.2012</v>
      </c>
      <c r="IP13" s="46">
        <v>51.669699999999999</v>
      </c>
      <c r="IQ13" s="46">
        <v>53.435200000000002</v>
      </c>
      <c r="IR13" s="46">
        <v>52.714799999999997</v>
      </c>
      <c r="IS13" s="46">
        <v>49.685899999999997</v>
      </c>
    </row>
    <row r="14" spans="1:253" ht="21" customHeight="1" x14ac:dyDescent="0.3">
      <c r="A14" s="48" t="s">
        <v>14</v>
      </c>
      <c r="B14" s="46">
        <v>30.524999999999999</v>
      </c>
      <c r="C14" s="46">
        <v>30.447800000000001</v>
      </c>
      <c r="D14" s="46">
        <v>30.369299999999999</v>
      </c>
      <c r="E14" s="46">
        <v>30.158100000000001</v>
      </c>
      <c r="F14" s="46">
        <v>29.989899999999999</v>
      </c>
      <c r="G14" s="46">
        <v>29.904</v>
      </c>
      <c r="H14" s="46">
        <v>29.880700000000001</v>
      </c>
      <c r="I14" s="46">
        <v>29.8596</v>
      </c>
      <c r="J14" s="46">
        <v>29.727</v>
      </c>
      <c r="K14" s="46">
        <v>29.448899999999998</v>
      </c>
      <c r="L14" s="46">
        <v>28.6342</v>
      </c>
      <c r="M14" s="46">
        <v>28.0688</v>
      </c>
      <c r="N14" s="46">
        <v>27.745000000000001</v>
      </c>
      <c r="O14" s="46">
        <v>27.694099999999999</v>
      </c>
      <c r="P14" s="46">
        <v>27.87</v>
      </c>
      <c r="Q14" s="46">
        <v>29.495999999999999</v>
      </c>
      <c r="R14" s="46">
        <v>29.777999999999999</v>
      </c>
      <c r="S14" s="46">
        <v>29.445</v>
      </c>
      <c r="T14" s="46">
        <v>28.992000000000001</v>
      </c>
      <c r="U14" s="46">
        <v>28.841999999999999</v>
      </c>
      <c r="V14" s="46">
        <v>28.405000000000001</v>
      </c>
      <c r="W14" s="46">
        <v>26.8216</v>
      </c>
      <c r="X14" s="46">
        <v>26.234999999999999</v>
      </c>
      <c r="Y14" s="46">
        <v>26.097000000000001</v>
      </c>
      <c r="Z14" s="46">
        <v>26.909300000000002</v>
      </c>
      <c r="AA14" s="46">
        <v>27.959599999999998</v>
      </c>
      <c r="AB14" s="46">
        <v>28.475999999999999</v>
      </c>
      <c r="AC14" s="46">
        <v>28.454999999999998</v>
      </c>
      <c r="AD14" s="46">
        <v>28.556000000000001</v>
      </c>
      <c r="AE14" s="46">
        <v>28.727</v>
      </c>
      <c r="AF14" s="46">
        <v>28.8154</v>
      </c>
      <c r="AG14" s="46">
        <v>28.775500000000001</v>
      </c>
      <c r="AH14" s="46">
        <v>28.696999999999999</v>
      </c>
      <c r="AI14" s="46">
        <v>28.486999999999998</v>
      </c>
      <c r="AJ14" s="46">
        <v>28.808</v>
      </c>
      <c r="AK14" s="46">
        <v>29.294</v>
      </c>
      <c r="AL14" s="46">
        <v>29.3139</v>
      </c>
      <c r="AM14" s="46">
        <v>29.457999999999998</v>
      </c>
      <c r="AN14" s="46">
        <v>29.6083</v>
      </c>
      <c r="AO14" s="46">
        <v>29.8581</v>
      </c>
      <c r="AP14" s="46">
        <v>29.977499999999999</v>
      </c>
      <c r="AQ14" s="46">
        <v>30.4557</v>
      </c>
      <c r="AR14" s="46">
        <v>30.542400000000001</v>
      </c>
      <c r="AS14" s="46">
        <v>30.7453</v>
      </c>
      <c r="AT14" s="46">
        <v>30.7883</v>
      </c>
      <c r="AU14" s="46">
        <v>30.813199999999998</v>
      </c>
      <c r="AV14" s="46">
        <v>30.8841</v>
      </c>
      <c r="AW14" s="46">
        <v>30.957999999999998</v>
      </c>
      <c r="AX14" s="46">
        <v>30.9801</v>
      </c>
      <c r="AY14" s="46">
        <v>30.9785</v>
      </c>
      <c r="AZ14" s="46">
        <v>31.011800000000001</v>
      </c>
      <c r="BA14" s="46">
        <v>31.5261</v>
      </c>
      <c r="BB14" s="46">
        <v>32.523099999999999</v>
      </c>
      <c r="BC14" s="46">
        <v>32.689799999999998</v>
      </c>
      <c r="BD14" s="46">
        <v>32.935400000000001</v>
      </c>
      <c r="BE14" s="46">
        <v>33.223300000000002</v>
      </c>
      <c r="BF14" s="46">
        <v>33.424599999999998</v>
      </c>
      <c r="BG14" s="46">
        <v>33.630299999999998</v>
      </c>
      <c r="BH14" s="46">
        <v>33.241900000000001</v>
      </c>
      <c r="BI14" s="46">
        <v>32.928400000000003</v>
      </c>
      <c r="BJ14" s="46">
        <v>32.288200000000003</v>
      </c>
      <c r="BK14" s="46">
        <v>31.929099999999998</v>
      </c>
      <c r="BL14" s="46">
        <v>32.023899999999998</v>
      </c>
      <c r="BM14" s="46">
        <v>31.774100000000001</v>
      </c>
      <c r="BN14" s="46">
        <v>31.686900000000001</v>
      </c>
      <c r="BO14" s="46">
        <v>31.081499999999998</v>
      </c>
      <c r="BP14" s="46">
        <v>30.901299999999999</v>
      </c>
      <c r="BQ14" s="46">
        <v>30.527000000000001</v>
      </c>
      <c r="BR14" s="46">
        <v>29.049900000000001</v>
      </c>
      <c r="BS14" s="46">
        <v>29.220500000000001</v>
      </c>
      <c r="BT14" s="46">
        <v>28.053999999999998</v>
      </c>
      <c r="BU14" s="46">
        <v>26.780799999999999</v>
      </c>
      <c r="BV14" s="46">
        <v>26.6051</v>
      </c>
      <c r="BW14" s="46">
        <v>28.183700000000002</v>
      </c>
      <c r="BX14" s="46">
        <v>27.7088</v>
      </c>
      <c r="BY14" s="46">
        <v>27.177299999999999</v>
      </c>
      <c r="BZ14" s="46">
        <v>28.766400000000001</v>
      </c>
      <c r="CA14" s="46">
        <v>28.901900000000001</v>
      </c>
      <c r="CB14" s="46">
        <v>32.505499999999998</v>
      </c>
      <c r="CC14" s="46">
        <v>32.383499999999998</v>
      </c>
      <c r="CD14" s="46">
        <v>32.446300000000001</v>
      </c>
      <c r="CE14" s="46">
        <v>33.317</v>
      </c>
      <c r="CF14" s="46">
        <v>34.681100000000001</v>
      </c>
      <c r="CG14" s="46">
        <v>34.050600000000003</v>
      </c>
      <c r="CH14" s="46">
        <v>34.295999999999999</v>
      </c>
      <c r="CI14" s="46">
        <v>33.1843</v>
      </c>
      <c r="CJ14" s="46">
        <v>33.032400000000003</v>
      </c>
      <c r="CK14" s="46">
        <v>32.719000000000001</v>
      </c>
      <c r="CL14" s="46">
        <v>32.546700000000001</v>
      </c>
      <c r="CM14" s="46">
        <v>31.5246</v>
      </c>
      <c r="CN14" s="46">
        <v>31.084399999999999</v>
      </c>
      <c r="CO14" s="46">
        <v>30.486699999999999</v>
      </c>
      <c r="CP14" s="46">
        <v>34.206000000000003</v>
      </c>
      <c r="CQ14" s="46">
        <v>31.098413933076927</v>
      </c>
      <c r="CR14" s="46">
        <v>31.691057399999998</v>
      </c>
      <c r="CS14" s="46">
        <v>30.924607939999998</v>
      </c>
      <c r="CT14" s="46">
        <v>30.510382406428576</v>
      </c>
      <c r="CU14" s="46">
        <v>31.298728171071428</v>
      </c>
      <c r="CV14" s="46">
        <v>31.171405866428568</v>
      </c>
      <c r="CW14" s="46">
        <v>30.495615851785715</v>
      </c>
      <c r="CX14" s="46">
        <v>30.221834158571429</v>
      </c>
      <c r="CY14" s="46">
        <v>29.437642964285711</v>
      </c>
      <c r="CZ14" s="46">
        <v>28.309520411071425</v>
      </c>
      <c r="DA14" s="46">
        <v>28.633557865714288</v>
      </c>
      <c r="DB14" s="46">
        <v>28.897772164999999</v>
      </c>
      <c r="DC14" s="46">
        <v>28.670885417857143</v>
      </c>
      <c r="DD14" s="46">
        <v>28.550806060714283</v>
      </c>
      <c r="DE14" s="46">
        <v>29.588867412142861</v>
      </c>
      <c r="DF14" s="46">
        <v>29.426150412142853</v>
      </c>
      <c r="DG14" s="46">
        <v>29.811181982142852</v>
      </c>
      <c r="DH14" s="46">
        <v>30.044272552857141</v>
      </c>
      <c r="DI14" s="46">
        <v>29.734324928571425</v>
      </c>
      <c r="DJ14" s="46">
        <v>29.492417607142862</v>
      </c>
      <c r="DK14" s="46">
        <v>29.576342892857145</v>
      </c>
      <c r="DL14" s="46">
        <v>29.638123822857136</v>
      </c>
      <c r="DM14" s="46">
        <v>30.495616589285721</v>
      </c>
      <c r="DN14" s="46">
        <v>31.517259767857144</v>
      </c>
      <c r="DO14" s="46">
        <v>31.602478607142853</v>
      </c>
      <c r="DP14" s="46">
        <v>31.095365642857143</v>
      </c>
      <c r="DQ14" s="46">
        <v>30.958002892857138</v>
      </c>
      <c r="DR14" s="46">
        <v>31.488185839285709</v>
      </c>
      <c r="DS14" s="46">
        <v>31.369702410714286</v>
      </c>
      <c r="DT14" s="46">
        <v>31.019555</v>
      </c>
      <c r="DU14" s="46">
        <v>30.764621428571427</v>
      </c>
      <c r="DV14" s="46">
        <v>31.144433571428571</v>
      </c>
      <c r="DW14" s="46">
        <v>31.512893214285715</v>
      </c>
      <c r="DX14" s="46">
        <v>31.359302499999995</v>
      </c>
      <c r="DY14" s="46">
        <v>31.460323214285715</v>
      </c>
      <c r="DZ14" s="46">
        <v>31.397255714285713</v>
      </c>
      <c r="EA14" s="46">
        <v>31.29974285714286</v>
      </c>
      <c r="EB14" s="46">
        <v>31.289606785714287</v>
      </c>
      <c r="EC14" s="46">
        <v>31.063426428571436</v>
      </c>
      <c r="ED14" s="46">
        <v>30.695694000000003</v>
      </c>
      <c r="EE14" s="46">
        <v>30.848288999999998</v>
      </c>
      <c r="EF14" s="46">
        <v>30.594651428571431</v>
      </c>
      <c r="EG14" s="46">
        <v>30.699379642857146</v>
      </c>
      <c r="EH14" s="46">
        <v>30.636903571428572</v>
      </c>
      <c r="EI14" s="46">
        <v>30.61483464285714</v>
      </c>
      <c r="EJ14" s="46">
        <v>30.532384714285719</v>
      </c>
      <c r="EK14" s="46">
        <v>30.724977142857146</v>
      </c>
      <c r="EL14" s="46">
        <v>30.710060499999994</v>
      </c>
      <c r="EM14" s="46">
        <v>30.907627796571425</v>
      </c>
      <c r="EN14" s="46">
        <v>31.164286348999998</v>
      </c>
      <c r="EO14" s="46">
        <v>31.730047428571428</v>
      </c>
      <c r="EP14" s="46">
        <v>31.747250407142854</v>
      </c>
      <c r="EQ14" s="46">
        <v>31.903080589285715</v>
      </c>
      <c r="ER14" s="46">
        <v>32.097679571428571</v>
      </c>
      <c r="ES14" s="46">
        <v>33.123232842857142</v>
      </c>
      <c r="ET14" s="46">
        <v>33.661349539285716</v>
      </c>
      <c r="EU14" s="46">
        <v>36.814109928571433</v>
      </c>
      <c r="EV14" s="46">
        <v>35.702300000000001</v>
      </c>
      <c r="EW14" s="46">
        <v>35.877392857142858</v>
      </c>
      <c r="EX14" s="46">
        <v>35.744807142857098</v>
      </c>
      <c r="EY14" s="46">
        <v>36.0229</v>
      </c>
      <c r="EZ14" s="46">
        <v>35.800971428571401</v>
      </c>
      <c r="FA14" s="46">
        <v>36.150064285714301</v>
      </c>
      <c r="FB14" s="46">
        <v>36.5837</v>
      </c>
      <c r="FC14" s="46">
        <v>36.865000000000002</v>
      </c>
      <c r="FD14" s="46">
        <v>36.531199999999998</v>
      </c>
      <c r="FE14" s="46">
        <v>36.616900000000001</v>
      </c>
      <c r="FF14" s="46">
        <v>36.545900000000003</v>
      </c>
      <c r="FG14" s="46">
        <v>35.995600000000003</v>
      </c>
      <c r="FH14" s="46">
        <v>35.8185</v>
      </c>
      <c r="FI14" s="46">
        <v>36.176699999999997</v>
      </c>
      <c r="FJ14" s="46">
        <v>36.445599999999999</v>
      </c>
      <c r="FK14" s="46">
        <v>36.415999999999997</v>
      </c>
      <c r="FL14" s="46">
        <v>36.211399999999998</v>
      </c>
      <c r="FM14" s="46">
        <v>36.305799999999998</v>
      </c>
      <c r="FN14" s="46">
        <v>36.522300000000001</v>
      </c>
      <c r="FO14" s="46">
        <v>36.749899999999997</v>
      </c>
      <c r="FP14" s="46">
        <v>36.8155</v>
      </c>
      <c r="FQ14" s="46">
        <v>36.4724</v>
      </c>
      <c r="FR14" s="46">
        <v>36.432200000000002</v>
      </c>
      <c r="FS14" s="46">
        <v>36.278599999999997</v>
      </c>
      <c r="FT14" s="46">
        <v>35.915100000000002</v>
      </c>
      <c r="FU14" s="46">
        <v>35.539400000000001</v>
      </c>
      <c r="FV14" s="46">
        <v>35.2395</v>
      </c>
      <c r="FW14" s="46">
        <v>34.428400000000003</v>
      </c>
      <c r="FX14" s="46">
        <v>33.698900000000002</v>
      </c>
      <c r="FY14" s="46">
        <v>34.591200000000001</v>
      </c>
      <c r="FZ14" s="46">
        <v>34.972900000000003</v>
      </c>
      <c r="GA14" s="46">
        <v>34.556800000000003</v>
      </c>
      <c r="GB14" s="46">
        <v>34.346400000000003</v>
      </c>
      <c r="GC14" s="46">
        <v>33.329500000000003</v>
      </c>
      <c r="GD14" s="46">
        <v>33.771099999999997</v>
      </c>
      <c r="GE14" s="46">
        <v>34.098799999999997</v>
      </c>
      <c r="GF14" s="46">
        <v>34.742100000000001</v>
      </c>
      <c r="GG14" s="46">
        <v>35.031399999999998</v>
      </c>
      <c r="GH14" s="46">
        <v>35.237900000000003</v>
      </c>
      <c r="GI14" s="46">
        <v>34.724299999999999</v>
      </c>
      <c r="GJ14" s="46">
        <v>34.7971</v>
      </c>
      <c r="GK14" s="46">
        <v>34.843600000000002</v>
      </c>
      <c r="GL14" s="46">
        <v>35.168599999999998</v>
      </c>
      <c r="GM14" s="46">
        <v>34.924300000000002</v>
      </c>
      <c r="GN14" s="46">
        <v>34.814300000000003</v>
      </c>
      <c r="GO14" s="46">
        <v>34.650700000000001</v>
      </c>
      <c r="GP14" s="46">
        <v>34.608600000000003</v>
      </c>
      <c r="GQ14" s="46">
        <v>35.361400000000003</v>
      </c>
      <c r="GR14" s="46">
        <v>35.529299999999999</v>
      </c>
      <c r="GS14" s="46">
        <v>36.097900000000003</v>
      </c>
      <c r="GT14" s="46">
        <v>35.998600000000003</v>
      </c>
      <c r="GU14" s="46">
        <v>36.563600000000001</v>
      </c>
      <c r="GV14" s="46">
        <v>36.618600000000001</v>
      </c>
      <c r="GW14" s="46">
        <v>36.92</v>
      </c>
      <c r="GX14" s="46">
        <v>36.7121</v>
      </c>
      <c r="GY14" s="46">
        <v>37.0886</v>
      </c>
      <c r="GZ14" s="46">
        <v>36.8279</v>
      </c>
      <c r="HA14" s="46">
        <v>37.227899999999998</v>
      </c>
      <c r="HB14" s="46">
        <v>37.862900000000003</v>
      </c>
      <c r="HC14" s="47">
        <v>39.722099999999998</v>
      </c>
      <c r="HD14" s="46">
        <v>40.508600000000001</v>
      </c>
      <c r="HE14" s="46">
        <v>40.474299999999999</v>
      </c>
      <c r="HF14" s="47">
        <v>40.609299999999998</v>
      </c>
      <c r="HG14" s="46">
        <v>40.314300000000003</v>
      </c>
      <c r="HH14" s="46">
        <v>40.181399999999996</v>
      </c>
      <c r="HI14" s="46">
        <v>40.334299999999999</v>
      </c>
      <c r="HJ14" s="46">
        <v>40.472900000000003</v>
      </c>
      <c r="HK14" s="46">
        <v>40.346400000000003</v>
      </c>
      <c r="HL14" s="46">
        <v>39.854999999999997</v>
      </c>
      <c r="HM14" s="46">
        <v>40.06</v>
      </c>
      <c r="HN14" s="46">
        <v>40.211399999999998</v>
      </c>
      <c r="HO14" s="46">
        <v>40.905700000000003</v>
      </c>
      <c r="HP14" s="46">
        <v>40.765700000000002</v>
      </c>
      <c r="HQ14" s="46">
        <v>40.965000000000003</v>
      </c>
      <c r="HR14" s="46">
        <v>43.034999999999997</v>
      </c>
      <c r="HS14" s="46">
        <v>43.024999999999999</v>
      </c>
      <c r="HT14" s="46">
        <v>43</v>
      </c>
      <c r="HU14" s="46">
        <v>43.064300000000003</v>
      </c>
      <c r="HV14" s="46">
        <v>43.250700000000002</v>
      </c>
      <c r="HW14" s="46">
        <v>43.631399999999999</v>
      </c>
      <c r="HX14" s="46">
        <v>43.875</v>
      </c>
      <c r="HY14" s="46">
        <v>43.7393</v>
      </c>
      <c r="HZ14" s="46">
        <v>44.397100000000002</v>
      </c>
      <c r="IA14" s="46">
        <v>44.854300000000002</v>
      </c>
      <c r="IB14" s="46">
        <v>43.46</v>
      </c>
      <c r="IC14" s="46">
        <v>43.91</v>
      </c>
      <c r="ID14" s="46">
        <v>45.819299999999998</v>
      </c>
      <c r="IE14" s="46">
        <v>45.732100000000003</v>
      </c>
      <c r="IF14" s="46">
        <v>45.225000000000001</v>
      </c>
      <c r="IG14" s="46">
        <v>45.574300000000001</v>
      </c>
      <c r="IH14" s="46">
        <v>44.4236</v>
      </c>
      <c r="II14" s="46">
        <v>44.238599999999998</v>
      </c>
      <c r="IJ14" s="46">
        <v>44.3643</v>
      </c>
      <c r="IK14" s="46">
        <v>45.256399999999999</v>
      </c>
      <c r="IL14" s="46">
        <v>46.8536</v>
      </c>
      <c r="IM14" s="46">
        <v>46.007100000000001</v>
      </c>
      <c r="IN14" s="46">
        <v>45.383600000000001</v>
      </c>
      <c r="IO14" s="46">
        <v>46.049300000000002</v>
      </c>
      <c r="IP14" s="46">
        <v>45.986400000000003</v>
      </c>
      <c r="IQ14" s="46">
        <v>46.143599999999999</v>
      </c>
      <c r="IR14" s="46">
        <v>45.869300000000003</v>
      </c>
      <c r="IS14" s="46">
        <v>44.9193</v>
      </c>
    </row>
    <row r="15" spans="1:253" ht="21" customHeight="1" x14ac:dyDescent="0.3">
      <c r="A15" s="48" t="s">
        <v>13</v>
      </c>
      <c r="B15" s="46">
        <v>43.18</v>
      </c>
      <c r="C15" s="49">
        <v>44.386000000000003</v>
      </c>
      <c r="D15" s="49">
        <v>44.524999999999999</v>
      </c>
      <c r="E15" s="49">
        <v>46.073999999999998</v>
      </c>
      <c r="F15" s="49">
        <v>47.101999999999997</v>
      </c>
      <c r="G15" s="49">
        <v>46.304000000000002</v>
      </c>
      <c r="H15" s="49">
        <v>46.771000000000001</v>
      </c>
      <c r="I15" s="46">
        <v>46.61</v>
      </c>
      <c r="J15" s="46">
        <v>46.116999999999997</v>
      </c>
      <c r="K15" s="46">
        <v>47.216000000000001</v>
      </c>
      <c r="L15" s="46">
        <v>47.295000000000002</v>
      </c>
      <c r="M15" s="46">
        <v>44.259</v>
      </c>
      <c r="N15" s="46">
        <v>43.691000000000003</v>
      </c>
      <c r="O15" s="46">
        <v>44.118000000000002</v>
      </c>
      <c r="P15" s="46">
        <v>45.951000000000001</v>
      </c>
      <c r="Q15" s="46">
        <v>48.694000000000003</v>
      </c>
      <c r="R15" s="46">
        <v>48.04</v>
      </c>
      <c r="S15" s="46">
        <v>46.353999999999999</v>
      </c>
      <c r="T15" s="46">
        <v>48.322000000000003</v>
      </c>
      <c r="U15" s="46">
        <v>48.853000000000002</v>
      </c>
      <c r="V15" s="46">
        <v>48.627000000000002</v>
      </c>
      <c r="W15" s="46">
        <v>47.731999999999999</v>
      </c>
      <c r="X15" s="46">
        <v>47.548000000000002</v>
      </c>
      <c r="Y15" s="46">
        <v>48.542000000000002</v>
      </c>
      <c r="Z15" s="46">
        <v>49.323999999999998</v>
      </c>
      <c r="AA15" s="46">
        <v>49.692</v>
      </c>
      <c r="AB15" s="46">
        <v>52.329000000000001</v>
      </c>
      <c r="AC15" s="46">
        <v>51.55</v>
      </c>
      <c r="AD15" s="46">
        <v>52.045000000000002</v>
      </c>
      <c r="AE15" s="46">
        <v>51.734000000000002</v>
      </c>
      <c r="AF15" s="46">
        <v>51.884</v>
      </c>
      <c r="AG15" s="46">
        <v>52.762</v>
      </c>
      <c r="AH15" s="46">
        <v>54.296999999999997</v>
      </c>
      <c r="AI15" s="46">
        <v>54.890999999999998</v>
      </c>
      <c r="AJ15" s="46">
        <v>54.314999999999998</v>
      </c>
      <c r="AK15" s="46">
        <v>55.073</v>
      </c>
      <c r="AL15" s="46">
        <v>55.978999999999999</v>
      </c>
      <c r="AM15" s="46">
        <v>53.478000000000002</v>
      </c>
      <c r="AN15" s="46">
        <v>53.539000000000001</v>
      </c>
      <c r="AO15" s="46">
        <v>52.404000000000003</v>
      </c>
      <c r="AP15" s="46">
        <v>53.588000000000001</v>
      </c>
      <c r="AQ15" s="46">
        <v>53.716000000000001</v>
      </c>
      <c r="AR15" s="46">
        <v>54.262999999999998</v>
      </c>
      <c r="AS15" s="46">
        <v>52.902000000000001</v>
      </c>
      <c r="AT15" s="46">
        <v>53.271999999999998</v>
      </c>
      <c r="AU15" s="46">
        <v>54.683</v>
      </c>
      <c r="AV15" s="46">
        <v>53.929000000000002</v>
      </c>
      <c r="AW15" s="46">
        <v>54.22</v>
      </c>
      <c r="AX15" s="46">
        <v>56.003</v>
      </c>
      <c r="AY15" s="46">
        <v>58.566000000000003</v>
      </c>
      <c r="AZ15" s="46">
        <v>57.018999999999998</v>
      </c>
      <c r="BA15" s="46">
        <v>59.027999999999999</v>
      </c>
      <c r="BB15" s="46">
        <v>62.463000000000001</v>
      </c>
      <c r="BC15" s="46">
        <v>62.011000000000003</v>
      </c>
      <c r="BD15" s="46">
        <v>63.615000000000002</v>
      </c>
      <c r="BE15" s="46">
        <v>66.048000000000002</v>
      </c>
      <c r="BF15" s="46">
        <v>66.947999999999993</v>
      </c>
      <c r="BG15" s="46">
        <v>66.697999999999993</v>
      </c>
      <c r="BH15" s="46">
        <v>65.614000000000004</v>
      </c>
      <c r="BI15" s="46">
        <v>64.734999999999999</v>
      </c>
      <c r="BJ15" s="46">
        <v>64.495999999999995</v>
      </c>
      <c r="BK15" s="46">
        <v>62.920999999999999</v>
      </c>
      <c r="BL15" s="46">
        <v>64.143000000000001</v>
      </c>
      <c r="BM15" s="46">
        <v>64.445999999999998</v>
      </c>
      <c r="BN15" s="46">
        <v>63.834200000000003</v>
      </c>
      <c r="BO15" s="46">
        <v>62.857300000000002</v>
      </c>
      <c r="BP15" s="46">
        <v>63.932000000000002</v>
      </c>
      <c r="BQ15" s="46">
        <v>62.945999999999998</v>
      </c>
      <c r="BR15" s="46">
        <v>57.971699999999998</v>
      </c>
      <c r="BS15" s="46">
        <v>58.133299999999998</v>
      </c>
      <c r="BT15" s="46">
        <v>55.6599</v>
      </c>
      <c r="BU15" s="46">
        <v>53.235599999999998</v>
      </c>
      <c r="BV15" s="46">
        <v>52.2166</v>
      </c>
      <c r="BW15" s="46">
        <v>55.817300000000003</v>
      </c>
      <c r="BX15" s="46">
        <v>55.3277</v>
      </c>
      <c r="BY15" s="46">
        <v>53.9086</v>
      </c>
      <c r="BZ15" s="46">
        <v>52.817399999999999</v>
      </c>
      <c r="CA15" s="46">
        <v>52.112699999999997</v>
      </c>
      <c r="CB15" s="46">
        <v>53.389299999999999</v>
      </c>
      <c r="CC15" s="46">
        <v>50.124200000000002</v>
      </c>
      <c r="CD15" s="46">
        <v>47.036299999999997</v>
      </c>
      <c r="CE15" s="46">
        <v>47.578200000000002</v>
      </c>
      <c r="CF15" s="46">
        <v>49.756799999999998</v>
      </c>
      <c r="CG15" s="46">
        <v>48.8322</v>
      </c>
      <c r="CH15" s="46">
        <v>50.966900000000003</v>
      </c>
      <c r="CI15" s="46">
        <v>53.001100000000001</v>
      </c>
      <c r="CJ15" s="46">
        <v>54.921500000000002</v>
      </c>
      <c r="CK15" s="46">
        <v>54.136899999999997</v>
      </c>
      <c r="CL15" s="46">
        <v>52.886899999999997</v>
      </c>
      <c r="CM15" s="46">
        <v>50.505400000000002</v>
      </c>
      <c r="CN15" s="46">
        <v>51.4604</v>
      </c>
      <c r="CO15" s="46">
        <v>50.496299999999998</v>
      </c>
      <c r="CP15" s="46">
        <v>49.55</v>
      </c>
      <c r="CQ15" s="46">
        <v>48.587814802792302</v>
      </c>
      <c r="CR15" s="46">
        <v>48.981586617321433</v>
      </c>
      <c r="CS15" s="46">
        <v>48.966664830478564</v>
      </c>
      <c r="CT15" s="46">
        <v>48.637702474021424</v>
      </c>
      <c r="CU15" s="46">
        <v>48.625294256664276</v>
      </c>
      <c r="CV15" s="46">
        <v>48.12643753362142</v>
      </c>
      <c r="CW15" s="46">
        <v>48.370444436303565</v>
      </c>
      <c r="CX15" s="46">
        <v>48.661779718099993</v>
      </c>
      <c r="CY15" s="46">
        <v>47.340736482496425</v>
      </c>
      <c r="CZ15" s="46">
        <v>47.190617604623206</v>
      </c>
      <c r="DA15" s="46">
        <v>47.380979298199989</v>
      </c>
      <c r="DB15" s="46">
        <v>46.549084587582136</v>
      </c>
      <c r="DC15" s="46">
        <v>46.872216986271432</v>
      </c>
      <c r="DD15" s="46">
        <v>46.860547210771422</v>
      </c>
      <c r="DE15" s="46">
        <v>46.209313203796412</v>
      </c>
      <c r="DF15" s="46">
        <v>47.012618907300002</v>
      </c>
      <c r="DG15" s="46">
        <v>46.467314002428566</v>
      </c>
      <c r="DH15" s="46">
        <v>46.292920075242861</v>
      </c>
      <c r="DI15" s="46">
        <v>46.765990060400007</v>
      </c>
      <c r="DJ15" s="46">
        <v>46.955281256471423</v>
      </c>
      <c r="DK15" s="46">
        <v>47.236627918985711</v>
      </c>
      <c r="DL15" s="46">
        <v>48.2266464617</v>
      </c>
      <c r="DM15" s="46">
        <v>47.181287631271424</v>
      </c>
      <c r="DN15" s="46">
        <v>49.111795523014294</v>
      </c>
      <c r="DO15" s="46">
        <v>49.63146250165714</v>
      </c>
      <c r="DP15" s="46">
        <v>49.102599088457147</v>
      </c>
      <c r="DQ15" s="46">
        <v>50.330642255371437</v>
      </c>
      <c r="DR15" s="46">
        <v>50.629900554928568</v>
      </c>
      <c r="DS15" s="46">
        <v>50.352595541100008</v>
      </c>
      <c r="DT15" s="46">
        <v>50.113020677514285</v>
      </c>
      <c r="DU15" s="46">
        <v>48.579095241225716</v>
      </c>
      <c r="DV15" s="46">
        <v>47.207986411474288</v>
      </c>
      <c r="DW15" s="46">
        <v>47.915250278286997</v>
      </c>
      <c r="DX15" s="46">
        <v>48.583635174580913</v>
      </c>
      <c r="DY15" s="46">
        <v>47.913722834848215</v>
      </c>
      <c r="DZ15" s="46">
        <v>47.96572247854386</v>
      </c>
      <c r="EA15" s="46">
        <v>47.653405013778219</v>
      </c>
      <c r="EB15" s="46">
        <v>48.541106597875583</v>
      </c>
      <c r="EC15" s="46">
        <v>50.168646486396469</v>
      </c>
      <c r="ED15" s="46">
        <v>49.056532251360579</v>
      </c>
      <c r="EE15" s="46">
        <v>50.342079243689867</v>
      </c>
      <c r="EF15" s="46">
        <v>50.325583764873144</v>
      </c>
      <c r="EG15" s="46">
        <v>50.72126809093561</v>
      </c>
      <c r="EH15" s="46">
        <v>51.004097996633398</v>
      </c>
      <c r="EI15" s="46">
        <v>50.735561352640353</v>
      </c>
      <c r="EJ15" s="46">
        <v>51.252853766102774</v>
      </c>
      <c r="EK15" s="46">
        <v>51.289893658692144</v>
      </c>
      <c r="EL15" s="46">
        <v>52.172424024731058</v>
      </c>
      <c r="EM15" s="46">
        <v>52.169690267036849</v>
      </c>
      <c r="EN15" s="46">
        <v>51.626303118861593</v>
      </c>
      <c r="EO15" s="46">
        <v>51.628338585041242</v>
      </c>
      <c r="EP15" s="46">
        <v>50.772412170343372</v>
      </c>
      <c r="EQ15" s="46">
        <v>50.118145790247247</v>
      </c>
      <c r="ER15" s="46">
        <v>49.940272977390698</v>
      </c>
      <c r="ES15" s="46">
        <v>49.93993427772142</v>
      </c>
      <c r="ET15" s="46">
        <v>52.027201670143597</v>
      </c>
      <c r="EU15" s="46">
        <v>54.543888858919495</v>
      </c>
      <c r="EV15" s="46">
        <v>55.057200000000002</v>
      </c>
      <c r="EW15" s="46">
        <v>55.000778571428569</v>
      </c>
      <c r="EX15" s="46">
        <v>56.199135714285703</v>
      </c>
      <c r="EY15" s="46">
        <v>56.227649999999997</v>
      </c>
      <c r="EZ15" s="46">
        <v>55.235821428571398</v>
      </c>
      <c r="FA15" s="46">
        <v>54.813821428571401</v>
      </c>
      <c r="FB15" s="46">
        <v>56.055199999999999</v>
      </c>
      <c r="FC15" s="46">
        <v>55.4039</v>
      </c>
      <c r="FD15" s="46">
        <v>54.146799999999999</v>
      </c>
      <c r="FE15" s="46">
        <v>52.590899999999998</v>
      </c>
      <c r="FF15" s="46">
        <v>50.658299999999997</v>
      </c>
      <c r="FG15" s="46">
        <v>51.6297</v>
      </c>
      <c r="FH15" s="46">
        <v>52.458300000000001</v>
      </c>
      <c r="FI15" s="46">
        <v>53.108699999999999</v>
      </c>
      <c r="FJ15" s="46">
        <v>48.970799999999997</v>
      </c>
      <c r="FK15" s="46">
        <v>48.079500000000003</v>
      </c>
      <c r="FL15" s="46">
        <v>47.506399999999999</v>
      </c>
      <c r="FM15" s="46">
        <v>47.102800000000002</v>
      </c>
      <c r="FN15" s="46">
        <v>44.533999999999999</v>
      </c>
      <c r="FO15" s="46">
        <v>45.888199999999998</v>
      </c>
      <c r="FP15" s="46">
        <v>45.218600000000002</v>
      </c>
      <c r="FQ15" s="46">
        <v>45.644300000000001</v>
      </c>
      <c r="FR15" s="46">
        <v>45.299599999999998</v>
      </c>
      <c r="FS15" s="46">
        <v>45.284700000000001</v>
      </c>
      <c r="FT15" s="46">
        <v>46.363900000000001</v>
      </c>
      <c r="FU15" s="46">
        <v>45.545499999999997</v>
      </c>
      <c r="FV15" s="46">
        <v>45.868099999999998</v>
      </c>
      <c r="FW15" s="46">
        <v>45.1556</v>
      </c>
      <c r="FX15" s="46">
        <v>43.507599999999996</v>
      </c>
      <c r="FY15" s="46">
        <v>46.338200000000001</v>
      </c>
      <c r="FZ15" s="46">
        <v>46.141399999999997</v>
      </c>
      <c r="GA15" s="46">
        <v>46.517000000000003</v>
      </c>
      <c r="GB15" s="46">
        <v>46.183199999999999</v>
      </c>
      <c r="GC15" s="46">
        <v>46.766300000000001</v>
      </c>
      <c r="GD15" s="46">
        <v>46.901800000000001</v>
      </c>
      <c r="GE15" s="46">
        <v>47.8337</v>
      </c>
      <c r="GF15" s="46">
        <v>47.8977</v>
      </c>
      <c r="GG15" s="46">
        <v>46.5396</v>
      </c>
      <c r="GH15" s="46">
        <v>46.155200000000001</v>
      </c>
      <c r="GI15" s="46">
        <v>45.529800000000002</v>
      </c>
      <c r="GJ15" s="46">
        <v>45.222299999999997</v>
      </c>
      <c r="GK15" s="46">
        <v>45.5184</v>
      </c>
      <c r="GL15" s="46">
        <v>44.631599999999999</v>
      </c>
      <c r="GM15" s="46">
        <v>44.569699999999997</v>
      </c>
      <c r="GN15" s="46">
        <v>44.1036</v>
      </c>
      <c r="GO15" s="46">
        <v>45.424199999999999</v>
      </c>
      <c r="GP15" s="46">
        <v>45.9634</v>
      </c>
      <c r="GQ15" s="46">
        <v>46.1496</v>
      </c>
      <c r="GR15" s="46">
        <v>45.932000000000002</v>
      </c>
      <c r="GS15" s="46">
        <v>45.470100000000002</v>
      </c>
      <c r="GT15" s="46">
        <v>45.566899999999997</v>
      </c>
      <c r="GU15" s="46">
        <v>44.402799999999999</v>
      </c>
      <c r="GV15" s="46">
        <v>44.573900000000002</v>
      </c>
      <c r="GW15" s="46">
        <v>45.351799999999997</v>
      </c>
      <c r="GX15" s="46">
        <v>47.456200000000003</v>
      </c>
      <c r="GY15" s="46">
        <v>47.874099999999999</v>
      </c>
      <c r="GZ15" s="46">
        <v>48.296500000000002</v>
      </c>
      <c r="HA15" s="46">
        <v>48.731299999999997</v>
      </c>
      <c r="HB15" s="46">
        <v>48.740299999999998</v>
      </c>
      <c r="HC15" s="47">
        <v>49.059100000000001</v>
      </c>
      <c r="HD15" s="46">
        <v>50.564</v>
      </c>
      <c r="HE15" s="46">
        <v>49.980200000000004</v>
      </c>
      <c r="HF15" s="47">
        <v>50.048999999999999</v>
      </c>
      <c r="HG15" s="46">
        <v>52.932499999999997</v>
      </c>
      <c r="HH15" s="46">
        <v>53.704700000000003</v>
      </c>
      <c r="HI15" s="46">
        <v>51.9208</v>
      </c>
      <c r="HJ15" s="46">
        <v>52.409399999999998</v>
      </c>
      <c r="HK15" s="46">
        <v>53.884599999999999</v>
      </c>
      <c r="HL15" s="46">
        <v>54.3643</v>
      </c>
      <c r="HM15" s="46">
        <v>54.996000000000002</v>
      </c>
      <c r="HN15" s="46">
        <v>56.257599999999996</v>
      </c>
      <c r="HO15" s="46">
        <v>56.26</v>
      </c>
      <c r="HP15" s="46">
        <v>56.973700000000001</v>
      </c>
      <c r="HQ15" s="46">
        <v>58.241500000000002</v>
      </c>
      <c r="HR15" s="46">
        <v>59.7547</v>
      </c>
      <c r="HS15" s="46">
        <v>60.161700000000003</v>
      </c>
      <c r="HT15" s="46">
        <v>59.367199999999997</v>
      </c>
      <c r="HU15" s="46">
        <v>58.078899999999997</v>
      </c>
      <c r="HV15" s="46">
        <v>59.782800000000002</v>
      </c>
      <c r="HW15" s="46">
        <v>58.255499999999998</v>
      </c>
      <c r="HX15" s="46">
        <v>59.350099999999998</v>
      </c>
      <c r="HY15" s="46">
        <v>58.868099999999998</v>
      </c>
      <c r="HZ15" s="46">
        <v>59.457700000000003</v>
      </c>
      <c r="IA15" s="46">
        <v>59.050800000000002</v>
      </c>
      <c r="IB15" s="46">
        <v>54.472700000000003</v>
      </c>
      <c r="IC15" s="46">
        <v>55.599499999999999</v>
      </c>
      <c r="ID15" s="46">
        <v>55.808799999999998</v>
      </c>
      <c r="IE15" s="46">
        <v>56.057499999999997</v>
      </c>
      <c r="IF15" s="46">
        <v>53.178899999999999</v>
      </c>
      <c r="IG15" s="46">
        <v>50.915399999999998</v>
      </c>
      <c r="IH15" s="46">
        <v>51.74</v>
      </c>
      <c r="II15" s="46">
        <v>53.224200000000003</v>
      </c>
      <c r="IJ15" s="46">
        <v>53.605899999999998</v>
      </c>
      <c r="IK15" s="46">
        <v>56.061799999999998</v>
      </c>
      <c r="IL15" s="46">
        <v>56.662300000000002</v>
      </c>
      <c r="IM15" s="46">
        <v>57.186399999999999</v>
      </c>
      <c r="IN15" s="46">
        <v>56.839700000000001</v>
      </c>
      <c r="IO15" s="46">
        <v>57.283999999999999</v>
      </c>
      <c r="IP15" s="46">
        <v>58.292299999999997</v>
      </c>
      <c r="IQ15" s="46">
        <v>59.607100000000003</v>
      </c>
      <c r="IR15" s="46">
        <v>58.632899999999999</v>
      </c>
      <c r="IS15" s="46">
        <v>55.1967</v>
      </c>
    </row>
    <row r="16" spans="1:253" ht="21" customHeight="1" x14ac:dyDescent="0.3">
      <c r="A16" s="48" t="s">
        <v>12</v>
      </c>
      <c r="B16" s="46">
        <v>26.338999999999999</v>
      </c>
      <c r="C16" s="46">
        <v>27.518699999999999</v>
      </c>
      <c r="D16" s="46">
        <v>28.536300000000001</v>
      </c>
      <c r="E16" s="46">
        <v>29.829899999999999</v>
      </c>
      <c r="F16" s="46">
        <v>29.496200000000002</v>
      </c>
      <c r="G16" s="46">
        <v>29.462499999999999</v>
      </c>
      <c r="H16" s="46">
        <v>29.4025</v>
      </c>
      <c r="I16" s="46">
        <v>29.5045</v>
      </c>
      <c r="J16" s="46">
        <v>29.545999999999999</v>
      </c>
      <c r="K16" s="46">
        <v>30.859100000000002</v>
      </c>
      <c r="L16" s="46">
        <v>30.937000000000001</v>
      </c>
      <c r="M16" s="46">
        <v>30.142800000000001</v>
      </c>
      <c r="N16" s="46">
        <v>30.0062</v>
      </c>
      <c r="O16" s="46">
        <v>30.721</v>
      </c>
      <c r="P16" s="46">
        <v>33.030999999999999</v>
      </c>
      <c r="Q16" s="46">
        <v>33.676000000000002</v>
      </c>
      <c r="R16" s="46">
        <v>33.713000000000001</v>
      </c>
      <c r="S16" s="46">
        <v>31.965</v>
      </c>
      <c r="T16" s="46">
        <v>33.642000000000003</v>
      </c>
      <c r="U16" s="46">
        <v>33.475999999999999</v>
      </c>
      <c r="V16" s="46">
        <v>33.796999999999997</v>
      </c>
      <c r="W16" s="46">
        <v>33.689300000000003</v>
      </c>
      <c r="X16" s="46">
        <v>32.340000000000003</v>
      </c>
      <c r="Y16" s="46">
        <v>32.271000000000001</v>
      </c>
      <c r="Z16" s="46">
        <v>32.844099999999997</v>
      </c>
      <c r="AA16" s="46">
        <v>33.470300000000002</v>
      </c>
      <c r="AB16" s="46">
        <v>34.741999999999997</v>
      </c>
      <c r="AC16" s="46">
        <v>34.414999999999999</v>
      </c>
      <c r="AD16" s="46">
        <v>34.444000000000003</v>
      </c>
      <c r="AE16" s="46">
        <v>34.755000000000003</v>
      </c>
      <c r="AF16" s="46">
        <v>35.546500000000002</v>
      </c>
      <c r="AG16" s="46">
        <v>36.704000000000001</v>
      </c>
      <c r="AH16" s="46">
        <v>38.103999999999999</v>
      </c>
      <c r="AI16" s="46">
        <v>38.814</v>
      </c>
      <c r="AJ16" s="46">
        <v>37.548999999999999</v>
      </c>
      <c r="AK16" s="46">
        <v>37.868000000000002</v>
      </c>
      <c r="AL16" s="46">
        <v>37.916200000000003</v>
      </c>
      <c r="AM16" s="46">
        <v>36.561100000000003</v>
      </c>
      <c r="AN16" s="46">
        <v>35.816800000000001</v>
      </c>
      <c r="AO16" s="46">
        <v>36.225999999999999</v>
      </c>
      <c r="AP16" s="46">
        <v>36.662199999999999</v>
      </c>
      <c r="AQ16" s="46">
        <v>36.7258</v>
      </c>
      <c r="AR16" s="46">
        <v>36.864400000000003</v>
      </c>
      <c r="AS16" s="46">
        <v>36.273400000000002</v>
      </c>
      <c r="AT16" s="46">
        <v>36.654299999999999</v>
      </c>
      <c r="AU16" s="46">
        <v>37.408700000000003</v>
      </c>
      <c r="AV16" s="46">
        <v>36.766199999999998</v>
      </c>
      <c r="AW16" s="46">
        <v>37.799599999999998</v>
      </c>
      <c r="AX16" s="46">
        <v>38.997700000000002</v>
      </c>
      <c r="AY16" s="46">
        <v>40.0535</v>
      </c>
      <c r="AZ16" s="46">
        <v>39.732999999999997</v>
      </c>
      <c r="BA16" s="46">
        <v>40.588200000000001</v>
      </c>
      <c r="BB16" s="46">
        <v>42.280900000000003</v>
      </c>
      <c r="BC16" s="46">
        <v>42.276699999999998</v>
      </c>
      <c r="BD16" s="46">
        <v>42.838099999999997</v>
      </c>
      <c r="BE16" s="46">
        <v>44.976599999999998</v>
      </c>
      <c r="BF16" s="46">
        <v>45.2014</v>
      </c>
      <c r="BG16" s="46">
        <v>44.018900000000002</v>
      </c>
      <c r="BH16" s="46">
        <v>44.060600000000001</v>
      </c>
      <c r="BI16" s="46">
        <v>43.934800000000003</v>
      </c>
      <c r="BJ16" s="46">
        <v>44.017800000000001</v>
      </c>
      <c r="BK16" s="46">
        <v>42.677900000000001</v>
      </c>
      <c r="BL16" s="46">
        <v>43.055100000000003</v>
      </c>
      <c r="BM16" s="46">
        <v>43.5075</v>
      </c>
      <c r="BN16" s="46">
        <v>43.31</v>
      </c>
      <c r="BO16" s="46">
        <v>44.014000000000003</v>
      </c>
      <c r="BP16" s="46">
        <v>44.644500000000001</v>
      </c>
      <c r="BQ16" s="46">
        <v>44.981000000000002</v>
      </c>
      <c r="BR16" s="46">
        <v>42.744599999999998</v>
      </c>
      <c r="BS16" s="46">
        <v>43.457900000000002</v>
      </c>
      <c r="BT16" s="46">
        <v>42.442700000000002</v>
      </c>
      <c r="BU16" s="46">
        <v>42.131100000000004</v>
      </c>
      <c r="BV16" s="46">
        <v>41.3</v>
      </c>
      <c r="BW16" s="46">
        <v>43.816899999999997</v>
      </c>
      <c r="BX16" s="46">
        <v>43.8369</v>
      </c>
      <c r="BY16" s="46">
        <v>42.416699999999999</v>
      </c>
      <c r="BZ16" s="46">
        <v>42.512700000000002</v>
      </c>
      <c r="CA16" s="46">
        <v>41.542099999999998</v>
      </c>
      <c r="CB16" s="46">
        <v>41.881700000000002</v>
      </c>
      <c r="CC16" s="46">
        <v>42.017099999999999</v>
      </c>
      <c r="CD16" s="46">
        <v>45.8855</v>
      </c>
      <c r="CE16" s="46">
        <v>43.244900000000001</v>
      </c>
      <c r="CF16" s="46">
        <v>44.335299999999997</v>
      </c>
      <c r="CG16" s="46">
        <v>45.1967</v>
      </c>
      <c r="CH16" s="46">
        <v>45.727699999999999</v>
      </c>
      <c r="CI16" s="46">
        <v>46.409599999999998</v>
      </c>
      <c r="CJ16" s="46">
        <v>46.553400000000003</v>
      </c>
      <c r="CK16" s="46">
        <v>46.226500000000001</v>
      </c>
      <c r="CL16" s="46">
        <v>46.473300000000002</v>
      </c>
      <c r="CM16" s="46">
        <v>46.006399999999999</v>
      </c>
      <c r="CN16" s="46">
        <v>46.085799999999999</v>
      </c>
      <c r="CO16" s="46">
        <v>45.865099999999998</v>
      </c>
      <c r="CP16" s="46">
        <v>42.158999999999999</v>
      </c>
      <c r="CQ16" s="46">
        <v>40.622972605876917</v>
      </c>
      <c r="CR16" s="46">
        <v>40.087579830928568</v>
      </c>
      <c r="CS16" s="46">
        <v>41.991412514764285</v>
      </c>
      <c r="CT16" s="46">
        <v>42.374601034849995</v>
      </c>
      <c r="CU16" s="46">
        <v>40.968014155464289</v>
      </c>
      <c r="CV16" s="46">
        <v>41.46114882847143</v>
      </c>
      <c r="CW16" s="46">
        <v>41.505838961249992</v>
      </c>
      <c r="CX16" s="46">
        <v>41.59055171262856</v>
      </c>
      <c r="CY16" s="46">
        <v>41.591498532192865</v>
      </c>
      <c r="CZ16" s="46">
        <v>41.958064683475712</v>
      </c>
      <c r="DA16" s="46">
        <v>41.162790416385725</v>
      </c>
      <c r="DB16" s="46">
        <v>41.929360814999995</v>
      </c>
      <c r="DC16" s="46">
        <v>41.108748995942854</v>
      </c>
      <c r="DD16" s="46">
        <v>41.469267576242849</v>
      </c>
      <c r="DE16" s="46">
        <v>40.051926928689284</v>
      </c>
      <c r="DF16" s="46">
        <v>41.231816091221425</v>
      </c>
      <c r="DG16" s="46">
        <v>39.73811034642857</v>
      </c>
      <c r="DH16" s="46">
        <v>38.891305696657142</v>
      </c>
      <c r="DI16" s="46">
        <v>39.216950931907142</v>
      </c>
      <c r="DJ16" s="46">
        <v>39.755935543153569</v>
      </c>
      <c r="DK16" s="46">
        <v>39.49447556677142</v>
      </c>
      <c r="DL16" s="46">
        <v>39.25653294364286</v>
      </c>
      <c r="DM16" s="46">
        <v>37.778190084602144</v>
      </c>
      <c r="DN16" s="46">
        <v>39.623347659744645</v>
      </c>
      <c r="DO16" s="46">
        <v>38.805086212804284</v>
      </c>
      <c r="DP16" s="46">
        <v>38.929039212390009</v>
      </c>
      <c r="DQ16" s="46">
        <v>40.039116003607141</v>
      </c>
      <c r="DR16" s="46">
        <v>40.815382433249987</v>
      </c>
      <c r="DS16" s="46">
        <v>40.787190317571422</v>
      </c>
      <c r="DT16" s="46">
        <v>40.959065943753714</v>
      </c>
      <c r="DU16" s="46">
        <v>41.667635898698862</v>
      </c>
      <c r="DV16" s="46">
        <v>40.910784850588001</v>
      </c>
      <c r="DW16" s="46">
        <v>40.417067676165935</v>
      </c>
      <c r="DX16" s="46">
        <v>41.063542470582533</v>
      </c>
      <c r="DY16" s="46">
        <v>41.032046511723209</v>
      </c>
      <c r="DZ16" s="46">
        <v>41.014782706131861</v>
      </c>
      <c r="EA16" s="46">
        <v>41.482777248362858</v>
      </c>
      <c r="EB16" s="46">
        <v>41.468139454924597</v>
      </c>
      <c r="EC16" s="46">
        <v>41.91562775355758</v>
      </c>
      <c r="ED16" s="46">
        <v>41.98481148966755</v>
      </c>
      <c r="EE16" s="46">
        <v>41.871151829096327</v>
      </c>
      <c r="EF16" s="46">
        <v>42.109469035381949</v>
      </c>
      <c r="EG16" s="46">
        <v>41.79894451240056</v>
      </c>
      <c r="EH16" s="46">
        <v>41.888804510271434</v>
      </c>
      <c r="EI16" s="46">
        <v>41.992796924623619</v>
      </c>
      <c r="EJ16" s="46">
        <v>42.073712382800309</v>
      </c>
      <c r="EK16" s="46">
        <v>41.690934236403209</v>
      </c>
      <c r="EL16" s="46">
        <v>41.808072754420678</v>
      </c>
      <c r="EM16" s="46">
        <v>41.30187515609429</v>
      </c>
      <c r="EN16" s="46">
        <v>41.052703753629608</v>
      </c>
      <c r="EO16" s="46">
        <v>40.313736930036661</v>
      </c>
      <c r="EP16" s="46">
        <v>40.003648085912339</v>
      </c>
      <c r="EQ16" s="46">
        <v>39.71930690080422</v>
      </c>
      <c r="ER16" s="46">
        <v>39.017671124151313</v>
      </c>
      <c r="ES16" s="46">
        <v>37.517692214466059</v>
      </c>
      <c r="ET16" s="46">
        <v>37.78567505676876</v>
      </c>
      <c r="EU16" s="46">
        <v>39.846689167127863</v>
      </c>
      <c r="EV16" s="46">
        <v>39.6736</v>
      </c>
      <c r="EW16" s="46">
        <v>39.295942857142855</v>
      </c>
      <c r="EX16" s="46">
        <v>39.986150000000002</v>
      </c>
      <c r="EY16" s="46">
        <v>39.430678571428601</v>
      </c>
      <c r="EZ16" s="46">
        <v>40.297685714285699</v>
      </c>
      <c r="FA16" s="46">
        <v>40.700814285714301</v>
      </c>
      <c r="FB16" s="46">
        <v>40.186700000000002</v>
      </c>
      <c r="FC16" s="46">
        <v>39.035400000000003</v>
      </c>
      <c r="FD16" s="46">
        <v>39.929099999999998</v>
      </c>
      <c r="FE16" s="46">
        <v>40.027200000000001</v>
      </c>
      <c r="FF16" s="46">
        <v>39.921900000000001</v>
      </c>
      <c r="FG16" s="46">
        <v>40.753599999999999</v>
      </c>
      <c r="FH16" s="46">
        <v>40.814100000000003</v>
      </c>
      <c r="FI16" s="46">
        <v>40.286299999999997</v>
      </c>
      <c r="FJ16" s="46">
        <v>40.502200000000002</v>
      </c>
      <c r="FK16" s="46">
        <v>40.391800000000003</v>
      </c>
      <c r="FL16" s="46">
        <v>40.401800000000001</v>
      </c>
      <c r="FM16" s="46">
        <v>40.728499999999997</v>
      </c>
      <c r="FN16" s="46">
        <v>40.060400000000001</v>
      </c>
      <c r="FO16" s="46">
        <v>39.075400000000002</v>
      </c>
      <c r="FP16" s="46">
        <v>38.763500000000001</v>
      </c>
      <c r="FQ16" s="46">
        <v>39.0291</v>
      </c>
      <c r="FR16" s="46">
        <v>38.562800000000003</v>
      </c>
      <c r="FS16" s="46">
        <v>38.713299999999997</v>
      </c>
      <c r="FT16" s="46">
        <v>39.0002</v>
      </c>
      <c r="FU16" s="46">
        <v>39.694600000000001</v>
      </c>
      <c r="FV16" s="46">
        <v>40.288699999999999</v>
      </c>
      <c r="FW16" s="46">
        <v>40.350900000000003</v>
      </c>
      <c r="FX16" s="46">
        <v>39.985900000000001</v>
      </c>
      <c r="FY16" s="46">
        <v>40.6997</v>
      </c>
      <c r="FZ16" s="46">
        <v>40.676400000000001</v>
      </c>
      <c r="GA16" s="46">
        <v>41.003799999999998</v>
      </c>
      <c r="GB16" s="46">
        <v>41.045499999999997</v>
      </c>
      <c r="GC16" s="46">
        <v>41.247399999999999</v>
      </c>
      <c r="GD16" s="46">
        <v>41.242699999999999</v>
      </c>
      <c r="GE16" s="46">
        <v>41.9861</v>
      </c>
      <c r="GF16" s="46">
        <v>42.165100000000002</v>
      </c>
      <c r="GG16" s="46">
        <v>40.831000000000003</v>
      </c>
      <c r="GH16" s="46">
        <v>41.0244</v>
      </c>
      <c r="GI16" s="46">
        <v>40.631999999999998</v>
      </c>
      <c r="GJ16" s="46">
        <v>40.567399999999999</v>
      </c>
      <c r="GK16" s="46">
        <v>40.539099999999998</v>
      </c>
      <c r="GL16" s="46">
        <v>39.854399999999998</v>
      </c>
      <c r="GM16" s="46">
        <v>39.749899999999997</v>
      </c>
      <c r="GN16" s="46">
        <v>39.755899999999997</v>
      </c>
      <c r="GO16" s="46">
        <v>39.8157</v>
      </c>
      <c r="GP16" s="46">
        <v>39.332500000000003</v>
      </c>
      <c r="GQ16" s="46">
        <v>39.668599999999998</v>
      </c>
      <c r="GR16" s="46">
        <v>39.723500000000001</v>
      </c>
      <c r="GS16" s="46">
        <v>40.147399999999998</v>
      </c>
      <c r="GT16" s="46">
        <v>40.888599999999997</v>
      </c>
      <c r="GU16" s="46">
        <v>40.7607</v>
      </c>
      <c r="GV16" s="46">
        <v>40.431600000000003</v>
      </c>
      <c r="GW16" s="46">
        <v>40.360900000000001</v>
      </c>
      <c r="GX16" s="46">
        <v>41.007899999999999</v>
      </c>
      <c r="GY16" s="46">
        <v>40.841700000000003</v>
      </c>
      <c r="GZ16" s="46">
        <v>41.268099999999997</v>
      </c>
      <c r="HA16" s="46">
        <v>41.042700000000004</v>
      </c>
      <c r="HB16" s="46">
        <v>41.628100000000003</v>
      </c>
      <c r="HC16" s="47">
        <v>43.835599999999999</v>
      </c>
      <c r="HD16" s="46">
        <v>44.073399999999999</v>
      </c>
      <c r="HE16" s="46">
        <v>44.9786</v>
      </c>
      <c r="HF16" s="47">
        <v>45.7042</v>
      </c>
      <c r="HG16" s="46">
        <v>47.9863</v>
      </c>
      <c r="HH16" s="46">
        <v>47.9328</v>
      </c>
      <c r="HI16" s="46">
        <v>47.437600000000003</v>
      </c>
      <c r="HJ16" s="46">
        <v>47.3872</v>
      </c>
      <c r="HK16" s="46">
        <v>48.372399999999999</v>
      </c>
      <c r="HL16" s="46">
        <v>49.054099999999998</v>
      </c>
      <c r="HM16" s="46">
        <v>48.561399999999999</v>
      </c>
      <c r="HN16" s="46">
        <v>48.959400000000002</v>
      </c>
      <c r="HO16" s="46">
        <v>47.984699999999997</v>
      </c>
      <c r="HP16" s="46">
        <v>49.513300000000001</v>
      </c>
      <c r="HQ16" s="46">
        <v>50.069299999999998</v>
      </c>
      <c r="HR16" s="46">
        <v>51.359200000000001</v>
      </c>
      <c r="HS16" s="46">
        <v>51.272300000000001</v>
      </c>
      <c r="HT16" s="46">
        <v>50.955599999999997</v>
      </c>
      <c r="HU16" s="46">
        <v>50.121499999999997</v>
      </c>
      <c r="HV16" s="46">
        <v>50.619900000000001</v>
      </c>
      <c r="HW16" s="46">
        <v>49.458199999999998</v>
      </c>
      <c r="HX16" s="46">
        <v>49.782699999999998</v>
      </c>
      <c r="HY16" s="46">
        <v>49.034199999999998</v>
      </c>
      <c r="HZ16" s="46">
        <v>49.6905</v>
      </c>
      <c r="IA16" s="46">
        <v>50.2575</v>
      </c>
      <c r="IB16" s="46">
        <v>45.915700000000001</v>
      </c>
      <c r="IC16" s="46">
        <v>47.413899999999998</v>
      </c>
      <c r="ID16" s="46">
        <v>48.153100000000002</v>
      </c>
      <c r="IE16" s="46">
        <v>47.0139</v>
      </c>
      <c r="IF16" s="46">
        <v>45.720700000000001</v>
      </c>
      <c r="IG16" s="46">
        <v>44.931199999999997</v>
      </c>
      <c r="IH16" s="46">
        <v>44.4724</v>
      </c>
      <c r="II16" s="46">
        <v>46.024700000000003</v>
      </c>
      <c r="IJ16" s="46">
        <v>47.4756</v>
      </c>
      <c r="IK16" s="46">
        <v>49.287100000000002</v>
      </c>
      <c r="IL16" s="46">
        <v>49.841000000000001</v>
      </c>
      <c r="IM16" s="46">
        <v>50.380699999999997</v>
      </c>
      <c r="IN16" s="46">
        <v>50.185699999999997</v>
      </c>
      <c r="IO16" s="46">
        <v>49.480400000000003</v>
      </c>
      <c r="IP16" s="46">
        <v>50.235900000000001</v>
      </c>
      <c r="IQ16" s="46">
        <v>51.089599999999997</v>
      </c>
      <c r="IR16" s="46">
        <v>50.357100000000003</v>
      </c>
      <c r="IS16" s="46">
        <v>47.807499999999997</v>
      </c>
    </row>
    <row r="17" spans="1:253" ht="9.75" customHeight="1" thickBot="1" x14ac:dyDescent="0.35">
      <c r="A17" s="44"/>
      <c r="B17" s="42"/>
      <c r="C17" s="42"/>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2"/>
      <c r="AV17" s="42"/>
      <c r="AW17" s="42"/>
      <c r="AX17" s="42"/>
      <c r="AY17" s="42"/>
      <c r="AZ17" s="42"/>
      <c r="BA17" s="42"/>
      <c r="BB17" s="42"/>
      <c r="BC17" s="42"/>
      <c r="BD17" s="42"/>
      <c r="BE17" s="42"/>
      <c r="BF17" s="42"/>
      <c r="BG17" s="42"/>
      <c r="BH17" s="42"/>
      <c r="BI17" s="42"/>
      <c r="BJ17" s="42"/>
      <c r="BK17" s="42"/>
      <c r="BL17" s="42"/>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1"/>
      <c r="HD17" s="40"/>
      <c r="HE17" s="40"/>
      <c r="HF17" s="41"/>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c r="IG17" s="40"/>
      <c r="IH17" s="40"/>
      <c r="II17" s="40"/>
      <c r="IJ17" s="40"/>
      <c r="IK17" s="40"/>
      <c r="IL17" s="40"/>
      <c r="IM17" s="40"/>
      <c r="IN17" s="40"/>
      <c r="IO17" s="40"/>
      <c r="IP17" s="40"/>
      <c r="IQ17" s="40"/>
      <c r="IR17" s="40"/>
      <c r="IS17" s="40"/>
    </row>
    <row r="18" spans="1:253" s="36" customFormat="1" ht="18.95" customHeight="1" thickTop="1" x14ac:dyDescent="0.3">
      <c r="A18" s="38" t="s">
        <v>11</v>
      </c>
      <c r="B18" s="37"/>
      <c r="C18" s="37"/>
      <c r="D18" s="37"/>
      <c r="E18" s="37"/>
      <c r="F18" s="37"/>
      <c r="G18" s="37"/>
      <c r="H18" s="37"/>
      <c r="I18" s="37"/>
      <c r="J18" s="37"/>
      <c r="K18" s="37"/>
      <c r="L18" s="37"/>
      <c r="M18" s="37"/>
      <c r="N18" s="37"/>
      <c r="O18" s="37"/>
      <c r="P18" s="59"/>
      <c r="Q18" s="59"/>
      <c r="R18" s="59"/>
      <c r="S18" s="59"/>
      <c r="T18" s="59"/>
      <c r="U18" s="59"/>
      <c r="V18" s="59"/>
      <c r="W18" s="59"/>
      <c r="X18" s="59"/>
      <c r="Y18" s="59"/>
      <c r="Z18" s="59"/>
      <c r="AA18" s="59"/>
      <c r="AB18" s="59"/>
      <c r="AC18" s="59"/>
      <c r="AD18" s="59"/>
      <c r="AE18" s="59"/>
      <c r="AF18" s="59"/>
      <c r="AG18" s="59"/>
      <c r="AH18" s="59"/>
      <c r="AI18" s="59"/>
      <c r="AJ18" s="59"/>
      <c r="AK18" s="59"/>
      <c r="AL18" s="59"/>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58"/>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row>
    <row r="19" spans="1:253" s="36" customFormat="1" ht="18.95" customHeight="1" x14ac:dyDescent="0.3">
      <c r="A19" s="35" t="s">
        <v>0</v>
      </c>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58"/>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row>
    <row r="20" spans="1:253" s="36" customFormat="1" ht="11.45" customHeight="1" x14ac:dyDescent="0.3">
      <c r="A20" s="35"/>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58"/>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row>
    <row r="21" spans="1:253" ht="21" thickBot="1" x14ac:dyDescent="0.4">
      <c r="A21" s="57" t="s">
        <v>26</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row>
    <row r="22" spans="1:253" ht="17.25" thickTop="1" x14ac:dyDescent="0.3">
      <c r="A22" s="55" t="s">
        <v>25</v>
      </c>
      <c r="B22" s="53">
        <v>37258</v>
      </c>
      <c r="C22" s="53">
        <v>37289</v>
      </c>
      <c r="D22" s="54">
        <v>37378</v>
      </c>
      <c r="E22" s="54">
        <v>37409</v>
      </c>
      <c r="F22" s="54">
        <v>37439</v>
      </c>
      <c r="G22" s="54">
        <v>37470</v>
      </c>
      <c r="H22" s="54">
        <v>37501</v>
      </c>
      <c r="I22" s="53">
        <v>37531</v>
      </c>
      <c r="J22" s="53">
        <v>37562</v>
      </c>
      <c r="K22" s="53">
        <v>37592</v>
      </c>
      <c r="L22" s="53">
        <v>37623</v>
      </c>
      <c r="M22" s="53">
        <v>37654</v>
      </c>
      <c r="N22" s="53">
        <v>37682</v>
      </c>
      <c r="O22" s="53">
        <v>37713</v>
      </c>
      <c r="P22" s="53">
        <v>37743</v>
      </c>
      <c r="Q22" s="53">
        <v>37774</v>
      </c>
      <c r="R22" s="53">
        <v>37804</v>
      </c>
      <c r="S22" s="53">
        <v>37835</v>
      </c>
      <c r="T22" s="53">
        <v>37866</v>
      </c>
      <c r="U22" s="53">
        <v>37896</v>
      </c>
      <c r="V22" s="53">
        <v>37927</v>
      </c>
      <c r="W22" s="53">
        <v>37957</v>
      </c>
      <c r="X22" s="53">
        <v>37988</v>
      </c>
      <c r="Y22" s="53">
        <v>38019</v>
      </c>
      <c r="Z22" s="53">
        <v>38048</v>
      </c>
      <c r="AA22" s="53">
        <v>38079</v>
      </c>
      <c r="AB22" s="53">
        <v>38109</v>
      </c>
      <c r="AC22" s="53">
        <v>38140</v>
      </c>
      <c r="AD22" s="53">
        <v>38170</v>
      </c>
      <c r="AE22" s="53">
        <v>38201</v>
      </c>
      <c r="AF22" s="53">
        <v>38232</v>
      </c>
      <c r="AG22" s="53">
        <v>38262</v>
      </c>
      <c r="AH22" s="53">
        <v>38293</v>
      </c>
      <c r="AI22" s="53">
        <v>38323</v>
      </c>
      <c r="AJ22" s="53">
        <v>38354</v>
      </c>
      <c r="AK22" s="53">
        <v>38413</v>
      </c>
      <c r="AL22" s="53">
        <v>38444</v>
      </c>
      <c r="AM22" s="53">
        <v>38474</v>
      </c>
      <c r="AN22" s="53">
        <v>38505</v>
      </c>
      <c r="AO22" s="53">
        <v>38535</v>
      </c>
      <c r="AP22" s="53">
        <v>38565</v>
      </c>
      <c r="AQ22" s="53">
        <v>38596</v>
      </c>
      <c r="AR22" s="53">
        <v>38626</v>
      </c>
      <c r="AS22" s="53">
        <v>38657</v>
      </c>
      <c r="AT22" s="53">
        <v>38687</v>
      </c>
      <c r="AU22" s="53">
        <v>38718</v>
      </c>
      <c r="AV22" s="53">
        <v>38749</v>
      </c>
      <c r="AW22" s="53">
        <v>38777</v>
      </c>
      <c r="AX22" s="53">
        <v>38808</v>
      </c>
      <c r="AY22" s="53">
        <v>38838</v>
      </c>
      <c r="AZ22" s="53">
        <v>38869</v>
      </c>
      <c r="BA22" s="53">
        <v>38899</v>
      </c>
      <c r="BB22" s="53">
        <v>38930</v>
      </c>
      <c r="BC22" s="53">
        <v>38961</v>
      </c>
      <c r="BD22" s="53">
        <v>38991</v>
      </c>
      <c r="BE22" s="53">
        <v>39022</v>
      </c>
      <c r="BF22" s="53">
        <v>39052</v>
      </c>
      <c r="BG22" s="53">
        <v>39083</v>
      </c>
      <c r="BH22" s="53">
        <v>39114</v>
      </c>
      <c r="BI22" s="53">
        <v>39142</v>
      </c>
      <c r="BJ22" s="53">
        <v>39173</v>
      </c>
      <c r="BK22" s="53">
        <v>39203</v>
      </c>
      <c r="BL22" s="53">
        <v>39234</v>
      </c>
      <c r="BM22" s="53">
        <v>39264</v>
      </c>
      <c r="BN22" s="53">
        <v>39295</v>
      </c>
      <c r="BO22" s="53">
        <v>39326</v>
      </c>
      <c r="BP22" s="53">
        <v>39356</v>
      </c>
      <c r="BQ22" s="53">
        <v>39387</v>
      </c>
      <c r="BR22" s="53">
        <v>39417</v>
      </c>
      <c r="BS22" s="53">
        <v>39448</v>
      </c>
      <c r="BT22" s="53">
        <v>39479</v>
      </c>
      <c r="BU22" s="53">
        <v>39508</v>
      </c>
      <c r="BV22" s="53">
        <v>39539</v>
      </c>
      <c r="BW22" s="53">
        <v>39569</v>
      </c>
      <c r="BX22" s="53">
        <v>39600</v>
      </c>
      <c r="BY22" s="53">
        <v>39630</v>
      </c>
      <c r="BZ22" s="53">
        <v>39661</v>
      </c>
      <c r="CA22" s="53">
        <v>39692</v>
      </c>
      <c r="CB22" s="53">
        <v>39722</v>
      </c>
      <c r="CC22" s="53">
        <v>39753</v>
      </c>
      <c r="CD22" s="53">
        <v>39783</v>
      </c>
      <c r="CE22" s="53">
        <v>39814</v>
      </c>
      <c r="CF22" s="53">
        <v>39845</v>
      </c>
      <c r="CG22" s="53">
        <v>39873</v>
      </c>
      <c r="CH22" s="53">
        <v>39904</v>
      </c>
      <c r="CI22" s="53">
        <v>39934</v>
      </c>
      <c r="CJ22" s="53">
        <v>39965</v>
      </c>
      <c r="CK22" s="53">
        <v>39995</v>
      </c>
      <c r="CL22" s="53">
        <v>40026</v>
      </c>
      <c r="CM22" s="53">
        <v>40057</v>
      </c>
      <c r="CN22" s="53">
        <v>40087</v>
      </c>
      <c r="CO22" s="53">
        <v>40118</v>
      </c>
      <c r="CP22" s="53">
        <v>40299</v>
      </c>
      <c r="CQ22" s="53">
        <v>40360</v>
      </c>
      <c r="CR22" s="53">
        <v>40391</v>
      </c>
      <c r="CS22" s="53">
        <v>40422</v>
      </c>
      <c r="CT22" s="53">
        <v>40452</v>
      </c>
      <c r="CU22" s="53">
        <v>40483</v>
      </c>
      <c r="CV22" s="53">
        <v>40513</v>
      </c>
      <c r="CW22" s="53">
        <v>40544</v>
      </c>
      <c r="CX22" s="53">
        <v>40575</v>
      </c>
      <c r="CY22" s="53">
        <v>40603</v>
      </c>
      <c r="CZ22" s="53">
        <v>40634</v>
      </c>
      <c r="DA22" s="53">
        <v>40664</v>
      </c>
      <c r="DB22" s="53">
        <v>40695</v>
      </c>
      <c r="DC22" s="53">
        <v>40725</v>
      </c>
      <c r="DD22" s="53">
        <v>40756</v>
      </c>
      <c r="DE22" s="53">
        <v>40787</v>
      </c>
      <c r="DF22" s="53">
        <f t="shared" ref="DF22:EK22" si="5">DF3</f>
        <v>40817</v>
      </c>
      <c r="DG22" s="53">
        <f t="shared" si="5"/>
        <v>40848</v>
      </c>
      <c r="DH22" s="53">
        <f t="shared" si="5"/>
        <v>40878</v>
      </c>
      <c r="DI22" s="53">
        <f t="shared" si="5"/>
        <v>40909</v>
      </c>
      <c r="DJ22" s="53">
        <f t="shared" si="5"/>
        <v>40940</v>
      </c>
      <c r="DK22" s="53">
        <f t="shared" si="5"/>
        <v>40969</v>
      </c>
      <c r="DL22" s="53">
        <f t="shared" si="5"/>
        <v>41000</v>
      </c>
      <c r="DM22" s="53">
        <f t="shared" si="5"/>
        <v>41030</v>
      </c>
      <c r="DN22" s="53">
        <f t="shared" si="5"/>
        <v>41061</v>
      </c>
      <c r="DO22" s="53">
        <f t="shared" si="5"/>
        <v>41091</v>
      </c>
      <c r="DP22" s="53">
        <f t="shared" si="5"/>
        <v>41122</v>
      </c>
      <c r="DQ22" s="53">
        <f t="shared" si="5"/>
        <v>41153</v>
      </c>
      <c r="DR22" s="53">
        <f t="shared" si="5"/>
        <v>41183</v>
      </c>
      <c r="DS22" s="53">
        <f t="shared" si="5"/>
        <v>41214</v>
      </c>
      <c r="DT22" s="53">
        <f t="shared" si="5"/>
        <v>41245</v>
      </c>
      <c r="DU22" s="53">
        <f t="shared" si="5"/>
        <v>41276</v>
      </c>
      <c r="DV22" s="53">
        <f t="shared" si="5"/>
        <v>41307</v>
      </c>
      <c r="DW22" s="53">
        <f t="shared" si="5"/>
        <v>41338</v>
      </c>
      <c r="DX22" s="53">
        <f t="shared" si="5"/>
        <v>41369</v>
      </c>
      <c r="DY22" s="53">
        <f t="shared" si="5"/>
        <v>41400</v>
      </c>
      <c r="DZ22" s="53">
        <f t="shared" si="5"/>
        <v>41431</v>
      </c>
      <c r="EA22" s="53">
        <f t="shared" si="5"/>
        <v>41462</v>
      </c>
      <c r="EB22" s="53">
        <f t="shared" si="5"/>
        <v>41493</v>
      </c>
      <c r="EC22" s="53">
        <f t="shared" si="5"/>
        <v>41524</v>
      </c>
      <c r="ED22" s="53">
        <f t="shared" si="5"/>
        <v>41555</v>
      </c>
      <c r="EE22" s="53">
        <f t="shared" si="5"/>
        <v>41586</v>
      </c>
      <c r="EF22" s="53">
        <f t="shared" si="5"/>
        <v>41617</v>
      </c>
      <c r="EG22" s="53">
        <f t="shared" si="5"/>
        <v>41648</v>
      </c>
      <c r="EH22" s="53">
        <f t="shared" si="5"/>
        <v>41679</v>
      </c>
      <c r="EI22" s="53">
        <f t="shared" si="5"/>
        <v>41710</v>
      </c>
      <c r="EJ22" s="53">
        <f t="shared" si="5"/>
        <v>41741</v>
      </c>
      <c r="EK22" s="53">
        <f t="shared" si="5"/>
        <v>41772</v>
      </c>
      <c r="EL22" s="53">
        <f t="shared" ref="EL22:FQ22" si="6">EL3</f>
        <v>41803</v>
      </c>
      <c r="EM22" s="53">
        <f t="shared" si="6"/>
        <v>41834</v>
      </c>
      <c r="EN22" s="53">
        <f t="shared" si="6"/>
        <v>41865</v>
      </c>
      <c r="EO22" s="53">
        <f t="shared" si="6"/>
        <v>41896</v>
      </c>
      <c r="EP22" s="53">
        <f t="shared" si="6"/>
        <v>41927</v>
      </c>
      <c r="EQ22" s="53">
        <f t="shared" si="6"/>
        <v>41958</v>
      </c>
      <c r="ER22" s="53">
        <f t="shared" si="6"/>
        <v>41989</v>
      </c>
      <c r="ES22" s="53">
        <f t="shared" si="6"/>
        <v>42020</v>
      </c>
      <c r="ET22" s="53">
        <f t="shared" si="6"/>
        <v>42051</v>
      </c>
      <c r="EU22" s="53">
        <f t="shared" si="6"/>
        <v>42082</v>
      </c>
      <c r="EV22" s="53">
        <f t="shared" si="6"/>
        <v>42113</v>
      </c>
      <c r="EW22" s="53">
        <f t="shared" si="6"/>
        <v>42144</v>
      </c>
      <c r="EX22" s="53">
        <f t="shared" si="6"/>
        <v>42175</v>
      </c>
      <c r="EY22" s="53">
        <f t="shared" si="6"/>
        <v>42206</v>
      </c>
      <c r="EZ22" s="53">
        <f t="shared" si="6"/>
        <v>42237</v>
      </c>
      <c r="FA22" s="53">
        <f t="shared" si="6"/>
        <v>42268</v>
      </c>
      <c r="FB22" s="53">
        <f t="shared" si="6"/>
        <v>42299</v>
      </c>
      <c r="FC22" s="53">
        <f t="shared" si="6"/>
        <v>42330</v>
      </c>
      <c r="FD22" s="53">
        <f t="shared" si="6"/>
        <v>42361</v>
      </c>
      <c r="FE22" s="53">
        <f t="shared" si="6"/>
        <v>42392</v>
      </c>
      <c r="FF22" s="53">
        <f t="shared" si="6"/>
        <v>42423</v>
      </c>
      <c r="FG22" s="53">
        <f t="shared" si="6"/>
        <v>42454</v>
      </c>
      <c r="FH22" s="53">
        <f t="shared" si="6"/>
        <v>42485</v>
      </c>
      <c r="FI22" s="53">
        <f t="shared" si="6"/>
        <v>42516</v>
      </c>
      <c r="FJ22" s="53">
        <f t="shared" si="6"/>
        <v>42547</v>
      </c>
      <c r="FK22" s="53">
        <f t="shared" si="6"/>
        <v>42578</v>
      </c>
      <c r="FL22" s="53">
        <f t="shared" si="6"/>
        <v>42609</v>
      </c>
      <c r="FM22" s="53">
        <f t="shared" si="6"/>
        <v>42640</v>
      </c>
      <c r="FN22" s="53">
        <f t="shared" si="6"/>
        <v>42671</v>
      </c>
      <c r="FO22" s="53">
        <f t="shared" si="6"/>
        <v>42702</v>
      </c>
      <c r="FP22" s="53">
        <f t="shared" si="6"/>
        <v>42733</v>
      </c>
      <c r="FQ22" s="53">
        <f t="shared" si="6"/>
        <v>42764</v>
      </c>
      <c r="FR22" s="53">
        <f t="shared" ref="FR22:GW22" si="7">FR3</f>
        <v>42792</v>
      </c>
      <c r="FS22" s="53">
        <f t="shared" si="7"/>
        <v>42820</v>
      </c>
      <c r="FT22" s="53">
        <f t="shared" si="7"/>
        <v>42848</v>
      </c>
      <c r="FU22" s="53">
        <f t="shared" si="7"/>
        <v>42876</v>
      </c>
      <c r="FV22" s="53">
        <f t="shared" si="7"/>
        <v>42904</v>
      </c>
      <c r="FW22" s="53">
        <f t="shared" si="7"/>
        <v>42932</v>
      </c>
      <c r="FX22" s="53">
        <f t="shared" si="7"/>
        <v>42960</v>
      </c>
      <c r="FY22" s="53">
        <f t="shared" si="7"/>
        <v>42988</v>
      </c>
      <c r="FZ22" s="53">
        <f t="shared" si="7"/>
        <v>43016</v>
      </c>
      <c r="GA22" s="53">
        <f t="shared" si="7"/>
        <v>43044</v>
      </c>
      <c r="GB22" s="53">
        <f t="shared" si="7"/>
        <v>43072</v>
      </c>
      <c r="GC22" s="53">
        <f t="shared" si="7"/>
        <v>43101</v>
      </c>
      <c r="GD22" s="53">
        <f t="shared" si="7"/>
        <v>43132</v>
      </c>
      <c r="GE22" s="53">
        <f t="shared" si="7"/>
        <v>43163</v>
      </c>
      <c r="GF22" s="53">
        <f t="shared" si="7"/>
        <v>43194</v>
      </c>
      <c r="GG22" s="53">
        <f t="shared" si="7"/>
        <v>43225</v>
      </c>
      <c r="GH22" s="53">
        <f t="shared" si="7"/>
        <v>43256</v>
      </c>
      <c r="GI22" s="3442">
        <f t="shared" si="7"/>
        <v>43287</v>
      </c>
      <c r="GJ22" s="3442">
        <f t="shared" si="7"/>
        <v>43318</v>
      </c>
      <c r="GK22" s="3442">
        <f t="shared" si="7"/>
        <v>43349</v>
      </c>
      <c r="GL22" s="3442">
        <f t="shared" si="7"/>
        <v>43380</v>
      </c>
      <c r="GM22" s="3442">
        <f t="shared" si="7"/>
        <v>43411</v>
      </c>
      <c r="GN22" s="3442">
        <f t="shared" si="7"/>
        <v>43442</v>
      </c>
      <c r="GO22" s="3442">
        <f t="shared" si="7"/>
        <v>43473</v>
      </c>
      <c r="GP22" s="3442">
        <f t="shared" si="7"/>
        <v>43504</v>
      </c>
      <c r="GQ22" s="3442">
        <f t="shared" si="7"/>
        <v>43535</v>
      </c>
      <c r="GR22" s="3442">
        <f t="shared" si="7"/>
        <v>43566</v>
      </c>
      <c r="GS22" s="3442">
        <f t="shared" si="7"/>
        <v>43597</v>
      </c>
      <c r="GT22" s="3440">
        <f t="shared" si="7"/>
        <v>43628</v>
      </c>
      <c r="GU22" s="3442">
        <f t="shared" si="7"/>
        <v>43659</v>
      </c>
      <c r="GV22" s="3442">
        <f t="shared" si="7"/>
        <v>43690</v>
      </c>
      <c r="GW22" s="3442">
        <f t="shared" si="7"/>
        <v>43721</v>
      </c>
      <c r="GX22" s="3440">
        <f t="shared" ref="GX22:IC22" si="8">GX3</f>
        <v>43752</v>
      </c>
      <c r="GY22" s="3442">
        <f t="shared" si="8"/>
        <v>43783</v>
      </c>
      <c r="GZ22" s="3442">
        <f t="shared" si="8"/>
        <v>43814</v>
      </c>
      <c r="HA22" s="3442">
        <f t="shared" si="8"/>
        <v>43845</v>
      </c>
      <c r="HB22" s="3440">
        <f t="shared" si="8"/>
        <v>43876</v>
      </c>
      <c r="HC22" s="3444">
        <f t="shared" si="8"/>
        <v>43907</v>
      </c>
      <c r="HD22" s="3440">
        <f t="shared" si="8"/>
        <v>43938</v>
      </c>
      <c r="HE22" s="3440">
        <f t="shared" si="8"/>
        <v>43969</v>
      </c>
      <c r="HF22" s="3444">
        <f t="shared" si="8"/>
        <v>44000</v>
      </c>
      <c r="HG22" s="3440">
        <f t="shared" si="8"/>
        <v>44031</v>
      </c>
      <c r="HH22" s="3440">
        <f t="shared" si="8"/>
        <v>44062</v>
      </c>
      <c r="HI22" s="3440">
        <f t="shared" si="8"/>
        <v>44093</v>
      </c>
      <c r="HJ22" s="3440">
        <f t="shared" si="8"/>
        <v>44124</v>
      </c>
      <c r="HK22" s="3440">
        <f t="shared" si="8"/>
        <v>44155</v>
      </c>
      <c r="HL22" s="3440">
        <f t="shared" si="8"/>
        <v>44186</v>
      </c>
      <c r="HM22" s="3440">
        <f t="shared" si="8"/>
        <v>44217</v>
      </c>
      <c r="HN22" s="3440">
        <f t="shared" si="8"/>
        <v>44248</v>
      </c>
      <c r="HO22" s="3440">
        <f t="shared" si="8"/>
        <v>44279</v>
      </c>
      <c r="HP22" s="3440">
        <f t="shared" si="8"/>
        <v>44310</v>
      </c>
      <c r="HQ22" s="3440">
        <f t="shared" si="8"/>
        <v>44341</v>
      </c>
      <c r="HR22" s="3440">
        <f t="shared" si="8"/>
        <v>44371</v>
      </c>
      <c r="HS22" s="3440">
        <f t="shared" si="8"/>
        <v>44401</v>
      </c>
      <c r="HT22" s="3440">
        <f t="shared" si="8"/>
        <v>44431</v>
      </c>
      <c r="HU22" s="3440">
        <f t="shared" si="8"/>
        <v>44461</v>
      </c>
      <c r="HV22" s="3440">
        <f t="shared" si="8"/>
        <v>44491</v>
      </c>
      <c r="HW22" s="3440">
        <f t="shared" si="8"/>
        <v>44521</v>
      </c>
      <c r="HX22" s="3440">
        <f t="shared" si="8"/>
        <v>44551</v>
      </c>
      <c r="HY22" s="3440">
        <f t="shared" si="8"/>
        <v>44581</v>
      </c>
      <c r="HZ22" s="3440">
        <f t="shared" si="8"/>
        <v>44611</v>
      </c>
      <c r="IA22" s="3440">
        <f t="shared" si="8"/>
        <v>44641</v>
      </c>
      <c r="IB22" s="3440">
        <f t="shared" si="8"/>
        <v>44671</v>
      </c>
      <c r="IC22" s="3440">
        <f t="shared" si="8"/>
        <v>44701</v>
      </c>
      <c r="ID22" s="3440">
        <f t="shared" ref="ID22:IS22" si="9">ID3</f>
        <v>44731</v>
      </c>
      <c r="IE22" s="3440">
        <f t="shared" si="9"/>
        <v>44761</v>
      </c>
      <c r="IF22" s="3440">
        <f t="shared" si="9"/>
        <v>44791</v>
      </c>
      <c r="IG22" s="3440">
        <f t="shared" si="9"/>
        <v>44821</v>
      </c>
      <c r="IH22" s="3440">
        <f t="shared" si="9"/>
        <v>44851</v>
      </c>
      <c r="II22" s="3440">
        <f t="shared" si="9"/>
        <v>44881</v>
      </c>
      <c r="IJ22" s="3440">
        <f t="shared" si="9"/>
        <v>44911</v>
      </c>
      <c r="IK22" s="3440">
        <f t="shared" si="9"/>
        <v>44941</v>
      </c>
      <c r="IL22" s="3440">
        <f t="shared" si="9"/>
        <v>44971</v>
      </c>
      <c r="IM22" s="3440">
        <f t="shared" si="9"/>
        <v>45001</v>
      </c>
      <c r="IN22" s="3440">
        <f t="shared" si="9"/>
        <v>45031</v>
      </c>
      <c r="IO22" s="3440">
        <f t="shared" si="9"/>
        <v>45061</v>
      </c>
      <c r="IP22" s="3440">
        <f t="shared" si="9"/>
        <v>45091</v>
      </c>
      <c r="IQ22" s="3440">
        <f t="shared" si="9"/>
        <v>45121</v>
      </c>
      <c r="IR22" s="3440">
        <f t="shared" si="9"/>
        <v>45151</v>
      </c>
      <c r="IS22" s="3440">
        <f t="shared" si="9"/>
        <v>45181</v>
      </c>
    </row>
    <row r="23" spans="1:253" ht="17.25" thickBot="1" x14ac:dyDescent="0.35">
      <c r="A23" s="52" t="s">
        <v>24</v>
      </c>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c r="DE23" s="51"/>
      <c r="DF23" s="51"/>
      <c r="DG23" s="51"/>
      <c r="DH23" s="51"/>
      <c r="DI23" s="51"/>
      <c r="DJ23" s="51"/>
      <c r="DK23" s="51"/>
      <c r="DL23" s="51"/>
      <c r="DM23" s="51"/>
      <c r="DN23" s="51"/>
      <c r="DO23" s="51"/>
      <c r="DP23" s="51"/>
      <c r="DQ23" s="51"/>
      <c r="DR23" s="51"/>
      <c r="DS23" s="51"/>
      <c r="DT23" s="51"/>
      <c r="DU23" s="51"/>
      <c r="DV23" s="51"/>
      <c r="DW23" s="51"/>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3447"/>
      <c r="GJ23" s="3443"/>
      <c r="GK23" s="3443"/>
      <c r="GL23" s="3443"/>
      <c r="GM23" s="3443"/>
      <c r="GN23" s="3443"/>
      <c r="GO23" s="3443"/>
      <c r="GP23" s="3443"/>
      <c r="GQ23" s="3443"/>
      <c r="GR23" s="3443"/>
      <c r="GS23" s="3443"/>
      <c r="GT23" s="3446"/>
      <c r="GU23" s="3443"/>
      <c r="GV23" s="3443"/>
      <c r="GW23" s="3443"/>
      <c r="GX23" s="3446"/>
      <c r="GY23" s="3443"/>
      <c r="GZ23" s="3443"/>
      <c r="HA23" s="3443"/>
      <c r="HB23" s="3441"/>
      <c r="HC23" s="3445"/>
      <c r="HD23" s="3441"/>
      <c r="HE23" s="3441"/>
      <c r="HF23" s="3445"/>
      <c r="HG23" s="3441"/>
      <c r="HH23" s="3441"/>
      <c r="HI23" s="3441"/>
      <c r="HJ23" s="3441"/>
      <c r="HK23" s="3441"/>
      <c r="HL23" s="3441"/>
      <c r="HM23" s="3441"/>
      <c r="HN23" s="3441"/>
      <c r="HO23" s="3441"/>
      <c r="HP23" s="3441"/>
      <c r="HQ23" s="3441"/>
      <c r="HR23" s="3441"/>
      <c r="HS23" s="3441"/>
      <c r="HT23" s="3441"/>
      <c r="HU23" s="3441"/>
      <c r="HV23" s="3441"/>
      <c r="HW23" s="3441"/>
      <c r="HX23" s="3441"/>
      <c r="HY23" s="3441"/>
      <c r="HZ23" s="3441"/>
      <c r="IA23" s="3441"/>
      <c r="IB23" s="3441"/>
      <c r="IC23" s="3441"/>
      <c r="ID23" s="3441"/>
      <c r="IE23" s="3441"/>
      <c r="IF23" s="3441"/>
      <c r="IG23" s="3441"/>
      <c r="IH23" s="3441"/>
      <c r="II23" s="3441"/>
      <c r="IJ23" s="3441"/>
      <c r="IK23" s="3441"/>
      <c r="IL23" s="3441"/>
      <c r="IM23" s="3441"/>
      <c r="IN23" s="3441"/>
      <c r="IO23" s="3441"/>
      <c r="IP23" s="3441"/>
      <c r="IQ23" s="3441"/>
      <c r="IR23" s="3441"/>
      <c r="IS23" s="3441"/>
    </row>
    <row r="24" spans="1:253" ht="21" customHeight="1" x14ac:dyDescent="0.3">
      <c r="A24" s="48" t="s">
        <v>23</v>
      </c>
      <c r="B24" s="46">
        <v>15.824999999999999</v>
      </c>
      <c r="C24" s="46">
        <v>15.736000000000001</v>
      </c>
      <c r="D24" s="46">
        <v>16.807727272727274</v>
      </c>
      <c r="E24" s="46">
        <v>17.321000000000002</v>
      </c>
      <c r="F24" s="46">
        <v>16.746521739130436</v>
      </c>
      <c r="G24" s="46">
        <v>16.2985714285714</v>
      </c>
      <c r="H24" s="46">
        <v>16.420500000000001</v>
      </c>
      <c r="I24" s="46">
        <v>16.502600000000001</v>
      </c>
      <c r="J24" s="46">
        <v>16.757999999999999</v>
      </c>
      <c r="K24" s="46">
        <v>16.746500000000001</v>
      </c>
      <c r="L24" s="46">
        <v>17.021000000000001</v>
      </c>
      <c r="M24" s="46">
        <v>16.774999999999999</v>
      </c>
      <c r="N24" s="46">
        <v>16.820499999999999</v>
      </c>
      <c r="O24" s="46">
        <v>16.925000000000001</v>
      </c>
      <c r="P24" s="46">
        <v>18.078099999999999</v>
      </c>
      <c r="Q24" s="46">
        <v>19.045000000000002</v>
      </c>
      <c r="R24" s="46">
        <v>19.766999999999999</v>
      </c>
      <c r="S24" s="46">
        <v>19.231999999999999</v>
      </c>
      <c r="T24" s="46">
        <v>19.481000000000002</v>
      </c>
      <c r="U24" s="46">
        <v>20.094999999999999</v>
      </c>
      <c r="V24" s="46">
        <v>20.541</v>
      </c>
      <c r="W24" s="46">
        <v>20.177</v>
      </c>
      <c r="X24" s="46">
        <v>20.393000000000001</v>
      </c>
      <c r="Y24" s="46">
        <v>20.273</v>
      </c>
      <c r="Z24" s="46">
        <v>19.875</v>
      </c>
      <c r="AA24" s="46">
        <v>20.445</v>
      </c>
      <c r="AB24" s="46">
        <v>19.911999999999999</v>
      </c>
      <c r="AC24" s="46">
        <v>19.760000000000002</v>
      </c>
      <c r="AD24" s="46">
        <v>20.459</v>
      </c>
      <c r="AE24" s="46">
        <v>20.385999999999999</v>
      </c>
      <c r="AF24" s="46">
        <v>20.271999999999998</v>
      </c>
      <c r="AG24" s="46">
        <v>21.173999999999999</v>
      </c>
      <c r="AH24" s="46">
        <v>22.21</v>
      </c>
      <c r="AI24" s="46">
        <v>22.016999999999999</v>
      </c>
      <c r="AJ24" s="46">
        <v>21.998999999999999</v>
      </c>
      <c r="AK24" s="46">
        <v>22.949000000000002</v>
      </c>
      <c r="AL24" s="46">
        <v>22.725000000000001</v>
      </c>
      <c r="AM24" s="46">
        <v>22.585999999999999</v>
      </c>
      <c r="AN24" s="46">
        <v>22.712700000000002</v>
      </c>
      <c r="AO24" s="46">
        <v>22.446000000000002</v>
      </c>
      <c r="AP24" s="46">
        <v>22.8643</v>
      </c>
      <c r="AQ24" s="46">
        <v>23.132400000000001</v>
      </c>
      <c r="AR24" s="46">
        <v>23.1129</v>
      </c>
      <c r="AS24" s="46">
        <v>22.605799999999999</v>
      </c>
      <c r="AT24" s="46">
        <v>22.9314</v>
      </c>
      <c r="AU24" s="46">
        <v>23.199000000000002</v>
      </c>
      <c r="AV24" s="46">
        <v>22.966000000000001</v>
      </c>
      <c r="AW24" s="46">
        <v>22.6386</v>
      </c>
      <c r="AX24" s="46">
        <v>22.902999999999999</v>
      </c>
      <c r="AY24" s="46">
        <v>23.784500000000001</v>
      </c>
      <c r="AZ24" s="46">
        <v>23.0745</v>
      </c>
      <c r="BA24" s="46">
        <v>23.6295</v>
      </c>
      <c r="BB24" s="46">
        <v>24.693300000000001</v>
      </c>
      <c r="BC24" s="46">
        <v>24.946200000000001</v>
      </c>
      <c r="BD24" s="46">
        <v>25.091899999999999</v>
      </c>
      <c r="BE24" s="46">
        <v>26.064</v>
      </c>
      <c r="BF24" s="46">
        <v>26.707999999999998</v>
      </c>
      <c r="BG24" s="46">
        <v>26.759499999999999</v>
      </c>
      <c r="BH24" s="46">
        <v>26.646100000000001</v>
      </c>
      <c r="BI24" s="46">
        <v>26.481000000000002</v>
      </c>
      <c r="BJ24" s="46">
        <v>27.138999999999999</v>
      </c>
      <c r="BK24" s="46">
        <v>26.309100000000001</v>
      </c>
      <c r="BL24" s="46">
        <v>26.992000000000001</v>
      </c>
      <c r="BM24" s="46">
        <v>27.722300000000001</v>
      </c>
      <c r="BN24" s="46">
        <v>26.2166</v>
      </c>
      <c r="BO24" s="46">
        <v>26.647600000000001</v>
      </c>
      <c r="BP24" s="46">
        <v>27.867799999999999</v>
      </c>
      <c r="BQ24" s="46">
        <v>27.524999999999999</v>
      </c>
      <c r="BR24" s="46">
        <v>26.2134</v>
      </c>
      <c r="BS24" s="46">
        <v>25.8324</v>
      </c>
      <c r="BT24" s="46">
        <v>26.4071</v>
      </c>
      <c r="BU24" s="46">
        <v>25.279800000000002</v>
      </c>
      <c r="BV24" s="46">
        <v>24.8523</v>
      </c>
      <c r="BW24" s="46">
        <v>26.385000000000002</v>
      </c>
      <c r="BX24" s="46">
        <v>26.586300000000001</v>
      </c>
      <c r="BY24" s="46">
        <v>26.410699999999999</v>
      </c>
      <c r="BZ24" s="46">
        <v>24.974799999999998</v>
      </c>
      <c r="CA24" s="46">
        <v>24.301400000000001</v>
      </c>
      <c r="CB24" s="46">
        <v>21.485099999999999</v>
      </c>
      <c r="CC24" s="46">
        <v>21.5411</v>
      </c>
      <c r="CD24" s="46">
        <v>22.0108</v>
      </c>
      <c r="CE24" s="46">
        <v>22.5198</v>
      </c>
      <c r="CF24" s="46">
        <v>22.138999999999999</v>
      </c>
      <c r="CG24" s="46">
        <v>23.0684</v>
      </c>
      <c r="CH24" s="46">
        <v>24.5871</v>
      </c>
      <c r="CI24" s="46">
        <v>25.926429999999993</v>
      </c>
      <c r="CJ24" s="46">
        <v>26.753404545454554</v>
      </c>
      <c r="CK24" s="46">
        <v>26.610808695652167</v>
      </c>
      <c r="CL24" s="46">
        <v>27.443220000000007</v>
      </c>
      <c r="CM24" s="46">
        <v>27.693085714285708</v>
      </c>
      <c r="CN24" s="46">
        <v>28.572818181818182</v>
      </c>
      <c r="CO24" s="46">
        <v>28.594170000000002</v>
      </c>
      <c r="CP24" s="46">
        <v>29.11</v>
      </c>
      <c r="CQ24" s="46">
        <v>28.145677124721249</v>
      </c>
      <c r="CR24" s="46">
        <v>28.351412763083577</v>
      </c>
      <c r="CS24" s="46">
        <v>29.51271716679905</v>
      </c>
      <c r="CT24" s="46">
        <v>30.112859290085709</v>
      </c>
      <c r="CU24" s="46">
        <v>30.62334452555762</v>
      </c>
      <c r="CV24" s="46">
        <v>31.222964875904054</v>
      </c>
      <c r="CW24" s="46">
        <v>30.973330877776778</v>
      </c>
      <c r="CX24" s="46">
        <v>30.766630119998712</v>
      </c>
      <c r="CY24" s="46">
        <v>30.185050539688721</v>
      </c>
      <c r="CZ24" s="46">
        <v>30.626423231730449</v>
      </c>
      <c r="DA24" s="46">
        <v>30.63291965911311</v>
      </c>
      <c r="DB24" s="46">
        <v>30.588510575347904</v>
      </c>
      <c r="DC24" s="46">
        <v>31.257842370683864</v>
      </c>
      <c r="DD24" s="46">
        <v>30.338127937876607</v>
      </c>
      <c r="DE24" s="46">
        <v>30.012847556634835</v>
      </c>
      <c r="DF24" s="46">
        <v>30.044773087857056</v>
      </c>
      <c r="DG24" s="46">
        <v>30.051936631125955</v>
      </c>
      <c r="DH24" s="46">
        <v>30.448734150137327</v>
      </c>
      <c r="DI24" s="46">
        <v>31.346826834617055</v>
      </c>
      <c r="DJ24" s="46">
        <v>32.006741442801321</v>
      </c>
      <c r="DK24" s="46">
        <v>31.463934301725295</v>
      </c>
      <c r="DL24" s="46">
        <v>30.891312718159249</v>
      </c>
      <c r="DM24" s="46">
        <v>30.139375669120376</v>
      </c>
      <c r="DN24" s="46">
        <v>31.017520678579249</v>
      </c>
      <c r="DO24" s="46">
        <v>32.716449988451366</v>
      </c>
      <c r="DP24" s="46">
        <v>32.97830074259879</v>
      </c>
      <c r="DQ24" s="46">
        <v>32.306321025177965</v>
      </c>
      <c r="DR24" s="46">
        <v>32.379576310038559</v>
      </c>
      <c r="DS24" s="46">
        <v>32.976346461467429</v>
      </c>
      <c r="DT24" s="46">
        <v>32.787822204921696</v>
      </c>
      <c r="DU24" s="46">
        <v>32.641434351236455</v>
      </c>
      <c r="DV24" s="46">
        <v>32.049381330959399</v>
      </c>
      <c r="DW24" s="46">
        <v>32.56816313380024</v>
      </c>
      <c r="DX24" s="46">
        <v>32.750384317993891</v>
      </c>
      <c r="DY24" s="46">
        <v>31.312009630054817</v>
      </c>
      <c r="DZ24" s="46">
        <v>29.674019484442255</v>
      </c>
      <c r="EA24" s="46">
        <v>28.972899921082785</v>
      </c>
      <c r="EB24" s="46">
        <v>28.340327447582993</v>
      </c>
      <c r="EC24" s="46">
        <v>29.093401423140858</v>
      </c>
      <c r="ED24" s="46">
        <v>29.405447123024093</v>
      </c>
      <c r="EE24" s="46">
        <v>28.924969813243415</v>
      </c>
      <c r="EF24" s="46">
        <v>27.66930745943236</v>
      </c>
      <c r="EG24" s="46">
        <v>27.309297484783777</v>
      </c>
      <c r="EH24" s="46">
        <v>27.598533308154916</v>
      </c>
      <c r="EI24" s="46">
        <v>27.774729092959443</v>
      </c>
      <c r="EJ24" s="46">
        <v>28.54556493539835</v>
      </c>
      <c r="EK24" s="46">
        <v>28.579737740632449</v>
      </c>
      <c r="EL24" s="46">
        <v>28.885532443254988</v>
      </c>
      <c r="EM24" s="46">
        <v>28.988925133151792</v>
      </c>
      <c r="EN24" s="46">
        <v>28.948715285669369</v>
      </c>
      <c r="EO24" s="46">
        <v>28.689527531565069</v>
      </c>
      <c r="EP24" s="46">
        <v>28.005397208605316</v>
      </c>
      <c r="EQ24" s="46">
        <v>27.699195397116664</v>
      </c>
      <c r="ER24" s="46">
        <v>26.491476234877517</v>
      </c>
      <c r="ES24" s="46">
        <v>26.539923631380638</v>
      </c>
      <c r="ET24" s="46">
        <v>26.160875222559135</v>
      </c>
      <c r="EU24" s="46">
        <v>27.911084673896259</v>
      </c>
      <c r="EV24" s="46">
        <v>28.420718181818177</v>
      </c>
      <c r="EW24" s="46">
        <v>28.224261699670471</v>
      </c>
      <c r="EX24" s="46">
        <v>27.65150292207791</v>
      </c>
      <c r="EY24" s="46">
        <v>26.826481987577637</v>
      </c>
      <c r="EZ24" s="46">
        <v>26.326057142857138</v>
      </c>
      <c r="FA24" s="46">
        <v>25.432307823129246</v>
      </c>
      <c r="FB24" s="46">
        <v>26.195169155844159</v>
      </c>
      <c r="FC24" s="46">
        <v>26.431757894736837</v>
      </c>
      <c r="FD24" s="46">
        <v>26.652754545454549</v>
      </c>
      <c r="FE24" s="46">
        <v>25.791029999999999</v>
      </c>
      <c r="FF24" s="46">
        <v>26.042021052631579</v>
      </c>
      <c r="FG24" s="46">
        <v>27.239104545454541</v>
      </c>
      <c r="FH24" s="46">
        <v>27.604154999999999</v>
      </c>
      <c r="FI24" s="46">
        <v>26.446367482517477</v>
      </c>
      <c r="FJ24" s="46">
        <v>26.917727272727276</v>
      </c>
      <c r="FK24" s="46">
        <v>27.511389999999999</v>
      </c>
      <c r="FL24" s="46">
        <v>27.688913636363637</v>
      </c>
      <c r="FM24" s="46">
        <v>27.568233333333328</v>
      </c>
      <c r="FN24" s="46">
        <v>27.843599999999999</v>
      </c>
      <c r="FO24" s="46">
        <v>27.656290476190467</v>
      </c>
      <c r="FP24" s="46">
        <v>27.105699999999999</v>
      </c>
      <c r="FQ24" s="46">
        <v>27.436142857142858</v>
      </c>
      <c r="FR24" s="46">
        <v>28.06808823529412</v>
      </c>
      <c r="FS24" s="46">
        <v>27.764013636363632</v>
      </c>
      <c r="FT24" s="46">
        <v>27.375375000000002</v>
      </c>
      <c r="FU24" s="46">
        <v>26.591549999999998</v>
      </c>
      <c r="FV24" s="46">
        <v>26.908628571428569</v>
      </c>
      <c r="FW24" s="46">
        <v>27.373261904761904</v>
      </c>
      <c r="FX24" s="46">
        <v>27.065830434782605</v>
      </c>
      <c r="FY24" s="46">
        <v>27.224357142857148</v>
      </c>
      <c r="FZ24" s="46">
        <v>27.11134175824176</v>
      </c>
      <c r="GA24" s="46">
        <v>26.614339999999999</v>
      </c>
      <c r="GB24" s="46">
        <v>26.519024999999999</v>
      </c>
      <c r="GC24" s="46">
        <v>27.014311111111109</v>
      </c>
      <c r="GD24" s="46">
        <v>26.384488235294121</v>
      </c>
      <c r="GE24" s="46">
        <v>26.279152380952382</v>
      </c>
      <c r="GF24" s="46">
        <v>26.508276190476188</v>
      </c>
      <c r="GG24" s="46">
        <v>26.578440909090908</v>
      </c>
      <c r="GH24" s="46">
        <v>26.441223809523812</v>
      </c>
      <c r="GI24" s="46">
        <v>26.019131818181823</v>
      </c>
      <c r="GJ24" s="46">
        <v>25.769240909090911</v>
      </c>
      <c r="GK24" s="46">
        <v>25.222594736842108</v>
      </c>
      <c r="GL24" s="46">
        <v>25.034526086956525</v>
      </c>
      <c r="GM24" s="46">
        <v>25.546044999999999</v>
      </c>
      <c r="GN24" s="46">
        <v>25.178629999999998</v>
      </c>
      <c r="GO24" s="46">
        <v>24.997885000000004</v>
      </c>
      <c r="GP24" s="46">
        <v>24.945966666666667</v>
      </c>
      <c r="GQ24" s="46">
        <v>25.017220242914984</v>
      </c>
      <c r="GR24" s="46">
        <v>25.328040909090909</v>
      </c>
      <c r="GS24" s="46">
        <v>24.947881818181813</v>
      </c>
      <c r="GT24" s="46">
        <v>25.205257894736842</v>
      </c>
      <c r="GU24" s="46">
        <v>25.646654545454542</v>
      </c>
      <c r="GV24" s="46">
        <v>24.833795454545452</v>
      </c>
      <c r="GW24" s="46">
        <v>25.171436842105265</v>
      </c>
      <c r="GX24" s="46">
        <v>25.187362876254181</v>
      </c>
      <c r="GY24" s="46">
        <v>25.371052631578955</v>
      </c>
      <c r="GZ24" s="46">
        <v>25.583695000000002</v>
      </c>
      <c r="HA24" s="46">
        <v>25.564295238095237</v>
      </c>
      <c r="HB24" s="46">
        <v>25.297631578947371</v>
      </c>
      <c r="HC24" s="47">
        <v>24.314580000000003</v>
      </c>
      <c r="HD24" s="46">
        <v>25.492868181818178</v>
      </c>
      <c r="HE24" s="46">
        <v>26.554264999999997</v>
      </c>
      <c r="HF24" s="47">
        <v>28.052681818181824</v>
      </c>
      <c r="HG24" s="46">
        <v>28.62844347826087</v>
      </c>
      <c r="HH24" s="46">
        <v>29.137599999999992</v>
      </c>
      <c r="HI24" s="46">
        <v>29.36781818181818</v>
      </c>
      <c r="HJ24" s="46">
        <v>28.974818181818179</v>
      </c>
      <c r="HK24" s="46">
        <v>29.608645000000003</v>
      </c>
      <c r="HL24" s="46">
        <v>30.355072727272727</v>
      </c>
      <c r="HM24" s="46">
        <v>31.07511052631579</v>
      </c>
      <c r="HN24" s="45">
        <v>31.438083333333331</v>
      </c>
      <c r="HO24" s="45">
        <v>31.537754999999997</v>
      </c>
      <c r="HP24" s="45">
        <v>31.713204999999999</v>
      </c>
      <c r="HQ24" s="45">
        <v>32.005870000000002</v>
      </c>
      <c r="HR24" s="45">
        <v>31.983872727272725</v>
      </c>
      <c r="HS24" s="45">
        <v>32.279000000000003</v>
      </c>
      <c r="HT24" s="45">
        <v>31.664827272727276</v>
      </c>
      <c r="HU24" s="45">
        <v>31.690245454545458</v>
      </c>
      <c r="HV24" s="45">
        <v>32.165171428571433</v>
      </c>
      <c r="HW24" s="45">
        <v>31.950378947368421</v>
      </c>
      <c r="HX24" s="45">
        <v>31.595973913043473</v>
      </c>
      <c r="HY24" s="45">
        <v>31.799794736842099</v>
      </c>
      <c r="HZ24" s="45">
        <v>31.818233333333339</v>
      </c>
      <c r="IA24" s="45">
        <v>33.133090909090903</v>
      </c>
      <c r="IB24" s="45">
        <v>32.639190476190478</v>
      </c>
      <c r="IC24" s="45">
        <v>31.01368571428571</v>
      </c>
      <c r="ID24" s="45">
        <v>31.743140909090911</v>
      </c>
      <c r="IE24" s="45">
        <v>31.550138095238101</v>
      </c>
      <c r="IF24" s="45">
        <v>31.927254545454545</v>
      </c>
      <c r="IG24" s="45">
        <v>30.457114285714283</v>
      </c>
      <c r="IH24" s="45">
        <v>28.879514999999991</v>
      </c>
      <c r="II24" s="45">
        <v>29.570119047619052</v>
      </c>
      <c r="IJ24" s="45">
        <v>30.18243636363637</v>
      </c>
      <c r="IK24" s="45">
        <v>31.385510526315791</v>
      </c>
      <c r="IL24" s="45">
        <v>32.223233333333333</v>
      </c>
      <c r="IM24" s="45">
        <v>31.75503181818182</v>
      </c>
      <c r="IN24" s="45">
        <v>30.829014999999998</v>
      </c>
      <c r="IO24" s="45">
        <v>30.814018181818174</v>
      </c>
      <c r="IP24" s="45">
        <v>31.156354545454544</v>
      </c>
      <c r="IQ24" s="45">
        <v>31.273242857142858</v>
      </c>
      <c r="IR24" s="45">
        <v>30.059947826086955</v>
      </c>
      <c r="IS24" s="45">
        <v>29.516775000000003</v>
      </c>
    </row>
    <row r="25" spans="1:253" ht="21" customHeight="1" x14ac:dyDescent="0.3">
      <c r="A25" s="48" t="s">
        <v>22</v>
      </c>
      <c r="B25" s="46">
        <v>3.944</v>
      </c>
      <c r="C25" s="46">
        <v>3.95</v>
      </c>
      <c r="D25" s="50">
        <v>3.9350000000000001</v>
      </c>
      <c r="E25" s="50">
        <v>3.92</v>
      </c>
      <c r="F25" s="50">
        <v>3.89</v>
      </c>
      <c r="G25" s="50">
        <v>3.8719047619047622</v>
      </c>
      <c r="H25" s="50">
        <v>3.87</v>
      </c>
      <c r="I25" s="50">
        <v>3.87</v>
      </c>
      <c r="J25" s="50">
        <v>3.8490000000000002</v>
      </c>
      <c r="K25" s="46">
        <v>3.8325</v>
      </c>
      <c r="L25" s="46">
        <v>3.7559999999999998</v>
      </c>
      <c r="M25" s="46">
        <v>3.6349999999999998</v>
      </c>
      <c r="N25" s="46">
        <v>3.6</v>
      </c>
      <c r="O25" s="46">
        <v>3.58</v>
      </c>
      <c r="P25" s="46">
        <v>3.5979999999999999</v>
      </c>
      <c r="Q25" s="46">
        <v>3.698</v>
      </c>
      <c r="R25" s="46">
        <v>3.85</v>
      </c>
      <c r="S25" s="46">
        <v>3.81</v>
      </c>
      <c r="T25" s="46">
        <v>3.8029999999999999</v>
      </c>
      <c r="U25" s="46">
        <v>3.7639999999999998</v>
      </c>
      <c r="V25" s="46">
        <v>3.7170000000000001</v>
      </c>
      <c r="W25" s="46">
        <v>3.552</v>
      </c>
      <c r="X25" s="46">
        <v>3.444</v>
      </c>
      <c r="Y25" s="46">
        <v>3.3879999999999999</v>
      </c>
      <c r="Z25" s="46">
        <v>3.4289999999999998</v>
      </c>
      <c r="AA25" s="46">
        <v>3.55</v>
      </c>
      <c r="AB25" s="46">
        <v>3.653</v>
      </c>
      <c r="AC25" s="46">
        <v>3.681</v>
      </c>
      <c r="AD25" s="46">
        <v>3.69</v>
      </c>
      <c r="AE25" s="46">
        <v>3.7050000000000001</v>
      </c>
      <c r="AF25" s="46">
        <v>3.7280000000000002</v>
      </c>
      <c r="AG25" s="46">
        <v>3.7370000000000001</v>
      </c>
      <c r="AH25" s="46">
        <v>3.7330000000000001</v>
      </c>
      <c r="AI25" s="46">
        <v>3.7090000000000001</v>
      </c>
      <c r="AJ25" s="46">
        <v>3.7149999999999999</v>
      </c>
      <c r="AK25" s="46">
        <v>3.7759999999999998</v>
      </c>
      <c r="AL25" s="46">
        <v>3.7970000000000002</v>
      </c>
      <c r="AM25" s="46">
        <v>3.8069999999999999</v>
      </c>
      <c r="AN25" s="46">
        <v>3.8355000000000001</v>
      </c>
      <c r="AO25" s="46">
        <v>3.8605</v>
      </c>
      <c r="AP25" s="46">
        <v>3.8904000000000001</v>
      </c>
      <c r="AQ25" s="46">
        <v>3.9195000000000002</v>
      </c>
      <c r="AR25" s="46">
        <v>3.9857</v>
      </c>
      <c r="AS25" s="46">
        <v>4.0057999999999998</v>
      </c>
      <c r="AT25" s="46">
        <v>4.0217999999999998</v>
      </c>
      <c r="AU25" s="46">
        <v>4.0262000000000002</v>
      </c>
      <c r="AV25" s="46">
        <v>4.0309999999999997</v>
      </c>
      <c r="AW25" s="46">
        <v>4.0414000000000003</v>
      </c>
      <c r="AX25" s="46">
        <v>4.0540000000000003</v>
      </c>
      <c r="AY25" s="46">
        <v>4.0590999999999999</v>
      </c>
      <c r="AZ25" s="46">
        <v>4.0518000000000001</v>
      </c>
      <c r="BA25" s="46">
        <v>4.0838000000000001</v>
      </c>
      <c r="BB25" s="46">
        <v>4.1894999999999998</v>
      </c>
      <c r="BC25" s="46">
        <v>4.2595000000000001</v>
      </c>
      <c r="BD25" s="46">
        <v>4.2824</v>
      </c>
      <c r="BE25" s="46">
        <v>4.3230000000000004</v>
      </c>
      <c r="BF25" s="46">
        <v>4.3535000000000004</v>
      </c>
      <c r="BG25" s="50">
        <v>4.3643000000000001</v>
      </c>
      <c r="BH25" s="50">
        <v>4.3367000000000004</v>
      </c>
      <c r="BI25" s="50">
        <v>4.29</v>
      </c>
      <c r="BJ25" s="50">
        <v>4.2300000000000004</v>
      </c>
      <c r="BK25" s="50">
        <v>4.1150000000000002</v>
      </c>
      <c r="BL25" s="50">
        <v>4.1239999999999997</v>
      </c>
      <c r="BM25" s="50">
        <v>4.1063999999999998</v>
      </c>
      <c r="BN25" s="50">
        <v>4.0639000000000003</v>
      </c>
      <c r="BO25" s="50">
        <v>4.0692000000000004</v>
      </c>
      <c r="BP25" s="50">
        <v>4.0201000000000002</v>
      </c>
      <c r="BQ25" s="50">
        <v>3.9750000000000001</v>
      </c>
      <c r="BR25" s="50">
        <v>3.8677999999999999</v>
      </c>
      <c r="BS25" s="50">
        <v>3.7618999999999998</v>
      </c>
      <c r="BT25" s="50">
        <v>3.7162999999999999</v>
      </c>
      <c r="BU25" s="50">
        <v>3.5333999999999999</v>
      </c>
      <c r="BV25" s="50">
        <v>3.4279999999999999</v>
      </c>
      <c r="BW25" s="50">
        <v>3.5682</v>
      </c>
      <c r="BX25" s="50">
        <v>3.5886999999999998</v>
      </c>
      <c r="BY25" s="50">
        <v>3.5314999999999999</v>
      </c>
      <c r="BZ25" s="50">
        <v>3.6297999999999999</v>
      </c>
      <c r="CA25" s="50">
        <v>3.8166000000000002</v>
      </c>
      <c r="CB25" s="50">
        <v>4.0038999999999998</v>
      </c>
      <c r="CC25" s="50">
        <v>4.2247000000000003</v>
      </c>
      <c r="CD25" s="50">
        <v>4.2255000000000003</v>
      </c>
      <c r="CE25" s="50">
        <v>4.2687999999999997</v>
      </c>
      <c r="CF25" s="50">
        <v>4.3912000000000004</v>
      </c>
      <c r="CG25" s="50">
        <v>4.4798</v>
      </c>
      <c r="CH25" s="50">
        <v>4.4484000000000004</v>
      </c>
      <c r="CI25" s="50">
        <v>4.3799949999999992</v>
      </c>
      <c r="CJ25" s="50">
        <v>4.302868181818182</v>
      </c>
      <c r="CK25" s="50">
        <v>4.2725304347826087</v>
      </c>
      <c r="CL25" s="46">
        <v>4.2408299999999999</v>
      </c>
      <c r="CM25" s="46">
        <v>4.154823809523811</v>
      </c>
      <c r="CN25" s="46">
        <v>4.0675681818181815</v>
      </c>
      <c r="CO25" s="46">
        <v>4.01098</v>
      </c>
      <c r="CP25" s="46">
        <v>4.2949999999999999</v>
      </c>
      <c r="CQ25" s="46">
        <v>4.1397233009506147</v>
      </c>
      <c r="CR25" s="46">
        <v>4.0513598840255449</v>
      </c>
      <c r="CS25" s="46">
        <v>4.0570222195653614</v>
      </c>
      <c r="CT25" s="46">
        <v>3.9561081576010793</v>
      </c>
      <c r="CU25" s="46">
        <v>3.9941304059057607</v>
      </c>
      <c r="CV25" s="46">
        <v>4.0453675058209004</v>
      </c>
      <c r="CW25" s="46">
        <v>4.0020943947118344</v>
      </c>
      <c r="CX25" s="46">
        <v>3.9158040984083908</v>
      </c>
      <c r="CY25" s="46">
        <v>3.8337018952404534</v>
      </c>
      <c r="CZ25" s="46">
        <v>3.7226266249915567</v>
      </c>
      <c r="DA25" s="46">
        <v>3.6846279947251364</v>
      </c>
      <c r="DB25" s="46">
        <v>3.7038986978030337</v>
      </c>
      <c r="DC25" s="46">
        <v>3.7242329538244947</v>
      </c>
      <c r="DD25" s="46">
        <v>3.7013727373927763</v>
      </c>
      <c r="DE25" s="46">
        <v>3.7653233678275151</v>
      </c>
      <c r="DF25" s="46">
        <v>3.8225422460528868</v>
      </c>
      <c r="DG25" s="46">
        <v>3.8303576279951685</v>
      </c>
      <c r="DH25" s="46">
        <v>3.8659267781003384</v>
      </c>
      <c r="DI25" s="46">
        <v>3.8776913305966039</v>
      </c>
      <c r="DJ25" s="46">
        <v>3.8457417095633</v>
      </c>
      <c r="DK25" s="46">
        <v>3.8394627452982077</v>
      </c>
      <c r="DL25" s="46">
        <v>3.844529935446976</v>
      </c>
      <c r="DM25" s="46">
        <v>3.8861132595433365</v>
      </c>
      <c r="DN25" s="46">
        <v>3.9970594903172452</v>
      </c>
      <c r="DO25" s="46">
        <v>4.0933269093644506</v>
      </c>
      <c r="DP25" s="46">
        <v>4.0593048413268411</v>
      </c>
      <c r="DQ25" s="46">
        <v>4.0065480539397695</v>
      </c>
      <c r="DR25" s="46">
        <v>4.0518552961772629</v>
      </c>
      <c r="DS25" s="46">
        <v>4.0853108383199217</v>
      </c>
      <c r="DT25" s="46">
        <v>4.0428057794796608</v>
      </c>
      <c r="DU25" s="46">
        <v>4.0093602332428988</v>
      </c>
      <c r="DV25" s="46">
        <v>4.0029797157687179</v>
      </c>
      <c r="DW25" s="46">
        <v>4.0531676688266911</v>
      </c>
      <c r="DX25" s="46">
        <v>4.0658595276324272</v>
      </c>
      <c r="DY25" s="46">
        <v>4.0734062964751097</v>
      </c>
      <c r="DZ25" s="46">
        <v>4.0545434617280769</v>
      </c>
      <c r="EA25" s="46">
        <v>4.0692461571548089</v>
      </c>
      <c r="EB25" s="46">
        <v>4.0474646880086169</v>
      </c>
      <c r="EC25" s="46">
        <v>4.0483060896194214</v>
      </c>
      <c r="ED25" s="46">
        <v>3.994001043322748</v>
      </c>
      <c r="EE25" s="46">
        <v>4.0024543721341335</v>
      </c>
      <c r="EF25" s="46">
        <v>3.9741298950721502</v>
      </c>
      <c r="EG25" s="46">
        <v>3.9709928615014882</v>
      </c>
      <c r="EH25" s="46">
        <v>3.9690177476675097</v>
      </c>
      <c r="EI25" s="46">
        <v>3.9491306510276805</v>
      </c>
      <c r="EJ25" s="46">
        <v>3.9565069696744315</v>
      </c>
      <c r="EK25" s="46">
        <v>3.9627021492662351</v>
      </c>
      <c r="EL25" s="46">
        <v>3.9791333478303379</v>
      </c>
      <c r="EM25" s="46">
        <v>3.9830000037749587</v>
      </c>
      <c r="EN25" s="46">
        <v>4.0150017416178541</v>
      </c>
      <c r="EO25" s="46">
        <v>4.0807757896613772</v>
      </c>
      <c r="EP25" s="46">
        <v>4.1108433765428183</v>
      </c>
      <c r="EQ25" s="46">
        <v>4.1321208584248721</v>
      </c>
      <c r="ER25" s="46">
        <v>4.1473992686136985</v>
      </c>
      <c r="ES25" s="46">
        <v>4.2397546115615823</v>
      </c>
      <c r="ET25" s="46">
        <v>4.3296182219818471</v>
      </c>
      <c r="EU25" s="46">
        <v>4.6509403101232278</v>
      </c>
      <c r="EV25" s="46">
        <v>4.7499839766267886</v>
      </c>
      <c r="EW25" s="46">
        <v>4.6146958416950827</v>
      </c>
      <c r="EX25" s="46">
        <v>4.6288069930069931</v>
      </c>
      <c r="EY25" s="46">
        <v>4.6684983277591963</v>
      </c>
      <c r="EZ25" s="46">
        <v>4.6643828362114066</v>
      </c>
      <c r="FA25" s="46">
        <v>4.6609353741496609</v>
      </c>
      <c r="FB25" s="46">
        <v>4.6978584415584423</v>
      </c>
      <c r="FC25" s="46">
        <v>4.7699999999999996</v>
      </c>
      <c r="FD25" s="46">
        <v>4.7508954545454545</v>
      </c>
      <c r="FE25" s="46">
        <v>4.7356900000000008</v>
      </c>
      <c r="FF25" s="46">
        <v>4.6988210526315797</v>
      </c>
      <c r="FG25" s="46">
        <v>4.6935227272727271</v>
      </c>
      <c r="FH25" s="46">
        <v>4.6450799999999992</v>
      </c>
      <c r="FI25" s="46">
        <v>4.6567716783216779</v>
      </c>
      <c r="FJ25" s="46">
        <v>4.6965818181818184</v>
      </c>
      <c r="FK25" s="46">
        <v>4.7174049999999994</v>
      </c>
      <c r="FL25" s="46">
        <v>4.6911999999999994</v>
      </c>
      <c r="FM25" s="46">
        <v>4.6921571428571429</v>
      </c>
      <c r="FN25" s="46">
        <v>4.7193523809523796</v>
      </c>
      <c r="FO25" s="46">
        <v>4.7416190476190474</v>
      </c>
      <c r="FP25" s="46">
        <v>4.7631409090909083</v>
      </c>
      <c r="FQ25" s="46">
        <v>4.7506904761904751</v>
      </c>
      <c r="FR25" s="46">
        <v>4.7221000000000002</v>
      </c>
      <c r="FS25" s="46">
        <v>4.7001818181818189</v>
      </c>
      <c r="FT25" s="46">
        <v>4.6803650000000001</v>
      </c>
      <c r="FU25" s="46">
        <v>4.6072727272727283</v>
      </c>
      <c r="FV25" s="46">
        <v>4.5793999999999997</v>
      </c>
      <c r="FW25" s="46">
        <v>4.5113952380952371</v>
      </c>
      <c r="FX25" s="46">
        <v>4.3838826086956528</v>
      </c>
      <c r="FY25" s="46">
        <v>4.3833333333333329</v>
      </c>
      <c r="FZ25" s="46">
        <v>4.4713736263736266</v>
      </c>
      <c r="GA25" s="46">
        <v>4.485595</v>
      </c>
      <c r="GB25" s="46">
        <v>4.45</v>
      </c>
      <c r="GC25" s="46">
        <v>4.356866666666666</v>
      </c>
      <c r="GD25" s="46">
        <v>4.2966647058823524</v>
      </c>
      <c r="GE25" s="46">
        <v>4.3298428571428564</v>
      </c>
      <c r="GF25" s="46">
        <v>4.4062095238095251</v>
      </c>
      <c r="GG25" s="46">
        <v>4.5138272727272728</v>
      </c>
      <c r="GH25" s="46">
        <v>4.5095904761904775</v>
      </c>
      <c r="GI25" s="46">
        <v>4.4931863636363643</v>
      </c>
      <c r="GJ25" s="46">
        <v>4.4902772727272726</v>
      </c>
      <c r="GK25" s="46">
        <v>4.4821052631578953</v>
      </c>
      <c r="GL25" s="46">
        <v>4.5067913043478258</v>
      </c>
      <c r="GM25" s="46">
        <v>4.5163849999999996</v>
      </c>
      <c r="GN25" s="46">
        <v>4.4977600000000013</v>
      </c>
      <c r="GO25" s="46">
        <v>4.4708699999999997</v>
      </c>
      <c r="GP25" s="46">
        <v>4.4712777777777779</v>
      </c>
      <c r="GQ25" s="46">
        <v>4.5159960526315803</v>
      </c>
      <c r="GR25" s="46">
        <v>4.5539636363636369</v>
      </c>
      <c r="GS25" s="46">
        <v>4.5930272727272721</v>
      </c>
      <c r="GT25" s="46">
        <v>4.6560789473684228</v>
      </c>
      <c r="GU25" s="46">
        <v>4.7102590909090916</v>
      </c>
      <c r="GV25" s="46">
        <v>4.6929181818181824</v>
      </c>
      <c r="GW25" s="46">
        <v>4.731505263157894</v>
      </c>
      <c r="GX25" s="46">
        <v>4.7414789855072472</v>
      </c>
      <c r="GY25" s="46">
        <v>4.7638210526315783</v>
      </c>
      <c r="GZ25" s="46">
        <v>4.7797999999999998</v>
      </c>
      <c r="HA25" s="46">
        <v>4.8039666666666667</v>
      </c>
      <c r="HB25" s="46">
        <v>4.8831789473684202</v>
      </c>
      <c r="HC25" s="47">
        <v>5.0419299999999989</v>
      </c>
      <c r="HD25" s="46">
        <v>5.2323681818181829</v>
      </c>
      <c r="HE25" s="46">
        <v>5.271865</v>
      </c>
      <c r="HF25" s="47">
        <v>5.2622954545454546</v>
      </c>
      <c r="HG25" s="46">
        <v>5.2660782608695653</v>
      </c>
      <c r="HH25" s="46">
        <v>5.2353047619047608</v>
      </c>
      <c r="HI25" s="46">
        <v>5.2448499999999996</v>
      </c>
      <c r="HJ25" s="46">
        <v>5.2530818181818191</v>
      </c>
      <c r="HK25" s="46">
        <v>5.2590000000000003</v>
      </c>
      <c r="HL25" s="46">
        <v>5.2147363636363631</v>
      </c>
      <c r="HM25" s="46">
        <v>5.1973263157894749</v>
      </c>
      <c r="HN25" s="45">
        <v>5.2358111111111105</v>
      </c>
      <c r="HO25" s="45">
        <v>5.2815649999999996</v>
      </c>
      <c r="HP25" s="45">
        <v>5.3171700000000017</v>
      </c>
      <c r="HQ25" s="45">
        <v>5.3274300000000006</v>
      </c>
      <c r="HR25" s="45">
        <v>5.4024045454545471</v>
      </c>
      <c r="HS25" s="45">
        <v>5.6100636363636358</v>
      </c>
      <c r="HT25" s="45">
        <v>5.587009090909091</v>
      </c>
      <c r="HU25" s="45">
        <v>5.5789454545454555</v>
      </c>
      <c r="HV25" s="45">
        <v>5.604919047619048</v>
      </c>
      <c r="HW25" s="45">
        <v>5.6456947368421053</v>
      </c>
      <c r="HX25" s="45">
        <v>5.6774695652173905</v>
      </c>
      <c r="HY25" s="45">
        <v>5.7019210526315787</v>
      </c>
      <c r="HZ25" s="45">
        <v>5.712361111111111</v>
      </c>
      <c r="IA25" s="45">
        <v>5.7618045454545452</v>
      </c>
      <c r="IB25" s="45">
        <v>5.6559809523809532</v>
      </c>
      <c r="IC25" s="45">
        <v>5.6223571428571431</v>
      </c>
      <c r="ID25" s="45">
        <v>5.7746045454545447</v>
      </c>
      <c r="IE25" s="45">
        <v>5.8837428571428569</v>
      </c>
      <c r="IF25" s="45">
        <v>5.8670954545454546</v>
      </c>
      <c r="IG25" s="45">
        <v>5.8242238095238097</v>
      </c>
      <c r="IH25" s="45">
        <v>5.7898750000000003</v>
      </c>
      <c r="II25" s="45">
        <v>5.7325333333333344</v>
      </c>
      <c r="IJ25" s="45">
        <v>5.7489181818181825</v>
      </c>
      <c r="IK25" s="45">
        <v>5.7794684210526297</v>
      </c>
      <c r="IL25" s="45">
        <v>5.9576333333333347</v>
      </c>
      <c r="IM25" s="45">
        <v>6.0622227272727285</v>
      </c>
      <c r="IN25" s="45">
        <v>5.8774699999999998</v>
      </c>
      <c r="IO25" s="45">
        <v>5.9158500000000007</v>
      </c>
      <c r="IP25" s="45">
        <v>5.9346045454545449</v>
      </c>
      <c r="IQ25" s="45">
        <v>5.9394523809523792</v>
      </c>
      <c r="IR25" s="45">
        <v>5.9161782608695646</v>
      </c>
      <c r="IS25" s="45">
        <v>5.8676000000000013</v>
      </c>
    </row>
    <row r="26" spans="1:253" ht="21" customHeight="1" x14ac:dyDescent="0.3">
      <c r="A26" s="48" t="s">
        <v>21</v>
      </c>
      <c r="B26" s="46">
        <v>64</v>
      </c>
      <c r="C26" s="46">
        <v>64</v>
      </c>
      <c r="D26" s="50">
        <v>63.18181818181818</v>
      </c>
      <c r="E26" s="50">
        <v>63</v>
      </c>
      <c r="F26" s="50">
        <v>63</v>
      </c>
      <c r="G26" s="50">
        <v>63</v>
      </c>
      <c r="H26" s="50">
        <v>63</v>
      </c>
      <c r="I26" s="50">
        <v>63</v>
      </c>
      <c r="J26" s="50">
        <v>63</v>
      </c>
      <c r="K26" s="46">
        <v>63</v>
      </c>
      <c r="L26" s="46">
        <v>61.905000000000001</v>
      </c>
      <c r="M26" s="46">
        <v>60.052999999999997</v>
      </c>
      <c r="N26" s="46">
        <v>59.6</v>
      </c>
      <c r="O26" s="46">
        <v>59.713999999999999</v>
      </c>
      <c r="P26" s="46">
        <v>60.286000000000001</v>
      </c>
      <c r="Q26" s="46">
        <v>62.332999999999998</v>
      </c>
      <c r="R26" s="46">
        <v>65.652000000000001</v>
      </c>
      <c r="S26" s="46">
        <v>65</v>
      </c>
      <c r="T26" s="46">
        <v>64.951999999999998</v>
      </c>
      <c r="U26" s="46">
        <v>64.912999999999997</v>
      </c>
      <c r="V26" s="46">
        <v>64.052999999999997</v>
      </c>
      <c r="W26" s="46">
        <v>60.908999999999999</v>
      </c>
      <c r="X26" s="46">
        <v>59.158000000000001</v>
      </c>
      <c r="Y26" s="46">
        <v>58.555999999999997</v>
      </c>
      <c r="Z26" s="46">
        <v>59.908999999999999</v>
      </c>
      <c r="AA26" s="46">
        <v>63.591000000000001</v>
      </c>
      <c r="AB26" s="46">
        <v>63.619</v>
      </c>
      <c r="AC26" s="46">
        <v>63.591000000000001</v>
      </c>
      <c r="AD26" s="46">
        <v>63</v>
      </c>
      <c r="AE26" s="46">
        <v>63</v>
      </c>
      <c r="AF26" s="46">
        <v>63.591000000000001</v>
      </c>
      <c r="AG26" s="46">
        <v>64</v>
      </c>
      <c r="AH26" s="46">
        <v>64.95</v>
      </c>
      <c r="AI26" s="46">
        <v>66</v>
      </c>
      <c r="AJ26" s="46">
        <v>66.736999999999995</v>
      </c>
      <c r="AK26" s="46">
        <v>68</v>
      </c>
      <c r="AL26" s="46">
        <v>68.048000000000002</v>
      </c>
      <c r="AM26" s="46">
        <v>68.817999999999998</v>
      </c>
      <c r="AN26" s="46">
        <v>68.954499999999996</v>
      </c>
      <c r="AO26" s="46">
        <v>69.238100000000003</v>
      </c>
      <c r="AP26" s="46">
        <v>69.912999999999997</v>
      </c>
      <c r="AQ26" s="46">
        <v>69.952399999999997</v>
      </c>
      <c r="AR26" s="46">
        <v>69.285700000000006</v>
      </c>
      <c r="AS26" s="46">
        <v>68.052599999999998</v>
      </c>
      <c r="AT26" s="46">
        <v>68.590900000000005</v>
      </c>
      <c r="AU26" s="46">
        <v>70.714299999999994</v>
      </c>
      <c r="AV26" s="46">
        <v>70.947000000000003</v>
      </c>
      <c r="AW26" s="46">
        <v>70.863600000000005</v>
      </c>
      <c r="AX26" s="46">
        <v>70.3</v>
      </c>
      <c r="AY26" s="46">
        <v>69.409099999999995</v>
      </c>
      <c r="AZ26" s="46">
        <v>68.590900000000005</v>
      </c>
      <c r="BA26" s="46">
        <v>68.523799999999994</v>
      </c>
      <c r="BB26" s="46">
        <v>70.095200000000006</v>
      </c>
      <c r="BC26" s="46">
        <v>71.952399999999997</v>
      </c>
      <c r="BD26" s="46">
        <v>73.523799999999994</v>
      </c>
      <c r="BE26" s="46">
        <v>75.429000000000002</v>
      </c>
      <c r="BF26" s="46">
        <v>76.25</v>
      </c>
      <c r="BG26" s="50">
        <v>77.333299999999994</v>
      </c>
      <c r="BH26" s="50">
        <v>77</v>
      </c>
      <c r="BI26" s="50">
        <v>76.400000000000006</v>
      </c>
      <c r="BJ26" s="50">
        <v>78.285700000000006</v>
      </c>
      <c r="BK26" s="50">
        <v>78.954499999999996</v>
      </c>
      <c r="BL26" s="50">
        <v>79.286000000000001</v>
      </c>
      <c r="BM26" s="50">
        <v>79.818200000000004</v>
      </c>
      <c r="BN26" s="50">
        <v>77.960899999999995</v>
      </c>
      <c r="BO26" s="50">
        <v>78.775000000000006</v>
      </c>
      <c r="BP26" s="50">
        <v>79.109099999999998</v>
      </c>
      <c r="BQ26" s="50">
        <v>78.573999999999998</v>
      </c>
      <c r="BR26" s="50">
        <v>76.646000000000001</v>
      </c>
      <c r="BS26" s="50">
        <v>74.816500000000005</v>
      </c>
      <c r="BT26" s="50">
        <v>73.027900000000002</v>
      </c>
      <c r="BU26" s="50">
        <v>68.251099999999994</v>
      </c>
      <c r="BV26" s="50">
        <v>66.897599999999997</v>
      </c>
      <c r="BW26" s="50">
        <v>66.310500000000005</v>
      </c>
      <c r="BX26" s="50">
        <v>65.688999999999993</v>
      </c>
      <c r="BY26" s="50">
        <v>64.503900000000002</v>
      </c>
      <c r="BZ26" s="50">
        <v>66.189499999999995</v>
      </c>
      <c r="CA26" s="50">
        <v>65.544300000000007</v>
      </c>
      <c r="CB26" s="50">
        <v>64.2667</v>
      </c>
      <c r="CC26" s="50">
        <v>67.496499999999997</v>
      </c>
      <c r="CD26" s="50">
        <v>67.920500000000004</v>
      </c>
      <c r="CE26" s="50">
        <v>68.508399999999995</v>
      </c>
      <c r="CF26" s="50">
        <v>69.766300000000001</v>
      </c>
      <c r="CG26" s="50">
        <v>68.474500000000006</v>
      </c>
      <c r="CH26" s="50">
        <v>69.297700000000006</v>
      </c>
      <c r="CI26" s="50">
        <v>70.414000000000001</v>
      </c>
      <c r="CJ26" s="50">
        <v>70.378181818181801</v>
      </c>
      <c r="CK26" s="50">
        <v>68.765652173913054</v>
      </c>
      <c r="CL26" s="46">
        <v>68.421499999999995</v>
      </c>
      <c r="CM26" s="46">
        <v>66.7895238095238</v>
      </c>
      <c r="CN26" s="46">
        <v>67.749545454545455</v>
      </c>
      <c r="CO26" s="46">
        <v>66.978500000000011</v>
      </c>
      <c r="CP26" s="46">
        <v>73.066999999999993</v>
      </c>
      <c r="CQ26" s="46">
        <v>68.86211647026289</v>
      </c>
      <c r="CR26" s="46">
        <v>65.897031043300487</v>
      </c>
      <c r="CS26" s="46">
        <v>68.7143630599695</v>
      </c>
      <c r="CT26" s="46">
        <v>69.315748782257828</v>
      </c>
      <c r="CU26" s="46">
        <v>69.015106149543314</v>
      </c>
      <c r="CV26" s="46">
        <v>69.826788976955271</v>
      </c>
      <c r="CW26" s="46">
        <v>68.781963729866419</v>
      </c>
      <c r="CX26" s="46">
        <v>67.354186123825627</v>
      </c>
      <c r="CY26" s="46">
        <v>66.600378798719831</v>
      </c>
      <c r="CZ26" s="46">
        <v>65.435534396816664</v>
      </c>
      <c r="DA26" s="46">
        <v>64.054022554769205</v>
      </c>
      <c r="DB26" s="46">
        <v>64.523625062510192</v>
      </c>
      <c r="DC26" s="46">
        <v>65.529838024875261</v>
      </c>
      <c r="DD26" s="46">
        <v>63.960049655621326</v>
      </c>
      <c r="DE26" s="46">
        <v>61.871562662503827</v>
      </c>
      <c r="DF26" s="46">
        <v>60.68117150228219</v>
      </c>
      <c r="DG26" s="46">
        <v>59.065912914166987</v>
      </c>
      <c r="DH26" s="46">
        <v>57.524063303000275</v>
      </c>
      <c r="DI26" s="46">
        <v>59.151084549498989</v>
      </c>
      <c r="DJ26" s="46">
        <v>60.909380118662497</v>
      </c>
      <c r="DK26" s="46">
        <v>59.521136390783639</v>
      </c>
      <c r="DL26" s="46">
        <v>58.066947460780469</v>
      </c>
      <c r="DM26" s="46">
        <v>55.803360862746779</v>
      </c>
      <c r="DN26" s="46">
        <v>55.842307668425953</v>
      </c>
      <c r="DO26" s="46">
        <v>57.697443963254521</v>
      </c>
      <c r="DP26" s="46">
        <v>56.999271102326617</v>
      </c>
      <c r="DQ26" s="46">
        <v>57.232107243719589</v>
      </c>
      <c r="DR26" s="46">
        <v>59.58665711675684</v>
      </c>
      <c r="DS26" s="46">
        <v>58.004173600543311</v>
      </c>
      <c r="DT26" s="46">
        <v>57.638894749970497</v>
      </c>
      <c r="DU26" s="46">
        <v>57.609843541962285</v>
      </c>
      <c r="DV26" s="46">
        <v>58.055010188963131</v>
      </c>
      <c r="DW26" s="46">
        <v>58.20180128203716</v>
      </c>
      <c r="DX26" s="46">
        <v>58.300579408562825</v>
      </c>
      <c r="DY26" s="46">
        <v>57.748225423895946</v>
      </c>
      <c r="DZ26" s="46">
        <v>54.18540379427003</v>
      </c>
      <c r="EA26" s="46">
        <v>53.167848544634005</v>
      </c>
      <c r="EB26" s="46">
        <v>50.140160370057316</v>
      </c>
      <c r="EC26" s="46">
        <v>49.463662008438085</v>
      </c>
      <c r="ED26" s="46">
        <v>50.441485905898972</v>
      </c>
      <c r="EE26" s="46">
        <v>49.82586874083551</v>
      </c>
      <c r="EF26" s="46">
        <v>50.039273002512722</v>
      </c>
      <c r="EG26" s="46">
        <v>49.909912047326046</v>
      </c>
      <c r="EH26" s="46">
        <v>49.776925607413197</v>
      </c>
      <c r="EI26" s="46">
        <v>50.468854333059326</v>
      </c>
      <c r="EJ26" s="46">
        <v>51.115113666126312</v>
      </c>
      <c r="EK26" s="46">
        <v>52.053061238770773</v>
      </c>
      <c r="EL26" s="46">
        <v>51.921849129294024</v>
      </c>
      <c r="EM26" s="46">
        <v>51.687319407542439</v>
      </c>
      <c r="EN26" s="46">
        <v>51.404521458727785</v>
      </c>
      <c r="EO26" s="46">
        <v>52.355809893256236</v>
      </c>
      <c r="EP26" s="46">
        <v>52.292412944723353</v>
      </c>
      <c r="EQ26" s="46">
        <v>52.25378799844195</v>
      </c>
      <c r="ER26" s="46">
        <v>51.482302855878331</v>
      </c>
      <c r="ES26" s="46">
        <v>53.229415132398096</v>
      </c>
      <c r="ET26" s="46">
        <v>54.379256654384925</v>
      </c>
      <c r="EU26" s="46">
        <v>58.065304680186152</v>
      </c>
      <c r="EV26" s="46">
        <v>59.024381318498129</v>
      </c>
      <c r="EW26" s="46">
        <v>56.433539082841584</v>
      </c>
      <c r="EX26" s="46">
        <v>56.534195804195811</v>
      </c>
      <c r="EY26" s="46">
        <v>57.16096989966556</v>
      </c>
      <c r="EZ26" s="46">
        <v>55.885531135531131</v>
      </c>
      <c r="FA26" s="46">
        <v>54.815384615384616</v>
      </c>
      <c r="FB26" s="46">
        <v>56.26216783216784</v>
      </c>
      <c r="FC26" s="46">
        <v>56.237368421052629</v>
      </c>
      <c r="FD26" s="46">
        <v>55.68363636363636</v>
      </c>
      <c r="FE26" s="46">
        <v>55.053500000000007</v>
      </c>
      <c r="FF26" s="46">
        <v>53.870526315789469</v>
      </c>
      <c r="FG26" s="46">
        <v>54.707727272727283</v>
      </c>
      <c r="FH26" s="46">
        <v>54.536000000000016</v>
      </c>
      <c r="FI26" s="46">
        <v>54.348333333333336</v>
      </c>
      <c r="FJ26" s="46">
        <v>54.480000000000018</v>
      </c>
      <c r="FK26" s="46">
        <v>54.701000000000001</v>
      </c>
      <c r="FL26" s="46">
        <v>54.62863636363636</v>
      </c>
      <c r="FM26" s="46">
        <v>54.701428571428572</v>
      </c>
      <c r="FN26" s="46">
        <v>55.150952380952376</v>
      </c>
      <c r="FO26" s="46">
        <v>54.634761904761909</v>
      </c>
      <c r="FP26" s="46">
        <v>54.659090909090899</v>
      </c>
      <c r="FQ26" s="46">
        <v>54.39238095238094</v>
      </c>
      <c r="FR26" s="46">
        <v>54.883529411764705</v>
      </c>
      <c r="FS26" s="46">
        <v>55.599999999999994</v>
      </c>
      <c r="FT26" s="46">
        <v>56.533000000000001</v>
      </c>
      <c r="FU26" s="46">
        <v>55.836818181818188</v>
      </c>
      <c r="FV26" s="46">
        <v>55.51142857142856</v>
      </c>
      <c r="FW26" s="46">
        <v>54.820952380952384</v>
      </c>
      <c r="FX26" s="46">
        <v>53.668695652173895</v>
      </c>
      <c r="FY26" s="46">
        <v>53.32</v>
      </c>
      <c r="FZ26" s="46">
        <v>53.808730158730157</v>
      </c>
      <c r="GA26" s="46">
        <v>51.431470000000012</v>
      </c>
      <c r="GB26" s="46">
        <v>54.308500000000002</v>
      </c>
      <c r="GC26" s="46">
        <v>53.764444444444436</v>
      </c>
      <c r="GD26" s="46">
        <v>52.319411764705883</v>
      </c>
      <c r="GE26" s="46">
        <v>52.385238095238101</v>
      </c>
      <c r="GF26" s="46">
        <v>52.83142857142856</v>
      </c>
      <c r="GG26" s="46">
        <v>52.677727272727267</v>
      </c>
      <c r="GH26" s="46">
        <v>52.426666666666669</v>
      </c>
      <c r="GI26" s="46">
        <v>51.56909090909091</v>
      </c>
      <c r="GJ26" s="46">
        <v>50.928636363636365</v>
      </c>
      <c r="GK26" s="46">
        <v>48.909473684210539</v>
      </c>
      <c r="GL26" s="46">
        <v>48.245652173913051</v>
      </c>
      <c r="GM26" s="46">
        <v>49.537999999999997</v>
      </c>
      <c r="GN26" s="46">
        <v>49.970500000000001</v>
      </c>
      <c r="GO26" s="46">
        <v>49.783999999999999</v>
      </c>
      <c r="GP26" s="46">
        <v>49.534444444444446</v>
      </c>
      <c r="GQ26" s="46">
        <v>51.31</v>
      </c>
      <c r="GR26" s="46">
        <v>51.689090909090901</v>
      </c>
      <c r="GS26" s="46">
        <v>51.907727272727271</v>
      </c>
      <c r="GT26" s="46">
        <v>52.728421052631589</v>
      </c>
      <c r="GU26" s="46">
        <v>53.740909090909092</v>
      </c>
      <c r="GV26" s="46">
        <v>52.001363636363635</v>
      </c>
      <c r="GW26" s="46">
        <v>52.23</v>
      </c>
      <c r="GX26" s="46">
        <v>52.62264492753625</v>
      </c>
      <c r="GY26" s="46">
        <v>52.41473684210527</v>
      </c>
      <c r="GZ26" s="46">
        <v>52.742000000000004</v>
      </c>
      <c r="HA26" s="46">
        <v>52.723809523809528</v>
      </c>
      <c r="HB26" s="46">
        <v>53.433157894736844</v>
      </c>
      <c r="HC26" s="47">
        <v>52.994499999999995</v>
      </c>
      <c r="HD26" s="46">
        <v>53.550909090909087</v>
      </c>
      <c r="HE26" s="46">
        <v>54.261000000000003</v>
      </c>
      <c r="HF26" s="47">
        <v>54.161818181818191</v>
      </c>
      <c r="HG26" s="46">
        <v>54.724782608695655</v>
      </c>
      <c r="HH26" s="46">
        <v>54.649047619047614</v>
      </c>
      <c r="HI26" s="46">
        <v>55.586363636363629</v>
      </c>
      <c r="HJ26" s="46">
        <v>55.695000000000007</v>
      </c>
      <c r="HK26" s="46">
        <v>55.261000000000003</v>
      </c>
      <c r="HL26" s="46">
        <v>55.341818181818184</v>
      </c>
      <c r="HM26" s="46">
        <v>55.525263157894734</v>
      </c>
      <c r="HN26" s="45">
        <v>56.198333333333331</v>
      </c>
      <c r="HO26" s="45">
        <v>56.720500000000001</v>
      </c>
      <c r="HP26" s="45">
        <v>55.909500000000001</v>
      </c>
      <c r="HQ26" s="45">
        <v>56.880500000000005</v>
      </c>
      <c r="HR26" s="45">
        <v>57.430454545454538</v>
      </c>
      <c r="HS26" s="45">
        <v>58.930999999999997</v>
      </c>
      <c r="HT26" s="45">
        <v>59.072272727272725</v>
      </c>
      <c r="HU26" s="45">
        <v>59.443181818181806</v>
      </c>
      <c r="HV26" s="45">
        <v>58.673809523809517</v>
      </c>
      <c r="HW26" s="45">
        <v>59.542105263157907</v>
      </c>
      <c r="HX26" s="45">
        <v>59.19347826086959</v>
      </c>
      <c r="HY26" s="45">
        <v>60.111052631578957</v>
      </c>
      <c r="HZ26" s="45">
        <v>59.848333333333343</v>
      </c>
      <c r="IA26" s="45">
        <v>59.592727272727259</v>
      </c>
      <c r="IB26" s="45">
        <v>58.739523809523817</v>
      </c>
      <c r="IC26" s="45">
        <v>57.613809523809529</v>
      </c>
      <c r="ID26" s="45">
        <v>58.653436363636402</v>
      </c>
      <c r="IE26" s="45">
        <v>58.650476190476198</v>
      </c>
      <c r="IF26" s="45">
        <v>58.553636363636365</v>
      </c>
      <c r="IG26" s="45">
        <v>57.641428571428563</v>
      </c>
      <c r="IH26" s="45">
        <v>56.307999999999993</v>
      </c>
      <c r="II26" s="45">
        <v>55.927619047619046</v>
      </c>
      <c r="IJ26" s="45">
        <v>55.27</v>
      </c>
      <c r="IK26" s="45">
        <v>55.984210526315778</v>
      </c>
      <c r="IL26" s="45">
        <v>57.048333333333325</v>
      </c>
      <c r="IM26" s="45">
        <v>58.185000000000002</v>
      </c>
      <c r="IN26" s="45">
        <v>56.863</v>
      </c>
      <c r="IO26" s="45">
        <v>57.014090909090903</v>
      </c>
      <c r="IP26" s="45">
        <v>57.26272727272729</v>
      </c>
      <c r="IQ26" s="45">
        <v>57.383000000000003</v>
      </c>
      <c r="IR26" s="45">
        <v>56.851304347826087</v>
      </c>
      <c r="IS26" s="45">
        <v>56.363999999999997</v>
      </c>
    </row>
    <row r="27" spans="1:253" ht="21" customHeight="1" x14ac:dyDescent="0.3">
      <c r="A27" s="48" t="s">
        <v>20</v>
      </c>
      <c r="B27" s="46">
        <v>23.064</v>
      </c>
      <c r="C27" s="46">
        <v>22.917999999999999</v>
      </c>
      <c r="D27" s="46">
        <v>24.135454545454547</v>
      </c>
      <c r="E27" s="46">
        <v>24.5855</v>
      </c>
      <c r="F27" s="46">
        <v>25.547826086956523</v>
      </c>
      <c r="G27" s="46">
        <v>25.21</v>
      </c>
      <c r="H27" s="46">
        <v>24.834</v>
      </c>
      <c r="I27" s="46">
        <v>24.187999999999999</v>
      </c>
      <c r="J27" s="46">
        <v>24.542999999999999</v>
      </c>
      <c r="K27" s="46">
        <v>24.344000000000001</v>
      </c>
      <c r="L27" s="46">
        <v>24.503</v>
      </c>
      <c r="M27" s="46">
        <v>23.597999999999999</v>
      </c>
      <c r="N27" s="46">
        <v>23.508500000000002</v>
      </c>
      <c r="O27" s="46">
        <v>23.114000000000001</v>
      </c>
      <c r="P27" s="46">
        <v>23.763999999999999</v>
      </c>
      <c r="Q27" s="46">
        <v>24.213999999999999</v>
      </c>
      <c r="R27" s="46">
        <v>25.120999999999999</v>
      </c>
      <c r="S27" s="46">
        <v>24.832999999999998</v>
      </c>
      <c r="T27" s="46">
        <v>25.553999999999998</v>
      </c>
      <c r="U27" s="46">
        <v>26.431000000000001</v>
      </c>
      <c r="V27" s="46">
        <v>26.248000000000001</v>
      </c>
      <c r="W27" s="46">
        <v>25.391999999999999</v>
      </c>
      <c r="X27" s="46">
        <v>24.934999999999999</v>
      </c>
      <c r="Y27" s="46">
        <v>24.466999999999999</v>
      </c>
      <c r="Z27" s="46">
        <v>24.416</v>
      </c>
      <c r="AA27" s="46">
        <v>25.539000000000001</v>
      </c>
      <c r="AB27" s="46">
        <v>25.210999999999999</v>
      </c>
      <c r="AC27" s="46">
        <v>26</v>
      </c>
      <c r="AD27" s="46">
        <v>26.111999999999998</v>
      </c>
      <c r="AE27" s="46">
        <v>25.981999999999999</v>
      </c>
      <c r="AF27" s="46">
        <v>26.2</v>
      </c>
      <c r="AG27" s="46">
        <v>26.487100000000002</v>
      </c>
      <c r="AH27" s="46">
        <v>27.506</v>
      </c>
      <c r="AI27" s="46">
        <v>27.577000000000002</v>
      </c>
      <c r="AJ27" s="46">
        <v>27.818000000000001</v>
      </c>
      <c r="AK27" s="46">
        <v>27.756</v>
      </c>
      <c r="AL27" s="46">
        <v>27.359000000000002</v>
      </c>
      <c r="AM27" s="46">
        <v>27.611000000000001</v>
      </c>
      <c r="AN27" s="46">
        <v>27.252700000000001</v>
      </c>
      <c r="AO27" s="46">
        <v>26.609000000000002</v>
      </c>
      <c r="AP27" s="46">
        <v>27.1004</v>
      </c>
      <c r="AQ27" s="46">
        <v>27.188099999999999</v>
      </c>
      <c r="AR27" s="46">
        <v>26.686699999999998</v>
      </c>
      <c r="AS27" s="46">
        <v>25.946300000000001</v>
      </c>
      <c r="AT27" s="46">
        <v>26.076799999999999</v>
      </c>
      <c r="AU27" s="46">
        <v>26.785699999999999</v>
      </c>
      <c r="AV27" s="46">
        <v>26.277999999999999</v>
      </c>
      <c r="AW27" s="46">
        <v>26.502300000000002</v>
      </c>
      <c r="AX27" s="46">
        <v>26.616</v>
      </c>
      <c r="AY27" s="46">
        <v>27.895900000000001</v>
      </c>
      <c r="AZ27" s="46">
        <v>27.2209</v>
      </c>
      <c r="BA27" s="46">
        <v>27.232900000000001</v>
      </c>
      <c r="BB27" s="46">
        <v>27.9633</v>
      </c>
      <c r="BC27" s="46">
        <v>28.203800000000001</v>
      </c>
      <c r="BD27" s="46">
        <v>28.113800000000001</v>
      </c>
      <c r="BE27" s="46">
        <v>28.952999999999999</v>
      </c>
      <c r="BF27" s="46">
        <v>29.172499999999999</v>
      </c>
      <c r="BG27" s="46">
        <v>28.543299999999999</v>
      </c>
      <c r="BH27" s="46">
        <v>28.372199999999999</v>
      </c>
      <c r="BI27" s="46">
        <v>28.734000000000002</v>
      </c>
      <c r="BJ27" s="46">
        <v>27.9495</v>
      </c>
      <c r="BK27" s="46">
        <v>26.569500000000001</v>
      </c>
      <c r="BL27" s="46">
        <v>26.21</v>
      </c>
      <c r="BM27" s="46">
        <v>26.345500000000001</v>
      </c>
      <c r="BN27" s="46">
        <v>27.143699999999999</v>
      </c>
      <c r="BO27" s="46">
        <v>27.432700000000001</v>
      </c>
      <c r="BP27" s="46">
        <v>26.814900000000002</v>
      </c>
      <c r="BQ27" s="46">
        <v>27.858000000000001</v>
      </c>
      <c r="BR27" s="46">
        <v>26.7685</v>
      </c>
      <c r="BS27" s="46">
        <v>27.181799999999999</v>
      </c>
      <c r="BT27" s="46">
        <v>26.9299</v>
      </c>
      <c r="BU27" s="46">
        <v>27.285499999999999</v>
      </c>
      <c r="BV27" s="46">
        <v>25.956299999999999</v>
      </c>
      <c r="BW27" s="46">
        <v>26.654499999999999</v>
      </c>
      <c r="BX27" s="46">
        <v>26.114999999999998</v>
      </c>
      <c r="BY27" s="46">
        <v>25.691700000000001</v>
      </c>
      <c r="BZ27" s="46">
        <v>25.857199999999999</v>
      </c>
      <c r="CA27" s="46">
        <v>27.831</v>
      </c>
      <c r="CB27" s="46">
        <v>30.986899999999999</v>
      </c>
      <c r="CC27" s="46">
        <v>33.819400000000002</v>
      </c>
      <c r="CD27" s="46">
        <v>35.886499999999998</v>
      </c>
      <c r="CE27" s="46">
        <v>36.633099999999999</v>
      </c>
      <c r="CF27" s="46">
        <v>36.893300000000004</v>
      </c>
      <c r="CG27" s="46">
        <v>35.534999999999997</v>
      </c>
      <c r="CH27" s="46">
        <v>34.904299999999999</v>
      </c>
      <c r="CI27" s="46">
        <v>35.160759999999996</v>
      </c>
      <c r="CJ27" s="46">
        <v>34.542513636363637</v>
      </c>
      <c r="CK27" s="46">
        <v>35.017826086956518</v>
      </c>
      <c r="CL27" s="46">
        <v>34.668535000000006</v>
      </c>
      <c r="CM27" s="46">
        <v>35.190357142857138</v>
      </c>
      <c r="CN27" s="46">
        <v>34.917936363636365</v>
      </c>
      <c r="CO27" s="46">
        <v>34.857955000000004</v>
      </c>
      <c r="CP27" s="46">
        <v>36.341000000000001</v>
      </c>
      <c r="CQ27" s="46">
        <v>36.692936567728495</v>
      </c>
      <c r="CR27" s="46">
        <v>36.804159711674451</v>
      </c>
      <c r="CS27" s="46">
        <v>37.304145467473447</v>
      </c>
      <c r="CT27" s="46">
        <v>37.487636295544789</v>
      </c>
      <c r="CU27" s="46">
        <v>37.514138550857908</v>
      </c>
      <c r="CV27" s="46">
        <v>37.766634538297168</v>
      </c>
      <c r="CW27" s="46">
        <v>37.671630673585121</v>
      </c>
      <c r="CX27" s="46">
        <v>36.885271311999453</v>
      </c>
      <c r="CY27" s="46">
        <v>36.555570874110728</v>
      </c>
      <c r="CZ27" s="46">
        <v>34.779981581591322</v>
      </c>
      <c r="DA27" s="46">
        <v>35.315543500984226</v>
      </c>
      <c r="DB27" s="46">
        <v>35.837918929919418</v>
      </c>
      <c r="DC27" s="46">
        <v>36.543245571885898</v>
      </c>
      <c r="DD27" s="46">
        <v>37.429552990639543</v>
      </c>
      <c r="DE27" s="46">
        <v>38.243639857628729</v>
      </c>
      <c r="DF27" s="46">
        <v>38.736484118685929</v>
      </c>
      <c r="DG27" s="46">
        <v>38.48350432443651</v>
      </c>
      <c r="DH27" s="46">
        <v>38.625087226013278</v>
      </c>
      <c r="DI27" s="46">
        <v>39.188945240356873</v>
      </c>
      <c r="DJ27" s="46">
        <v>37.998642237088745</v>
      </c>
      <c r="DK27" s="46">
        <v>36.183977166618781</v>
      </c>
      <c r="DL27" s="46">
        <v>36.700277599609223</v>
      </c>
      <c r="DM27" s="46">
        <v>37.906968637018529</v>
      </c>
      <c r="DN27" s="46">
        <v>39.202847166653498</v>
      </c>
      <c r="DO27" s="46">
        <v>40.254227585876507</v>
      </c>
      <c r="DP27" s="46">
        <v>40.057874922647798</v>
      </c>
      <c r="DQ27" s="46">
        <v>39.783699705703675</v>
      </c>
      <c r="DR27" s="46">
        <v>39.872598431789662</v>
      </c>
      <c r="DS27" s="46">
        <v>39.145606978037954</v>
      </c>
      <c r="DT27" s="46">
        <v>37.462340886096506</v>
      </c>
      <c r="DU27" s="46">
        <v>34.945188956792357</v>
      </c>
      <c r="DV27" s="46">
        <v>33.399778495029103</v>
      </c>
      <c r="DW27" s="46">
        <v>33.301104162296177</v>
      </c>
      <c r="DX27" s="46">
        <v>32.350824463624043</v>
      </c>
      <c r="DY27" s="46">
        <v>31.371727012550846</v>
      </c>
      <c r="DZ27" s="46">
        <v>32.362808969993537</v>
      </c>
      <c r="EA27" s="46">
        <v>31.750717539650321</v>
      </c>
      <c r="EB27" s="46">
        <v>32.101845919306932</v>
      </c>
      <c r="EC27" s="46">
        <v>31.690356082266469</v>
      </c>
      <c r="ED27" s="46">
        <v>31.680007892852387</v>
      </c>
      <c r="EE27" s="46">
        <v>31.080564652309043</v>
      </c>
      <c r="EF27" s="46">
        <v>29.840342868529259</v>
      </c>
      <c r="EG27" s="46">
        <v>29.696765803142085</v>
      </c>
      <c r="EH27" s="46">
        <v>30.211728171016048</v>
      </c>
      <c r="EI27" s="46">
        <v>30.02758163995486</v>
      </c>
      <c r="EJ27" s="46">
        <v>29.965101993145879</v>
      </c>
      <c r="EK27" s="46">
        <v>30.226598885773498</v>
      </c>
      <c r="EL27" s="46">
        <v>30.29060766351046</v>
      </c>
      <c r="EM27" s="46">
        <v>30.421112065951665</v>
      </c>
      <c r="EN27" s="46">
        <v>30.287081348461829</v>
      </c>
      <c r="EO27" s="46">
        <v>29.599232693570176</v>
      </c>
      <c r="EP27" s="46">
        <v>29.610583457978592</v>
      </c>
      <c r="EQ27" s="46">
        <v>27.66524845138121</v>
      </c>
      <c r="ER27" s="46">
        <v>26.994365928296947</v>
      </c>
      <c r="ES27" s="46">
        <v>27.837951303425388</v>
      </c>
      <c r="ET27" s="46">
        <v>28.339993326350687</v>
      </c>
      <c r="EU27" s="46">
        <v>30.05101365051954</v>
      </c>
      <c r="EV27" s="46">
        <v>30.861281818181808</v>
      </c>
      <c r="EW27" s="46">
        <v>29.640053883921961</v>
      </c>
      <c r="EX27" s="46">
        <v>29.040578896103895</v>
      </c>
      <c r="EY27" s="46">
        <v>29.371587267080734</v>
      </c>
      <c r="EZ27" s="46">
        <v>29.353114285714273</v>
      </c>
      <c r="FA27" s="46">
        <v>30.086576530612245</v>
      </c>
      <c r="FB27" s="46">
        <v>30.332722727272721</v>
      </c>
      <c r="FC27" s="46">
        <v>30.17728421052632</v>
      </c>
      <c r="FD27" s="46">
        <v>30.2515</v>
      </c>
      <c r="FE27" s="46">
        <v>31.204169999999998</v>
      </c>
      <c r="FF27" s="46">
        <v>31.977263157894743</v>
      </c>
      <c r="FG27" s="46">
        <v>32.257213636363637</v>
      </c>
      <c r="FH27" s="46">
        <v>32.861810000000006</v>
      </c>
      <c r="FI27" s="46">
        <v>33.21562902097903</v>
      </c>
      <c r="FJ27" s="46">
        <v>34.604322727272738</v>
      </c>
      <c r="FK27" s="46">
        <v>35.131309999999999</v>
      </c>
      <c r="FL27" s="46">
        <v>35.894768181818179</v>
      </c>
      <c r="FM27" s="46">
        <v>35.699580952380948</v>
      </c>
      <c r="FN27" s="46">
        <v>35.28090952380952</v>
      </c>
      <c r="FO27" s="46">
        <v>34.004328571428573</v>
      </c>
      <c r="FP27" s="46">
        <v>31.859754545454543</v>
      </c>
      <c r="FQ27" s="46">
        <v>32.065023809523815</v>
      </c>
      <c r="FR27" s="46">
        <v>32.385811764705878</v>
      </c>
      <c r="FS27" s="46">
        <v>32.263668181818176</v>
      </c>
      <c r="FT27" s="46">
        <v>33.040974999999996</v>
      </c>
      <c r="FU27" s="46">
        <v>31.934595454545459</v>
      </c>
      <c r="FV27" s="46">
        <v>32.183528571428567</v>
      </c>
      <c r="FW27" s="46">
        <v>31.298147619047615</v>
      </c>
      <c r="FX27" s="46">
        <v>31.178030434782602</v>
      </c>
      <c r="FY27" s="46">
        <v>30.874509523809518</v>
      </c>
      <c r="FZ27" s="46">
        <v>30.833362271062274</v>
      </c>
      <c r="GA27" s="46">
        <v>30.979524999999995</v>
      </c>
      <c r="GB27" s="46">
        <v>30.733334999999993</v>
      </c>
      <c r="GC27" s="46">
        <v>30.62445</v>
      </c>
      <c r="GD27" s="46">
        <v>31.09055882352941</v>
      </c>
      <c r="GE27" s="46">
        <v>31.952795238095231</v>
      </c>
      <c r="GF27" s="46">
        <v>32.052776190476195</v>
      </c>
      <c r="GG27" s="46">
        <v>32.202618181818188</v>
      </c>
      <c r="GH27" s="46">
        <v>32.059228571428562</v>
      </c>
      <c r="GI27" s="46">
        <v>31.554922727272718</v>
      </c>
      <c r="GJ27" s="46">
        <v>31.646913636363635</v>
      </c>
      <c r="GK27" s="46">
        <v>31.300663157894739</v>
      </c>
      <c r="GL27" s="46">
        <v>31.22050434782609</v>
      </c>
      <c r="GM27" s="46">
        <v>31.116050000000001</v>
      </c>
      <c r="GN27" s="46">
        <v>31.234795000000002</v>
      </c>
      <c r="GO27" s="46">
        <v>32.123505000000002</v>
      </c>
      <c r="GP27" s="46">
        <v>31.675961111111114</v>
      </c>
      <c r="GQ27" s="46">
        <v>31.80977368421053</v>
      </c>
      <c r="GR27" s="46">
        <v>31.914404545454545</v>
      </c>
      <c r="GS27" s="46">
        <v>32.671440909090904</v>
      </c>
      <c r="GT27" s="46">
        <v>33.627968421052636</v>
      </c>
      <c r="GU27" s="46">
        <v>33.922322727272736</v>
      </c>
      <c r="GV27" s="46">
        <v>34.516959090909097</v>
      </c>
      <c r="GW27" s="46">
        <v>34.380484210526312</v>
      </c>
      <c r="GX27" s="46">
        <v>34.277679264214044</v>
      </c>
      <c r="GY27" s="46">
        <v>34.157973684210525</v>
      </c>
      <c r="GZ27" s="46">
        <v>34.098080000000003</v>
      </c>
      <c r="HA27" s="46">
        <v>34.077385714285711</v>
      </c>
      <c r="HB27" s="46">
        <v>34.457810526315789</v>
      </c>
      <c r="HC27" s="47">
        <v>36.362370000000013</v>
      </c>
      <c r="HD27" s="46">
        <v>37.527831818181816</v>
      </c>
      <c r="HE27" s="46">
        <v>38.031750000000002</v>
      </c>
      <c r="HF27" s="47">
        <v>37.811047202797205</v>
      </c>
      <c r="HG27" s="46">
        <v>38.138956521739139</v>
      </c>
      <c r="HH27" s="46">
        <v>38.17491428571428</v>
      </c>
      <c r="HI27" s="46">
        <v>38.408949999999997</v>
      </c>
      <c r="HJ27" s="46">
        <v>38.601686363636354</v>
      </c>
      <c r="HK27" s="46">
        <v>38.97663</v>
      </c>
      <c r="HL27" s="46">
        <v>38.850959090909086</v>
      </c>
      <c r="HM27" s="46">
        <v>38.767936842105257</v>
      </c>
      <c r="HN27" s="45">
        <v>38.4336611111111</v>
      </c>
      <c r="HO27" s="45">
        <v>37.665884999999996</v>
      </c>
      <c r="HP27" s="45">
        <v>37.769775000000003</v>
      </c>
      <c r="HQ27" s="45">
        <v>37.768540000000002</v>
      </c>
      <c r="HR27" s="45">
        <v>37.968599999999988</v>
      </c>
      <c r="HS27" s="45">
        <v>39.408690909090915</v>
      </c>
      <c r="HT27" s="45">
        <v>39.459804545454546</v>
      </c>
      <c r="HU27" s="45">
        <v>39.280377272727272</v>
      </c>
      <c r="HV27" s="45">
        <v>38.438957142857141</v>
      </c>
      <c r="HW27" s="45">
        <v>38.426794736842098</v>
      </c>
      <c r="HX27" s="45">
        <v>38.744773913043474</v>
      </c>
      <c r="HY27" s="45">
        <v>38.554136842105258</v>
      </c>
      <c r="HZ27" s="45">
        <v>38.54154444444444</v>
      </c>
      <c r="IA27" s="45">
        <v>37.88445909090909</v>
      </c>
      <c r="IB27" s="45">
        <v>35.039552380952379</v>
      </c>
      <c r="IC27" s="45">
        <v>34.130266666666664</v>
      </c>
      <c r="ID27" s="45">
        <v>33.718363636363648</v>
      </c>
      <c r="IE27" s="45">
        <v>33.667295238095235</v>
      </c>
      <c r="IF27" s="45">
        <v>33.991981818181813</v>
      </c>
      <c r="IG27" s="45">
        <v>31.828547619047619</v>
      </c>
      <c r="IH27" s="45">
        <v>30.868339999999996</v>
      </c>
      <c r="II27" s="45">
        <v>31.506090476190472</v>
      </c>
      <c r="IJ27" s="45">
        <v>33.156145454545452</v>
      </c>
      <c r="IK27" s="45">
        <v>34.622873684210525</v>
      </c>
      <c r="IL27" s="45">
        <v>35.124522222222225</v>
      </c>
      <c r="IM27" s="45">
        <v>35.529736363636367</v>
      </c>
      <c r="IN27" s="45">
        <v>34.552115000000001</v>
      </c>
      <c r="IO27" s="45">
        <v>33.839113636363642</v>
      </c>
      <c r="IP27" s="45">
        <v>32.927095454545459</v>
      </c>
      <c r="IQ27" s="45">
        <v>32.954209523809524</v>
      </c>
      <c r="IR27" s="45">
        <v>32.006830434782607</v>
      </c>
      <c r="IS27" s="45">
        <v>31.151429999999998</v>
      </c>
    </row>
    <row r="28" spans="1:253" ht="21" customHeight="1" x14ac:dyDescent="0.3">
      <c r="A28" s="48" t="s">
        <v>19</v>
      </c>
      <c r="B28" s="46">
        <v>39.436</v>
      </c>
      <c r="C28" s="46">
        <v>39.646000000000001</v>
      </c>
      <c r="D28" s="46">
        <v>39.457727272727276</v>
      </c>
      <c r="E28" s="46">
        <v>39.142000000000003</v>
      </c>
      <c r="F28" s="46">
        <v>38.796086956521734</v>
      </c>
      <c r="G28" s="46">
        <v>38.712857142857146</v>
      </c>
      <c r="H28" s="46">
        <v>38.537999999999997</v>
      </c>
      <c r="I28" s="46">
        <v>38.296999999999997</v>
      </c>
      <c r="J28" s="46">
        <v>37.993000000000002</v>
      </c>
      <c r="K28" s="46">
        <v>37.825499999999998</v>
      </c>
      <c r="L28" s="46">
        <v>38.017000000000003</v>
      </c>
      <c r="M28" s="46">
        <v>37.140999999999998</v>
      </c>
      <c r="N28" s="46">
        <v>36.915500000000002</v>
      </c>
      <c r="O28" s="46">
        <v>37.182000000000002</v>
      </c>
      <c r="P28" s="46">
        <v>39.506999999999998</v>
      </c>
      <c r="Q28" s="46">
        <v>39.643999999999998</v>
      </c>
      <c r="R28" s="46">
        <v>40.590000000000003</v>
      </c>
      <c r="S28" s="46">
        <v>39.488999999999997</v>
      </c>
      <c r="T28" s="46">
        <v>38.35</v>
      </c>
      <c r="U28" s="46">
        <v>37.883000000000003</v>
      </c>
      <c r="V28" s="46">
        <v>37.969000000000001</v>
      </c>
      <c r="W28" s="46">
        <v>36.564</v>
      </c>
      <c r="X28" s="46">
        <v>35.356999999999999</v>
      </c>
      <c r="Y28" s="46">
        <v>34.877000000000002</v>
      </c>
      <c r="Z28" s="46">
        <v>35.03</v>
      </c>
      <c r="AA28" s="46">
        <v>35.975000000000001</v>
      </c>
      <c r="AB28" s="46">
        <v>36.396999999999998</v>
      </c>
      <c r="AC28" s="46">
        <v>36.655999999999999</v>
      </c>
      <c r="AD28" s="46">
        <v>36.417999999999999</v>
      </c>
      <c r="AE28" s="46">
        <v>36.195999999999998</v>
      </c>
      <c r="AF28" s="46">
        <v>36.423000000000002</v>
      </c>
      <c r="AG28" s="46">
        <v>36.216000000000001</v>
      </c>
      <c r="AH28" s="46">
        <v>36.149000000000001</v>
      </c>
      <c r="AI28" s="46">
        <v>36.567999999999998</v>
      </c>
      <c r="AJ28" s="46">
        <v>37.551000000000002</v>
      </c>
      <c r="AK28" s="46">
        <v>39.923999999999999</v>
      </c>
      <c r="AL28" s="46">
        <v>39.326999999999998</v>
      </c>
      <c r="AM28" s="46">
        <v>39.268999999999998</v>
      </c>
      <c r="AN28" s="46">
        <v>39.335000000000001</v>
      </c>
      <c r="AO28" s="46">
        <v>39.794800000000002</v>
      </c>
      <c r="AP28" s="46">
        <v>40.283900000000003</v>
      </c>
      <c r="AQ28" s="46">
        <v>41.495699999999999</v>
      </c>
      <c r="AR28" s="46">
        <v>42.29</v>
      </c>
      <c r="AS28" s="46">
        <v>41.866799999999998</v>
      </c>
      <c r="AT28" s="46">
        <v>43.012700000000002</v>
      </c>
      <c r="AU28" s="46">
        <v>43.567599999999999</v>
      </c>
      <c r="AV28" s="46">
        <v>43.902999999999999</v>
      </c>
      <c r="AW28" s="46">
        <v>43.833599999999997</v>
      </c>
      <c r="AX28" s="46">
        <v>44.591000000000001</v>
      </c>
      <c r="AY28" s="46">
        <v>44.249499999999998</v>
      </c>
      <c r="AZ28" s="46">
        <v>43.354100000000003</v>
      </c>
      <c r="BA28" s="46">
        <v>43.459499999999998</v>
      </c>
      <c r="BB28" s="46">
        <v>45.168100000000003</v>
      </c>
      <c r="BC28" s="46">
        <v>46.061</v>
      </c>
      <c r="BD28" s="46">
        <v>46.639499999999998</v>
      </c>
      <c r="BE28" s="46">
        <v>47.734000000000002</v>
      </c>
      <c r="BF28" s="46">
        <v>48.984000000000002</v>
      </c>
      <c r="BG28" s="46">
        <v>49.097099999999998</v>
      </c>
      <c r="BH28" s="46">
        <v>49.232199999999999</v>
      </c>
      <c r="BI28" s="46">
        <v>48.798499999999997</v>
      </c>
      <c r="BJ28" s="46">
        <v>48.476199999999999</v>
      </c>
      <c r="BK28" s="46">
        <v>48.274999999999999</v>
      </c>
      <c r="BL28" s="46">
        <v>48.978999999999999</v>
      </c>
      <c r="BM28" s="46">
        <v>48.316800000000001</v>
      </c>
      <c r="BN28" s="46">
        <v>47.771099999999997</v>
      </c>
      <c r="BO28" s="46">
        <v>47.591099999999997</v>
      </c>
      <c r="BP28" s="46">
        <v>46.9343</v>
      </c>
      <c r="BQ28" s="46">
        <v>47.74</v>
      </c>
      <c r="BR28" s="46">
        <v>48.040500000000002</v>
      </c>
      <c r="BS28" s="46">
        <v>43.557699999999997</v>
      </c>
      <c r="BT28" s="46">
        <v>41.818800000000003</v>
      </c>
      <c r="BU28" s="46">
        <v>43.066600000000001</v>
      </c>
      <c r="BV28" s="46">
        <v>43.333599999999997</v>
      </c>
      <c r="BW28" s="46">
        <v>45.686900000000001</v>
      </c>
      <c r="BX28" s="46">
        <v>44.701799999999999</v>
      </c>
      <c r="BY28" s="46">
        <v>41.885599999999997</v>
      </c>
      <c r="BZ28" s="46">
        <v>42.515500000000003</v>
      </c>
      <c r="CA28" s="46">
        <v>42.244399999999999</v>
      </c>
      <c r="CB28" s="46">
        <v>41.433900000000001</v>
      </c>
      <c r="CC28" s="46">
        <v>42.739100000000001</v>
      </c>
      <c r="CD28" s="46">
        <v>42.6708</v>
      </c>
      <c r="CE28" s="46">
        <v>42.601999999999997</v>
      </c>
      <c r="CF28" s="46">
        <v>43.5608</v>
      </c>
      <c r="CG28" s="46">
        <v>43.8474</v>
      </c>
      <c r="CH28" s="46">
        <v>43.926299999999998</v>
      </c>
      <c r="CI28" s="46">
        <v>44.148360000000004</v>
      </c>
      <c r="CJ28" s="46">
        <v>43.427940909090907</v>
      </c>
      <c r="CK28" s="46">
        <v>43.696795652173911</v>
      </c>
      <c r="CL28" s="46">
        <v>43.597209999999997</v>
      </c>
      <c r="CM28" s="46">
        <v>43.069500000000005</v>
      </c>
      <c r="CN28" s="46">
        <v>42.462459090909086</v>
      </c>
      <c r="CO28" s="46">
        <v>42.148665000000001</v>
      </c>
      <c r="CP28" s="46">
        <v>43.081000000000003</v>
      </c>
      <c r="CQ28" s="46">
        <v>39.937895645536898</v>
      </c>
      <c r="CR28" s="46">
        <v>39.55914237400696</v>
      </c>
      <c r="CS28" s="46">
        <v>39.417372924900988</v>
      </c>
      <c r="CT28" s="46">
        <v>38.49104492208825</v>
      </c>
      <c r="CU28" s="46">
        <v>38.97069638078392</v>
      </c>
      <c r="CV28" s="46">
        <v>39.530661053928846</v>
      </c>
      <c r="CW28" s="46">
        <v>38.868183072311083</v>
      </c>
      <c r="CX28" s="46">
        <v>37.761709799743528</v>
      </c>
      <c r="CY28" s="46">
        <v>35.791531683946189</v>
      </c>
      <c r="CZ28" s="46">
        <v>34.818135279916362</v>
      </c>
      <c r="DA28" s="46">
        <v>33.977819673215414</v>
      </c>
      <c r="DB28" s="46">
        <v>32.883559788158692</v>
      </c>
      <c r="DC28" s="46">
        <v>32.624999958574001</v>
      </c>
      <c r="DD28" s="46">
        <v>31.386385145052337</v>
      </c>
      <c r="DE28" s="46">
        <v>30.762696631073489</v>
      </c>
      <c r="DF28" s="46">
        <v>29.640542669905425</v>
      </c>
      <c r="DG28" s="46">
        <v>32.244454953418689</v>
      </c>
      <c r="DH28" s="46">
        <v>34.977597749648723</v>
      </c>
      <c r="DI28" s="46">
        <v>35.163721608102499</v>
      </c>
      <c r="DJ28" s="46">
        <v>36.125749987164085</v>
      </c>
      <c r="DK28" s="46">
        <v>36.220702657724836</v>
      </c>
      <c r="DL28" s="46">
        <v>36.126301119529508</v>
      </c>
      <c r="DM28" s="46">
        <v>36.049917131966311</v>
      </c>
      <c r="DN28" s="46">
        <v>36.916167044965121</v>
      </c>
      <c r="DO28" s="46">
        <v>38.064691042077662</v>
      </c>
      <c r="DP28" s="46">
        <v>37.64769739794221</v>
      </c>
      <c r="DQ28" s="46">
        <v>36.969313871329348</v>
      </c>
      <c r="DR28" s="46">
        <v>37.225592061956483</v>
      </c>
      <c r="DS28" s="46">
        <v>37.210445991888079</v>
      </c>
      <c r="DT28" s="46">
        <v>36.666096770288704</v>
      </c>
      <c r="DU28" s="46">
        <v>36.022249790839226</v>
      </c>
      <c r="DV28" s="46">
        <v>35.806882000353134</v>
      </c>
      <c r="DW28" s="46">
        <v>36.956361437067514</v>
      </c>
      <c r="DX28" s="46">
        <v>37.708752624508335</v>
      </c>
      <c r="DY28" s="46">
        <v>37.851470044382765</v>
      </c>
      <c r="DZ28" s="46">
        <v>37.055406761635638</v>
      </c>
      <c r="EA28" s="46">
        <v>36.636093107459786</v>
      </c>
      <c r="EB28" s="46">
        <v>36.121856765613202</v>
      </c>
      <c r="EC28" s="46">
        <v>36.139413997896391</v>
      </c>
      <c r="ED28" s="46">
        <v>36.515088280192664</v>
      </c>
      <c r="EE28" s="46">
        <v>36.267638309254338</v>
      </c>
      <c r="EF28" s="46">
        <v>35.931483109352989</v>
      </c>
      <c r="EG28" s="46">
        <v>36.00006798371323</v>
      </c>
      <c r="EH28" s="46">
        <v>35.966403211027568</v>
      </c>
      <c r="EI28" s="46">
        <v>35.681713379140021</v>
      </c>
      <c r="EJ28" s="46">
        <v>35.600340719629031</v>
      </c>
      <c r="EK28" s="46">
        <v>35.358600017449248</v>
      </c>
      <c r="EL28" s="46">
        <v>35.483629022743216</v>
      </c>
      <c r="EM28" s="46">
        <v>35.453118439564733</v>
      </c>
      <c r="EN28" s="46">
        <v>35.593206610488338</v>
      </c>
      <c r="EO28" s="46">
        <v>35.907769654866676</v>
      </c>
      <c r="EP28" s="46">
        <v>36.029052333320266</v>
      </c>
      <c r="EQ28" s="46">
        <v>35.879953383956739</v>
      </c>
      <c r="ER28" s="46">
        <v>35.781862824863019</v>
      </c>
      <c r="ES28" s="46">
        <v>36.209716382352909</v>
      </c>
      <c r="ET28" s="46">
        <v>36.922384606408912</v>
      </c>
      <c r="EU28" s="46">
        <v>39.596591888220843</v>
      </c>
      <c r="EV28" s="46">
        <v>39.608453700802521</v>
      </c>
      <c r="EW28" s="46">
        <v>37.190183892662176</v>
      </c>
      <c r="EX28" s="46">
        <v>36.871540151515141</v>
      </c>
      <c r="EY28" s="46">
        <v>35.93185869565216</v>
      </c>
      <c r="EZ28" s="46">
        <v>35.439469047619063</v>
      </c>
      <c r="FA28" s="46">
        <v>34.458628571428576</v>
      </c>
      <c r="FB28" s="46">
        <v>35.583649242424244</v>
      </c>
      <c r="FC28" s="46">
        <v>36.338905263157898</v>
      </c>
      <c r="FD28" s="46">
        <v>36.179286363636351</v>
      </c>
      <c r="FE28" s="46">
        <v>36.152335000000001</v>
      </c>
      <c r="FF28" s="46">
        <v>36.042668421052632</v>
      </c>
      <c r="FG28" s="46">
        <v>36.057649999999995</v>
      </c>
      <c r="FH28" s="46">
        <v>35.791010000000007</v>
      </c>
      <c r="FI28" s="46">
        <v>36.094162121212122</v>
      </c>
      <c r="FJ28" s="46">
        <v>36.240186363636361</v>
      </c>
      <c r="FK28" s="46">
        <v>36.212099999999992</v>
      </c>
      <c r="FL28" s="46">
        <v>35.969122727272733</v>
      </c>
      <c r="FM28" s="46">
        <v>35.958780952380948</v>
      </c>
      <c r="FN28" s="46">
        <v>36.172214285714297</v>
      </c>
      <c r="FO28" s="46">
        <v>36.177633333333333</v>
      </c>
      <c r="FP28" s="46">
        <v>36.213154545454557</v>
      </c>
      <c r="FQ28" s="46">
        <v>35.561447619047627</v>
      </c>
      <c r="FR28" s="46">
        <v>35.439894117647057</v>
      </c>
      <c r="FS28" s="46">
        <v>35.558627272727271</v>
      </c>
      <c r="FT28" s="46">
        <v>35.279310000000002</v>
      </c>
      <c r="FU28" s="46">
        <v>34.749613636363641</v>
      </c>
      <c r="FV28" s="46">
        <v>34.516123809523812</v>
      </c>
      <c r="FW28" s="46">
        <v>33.960390476190469</v>
      </c>
      <c r="FX28" s="46">
        <v>33.14031739130435</v>
      </c>
      <c r="FY28" s="46">
        <v>33.255428571428581</v>
      </c>
      <c r="FZ28" s="46">
        <v>33.808292063492068</v>
      </c>
      <c r="GA28" s="46">
        <v>33.867065000000004</v>
      </c>
      <c r="GB28" s="46">
        <v>33.782739999999997</v>
      </c>
      <c r="GC28" s="46">
        <v>33.201133333333331</v>
      </c>
      <c r="GD28" s="46">
        <v>33.184935294117651</v>
      </c>
      <c r="GE28" s="46">
        <v>33.599780952380947</v>
      </c>
      <c r="GF28" s="46">
        <v>34.447152380952382</v>
      </c>
      <c r="GG28" s="46">
        <v>35.267127272727272</v>
      </c>
      <c r="GH28" s="46">
        <v>35.059314285714287</v>
      </c>
      <c r="GI28" s="46">
        <v>35.058509090909091</v>
      </c>
      <c r="GJ28" s="46">
        <v>35.071950000000001</v>
      </c>
      <c r="GK28" s="46">
        <v>34.887831578947363</v>
      </c>
      <c r="GL28" s="46">
        <v>34.993569565217385</v>
      </c>
      <c r="GM28" s="46">
        <v>34.58719</v>
      </c>
      <c r="GN28" s="46">
        <v>34.451575000000005</v>
      </c>
      <c r="GO28" s="46">
        <v>34.54477</v>
      </c>
      <c r="GP28" s="46">
        <v>35.041316666666674</v>
      </c>
      <c r="GQ28" s="46">
        <v>35.334926315789474</v>
      </c>
      <c r="GR28" s="46">
        <v>35.391572727272724</v>
      </c>
      <c r="GS28" s="46">
        <v>35.669909090909094</v>
      </c>
      <c r="GT28" s="46">
        <v>35.882557894736834</v>
      </c>
      <c r="GU28" s="46">
        <v>35.727249999999998</v>
      </c>
      <c r="GV28" s="46">
        <v>35.643545454545453</v>
      </c>
      <c r="GW28" s="46">
        <v>35.742778947368421</v>
      </c>
      <c r="GX28" s="46">
        <v>35.883989130434777</v>
      </c>
      <c r="GY28" s="46">
        <v>36.480905263157894</v>
      </c>
      <c r="GZ28" s="46">
        <v>36.791025000000005</v>
      </c>
      <c r="HA28" s="46">
        <v>36.983295238095238</v>
      </c>
      <c r="HB28" s="46">
        <v>37.727726315789468</v>
      </c>
      <c r="HC28" s="47">
        <v>37.838364999999996</v>
      </c>
      <c r="HD28" s="46">
        <v>38.17201363636363</v>
      </c>
      <c r="HE28" s="46">
        <v>38.337014999999994</v>
      </c>
      <c r="HF28" s="47">
        <v>38.33650757575758</v>
      </c>
      <c r="HG28" s="46">
        <v>38.067634782608692</v>
      </c>
      <c r="HH28" s="46">
        <v>37.588000000000001</v>
      </c>
      <c r="HI28" s="46">
        <v>37.561377272727263</v>
      </c>
      <c r="HJ28" s="46">
        <v>37.504059090909095</v>
      </c>
      <c r="HK28" s="46">
        <v>37.354289999999999</v>
      </c>
      <c r="HL28" s="46">
        <v>36.670890909090922</v>
      </c>
      <c r="HM28" s="46">
        <v>36.791136842105267</v>
      </c>
      <c r="HN28" s="45">
        <v>37.047822222222223</v>
      </c>
      <c r="HO28" s="45">
        <v>37.398000000000003</v>
      </c>
      <c r="HP28" s="45">
        <v>38.207839999999997</v>
      </c>
      <c r="HQ28" s="45">
        <v>38.495399999999997</v>
      </c>
      <c r="HR28" s="45">
        <v>38.912100000000002</v>
      </c>
      <c r="HS28" s="45">
        <v>40.304390909090905</v>
      </c>
      <c r="HT28" s="45">
        <v>39.786263636363643</v>
      </c>
      <c r="HU28" s="45">
        <v>39.394259090909088</v>
      </c>
      <c r="HV28" s="45">
        <v>39.345799999999997</v>
      </c>
      <c r="HW28" s="45">
        <v>39.253810526315796</v>
      </c>
      <c r="HX28" s="45">
        <v>39.166895652173913</v>
      </c>
      <c r="HY28" s="45">
        <v>39.127794736842112</v>
      </c>
      <c r="HZ28" s="45">
        <v>39.17067222222223</v>
      </c>
      <c r="IA28" s="45">
        <v>39.331095454545455</v>
      </c>
      <c r="IB28" s="45">
        <v>38.440880952380951</v>
      </c>
      <c r="IC28" s="45">
        <v>37.968352380952375</v>
      </c>
      <c r="ID28" s="45">
        <v>38.660972727272728</v>
      </c>
      <c r="IE28" s="45">
        <v>39.027471428571417</v>
      </c>
      <c r="IF28" s="45">
        <v>38.467863636363639</v>
      </c>
      <c r="IG28" s="45">
        <v>37.898257142857133</v>
      </c>
      <c r="IH28" s="45">
        <v>37.571705000000009</v>
      </c>
      <c r="II28" s="45">
        <v>36.876619047619045</v>
      </c>
      <c r="IJ28" s="45">
        <v>36.555827272727271</v>
      </c>
      <c r="IK28" s="45">
        <v>36.650752631578946</v>
      </c>
      <c r="IL28" s="45">
        <v>37.38967777777777</v>
      </c>
      <c r="IM28" s="45">
        <v>36.872890909090913</v>
      </c>
      <c r="IN28" s="45">
        <v>34.586604999999999</v>
      </c>
      <c r="IO28" s="45">
        <v>33.966486363636363</v>
      </c>
      <c r="IP28" s="45">
        <v>33.460390909090911</v>
      </c>
      <c r="IQ28" s="45">
        <v>33.042919047619051</v>
      </c>
      <c r="IR28" s="45">
        <v>32.42003043478261</v>
      </c>
      <c r="IS28" s="45">
        <v>31.546614999999992</v>
      </c>
    </row>
    <row r="29" spans="1:253" ht="21" customHeight="1" x14ac:dyDescent="0.3">
      <c r="A29" s="48" t="s">
        <v>18</v>
      </c>
      <c r="B29" s="46">
        <v>13.032999999999999</v>
      </c>
      <c r="C29" s="46">
        <v>12.896000000000001</v>
      </c>
      <c r="D29" s="46">
        <v>14.162727272727272</v>
      </c>
      <c r="E29" s="46">
        <v>14.972999999999999</v>
      </c>
      <c r="F29" s="46">
        <v>14.597826086956522</v>
      </c>
      <c r="G29" s="46">
        <v>14.028095238095236</v>
      </c>
      <c r="H29" s="46">
        <v>14.1715</v>
      </c>
      <c r="I29" s="46">
        <v>14.493</v>
      </c>
      <c r="J29" s="46">
        <v>14.914</v>
      </c>
      <c r="K29" s="46">
        <v>15.263499999999999</v>
      </c>
      <c r="L29" s="46">
        <v>15.872</v>
      </c>
      <c r="M29" s="46">
        <v>15.72</v>
      </c>
      <c r="N29" s="46">
        <v>15.5875</v>
      </c>
      <c r="O29" s="46">
        <v>15.382999999999999</v>
      </c>
      <c r="P29" s="46">
        <v>16.131</v>
      </c>
      <c r="Q29" s="46">
        <v>16.722999999999999</v>
      </c>
      <c r="R29" s="46">
        <v>17.559000000000001</v>
      </c>
      <c r="S29" s="46">
        <v>17.260999999999999</v>
      </c>
      <c r="T29" s="46">
        <v>17.262</v>
      </c>
      <c r="U29" s="46">
        <v>17.518000000000001</v>
      </c>
      <c r="V29" s="46">
        <v>18.094999999999999</v>
      </c>
      <c r="W29" s="46">
        <v>17.77</v>
      </c>
      <c r="X29" s="46">
        <v>17.911000000000001</v>
      </c>
      <c r="Y29" s="46">
        <v>18.167000000000002</v>
      </c>
      <c r="Z29" s="46">
        <v>17.675000000000001</v>
      </c>
      <c r="AA29" s="46">
        <v>17.754999999999999</v>
      </c>
      <c r="AB29" s="46">
        <v>17.506</v>
      </c>
      <c r="AC29" s="46">
        <v>18.006</v>
      </c>
      <c r="AD29" s="46">
        <v>18.602</v>
      </c>
      <c r="AE29" s="46">
        <v>18.888000000000002</v>
      </c>
      <c r="AF29" s="46">
        <v>19.125</v>
      </c>
      <c r="AG29" s="46">
        <v>19.846</v>
      </c>
      <c r="AH29" s="46">
        <v>20.285</v>
      </c>
      <c r="AI29" s="46">
        <v>20.606000000000002</v>
      </c>
      <c r="AJ29" s="46">
        <v>20.34</v>
      </c>
      <c r="AK29" s="46">
        <v>21.437000000000001</v>
      </c>
      <c r="AL29" s="46">
        <v>21.263000000000002</v>
      </c>
      <c r="AM29" s="46">
        <v>21.292999999999999</v>
      </c>
      <c r="AN29" s="46">
        <v>21.096800000000002</v>
      </c>
      <c r="AO29" s="46">
        <v>20.357600000000001</v>
      </c>
      <c r="AP29" s="46">
        <v>20.982199999999999</v>
      </c>
      <c r="AQ29" s="46">
        <v>21.2376</v>
      </c>
      <c r="AR29" s="46">
        <v>21.500499999999999</v>
      </c>
      <c r="AS29" s="46">
        <v>21.2958</v>
      </c>
      <c r="AT29" s="46">
        <v>21.538599999999999</v>
      </c>
      <c r="AU29" s="46">
        <v>21.349499999999999</v>
      </c>
      <c r="AV29" s="46">
        <v>20.96</v>
      </c>
      <c r="AW29" s="46">
        <v>19.901399999999999</v>
      </c>
      <c r="AX29" s="46">
        <v>19.489999999999998</v>
      </c>
      <c r="AY29" s="46">
        <v>19.771799999999999</v>
      </c>
      <c r="AZ29" s="46">
        <v>19.425000000000001</v>
      </c>
      <c r="BA29" s="46">
        <v>19.514299999999999</v>
      </c>
      <c r="BB29" s="46">
        <v>20.553799999999999</v>
      </c>
      <c r="BC29" s="46">
        <v>21.561900000000001</v>
      </c>
      <c r="BD29" s="46">
        <v>21.905200000000001</v>
      </c>
      <c r="BE29" s="46">
        <v>22.344000000000001</v>
      </c>
      <c r="BF29" s="46">
        <v>23.268999999999998</v>
      </c>
      <c r="BG29" s="46">
        <v>23.484300000000001</v>
      </c>
      <c r="BH29" s="46">
        <v>23.367799999999999</v>
      </c>
      <c r="BI29" s="46">
        <v>23.218</v>
      </c>
      <c r="BJ29" s="46">
        <v>24.038599999999999</v>
      </c>
      <c r="BK29" s="46">
        <v>23.4041</v>
      </c>
      <c r="BL29" s="46">
        <v>24.257000000000001</v>
      </c>
      <c r="BM29" s="46">
        <v>25.135899999999999</v>
      </c>
      <c r="BN29" s="46">
        <v>23.023800000000001</v>
      </c>
      <c r="BO29" s="46">
        <v>22.616299999999999</v>
      </c>
      <c r="BP29" s="46">
        <v>23.573699999999999</v>
      </c>
      <c r="BQ29" s="46">
        <v>23.472000000000001</v>
      </c>
      <c r="BR29" s="46">
        <v>23.108000000000001</v>
      </c>
      <c r="BS29" s="46">
        <v>22.579000000000001</v>
      </c>
      <c r="BT29" s="46">
        <v>22.976199999999999</v>
      </c>
      <c r="BU29" s="46">
        <v>21.915099999999999</v>
      </c>
      <c r="BV29" s="46">
        <v>21.020900000000001</v>
      </c>
      <c r="BW29" s="46">
        <v>21.535699999999999</v>
      </c>
      <c r="BX29" s="46">
        <v>21.2178</v>
      </c>
      <c r="BY29" s="46">
        <v>20.662700000000001</v>
      </c>
      <c r="BZ29" s="46">
        <v>19.956700000000001</v>
      </c>
      <c r="CA29" s="46">
        <v>19.9053</v>
      </c>
      <c r="CB29" s="46">
        <v>18.831800000000001</v>
      </c>
      <c r="CC29" s="46">
        <v>18.3918</v>
      </c>
      <c r="CD29" s="46">
        <v>18.1919</v>
      </c>
      <c r="CE29" s="46">
        <v>18.204899999999999</v>
      </c>
      <c r="CF29" s="46">
        <v>17.430399999999999</v>
      </c>
      <c r="CG29" s="46">
        <v>18.282499999999999</v>
      </c>
      <c r="CH29" s="46">
        <v>19.594899999999999</v>
      </c>
      <c r="CI29" s="46">
        <v>20.31541</v>
      </c>
      <c r="CJ29" s="46">
        <v>21.17899090909091</v>
      </c>
      <c r="CK29" s="46">
        <v>21.218604347826087</v>
      </c>
      <c r="CL29" s="46">
        <v>22.087624999999999</v>
      </c>
      <c r="CM29" s="46">
        <v>23.580414285714284</v>
      </c>
      <c r="CN29" s="46">
        <v>23.163427272727272</v>
      </c>
      <c r="CO29" s="46">
        <v>22.614079999999998</v>
      </c>
      <c r="CP29" s="46">
        <v>23.228000000000002</v>
      </c>
      <c r="CQ29" s="46">
        <v>22.79133266136451</v>
      </c>
      <c r="CR29" s="46">
        <v>22.424207013579487</v>
      </c>
      <c r="CS29" s="46">
        <v>22.823253841367944</v>
      </c>
      <c r="CT29" s="46">
        <v>22.973056234598953</v>
      </c>
      <c r="CU29" s="46">
        <v>23.822062415806265</v>
      </c>
      <c r="CV29" s="46">
        <v>23.589311083054984</v>
      </c>
      <c r="CW29" s="46">
        <v>23.793835037775153</v>
      </c>
      <c r="CX29" s="46">
        <v>23.274291373665559</v>
      </c>
      <c r="CY29" s="46">
        <v>22.112259899809359</v>
      </c>
      <c r="CZ29" s="46">
        <v>22.785644805416275</v>
      </c>
      <c r="DA29" s="46">
        <v>22.792081135036174</v>
      </c>
      <c r="DB29" s="46">
        <v>23.442328186606861</v>
      </c>
      <c r="DC29" s="46">
        <v>24.460672710278985</v>
      </c>
      <c r="DD29" s="46">
        <v>24.120391648367526</v>
      </c>
      <c r="DE29" s="46">
        <v>23.750727086432804</v>
      </c>
      <c r="DF29" s="46">
        <v>23.363209777267983</v>
      </c>
      <c r="DG29" s="46">
        <v>22.861925431318667</v>
      </c>
      <c r="DH29" s="46">
        <v>23.097784775065428</v>
      </c>
      <c r="DI29" s="46">
        <v>24.042255927728966</v>
      </c>
      <c r="DJ29" s="46">
        <v>24.806628818071388</v>
      </c>
      <c r="DK29" s="46">
        <v>24.389100847014763</v>
      </c>
      <c r="DL29" s="46">
        <v>24.333652215716523</v>
      </c>
      <c r="DM29" s="46">
        <v>23.295605160487639</v>
      </c>
      <c r="DN29" s="46">
        <v>24.137815669503901</v>
      </c>
      <c r="DO29" s="46">
        <v>25.319302708733598</v>
      </c>
      <c r="DP29" s="46">
        <v>25.489887082763506</v>
      </c>
      <c r="DQ29" s="46">
        <v>25.361603913014918</v>
      </c>
      <c r="DR29" s="46">
        <v>25.718963731262924</v>
      </c>
      <c r="DS29" s="46">
        <v>25.892300488251333</v>
      </c>
      <c r="DT29" s="46">
        <v>26.020411039298885</v>
      </c>
      <c r="DU29" s="46">
        <v>26.029166852436511</v>
      </c>
      <c r="DV29" s="46">
        <v>26.038909275979535</v>
      </c>
      <c r="DW29" s="46">
        <v>26.040100052111107</v>
      </c>
      <c r="DX29" s="46">
        <v>26.691449571038891</v>
      </c>
      <c r="DY29" s="46">
        <v>26.046193761792928</v>
      </c>
      <c r="DZ29" s="46">
        <v>24.837505363238886</v>
      </c>
      <c r="EA29" s="46">
        <v>24.895025412248788</v>
      </c>
      <c r="EB29" s="46">
        <v>24.818443941531747</v>
      </c>
      <c r="EC29" s="46">
        <v>25.510332003805559</v>
      </c>
      <c r="ED29" s="46">
        <v>25.81056567608454</v>
      </c>
      <c r="EE29" s="46">
        <v>25.692442795211111</v>
      </c>
      <c r="EF29" s="46">
        <v>25.363928138230161</v>
      </c>
      <c r="EG29" s="46">
        <v>25.551446357657891</v>
      </c>
      <c r="EH29" s="46">
        <v>25.557016947320989</v>
      </c>
      <c r="EI29" s="46">
        <v>26.129053806464913</v>
      </c>
      <c r="EJ29" s="46">
        <v>26.41463017083333</v>
      </c>
      <c r="EK29" s="46">
        <v>26.447369924103278</v>
      </c>
      <c r="EL29" s="46">
        <v>26.612299054678733</v>
      </c>
      <c r="EM29" s="46">
        <v>26.881993364582225</v>
      </c>
      <c r="EN29" s="46">
        <v>26.256316796132495</v>
      </c>
      <c r="EO29" s="46">
        <v>25.849481770838391</v>
      </c>
      <c r="EP29" s="46">
        <v>25.184205886664145</v>
      </c>
      <c r="EQ29" s="46">
        <v>25.119393191177778</v>
      </c>
      <c r="ER29" s="46">
        <v>24.969745873751766</v>
      </c>
      <c r="ES29" s="46">
        <v>25.127509232477784</v>
      </c>
      <c r="ET29" s="46">
        <v>25.051283573924184</v>
      </c>
      <c r="EU29" s="46">
        <v>26.999128420412262</v>
      </c>
      <c r="EV29" s="46">
        <v>27.926113636363638</v>
      </c>
      <c r="EW29" s="46">
        <v>26.428923533333336</v>
      </c>
      <c r="EX29" s="46">
        <v>25.095877777777776</v>
      </c>
      <c r="EY29" s="46">
        <v>24.084295652173928</v>
      </c>
      <c r="EZ29" s="46">
        <v>23.662931216931213</v>
      </c>
      <c r="FA29" s="46">
        <v>22.874161904761909</v>
      </c>
      <c r="FB29" s="46">
        <v>24.313945959595955</v>
      </c>
      <c r="FC29" s="46">
        <v>24.256773684210529</v>
      </c>
      <c r="FD29" s="46">
        <v>24.843150000000001</v>
      </c>
      <c r="FE29" s="46">
        <v>24.077640000000006</v>
      </c>
      <c r="FF29" s="46">
        <v>24.254894736842104</v>
      </c>
      <c r="FG29" s="46">
        <v>24.487895454545455</v>
      </c>
      <c r="FH29" s="46">
        <v>24.857639999999996</v>
      </c>
      <c r="FI29" s="46">
        <v>24.605881313131317</v>
      </c>
      <c r="FJ29" s="46">
        <v>25.621095454545458</v>
      </c>
      <c r="FK29" s="46">
        <v>26.074574999999999</v>
      </c>
      <c r="FL29" s="46">
        <v>26.305627272727278</v>
      </c>
      <c r="FM29" s="46">
        <v>26.597980952380958</v>
      </c>
      <c r="FN29" s="46">
        <v>26.214199999999998</v>
      </c>
      <c r="FO29" s="46">
        <v>26.286304761904766</v>
      </c>
      <c r="FP29" s="46">
        <v>26.008818181818182</v>
      </c>
      <c r="FQ29" s="46">
        <v>26.249819047619049</v>
      </c>
      <c r="FR29" s="46">
        <v>26.479970588235293</v>
      </c>
      <c r="FS29" s="46">
        <v>25.576377272727271</v>
      </c>
      <c r="FT29" s="46">
        <v>25.387839999999997</v>
      </c>
      <c r="FU29" s="46">
        <v>24.873022727272726</v>
      </c>
      <c r="FV29" s="46">
        <v>25.745214285714287</v>
      </c>
      <c r="FW29" s="46">
        <v>25.863576190476195</v>
      </c>
      <c r="FX29" s="46">
        <v>25.013873913043479</v>
      </c>
      <c r="FY29" s="46">
        <v>24.782814285714284</v>
      </c>
      <c r="FZ29" s="46">
        <v>24.584971428571436</v>
      </c>
      <c r="GA29" s="46">
        <v>24.085895000000001</v>
      </c>
      <c r="GB29" s="46">
        <v>24.194345000000002</v>
      </c>
      <c r="GC29" s="46">
        <v>24.697649999999996</v>
      </c>
      <c r="GD29" s="46">
        <v>24.516558823529415</v>
      </c>
      <c r="GE29" s="46">
        <v>24.600561904761911</v>
      </c>
      <c r="GF29" s="46">
        <v>25.06101428571429</v>
      </c>
      <c r="GG29" s="46">
        <v>24.610900000000004</v>
      </c>
      <c r="GH29" s="46">
        <v>24.572314285714285</v>
      </c>
      <c r="GI29" s="46">
        <v>23.933599999999998</v>
      </c>
      <c r="GJ29" s="46">
        <v>23.519763636363642</v>
      </c>
      <c r="GK29" s="46">
        <v>23.174873684210528</v>
      </c>
      <c r="GL29" s="46">
        <v>23.068904347826084</v>
      </c>
      <c r="GM29" s="46">
        <v>23.953884999999996</v>
      </c>
      <c r="GN29" s="46">
        <v>24.004555000000003</v>
      </c>
      <c r="GO29" s="46">
        <v>23.776779999999995</v>
      </c>
      <c r="GP29" s="46">
        <v>23.960055555555556</v>
      </c>
      <c r="GQ29" s="46">
        <v>24.205956725146198</v>
      </c>
      <c r="GR29" s="46">
        <v>24.001149999999996</v>
      </c>
      <c r="GS29" s="46">
        <v>23.634527272727272</v>
      </c>
      <c r="GT29" s="46">
        <v>24.019836842105263</v>
      </c>
      <c r="GU29" s="46">
        <v>24.61151818181818</v>
      </c>
      <c r="GV29" s="46">
        <v>23.659563636363643</v>
      </c>
      <c r="GW29" s="46">
        <v>23.523405263157894</v>
      </c>
      <c r="GX29" s="46">
        <v>23.549182608695652</v>
      </c>
      <c r="GY29" s="46">
        <v>23.869326315789476</v>
      </c>
      <c r="GZ29" s="46">
        <v>24.560659999999995</v>
      </c>
      <c r="HA29" s="46">
        <v>24.677633333333336</v>
      </c>
      <c r="HB29" s="46">
        <v>24.311684210526316</v>
      </c>
      <c r="HC29" s="47">
        <v>23.697205</v>
      </c>
      <c r="HD29" s="46">
        <v>24.378986363636372</v>
      </c>
      <c r="HE29" s="46">
        <v>24.854155000000006</v>
      </c>
      <c r="HF29" s="47">
        <v>26.239413636363643</v>
      </c>
      <c r="HG29" s="46">
        <v>26.853852173913037</v>
      </c>
      <c r="HH29" s="46">
        <v>26.759190476190479</v>
      </c>
      <c r="HI29" s="46">
        <v>27.137299999999996</v>
      </c>
      <c r="HJ29" s="46">
        <v>27.025145454545452</v>
      </c>
      <c r="HK29" s="46">
        <v>28.009140000000002</v>
      </c>
      <c r="HL29" s="46">
        <v>28.661009090909086</v>
      </c>
      <c r="HM29" s="46">
        <v>28.994315789473681</v>
      </c>
      <c r="HN29" s="45">
        <v>29.430772222222224</v>
      </c>
      <c r="HO29" s="45">
        <v>29.260259999999999</v>
      </c>
      <c r="HP29" s="45">
        <v>29.409049999999997</v>
      </c>
      <c r="HQ29" s="45">
        <v>29.845354999999994</v>
      </c>
      <c r="HR29" s="45">
        <v>29.832790909090907</v>
      </c>
      <c r="HS29" s="45">
        <v>30.431868181818185</v>
      </c>
      <c r="HT29" s="45">
        <v>30.303954545454541</v>
      </c>
      <c r="HU29" s="45">
        <v>30.622127272727276</v>
      </c>
      <c r="HV29" s="45">
        <v>30.700514285714288</v>
      </c>
      <c r="HW29" s="45">
        <v>30.730989473684208</v>
      </c>
      <c r="HX29" s="45">
        <v>29.978660869565214</v>
      </c>
      <c r="HY29" s="45">
        <v>29.879673684210527</v>
      </c>
      <c r="HZ29" s="45">
        <v>29.690777777777782</v>
      </c>
      <c r="IA29" s="45">
        <v>30.845018181818183</v>
      </c>
      <c r="IB29" s="45">
        <v>30.004471428571428</v>
      </c>
      <c r="IC29" s="45">
        <v>28.223028571428564</v>
      </c>
      <c r="ID29" s="45">
        <v>28.764863636363636</v>
      </c>
      <c r="IE29" s="45">
        <v>28.558399999999999</v>
      </c>
      <c r="IF29" s="45">
        <v>28.747313636363639</v>
      </c>
      <c r="IG29" s="45">
        <v>27.018409523809527</v>
      </c>
      <c r="IH29" s="45">
        <v>25.835544999999996</v>
      </c>
      <c r="II29" s="45">
        <v>27.242961904761902</v>
      </c>
      <c r="IJ29" s="45">
        <v>28.430086363636359</v>
      </c>
      <c r="IK29" s="45">
        <v>28.943378947368412</v>
      </c>
      <c r="IL29" s="45">
        <v>29.428611111111113</v>
      </c>
      <c r="IM29" s="45">
        <v>29.542695454545466</v>
      </c>
      <c r="IN29" s="45">
        <v>28.686145</v>
      </c>
      <c r="IO29" s="45">
        <v>28.885640909090906</v>
      </c>
      <c r="IP29" s="45">
        <v>28.547772727272729</v>
      </c>
      <c r="IQ29" s="45">
        <v>29.0091761904762</v>
      </c>
      <c r="IR29" s="45">
        <v>27.836252173913042</v>
      </c>
      <c r="IS29" s="45">
        <v>27.296689999999991</v>
      </c>
    </row>
    <row r="30" spans="1:253" ht="21" customHeight="1" x14ac:dyDescent="0.3">
      <c r="A30" s="48" t="s">
        <v>17</v>
      </c>
      <c r="B30" s="46">
        <v>16.757999999999999</v>
      </c>
      <c r="C30" s="46">
        <v>16.849</v>
      </c>
      <c r="D30" s="46">
        <v>17.078181818181818</v>
      </c>
      <c r="E30" s="46">
        <v>17.166499999999999</v>
      </c>
      <c r="F30" s="46">
        <v>17.343478260869563</v>
      </c>
      <c r="G30" s="46">
        <v>17.231428571428573</v>
      </c>
      <c r="H30" s="46">
        <v>17.103999999999999</v>
      </c>
      <c r="I30" s="46">
        <v>16.911999999999999</v>
      </c>
      <c r="J30" s="46">
        <v>17.032</v>
      </c>
      <c r="K30" s="49">
        <v>17.073</v>
      </c>
      <c r="L30" s="49">
        <v>16.913</v>
      </c>
      <c r="M30" s="49">
        <v>16.271000000000001</v>
      </c>
      <c r="N30" s="49">
        <v>16.052</v>
      </c>
      <c r="O30" s="49">
        <v>15.747999999999999</v>
      </c>
      <c r="P30" s="49">
        <v>16.222999999999999</v>
      </c>
      <c r="Q30" s="49">
        <v>16.672000000000001</v>
      </c>
      <c r="R30" s="49">
        <v>17.152999999999999</v>
      </c>
      <c r="S30" s="49">
        <v>16.992000000000001</v>
      </c>
      <c r="T30" s="49">
        <v>17.003</v>
      </c>
      <c r="U30" s="46">
        <v>16.86</v>
      </c>
      <c r="V30" s="46">
        <v>16.742000000000001</v>
      </c>
      <c r="W30" s="46">
        <v>16.170999999999999</v>
      </c>
      <c r="X30" s="46">
        <v>15.781000000000001</v>
      </c>
      <c r="Y30" s="46">
        <v>15.609</v>
      </c>
      <c r="Z30" s="46">
        <v>15.728999999999999</v>
      </c>
      <c r="AA30" s="46">
        <v>16.440999999999999</v>
      </c>
      <c r="AB30" s="46">
        <v>16.666</v>
      </c>
      <c r="AC30" s="46">
        <v>16.776</v>
      </c>
      <c r="AD30" s="46">
        <v>16.826000000000001</v>
      </c>
      <c r="AE30" s="46">
        <v>16.875</v>
      </c>
      <c r="AF30" s="46">
        <v>17.148</v>
      </c>
      <c r="AG30" s="46">
        <v>17.349</v>
      </c>
      <c r="AH30" s="46">
        <v>17.59</v>
      </c>
      <c r="AI30" s="46">
        <v>17.577000000000002</v>
      </c>
      <c r="AJ30" s="46">
        <v>17.684999999999999</v>
      </c>
      <c r="AK30" s="46">
        <v>18.064</v>
      </c>
      <c r="AL30" s="46">
        <v>17.914999999999999</v>
      </c>
      <c r="AM30" s="46">
        <v>17.977</v>
      </c>
      <c r="AN30" s="46">
        <v>17.850000000000001</v>
      </c>
      <c r="AO30" s="46">
        <v>17.839500000000001</v>
      </c>
      <c r="AP30" s="46">
        <v>18.196999999999999</v>
      </c>
      <c r="AQ30" s="46">
        <v>18.1129</v>
      </c>
      <c r="AR30" s="46">
        <v>18.2514</v>
      </c>
      <c r="AS30" s="46">
        <v>18.247900000000001</v>
      </c>
      <c r="AT30" s="46">
        <v>18.5914</v>
      </c>
      <c r="AU30" s="46">
        <v>19.083300000000001</v>
      </c>
      <c r="AV30" s="46">
        <v>19.158000000000001</v>
      </c>
      <c r="AW30" s="46">
        <v>19.287700000000001</v>
      </c>
      <c r="AX30" s="46">
        <v>19.578499999999998</v>
      </c>
      <c r="AY30" s="46">
        <v>19.8873</v>
      </c>
      <c r="AZ30" s="46">
        <v>19.724499999999999</v>
      </c>
      <c r="BA30" s="46">
        <v>19.9786</v>
      </c>
      <c r="BB30" s="46">
        <v>20.5943</v>
      </c>
      <c r="BC30" s="46">
        <v>20.898599999999998</v>
      </c>
      <c r="BD30" s="46">
        <v>21.0367</v>
      </c>
      <c r="BE30" s="46">
        <v>21.553999999999998</v>
      </c>
      <c r="BF30" s="46">
        <v>21.919499999999999</v>
      </c>
      <c r="BG30" s="46">
        <v>22.117100000000001</v>
      </c>
      <c r="BH30" s="46">
        <v>22.1433</v>
      </c>
      <c r="BI30" s="46">
        <v>22.0395</v>
      </c>
      <c r="BJ30" s="46">
        <v>21.8886</v>
      </c>
      <c r="BK30" s="46">
        <v>21.153199999999998</v>
      </c>
      <c r="BL30" s="46">
        <v>21.01</v>
      </c>
      <c r="BM30" s="46">
        <v>21.225899999999999</v>
      </c>
      <c r="BN30" s="46">
        <v>20.894200000000001</v>
      </c>
      <c r="BO30" s="46">
        <v>21.465299999999999</v>
      </c>
      <c r="BP30" s="46">
        <v>21.276299999999999</v>
      </c>
      <c r="BQ30" s="46">
        <v>21.388999999999999</v>
      </c>
      <c r="BR30" s="46">
        <v>20.832899999999999</v>
      </c>
      <c r="BS30" s="46">
        <v>20.564599999999999</v>
      </c>
      <c r="BT30" s="46">
        <v>20.558299999999999</v>
      </c>
      <c r="BU30" s="46">
        <v>19.863900000000001</v>
      </c>
      <c r="BV30" s="46">
        <v>19.6126</v>
      </c>
      <c r="BW30" s="46">
        <v>20.411899999999999</v>
      </c>
      <c r="BX30" s="46">
        <v>20.4846</v>
      </c>
      <c r="BY30" s="46">
        <v>20.2439</v>
      </c>
      <c r="BZ30" s="46">
        <v>20.189399999999999</v>
      </c>
      <c r="CA30" s="46">
        <v>20.8127</v>
      </c>
      <c r="CB30" s="46">
        <v>21.0563</v>
      </c>
      <c r="CC30" s="46">
        <v>21.779499999999999</v>
      </c>
      <c r="CD30" s="46">
        <v>22.167999999999999</v>
      </c>
      <c r="CE30" s="46">
        <v>22.247699999999998</v>
      </c>
      <c r="CF30" s="46">
        <v>22.4574</v>
      </c>
      <c r="CG30" s="46">
        <v>22.666899999999998</v>
      </c>
      <c r="CH30" s="46">
        <v>22.898499999999999</v>
      </c>
      <c r="CI30" s="46">
        <v>23.215869999999999</v>
      </c>
      <c r="CJ30" s="46">
        <v>22.954350000000002</v>
      </c>
      <c r="CK30" s="46">
        <v>22.818152173913049</v>
      </c>
      <c r="CL30" s="46">
        <v>22.783004999999996</v>
      </c>
      <c r="CM30" s="46">
        <v>22.594742857142858</v>
      </c>
      <c r="CN30" s="46">
        <v>22.541172727272723</v>
      </c>
      <c r="CO30" s="46">
        <v>22.381464999999999</v>
      </c>
      <c r="CP30" s="46">
        <v>23.966999999999999</v>
      </c>
      <c r="CQ30" s="46">
        <v>23.347333854197903</v>
      </c>
      <c r="CR30" s="46">
        <v>23.213315276628052</v>
      </c>
      <c r="CS30" s="46">
        <v>23.588268337462242</v>
      </c>
      <c r="CT30" s="46">
        <v>23.53592334704534</v>
      </c>
      <c r="CU30" s="46">
        <v>23.854944206084522</v>
      </c>
      <c r="CV30" s="46">
        <v>24.07279162376156</v>
      </c>
      <c r="CW30" s="46">
        <v>24.189805222839485</v>
      </c>
      <c r="CX30" s="46">
        <v>23.893700864554116</v>
      </c>
      <c r="CY30" s="46">
        <v>23.566285037901615</v>
      </c>
      <c r="CZ30" s="46">
        <v>23.226114483969496</v>
      </c>
      <c r="DA30" s="46">
        <v>23.169147918580606</v>
      </c>
      <c r="DB30" s="46">
        <v>23.371055412151382</v>
      </c>
      <c r="DC30" s="46">
        <v>23.85356089154978</v>
      </c>
      <c r="DD30" s="46">
        <v>23.889470006024052</v>
      </c>
      <c r="DE30" s="46">
        <v>23.466031210343861</v>
      </c>
      <c r="DF30" s="46">
        <v>23.277916811514093</v>
      </c>
      <c r="DG30" s="46">
        <v>23.110842372836608</v>
      </c>
      <c r="DH30" s="46">
        <v>23.224538301593022</v>
      </c>
      <c r="DI30" s="46">
        <v>23.557940008873796</v>
      </c>
      <c r="DJ30" s="46">
        <v>23.797147204984149</v>
      </c>
      <c r="DK30" s="46">
        <v>23.699091445814247</v>
      </c>
      <c r="DL30" s="46">
        <v>23.850673088793659</v>
      </c>
      <c r="DM30" s="46">
        <v>23.930066896625945</v>
      </c>
      <c r="DN30" s="46">
        <v>24.308335586712388</v>
      </c>
      <c r="DO30" s="46">
        <v>25.203501901616331</v>
      </c>
      <c r="DP30" s="46">
        <v>25.252874906252195</v>
      </c>
      <c r="DQ30" s="46">
        <v>25.2243074770089</v>
      </c>
      <c r="DR30" s="46">
        <v>25.681510317583857</v>
      </c>
      <c r="DS30" s="46">
        <v>25.893608547441836</v>
      </c>
      <c r="DT30" s="46">
        <v>25.684079968573769</v>
      </c>
      <c r="DU30" s="46">
        <v>25.335873914899469</v>
      </c>
      <c r="DV30" s="46">
        <v>25.115911757682849</v>
      </c>
      <c r="DW30" s="46">
        <v>25.304183094046362</v>
      </c>
      <c r="DX30" s="46">
        <v>25.532959584218283</v>
      </c>
      <c r="DY30" s="46">
        <v>25.367698362767101</v>
      </c>
      <c r="DZ30" s="46">
        <v>25.016859038783956</v>
      </c>
      <c r="EA30" s="46">
        <v>24.968549189287593</v>
      </c>
      <c r="EB30" s="46">
        <v>24.698396054931024</v>
      </c>
      <c r="EC30" s="46">
        <v>24.90887339942083</v>
      </c>
      <c r="ED30" s="46">
        <v>24.928576586985162</v>
      </c>
      <c r="EE30" s="46">
        <v>24.953031571372041</v>
      </c>
      <c r="EF30" s="46">
        <v>24.534856272821891</v>
      </c>
      <c r="EG30" s="46">
        <v>24.265158111141186</v>
      </c>
      <c r="EH30" s="46">
        <v>24.373516629559834</v>
      </c>
      <c r="EI30" s="46">
        <v>24.231200710166863</v>
      </c>
      <c r="EJ30" s="46">
        <v>24.496897112015223</v>
      </c>
      <c r="EK30" s="46">
        <v>24.602893990283004</v>
      </c>
      <c r="EL30" s="46">
        <v>24.721537092905766</v>
      </c>
      <c r="EM30" s="46">
        <v>24.903398537069805</v>
      </c>
      <c r="EN30" s="46">
        <v>24.994709456647435</v>
      </c>
      <c r="EO30" s="46">
        <v>25.135233127606465</v>
      </c>
      <c r="EP30" s="46">
        <v>25.109662260849596</v>
      </c>
      <c r="EQ30" s="46">
        <v>24.780872916808583</v>
      </c>
      <c r="ER30" s="46">
        <v>24.489873706660816</v>
      </c>
      <c r="ES30" s="46">
        <v>24.617977440481173</v>
      </c>
      <c r="ET30" s="46">
        <v>24.839735387485323</v>
      </c>
      <c r="EU30" s="46">
        <v>26.278623872094165</v>
      </c>
      <c r="EV30" s="46">
        <v>27.338440909090913</v>
      </c>
      <c r="EW30" s="46">
        <v>26.858279080260683</v>
      </c>
      <c r="EX30" s="46">
        <v>26.727862662337667</v>
      </c>
      <c r="EY30" s="46">
        <v>26.650708337314867</v>
      </c>
      <c r="EZ30" s="46">
        <v>25.900880952380938</v>
      </c>
      <c r="FA30" s="46">
        <v>25.564565986394559</v>
      </c>
      <c r="FB30" s="46">
        <v>26.033160064935068</v>
      </c>
      <c r="FC30" s="46">
        <v>26.223342105263161</v>
      </c>
      <c r="FD30" s="46">
        <v>26.207677272727278</v>
      </c>
      <c r="FE30" s="46">
        <v>25.760129999999997</v>
      </c>
      <c r="FF30" s="46">
        <v>26.077794736842112</v>
      </c>
      <c r="FG30" s="46">
        <v>26.558777272727276</v>
      </c>
      <c r="FH30" s="46">
        <v>26.745614999999997</v>
      </c>
      <c r="FI30" s="46">
        <v>26.471290909090907</v>
      </c>
      <c r="FJ30" s="46">
        <v>26.973313636363638</v>
      </c>
      <c r="FK30" s="46">
        <v>27.146269999999998</v>
      </c>
      <c r="FL30" s="46">
        <v>27.059390909090908</v>
      </c>
      <c r="FM30" s="46">
        <v>26.823790476190478</v>
      </c>
      <c r="FN30" s="46">
        <v>26.523409523809523</v>
      </c>
      <c r="FO30" s="46">
        <v>26.120490476190472</v>
      </c>
      <c r="FP30" s="46">
        <v>25.787895454545449</v>
      </c>
      <c r="FQ30" s="46">
        <v>25.848395238095243</v>
      </c>
      <c r="FR30" s="46">
        <v>25.943735294117648</v>
      </c>
      <c r="FS30" s="46">
        <v>26.007822727272732</v>
      </c>
      <c r="FT30" s="46">
        <v>26.073185000000002</v>
      </c>
      <c r="FU30" s="46">
        <v>25.750749999999996</v>
      </c>
      <c r="FV30" s="46">
        <v>25.847038095238098</v>
      </c>
      <c r="FW30" s="46">
        <v>25.716714285714289</v>
      </c>
      <c r="FX30" s="46">
        <v>25.219852173913043</v>
      </c>
      <c r="FY30" s="46">
        <v>25.343523809523813</v>
      </c>
      <c r="FZ30" s="46">
        <v>25.636026373626372</v>
      </c>
      <c r="GA30" s="46">
        <v>25.807914999999998</v>
      </c>
      <c r="GB30" s="46">
        <v>25.813679999999998</v>
      </c>
      <c r="GC30" s="46">
        <v>25.76742777777778</v>
      </c>
      <c r="GD30" s="46">
        <v>25.448664705882358</v>
      </c>
      <c r="GE30" s="46">
        <v>25.808376190476185</v>
      </c>
      <c r="GF30" s="46">
        <v>26.26700952380952</v>
      </c>
      <c r="GG30" s="46">
        <v>26.430113636363636</v>
      </c>
      <c r="GH30" s="46">
        <v>26.236695238095237</v>
      </c>
      <c r="GI30" s="46">
        <v>25.832627272727276</v>
      </c>
      <c r="GJ30" s="46">
        <v>25.729827272727277</v>
      </c>
      <c r="GK30" s="46">
        <v>25.587857894736842</v>
      </c>
      <c r="GL30" s="46">
        <v>25.583630434782613</v>
      </c>
      <c r="GM30" s="46">
        <v>25.683910000000004</v>
      </c>
      <c r="GN30" s="46">
        <v>25.643149999999999</v>
      </c>
      <c r="GO30" s="46">
        <v>25.830470000000002</v>
      </c>
      <c r="GP30" s="46">
        <v>25.882266666666666</v>
      </c>
      <c r="GQ30" s="46">
        <v>26.15033201754386</v>
      </c>
      <c r="GR30" s="46">
        <v>26.314722727272727</v>
      </c>
      <c r="GS30" s="46">
        <v>26.257545454545451</v>
      </c>
      <c r="GT30" s="46">
        <v>26.693863157894736</v>
      </c>
      <c r="GU30" s="46">
        <v>27.016154545454548</v>
      </c>
      <c r="GV30" s="46">
        <v>26.533645454545454</v>
      </c>
      <c r="GW30" s="46">
        <v>26.845684210526315</v>
      </c>
      <c r="GX30" s="46">
        <v>27.086714130434782</v>
      </c>
      <c r="GY30" s="46">
        <v>27.353099999999994</v>
      </c>
      <c r="GZ30" s="46">
        <v>27.457869999999996</v>
      </c>
      <c r="HA30" s="46">
        <v>27.623647619047617</v>
      </c>
      <c r="HB30" s="46">
        <v>27.317347368421057</v>
      </c>
      <c r="HC30" s="47">
        <v>27.639085000000001</v>
      </c>
      <c r="HD30" s="46">
        <v>28.478668181818179</v>
      </c>
      <c r="HE30" s="46">
        <v>28.793009999999999</v>
      </c>
      <c r="HF30" s="47">
        <v>29.242554924242416</v>
      </c>
      <c r="HG30" s="46">
        <v>29.397534782608687</v>
      </c>
      <c r="HH30" s="46">
        <v>29.609195238095243</v>
      </c>
      <c r="HI30" s="46">
        <v>29.751777272727278</v>
      </c>
      <c r="HJ30" s="46">
        <v>29.93196363636363</v>
      </c>
      <c r="HK30" s="46">
        <v>30.250774999999997</v>
      </c>
      <c r="HL30" s="46">
        <v>30.320799999999998</v>
      </c>
      <c r="HM30" s="46">
        <v>30.379668421052632</v>
      </c>
      <c r="HN30" s="45">
        <v>30.56494444444445</v>
      </c>
      <c r="HO30" s="45">
        <v>30.536444999999997</v>
      </c>
      <c r="HP30" s="45">
        <v>30.917400000000004</v>
      </c>
      <c r="HQ30" s="45">
        <v>31.066275000000001</v>
      </c>
      <c r="HR30" s="45">
        <v>31.419595454545455</v>
      </c>
      <c r="HS30" s="45">
        <v>32.138795454545459</v>
      </c>
      <c r="HT30" s="45">
        <v>32.047236363636365</v>
      </c>
      <c r="HU30" s="45">
        <v>32.171286363636362</v>
      </c>
      <c r="HV30" s="45">
        <v>32.235100000000003</v>
      </c>
      <c r="HW30" s="45">
        <v>32.338794736842104</v>
      </c>
      <c r="HX30" s="45">
        <v>32.436682608695648</v>
      </c>
      <c r="HY30" s="45">
        <v>32.846326315789476</v>
      </c>
      <c r="HZ30" s="45">
        <v>33.035161111111108</v>
      </c>
      <c r="IA30" s="45">
        <v>33.10805454545455</v>
      </c>
      <c r="IB30" s="45">
        <v>32.435704761904766</v>
      </c>
      <c r="IC30" s="45">
        <v>31.85853333333333</v>
      </c>
      <c r="ID30" s="45">
        <v>32.676377272727272</v>
      </c>
      <c r="IE30" s="45">
        <v>33.024438095238096</v>
      </c>
      <c r="IF30" s="45">
        <v>33.202249999999999</v>
      </c>
      <c r="IG30" s="45">
        <v>32.268052380952383</v>
      </c>
      <c r="IH30" s="45">
        <v>31.857724999999999</v>
      </c>
      <c r="II30" s="45">
        <v>32.334185714285717</v>
      </c>
      <c r="IJ30" s="45">
        <v>33.108849999999997</v>
      </c>
      <c r="IK30" s="45">
        <v>34.098589473684207</v>
      </c>
      <c r="IL30" s="45">
        <v>35.07912222222221</v>
      </c>
      <c r="IM30" s="45">
        <v>35.448318181818188</v>
      </c>
      <c r="IN30" s="45">
        <v>34.614885000000001</v>
      </c>
      <c r="IO30" s="45">
        <v>34.618677272727268</v>
      </c>
      <c r="IP30" s="45">
        <v>34.521850000000001</v>
      </c>
      <c r="IQ30" s="45">
        <v>34.79757142857143</v>
      </c>
      <c r="IR30" s="45">
        <v>34.289226086956518</v>
      </c>
      <c r="IS30" s="45">
        <v>33.710999999999999</v>
      </c>
    </row>
    <row r="31" spans="1:253" ht="21" customHeight="1" x14ac:dyDescent="0.3">
      <c r="A31" s="48" t="s">
        <v>16</v>
      </c>
      <c r="B31" s="46">
        <v>2.6720000000000002</v>
      </c>
      <c r="C31" s="46">
        <v>2.702</v>
      </c>
      <c r="D31" s="46">
        <v>3.0422727272727275</v>
      </c>
      <c r="E31" s="46">
        <v>3.0305</v>
      </c>
      <c r="F31" s="46">
        <v>3.0239130434782608</v>
      </c>
      <c r="G31" s="46">
        <v>2.8757142857142859</v>
      </c>
      <c r="H31" s="46">
        <v>2.8624999999999998</v>
      </c>
      <c r="I31" s="46">
        <v>2.9369999999999998</v>
      </c>
      <c r="J31" s="46">
        <v>3.1240000000000001</v>
      </c>
      <c r="K31" s="49">
        <v>3.3494999999999999</v>
      </c>
      <c r="L31" s="49">
        <v>3.3849999999999998</v>
      </c>
      <c r="M31" s="49">
        <v>3.4329999999999998</v>
      </c>
      <c r="N31" s="46">
        <v>3.5055000000000001</v>
      </c>
      <c r="O31" s="46">
        <v>3.66</v>
      </c>
      <c r="P31" s="46">
        <v>3.7010000000000001</v>
      </c>
      <c r="Q31" s="46">
        <v>3.6739999999999999</v>
      </c>
      <c r="R31" s="46">
        <v>4.0049999999999999</v>
      </c>
      <c r="S31" s="46">
        <v>4.0469999999999997</v>
      </c>
      <c r="T31" s="46">
        <v>4.0629999999999997</v>
      </c>
      <c r="U31" s="46">
        <v>4.2080000000000002</v>
      </c>
      <c r="V31" s="46">
        <v>4.306</v>
      </c>
      <c r="W31" s="46">
        <v>4.2640000000000002</v>
      </c>
      <c r="X31" s="46">
        <v>3.8959999999999999</v>
      </c>
      <c r="Y31" s="46">
        <v>3.915</v>
      </c>
      <c r="Z31" s="46">
        <v>4.0659999999999998</v>
      </c>
      <c r="AA31" s="46">
        <v>4.2729999999999997</v>
      </c>
      <c r="AB31" s="46">
        <v>4.2290000000000001</v>
      </c>
      <c r="AC31" s="46">
        <v>4.5</v>
      </c>
      <c r="AD31" s="46">
        <v>4.7439999999999998</v>
      </c>
      <c r="AE31" s="46">
        <v>4.5369999999999999</v>
      </c>
      <c r="AF31" s="46">
        <v>4.4969999999999999</v>
      </c>
      <c r="AG31" s="46">
        <v>4.6037999999999997</v>
      </c>
      <c r="AH31" s="46">
        <v>4.8570000000000002</v>
      </c>
      <c r="AI31" s="46">
        <v>5.0869999999999997</v>
      </c>
      <c r="AJ31" s="46">
        <v>4.899</v>
      </c>
      <c r="AK31" s="46">
        <v>4.931</v>
      </c>
      <c r="AL31" s="46">
        <v>4.8499999999999996</v>
      </c>
      <c r="AM31" s="46">
        <v>4.7480000000000002</v>
      </c>
      <c r="AN31" s="46">
        <v>4.4618000000000002</v>
      </c>
      <c r="AO31" s="46">
        <v>4.5190000000000001</v>
      </c>
      <c r="AP31" s="46">
        <v>4.7126000000000001</v>
      </c>
      <c r="AQ31" s="46">
        <v>4.8304999999999998</v>
      </c>
      <c r="AR31" s="46">
        <v>4.7476000000000003</v>
      </c>
      <c r="AS31" s="46">
        <v>4.7031999999999998</v>
      </c>
      <c r="AT31" s="46">
        <v>4.9432</v>
      </c>
      <c r="AU31" s="46">
        <v>5.1862000000000004</v>
      </c>
      <c r="AV31" s="46">
        <v>5.1719999999999997</v>
      </c>
      <c r="AW31" s="46">
        <v>5.0731999999999999</v>
      </c>
      <c r="AX31" s="46">
        <v>5.21</v>
      </c>
      <c r="AY31" s="46">
        <v>5.0294999999999996</v>
      </c>
      <c r="AZ31" s="46">
        <v>4.5781999999999998</v>
      </c>
      <c r="BA31" s="46">
        <v>4.5313999999999997</v>
      </c>
      <c r="BB31" s="46">
        <v>4.7542999999999997</v>
      </c>
      <c r="BC31" s="46">
        <v>4.54</v>
      </c>
      <c r="BD31" s="46">
        <v>4.4432999999999998</v>
      </c>
      <c r="BE31" s="46">
        <v>4.7389999999999999</v>
      </c>
      <c r="BF31" s="46">
        <v>4.9080000000000004</v>
      </c>
      <c r="BG31" s="46">
        <v>4.8367000000000004</v>
      </c>
      <c r="BH31" s="46">
        <v>4.8316999999999997</v>
      </c>
      <c r="BI31" s="46">
        <v>4.6425000000000001</v>
      </c>
      <c r="BJ31" s="46">
        <v>4.7004999999999999</v>
      </c>
      <c r="BK31" s="46">
        <v>4.6285999999999996</v>
      </c>
      <c r="BL31" s="46">
        <v>4.5510000000000002</v>
      </c>
      <c r="BM31" s="46">
        <v>4.6664000000000003</v>
      </c>
      <c r="BN31" s="46">
        <v>4.4466999999999999</v>
      </c>
      <c r="BO31" s="46">
        <v>4.5033000000000003</v>
      </c>
      <c r="BP31" s="46">
        <v>4.6576000000000004</v>
      </c>
      <c r="BQ31" s="46">
        <v>4.6500000000000004</v>
      </c>
      <c r="BR31" s="46">
        <v>4.4543999999999997</v>
      </c>
      <c r="BS31" s="46">
        <v>4.2629000000000001</v>
      </c>
      <c r="BT31" s="46">
        <v>3.8361999999999998</v>
      </c>
      <c r="BU31" s="46">
        <v>3.4605999999999999</v>
      </c>
      <c r="BV31" s="46">
        <v>3.4661</v>
      </c>
      <c r="BW31" s="46">
        <v>3.6922000000000001</v>
      </c>
      <c r="BX31" s="46">
        <v>3.5630999999999999</v>
      </c>
      <c r="BY31" s="46">
        <v>3.6261999999999999</v>
      </c>
      <c r="BZ31" s="46">
        <v>3.7364999999999999</v>
      </c>
      <c r="CA31" s="46">
        <v>3.7227999999999999</v>
      </c>
      <c r="CB31" s="46">
        <v>3.2473000000000001</v>
      </c>
      <c r="CC31" s="46">
        <v>3.2812999999999999</v>
      </c>
      <c r="CD31" s="46">
        <v>3.3353000000000002</v>
      </c>
      <c r="CE31" s="46">
        <v>3.3984000000000001</v>
      </c>
      <c r="CF31" s="46">
        <v>3.4552999999999998</v>
      </c>
      <c r="CG31" s="46">
        <v>3.5225</v>
      </c>
      <c r="CH31" s="46">
        <v>3.8546999999999998</v>
      </c>
      <c r="CI31" s="46">
        <v>4.0790649999999999</v>
      </c>
      <c r="CJ31" s="46">
        <v>4.1658772727272737</v>
      </c>
      <c r="CK31" s="46">
        <v>4.1837086956521743</v>
      </c>
      <c r="CL31" s="46">
        <v>4.1656550000000001</v>
      </c>
      <c r="CM31" s="46">
        <v>4.30397619047619</v>
      </c>
      <c r="CN31" s="46">
        <v>4.2520727272727266</v>
      </c>
      <c r="CO31" s="46">
        <v>4.1721850000000007</v>
      </c>
      <c r="CP31" s="46">
        <v>4.3959999999999999</v>
      </c>
      <c r="CQ31" s="46">
        <v>4.2772433017535469</v>
      </c>
      <c r="CR31" s="46">
        <v>4.3295198587026569</v>
      </c>
      <c r="CS31" s="46">
        <v>4.4357190662529149</v>
      </c>
      <c r="CT31" s="46">
        <v>4.4624094718396288</v>
      </c>
      <c r="CU31" s="46">
        <v>4.4655108426880306</v>
      </c>
      <c r="CV31" s="46">
        <v>4.6267038636392366</v>
      </c>
      <c r="CW31" s="46">
        <v>4.5356470210893081</v>
      </c>
      <c r="CX31" s="46">
        <v>4.2620224636081163</v>
      </c>
      <c r="CY31" s="46">
        <v>4.3386433542192933</v>
      </c>
      <c r="CZ31" s="46">
        <v>4.3238891020413135</v>
      </c>
      <c r="DA31" s="46">
        <v>4.208836395000211</v>
      </c>
      <c r="DB31" s="46">
        <v>4.2697037917046785</v>
      </c>
      <c r="DC31" s="46">
        <v>4.300147130799755</v>
      </c>
      <c r="DD31" s="46">
        <v>4.1081725569487864</v>
      </c>
      <c r="DE31" s="46">
        <v>3.909848208732813</v>
      </c>
      <c r="DF31" s="46">
        <v>3.7625954346183024</v>
      </c>
      <c r="DG31" s="46">
        <v>3.6827117070059883</v>
      </c>
      <c r="DH31" s="46">
        <v>3.6979842359907096</v>
      </c>
      <c r="DI31" s="46">
        <v>3.7828404874052901</v>
      </c>
      <c r="DJ31" s="46">
        <v>3.9191637932017236</v>
      </c>
      <c r="DK31" s="46">
        <v>3.9514543026214488</v>
      </c>
      <c r="DL31" s="46">
        <v>3.8359853005092184</v>
      </c>
      <c r="DM31" s="46">
        <v>3.7274638806544615</v>
      </c>
      <c r="DN31" s="46">
        <v>3.7306375348746883</v>
      </c>
      <c r="DO31" s="46">
        <v>3.8802480426309258</v>
      </c>
      <c r="DP31" s="46">
        <v>3.8329099385933123</v>
      </c>
      <c r="DQ31" s="46">
        <v>3.7804619281712579</v>
      </c>
      <c r="DR31" s="46">
        <v>3.6630073893087989</v>
      </c>
      <c r="DS31" s="46">
        <v>3.6192437040455188</v>
      </c>
      <c r="DT31" s="46">
        <v>3.6527415832442087</v>
      </c>
      <c r="DU31" s="46">
        <v>3.5576262187028851</v>
      </c>
      <c r="DV31" s="46">
        <v>3.5266240813225913</v>
      </c>
      <c r="DW31" s="46">
        <v>3.4548237904409915</v>
      </c>
      <c r="DX31" s="46">
        <v>3.492511961893848</v>
      </c>
      <c r="DY31" s="46">
        <v>3.4153373573757264</v>
      </c>
      <c r="DZ31" s="46">
        <v>3.1550674573292907</v>
      </c>
      <c r="EA31" s="46">
        <v>3.2093342079043912</v>
      </c>
      <c r="EB31" s="46">
        <v>3.1358030997531885</v>
      </c>
      <c r="EC31" s="46">
        <v>3.1677634558290126</v>
      </c>
      <c r="ED31" s="46">
        <v>3.1473238687509282</v>
      </c>
      <c r="EE31" s="46">
        <v>3.0695100067739309</v>
      </c>
      <c r="EF31" s="46">
        <v>2.9986284940067907</v>
      </c>
      <c r="EG31" s="46">
        <v>2.8665131912974284</v>
      </c>
      <c r="EH31" s="46">
        <v>2.8307984638668495</v>
      </c>
      <c r="EI31" s="46">
        <v>2.8703791531057448</v>
      </c>
      <c r="EJ31" s="46">
        <v>2.93147652163253</v>
      </c>
      <c r="EK31" s="46">
        <v>2.9753364948827432</v>
      </c>
      <c r="EL31" s="46">
        <v>2.9062170832109917</v>
      </c>
      <c r="EM31" s="46">
        <v>2.9112595055048947</v>
      </c>
      <c r="EN31" s="46">
        <v>2.9311100105401997</v>
      </c>
      <c r="EO31" s="46">
        <v>2.9045200843882699</v>
      </c>
      <c r="EP31" s="46">
        <v>2.8964409801106323</v>
      </c>
      <c r="EQ31" s="46">
        <v>2.9019397114231102</v>
      </c>
      <c r="ER31" s="46">
        <v>2.8145403504306978</v>
      </c>
      <c r="ES31" s="46">
        <v>2.8557139524186517</v>
      </c>
      <c r="ET31" s="46">
        <v>2.9126323564897816</v>
      </c>
      <c r="EU31" s="46">
        <v>3.0087663574384909</v>
      </c>
      <c r="EV31" s="46">
        <v>3.0824818181818183</v>
      </c>
      <c r="EW31" s="46">
        <v>3.0012321128754431</v>
      </c>
      <c r="EX31" s="46">
        <v>2.9307087662337667</v>
      </c>
      <c r="EY31" s="46">
        <v>2.9220071428571432</v>
      </c>
      <c r="EZ31" s="46">
        <v>2.8136608843537418</v>
      </c>
      <c r="FA31" s="46">
        <v>2.6584085034047624</v>
      </c>
      <c r="FB31" s="46">
        <v>2.7106951298733764</v>
      </c>
      <c r="FC31" s="46">
        <v>2.6328842105263157</v>
      </c>
      <c r="FD31" s="46">
        <v>2.4793863636363636</v>
      </c>
      <c r="FE31" s="46">
        <v>2.264475</v>
      </c>
      <c r="FF31" s="46">
        <v>2.3340052631578949</v>
      </c>
      <c r="FG31" s="46">
        <v>2.3751818181818183</v>
      </c>
      <c r="FH31" s="46">
        <v>2.4814949999999998</v>
      </c>
      <c r="FI31" s="46">
        <v>2.3804776223776218</v>
      </c>
      <c r="FJ31" s="46">
        <v>2.4236181818181817</v>
      </c>
      <c r="FK31" s="46">
        <v>2.5465299999999997</v>
      </c>
      <c r="FL31" s="46">
        <v>2.6517499999999994</v>
      </c>
      <c r="FM31" s="46">
        <v>2.6006285714285715</v>
      </c>
      <c r="FN31" s="46">
        <v>2.6369666666666669</v>
      </c>
      <c r="FO31" s="46">
        <v>2.6483047619047624</v>
      </c>
      <c r="FP31" s="46">
        <v>2.6747590909090913</v>
      </c>
      <c r="FQ31" s="46">
        <v>2.7276380952380954</v>
      </c>
      <c r="FR31" s="46">
        <v>2.7891411764705882</v>
      </c>
      <c r="FS31" s="46">
        <v>2.8311590909090905</v>
      </c>
      <c r="FT31" s="46">
        <v>2.7107350000000006</v>
      </c>
      <c r="FU31" s="46">
        <v>2.7069636363636365</v>
      </c>
      <c r="FV31" s="46">
        <v>2.7742904761904761</v>
      </c>
      <c r="FW31" s="46">
        <v>2.687095238095238</v>
      </c>
      <c r="FX31" s="46">
        <v>2.5923434782608692</v>
      </c>
      <c r="FY31" s="46">
        <v>2.60612380952381</v>
      </c>
      <c r="FZ31" s="46">
        <v>2.5504769230769235</v>
      </c>
      <c r="GA31" s="46">
        <v>2.4864850000000001</v>
      </c>
      <c r="GB31" s="46">
        <v>2.6445150000000002</v>
      </c>
      <c r="GC31" s="46">
        <v>2.7929222222222219</v>
      </c>
      <c r="GD31" s="46">
        <v>2.8419941176470584</v>
      </c>
      <c r="GE31" s="46">
        <v>2.8692380952380958</v>
      </c>
      <c r="GF31" s="46">
        <v>2.8678047619047624</v>
      </c>
      <c r="GG31" s="46">
        <v>2.8302181818181817</v>
      </c>
      <c r="GH31" s="46">
        <v>2.6676523809523811</v>
      </c>
      <c r="GI31" s="46">
        <v>2.6327545454545462</v>
      </c>
      <c r="GJ31" s="46">
        <v>2.5166863636363641</v>
      </c>
      <c r="GK31" s="46">
        <v>2.3832842105263161</v>
      </c>
      <c r="GL31" s="46">
        <v>2.4448478260869564</v>
      </c>
      <c r="GM31" s="46">
        <v>2.5180750000000005</v>
      </c>
      <c r="GN31" s="46">
        <v>2.4843249999999997</v>
      </c>
      <c r="GO31" s="46">
        <v>2.5463150000000008</v>
      </c>
      <c r="GP31" s="46">
        <v>2.5472333333333328</v>
      </c>
      <c r="GQ31" s="46">
        <v>2.4763842105263159</v>
      </c>
      <c r="GR31" s="46">
        <v>2.5364318181818177</v>
      </c>
      <c r="GS31" s="46">
        <v>2.5111136363636373</v>
      </c>
      <c r="GT31" s="46">
        <v>2.5100578947368417</v>
      </c>
      <c r="GU31" s="46">
        <v>2.6360000000000001</v>
      </c>
      <c r="GV31" s="46">
        <v>2.4433636363636362</v>
      </c>
      <c r="GW31" s="46">
        <v>2.5120105263157897</v>
      </c>
      <c r="GX31" s="46">
        <v>2.5066351170568559</v>
      </c>
      <c r="GY31" s="46">
        <v>2.5349789473684212</v>
      </c>
      <c r="GZ31" s="46">
        <v>2.60297</v>
      </c>
      <c r="HA31" s="46">
        <v>2.6129238095238092</v>
      </c>
      <c r="HB31" s="46">
        <v>2.5502789473684211</v>
      </c>
      <c r="HC31" s="47">
        <v>2.379775</v>
      </c>
      <c r="HD31" s="46">
        <v>2.2049000000000003</v>
      </c>
      <c r="HE31" s="46">
        <v>2.2698449999999997</v>
      </c>
      <c r="HF31" s="47">
        <v>2.4010198051948062</v>
      </c>
      <c r="HG31" s="46">
        <v>2.4553217391304352</v>
      </c>
      <c r="HH31" s="46">
        <v>2.3743142857142856</v>
      </c>
      <c r="HI31" s="46">
        <v>2.4507772727272732</v>
      </c>
      <c r="HJ31" s="46">
        <v>2.4929318181818183</v>
      </c>
      <c r="HK31" s="46">
        <v>2.6470400000000001</v>
      </c>
      <c r="HL31" s="46">
        <v>2.7326000000000001</v>
      </c>
      <c r="HM31" s="46">
        <v>2.6868736842105263</v>
      </c>
      <c r="HN31" s="45">
        <v>2.7742833333333321</v>
      </c>
      <c r="HO31" s="45">
        <v>2.7590700000000004</v>
      </c>
      <c r="HP31" s="45">
        <v>2.8868750000000007</v>
      </c>
      <c r="HQ31" s="45">
        <v>2.9620100000000003</v>
      </c>
      <c r="HR31" s="45">
        <v>3.042981818181818</v>
      </c>
      <c r="HS31" s="45">
        <v>3.0299590909090908</v>
      </c>
      <c r="HT31" s="45">
        <v>2.975077272727273</v>
      </c>
      <c r="HU31" s="45">
        <v>3.0153272727272733</v>
      </c>
      <c r="HV31" s="45">
        <v>2.9664333333333333</v>
      </c>
      <c r="HW31" s="45">
        <v>2.8596631578947367</v>
      </c>
      <c r="HX31" s="45">
        <v>2.8173304347826083</v>
      </c>
      <c r="HY31" s="45">
        <v>2.8935263157894737</v>
      </c>
      <c r="HZ31" s="45">
        <v>2.9506166666666673</v>
      </c>
      <c r="IA31" s="45">
        <v>3.0333499999999991</v>
      </c>
      <c r="IB31" s="45">
        <v>2.9882857142857144</v>
      </c>
      <c r="IC31" s="45">
        <v>2.8054809523809525</v>
      </c>
      <c r="ID31" s="45">
        <v>2.8940499999999996</v>
      </c>
      <c r="IE31" s="45">
        <v>2.7835761904761904</v>
      </c>
      <c r="IF31" s="45">
        <v>2.7973863636363636</v>
      </c>
      <c r="IG31" s="45">
        <v>2.6391190476190483</v>
      </c>
      <c r="IH31" s="45">
        <v>2.5456349999999999</v>
      </c>
      <c r="II31" s="45">
        <v>2.6033095238095236</v>
      </c>
      <c r="IJ31" s="45">
        <v>2.6259999999999999</v>
      </c>
      <c r="IK31" s="45">
        <v>2.680821052631579</v>
      </c>
      <c r="IL31" s="45">
        <v>2.6467166666666668</v>
      </c>
      <c r="IM31" s="45">
        <v>2.6445863636363636</v>
      </c>
      <c r="IN31" s="45">
        <v>2.5778500000000006</v>
      </c>
      <c r="IO31" s="45">
        <v>2.476604545454546</v>
      </c>
      <c r="IP31" s="45">
        <v>2.5169636363636365</v>
      </c>
      <c r="IQ31" s="45">
        <v>2.5924142857142862</v>
      </c>
      <c r="IR31" s="45">
        <v>2.5091173913043483</v>
      </c>
      <c r="IS31" s="45">
        <v>2.4594949999999995</v>
      </c>
    </row>
    <row r="32" spans="1:253" ht="21" customHeight="1" x14ac:dyDescent="0.3">
      <c r="A32" s="48" t="s">
        <v>15</v>
      </c>
      <c r="B32" s="46">
        <v>18.302</v>
      </c>
      <c r="C32" s="46">
        <v>17.972999999999999</v>
      </c>
      <c r="D32" s="46">
        <v>19.152272727272727</v>
      </c>
      <c r="E32" s="46">
        <v>19.6465</v>
      </c>
      <c r="F32" s="46">
        <v>20.420000000000002</v>
      </c>
      <c r="G32" s="46">
        <v>20.020476190476192</v>
      </c>
      <c r="H32" s="46">
        <v>20.015999999999998</v>
      </c>
      <c r="I32" s="46">
        <v>20.027000000000001</v>
      </c>
      <c r="J32" s="46">
        <v>20.305</v>
      </c>
      <c r="K32" s="49">
        <v>20.577999999999999</v>
      </c>
      <c r="L32" s="49">
        <v>21.103000000000002</v>
      </c>
      <c r="M32" s="49">
        <v>20.626000000000001</v>
      </c>
      <c r="N32" s="49">
        <v>20.436</v>
      </c>
      <c r="O32" s="46">
        <v>20.059999999999999</v>
      </c>
      <c r="P32" s="46">
        <v>21.216000000000001</v>
      </c>
      <c r="Q32" s="46">
        <v>21.661999999999999</v>
      </c>
      <c r="R32" s="46">
        <v>21.852</v>
      </c>
      <c r="S32" s="46">
        <v>21.306000000000001</v>
      </c>
      <c r="T32" s="46">
        <v>21.279</v>
      </c>
      <c r="U32" s="46">
        <v>21.818999999999999</v>
      </c>
      <c r="V32" s="46">
        <v>21.428000000000001</v>
      </c>
      <c r="W32" s="46">
        <v>21.501000000000001</v>
      </c>
      <c r="X32" s="46">
        <v>21.24</v>
      </c>
      <c r="Y32" s="46">
        <v>20.849</v>
      </c>
      <c r="Z32" s="46">
        <v>20.655999999999999</v>
      </c>
      <c r="AA32" s="46">
        <v>21.132999999999999</v>
      </c>
      <c r="AB32" s="46">
        <v>21.975999999999999</v>
      </c>
      <c r="AC32" s="46">
        <v>22.724</v>
      </c>
      <c r="AD32" s="46">
        <v>22.913</v>
      </c>
      <c r="AE32" s="46">
        <v>22.687000000000001</v>
      </c>
      <c r="AF32" s="46">
        <v>22.805</v>
      </c>
      <c r="AG32" s="46">
        <v>23.326000000000001</v>
      </c>
      <c r="AH32" s="46">
        <v>24.552</v>
      </c>
      <c r="AI32" s="46">
        <v>24.945</v>
      </c>
      <c r="AJ32" s="46">
        <v>24.318999999999999</v>
      </c>
      <c r="AK32" s="46">
        <v>24.84</v>
      </c>
      <c r="AL32" s="46">
        <v>24.512</v>
      </c>
      <c r="AM32" s="46">
        <v>24.161000000000001</v>
      </c>
      <c r="AN32" s="46">
        <v>23.3691</v>
      </c>
      <c r="AO32" s="46">
        <v>22.993300000000001</v>
      </c>
      <c r="AP32" s="46">
        <v>23.687000000000001</v>
      </c>
      <c r="AQ32" s="46">
        <v>23.834299999999999</v>
      </c>
      <c r="AR32" s="46">
        <v>23.723800000000001</v>
      </c>
      <c r="AS32" s="46">
        <v>23.371600000000001</v>
      </c>
      <c r="AT32" s="46">
        <v>23.5977</v>
      </c>
      <c r="AU32" s="46">
        <v>24.1252</v>
      </c>
      <c r="AV32" s="46">
        <v>23.677</v>
      </c>
      <c r="AW32" s="46">
        <v>23.735499999999998</v>
      </c>
      <c r="AX32" s="46">
        <v>24.166</v>
      </c>
      <c r="AY32" s="46">
        <v>25.488199999999999</v>
      </c>
      <c r="AZ32" s="46">
        <v>25.234999999999999</v>
      </c>
      <c r="BA32" s="46">
        <v>25.367100000000001</v>
      </c>
      <c r="BB32" s="46">
        <v>26.208100000000002</v>
      </c>
      <c r="BC32" s="46">
        <v>26.445699999999999</v>
      </c>
      <c r="BD32" s="46">
        <v>26.268999999999998</v>
      </c>
      <c r="BE32" s="46">
        <v>27.004000000000001</v>
      </c>
      <c r="BF32" s="46">
        <v>27.774000000000001</v>
      </c>
      <c r="BG32" s="46">
        <v>27.1538</v>
      </c>
      <c r="BH32" s="46">
        <v>27.171099999999999</v>
      </c>
      <c r="BI32" s="46">
        <v>27.3325</v>
      </c>
      <c r="BJ32" s="46">
        <v>27.041899999999998</v>
      </c>
      <c r="BK32" s="46">
        <v>26.09</v>
      </c>
      <c r="BL32" s="46">
        <v>25.984000000000002</v>
      </c>
      <c r="BM32" s="46">
        <v>26.453199999999999</v>
      </c>
      <c r="BN32" s="46">
        <v>26.263100000000001</v>
      </c>
      <c r="BO32" s="46">
        <v>26.5534</v>
      </c>
      <c r="BP32" s="46">
        <v>26.389800000000001</v>
      </c>
      <c r="BQ32" s="46">
        <v>27.465</v>
      </c>
      <c r="BR32" s="46">
        <v>26.335699999999999</v>
      </c>
      <c r="BS32" s="46">
        <v>26.551400000000001</v>
      </c>
      <c r="BT32" s="46">
        <v>26.3902</v>
      </c>
      <c r="BU32" s="46">
        <v>27.081</v>
      </c>
      <c r="BV32" s="46">
        <v>26.2255</v>
      </c>
      <c r="BW32" s="46">
        <v>26.531300000000002</v>
      </c>
      <c r="BX32" s="46">
        <v>26.857700000000001</v>
      </c>
      <c r="BY32" s="46">
        <v>26.646899999999999</v>
      </c>
      <c r="BZ32" s="46">
        <v>26.029499999999999</v>
      </c>
      <c r="CA32" s="46">
        <v>26.732299999999999</v>
      </c>
      <c r="CB32" s="46">
        <v>27.132200000000001</v>
      </c>
      <c r="CC32" s="46">
        <v>27.476199999999999</v>
      </c>
      <c r="CD32" s="46">
        <v>28.6631</v>
      </c>
      <c r="CE32" s="46">
        <v>29.387</v>
      </c>
      <c r="CF32" s="46">
        <v>28.995799999999999</v>
      </c>
      <c r="CG32" s="46">
        <v>29.960799999999999</v>
      </c>
      <c r="CH32" s="46">
        <v>29.9358</v>
      </c>
      <c r="CI32" s="46">
        <v>30.529914999999999</v>
      </c>
      <c r="CJ32" s="46">
        <v>30.758495454545457</v>
      </c>
      <c r="CK32" s="46">
        <v>30.491508695652168</v>
      </c>
      <c r="CL32" s="46">
        <v>30.580559999999998</v>
      </c>
      <c r="CM32" s="46">
        <v>30.739638095238092</v>
      </c>
      <c r="CN32" s="46">
        <v>30.574972727272733</v>
      </c>
      <c r="CO32" s="46">
        <v>30.526254999999999</v>
      </c>
      <c r="CP32" s="46">
        <v>29.404</v>
      </c>
      <c r="CQ32" s="46">
        <v>30.367096466572946</v>
      </c>
      <c r="CR32" s="46">
        <v>30.101642702534516</v>
      </c>
      <c r="CS32" s="46">
        <v>31.318911415157316</v>
      </c>
      <c r="CT32" s="46">
        <v>31.560772432947495</v>
      </c>
      <c r="CU32" s="46">
        <v>31.333431707080347</v>
      </c>
      <c r="CV32" s="46">
        <v>32.34166974693634</v>
      </c>
      <c r="CW32" s="46">
        <v>32.424401345729812</v>
      </c>
      <c r="CX32" s="46">
        <v>31.98539608510147</v>
      </c>
      <c r="CY32" s="46">
        <v>32.540519347357375</v>
      </c>
      <c r="CZ32" s="46">
        <v>32.143370290013429</v>
      </c>
      <c r="DA32" s="46">
        <v>32.687098743326437</v>
      </c>
      <c r="DB32" s="46">
        <v>34.164880077421074</v>
      </c>
      <c r="DC32" s="46">
        <v>35.073493335868726</v>
      </c>
      <c r="DD32" s="46">
        <v>36.938373618955467</v>
      </c>
      <c r="DE32" s="46">
        <v>33.522896861722046</v>
      </c>
      <c r="DF32" s="46">
        <v>32.940132570404089</v>
      </c>
      <c r="DG32" s="46">
        <v>32.631981889323313</v>
      </c>
      <c r="DH32" s="46">
        <v>32.12002594736542</v>
      </c>
      <c r="DI32" s="46">
        <v>32.008933689835402</v>
      </c>
      <c r="DJ32" s="46">
        <v>32.584446394653597</v>
      </c>
      <c r="DK32" s="46">
        <v>32.544198005631692</v>
      </c>
      <c r="DL32" s="46">
        <v>32.547496948851574</v>
      </c>
      <c r="DM32" s="46">
        <v>32.045384894727938</v>
      </c>
      <c r="DN32" s="46">
        <v>32.326526565066331</v>
      </c>
      <c r="DO32" s="46">
        <v>32.446190471738937</v>
      </c>
      <c r="DP32" s="46">
        <v>32.349890677758879</v>
      </c>
      <c r="DQ32" s="46">
        <v>32.921402274366635</v>
      </c>
      <c r="DR32" s="46">
        <v>33.56317891110902</v>
      </c>
      <c r="DS32" s="46">
        <v>33.620944286596142</v>
      </c>
      <c r="DT32" s="46">
        <v>33.87942714991911</v>
      </c>
      <c r="DU32" s="46">
        <v>33.482000641837146</v>
      </c>
      <c r="DV32" s="46">
        <v>33.644336495333903</v>
      </c>
      <c r="DW32" s="46">
        <v>33.202552792325392</v>
      </c>
      <c r="DX32" s="46">
        <v>33.58852054607091</v>
      </c>
      <c r="DY32" s="46">
        <v>32.98489892011316</v>
      </c>
      <c r="DZ32" s="46">
        <v>33.622921813261094</v>
      </c>
      <c r="EA32" s="46">
        <v>33.365411879552788</v>
      </c>
      <c r="EB32" s="46">
        <v>33.794220401829655</v>
      </c>
      <c r="EC32" s="46">
        <v>33.872531969098993</v>
      </c>
      <c r="ED32" s="46">
        <v>34.177164998813303</v>
      </c>
      <c r="EE32" s="46">
        <v>33.914881686720776</v>
      </c>
      <c r="EF32" s="46">
        <v>34.384516562301435</v>
      </c>
      <c r="EG32" s="46">
        <v>34.002848663691381</v>
      </c>
      <c r="EH32" s="46">
        <v>34.358601326841324</v>
      </c>
      <c r="EI32" s="46">
        <v>34.728895806029115</v>
      </c>
      <c r="EJ32" s="46">
        <v>34.662762353722385</v>
      </c>
      <c r="EK32" s="46">
        <v>34.512673559385981</v>
      </c>
      <c r="EL32" s="46">
        <v>34.360934230235934</v>
      </c>
      <c r="EM32" s="46">
        <v>34.364150449734439</v>
      </c>
      <c r="EN32" s="46">
        <v>34.129278026217939</v>
      </c>
      <c r="EO32" s="46">
        <v>33.805663946657901</v>
      </c>
      <c r="EP32" s="46">
        <v>33.462757747549617</v>
      </c>
      <c r="EQ32" s="46">
        <v>33.179074007052591</v>
      </c>
      <c r="ER32" s="46">
        <v>32.876832149493666</v>
      </c>
      <c r="ES32" s="46">
        <v>34.966779077059201</v>
      </c>
      <c r="ET32" s="46">
        <v>35.868983344404981</v>
      </c>
      <c r="EU32" s="46">
        <v>36.824011099038096</v>
      </c>
      <c r="EV32" s="46">
        <v>38.23150718956628</v>
      </c>
      <c r="EW32" s="46">
        <v>38.329209954325414</v>
      </c>
      <c r="EX32" s="46">
        <v>38.455866558441556</v>
      </c>
      <c r="EY32" s="46">
        <v>37.917449689440993</v>
      </c>
      <c r="EZ32" s="46">
        <v>37.28272278911566</v>
      </c>
      <c r="FA32" s="46">
        <v>37.106617346938783</v>
      </c>
      <c r="FB32" s="46">
        <v>37.52845389610389</v>
      </c>
      <c r="FC32" s="46">
        <v>36.581399999999995</v>
      </c>
      <c r="FD32" s="46">
        <v>36.956745454545455</v>
      </c>
      <c r="FE32" s="46">
        <v>36.578369999999993</v>
      </c>
      <c r="FF32" s="46">
        <v>36.84281578947369</v>
      </c>
      <c r="FG32" s="46">
        <v>37.02895909090909</v>
      </c>
      <c r="FH32" s="46">
        <v>37.337454999999999</v>
      </c>
      <c r="FI32" s="46">
        <v>36.942261188811194</v>
      </c>
      <c r="FJ32" s="46">
        <v>37.536550000000005</v>
      </c>
      <c r="FK32" s="46">
        <v>37.195550000000004</v>
      </c>
      <c r="FL32" s="46">
        <v>37.420413636363634</v>
      </c>
      <c r="FM32" s="46">
        <v>37.311347619047623</v>
      </c>
      <c r="FN32" s="46">
        <v>37.06155714285714</v>
      </c>
      <c r="FO32" s="46">
        <v>36.87452857142857</v>
      </c>
      <c r="FP32" s="46">
        <v>36.182404545454546</v>
      </c>
      <c r="FQ32" s="46">
        <v>36.495180952380956</v>
      </c>
      <c r="FR32" s="46">
        <v>36.529570588235302</v>
      </c>
      <c r="FS32" s="46">
        <v>36.332927272727268</v>
      </c>
      <c r="FT32" s="46">
        <v>36.266729999999995</v>
      </c>
      <c r="FU32" s="46">
        <v>36.228686363636363</v>
      </c>
      <c r="FV32" s="46">
        <v>36.769338095238091</v>
      </c>
      <c r="FW32" s="46">
        <v>36.571638095238086</v>
      </c>
      <c r="FX32" s="46">
        <v>35.389339130434784</v>
      </c>
      <c r="FY32" s="46">
        <v>35.482547619047615</v>
      </c>
      <c r="FZ32" s="46">
        <v>35.453821611721615</v>
      </c>
      <c r="GA32" s="46">
        <v>35.21584</v>
      </c>
      <c r="GB32" s="46">
        <v>35.111685000000001</v>
      </c>
      <c r="GC32" s="46">
        <v>35.269594444444451</v>
      </c>
      <c r="GD32" s="46">
        <v>35.849876470588235</v>
      </c>
      <c r="GE32" s="46">
        <v>35.740623809523811</v>
      </c>
      <c r="GF32" s="46">
        <v>35.599480952380951</v>
      </c>
      <c r="GG32" s="46">
        <v>35.365209090909083</v>
      </c>
      <c r="GH32" s="46">
        <v>35.596280952380951</v>
      </c>
      <c r="GI32" s="46">
        <v>35.295259090909092</v>
      </c>
      <c r="GJ32" s="46">
        <v>35.45183636363636</v>
      </c>
      <c r="GK32" s="46">
        <v>36.125321052631584</v>
      </c>
      <c r="GL32" s="46">
        <v>35.425313043478262</v>
      </c>
      <c r="GM32" s="46">
        <v>35.184199999999997</v>
      </c>
      <c r="GN32" s="46">
        <v>35.300965000000005</v>
      </c>
      <c r="GO32" s="46">
        <v>35.31833000000001</v>
      </c>
      <c r="GP32" s="46">
        <v>34.869550000000004</v>
      </c>
      <c r="GQ32" s="46">
        <v>35.296977192982446</v>
      </c>
      <c r="GR32" s="46">
        <v>35.320059090909098</v>
      </c>
      <c r="GS32" s="46">
        <v>35.507990909090914</v>
      </c>
      <c r="GT32" s="46">
        <v>36.694968421052629</v>
      </c>
      <c r="GU32" s="46">
        <v>37.125</v>
      </c>
      <c r="GV32" s="46">
        <v>37.405999999999999</v>
      </c>
      <c r="GW32" s="46">
        <v>37.268284210526325</v>
      </c>
      <c r="GX32" s="46">
        <v>37.262656159420295</v>
      </c>
      <c r="GY32" s="46">
        <v>37.408121052631586</v>
      </c>
      <c r="GZ32" s="46">
        <v>37.764490000000002</v>
      </c>
      <c r="HA32" s="46">
        <v>38.364080952380945</v>
      </c>
      <c r="HB32" s="46">
        <v>38.764126315789476</v>
      </c>
      <c r="HC32" s="47">
        <v>40.801909999999992</v>
      </c>
      <c r="HD32" s="46">
        <v>41.661886363636363</v>
      </c>
      <c r="HE32" s="46">
        <v>41.984954999999999</v>
      </c>
      <c r="HF32" s="47">
        <v>42.682192424242416</v>
      </c>
      <c r="HG32" s="46">
        <v>43.522760869565211</v>
      </c>
      <c r="HH32" s="46">
        <v>44.381995238095236</v>
      </c>
      <c r="HI32" s="46">
        <v>44.280186363636354</v>
      </c>
      <c r="HJ32" s="46">
        <v>44.442568181818189</v>
      </c>
      <c r="HK32" s="46">
        <v>44.592795000000002</v>
      </c>
      <c r="HL32" s="46">
        <v>45.303681818181822</v>
      </c>
      <c r="HM32" s="46">
        <v>45.276715789473677</v>
      </c>
      <c r="HN32" s="45">
        <v>45.051250000000003</v>
      </c>
      <c r="HO32" s="45">
        <v>43.991344999999995</v>
      </c>
      <c r="HP32" s="45">
        <v>44.531130000000005</v>
      </c>
      <c r="HQ32" s="45">
        <v>45.590585000000004</v>
      </c>
      <c r="HR32" s="45">
        <v>45.997745454545452</v>
      </c>
      <c r="HS32" s="45">
        <v>47.255204545454554</v>
      </c>
      <c r="HT32" s="45">
        <v>47.368468181818187</v>
      </c>
      <c r="HU32" s="45">
        <v>46.867340909090906</v>
      </c>
      <c r="HV32" s="45">
        <v>47.017671428571433</v>
      </c>
      <c r="HW32" s="45">
        <v>47.436889473684204</v>
      </c>
      <c r="HX32" s="45">
        <v>47.89809130434783</v>
      </c>
      <c r="HY32" s="45">
        <v>48.15905789473684</v>
      </c>
      <c r="HZ32" s="45">
        <v>48.104727777777775</v>
      </c>
      <c r="IA32" s="45">
        <v>48.262386363636367</v>
      </c>
      <c r="IB32" s="45">
        <v>46.827185714285712</v>
      </c>
      <c r="IC32" s="45">
        <v>44.843738095238088</v>
      </c>
      <c r="ID32" s="45">
        <v>46.523409090909084</v>
      </c>
      <c r="IE32" s="45">
        <v>47.424957142857139</v>
      </c>
      <c r="IF32" s="45">
        <v>47.908059090909092</v>
      </c>
      <c r="IG32" s="45">
        <v>46.810947619047624</v>
      </c>
      <c r="IH32" s="45">
        <v>45.555390000000003</v>
      </c>
      <c r="II32" s="45">
        <v>46.390190476190476</v>
      </c>
      <c r="IJ32" s="45">
        <v>47.88956818181817</v>
      </c>
      <c r="IK32" s="45">
        <v>48.78958947368421</v>
      </c>
      <c r="IL32" s="45">
        <v>50.410783333333328</v>
      </c>
      <c r="IM32" s="45">
        <v>51.234027272727282</v>
      </c>
      <c r="IN32" s="45">
        <v>51.179245000000002</v>
      </c>
      <c r="IO32" s="45">
        <v>51.622854545454544</v>
      </c>
      <c r="IP32" s="45">
        <v>51.505318181818168</v>
      </c>
      <c r="IQ32" s="45">
        <v>53.032557142857137</v>
      </c>
      <c r="IR32" s="45">
        <v>52.639447826086958</v>
      </c>
      <c r="IS32" s="45">
        <v>51.09288999999999</v>
      </c>
    </row>
    <row r="33" spans="1:253" ht="21" customHeight="1" x14ac:dyDescent="0.3">
      <c r="A33" s="48" t="s">
        <v>14</v>
      </c>
      <c r="B33" s="46">
        <v>30.48</v>
      </c>
      <c r="C33" s="46">
        <v>30.515999999999998</v>
      </c>
      <c r="D33" s="46">
        <v>30.411568181818176</v>
      </c>
      <c r="E33" s="46">
        <v>30.28931</v>
      </c>
      <c r="F33" s="46">
        <v>30.076565217391302</v>
      </c>
      <c r="G33" s="46">
        <v>29.938290476190474</v>
      </c>
      <c r="H33" s="46">
        <v>29.885439999999999</v>
      </c>
      <c r="I33" s="46">
        <v>29.876999999999999</v>
      </c>
      <c r="J33" s="46">
        <v>29.739000000000001</v>
      </c>
      <c r="K33" s="46">
        <v>29.605989999999998</v>
      </c>
      <c r="L33" s="46">
        <v>29.05</v>
      </c>
      <c r="M33" s="46">
        <v>28.125</v>
      </c>
      <c r="N33" s="46">
        <v>27.860099999999999</v>
      </c>
      <c r="O33" s="46">
        <v>27.677</v>
      </c>
      <c r="P33" s="46">
        <v>27.815000000000001</v>
      </c>
      <c r="Q33" s="46">
        <v>28.588999999999999</v>
      </c>
      <c r="R33" s="46">
        <v>29.77</v>
      </c>
      <c r="S33" s="46">
        <v>29.466000000000001</v>
      </c>
      <c r="T33" s="46">
        <v>29.350999999999999</v>
      </c>
      <c r="U33" s="46">
        <v>28.904</v>
      </c>
      <c r="V33" s="46">
        <v>28.623999999999999</v>
      </c>
      <c r="W33" s="46">
        <v>27.271999999999998</v>
      </c>
      <c r="X33" s="46">
        <v>26.442</v>
      </c>
      <c r="Y33" s="46">
        <v>26.079000000000001</v>
      </c>
      <c r="Z33" s="46">
        <v>26.469000000000001</v>
      </c>
      <c r="AA33" s="46">
        <v>27.405999999999999</v>
      </c>
      <c r="AB33" s="46">
        <v>28.221</v>
      </c>
      <c r="AC33" s="46">
        <v>28.42</v>
      </c>
      <c r="AD33" s="46">
        <v>28.491</v>
      </c>
      <c r="AE33" s="46">
        <v>28.62</v>
      </c>
      <c r="AF33" s="46">
        <v>28.780999999999999</v>
      </c>
      <c r="AG33" s="46">
        <v>28.814</v>
      </c>
      <c r="AH33" s="46">
        <v>28.745000000000001</v>
      </c>
      <c r="AI33" s="46">
        <v>28.565000000000001</v>
      </c>
      <c r="AJ33" s="46">
        <v>28.663</v>
      </c>
      <c r="AK33" s="46">
        <v>29.161000000000001</v>
      </c>
      <c r="AL33" s="46">
        <v>29.311199999999999</v>
      </c>
      <c r="AM33" s="46">
        <v>29.378299999999999</v>
      </c>
      <c r="AN33" s="46">
        <v>29.5322</v>
      </c>
      <c r="AO33" s="46">
        <v>29.7195</v>
      </c>
      <c r="AP33" s="46">
        <v>29.929600000000001</v>
      </c>
      <c r="AQ33" s="46">
        <v>30.129200000000001</v>
      </c>
      <c r="AR33" s="46">
        <v>30.528500000000001</v>
      </c>
      <c r="AS33" s="46">
        <v>30.6585</v>
      </c>
      <c r="AT33" s="46">
        <v>30.772099999999998</v>
      </c>
      <c r="AU33" s="46">
        <v>30.7911</v>
      </c>
      <c r="AV33" s="46">
        <v>30.849599999999999</v>
      </c>
      <c r="AW33" s="46">
        <v>30.909300000000002</v>
      </c>
      <c r="AX33" s="46">
        <v>30.974599999999999</v>
      </c>
      <c r="AY33" s="46">
        <v>30.979399999999998</v>
      </c>
      <c r="AZ33" s="46">
        <v>30.987500000000001</v>
      </c>
      <c r="BA33" s="46">
        <v>31.266999999999999</v>
      </c>
      <c r="BB33" s="46">
        <v>32.0807</v>
      </c>
      <c r="BC33" s="46">
        <v>32.616700000000002</v>
      </c>
      <c r="BD33" s="46">
        <v>32.846499999999999</v>
      </c>
      <c r="BE33" s="46">
        <v>33.113</v>
      </c>
      <c r="BF33" s="46">
        <v>33.304900000000004</v>
      </c>
      <c r="BG33" s="46">
        <v>33.567799999999998</v>
      </c>
      <c r="BH33" s="46">
        <v>33.511099999999999</v>
      </c>
      <c r="BI33" s="46">
        <v>33.086199999999998</v>
      </c>
      <c r="BJ33" s="46">
        <v>32.654699999999998</v>
      </c>
      <c r="BK33" s="46">
        <v>31.895800000000001</v>
      </c>
      <c r="BL33" s="46">
        <v>31.992000000000001</v>
      </c>
      <c r="BM33" s="46">
        <v>31.892700000000001</v>
      </c>
      <c r="BN33" s="46">
        <v>31.524799999999999</v>
      </c>
      <c r="BO33" s="46">
        <v>31.4406</v>
      </c>
      <c r="BP33" s="46">
        <v>30.9251</v>
      </c>
      <c r="BQ33" s="46">
        <v>30.692</v>
      </c>
      <c r="BR33" s="46">
        <v>29.962800000000001</v>
      </c>
      <c r="BS33" s="46">
        <v>29.1815</v>
      </c>
      <c r="BT33" s="46">
        <v>28.791699999999999</v>
      </c>
      <c r="BU33" s="46">
        <v>27.340900000000001</v>
      </c>
      <c r="BV33" s="46">
        <v>26.566099999999999</v>
      </c>
      <c r="BW33" s="46">
        <v>27.6828</v>
      </c>
      <c r="BX33" s="46">
        <v>27.789100000000001</v>
      </c>
      <c r="BY33" s="46">
        <v>27.296099999999999</v>
      </c>
      <c r="BZ33" s="46">
        <v>28.122499999999999</v>
      </c>
      <c r="CA33" s="46">
        <v>29.536000000000001</v>
      </c>
      <c r="CB33" s="46">
        <v>30.868200000000002</v>
      </c>
      <c r="CC33" s="46">
        <v>32.529899999999998</v>
      </c>
      <c r="CD33" s="46">
        <v>32.531300000000002</v>
      </c>
      <c r="CE33" s="46">
        <v>32.883299999999998</v>
      </c>
      <c r="CF33" s="46">
        <v>33.808900000000001</v>
      </c>
      <c r="CG33" s="46">
        <v>34.463099999999997</v>
      </c>
      <c r="CH33" s="46">
        <v>34.204099999999997</v>
      </c>
      <c r="CI33" s="46">
        <v>33.680095000000001</v>
      </c>
      <c r="CJ33" s="46">
        <v>33.103550000000006</v>
      </c>
      <c r="CK33" s="46">
        <v>32.852173913043487</v>
      </c>
      <c r="CL33" s="46">
        <v>32.630909999999993</v>
      </c>
      <c r="CM33" s="46">
        <v>31.966957142857144</v>
      </c>
      <c r="CN33" s="46">
        <v>31.282936363636363</v>
      </c>
      <c r="CO33" s="46">
        <v>30.84427500000001</v>
      </c>
      <c r="CP33" s="46">
        <v>33.222999999999999</v>
      </c>
      <c r="CQ33" s="46">
        <v>31.974693871171336</v>
      </c>
      <c r="CR33" s="46">
        <v>31.276929178596401</v>
      </c>
      <c r="CS33" s="46">
        <v>31.332206832108845</v>
      </c>
      <c r="CT33" s="46">
        <v>30.540046698956036</v>
      </c>
      <c r="CU33" s="46">
        <v>30.823271424995873</v>
      </c>
      <c r="CV33" s="46">
        <v>31.312730052763982</v>
      </c>
      <c r="CW33" s="46">
        <v>31.000889127687969</v>
      </c>
      <c r="CX33" s="46">
        <v>30.356005798710314</v>
      </c>
      <c r="CY33" s="46">
        <v>29.754140958782465</v>
      </c>
      <c r="CZ33" s="46">
        <v>28.813938185803568</v>
      </c>
      <c r="DA33" s="46">
        <v>28.525412085357139</v>
      </c>
      <c r="DB33" s="46">
        <v>28.716500147500007</v>
      </c>
      <c r="DC33" s="46">
        <v>28.880026576496601</v>
      </c>
      <c r="DD33" s="46">
        <v>28.72296722483766</v>
      </c>
      <c r="DE33" s="46">
        <v>29.207330984829934</v>
      </c>
      <c r="DF33" s="46">
        <v>29.596017442714281</v>
      </c>
      <c r="DG33" s="46">
        <v>29.678089665821425</v>
      </c>
      <c r="DH33" s="46">
        <v>29.934107816980518</v>
      </c>
      <c r="DI33" s="46">
        <v>30.005328842285714</v>
      </c>
      <c r="DJ33" s="46">
        <v>29.693063409722228</v>
      </c>
      <c r="DK33" s="46">
        <v>29.680604799999998</v>
      </c>
      <c r="DL33" s="46">
        <v>29.716380008707482</v>
      </c>
      <c r="DM33" s="46">
        <v>30.05609916402598</v>
      </c>
      <c r="DN33" s="46">
        <v>30.932721267006801</v>
      </c>
      <c r="DO33" s="46">
        <v>31.653170896103902</v>
      </c>
      <c r="DP33" s="46">
        <v>31.337346506802717</v>
      </c>
      <c r="DQ33" s="46">
        <v>30.914747535714284</v>
      </c>
      <c r="DR33" s="46">
        <v>31.306451739130431</v>
      </c>
      <c r="DS33" s="46">
        <v>31.525007057142865</v>
      </c>
      <c r="DT33" s="46">
        <v>31.171176964285706</v>
      </c>
      <c r="DU33" s="46">
        <v>30.936054421768702</v>
      </c>
      <c r="DV33" s="46">
        <v>30.917318646616536</v>
      </c>
      <c r="DW33" s="46">
        <v>31.334401928571424</v>
      </c>
      <c r="DX33" s="46">
        <v>31.392931992857143</v>
      </c>
      <c r="DY33" s="46">
        <v>31.444321055194813</v>
      </c>
      <c r="DZ33" s="46">
        <v>31.292577892857146</v>
      </c>
      <c r="EA33" s="46">
        <v>31.438483183229817</v>
      </c>
      <c r="EB33" s="46">
        <v>31.234327261904767</v>
      </c>
      <c r="EC33" s="46">
        <v>31.235243946428568</v>
      </c>
      <c r="ED33" s="46">
        <v>30.829681149068325</v>
      </c>
      <c r="EE33" s="46">
        <v>30.944521853571427</v>
      </c>
      <c r="EF33" s="46">
        <v>30.715731275510194</v>
      </c>
      <c r="EG33" s="46">
        <v>30.719229398496239</v>
      </c>
      <c r="EH33" s="46">
        <v>30.698071650793647</v>
      </c>
      <c r="EI33" s="46">
        <v>30.554526879699246</v>
      </c>
      <c r="EJ33" s="46">
        <v>30.573887902597402</v>
      </c>
      <c r="EK33" s="46">
        <v>30.613980391156463</v>
      </c>
      <c r="EL33" s="46">
        <v>30.745648513605445</v>
      </c>
      <c r="EM33" s="46">
        <v>30.763624523181818</v>
      </c>
      <c r="EN33" s="46">
        <v>31.000125085050001</v>
      </c>
      <c r="EO33" s="46">
        <v>31.507607231610393</v>
      </c>
      <c r="EP33" s="46">
        <v>31.742292358116881</v>
      </c>
      <c r="EQ33" s="46">
        <v>31.868674363750007</v>
      </c>
      <c r="ER33" s="46">
        <v>31.974671007653054</v>
      </c>
      <c r="ES33" s="46">
        <v>32.706129572142864</v>
      </c>
      <c r="ET33" s="46">
        <v>33.375906683109243</v>
      </c>
      <c r="EU33" s="46">
        <v>35.853929457993196</v>
      </c>
      <c r="EV33" s="46">
        <v>36.62090454545455</v>
      </c>
      <c r="EW33" s="46">
        <v>35.564990000000009</v>
      </c>
      <c r="EX33" s="46">
        <v>35.68950357142856</v>
      </c>
      <c r="EY33" s="46">
        <v>35.990642857142859</v>
      </c>
      <c r="EZ33" s="46">
        <v>35.958073469387749</v>
      </c>
      <c r="FA33" s="46">
        <v>35.928473469387754</v>
      </c>
      <c r="FB33" s="46">
        <v>36.218475974025985</v>
      </c>
      <c r="FC33" s="46">
        <v>36.782142105263169</v>
      </c>
      <c r="FD33" s="46">
        <v>36.636790909090912</v>
      </c>
      <c r="FE33" s="46">
        <v>36.652145000000004</v>
      </c>
      <c r="FF33" s="46">
        <v>36.378778947368424</v>
      </c>
      <c r="FG33" s="46">
        <v>36.244327272727269</v>
      </c>
      <c r="FH33" s="46">
        <v>35.877174999999994</v>
      </c>
      <c r="FI33" s="46">
        <v>35.982452797202789</v>
      </c>
      <c r="FJ33" s="46">
        <v>36.297413636363636</v>
      </c>
      <c r="FK33" s="46">
        <v>36.410744999999999</v>
      </c>
      <c r="FL33" s="46">
        <v>36.204559090909086</v>
      </c>
      <c r="FM33" s="46">
        <v>36.210380952380945</v>
      </c>
      <c r="FN33" s="46">
        <v>36.426980952380944</v>
      </c>
      <c r="FO33" s="46">
        <v>36.578514285714292</v>
      </c>
      <c r="FP33" s="46">
        <v>36.755131818181809</v>
      </c>
      <c r="FQ33" s="46">
        <v>36.657628571428582</v>
      </c>
      <c r="FR33" s="46">
        <v>36.470017647058825</v>
      </c>
      <c r="FS33" s="46">
        <v>36.309750000000001</v>
      </c>
      <c r="FT33" s="46">
        <v>36.180999999999997</v>
      </c>
      <c r="FU33" s="46">
        <v>35.641809090909085</v>
      </c>
      <c r="FV33" s="46">
        <v>35.473066666666668</v>
      </c>
      <c r="FW33" s="46">
        <v>34.990395238095232</v>
      </c>
      <c r="FX33" s="46">
        <v>34.064708695652179</v>
      </c>
      <c r="FY33" s="46">
        <v>34.045223809523812</v>
      </c>
      <c r="FZ33" s="46">
        <v>34.688680952380949</v>
      </c>
      <c r="GA33" s="46">
        <v>34.80456499999999</v>
      </c>
      <c r="GB33" s="46">
        <v>34.582839999999997</v>
      </c>
      <c r="GC33" s="46">
        <v>33.885227777777772</v>
      </c>
      <c r="GD33" s="46">
        <v>33.417117647058824</v>
      </c>
      <c r="GE33" s="46">
        <v>33.767400000000009</v>
      </c>
      <c r="GF33" s="46">
        <v>34.274038095238105</v>
      </c>
      <c r="GG33" s="46">
        <v>35.116331818181813</v>
      </c>
      <c r="GH33" s="46">
        <v>35.065619047619045</v>
      </c>
      <c r="GI33" s="46">
        <v>34.941818181818178</v>
      </c>
      <c r="GJ33" s="46">
        <v>34.926854545454546</v>
      </c>
      <c r="GK33" s="46">
        <v>34.810152631578944</v>
      </c>
      <c r="GL33" s="46">
        <v>35.003356521739121</v>
      </c>
      <c r="GM33" s="46">
        <v>35.050714999999997</v>
      </c>
      <c r="GN33" s="46">
        <v>34.861440000000002</v>
      </c>
      <c r="GO33" s="46">
        <v>34.743649999999995</v>
      </c>
      <c r="GP33" s="46">
        <v>34.76755</v>
      </c>
      <c r="GQ33" s="46">
        <v>35.119</v>
      </c>
      <c r="GR33" s="46">
        <v>35.394027272727271</v>
      </c>
      <c r="GS33" s="46">
        <v>35.709263636363637</v>
      </c>
      <c r="GT33" s="46">
        <v>36.098000000000006</v>
      </c>
      <c r="GU33" s="46">
        <v>36.461168181818181</v>
      </c>
      <c r="GV33" s="46">
        <v>36.45008636363638</v>
      </c>
      <c r="GW33" s="46">
        <v>36.728910526315779</v>
      </c>
      <c r="GX33" s="46">
        <v>36.831666220735777</v>
      </c>
      <c r="GY33" s="46">
        <v>36.947700000000005</v>
      </c>
      <c r="GZ33" s="46">
        <v>36.977649999999997</v>
      </c>
      <c r="HA33" s="46">
        <v>37.019704761904755</v>
      </c>
      <c r="HB33" s="46">
        <v>37.632894736842104</v>
      </c>
      <c r="HC33" s="47">
        <v>38.807469999999995</v>
      </c>
      <c r="HD33" s="46">
        <v>40.155881818181825</v>
      </c>
      <c r="HE33" s="46">
        <v>40.464214999999996</v>
      </c>
      <c r="HF33" s="47">
        <v>40.392528571428571</v>
      </c>
      <c r="HG33" s="46">
        <v>40.434656521739136</v>
      </c>
      <c r="HH33" s="46">
        <v>40.193166666666663</v>
      </c>
      <c r="HI33" s="46">
        <v>40.260709090909081</v>
      </c>
      <c r="HJ33" s="46">
        <v>40.327763636363642</v>
      </c>
      <c r="HK33" s="46">
        <v>40.382574999999996</v>
      </c>
      <c r="HL33" s="46">
        <v>40.045186363636361</v>
      </c>
      <c r="HM33" s="46">
        <v>39.903231578947363</v>
      </c>
      <c r="HN33" s="45">
        <v>40.197800000000001</v>
      </c>
      <c r="HO33" s="45">
        <v>40.606780000000001</v>
      </c>
      <c r="HP33" s="45">
        <v>40.879605000000005</v>
      </c>
      <c r="HQ33" s="45">
        <v>40.919965000000005</v>
      </c>
      <c r="HR33" s="45">
        <v>41.466336363636373</v>
      </c>
      <c r="HS33" s="45">
        <v>43.109872727272723</v>
      </c>
      <c r="HT33" s="45">
        <v>43.005159090909096</v>
      </c>
      <c r="HU33" s="45">
        <v>42.92645454545454</v>
      </c>
      <c r="HV33" s="45">
        <v>43.122276190476192</v>
      </c>
      <c r="HW33" s="45">
        <v>43.488336842105269</v>
      </c>
      <c r="HX33" s="45">
        <v>43.782852173913042</v>
      </c>
      <c r="HY33" s="45">
        <v>43.92421052631579</v>
      </c>
      <c r="HZ33" s="45">
        <v>44.048961111111119</v>
      </c>
      <c r="IA33" s="45">
        <v>44.542504545454555</v>
      </c>
      <c r="IB33" s="45">
        <v>43.837823809523812</v>
      </c>
      <c r="IC33" s="45">
        <v>43.606538095238093</v>
      </c>
      <c r="ID33" s="45">
        <v>44.749936363636358</v>
      </c>
      <c r="IE33" s="45">
        <v>45.611352380952376</v>
      </c>
      <c r="IF33" s="45">
        <v>45.495354545454546</v>
      </c>
      <c r="IG33" s="45">
        <v>45.155776190476182</v>
      </c>
      <c r="IH33" s="45">
        <v>44.896754999999999</v>
      </c>
      <c r="II33" s="45">
        <v>44.351804761904759</v>
      </c>
      <c r="IJ33" s="45">
        <v>44.260254545454536</v>
      </c>
      <c r="IK33" s="45">
        <v>44.659242105263154</v>
      </c>
      <c r="IL33" s="45">
        <v>46.178472222222211</v>
      </c>
      <c r="IM33" s="45">
        <v>47.0035590909091</v>
      </c>
      <c r="IN33" s="45">
        <v>45.589969999999994</v>
      </c>
      <c r="IO33" s="45">
        <v>45.833672727272727</v>
      </c>
      <c r="IP33" s="45">
        <v>45.957149999999992</v>
      </c>
      <c r="IQ33" s="45">
        <v>45.920071428571426</v>
      </c>
      <c r="IR33" s="45">
        <v>45.78198260869565</v>
      </c>
      <c r="IS33" s="45">
        <v>45.399975000000005</v>
      </c>
    </row>
    <row r="34" spans="1:253" ht="21" customHeight="1" x14ac:dyDescent="0.3">
      <c r="A34" s="48" t="s">
        <v>13</v>
      </c>
      <c r="B34" s="46">
        <v>43.728999999999999</v>
      </c>
      <c r="C34" s="46">
        <v>43.457000000000001</v>
      </c>
      <c r="D34" s="46">
        <v>44.411136363636359</v>
      </c>
      <c r="E34" s="46">
        <v>44.873800000000003</v>
      </c>
      <c r="F34" s="46">
        <v>46.786782608695653</v>
      </c>
      <c r="G34" s="46">
        <v>46.077190476190474</v>
      </c>
      <c r="H34" s="46">
        <v>46.498899999999992</v>
      </c>
      <c r="I34" s="46">
        <v>46.552999999999997</v>
      </c>
      <c r="J34" s="46">
        <v>46.753</v>
      </c>
      <c r="K34" s="46">
        <v>46.969099999999997</v>
      </c>
      <c r="L34" s="46">
        <v>46.94</v>
      </c>
      <c r="M34" s="46">
        <v>45.247999999999998</v>
      </c>
      <c r="N34" s="46">
        <v>44.021799999999999</v>
      </c>
      <c r="O34" s="46">
        <v>43.539000000000001</v>
      </c>
      <c r="P34" s="46">
        <v>45.064999999999998</v>
      </c>
      <c r="Q34" s="46">
        <v>47.393999999999998</v>
      </c>
      <c r="R34" s="46">
        <v>48.311999999999998</v>
      </c>
      <c r="S34" s="46">
        <v>46.908999999999999</v>
      </c>
      <c r="T34" s="46">
        <v>47.237000000000002</v>
      </c>
      <c r="U34" s="46">
        <v>48.387</v>
      </c>
      <c r="V34" s="46">
        <v>48.26</v>
      </c>
      <c r="W34" s="46">
        <v>47.637999999999998</v>
      </c>
      <c r="X34" s="46">
        <v>48.09</v>
      </c>
      <c r="Y34" s="46">
        <v>48.585000000000001</v>
      </c>
      <c r="Z34" s="46">
        <v>48.39</v>
      </c>
      <c r="AA34" s="46">
        <v>49.530999999999999</v>
      </c>
      <c r="AB34" s="46">
        <v>50.45</v>
      </c>
      <c r="AC34" s="46">
        <v>52.070999999999998</v>
      </c>
      <c r="AD34" s="46">
        <v>52.654000000000003</v>
      </c>
      <c r="AE34" s="46">
        <v>52.191000000000003</v>
      </c>
      <c r="AF34" s="46">
        <v>51.664999999999999</v>
      </c>
      <c r="AG34" s="46">
        <v>52.084000000000003</v>
      </c>
      <c r="AH34" s="46">
        <v>53.478999999999999</v>
      </c>
      <c r="AI34" s="46">
        <v>55.128999999999998</v>
      </c>
      <c r="AJ34" s="46">
        <v>53.886000000000003</v>
      </c>
      <c r="AK34" s="46">
        <v>55.552</v>
      </c>
      <c r="AL34" s="46">
        <v>55.546999999999997</v>
      </c>
      <c r="AM34" s="46">
        <v>54.582000000000001</v>
      </c>
      <c r="AN34" s="46">
        <v>53.764400000000002</v>
      </c>
      <c r="AO34" s="46">
        <v>52.118899999999996</v>
      </c>
      <c r="AP34" s="46">
        <v>53.663699999999999</v>
      </c>
      <c r="AQ34" s="46">
        <v>54.507399999999997</v>
      </c>
      <c r="AR34" s="46">
        <v>53.908099999999997</v>
      </c>
      <c r="AS34" s="46">
        <v>53.1374</v>
      </c>
      <c r="AT34" s="46">
        <v>53.831800000000001</v>
      </c>
      <c r="AU34" s="46">
        <v>54.496600000000001</v>
      </c>
      <c r="AV34" s="46">
        <v>54.075000000000003</v>
      </c>
      <c r="AW34" s="46">
        <v>54.119</v>
      </c>
      <c r="AX34" s="46">
        <v>54.866999999999997</v>
      </c>
      <c r="AY34" s="46">
        <v>58.089300000000001</v>
      </c>
      <c r="AZ34" s="46">
        <v>57.344499999999996</v>
      </c>
      <c r="BA34" s="46">
        <v>57.874600000000001</v>
      </c>
      <c r="BB34" s="46">
        <v>61.101599999999998</v>
      </c>
      <c r="BC34" s="46">
        <v>62.146799999999999</v>
      </c>
      <c r="BD34" s="46">
        <v>62.403399999999998</v>
      </c>
      <c r="BE34" s="46">
        <v>64.438999999999993</v>
      </c>
      <c r="BF34" s="46">
        <v>66.757000000000005</v>
      </c>
      <c r="BG34" s="46">
        <v>66.881399999999999</v>
      </c>
      <c r="BH34" s="46">
        <v>66.0886</v>
      </c>
      <c r="BI34" s="46">
        <v>64.609800000000007</v>
      </c>
      <c r="BJ34" s="46">
        <v>64.9114</v>
      </c>
      <c r="BK34" s="46">
        <v>63.135199999999998</v>
      </c>
      <c r="BL34" s="46">
        <v>63.54</v>
      </c>
      <c r="BM34" s="46">
        <v>64.853700000000003</v>
      </c>
      <c r="BN34" s="46">
        <v>63.315199999999997</v>
      </c>
      <c r="BO34" s="46">
        <v>63.431899999999999</v>
      </c>
      <c r="BP34" s="46">
        <v>63.187199999999997</v>
      </c>
      <c r="BQ34" s="46">
        <v>63.508000000000003</v>
      </c>
      <c r="BR34" s="46">
        <v>60.499299999999998</v>
      </c>
      <c r="BS34" s="46">
        <v>57.462400000000002</v>
      </c>
      <c r="BT34" s="46">
        <v>56.447699999999998</v>
      </c>
      <c r="BU34" s="46">
        <v>54.580100000000002</v>
      </c>
      <c r="BV34" s="46">
        <v>52.476599999999998</v>
      </c>
      <c r="BW34" s="46">
        <v>54.421500000000002</v>
      </c>
      <c r="BX34" s="46">
        <v>54.688000000000002</v>
      </c>
      <c r="BY34" s="46">
        <v>54.360100000000003</v>
      </c>
      <c r="BZ34" s="46">
        <v>53.308599999999998</v>
      </c>
      <c r="CA34" s="46">
        <v>53.242800000000003</v>
      </c>
      <c r="CB34" s="46">
        <v>52.551699999999997</v>
      </c>
      <c r="CC34" s="46">
        <v>50.118400000000001</v>
      </c>
      <c r="CD34" s="46">
        <v>48.8065</v>
      </c>
      <c r="CE34" s="46">
        <v>47.9435</v>
      </c>
      <c r="CF34" s="46">
        <v>48.941099999999999</v>
      </c>
      <c r="CG34" s="46">
        <v>49.177199999999999</v>
      </c>
      <c r="CH34" s="46">
        <v>50.3904</v>
      </c>
      <c r="CI34" s="46">
        <v>51.997425000000007</v>
      </c>
      <c r="CJ34" s="46">
        <v>54.15423636363635</v>
      </c>
      <c r="CK34" s="46">
        <v>53.77383913043478</v>
      </c>
      <c r="CL34" s="46">
        <v>54.015855000000002</v>
      </c>
      <c r="CM34" s="46">
        <v>52.218390476190471</v>
      </c>
      <c r="CN34" s="46">
        <v>50.61692272727273</v>
      </c>
      <c r="CO34" s="46">
        <v>51.228165000000004</v>
      </c>
      <c r="CP34" s="46">
        <v>48.692999999999998</v>
      </c>
      <c r="CQ34" s="46">
        <v>48.806878729562932</v>
      </c>
      <c r="CR34" s="46">
        <v>48.958594615396649</v>
      </c>
      <c r="CS34" s="46">
        <v>48.77421588518299</v>
      </c>
      <c r="CT34" s="46">
        <v>48.390693699980176</v>
      </c>
      <c r="CU34" s="46">
        <v>49.170999878195829</v>
      </c>
      <c r="CV34" s="46">
        <v>48.849220701302791</v>
      </c>
      <c r="CW34" s="46">
        <v>48.859723931757514</v>
      </c>
      <c r="CX34" s="46">
        <v>48.967660895773207</v>
      </c>
      <c r="CY34" s="46">
        <v>48.04873846943795</v>
      </c>
      <c r="CZ34" s="46">
        <v>47.140436357137055</v>
      </c>
      <c r="DA34" s="46">
        <v>46.644883418231572</v>
      </c>
      <c r="DB34" s="46">
        <v>46.601999999999997</v>
      </c>
      <c r="DC34" s="46">
        <v>46.606915109975475</v>
      </c>
      <c r="DD34" s="46">
        <v>47.038349551055369</v>
      </c>
      <c r="DE34" s="46">
        <v>46.102613001097964</v>
      </c>
      <c r="DF34" s="46">
        <v>46.540730881416351</v>
      </c>
      <c r="DG34" s="46">
        <v>46.851776451724426</v>
      </c>
      <c r="DH34" s="46">
        <v>46.65938320057856</v>
      </c>
      <c r="DI34" s="46">
        <v>46.506041449670001</v>
      </c>
      <c r="DJ34" s="46">
        <v>46.882226647117442</v>
      </c>
      <c r="DK34" s="46">
        <v>46.976751921753575</v>
      </c>
      <c r="DL34" s="46">
        <v>47.515788821065975</v>
      </c>
      <c r="DM34" s="46">
        <v>47.847977443803892</v>
      </c>
      <c r="DN34" s="46">
        <v>48.074325805291835</v>
      </c>
      <c r="DO34" s="46">
        <v>49.318251485604875</v>
      </c>
      <c r="DP34" s="46">
        <v>49.198320199061222</v>
      </c>
      <c r="DQ34" s="46">
        <v>49.769450572677449</v>
      </c>
      <c r="DR34" s="46">
        <v>50.296109249531675</v>
      </c>
      <c r="DS34" s="46">
        <v>50.357271021734284</v>
      </c>
      <c r="DT34" s="46">
        <v>50.296383674850873</v>
      </c>
      <c r="DU34" s="46">
        <v>49.329138781198374</v>
      </c>
      <c r="DV34" s="46">
        <v>47.838994520413159</v>
      </c>
      <c r="DW34" s="46">
        <v>47.28084500143077</v>
      </c>
      <c r="DX34" s="46">
        <v>48.031743889321731</v>
      </c>
      <c r="DY34" s="46">
        <v>48.101600739466932</v>
      </c>
      <c r="DZ34" s="46">
        <v>48.511040084653153</v>
      </c>
      <c r="EA34" s="46">
        <v>47.741576837549445</v>
      </c>
      <c r="EB34" s="46">
        <v>48.32930820432172</v>
      </c>
      <c r="EC34" s="46">
        <v>49.510648892855528</v>
      </c>
      <c r="ED34" s="46">
        <v>49.53463940601354</v>
      </c>
      <c r="EE34" s="46">
        <v>49.695637320513782</v>
      </c>
      <c r="EF34" s="46">
        <v>50.201156482045903</v>
      </c>
      <c r="EG34" s="46">
        <v>50.494718162538248</v>
      </c>
      <c r="EH34" s="46">
        <v>50.738415048376332</v>
      </c>
      <c r="EI34" s="46">
        <v>50.655478818344179</v>
      </c>
      <c r="EJ34" s="46">
        <v>51.046950656861092</v>
      </c>
      <c r="EK34" s="46">
        <v>51.441731019201356</v>
      </c>
      <c r="EL34" s="46">
        <v>51.831212040949616</v>
      </c>
      <c r="EM34" s="46">
        <v>52.437318183954424</v>
      </c>
      <c r="EN34" s="46">
        <v>51.715894805268746</v>
      </c>
      <c r="EO34" s="46">
        <v>51.418233563772198</v>
      </c>
      <c r="EP34" s="46">
        <v>51.079201203750813</v>
      </c>
      <c r="EQ34" s="46">
        <v>50.325105047614137</v>
      </c>
      <c r="ER34" s="46">
        <v>49.973881402161375</v>
      </c>
      <c r="ES34" s="46">
        <v>49.498058859823765</v>
      </c>
      <c r="ET34" s="46">
        <v>51.21423242201989</v>
      </c>
      <c r="EU34" s="46">
        <v>53.836417123879201</v>
      </c>
      <c r="EV34" s="46">
        <v>54.727095454545449</v>
      </c>
      <c r="EW34" s="46">
        <v>55.031993635273636</v>
      </c>
      <c r="EX34" s="46">
        <v>55.533215909090906</v>
      </c>
      <c r="EY34" s="46">
        <v>56.008599689440999</v>
      </c>
      <c r="EZ34" s="46">
        <v>56.072920408163263</v>
      </c>
      <c r="FA34" s="46">
        <v>55.089374489795915</v>
      </c>
      <c r="FB34" s="46">
        <v>55.518673051948035</v>
      </c>
      <c r="FC34" s="46">
        <v>55.927547368421052</v>
      </c>
      <c r="FD34" s="46">
        <v>54.937600000000003</v>
      </c>
      <c r="FE34" s="46">
        <v>52.814665000000005</v>
      </c>
      <c r="FF34" s="46">
        <v>52.045984210526321</v>
      </c>
      <c r="FG34" s="46">
        <v>51.527109090909086</v>
      </c>
      <c r="FH34" s="46">
        <v>51.350039999999993</v>
      </c>
      <c r="FI34" s="46">
        <v>52.302099650349653</v>
      </c>
      <c r="FJ34" s="46">
        <v>51.576318181818188</v>
      </c>
      <c r="FK34" s="46">
        <v>48.051159999999996</v>
      </c>
      <c r="FL34" s="46">
        <v>47.538586363636362</v>
      </c>
      <c r="FM34" s="46">
        <v>47.640142857142862</v>
      </c>
      <c r="FN34" s="46">
        <v>45.01714761904762</v>
      </c>
      <c r="FO34" s="46">
        <v>45.510061904761905</v>
      </c>
      <c r="FP34" s="46">
        <v>45.889340909090919</v>
      </c>
      <c r="FQ34" s="46">
        <v>45.229209523809523</v>
      </c>
      <c r="FR34" s="46">
        <v>45.546170588235299</v>
      </c>
      <c r="FS34" s="46">
        <v>44.792245454545458</v>
      </c>
      <c r="FT34" s="46">
        <v>45.667550000000006</v>
      </c>
      <c r="FU34" s="46">
        <v>46.040572727272725</v>
      </c>
      <c r="FV34" s="46">
        <v>45.405738095238107</v>
      </c>
      <c r="FW34" s="46">
        <v>45.450619047619043</v>
      </c>
      <c r="FX34" s="46">
        <v>44.152139130434797</v>
      </c>
      <c r="FY34" s="46">
        <v>45.213190476190483</v>
      </c>
      <c r="FZ34" s="46">
        <v>45.765003663003668</v>
      </c>
      <c r="GA34" s="46">
        <v>45.980865000000009</v>
      </c>
      <c r="GB34" s="46">
        <v>46.344834999999989</v>
      </c>
      <c r="GC34" s="46">
        <v>46.719388888888894</v>
      </c>
      <c r="GD34" s="46">
        <v>46.667052941176472</v>
      </c>
      <c r="GE34" s="46">
        <v>47.181128571428573</v>
      </c>
      <c r="GF34" s="46">
        <v>48.294223809523807</v>
      </c>
      <c r="GG34" s="46">
        <v>47.276904545454542</v>
      </c>
      <c r="GH34" s="46">
        <v>46.546795238095235</v>
      </c>
      <c r="GI34" s="46">
        <v>45.952486363636368</v>
      </c>
      <c r="GJ34" s="46">
        <v>44.962272727272719</v>
      </c>
      <c r="GK34" s="46">
        <v>45.357515789473688</v>
      </c>
      <c r="GL34" s="46">
        <v>45.511126086956516</v>
      </c>
      <c r="GM34" s="46">
        <v>45.115805000000002</v>
      </c>
      <c r="GN34" s="46">
        <v>44.096634999999999</v>
      </c>
      <c r="GO34" s="46">
        <v>44.759399999999992</v>
      </c>
      <c r="GP34" s="46">
        <v>45.128927777777783</v>
      </c>
      <c r="GQ34" s="46">
        <v>46.218440485829959</v>
      </c>
      <c r="GR34" s="46">
        <v>46.088936363636371</v>
      </c>
      <c r="GS34" s="46">
        <v>45.841986363636359</v>
      </c>
      <c r="GT34" s="46">
        <v>45.699121052631568</v>
      </c>
      <c r="GU34" s="46">
        <v>45.492277272727272</v>
      </c>
      <c r="GV34" s="46">
        <v>44.243268181818173</v>
      </c>
      <c r="GW34" s="46">
        <v>45.393826315789475</v>
      </c>
      <c r="GX34" s="46">
        <v>46.479260200668882</v>
      </c>
      <c r="GY34" s="46">
        <v>47.59122631578947</v>
      </c>
      <c r="GZ34" s="46">
        <v>48.454265000000007</v>
      </c>
      <c r="HA34" s="46">
        <v>48.35882380952382</v>
      </c>
      <c r="HB34" s="46">
        <v>48.807578947368427</v>
      </c>
      <c r="HC34" s="47">
        <v>48.043454999999994</v>
      </c>
      <c r="HD34" s="46">
        <v>49.899850000000008</v>
      </c>
      <c r="HE34" s="46">
        <v>49.79477</v>
      </c>
      <c r="HF34" s="47">
        <v>50.670675524475534</v>
      </c>
      <c r="HG34" s="46">
        <v>51.242839130434781</v>
      </c>
      <c r="HH34" s="46">
        <v>52.85</v>
      </c>
      <c r="HI34" s="46">
        <v>52.322031818181813</v>
      </c>
      <c r="HJ34" s="46">
        <v>52.415622727272734</v>
      </c>
      <c r="HK34" s="46">
        <v>53.427120000000002</v>
      </c>
      <c r="HL34" s="46">
        <v>53.871431818181811</v>
      </c>
      <c r="HM34" s="46">
        <v>54.50116315789473</v>
      </c>
      <c r="HN34" s="45">
        <v>55.863938888888896</v>
      </c>
      <c r="HO34" s="45">
        <v>56.340524999999992</v>
      </c>
      <c r="HP34" s="45">
        <v>56.701679999999996</v>
      </c>
      <c r="HQ34" s="45">
        <v>57.685720000000003</v>
      </c>
      <c r="HR34" s="45">
        <v>58.326227272727266</v>
      </c>
      <c r="HS34" s="45">
        <v>59.671518181818172</v>
      </c>
      <c r="HT34" s="45">
        <v>59.496199999999995</v>
      </c>
      <c r="HU34" s="45">
        <v>59.12655909090909</v>
      </c>
      <c r="HV34" s="45">
        <v>59.143747619047623</v>
      </c>
      <c r="HW34" s="45">
        <v>58.563089473684208</v>
      </c>
      <c r="HX34" s="45">
        <v>58.391460869565215</v>
      </c>
      <c r="HY34" s="45">
        <v>59.713247368421051</v>
      </c>
      <c r="HZ34" s="45">
        <v>59.802616666666673</v>
      </c>
      <c r="IA34" s="45">
        <v>58.849754545454545</v>
      </c>
      <c r="IB34" s="45">
        <v>57.041957142857157</v>
      </c>
      <c r="IC34" s="45">
        <v>54.499061904761916</v>
      </c>
      <c r="ID34" s="45">
        <v>55.429168181818184</v>
      </c>
      <c r="IE34" s="45">
        <v>54.995947619047605</v>
      </c>
      <c r="IF34" s="45">
        <v>54.93265454545454</v>
      </c>
      <c r="IG34" s="45">
        <v>51.38544285714287</v>
      </c>
      <c r="IH34" s="45">
        <v>50.894370000000002</v>
      </c>
      <c r="II34" s="45">
        <v>52.283009523809532</v>
      </c>
      <c r="IJ34" s="45">
        <v>54.068668181818182</v>
      </c>
      <c r="IK34" s="45">
        <v>54.849689473684208</v>
      </c>
      <c r="IL34" s="45">
        <v>56.020111111111106</v>
      </c>
      <c r="IM34" s="45">
        <v>57.287931818181818</v>
      </c>
      <c r="IN34" s="45">
        <v>56.901419999999995</v>
      </c>
      <c r="IO34" s="45">
        <v>57.438804545454566</v>
      </c>
      <c r="IP34" s="45">
        <v>58.244536363636342</v>
      </c>
      <c r="IQ34" s="45">
        <v>59.4359380952381</v>
      </c>
      <c r="IR34" s="45">
        <v>58.485526086956526</v>
      </c>
      <c r="IS34" s="45">
        <v>56.642389999999999</v>
      </c>
    </row>
    <row r="35" spans="1:253" ht="21" customHeight="1" x14ac:dyDescent="0.3">
      <c r="A35" s="48" t="s">
        <v>12</v>
      </c>
      <c r="B35" s="46">
        <v>26.988</v>
      </c>
      <c r="C35" s="46">
        <v>26.56</v>
      </c>
      <c r="D35" s="46">
        <v>27.893154545454539</v>
      </c>
      <c r="E35" s="46">
        <v>28.911529999999992</v>
      </c>
      <c r="F35" s="46">
        <v>29.871547826086953</v>
      </c>
      <c r="G35" s="46">
        <v>29.293201428571429</v>
      </c>
      <c r="H35" s="46">
        <v>29.332744999999999</v>
      </c>
      <c r="I35" s="46">
        <v>29.332999999999998</v>
      </c>
      <c r="J35" s="46">
        <v>29.795999999999999</v>
      </c>
      <c r="K35" s="46">
        <v>30.186250000000001</v>
      </c>
      <c r="L35" s="46">
        <v>30.849</v>
      </c>
      <c r="M35" s="46">
        <v>30.256</v>
      </c>
      <c r="N35" s="46">
        <v>30.021699999999999</v>
      </c>
      <c r="O35" s="46">
        <v>30.023</v>
      </c>
      <c r="P35" s="46">
        <v>32.133000000000003</v>
      </c>
      <c r="Q35" s="46">
        <v>33.326000000000001</v>
      </c>
      <c r="R35" s="46">
        <v>33.813000000000002</v>
      </c>
      <c r="S35" s="46">
        <v>32.808999999999997</v>
      </c>
      <c r="T35" s="46">
        <v>32.93</v>
      </c>
      <c r="U35" s="46">
        <v>33.767000000000003</v>
      </c>
      <c r="V35" s="46">
        <v>33.417999999999999</v>
      </c>
      <c r="W35" s="46">
        <v>33.418999999999997</v>
      </c>
      <c r="X35" s="46">
        <v>33.226999999999997</v>
      </c>
      <c r="Y35" s="46">
        <v>32.749000000000002</v>
      </c>
      <c r="Z35" s="46">
        <v>32.326000000000001</v>
      </c>
      <c r="AA35" s="46">
        <v>32.841000000000001</v>
      </c>
      <c r="AB35" s="46">
        <v>33.851999999999997</v>
      </c>
      <c r="AC35" s="46">
        <v>34.515999999999998</v>
      </c>
      <c r="AD35" s="46">
        <v>35.011000000000003</v>
      </c>
      <c r="AE35" s="46">
        <v>34.917999999999999</v>
      </c>
      <c r="AF35" s="46">
        <v>35.198999999999998</v>
      </c>
      <c r="AG35" s="46">
        <v>36.01</v>
      </c>
      <c r="AH35" s="46">
        <v>37.374000000000002</v>
      </c>
      <c r="AI35" s="46">
        <v>38.311</v>
      </c>
      <c r="AJ35" s="46">
        <v>37.639000000000003</v>
      </c>
      <c r="AK35" s="46">
        <v>38.488</v>
      </c>
      <c r="AL35" s="46">
        <v>37.937100000000001</v>
      </c>
      <c r="AM35" s="46">
        <v>37.3324</v>
      </c>
      <c r="AN35" s="46">
        <v>35.9617</v>
      </c>
      <c r="AO35" s="46">
        <v>35.831400000000002</v>
      </c>
      <c r="AP35" s="46">
        <v>36.8018</v>
      </c>
      <c r="AQ35" s="46">
        <v>36.947200000000002</v>
      </c>
      <c r="AR35" s="46">
        <v>36.759</v>
      </c>
      <c r="AS35" s="46">
        <v>36.128300000000003</v>
      </c>
      <c r="AT35" s="46">
        <v>36.570300000000003</v>
      </c>
      <c r="AU35" s="46">
        <v>37.427500000000002</v>
      </c>
      <c r="AV35" s="46">
        <v>36.978200000000001</v>
      </c>
      <c r="AW35" s="46">
        <v>37.3033</v>
      </c>
      <c r="AX35" s="46">
        <v>38.146900000000002</v>
      </c>
      <c r="AY35" s="46">
        <v>39.7316</v>
      </c>
      <c r="AZ35" s="46">
        <v>39.474299999999999</v>
      </c>
      <c r="BA35" s="46">
        <v>40.032299999999999</v>
      </c>
      <c r="BB35" s="46">
        <v>41.585099999999997</v>
      </c>
      <c r="BC35" s="46">
        <v>42.183900000000001</v>
      </c>
      <c r="BD35" s="46">
        <v>42.297400000000003</v>
      </c>
      <c r="BE35" s="46">
        <v>43.722000000000001</v>
      </c>
      <c r="BF35" s="46">
        <v>45.226199999999999</v>
      </c>
      <c r="BG35" s="46">
        <v>44.5914</v>
      </c>
      <c r="BH35" s="46">
        <v>44.027700000000003</v>
      </c>
      <c r="BI35" s="46">
        <v>43.876100000000001</v>
      </c>
      <c r="BJ35" s="46">
        <v>44.061399999999999</v>
      </c>
      <c r="BK35" s="46">
        <v>42.864899999999999</v>
      </c>
      <c r="BL35" s="46">
        <v>42.908000000000001</v>
      </c>
      <c r="BM35" s="46">
        <v>43.735300000000002</v>
      </c>
      <c r="BN35" s="46">
        <v>42.918399999999998</v>
      </c>
      <c r="BO35" s="46">
        <v>43.683599999999998</v>
      </c>
      <c r="BP35" s="46">
        <v>44.004899999999999</v>
      </c>
      <c r="BQ35" s="46">
        <v>45.140999999999998</v>
      </c>
      <c r="BR35" s="46">
        <v>43.5959</v>
      </c>
      <c r="BS35" s="46">
        <v>42.938000000000002</v>
      </c>
      <c r="BT35" s="46">
        <v>42.346400000000003</v>
      </c>
      <c r="BU35" s="46">
        <v>42.311100000000003</v>
      </c>
      <c r="BV35" s="46">
        <v>41.720599999999997</v>
      </c>
      <c r="BW35" s="46">
        <v>43.08</v>
      </c>
      <c r="BX35" s="46">
        <v>43.280200000000001</v>
      </c>
      <c r="BY35" s="46">
        <v>43.126800000000003</v>
      </c>
      <c r="BZ35" s="46">
        <v>42.257300000000001</v>
      </c>
      <c r="CA35" s="46">
        <v>42.547600000000003</v>
      </c>
      <c r="CB35" s="46">
        <v>41.288400000000003</v>
      </c>
      <c r="CC35" s="46">
        <v>41.592799999999997</v>
      </c>
      <c r="CD35" s="46">
        <v>44.098999999999997</v>
      </c>
      <c r="CE35" s="46">
        <v>43.933900000000001</v>
      </c>
      <c r="CF35" s="46">
        <v>43.467500000000001</v>
      </c>
      <c r="CG35" s="46">
        <v>45.121200000000002</v>
      </c>
      <c r="CH35" s="46">
        <v>45.264800000000001</v>
      </c>
      <c r="CI35" s="46">
        <v>46.021804999999993</v>
      </c>
      <c r="CJ35" s="46">
        <v>46.389254545454556</v>
      </c>
      <c r="CK35" s="46">
        <v>46.219386956521745</v>
      </c>
      <c r="CL35" s="46">
        <v>46.508844999999994</v>
      </c>
      <c r="CM35" s="46">
        <v>46.451747619047616</v>
      </c>
      <c r="CN35" s="46">
        <v>46.273659090909085</v>
      </c>
      <c r="CO35" s="46">
        <v>45.969035000000005</v>
      </c>
      <c r="CP35" s="46">
        <v>41.761000000000003</v>
      </c>
      <c r="CQ35" s="46">
        <v>40.788937688107772</v>
      </c>
      <c r="CR35" s="46">
        <v>40.353235643284414</v>
      </c>
      <c r="CS35" s="46">
        <v>40.898157033266315</v>
      </c>
      <c r="CT35" s="46">
        <v>42.381500572960199</v>
      </c>
      <c r="CU35" s="46">
        <v>42.029289971006563</v>
      </c>
      <c r="CV35" s="46">
        <v>41.376235680734169</v>
      </c>
      <c r="CW35" s="46">
        <v>41.382492427934586</v>
      </c>
      <c r="CX35" s="46">
        <v>41.454518391591272</v>
      </c>
      <c r="CY35" s="46">
        <v>41.653467054852328</v>
      </c>
      <c r="CZ35" s="46">
        <v>41.62362382545107</v>
      </c>
      <c r="DA35" s="46">
        <v>40.920233868964353</v>
      </c>
      <c r="DB35" s="46">
        <v>41.322000000000003</v>
      </c>
      <c r="DC35" s="46">
        <v>41.295400092087753</v>
      </c>
      <c r="DD35" s="46">
        <v>41.190157325024842</v>
      </c>
      <c r="DE35" s="46">
        <v>40.171026975144891</v>
      </c>
      <c r="DF35" s="46">
        <v>40.513264656413895</v>
      </c>
      <c r="DG35" s="46">
        <v>40.215295007276538</v>
      </c>
      <c r="DH35" s="46">
        <v>39.430396342392854</v>
      </c>
      <c r="DI35" s="46">
        <v>38.731369771281429</v>
      </c>
      <c r="DJ35" s="46">
        <v>39.324573475240669</v>
      </c>
      <c r="DK35" s="46">
        <v>39.262034004392312</v>
      </c>
      <c r="DL35" s="46">
        <v>39.130394517650693</v>
      </c>
      <c r="DM35" s="46">
        <v>38.469562545023344</v>
      </c>
      <c r="DN35" s="46">
        <v>38.816736706118711</v>
      </c>
      <c r="DO35" s="46">
        <v>38.953894707309182</v>
      </c>
      <c r="DP35" s="46">
        <v>38.853427035586158</v>
      </c>
      <c r="DQ35" s="46">
        <v>39.746504392379592</v>
      </c>
      <c r="DR35" s="46">
        <v>40.567579824156667</v>
      </c>
      <c r="DS35" s="46">
        <v>40.48995420486964</v>
      </c>
      <c r="DT35" s="46">
        <v>40.874716756091793</v>
      </c>
      <c r="DU35" s="46">
        <v>41.070415856300805</v>
      </c>
      <c r="DV35" s="46">
        <v>41.243199117533813</v>
      </c>
      <c r="DW35" s="46">
        <v>40.609226301103234</v>
      </c>
      <c r="DX35" s="46">
        <v>40.88262855513814</v>
      </c>
      <c r="DY35" s="46">
        <v>40.834681363313365</v>
      </c>
      <c r="DZ35" s="46">
        <v>41.330157811438049</v>
      </c>
      <c r="EA35" s="46">
        <v>41.13710754342079</v>
      </c>
      <c r="EB35" s="46">
        <v>41.582836676494189</v>
      </c>
      <c r="EC35" s="46">
        <v>41.693499965664742</v>
      </c>
      <c r="ED35" s="46">
        <v>41.949048926622815</v>
      </c>
      <c r="EE35" s="46">
        <v>41.637729421964714</v>
      </c>
      <c r="EF35" s="46">
        <v>41.97991694485237</v>
      </c>
      <c r="EG35" s="46">
        <v>41.755562255745602</v>
      </c>
      <c r="EH35" s="46">
        <v>41.839638913033951</v>
      </c>
      <c r="EI35" s="46">
        <v>42.136577356869346</v>
      </c>
      <c r="EJ35" s="46">
        <v>42.108483090364707</v>
      </c>
      <c r="EK35" s="46">
        <v>41.945176383325538</v>
      </c>
      <c r="EL35" s="46">
        <v>41.703571540941233</v>
      </c>
      <c r="EM35" s="46">
        <v>41.596919425794077</v>
      </c>
      <c r="EN35" s="46">
        <v>41.226916909619192</v>
      </c>
      <c r="EO35" s="46">
        <v>40.704755216096331</v>
      </c>
      <c r="EP35" s="46">
        <v>40.302599408758461</v>
      </c>
      <c r="EQ35" s="46">
        <v>39.777140056003319</v>
      </c>
      <c r="ER35" s="46">
        <v>39.401533869309958</v>
      </c>
      <c r="ES35" s="46">
        <v>37.968228883836296</v>
      </c>
      <c r="ET35" s="46">
        <v>37.947652667686661</v>
      </c>
      <c r="EU35" s="46">
        <v>38.980029326587143</v>
      </c>
      <c r="EV35" s="46">
        <v>39.550600000000003</v>
      </c>
      <c r="EW35" s="46">
        <v>39.687854999999999</v>
      </c>
      <c r="EX35" s="46">
        <v>40.008099999999999</v>
      </c>
      <c r="EY35" s="46">
        <v>39.593060869565214</v>
      </c>
      <c r="EZ35" s="46">
        <v>40.040976190476194</v>
      </c>
      <c r="FA35" s="46">
        <v>40.3524200680272</v>
      </c>
      <c r="FB35" s="46">
        <v>40.687945129870123</v>
      </c>
      <c r="FC35" s="46">
        <v>39.50540526315789</v>
      </c>
      <c r="FD35" s="46">
        <v>39.860745454545459</v>
      </c>
      <c r="FE35" s="46">
        <v>39.828249999999997</v>
      </c>
      <c r="FF35" s="46">
        <v>40.423894736842108</v>
      </c>
      <c r="FG35" s="46">
        <v>40.289445454545458</v>
      </c>
      <c r="FH35" s="46">
        <v>40.686095000000009</v>
      </c>
      <c r="FI35" s="46">
        <v>40.712061538461541</v>
      </c>
      <c r="FJ35" s="46">
        <v>40.765509090909092</v>
      </c>
      <c r="FK35" s="46">
        <v>40.307504999999999</v>
      </c>
      <c r="FL35" s="46">
        <v>40.57914090909091</v>
      </c>
      <c r="FM35" s="46">
        <v>40.598633333333339</v>
      </c>
      <c r="FN35" s="46">
        <v>40.180947619047622</v>
      </c>
      <c r="FO35" s="46">
        <v>39.500204761904762</v>
      </c>
      <c r="FP35" s="46">
        <v>38.759268181818179</v>
      </c>
      <c r="FQ35" s="46">
        <v>38.973895238095238</v>
      </c>
      <c r="FR35" s="46">
        <v>38.813847058823534</v>
      </c>
      <c r="FS35" s="46">
        <v>38.767168181818185</v>
      </c>
      <c r="FT35" s="46">
        <v>38.730019999999996</v>
      </c>
      <c r="FU35" s="46">
        <v>39.34825</v>
      </c>
      <c r="FV35" s="46">
        <v>39.821795238095241</v>
      </c>
      <c r="FW35" s="46">
        <v>40.259238095238096</v>
      </c>
      <c r="FX35" s="46">
        <v>40.203917391304351</v>
      </c>
      <c r="FY35" s="46">
        <v>40.508499999999991</v>
      </c>
      <c r="FZ35" s="46">
        <v>40.756496336996342</v>
      </c>
      <c r="GA35" s="46">
        <v>40.882364999999993</v>
      </c>
      <c r="GB35" s="46">
        <v>40.940674999999999</v>
      </c>
      <c r="GC35" s="46">
        <v>41.277455555555555</v>
      </c>
      <c r="GD35" s="46">
        <v>41.254547058823533</v>
      </c>
      <c r="GE35" s="46">
        <v>41.667657142857152</v>
      </c>
      <c r="GF35" s="46">
        <v>42.121266666666671</v>
      </c>
      <c r="GG35" s="46">
        <v>41.49459090909091</v>
      </c>
      <c r="GH35" s="46">
        <v>40.914809523809531</v>
      </c>
      <c r="GI35" s="46">
        <v>40.783409090909089</v>
      </c>
      <c r="GJ35" s="46">
        <v>40.337613636363635</v>
      </c>
      <c r="GK35" s="46">
        <v>40.551478947368423</v>
      </c>
      <c r="GL35" s="46">
        <v>40.203143478260877</v>
      </c>
      <c r="GM35" s="46">
        <v>39.782210000000006</v>
      </c>
      <c r="GN35" s="46">
        <v>39.626194999999989</v>
      </c>
      <c r="GO35" s="46">
        <v>39.659135000000006</v>
      </c>
      <c r="GP35" s="46">
        <v>39.390205555555561</v>
      </c>
      <c r="GQ35" s="46">
        <v>39.669147368421051</v>
      </c>
      <c r="GR35" s="46">
        <v>39.746827272727273</v>
      </c>
      <c r="GS35" s="46">
        <v>39.91729545454546</v>
      </c>
      <c r="GT35" s="46">
        <v>40.728810526315797</v>
      </c>
      <c r="GU35" s="46">
        <v>40.920263636363643</v>
      </c>
      <c r="GV35" s="46">
        <v>40.533550000000012</v>
      </c>
      <c r="GW35" s="46">
        <v>40.442842105263161</v>
      </c>
      <c r="GX35" s="46">
        <v>40.688254849498328</v>
      </c>
      <c r="GY35" s="46">
        <v>40.824878947368425</v>
      </c>
      <c r="GZ35" s="46">
        <v>41.067850000000007</v>
      </c>
      <c r="HA35" s="46">
        <v>41.088961904761895</v>
      </c>
      <c r="HB35" s="46">
        <v>41.070999999999998</v>
      </c>
      <c r="HC35" s="47">
        <v>43.012465000000006</v>
      </c>
      <c r="HD35" s="46">
        <v>43.728445454545458</v>
      </c>
      <c r="HE35" s="46">
        <v>44.163089999999997</v>
      </c>
      <c r="HF35" s="47">
        <v>45.5407288961039</v>
      </c>
      <c r="HG35" s="46">
        <v>46.406126086956512</v>
      </c>
      <c r="HH35" s="46">
        <v>47.631790476190474</v>
      </c>
      <c r="HI35" s="46">
        <v>47.586549999999995</v>
      </c>
      <c r="HJ35" s="46">
        <v>47.548813636363633</v>
      </c>
      <c r="HK35" s="46">
        <v>47.884744999999995</v>
      </c>
      <c r="HL35" s="46">
        <v>48.803122727272722</v>
      </c>
      <c r="HM35" s="46">
        <v>48.688000000000002</v>
      </c>
      <c r="HN35" s="45">
        <v>48.712422222222216</v>
      </c>
      <c r="HO35" s="45">
        <v>48.445180000000008</v>
      </c>
      <c r="HP35" s="45">
        <v>48.959869999999995</v>
      </c>
      <c r="HQ35" s="45">
        <v>49.782754999999995</v>
      </c>
      <c r="HR35" s="45">
        <v>50.100777272727278</v>
      </c>
      <c r="HS35" s="45">
        <v>51.124031818181827</v>
      </c>
      <c r="HT35" s="45">
        <v>50.77405000000001</v>
      </c>
      <c r="HU35" s="45">
        <v>50.699045454545448</v>
      </c>
      <c r="HV35" s="45">
        <v>50.179238095238091</v>
      </c>
      <c r="HW35" s="45">
        <v>49.670757894736838</v>
      </c>
      <c r="HX35" s="45">
        <v>49.637226086956517</v>
      </c>
      <c r="HY35" s="45">
        <v>49.885742105263169</v>
      </c>
      <c r="HZ35" s="45">
        <v>50.117300000000007</v>
      </c>
      <c r="IA35" s="45">
        <v>49.251922727272721</v>
      </c>
      <c r="IB35" s="45">
        <v>47.719299999999997</v>
      </c>
      <c r="IC35" s="45">
        <v>46.345885714285721</v>
      </c>
      <c r="ID35" s="45">
        <v>47.558536363636364</v>
      </c>
      <c r="IE35" s="45">
        <v>46.784509523809525</v>
      </c>
      <c r="IF35" s="45">
        <v>46.4129</v>
      </c>
      <c r="IG35" s="45">
        <v>45.02142380952381</v>
      </c>
      <c r="IH35" s="45">
        <v>44.395914999999995</v>
      </c>
      <c r="II35" s="45">
        <v>45.488276190476185</v>
      </c>
      <c r="IJ35" s="45">
        <v>47.037990909090901</v>
      </c>
      <c r="IK35" s="45">
        <v>48.356457894736842</v>
      </c>
      <c r="IL35" s="45">
        <v>49.688361111111114</v>
      </c>
      <c r="IM35" s="45">
        <v>50.582750000000004</v>
      </c>
      <c r="IN35" s="45">
        <v>50.157285000000002</v>
      </c>
      <c r="IO35" s="45">
        <v>50.061709090909083</v>
      </c>
      <c r="IP35" s="45">
        <v>50.019513636363634</v>
      </c>
      <c r="IQ35" s="45">
        <v>51.041804761904757</v>
      </c>
      <c r="IR35" s="45">
        <v>50.238908695652171</v>
      </c>
      <c r="IS35" s="45">
        <v>48.803815</v>
      </c>
    </row>
    <row r="36" spans="1:253" ht="9" customHeight="1" thickBot="1" x14ac:dyDescent="0.35">
      <c r="A36" s="44"/>
      <c r="B36" s="42"/>
      <c r="C36" s="42"/>
      <c r="D36" s="40"/>
      <c r="E36" s="40"/>
      <c r="F36" s="40"/>
      <c r="G36" s="42"/>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2"/>
      <c r="AV36" s="42"/>
      <c r="AW36" s="42"/>
      <c r="AX36" s="42"/>
      <c r="AY36" s="42"/>
      <c r="AZ36" s="42"/>
      <c r="BA36" s="42"/>
      <c r="BB36" s="42"/>
      <c r="BC36" s="42"/>
      <c r="BD36" s="42"/>
      <c r="BE36" s="42"/>
      <c r="BF36" s="42"/>
      <c r="BG36" s="42"/>
      <c r="BH36" s="42"/>
      <c r="BI36" s="43"/>
      <c r="BJ36" s="42"/>
      <c r="BK36" s="42"/>
      <c r="BL36" s="42"/>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1"/>
      <c r="HD36" s="40"/>
      <c r="HE36" s="40"/>
      <c r="HF36" s="41"/>
      <c r="HG36" s="40"/>
      <c r="HH36" s="40"/>
      <c r="HI36" s="40"/>
      <c r="HJ36" s="40"/>
      <c r="HK36" s="40"/>
      <c r="HL36" s="40"/>
      <c r="HM36" s="40"/>
      <c r="HN36" s="39"/>
      <c r="HO36" s="39"/>
      <c r="HP36" s="39"/>
      <c r="HQ36" s="39"/>
      <c r="HR36" s="39"/>
      <c r="HS36" s="39"/>
      <c r="HT36" s="39"/>
      <c r="HU36" s="39"/>
      <c r="HV36" s="39"/>
      <c r="HW36" s="39"/>
      <c r="HX36" s="39"/>
      <c r="HY36" s="39"/>
      <c r="HZ36" s="39"/>
      <c r="IA36" s="39"/>
      <c r="IB36" s="39"/>
      <c r="IC36" s="39"/>
      <c r="ID36" s="39"/>
      <c r="IE36" s="39"/>
      <c r="IF36" s="39"/>
      <c r="IG36" s="39"/>
      <c r="IH36" s="39"/>
      <c r="II36" s="39"/>
      <c r="IJ36" s="39"/>
      <c r="IK36" s="39"/>
      <c r="IL36" s="39"/>
      <c r="IM36" s="39"/>
      <c r="IN36" s="39"/>
      <c r="IO36" s="39"/>
      <c r="IP36" s="39"/>
      <c r="IQ36" s="39"/>
      <c r="IR36" s="39"/>
      <c r="IS36" s="39"/>
    </row>
    <row r="37" spans="1:253" s="36" customFormat="1" ht="18.95" customHeight="1" thickTop="1" x14ac:dyDescent="0.3">
      <c r="A37" s="38" t="s">
        <v>11</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row>
    <row r="38" spans="1:253" s="34" customFormat="1" ht="23.25" customHeight="1" x14ac:dyDescent="0.25">
      <c r="A38" s="35" t="s">
        <v>0</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35"/>
      <c r="DY38" s="35"/>
      <c r="DZ38" s="35"/>
      <c r="EA38" s="35"/>
      <c r="EB38" s="35"/>
      <c r="EC38" s="35"/>
      <c r="ED38" s="35"/>
      <c r="EE38" s="35"/>
      <c r="EF38" s="35"/>
      <c r="EG38" s="35"/>
      <c r="EH38" s="35"/>
      <c r="EI38" s="35"/>
      <c r="EJ38" s="35"/>
      <c r="EK38" s="35"/>
      <c r="EL38" s="35"/>
      <c r="EM38" s="35"/>
      <c r="EN38" s="35"/>
      <c r="EO38" s="35"/>
      <c r="EP38" s="35"/>
      <c r="EQ38" s="35"/>
      <c r="ER38" s="35"/>
      <c r="ES38" s="35"/>
      <c r="ET38" s="35"/>
      <c r="EU38" s="35"/>
      <c r="EV38" s="35"/>
      <c r="EW38" s="35"/>
      <c r="EX38" s="35"/>
      <c r="EY38" s="35"/>
      <c r="EZ38" s="35"/>
      <c r="FA38" s="35"/>
      <c r="FB38" s="35"/>
      <c r="FC38" s="35"/>
      <c r="FD38" s="35"/>
      <c r="FE38" s="35"/>
      <c r="FF38" s="35"/>
      <c r="FG38" s="35"/>
      <c r="FH38" s="35"/>
      <c r="FI38" s="35"/>
    </row>
    <row r="39" spans="1:253" x14ac:dyDescent="0.3">
      <c r="B39" s="31"/>
    </row>
    <row r="40" spans="1:253" x14ac:dyDescent="0.3">
      <c r="B40" s="31"/>
    </row>
    <row r="41" spans="1:253" x14ac:dyDescent="0.3">
      <c r="B41" s="31"/>
    </row>
    <row r="42" spans="1:253" x14ac:dyDescent="0.3">
      <c r="B42" s="31"/>
    </row>
    <row r="43" spans="1:253" x14ac:dyDescent="0.3">
      <c r="B43" s="31"/>
    </row>
    <row r="44" spans="1:253" x14ac:dyDescent="0.3">
      <c r="B44" s="31"/>
    </row>
    <row r="45" spans="1:253" x14ac:dyDescent="0.3">
      <c r="B45" s="31"/>
    </row>
    <row r="46" spans="1:253" x14ac:dyDescent="0.3">
      <c r="B46" s="31"/>
    </row>
    <row r="47" spans="1:253" x14ac:dyDescent="0.3">
      <c r="B47" s="31"/>
    </row>
    <row r="48" spans="1:253" x14ac:dyDescent="0.3">
      <c r="B48" s="31"/>
    </row>
    <row r="49" s="31" customFormat="1" x14ac:dyDescent="0.3"/>
    <row r="50" s="31" customFormat="1" x14ac:dyDescent="0.3"/>
    <row r="51" s="31" customFormat="1" x14ac:dyDescent="0.3"/>
    <row r="52" s="31" customFormat="1" x14ac:dyDescent="0.3"/>
    <row r="53" s="31" customFormat="1" x14ac:dyDescent="0.3"/>
    <row r="54" s="31" customFormat="1" x14ac:dyDescent="0.3"/>
    <row r="55" s="31" customFormat="1" x14ac:dyDescent="0.3"/>
    <row r="56" s="31" customFormat="1" x14ac:dyDescent="0.3"/>
    <row r="57" s="31" customFormat="1" x14ac:dyDescent="0.3"/>
    <row r="58" s="31" customFormat="1" x14ac:dyDescent="0.3"/>
    <row r="59" s="31" customFormat="1" x14ac:dyDescent="0.3"/>
    <row r="60" s="31" customFormat="1" x14ac:dyDescent="0.3"/>
    <row r="61" s="31" customFormat="1" x14ac:dyDescent="0.3"/>
    <row r="62" s="31" customFormat="1" x14ac:dyDescent="0.3"/>
    <row r="63" s="31" customFormat="1" x14ac:dyDescent="0.3"/>
    <row r="64" s="31" customFormat="1" x14ac:dyDescent="0.3"/>
    <row r="65" s="31" customFormat="1" x14ac:dyDescent="0.3"/>
    <row r="66" s="31" customFormat="1" x14ac:dyDescent="0.3"/>
    <row r="67" s="31" customFormat="1" x14ac:dyDescent="0.3"/>
    <row r="68" s="31" customFormat="1" x14ac:dyDescent="0.3"/>
    <row r="69" s="31" customFormat="1" x14ac:dyDescent="0.3"/>
    <row r="70" s="31" customFormat="1" x14ac:dyDescent="0.3"/>
    <row r="71" s="31" customFormat="1" x14ac:dyDescent="0.3"/>
    <row r="72" s="31" customFormat="1" x14ac:dyDescent="0.3"/>
    <row r="73" s="31" customFormat="1" x14ac:dyDescent="0.3"/>
    <row r="74" s="31" customFormat="1" x14ac:dyDescent="0.3"/>
    <row r="75" s="31" customFormat="1" x14ac:dyDescent="0.3"/>
    <row r="76" s="31" customFormat="1" x14ac:dyDescent="0.3"/>
    <row r="77" s="31" customFormat="1" x14ac:dyDescent="0.3"/>
    <row r="78" s="31" customFormat="1" x14ac:dyDescent="0.3"/>
    <row r="79" s="31" customFormat="1" x14ac:dyDescent="0.3"/>
    <row r="80" s="31" customFormat="1" x14ac:dyDescent="0.3"/>
    <row r="81" spans="1:1" s="31" customFormat="1" x14ac:dyDescent="0.3"/>
    <row r="82" spans="1:1" s="31" customFormat="1" x14ac:dyDescent="0.3"/>
    <row r="83" spans="1:1" s="31" customFormat="1" x14ac:dyDescent="0.3"/>
    <row r="84" spans="1:1" s="31" customFormat="1" x14ac:dyDescent="0.3"/>
    <row r="85" spans="1:1" s="31" customFormat="1" x14ac:dyDescent="0.3"/>
    <row r="86" spans="1:1" s="31" customFormat="1" x14ac:dyDescent="0.3"/>
    <row r="87" spans="1:1" s="31" customFormat="1" x14ac:dyDescent="0.3"/>
    <row r="88" spans="1:1" s="31" customFormat="1" x14ac:dyDescent="0.3"/>
    <row r="89" spans="1:1" s="31" customFormat="1" x14ac:dyDescent="0.3"/>
    <row r="90" spans="1:1" s="31" customFormat="1" x14ac:dyDescent="0.3"/>
    <row r="91" spans="1:1" s="31" customFormat="1" x14ac:dyDescent="0.3"/>
    <row r="92" spans="1:1" s="31" customFormat="1" x14ac:dyDescent="0.3"/>
    <row r="93" spans="1:1" s="31" customFormat="1" x14ac:dyDescent="0.3"/>
    <row r="94" spans="1:1" s="31" customFormat="1" x14ac:dyDescent="0.3">
      <c r="A94" s="33"/>
    </row>
    <row r="95" spans="1:1" s="31" customFormat="1" x14ac:dyDescent="0.3"/>
    <row r="96" spans="1:1" s="31" customFormat="1" x14ac:dyDescent="0.3"/>
    <row r="97" s="31" customFormat="1" x14ac:dyDescent="0.3"/>
    <row r="98" s="31" customFormat="1" x14ac:dyDescent="0.3"/>
    <row r="99" s="31" customFormat="1" x14ac:dyDescent="0.3"/>
    <row r="100" s="31" customFormat="1" x14ac:dyDescent="0.3"/>
    <row r="101" s="31" customFormat="1" x14ac:dyDescent="0.3"/>
    <row r="102" s="31" customFormat="1" x14ac:dyDescent="0.3"/>
    <row r="103" s="31" customFormat="1" x14ac:dyDescent="0.3"/>
    <row r="104" s="31" customFormat="1" x14ac:dyDescent="0.3"/>
    <row r="105" s="31" customFormat="1" x14ac:dyDescent="0.3"/>
    <row r="106" s="31" customFormat="1" x14ac:dyDescent="0.3"/>
    <row r="107" s="31" customFormat="1" x14ac:dyDescent="0.3"/>
    <row r="108" s="31" customFormat="1" x14ac:dyDescent="0.3"/>
    <row r="109" s="31" customFormat="1" x14ac:dyDescent="0.3"/>
    <row r="110" s="31" customFormat="1" x14ac:dyDescent="0.3"/>
    <row r="111" s="31" customFormat="1" x14ac:dyDescent="0.3"/>
    <row r="112" s="31" customFormat="1" x14ac:dyDescent="0.3"/>
    <row r="113" s="31" customFormat="1" x14ac:dyDescent="0.3"/>
    <row r="114" s="31" customFormat="1" x14ac:dyDescent="0.3"/>
    <row r="115" s="31" customFormat="1" x14ac:dyDescent="0.3"/>
    <row r="116" s="31" customFormat="1" x14ac:dyDescent="0.3"/>
    <row r="117" s="31" customFormat="1" x14ac:dyDescent="0.3"/>
    <row r="118" s="31" customFormat="1" x14ac:dyDescent="0.3"/>
    <row r="119" s="31" customFormat="1" x14ac:dyDescent="0.3"/>
    <row r="120" s="31" customFormat="1" x14ac:dyDescent="0.3"/>
    <row r="121" s="31" customFormat="1" x14ac:dyDescent="0.3"/>
    <row r="122" s="31" customFormat="1" x14ac:dyDescent="0.3"/>
    <row r="123" s="31" customFormat="1" x14ac:dyDescent="0.3"/>
    <row r="124" s="31" customFormat="1" x14ac:dyDescent="0.3"/>
    <row r="125" s="31" customFormat="1" x14ac:dyDescent="0.3"/>
    <row r="126" s="31" customFormat="1" x14ac:dyDescent="0.3"/>
    <row r="127" s="31" customFormat="1" x14ac:dyDescent="0.3"/>
    <row r="128" s="31" customFormat="1" x14ac:dyDescent="0.3"/>
    <row r="129" s="31" customFormat="1" x14ac:dyDescent="0.3"/>
    <row r="130" s="31" customFormat="1" x14ac:dyDescent="0.3"/>
    <row r="131" s="31" customFormat="1" x14ac:dyDescent="0.3"/>
    <row r="132" s="31" customFormat="1" x14ac:dyDescent="0.3"/>
    <row r="133" s="31" customFormat="1" x14ac:dyDescent="0.3"/>
    <row r="134" s="31" customFormat="1" x14ac:dyDescent="0.3"/>
    <row r="135" s="31" customFormat="1" x14ac:dyDescent="0.3"/>
    <row r="136" s="31" customFormat="1" x14ac:dyDescent="0.3"/>
    <row r="137" s="31" customFormat="1" x14ac:dyDescent="0.3"/>
    <row r="138" s="31" customFormat="1" x14ac:dyDescent="0.3"/>
    <row r="139" s="31" customFormat="1" x14ac:dyDescent="0.3"/>
    <row r="140" s="31" customFormat="1" x14ac:dyDescent="0.3"/>
    <row r="141" s="31" customFormat="1" x14ac:dyDescent="0.3"/>
    <row r="142" s="31" customFormat="1" x14ac:dyDescent="0.3"/>
    <row r="143" s="31" customFormat="1" x14ac:dyDescent="0.3"/>
    <row r="144" s="31" customFormat="1" x14ac:dyDescent="0.3"/>
    <row r="145" s="31" customFormat="1" x14ac:dyDescent="0.3"/>
    <row r="146" s="31" customFormat="1" x14ac:dyDescent="0.3"/>
    <row r="147" s="31" customFormat="1" x14ac:dyDescent="0.3"/>
    <row r="148" s="31" customFormat="1" x14ac:dyDescent="0.3"/>
    <row r="149" s="31" customFormat="1" x14ac:dyDescent="0.3"/>
    <row r="150" s="31" customFormat="1" x14ac:dyDescent="0.3"/>
    <row r="151" s="31" customFormat="1" x14ac:dyDescent="0.3"/>
    <row r="152" s="31" customFormat="1" x14ac:dyDescent="0.3"/>
    <row r="153" s="31" customFormat="1" x14ac:dyDescent="0.3"/>
    <row r="154" s="31" customFormat="1" x14ac:dyDescent="0.3"/>
    <row r="155" s="31" customFormat="1" x14ac:dyDescent="0.3"/>
    <row r="156" s="31" customFormat="1" x14ac:dyDescent="0.3"/>
    <row r="157" s="31" customFormat="1" x14ac:dyDescent="0.3"/>
    <row r="158" s="31" customFormat="1" x14ac:dyDescent="0.3"/>
    <row r="159" s="31" customFormat="1" x14ac:dyDescent="0.3"/>
    <row r="160" s="31" customFormat="1" x14ac:dyDescent="0.3"/>
    <row r="161" s="31" customFormat="1" x14ac:dyDescent="0.3"/>
    <row r="162" s="31" customFormat="1" x14ac:dyDescent="0.3"/>
    <row r="163" s="31" customFormat="1" x14ac:dyDescent="0.3"/>
    <row r="164" s="31" customFormat="1" x14ac:dyDescent="0.3"/>
    <row r="165" s="31" customFormat="1" x14ac:dyDescent="0.3"/>
    <row r="166" s="31" customFormat="1" x14ac:dyDescent="0.3"/>
    <row r="167" s="31" customFormat="1" x14ac:dyDescent="0.3"/>
    <row r="168" s="31" customFormat="1" x14ac:dyDescent="0.3"/>
    <row r="169" s="31" customFormat="1" x14ac:dyDescent="0.3"/>
    <row r="170" s="31" customFormat="1" x14ac:dyDescent="0.3"/>
    <row r="171" s="31" customFormat="1" x14ac:dyDescent="0.3"/>
    <row r="172" s="31" customFormat="1" x14ac:dyDescent="0.3"/>
    <row r="173" s="31" customFormat="1" x14ac:dyDescent="0.3"/>
    <row r="174" s="31" customFormat="1" x14ac:dyDescent="0.3"/>
    <row r="175" s="31" customFormat="1" x14ac:dyDescent="0.3"/>
    <row r="176" s="31" customFormat="1" x14ac:dyDescent="0.3"/>
    <row r="177" s="31" customFormat="1" x14ac:dyDescent="0.3"/>
    <row r="178" s="31" customFormat="1" x14ac:dyDescent="0.3"/>
    <row r="179" s="31" customFormat="1" x14ac:dyDescent="0.3"/>
    <row r="180" s="31" customFormat="1" x14ac:dyDescent="0.3"/>
    <row r="181" s="31" customFormat="1" x14ac:dyDescent="0.3"/>
    <row r="182" s="31" customFormat="1" x14ac:dyDescent="0.3"/>
    <row r="183" s="31" customFormat="1" x14ac:dyDescent="0.3"/>
    <row r="184" s="31" customFormat="1" x14ac:dyDescent="0.3"/>
    <row r="185" s="31" customFormat="1" x14ac:dyDescent="0.3"/>
    <row r="186" s="31" customFormat="1" x14ac:dyDescent="0.3"/>
    <row r="187" s="31" customFormat="1" x14ac:dyDescent="0.3"/>
    <row r="188" s="31" customFormat="1" x14ac:dyDescent="0.3"/>
    <row r="189" s="31" customFormat="1" x14ac:dyDescent="0.3"/>
    <row r="190" s="31" customFormat="1" x14ac:dyDescent="0.3"/>
    <row r="191" s="31" customFormat="1" x14ac:dyDescent="0.3"/>
    <row r="192" s="31" customFormat="1" x14ac:dyDescent="0.3"/>
    <row r="193" s="31" customFormat="1" x14ac:dyDescent="0.3"/>
    <row r="194" s="31" customFormat="1" x14ac:dyDescent="0.3"/>
    <row r="195" s="31" customFormat="1" x14ac:dyDescent="0.3"/>
    <row r="196" s="31" customFormat="1" x14ac:dyDescent="0.3"/>
    <row r="197" s="31" customFormat="1" x14ac:dyDescent="0.3"/>
    <row r="198" s="31" customFormat="1" x14ac:dyDescent="0.3"/>
    <row r="199" s="31" customFormat="1" x14ac:dyDescent="0.3"/>
    <row r="200" s="31" customFormat="1" x14ac:dyDescent="0.3"/>
    <row r="201" s="31" customFormat="1" x14ac:dyDescent="0.3"/>
    <row r="202" s="31" customFormat="1" x14ac:dyDescent="0.3"/>
    <row r="203" s="31" customFormat="1" x14ac:dyDescent="0.3"/>
    <row r="204" s="31" customFormat="1" x14ac:dyDescent="0.3"/>
    <row r="205" s="31" customFormat="1" x14ac:dyDescent="0.3"/>
    <row r="206" s="31" customFormat="1" x14ac:dyDescent="0.3"/>
    <row r="207" s="31" customFormat="1" x14ac:dyDescent="0.3"/>
    <row r="208" s="31" customFormat="1" x14ac:dyDescent="0.3"/>
    <row r="209" s="31" customFormat="1" x14ac:dyDescent="0.3"/>
    <row r="210" s="31" customFormat="1" x14ac:dyDescent="0.3"/>
    <row r="211" s="31" customFormat="1" x14ac:dyDescent="0.3"/>
    <row r="212" s="31" customFormat="1" x14ac:dyDescent="0.3"/>
    <row r="213" s="31" customFormat="1" x14ac:dyDescent="0.3"/>
    <row r="214" s="31" customFormat="1" x14ac:dyDescent="0.3"/>
    <row r="215" s="31" customFormat="1" x14ac:dyDescent="0.3"/>
    <row r="216" s="31" customFormat="1" x14ac:dyDescent="0.3"/>
    <row r="217" s="31" customFormat="1" x14ac:dyDescent="0.3"/>
    <row r="218" s="31" customFormat="1" x14ac:dyDescent="0.3"/>
    <row r="219" s="31" customFormat="1" x14ac:dyDescent="0.3"/>
    <row r="220" s="31" customFormat="1" x14ac:dyDescent="0.3"/>
    <row r="221" s="31" customFormat="1" x14ac:dyDescent="0.3"/>
    <row r="222" s="31" customFormat="1" x14ac:dyDescent="0.3"/>
    <row r="223" s="31" customFormat="1" x14ac:dyDescent="0.3"/>
    <row r="224" s="31" customFormat="1" x14ac:dyDescent="0.3"/>
    <row r="225" s="31" customFormat="1" x14ac:dyDescent="0.3"/>
    <row r="226" s="31" customFormat="1" x14ac:dyDescent="0.3"/>
    <row r="227" s="31" customFormat="1" x14ac:dyDescent="0.3"/>
    <row r="228" s="31" customFormat="1" x14ac:dyDescent="0.3"/>
    <row r="229" s="31" customFormat="1" x14ac:dyDescent="0.3"/>
    <row r="230" s="31" customFormat="1" x14ac:dyDescent="0.3"/>
    <row r="231" s="31" customFormat="1" x14ac:dyDescent="0.3"/>
    <row r="232" s="31" customFormat="1" x14ac:dyDescent="0.3"/>
    <row r="233" s="31" customFormat="1" x14ac:dyDescent="0.3"/>
    <row r="234" s="31" customFormat="1" x14ac:dyDescent="0.3"/>
    <row r="235" s="31" customFormat="1" x14ac:dyDescent="0.3"/>
    <row r="236" s="31" customFormat="1" x14ac:dyDescent="0.3"/>
    <row r="237" s="31" customFormat="1" x14ac:dyDescent="0.3"/>
    <row r="238" s="31" customFormat="1" x14ac:dyDescent="0.3"/>
    <row r="239" s="31" customFormat="1" x14ac:dyDescent="0.3"/>
    <row r="240" s="31" customFormat="1" x14ac:dyDescent="0.3"/>
    <row r="241" s="31" customFormat="1" x14ac:dyDescent="0.3"/>
    <row r="242" s="31" customFormat="1" x14ac:dyDescent="0.3"/>
    <row r="243" s="31" customFormat="1" x14ac:dyDescent="0.3"/>
    <row r="244" s="31" customFormat="1" x14ac:dyDescent="0.3"/>
    <row r="245" s="31" customFormat="1" x14ac:dyDescent="0.3"/>
    <row r="246" s="31" customFormat="1" x14ac:dyDescent="0.3"/>
    <row r="247" s="31" customFormat="1" x14ac:dyDescent="0.3"/>
    <row r="248" s="31" customFormat="1" x14ac:dyDescent="0.3"/>
    <row r="249" s="31" customFormat="1" x14ac:dyDescent="0.3"/>
    <row r="250" s="31" customFormat="1" x14ac:dyDescent="0.3"/>
    <row r="251" s="31" customFormat="1" x14ac:dyDescent="0.3"/>
    <row r="252" s="31" customFormat="1" x14ac:dyDescent="0.3"/>
    <row r="253" s="31" customFormat="1" x14ac:dyDescent="0.3"/>
    <row r="254" s="31" customFormat="1" x14ac:dyDescent="0.3"/>
    <row r="255" s="31" customFormat="1" x14ac:dyDescent="0.3"/>
    <row r="256" s="31" customFormat="1" x14ac:dyDescent="0.3"/>
    <row r="257" s="31" customFormat="1" x14ac:dyDescent="0.3"/>
    <row r="258" s="31" customFormat="1" x14ac:dyDescent="0.3"/>
    <row r="259" s="31" customFormat="1" x14ac:dyDescent="0.3"/>
    <row r="260" s="31" customFormat="1" x14ac:dyDescent="0.3"/>
    <row r="261" s="31" customFormat="1" x14ac:dyDescent="0.3"/>
    <row r="262" s="31" customFormat="1" x14ac:dyDescent="0.3"/>
    <row r="263" s="31" customFormat="1" x14ac:dyDescent="0.3"/>
    <row r="264" s="31" customFormat="1" x14ac:dyDescent="0.3"/>
    <row r="265" s="31" customFormat="1" x14ac:dyDescent="0.3"/>
    <row r="266" s="31" customFormat="1" x14ac:dyDescent="0.3"/>
    <row r="267" s="31" customFormat="1" x14ac:dyDescent="0.3"/>
    <row r="268" s="31" customFormat="1" x14ac:dyDescent="0.3"/>
    <row r="269" s="31" customFormat="1" x14ac:dyDescent="0.3"/>
    <row r="270" s="31" customFormat="1" x14ac:dyDescent="0.3"/>
    <row r="271" s="31" customFormat="1" x14ac:dyDescent="0.3"/>
    <row r="272" s="31" customFormat="1" x14ac:dyDescent="0.3"/>
    <row r="273" s="31" customFormat="1" x14ac:dyDescent="0.3"/>
    <row r="274" s="31" customFormat="1" x14ac:dyDescent="0.3"/>
    <row r="275" s="31" customFormat="1" x14ac:dyDescent="0.3"/>
    <row r="276" s="31" customFormat="1" x14ac:dyDescent="0.3"/>
    <row r="277" s="31" customFormat="1" x14ac:dyDescent="0.3"/>
    <row r="278" s="31" customFormat="1" x14ac:dyDescent="0.3"/>
    <row r="279" s="31" customFormat="1" x14ac:dyDescent="0.3"/>
    <row r="280" s="31" customFormat="1" x14ac:dyDescent="0.3"/>
    <row r="281" s="31" customFormat="1" x14ac:dyDescent="0.3"/>
    <row r="282" s="31" customFormat="1" x14ac:dyDescent="0.3"/>
    <row r="283" s="31" customFormat="1" x14ac:dyDescent="0.3"/>
    <row r="284" s="31" customFormat="1" x14ac:dyDescent="0.3"/>
    <row r="285" s="31" customFormat="1" x14ac:dyDescent="0.3"/>
  </sheetData>
  <mergeCells count="126">
    <mergeCell ref="GI3:GI4"/>
    <mergeCell ref="GJ3:GJ4"/>
    <mergeCell ref="GK3:GK4"/>
    <mergeCell ref="GL3:GL4"/>
    <mergeCell ref="GM3:GM4"/>
    <mergeCell ref="GN3:GN4"/>
    <mergeCell ref="GO3:GO4"/>
    <mergeCell ref="GP3:GP4"/>
    <mergeCell ref="GQ3:GQ4"/>
    <mergeCell ref="GR3:GR4"/>
    <mergeCell ref="GS3:GS4"/>
    <mergeCell ref="GT3:GT4"/>
    <mergeCell ref="GU3:GU4"/>
    <mergeCell ref="GV3:GV4"/>
    <mergeCell ref="GW3:GW4"/>
    <mergeCell ref="GX3:GX4"/>
    <mergeCell ref="GY3:GY4"/>
    <mergeCell ref="GZ3:GZ4"/>
    <mergeCell ref="HA3:HA4"/>
    <mergeCell ref="HB3:HB4"/>
    <mergeCell ref="HC3:HC4"/>
    <mergeCell ref="HD3:HD4"/>
    <mergeCell ref="HE3:HE4"/>
    <mergeCell ref="HF3:HF4"/>
    <mergeCell ref="HG3:HG4"/>
    <mergeCell ref="HH3:HH4"/>
    <mergeCell ref="HI3:HI4"/>
    <mergeCell ref="HJ3:HJ4"/>
    <mergeCell ref="HK3:HK4"/>
    <mergeCell ref="HL3:HL4"/>
    <mergeCell ref="HM3:HM4"/>
    <mergeCell ref="HN3:HN4"/>
    <mergeCell ref="HO3:HO4"/>
    <mergeCell ref="HP3:HP4"/>
    <mergeCell ref="HQ3:HQ4"/>
    <mergeCell ref="HR3:HR4"/>
    <mergeCell ref="HS3:HS4"/>
    <mergeCell ref="HT3:HT4"/>
    <mergeCell ref="HU3:HU4"/>
    <mergeCell ref="HV3:HV4"/>
    <mergeCell ref="HW3:HW4"/>
    <mergeCell ref="HX3:HX4"/>
    <mergeCell ref="HY3:HY4"/>
    <mergeCell ref="HZ3:HZ4"/>
    <mergeCell ref="IA3:IA4"/>
    <mergeCell ref="IB3:IB4"/>
    <mergeCell ref="IC3:IC4"/>
    <mergeCell ref="ID3:ID4"/>
    <mergeCell ref="IE3:IE4"/>
    <mergeCell ref="IF3:IF4"/>
    <mergeCell ref="IG3:IG4"/>
    <mergeCell ref="IH3:IH4"/>
    <mergeCell ref="II3:II4"/>
    <mergeCell ref="IJ3:IJ4"/>
    <mergeCell ref="IK3:IK4"/>
    <mergeCell ref="IL3:IL4"/>
    <mergeCell ref="IM3:IM4"/>
    <mergeCell ref="IN3:IN4"/>
    <mergeCell ref="IO3:IO4"/>
    <mergeCell ref="IP3:IP4"/>
    <mergeCell ref="IQ3:IQ4"/>
    <mergeCell ref="IR3:IR4"/>
    <mergeCell ref="IS3:IS4"/>
    <mergeCell ref="GI22:GI23"/>
    <mergeCell ref="GJ22:GJ23"/>
    <mergeCell ref="GK22:GK23"/>
    <mergeCell ref="GL22:GL23"/>
    <mergeCell ref="GM22:GM23"/>
    <mergeCell ref="GN22:GN23"/>
    <mergeCell ref="GO22:GO23"/>
    <mergeCell ref="GP22:GP23"/>
    <mergeCell ref="GQ22:GQ23"/>
    <mergeCell ref="GR22:GR23"/>
    <mergeCell ref="GS22:GS23"/>
    <mergeCell ref="GT22:GT23"/>
    <mergeCell ref="GU22:GU23"/>
    <mergeCell ref="GV22:GV23"/>
    <mergeCell ref="GW22:GW23"/>
    <mergeCell ref="GX22:GX23"/>
    <mergeCell ref="GY22:GY23"/>
    <mergeCell ref="GZ22:GZ23"/>
    <mergeCell ref="HA22:HA23"/>
    <mergeCell ref="HB22:HB23"/>
    <mergeCell ref="HC22:HC23"/>
    <mergeCell ref="HD22:HD23"/>
    <mergeCell ref="HE22:HE23"/>
    <mergeCell ref="HF22:HF23"/>
    <mergeCell ref="HG22:HG23"/>
    <mergeCell ref="HH22:HH23"/>
    <mergeCell ref="HI22:HI23"/>
    <mergeCell ref="HJ22:HJ23"/>
    <mergeCell ref="HK22:HK23"/>
    <mergeCell ref="HL22:HL23"/>
    <mergeCell ref="HM22:HM23"/>
    <mergeCell ref="HN22:HN23"/>
    <mergeCell ref="HO22:HO23"/>
    <mergeCell ref="HP22:HP23"/>
    <mergeCell ref="HQ22:HQ23"/>
    <mergeCell ref="HR22:HR23"/>
    <mergeCell ref="HS22:HS23"/>
    <mergeCell ref="HT22:HT23"/>
    <mergeCell ref="HU22:HU23"/>
    <mergeCell ref="HV22:HV23"/>
    <mergeCell ref="HW22:HW23"/>
    <mergeCell ref="HX22:HX23"/>
    <mergeCell ref="HY22:HY23"/>
    <mergeCell ref="HZ22:HZ23"/>
    <mergeCell ref="IA22:IA23"/>
    <mergeCell ref="IB22:IB23"/>
    <mergeCell ref="IC22:IC23"/>
    <mergeCell ref="ID22:ID23"/>
    <mergeCell ref="IE22:IE23"/>
    <mergeCell ref="IF22:IF23"/>
    <mergeCell ref="IG22:IG23"/>
    <mergeCell ref="IH22:IH23"/>
    <mergeCell ref="II22:II23"/>
    <mergeCell ref="IJ22:IJ23"/>
    <mergeCell ref="IK22:IK23"/>
    <mergeCell ref="IR22:IR23"/>
    <mergeCell ref="IS22:IS23"/>
    <mergeCell ref="IL22:IL23"/>
    <mergeCell ref="IM22:IM23"/>
    <mergeCell ref="IN22:IN23"/>
    <mergeCell ref="IO22:IO23"/>
    <mergeCell ref="IP22:IP23"/>
    <mergeCell ref="IQ22:IQ23"/>
  </mergeCells>
  <pageMargins left="0.75" right="0.75" top="0.75" bottom="0.75" header="0.31496062992126" footer="0"/>
  <pageSetup paperSize="9" scale="68"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M96"/>
  <sheetViews>
    <sheetView showGridLines="0" zoomScale="85" zoomScaleNormal="85" zoomScaleSheetLayoutView="100" workbookViewId="0">
      <pane xSplit="1" ySplit="8" topLeftCell="B9" activePane="bottomRight" state="frozen"/>
      <selection activeCell="A38" sqref="A38"/>
      <selection pane="topRight" activeCell="A38" sqref="A38"/>
      <selection pane="bottomLeft" activeCell="A38" sqref="A38"/>
      <selection pane="bottomRight" activeCell="A38" sqref="A38"/>
    </sheetView>
  </sheetViews>
  <sheetFormatPr defaultRowHeight="14.25" x14ac:dyDescent="0.25"/>
  <cols>
    <col min="1" max="1" width="31.85546875" style="60" customWidth="1"/>
    <col min="2" max="2" width="27.7109375" style="60" customWidth="1"/>
    <col min="3" max="3" width="27.5703125" style="60" customWidth="1"/>
    <col min="4" max="4" width="20.7109375" style="60" bestFit="1" customWidth="1"/>
    <col min="5" max="5" width="20.5703125" style="60" customWidth="1"/>
    <col min="6" max="6" width="9.5703125" style="60" customWidth="1"/>
    <col min="7" max="7" width="15.7109375" style="60" customWidth="1"/>
    <col min="8" max="10" width="9.140625" style="60"/>
    <col min="11" max="11" width="13" style="60" customWidth="1"/>
    <col min="12" max="144" width="9.140625" style="60"/>
    <col min="145" max="157" width="8.85546875" style="60" customWidth="1"/>
    <col min="158" max="256" width="9.140625" style="60"/>
    <col min="257" max="257" width="31.85546875" style="60" customWidth="1"/>
    <col min="258" max="258" width="25" style="60" customWidth="1"/>
    <col min="259" max="259" width="24.7109375" style="60" customWidth="1"/>
    <col min="260" max="260" width="20.7109375" style="60" bestFit="1" customWidth="1"/>
    <col min="261" max="261" width="18.85546875" style="60" bestFit="1" customWidth="1"/>
    <col min="262" max="262" width="9.5703125" style="60" customWidth="1"/>
    <col min="263" max="263" width="15.7109375" style="60" customWidth="1"/>
    <col min="264" max="266" width="9.140625" style="60"/>
    <col min="267" max="267" width="13" style="60" customWidth="1"/>
    <col min="268" max="400" width="9.140625" style="60"/>
    <col min="401" max="413" width="8.85546875" style="60" customWidth="1"/>
    <col min="414" max="512" width="9.140625" style="60"/>
    <col min="513" max="513" width="31.85546875" style="60" customWidth="1"/>
    <col min="514" max="514" width="25" style="60" customWidth="1"/>
    <col min="515" max="515" width="24.7109375" style="60" customWidth="1"/>
    <col min="516" max="516" width="20.7109375" style="60" bestFit="1" customWidth="1"/>
    <col min="517" max="517" width="18.85546875" style="60" bestFit="1" customWidth="1"/>
    <col min="518" max="518" width="9.5703125" style="60" customWidth="1"/>
    <col min="519" max="519" width="15.7109375" style="60" customWidth="1"/>
    <col min="520" max="522" width="9.140625" style="60"/>
    <col min="523" max="523" width="13" style="60" customWidth="1"/>
    <col min="524" max="656" width="9.140625" style="60"/>
    <col min="657" max="669" width="8.85546875" style="60" customWidth="1"/>
    <col min="670" max="768" width="9.140625" style="60"/>
    <col min="769" max="769" width="31.85546875" style="60" customWidth="1"/>
    <col min="770" max="770" width="25" style="60" customWidth="1"/>
    <col min="771" max="771" width="24.7109375" style="60" customWidth="1"/>
    <col min="772" max="772" width="20.7109375" style="60" bestFit="1" customWidth="1"/>
    <col min="773" max="773" width="18.85546875" style="60" bestFit="1" customWidth="1"/>
    <col min="774" max="774" width="9.5703125" style="60" customWidth="1"/>
    <col min="775" max="775" width="15.7109375" style="60" customWidth="1"/>
    <col min="776" max="778" width="9.140625" style="60"/>
    <col min="779" max="779" width="13" style="60" customWidth="1"/>
    <col min="780" max="912" width="9.140625" style="60"/>
    <col min="913" max="925" width="8.85546875" style="60" customWidth="1"/>
    <col min="926" max="1024" width="9.140625" style="60"/>
    <col min="1025" max="1025" width="31.85546875" style="60" customWidth="1"/>
    <col min="1026" max="1026" width="25" style="60" customWidth="1"/>
    <col min="1027" max="1027" width="24.7109375" style="60" customWidth="1"/>
    <col min="1028" max="1028" width="20.7109375" style="60" bestFit="1" customWidth="1"/>
    <col min="1029" max="1029" width="18.85546875" style="60" bestFit="1" customWidth="1"/>
    <col min="1030" max="1030" width="9.5703125" style="60" customWidth="1"/>
    <col min="1031" max="1031" width="15.7109375" style="60" customWidth="1"/>
    <col min="1032" max="1034" width="9.140625" style="60"/>
    <col min="1035" max="1035" width="13" style="60" customWidth="1"/>
    <col min="1036" max="1168" width="9.140625" style="60"/>
    <col min="1169" max="1181" width="8.85546875" style="60" customWidth="1"/>
    <col min="1182" max="1280" width="9.140625" style="60"/>
    <col min="1281" max="1281" width="31.85546875" style="60" customWidth="1"/>
    <col min="1282" max="1282" width="25" style="60" customWidth="1"/>
    <col min="1283" max="1283" width="24.7109375" style="60" customWidth="1"/>
    <col min="1284" max="1284" width="20.7109375" style="60" bestFit="1" customWidth="1"/>
    <col min="1285" max="1285" width="18.85546875" style="60" bestFit="1" customWidth="1"/>
    <col min="1286" max="1286" width="9.5703125" style="60" customWidth="1"/>
    <col min="1287" max="1287" width="15.7109375" style="60" customWidth="1"/>
    <col min="1288" max="1290" width="9.140625" style="60"/>
    <col min="1291" max="1291" width="13" style="60" customWidth="1"/>
    <col min="1292" max="1424" width="9.140625" style="60"/>
    <col min="1425" max="1437" width="8.85546875" style="60" customWidth="1"/>
    <col min="1438" max="1536" width="9.140625" style="60"/>
    <col min="1537" max="1537" width="31.85546875" style="60" customWidth="1"/>
    <col min="1538" max="1538" width="25" style="60" customWidth="1"/>
    <col min="1539" max="1539" width="24.7109375" style="60" customWidth="1"/>
    <col min="1540" max="1540" width="20.7109375" style="60" bestFit="1" customWidth="1"/>
    <col min="1541" max="1541" width="18.85546875" style="60" bestFit="1" customWidth="1"/>
    <col min="1542" max="1542" width="9.5703125" style="60" customWidth="1"/>
    <col min="1543" max="1543" width="15.7109375" style="60" customWidth="1"/>
    <col min="1544" max="1546" width="9.140625" style="60"/>
    <col min="1547" max="1547" width="13" style="60" customWidth="1"/>
    <col min="1548" max="1680" width="9.140625" style="60"/>
    <col min="1681" max="1693" width="8.85546875" style="60" customWidth="1"/>
    <col min="1694" max="1792" width="9.140625" style="60"/>
    <col min="1793" max="1793" width="31.85546875" style="60" customWidth="1"/>
    <col min="1794" max="1794" width="25" style="60" customWidth="1"/>
    <col min="1795" max="1795" width="24.7109375" style="60" customWidth="1"/>
    <col min="1796" max="1796" width="20.7109375" style="60" bestFit="1" customWidth="1"/>
    <col min="1797" max="1797" width="18.85546875" style="60" bestFit="1" customWidth="1"/>
    <col min="1798" max="1798" width="9.5703125" style="60" customWidth="1"/>
    <col min="1799" max="1799" width="15.7109375" style="60" customWidth="1"/>
    <col min="1800" max="1802" width="9.140625" style="60"/>
    <col min="1803" max="1803" width="13" style="60" customWidth="1"/>
    <col min="1804" max="1936" width="9.140625" style="60"/>
    <col min="1937" max="1949" width="8.85546875" style="60" customWidth="1"/>
    <col min="1950" max="2048" width="9.140625" style="60"/>
    <col min="2049" max="2049" width="31.85546875" style="60" customWidth="1"/>
    <col min="2050" max="2050" width="25" style="60" customWidth="1"/>
    <col min="2051" max="2051" width="24.7109375" style="60" customWidth="1"/>
    <col min="2052" max="2052" width="20.7109375" style="60" bestFit="1" customWidth="1"/>
    <col min="2053" max="2053" width="18.85546875" style="60" bestFit="1" customWidth="1"/>
    <col min="2054" max="2054" width="9.5703125" style="60" customWidth="1"/>
    <col min="2055" max="2055" width="15.7109375" style="60" customWidth="1"/>
    <col min="2056" max="2058" width="9.140625" style="60"/>
    <col min="2059" max="2059" width="13" style="60" customWidth="1"/>
    <col min="2060" max="2192" width="9.140625" style="60"/>
    <col min="2193" max="2205" width="8.85546875" style="60" customWidth="1"/>
    <col min="2206" max="2304" width="9.140625" style="60"/>
    <col min="2305" max="2305" width="31.85546875" style="60" customWidth="1"/>
    <col min="2306" max="2306" width="25" style="60" customWidth="1"/>
    <col min="2307" max="2307" width="24.7109375" style="60" customWidth="1"/>
    <col min="2308" max="2308" width="20.7109375" style="60" bestFit="1" customWidth="1"/>
    <col min="2309" max="2309" width="18.85546875" style="60" bestFit="1" customWidth="1"/>
    <col min="2310" max="2310" width="9.5703125" style="60" customWidth="1"/>
    <col min="2311" max="2311" width="15.7109375" style="60" customWidth="1"/>
    <col min="2312" max="2314" width="9.140625" style="60"/>
    <col min="2315" max="2315" width="13" style="60" customWidth="1"/>
    <col min="2316" max="2448" width="9.140625" style="60"/>
    <col min="2449" max="2461" width="8.85546875" style="60" customWidth="1"/>
    <col min="2462" max="2560" width="9.140625" style="60"/>
    <col min="2561" max="2561" width="31.85546875" style="60" customWidth="1"/>
    <col min="2562" max="2562" width="25" style="60" customWidth="1"/>
    <col min="2563" max="2563" width="24.7109375" style="60" customWidth="1"/>
    <col min="2564" max="2564" width="20.7109375" style="60" bestFit="1" customWidth="1"/>
    <col min="2565" max="2565" width="18.85546875" style="60" bestFit="1" customWidth="1"/>
    <col min="2566" max="2566" width="9.5703125" style="60" customWidth="1"/>
    <col min="2567" max="2567" width="15.7109375" style="60" customWidth="1"/>
    <col min="2568" max="2570" width="9.140625" style="60"/>
    <col min="2571" max="2571" width="13" style="60" customWidth="1"/>
    <col min="2572" max="2704" width="9.140625" style="60"/>
    <col min="2705" max="2717" width="8.85546875" style="60" customWidth="1"/>
    <col min="2718" max="2816" width="9.140625" style="60"/>
    <col min="2817" max="2817" width="31.85546875" style="60" customWidth="1"/>
    <col min="2818" max="2818" width="25" style="60" customWidth="1"/>
    <col min="2819" max="2819" width="24.7109375" style="60" customWidth="1"/>
    <col min="2820" max="2820" width="20.7109375" style="60" bestFit="1" customWidth="1"/>
    <col min="2821" max="2821" width="18.85546875" style="60" bestFit="1" customWidth="1"/>
    <col min="2822" max="2822" width="9.5703125" style="60" customWidth="1"/>
    <col min="2823" max="2823" width="15.7109375" style="60" customWidth="1"/>
    <col min="2824" max="2826" width="9.140625" style="60"/>
    <col min="2827" max="2827" width="13" style="60" customWidth="1"/>
    <col min="2828" max="2960" width="9.140625" style="60"/>
    <col min="2961" max="2973" width="8.85546875" style="60" customWidth="1"/>
    <col min="2974" max="3072" width="9.140625" style="60"/>
    <col min="3073" max="3073" width="31.85546875" style="60" customWidth="1"/>
    <col min="3074" max="3074" width="25" style="60" customWidth="1"/>
    <col min="3075" max="3075" width="24.7109375" style="60" customWidth="1"/>
    <col min="3076" max="3076" width="20.7109375" style="60" bestFit="1" customWidth="1"/>
    <col min="3077" max="3077" width="18.85546875" style="60" bestFit="1" customWidth="1"/>
    <col min="3078" max="3078" width="9.5703125" style="60" customWidth="1"/>
    <col min="3079" max="3079" width="15.7109375" style="60" customWidth="1"/>
    <col min="3080" max="3082" width="9.140625" style="60"/>
    <col min="3083" max="3083" width="13" style="60" customWidth="1"/>
    <col min="3084" max="3216" width="9.140625" style="60"/>
    <col min="3217" max="3229" width="8.85546875" style="60" customWidth="1"/>
    <col min="3230" max="3328" width="9.140625" style="60"/>
    <col min="3329" max="3329" width="31.85546875" style="60" customWidth="1"/>
    <col min="3330" max="3330" width="25" style="60" customWidth="1"/>
    <col min="3331" max="3331" width="24.7109375" style="60" customWidth="1"/>
    <col min="3332" max="3332" width="20.7109375" style="60" bestFit="1" customWidth="1"/>
    <col min="3333" max="3333" width="18.85546875" style="60" bestFit="1" customWidth="1"/>
    <col min="3334" max="3334" width="9.5703125" style="60" customWidth="1"/>
    <col min="3335" max="3335" width="15.7109375" style="60" customWidth="1"/>
    <col min="3336" max="3338" width="9.140625" style="60"/>
    <col min="3339" max="3339" width="13" style="60" customWidth="1"/>
    <col min="3340" max="3472" width="9.140625" style="60"/>
    <col min="3473" max="3485" width="8.85546875" style="60" customWidth="1"/>
    <col min="3486" max="3584" width="9.140625" style="60"/>
    <col min="3585" max="3585" width="31.85546875" style="60" customWidth="1"/>
    <col min="3586" max="3586" width="25" style="60" customWidth="1"/>
    <col min="3587" max="3587" width="24.7109375" style="60" customWidth="1"/>
    <col min="3588" max="3588" width="20.7109375" style="60" bestFit="1" customWidth="1"/>
    <col min="3589" max="3589" width="18.85546875" style="60" bestFit="1" customWidth="1"/>
    <col min="3590" max="3590" width="9.5703125" style="60" customWidth="1"/>
    <col min="3591" max="3591" width="15.7109375" style="60" customWidth="1"/>
    <col min="3592" max="3594" width="9.140625" style="60"/>
    <col min="3595" max="3595" width="13" style="60" customWidth="1"/>
    <col min="3596" max="3728" width="9.140625" style="60"/>
    <col min="3729" max="3741" width="8.85546875" style="60" customWidth="1"/>
    <col min="3742" max="3840" width="9.140625" style="60"/>
    <col min="3841" max="3841" width="31.85546875" style="60" customWidth="1"/>
    <col min="3842" max="3842" width="25" style="60" customWidth="1"/>
    <col min="3843" max="3843" width="24.7109375" style="60" customWidth="1"/>
    <col min="3844" max="3844" width="20.7109375" style="60" bestFit="1" customWidth="1"/>
    <col min="3845" max="3845" width="18.85546875" style="60" bestFit="1" customWidth="1"/>
    <col min="3846" max="3846" width="9.5703125" style="60" customWidth="1"/>
    <col min="3847" max="3847" width="15.7109375" style="60" customWidth="1"/>
    <col min="3848" max="3850" width="9.140625" style="60"/>
    <col min="3851" max="3851" width="13" style="60" customWidth="1"/>
    <col min="3852" max="3984" width="9.140625" style="60"/>
    <col min="3985" max="3997" width="8.85546875" style="60" customWidth="1"/>
    <col min="3998" max="4096" width="9.140625" style="60"/>
    <col min="4097" max="4097" width="31.85546875" style="60" customWidth="1"/>
    <col min="4098" max="4098" width="25" style="60" customWidth="1"/>
    <col min="4099" max="4099" width="24.7109375" style="60" customWidth="1"/>
    <col min="4100" max="4100" width="20.7109375" style="60" bestFit="1" customWidth="1"/>
    <col min="4101" max="4101" width="18.85546875" style="60" bestFit="1" customWidth="1"/>
    <col min="4102" max="4102" width="9.5703125" style="60" customWidth="1"/>
    <col min="4103" max="4103" width="15.7109375" style="60" customWidth="1"/>
    <col min="4104" max="4106" width="9.140625" style="60"/>
    <col min="4107" max="4107" width="13" style="60" customWidth="1"/>
    <col min="4108" max="4240" width="9.140625" style="60"/>
    <col min="4241" max="4253" width="8.85546875" style="60" customWidth="1"/>
    <col min="4254" max="4352" width="9.140625" style="60"/>
    <col min="4353" max="4353" width="31.85546875" style="60" customWidth="1"/>
    <col min="4354" max="4354" width="25" style="60" customWidth="1"/>
    <col min="4355" max="4355" width="24.7109375" style="60" customWidth="1"/>
    <col min="4356" max="4356" width="20.7109375" style="60" bestFit="1" customWidth="1"/>
    <col min="4357" max="4357" width="18.85546875" style="60" bestFit="1" customWidth="1"/>
    <col min="4358" max="4358" width="9.5703125" style="60" customWidth="1"/>
    <col min="4359" max="4359" width="15.7109375" style="60" customWidth="1"/>
    <col min="4360" max="4362" width="9.140625" style="60"/>
    <col min="4363" max="4363" width="13" style="60" customWidth="1"/>
    <col min="4364" max="4496" width="9.140625" style="60"/>
    <col min="4497" max="4509" width="8.85546875" style="60" customWidth="1"/>
    <col min="4510" max="4608" width="9.140625" style="60"/>
    <col min="4609" max="4609" width="31.85546875" style="60" customWidth="1"/>
    <col min="4610" max="4610" width="25" style="60" customWidth="1"/>
    <col min="4611" max="4611" width="24.7109375" style="60" customWidth="1"/>
    <col min="4612" max="4612" width="20.7109375" style="60" bestFit="1" customWidth="1"/>
    <col min="4613" max="4613" width="18.85546875" style="60" bestFit="1" customWidth="1"/>
    <col min="4614" max="4614" width="9.5703125" style="60" customWidth="1"/>
    <col min="4615" max="4615" width="15.7109375" style="60" customWidth="1"/>
    <col min="4616" max="4618" width="9.140625" style="60"/>
    <col min="4619" max="4619" width="13" style="60" customWidth="1"/>
    <col min="4620" max="4752" width="9.140625" style="60"/>
    <col min="4753" max="4765" width="8.85546875" style="60" customWidth="1"/>
    <col min="4766" max="4864" width="9.140625" style="60"/>
    <col min="4865" max="4865" width="31.85546875" style="60" customWidth="1"/>
    <col min="4866" max="4866" width="25" style="60" customWidth="1"/>
    <col min="4867" max="4867" width="24.7109375" style="60" customWidth="1"/>
    <col min="4868" max="4868" width="20.7109375" style="60" bestFit="1" customWidth="1"/>
    <col min="4869" max="4869" width="18.85546875" style="60" bestFit="1" customWidth="1"/>
    <col min="4870" max="4870" width="9.5703125" style="60" customWidth="1"/>
    <col min="4871" max="4871" width="15.7109375" style="60" customWidth="1"/>
    <col min="4872" max="4874" width="9.140625" style="60"/>
    <col min="4875" max="4875" width="13" style="60" customWidth="1"/>
    <col min="4876" max="5008" width="9.140625" style="60"/>
    <col min="5009" max="5021" width="8.85546875" style="60" customWidth="1"/>
    <col min="5022" max="5120" width="9.140625" style="60"/>
    <col min="5121" max="5121" width="31.85546875" style="60" customWidth="1"/>
    <col min="5122" max="5122" width="25" style="60" customWidth="1"/>
    <col min="5123" max="5123" width="24.7109375" style="60" customWidth="1"/>
    <col min="5124" max="5124" width="20.7109375" style="60" bestFit="1" customWidth="1"/>
    <col min="5125" max="5125" width="18.85546875" style="60" bestFit="1" customWidth="1"/>
    <col min="5126" max="5126" width="9.5703125" style="60" customWidth="1"/>
    <col min="5127" max="5127" width="15.7109375" style="60" customWidth="1"/>
    <col min="5128" max="5130" width="9.140625" style="60"/>
    <col min="5131" max="5131" width="13" style="60" customWidth="1"/>
    <col min="5132" max="5264" width="9.140625" style="60"/>
    <col min="5265" max="5277" width="8.85546875" style="60" customWidth="1"/>
    <col min="5278" max="5376" width="9.140625" style="60"/>
    <col min="5377" max="5377" width="31.85546875" style="60" customWidth="1"/>
    <col min="5378" max="5378" width="25" style="60" customWidth="1"/>
    <col min="5379" max="5379" width="24.7109375" style="60" customWidth="1"/>
    <col min="5380" max="5380" width="20.7109375" style="60" bestFit="1" customWidth="1"/>
    <col min="5381" max="5381" width="18.85546875" style="60" bestFit="1" customWidth="1"/>
    <col min="5382" max="5382" width="9.5703125" style="60" customWidth="1"/>
    <col min="5383" max="5383" width="15.7109375" style="60" customWidth="1"/>
    <col min="5384" max="5386" width="9.140625" style="60"/>
    <col min="5387" max="5387" width="13" style="60" customWidth="1"/>
    <col min="5388" max="5520" width="9.140625" style="60"/>
    <col min="5521" max="5533" width="8.85546875" style="60" customWidth="1"/>
    <col min="5534" max="5632" width="9.140625" style="60"/>
    <col min="5633" max="5633" width="31.85546875" style="60" customWidth="1"/>
    <col min="5634" max="5634" width="25" style="60" customWidth="1"/>
    <col min="5635" max="5635" width="24.7109375" style="60" customWidth="1"/>
    <col min="5636" max="5636" width="20.7109375" style="60" bestFit="1" customWidth="1"/>
    <col min="5637" max="5637" width="18.85546875" style="60" bestFit="1" customWidth="1"/>
    <col min="5638" max="5638" width="9.5703125" style="60" customWidth="1"/>
    <col min="5639" max="5639" width="15.7109375" style="60" customWidth="1"/>
    <col min="5640" max="5642" width="9.140625" style="60"/>
    <col min="5643" max="5643" width="13" style="60" customWidth="1"/>
    <col min="5644" max="5776" width="9.140625" style="60"/>
    <col min="5777" max="5789" width="8.85546875" style="60" customWidth="1"/>
    <col min="5790" max="5888" width="9.140625" style="60"/>
    <col min="5889" max="5889" width="31.85546875" style="60" customWidth="1"/>
    <col min="5890" max="5890" width="25" style="60" customWidth="1"/>
    <col min="5891" max="5891" width="24.7109375" style="60" customWidth="1"/>
    <col min="5892" max="5892" width="20.7109375" style="60" bestFit="1" customWidth="1"/>
    <col min="5893" max="5893" width="18.85546875" style="60" bestFit="1" customWidth="1"/>
    <col min="5894" max="5894" width="9.5703125" style="60" customWidth="1"/>
    <col min="5895" max="5895" width="15.7109375" style="60" customWidth="1"/>
    <col min="5896" max="5898" width="9.140625" style="60"/>
    <col min="5899" max="5899" width="13" style="60" customWidth="1"/>
    <col min="5900" max="6032" width="9.140625" style="60"/>
    <col min="6033" max="6045" width="8.85546875" style="60" customWidth="1"/>
    <col min="6046" max="6144" width="9.140625" style="60"/>
    <col min="6145" max="6145" width="31.85546875" style="60" customWidth="1"/>
    <col min="6146" max="6146" width="25" style="60" customWidth="1"/>
    <col min="6147" max="6147" width="24.7109375" style="60" customWidth="1"/>
    <col min="6148" max="6148" width="20.7109375" style="60" bestFit="1" customWidth="1"/>
    <col min="6149" max="6149" width="18.85546875" style="60" bestFit="1" customWidth="1"/>
    <col min="6150" max="6150" width="9.5703125" style="60" customWidth="1"/>
    <col min="6151" max="6151" width="15.7109375" style="60" customWidth="1"/>
    <col min="6152" max="6154" width="9.140625" style="60"/>
    <col min="6155" max="6155" width="13" style="60" customWidth="1"/>
    <col min="6156" max="6288" width="9.140625" style="60"/>
    <col min="6289" max="6301" width="8.85546875" style="60" customWidth="1"/>
    <col min="6302" max="6400" width="9.140625" style="60"/>
    <col min="6401" max="6401" width="31.85546875" style="60" customWidth="1"/>
    <col min="6402" max="6402" width="25" style="60" customWidth="1"/>
    <col min="6403" max="6403" width="24.7109375" style="60" customWidth="1"/>
    <col min="6404" max="6404" width="20.7109375" style="60" bestFit="1" customWidth="1"/>
    <col min="6405" max="6405" width="18.85546875" style="60" bestFit="1" customWidth="1"/>
    <col min="6406" max="6406" width="9.5703125" style="60" customWidth="1"/>
    <col min="6407" max="6407" width="15.7109375" style="60" customWidth="1"/>
    <col min="6408" max="6410" width="9.140625" style="60"/>
    <col min="6411" max="6411" width="13" style="60" customWidth="1"/>
    <col min="6412" max="6544" width="9.140625" style="60"/>
    <col min="6545" max="6557" width="8.85546875" style="60" customWidth="1"/>
    <col min="6558" max="6656" width="9.140625" style="60"/>
    <col min="6657" max="6657" width="31.85546875" style="60" customWidth="1"/>
    <col min="6658" max="6658" width="25" style="60" customWidth="1"/>
    <col min="6659" max="6659" width="24.7109375" style="60" customWidth="1"/>
    <col min="6660" max="6660" width="20.7109375" style="60" bestFit="1" customWidth="1"/>
    <col min="6661" max="6661" width="18.85546875" style="60" bestFit="1" customWidth="1"/>
    <col min="6662" max="6662" width="9.5703125" style="60" customWidth="1"/>
    <col min="6663" max="6663" width="15.7109375" style="60" customWidth="1"/>
    <col min="6664" max="6666" width="9.140625" style="60"/>
    <col min="6667" max="6667" width="13" style="60" customWidth="1"/>
    <col min="6668" max="6800" width="9.140625" style="60"/>
    <col min="6801" max="6813" width="8.85546875" style="60" customWidth="1"/>
    <col min="6814" max="6912" width="9.140625" style="60"/>
    <col min="6913" max="6913" width="31.85546875" style="60" customWidth="1"/>
    <col min="6914" max="6914" width="25" style="60" customWidth="1"/>
    <col min="6915" max="6915" width="24.7109375" style="60" customWidth="1"/>
    <col min="6916" max="6916" width="20.7109375" style="60" bestFit="1" customWidth="1"/>
    <col min="6917" max="6917" width="18.85546875" style="60" bestFit="1" customWidth="1"/>
    <col min="6918" max="6918" width="9.5703125" style="60" customWidth="1"/>
    <col min="6919" max="6919" width="15.7109375" style="60" customWidth="1"/>
    <col min="6920" max="6922" width="9.140625" style="60"/>
    <col min="6923" max="6923" width="13" style="60" customWidth="1"/>
    <col min="6924" max="7056" width="9.140625" style="60"/>
    <col min="7057" max="7069" width="8.85546875" style="60" customWidth="1"/>
    <col min="7070" max="7168" width="9.140625" style="60"/>
    <col min="7169" max="7169" width="31.85546875" style="60" customWidth="1"/>
    <col min="7170" max="7170" width="25" style="60" customWidth="1"/>
    <col min="7171" max="7171" width="24.7109375" style="60" customWidth="1"/>
    <col min="7172" max="7172" width="20.7109375" style="60" bestFit="1" customWidth="1"/>
    <col min="7173" max="7173" width="18.85546875" style="60" bestFit="1" customWidth="1"/>
    <col min="7174" max="7174" width="9.5703125" style="60" customWidth="1"/>
    <col min="7175" max="7175" width="15.7109375" style="60" customWidth="1"/>
    <col min="7176" max="7178" width="9.140625" style="60"/>
    <col min="7179" max="7179" width="13" style="60" customWidth="1"/>
    <col min="7180" max="7312" width="9.140625" style="60"/>
    <col min="7313" max="7325" width="8.85546875" style="60" customWidth="1"/>
    <col min="7326" max="7424" width="9.140625" style="60"/>
    <col min="7425" max="7425" width="31.85546875" style="60" customWidth="1"/>
    <col min="7426" max="7426" width="25" style="60" customWidth="1"/>
    <col min="7427" max="7427" width="24.7109375" style="60" customWidth="1"/>
    <col min="7428" max="7428" width="20.7109375" style="60" bestFit="1" customWidth="1"/>
    <col min="7429" max="7429" width="18.85546875" style="60" bestFit="1" customWidth="1"/>
    <col min="7430" max="7430" width="9.5703125" style="60" customWidth="1"/>
    <col min="7431" max="7431" width="15.7109375" style="60" customWidth="1"/>
    <col min="7432" max="7434" width="9.140625" style="60"/>
    <col min="7435" max="7435" width="13" style="60" customWidth="1"/>
    <col min="7436" max="7568" width="9.140625" style="60"/>
    <col min="7569" max="7581" width="8.85546875" style="60" customWidth="1"/>
    <col min="7582" max="7680" width="9.140625" style="60"/>
    <col min="7681" max="7681" width="31.85546875" style="60" customWidth="1"/>
    <col min="7682" max="7682" width="25" style="60" customWidth="1"/>
    <col min="7683" max="7683" width="24.7109375" style="60" customWidth="1"/>
    <col min="7684" max="7684" width="20.7109375" style="60" bestFit="1" customWidth="1"/>
    <col min="7685" max="7685" width="18.85546875" style="60" bestFit="1" customWidth="1"/>
    <col min="7686" max="7686" width="9.5703125" style="60" customWidth="1"/>
    <col min="7687" max="7687" width="15.7109375" style="60" customWidth="1"/>
    <col min="7688" max="7690" width="9.140625" style="60"/>
    <col min="7691" max="7691" width="13" style="60" customWidth="1"/>
    <col min="7692" max="7824" width="9.140625" style="60"/>
    <col min="7825" max="7837" width="8.85546875" style="60" customWidth="1"/>
    <col min="7838" max="7936" width="9.140625" style="60"/>
    <col min="7937" max="7937" width="31.85546875" style="60" customWidth="1"/>
    <col min="7938" max="7938" width="25" style="60" customWidth="1"/>
    <col min="7939" max="7939" width="24.7109375" style="60" customWidth="1"/>
    <col min="7940" max="7940" width="20.7109375" style="60" bestFit="1" customWidth="1"/>
    <col min="7941" max="7941" width="18.85546875" style="60" bestFit="1" customWidth="1"/>
    <col min="7942" max="7942" width="9.5703125" style="60" customWidth="1"/>
    <col min="7943" max="7943" width="15.7109375" style="60" customWidth="1"/>
    <col min="7944" max="7946" width="9.140625" style="60"/>
    <col min="7947" max="7947" width="13" style="60" customWidth="1"/>
    <col min="7948" max="8080" width="9.140625" style="60"/>
    <col min="8081" max="8093" width="8.85546875" style="60" customWidth="1"/>
    <col min="8094" max="8192" width="9.140625" style="60"/>
    <col min="8193" max="8193" width="31.85546875" style="60" customWidth="1"/>
    <col min="8194" max="8194" width="25" style="60" customWidth="1"/>
    <col min="8195" max="8195" width="24.7109375" style="60" customWidth="1"/>
    <col min="8196" max="8196" width="20.7109375" style="60" bestFit="1" customWidth="1"/>
    <col min="8197" max="8197" width="18.85546875" style="60" bestFit="1" customWidth="1"/>
    <col min="8198" max="8198" width="9.5703125" style="60" customWidth="1"/>
    <col min="8199" max="8199" width="15.7109375" style="60" customWidth="1"/>
    <col min="8200" max="8202" width="9.140625" style="60"/>
    <col min="8203" max="8203" width="13" style="60" customWidth="1"/>
    <col min="8204" max="8336" width="9.140625" style="60"/>
    <col min="8337" max="8349" width="8.85546875" style="60" customWidth="1"/>
    <col min="8350" max="8448" width="9.140625" style="60"/>
    <col min="8449" max="8449" width="31.85546875" style="60" customWidth="1"/>
    <col min="8450" max="8450" width="25" style="60" customWidth="1"/>
    <col min="8451" max="8451" width="24.7109375" style="60" customWidth="1"/>
    <col min="8452" max="8452" width="20.7109375" style="60" bestFit="1" customWidth="1"/>
    <col min="8453" max="8453" width="18.85546875" style="60" bestFit="1" customWidth="1"/>
    <col min="8454" max="8454" width="9.5703125" style="60" customWidth="1"/>
    <col min="8455" max="8455" width="15.7109375" style="60" customWidth="1"/>
    <col min="8456" max="8458" width="9.140625" style="60"/>
    <col min="8459" max="8459" width="13" style="60" customWidth="1"/>
    <col min="8460" max="8592" width="9.140625" style="60"/>
    <col min="8593" max="8605" width="8.85546875" style="60" customWidth="1"/>
    <col min="8606" max="8704" width="9.140625" style="60"/>
    <col min="8705" max="8705" width="31.85546875" style="60" customWidth="1"/>
    <col min="8706" max="8706" width="25" style="60" customWidth="1"/>
    <col min="8707" max="8707" width="24.7109375" style="60" customWidth="1"/>
    <col min="8708" max="8708" width="20.7109375" style="60" bestFit="1" customWidth="1"/>
    <col min="8709" max="8709" width="18.85546875" style="60" bestFit="1" customWidth="1"/>
    <col min="8710" max="8710" width="9.5703125" style="60" customWidth="1"/>
    <col min="8711" max="8711" width="15.7109375" style="60" customWidth="1"/>
    <col min="8712" max="8714" width="9.140625" style="60"/>
    <col min="8715" max="8715" width="13" style="60" customWidth="1"/>
    <col min="8716" max="8848" width="9.140625" style="60"/>
    <col min="8849" max="8861" width="8.85546875" style="60" customWidth="1"/>
    <col min="8862" max="8960" width="9.140625" style="60"/>
    <col min="8961" max="8961" width="31.85546875" style="60" customWidth="1"/>
    <col min="8962" max="8962" width="25" style="60" customWidth="1"/>
    <col min="8963" max="8963" width="24.7109375" style="60" customWidth="1"/>
    <col min="8964" max="8964" width="20.7109375" style="60" bestFit="1" customWidth="1"/>
    <col min="8965" max="8965" width="18.85546875" style="60" bestFit="1" customWidth="1"/>
    <col min="8966" max="8966" width="9.5703125" style="60" customWidth="1"/>
    <col min="8967" max="8967" width="15.7109375" style="60" customWidth="1"/>
    <col min="8968" max="8970" width="9.140625" style="60"/>
    <col min="8971" max="8971" width="13" style="60" customWidth="1"/>
    <col min="8972" max="9104" width="9.140625" style="60"/>
    <col min="9105" max="9117" width="8.85546875" style="60" customWidth="1"/>
    <col min="9118" max="9216" width="9.140625" style="60"/>
    <col min="9217" max="9217" width="31.85546875" style="60" customWidth="1"/>
    <col min="9218" max="9218" width="25" style="60" customWidth="1"/>
    <col min="9219" max="9219" width="24.7109375" style="60" customWidth="1"/>
    <col min="9220" max="9220" width="20.7109375" style="60" bestFit="1" customWidth="1"/>
    <col min="9221" max="9221" width="18.85546875" style="60" bestFit="1" customWidth="1"/>
    <col min="9222" max="9222" width="9.5703125" style="60" customWidth="1"/>
    <col min="9223" max="9223" width="15.7109375" style="60" customWidth="1"/>
    <col min="9224" max="9226" width="9.140625" style="60"/>
    <col min="9227" max="9227" width="13" style="60" customWidth="1"/>
    <col min="9228" max="9360" width="9.140625" style="60"/>
    <col min="9361" max="9373" width="8.85546875" style="60" customWidth="1"/>
    <col min="9374" max="9472" width="9.140625" style="60"/>
    <col min="9473" max="9473" width="31.85546875" style="60" customWidth="1"/>
    <col min="9474" max="9474" width="25" style="60" customWidth="1"/>
    <col min="9475" max="9475" width="24.7109375" style="60" customWidth="1"/>
    <col min="9476" max="9476" width="20.7109375" style="60" bestFit="1" customWidth="1"/>
    <col min="9477" max="9477" width="18.85546875" style="60" bestFit="1" customWidth="1"/>
    <col min="9478" max="9478" width="9.5703125" style="60" customWidth="1"/>
    <col min="9479" max="9479" width="15.7109375" style="60" customWidth="1"/>
    <col min="9480" max="9482" width="9.140625" style="60"/>
    <col min="9483" max="9483" width="13" style="60" customWidth="1"/>
    <col min="9484" max="9616" width="9.140625" style="60"/>
    <col min="9617" max="9629" width="8.85546875" style="60" customWidth="1"/>
    <col min="9630" max="9728" width="9.140625" style="60"/>
    <col min="9729" max="9729" width="31.85546875" style="60" customWidth="1"/>
    <col min="9730" max="9730" width="25" style="60" customWidth="1"/>
    <col min="9731" max="9731" width="24.7109375" style="60" customWidth="1"/>
    <col min="9732" max="9732" width="20.7109375" style="60" bestFit="1" customWidth="1"/>
    <col min="9733" max="9733" width="18.85546875" style="60" bestFit="1" customWidth="1"/>
    <col min="9734" max="9734" width="9.5703125" style="60" customWidth="1"/>
    <col min="9735" max="9735" width="15.7109375" style="60" customWidth="1"/>
    <col min="9736" max="9738" width="9.140625" style="60"/>
    <col min="9739" max="9739" width="13" style="60" customWidth="1"/>
    <col min="9740" max="9872" width="9.140625" style="60"/>
    <col min="9873" max="9885" width="8.85546875" style="60" customWidth="1"/>
    <col min="9886" max="9984" width="9.140625" style="60"/>
    <col min="9985" max="9985" width="31.85546875" style="60" customWidth="1"/>
    <col min="9986" max="9986" width="25" style="60" customWidth="1"/>
    <col min="9987" max="9987" width="24.7109375" style="60" customWidth="1"/>
    <col min="9988" max="9988" width="20.7109375" style="60" bestFit="1" customWidth="1"/>
    <col min="9989" max="9989" width="18.85546875" style="60" bestFit="1" customWidth="1"/>
    <col min="9990" max="9990" width="9.5703125" style="60" customWidth="1"/>
    <col min="9991" max="9991" width="15.7109375" style="60" customWidth="1"/>
    <col min="9992" max="9994" width="9.140625" style="60"/>
    <col min="9995" max="9995" width="13" style="60" customWidth="1"/>
    <col min="9996" max="10128" width="9.140625" style="60"/>
    <col min="10129" max="10141" width="8.85546875" style="60" customWidth="1"/>
    <col min="10142" max="10240" width="9.140625" style="60"/>
    <col min="10241" max="10241" width="31.85546875" style="60" customWidth="1"/>
    <col min="10242" max="10242" width="25" style="60" customWidth="1"/>
    <col min="10243" max="10243" width="24.7109375" style="60" customWidth="1"/>
    <col min="10244" max="10244" width="20.7109375" style="60" bestFit="1" customWidth="1"/>
    <col min="10245" max="10245" width="18.85546875" style="60" bestFit="1" customWidth="1"/>
    <col min="10246" max="10246" width="9.5703125" style="60" customWidth="1"/>
    <col min="10247" max="10247" width="15.7109375" style="60" customWidth="1"/>
    <col min="10248" max="10250" width="9.140625" style="60"/>
    <col min="10251" max="10251" width="13" style="60" customWidth="1"/>
    <col min="10252" max="10384" width="9.140625" style="60"/>
    <col min="10385" max="10397" width="8.85546875" style="60" customWidth="1"/>
    <col min="10398" max="10496" width="9.140625" style="60"/>
    <col min="10497" max="10497" width="31.85546875" style="60" customWidth="1"/>
    <col min="10498" max="10498" width="25" style="60" customWidth="1"/>
    <col min="10499" max="10499" width="24.7109375" style="60" customWidth="1"/>
    <col min="10500" max="10500" width="20.7109375" style="60" bestFit="1" customWidth="1"/>
    <col min="10501" max="10501" width="18.85546875" style="60" bestFit="1" customWidth="1"/>
    <col min="10502" max="10502" width="9.5703125" style="60" customWidth="1"/>
    <col min="10503" max="10503" width="15.7109375" style="60" customWidth="1"/>
    <col min="10504" max="10506" width="9.140625" style="60"/>
    <col min="10507" max="10507" width="13" style="60" customWidth="1"/>
    <col min="10508" max="10640" width="9.140625" style="60"/>
    <col min="10641" max="10653" width="8.85546875" style="60" customWidth="1"/>
    <col min="10654" max="10752" width="9.140625" style="60"/>
    <col min="10753" max="10753" width="31.85546875" style="60" customWidth="1"/>
    <col min="10754" max="10754" width="25" style="60" customWidth="1"/>
    <col min="10755" max="10755" width="24.7109375" style="60" customWidth="1"/>
    <col min="10756" max="10756" width="20.7109375" style="60" bestFit="1" customWidth="1"/>
    <col min="10757" max="10757" width="18.85546875" style="60" bestFit="1" customWidth="1"/>
    <col min="10758" max="10758" width="9.5703125" style="60" customWidth="1"/>
    <col min="10759" max="10759" width="15.7109375" style="60" customWidth="1"/>
    <col min="10760" max="10762" width="9.140625" style="60"/>
    <col min="10763" max="10763" width="13" style="60" customWidth="1"/>
    <col min="10764" max="10896" width="9.140625" style="60"/>
    <col min="10897" max="10909" width="8.85546875" style="60" customWidth="1"/>
    <col min="10910" max="11008" width="9.140625" style="60"/>
    <col min="11009" max="11009" width="31.85546875" style="60" customWidth="1"/>
    <col min="11010" max="11010" width="25" style="60" customWidth="1"/>
    <col min="11011" max="11011" width="24.7109375" style="60" customWidth="1"/>
    <col min="11012" max="11012" width="20.7109375" style="60" bestFit="1" customWidth="1"/>
    <col min="11013" max="11013" width="18.85546875" style="60" bestFit="1" customWidth="1"/>
    <col min="11014" max="11014" width="9.5703125" style="60" customWidth="1"/>
    <col min="11015" max="11015" width="15.7109375" style="60" customWidth="1"/>
    <col min="11016" max="11018" width="9.140625" style="60"/>
    <col min="11019" max="11019" width="13" style="60" customWidth="1"/>
    <col min="11020" max="11152" width="9.140625" style="60"/>
    <col min="11153" max="11165" width="8.85546875" style="60" customWidth="1"/>
    <col min="11166" max="11264" width="9.140625" style="60"/>
    <col min="11265" max="11265" width="31.85546875" style="60" customWidth="1"/>
    <col min="11266" max="11266" width="25" style="60" customWidth="1"/>
    <col min="11267" max="11267" width="24.7109375" style="60" customWidth="1"/>
    <col min="11268" max="11268" width="20.7109375" style="60" bestFit="1" customWidth="1"/>
    <col min="11269" max="11269" width="18.85546875" style="60" bestFit="1" customWidth="1"/>
    <col min="11270" max="11270" width="9.5703125" style="60" customWidth="1"/>
    <col min="11271" max="11271" width="15.7109375" style="60" customWidth="1"/>
    <col min="11272" max="11274" width="9.140625" style="60"/>
    <col min="11275" max="11275" width="13" style="60" customWidth="1"/>
    <col min="11276" max="11408" width="9.140625" style="60"/>
    <col min="11409" max="11421" width="8.85546875" style="60" customWidth="1"/>
    <col min="11422" max="11520" width="9.140625" style="60"/>
    <col min="11521" max="11521" width="31.85546875" style="60" customWidth="1"/>
    <col min="11522" max="11522" width="25" style="60" customWidth="1"/>
    <col min="11523" max="11523" width="24.7109375" style="60" customWidth="1"/>
    <col min="11524" max="11524" width="20.7109375" style="60" bestFit="1" customWidth="1"/>
    <col min="11525" max="11525" width="18.85546875" style="60" bestFit="1" customWidth="1"/>
    <col min="11526" max="11526" width="9.5703125" style="60" customWidth="1"/>
    <col min="11527" max="11527" width="15.7109375" style="60" customWidth="1"/>
    <col min="11528" max="11530" width="9.140625" style="60"/>
    <col min="11531" max="11531" width="13" style="60" customWidth="1"/>
    <col min="11532" max="11664" width="9.140625" style="60"/>
    <col min="11665" max="11677" width="8.85546875" style="60" customWidth="1"/>
    <col min="11678" max="11776" width="9.140625" style="60"/>
    <col min="11777" max="11777" width="31.85546875" style="60" customWidth="1"/>
    <col min="11778" max="11778" width="25" style="60" customWidth="1"/>
    <col min="11779" max="11779" width="24.7109375" style="60" customWidth="1"/>
    <col min="11780" max="11780" width="20.7109375" style="60" bestFit="1" customWidth="1"/>
    <col min="11781" max="11781" width="18.85546875" style="60" bestFit="1" customWidth="1"/>
    <col min="11782" max="11782" width="9.5703125" style="60" customWidth="1"/>
    <col min="11783" max="11783" width="15.7109375" style="60" customWidth="1"/>
    <col min="11784" max="11786" width="9.140625" style="60"/>
    <col min="11787" max="11787" width="13" style="60" customWidth="1"/>
    <col min="11788" max="11920" width="9.140625" style="60"/>
    <col min="11921" max="11933" width="8.85546875" style="60" customWidth="1"/>
    <col min="11934" max="12032" width="9.140625" style="60"/>
    <col min="12033" max="12033" width="31.85546875" style="60" customWidth="1"/>
    <col min="12034" max="12034" width="25" style="60" customWidth="1"/>
    <col min="12035" max="12035" width="24.7109375" style="60" customWidth="1"/>
    <col min="12036" max="12036" width="20.7109375" style="60" bestFit="1" customWidth="1"/>
    <col min="12037" max="12037" width="18.85546875" style="60" bestFit="1" customWidth="1"/>
    <col min="12038" max="12038" width="9.5703125" style="60" customWidth="1"/>
    <col min="12039" max="12039" width="15.7109375" style="60" customWidth="1"/>
    <col min="12040" max="12042" width="9.140625" style="60"/>
    <col min="12043" max="12043" width="13" style="60" customWidth="1"/>
    <col min="12044" max="12176" width="9.140625" style="60"/>
    <col min="12177" max="12189" width="8.85546875" style="60" customWidth="1"/>
    <col min="12190" max="12288" width="9.140625" style="60"/>
    <col min="12289" max="12289" width="31.85546875" style="60" customWidth="1"/>
    <col min="12290" max="12290" width="25" style="60" customWidth="1"/>
    <col min="12291" max="12291" width="24.7109375" style="60" customWidth="1"/>
    <col min="12292" max="12292" width="20.7109375" style="60" bestFit="1" customWidth="1"/>
    <col min="12293" max="12293" width="18.85546875" style="60" bestFit="1" customWidth="1"/>
    <col min="12294" max="12294" width="9.5703125" style="60" customWidth="1"/>
    <col min="12295" max="12295" width="15.7109375" style="60" customWidth="1"/>
    <col min="12296" max="12298" width="9.140625" style="60"/>
    <col min="12299" max="12299" width="13" style="60" customWidth="1"/>
    <col min="12300" max="12432" width="9.140625" style="60"/>
    <col min="12433" max="12445" width="8.85546875" style="60" customWidth="1"/>
    <col min="12446" max="12544" width="9.140625" style="60"/>
    <col min="12545" max="12545" width="31.85546875" style="60" customWidth="1"/>
    <col min="12546" max="12546" width="25" style="60" customWidth="1"/>
    <col min="12547" max="12547" width="24.7109375" style="60" customWidth="1"/>
    <col min="12548" max="12548" width="20.7109375" style="60" bestFit="1" customWidth="1"/>
    <col min="12549" max="12549" width="18.85546875" style="60" bestFit="1" customWidth="1"/>
    <col min="12550" max="12550" width="9.5703125" style="60" customWidth="1"/>
    <col min="12551" max="12551" width="15.7109375" style="60" customWidth="1"/>
    <col min="12552" max="12554" width="9.140625" style="60"/>
    <col min="12555" max="12555" width="13" style="60" customWidth="1"/>
    <col min="12556" max="12688" width="9.140625" style="60"/>
    <col min="12689" max="12701" width="8.85546875" style="60" customWidth="1"/>
    <col min="12702" max="12800" width="9.140625" style="60"/>
    <col min="12801" max="12801" width="31.85546875" style="60" customWidth="1"/>
    <col min="12802" max="12802" width="25" style="60" customWidth="1"/>
    <col min="12803" max="12803" width="24.7109375" style="60" customWidth="1"/>
    <col min="12804" max="12804" width="20.7109375" style="60" bestFit="1" customWidth="1"/>
    <col min="12805" max="12805" width="18.85546875" style="60" bestFit="1" customWidth="1"/>
    <col min="12806" max="12806" width="9.5703125" style="60" customWidth="1"/>
    <col min="12807" max="12807" width="15.7109375" style="60" customWidth="1"/>
    <col min="12808" max="12810" width="9.140625" style="60"/>
    <col min="12811" max="12811" width="13" style="60" customWidth="1"/>
    <col min="12812" max="12944" width="9.140625" style="60"/>
    <col min="12945" max="12957" width="8.85546875" style="60" customWidth="1"/>
    <col min="12958" max="13056" width="9.140625" style="60"/>
    <col min="13057" max="13057" width="31.85546875" style="60" customWidth="1"/>
    <col min="13058" max="13058" width="25" style="60" customWidth="1"/>
    <col min="13059" max="13059" width="24.7109375" style="60" customWidth="1"/>
    <col min="13060" max="13060" width="20.7109375" style="60" bestFit="1" customWidth="1"/>
    <col min="13061" max="13061" width="18.85546875" style="60" bestFit="1" customWidth="1"/>
    <col min="13062" max="13062" width="9.5703125" style="60" customWidth="1"/>
    <col min="13063" max="13063" width="15.7109375" style="60" customWidth="1"/>
    <col min="13064" max="13066" width="9.140625" style="60"/>
    <col min="13067" max="13067" width="13" style="60" customWidth="1"/>
    <col min="13068" max="13200" width="9.140625" style="60"/>
    <col min="13201" max="13213" width="8.85546875" style="60" customWidth="1"/>
    <col min="13214" max="13312" width="9.140625" style="60"/>
    <col min="13313" max="13313" width="31.85546875" style="60" customWidth="1"/>
    <col min="13314" max="13314" width="25" style="60" customWidth="1"/>
    <col min="13315" max="13315" width="24.7109375" style="60" customWidth="1"/>
    <col min="13316" max="13316" width="20.7109375" style="60" bestFit="1" customWidth="1"/>
    <col min="13317" max="13317" width="18.85546875" style="60" bestFit="1" customWidth="1"/>
    <col min="13318" max="13318" width="9.5703125" style="60" customWidth="1"/>
    <col min="13319" max="13319" width="15.7109375" style="60" customWidth="1"/>
    <col min="13320" max="13322" width="9.140625" style="60"/>
    <col min="13323" max="13323" width="13" style="60" customWidth="1"/>
    <col min="13324" max="13456" width="9.140625" style="60"/>
    <col min="13457" max="13469" width="8.85546875" style="60" customWidth="1"/>
    <col min="13470" max="13568" width="9.140625" style="60"/>
    <col min="13569" max="13569" width="31.85546875" style="60" customWidth="1"/>
    <col min="13570" max="13570" width="25" style="60" customWidth="1"/>
    <col min="13571" max="13571" width="24.7109375" style="60" customWidth="1"/>
    <col min="13572" max="13572" width="20.7109375" style="60" bestFit="1" customWidth="1"/>
    <col min="13573" max="13573" width="18.85546875" style="60" bestFit="1" customWidth="1"/>
    <col min="13574" max="13574" width="9.5703125" style="60" customWidth="1"/>
    <col min="13575" max="13575" width="15.7109375" style="60" customWidth="1"/>
    <col min="13576" max="13578" width="9.140625" style="60"/>
    <col min="13579" max="13579" width="13" style="60" customWidth="1"/>
    <col min="13580" max="13712" width="9.140625" style="60"/>
    <col min="13713" max="13725" width="8.85546875" style="60" customWidth="1"/>
    <col min="13726" max="13824" width="9.140625" style="60"/>
    <col min="13825" max="13825" width="31.85546875" style="60" customWidth="1"/>
    <col min="13826" max="13826" width="25" style="60" customWidth="1"/>
    <col min="13827" max="13827" width="24.7109375" style="60" customWidth="1"/>
    <col min="13828" max="13828" width="20.7109375" style="60" bestFit="1" customWidth="1"/>
    <col min="13829" max="13829" width="18.85546875" style="60" bestFit="1" customWidth="1"/>
    <col min="13830" max="13830" width="9.5703125" style="60" customWidth="1"/>
    <col min="13831" max="13831" width="15.7109375" style="60" customWidth="1"/>
    <col min="13832" max="13834" width="9.140625" style="60"/>
    <col min="13835" max="13835" width="13" style="60" customWidth="1"/>
    <col min="13836" max="13968" width="9.140625" style="60"/>
    <col min="13969" max="13981" width="8.85546875" style="60" customWidth="1"/>
    <col min="13982" max="14080" width="9.140625" style="60"/>
    <col min="14081" max="14081" width="31.85546875" style="60" customWidth="1"/>
    <col min="14082" max="14082" width="25" style="60" customWidth="1"/>
    <col min="14083" max="14083" width="24.7109375" style="60" customWidth="1"/>
    <col min="14084" max="14084" width="20.7109375" style="60" bestFit="1" customWidth="1"/>
    <col min="14085" max="14085" width="18.85546875" style="60" bestFit="1" customWidth="1"/>
    <col min="14086" max="14086" width="9.5703125" style="60" customWidth="1"/>
    <col min="14087" max="14087" width="15.7109375" style="60" customWidth="1"/>
    <col min="14088" max="14090" width="9.140625" style="60"/>
    <col min="14091" max="14091" width="13" style="60" customWidth="1"/>
    <col min="14092" max="14224" width="9.140625" style="60"/>
    <col min="14225" max="14237" width="8.85546875" style="60" customWidth="1"/>
    <col min="14238" max="14336" width="9.140625" style="60"/>
    <col min="14337" max="14337" width="31.85546875" style="60" customWidth="1"/>
    <col min="14338" max="14338" width="25" style="60" customWidth="1"/>
    <col min="14339" max="14339" width="24.7109375" style="60" customWidth="1"/>
    <col min="14340" max="14340" width="20.7109375" style="60" bestFit="1" customWidth="1"/>
    <col min="14341" max="14341" width="18.85546875" style="60" bestFit="1" customWidth="1"/>
    <col min="14342" max="14342" width="9.5703125" style="60" customWidth="1"/>
    <col min="14343" max="14343" width="15.7109375" style="60" customWidth="1"/>
    <col min="14344" max="14346" width="9.140625" style="60"/>
    <col min="14347" max="14347" width="13" style="60" customWidth="1"/>
    <col min="14348" max="14480" width="9.140625" style="60"/>
    <col min="14481" max="14493" width="8.85546875" style="60" customWidth="1"/>
    <col min="14494" max="14592" width="9.140625" style="60"/>
    <col min="14593" max="14593" width="31.85546875" style="60" customWidth="1"/>
    <col min="14594" max="14594" width="25" style="60" customWidth="1"/>
    <col min="14595" max="14595" width="24.7109375" style="60" customWidth="1"/>
    <col min="14596" max="14596" width="20.7109375" style="60" bestFit="1" customWidth="1"/>
    <col min="14597" max="14597" width="18.85546875" style="60" bestFit="1" customWidth="1"/>
    <col min="14598" max="14598" width="9.5703125" style="60" customWidth="1"/>
    <col min="14599" max="14599" width="15.7109375" style="60" customWidth="1"/>
    <col min="14600" max="14602" width="9.140625" style="60"/>
    <col min="14603" max="14603" width="13" style="60" customWidth="1"/>
    <col min="14604" max="14736" width="9.140625" style="60"/>
    <col min="14737" max="14749" width="8.85546875" style="60" customWidth="1"/>
    <col min="14750" max="14848" width="9.140625" style="60"/>
    <col min="14849" max="14849" width="31.85546875" style="60" customWidth="1"/>
    <col min="14850" max="14850" width="25" style="60" customWidth="1"/>
    <col min="14851" max="14851" width="24.7109375" style="60" customWidth="1"/>
    <col min="14852" max="14852" width="20.7109375" style="60" bestFit="1" customWidth="1"/>
    <col min="14853" max="14853" width="18.85546875" style="60" bestFit="1" customWidth="1"/>
    <col min="14854" max="14854" width="9.5703125" style="60" customWidth="1"/>
    <col min="14855" max="14855" width="15.7109375" style="60" customWidth="1"/>
    <col min="14856" max="14858" width="9.140625" style="60"/>
    <col min="14859" max="14859" width="13" style="60" customWidth="1"/>
    <col min="14860" max="14992" width="9.140625" style="60"/>
    <col min="14993" max="15005" width="8.85546875" style="60" customWidth="1"/>
    <col min="15006" max="15104" width="9.140625" style="60"/>
    <col min="15105" max="15105" width="31.85546875" style="60" customWidth="1"/>
    <col min="15106" max="15106" width="25" style="60" customWidth="1"/>
    <col min="15107" max="15107" width="24.7109375" style="60" customWidth="1"/>
    <col min="15108" max="15108" width="20.7109375" style="60" bestFit="1" customWidth="1"/>
    <col min="15109" max="15109" width="18.85546875" style="60" bestFit="1" customWidth="1"/>
    <col min="15110" max="15110" width="9.5703125" style="60" customWidth="1"/>
    <col min="15111" max="15111" width="15.7109375" style="60" customWidth="1"/>
    <col min="15112" max="15114" width="9.140625" style="60"/>
    <col min="15115" max="15115" width="13" style="60" customWidth="1"/>
    <col min="15116" max="15248" width="9.140625" style="60"/>
    <col min="15249" max="15261" width="8.85546875" style="60" customWidth="1"/>
    <col min="15262" max="15360" width="9.140625" style="60"/>
    <col min="15361" max="15361" width="31.85546875" style="60" customWidth="1"/>
    <col min="15362" max="15362" width="25" style="60" customWidth="1"/>
    <col min="15363" max="15363" width="24.7109375" style="60" customWidth="1"/>
    <col min="15364" max="15364" width="20.7109375" style="60" bestFit="1" customWidth="1"/>
    <col min="15365" max="15365" width="18.85546875" style="60" bestFit="1" customWidth="1"/>
    <col min="15366" max="15366" width="9.5703125" style="60" customWidth="1"/>
    <col min="15367" max="15367" width="15.7109375" style="60" customWidth="1"/>
    <col min="15368" max="15370" width="9.140625" style="60"/>
    <col min="15371" max="15371" width="13" style="60" customWidth="1"/>
    <col min="15372" max="15504" width="9.140625" style="60"/>
    <col min="15505" max="15517" width="8.85546875" style="60" customWidth="1"/>
    <col min="15518" max="15616" width="9.140625" style="60"/>
    <col min="15617" max="15617" width="31.85546875" style="60" customWidth="1"/>
    <col min="15618" max="15618" width="25" style="60" customWidth="1"/>
    <col min="15619" max="15619" width="24.7109375" style="60" customWidth="1"/>
    <col min="15620" max="15620" width="20.7109375" style="60" bestFit="1" customWidth="1"/>
    <col min="15621" max="15621" width="18.85546875" style="60" bestFit="1" customWidth="1"/>
    <col min="15622" max="15622" width="9.5703125" style="60" customWidth="1"/>
    <col min="15623" max="15623" width="15.7109375" style="60" customWidth="1"/>
    <col min="15624" max="15626" width="9.140625" style="60"/>
    <col min="15627" max="15627" width="13" style="60" customWidth="1"/>
    <col min="15628" max="15760" width="9.140625" style="60"/>
    <col min="15761" max="15773" width="8.85546875" style="60" customWidth="1"/>
    <col min="15774" max="15872" width="9.140625" style="60"/>
    <col min="15873" max="15873" width="31.85546875" style="60" customWidth="1"/>
    <col min="15874" max="15874" width="25" style="60" customWidth="1"/>
    <col min="15875" max="15875" width="24.7109375" style="60" customWidth="1"/>
    <col min="15876" max="15876" width="20.7109375" style="60" bestFit="1" customWidth="1"/>
    <col min="15877" max="15877" width="18.85546875" style="60" bestFit="1" customWidth="1"/>
    <col min="15878" max="15878" width="9.5703125" style="60" customWidth="1"/>
    <col min="15879" max="15879" width="15.7109375" style="60" customWidth="1"/>
    <col min="15880" max="15882" width="9.140625" style="60"/>
    <col min="15883" max="15883" width="13" style="60" customWidth="1"/>
    <col min="15884" max="16016" width="9.140625" style="60"/>
    <col min="16017" max="16029" width="8.85546875" style="60" customWidth="1"/>
    <col min="16030" max="16128" width="9.140625" style="60"/>
    <col min="16129" max="16129" width="31.85546875" style="60" customWidth="1"/>
    <col min="16130" max="16130" width="25" style="60" customWidth="1"/>
    <col min="16131" max="16131" width="24.7109375" style="60" customWidth="1"/>
    <col min="16132" max="16132" width="20.7109375" style="60" bestFit="1" customWidth="1"/>
    <col min="16133" max="16133" width="18.85546875" style="60" bestFit="1" customWidth="1"/>
    <col min="16134" max="16134" width="9.5703125" style="60" customWidth="1"/>
    <col min="16135" max="16135" width="15.7109375" style="60" customWidth="1"/>
    <col min="16136" max="16138" width="9.140625" style="60"/>
    <col min="16139" max="16139" width="13" style="60" customWidth="1"/>
    <col min="16140" max="16272" width="9.140625" style="60"/>
    <col min="16273" max="16285" width="8.85546875" style="60" customWidth="1"/>
    <col min="16286" max="16384" width="9.140625" style="60"/>
  </cols>
  <sheetData>
    <row r="1" spans="1:13" ht="20.25" x14ac:dyDescent="0.35">
      <c r="A1" s="96" t="s">
        <v>47</v>
      </c>
      <c r="B1" s="95"/>
      <c r="C1" s="94"/>
      <c r="D1" s="93"/>
      <c r="E1" s="92"/>
    </row>
    <row r="2" spans="1:13" ht="4.5" customHeight="1" thickBot="1" x14ac:dyDescent="0.3">
      <c r="B2" s="91"/>
      <c r="C2" s="91"/>
    </row>
    <row r="3" spans="1:13" ht="17.25" thickTop="1" x14ac:dyDescent="0.3">
      <c r="A3" s="3448" t="s">
        <v>46</v>
      </c>
      <c r="B3" s="90" t="s">
        <v>45</v>
      </c>
      <c r="C3" s="90" t="s">
        <v>45</v>
      </c>
      <c r="D3" s="89" t="s">
        <v>44</v>
      </c>
    </row>
    <row r="4" spans="1:13" ht="16.5" x14ac:dyDescent="0.3">
      <c r="A4" s="3449"/>
      <c r="B4" s="88" t="s">
        <v>43</v>
      </c>
      <c r="C4" s="88" t="s">
        <v>43</v>
      </c>
      <c r="D4" s="85" t="s">
        <v>42</v>
      </c>
    </row>
    <row r="5" spans="1:13" ht="16.5" x14ac:dyDescent="0.3">
      <c r="A5" s="3449"/>
      <c r="B5" s="88" t="s">
        <v>41</v>
      </c>
      <c r="C5" s="88" t="s">
        <v>40</v>
      </c>
      <c r="D5" s="85" t="s">
        <v>39</v>
      </c>
      <c r="M5" s="76"/>
    </row>
    <row r="6" spans="1:13" ht="16.5" x14ac:dyDescent="0.3">
      <c r="A6" s="3449"/>
      <c r="B6" s="86"/>
      <c r="C6" s="86"/>
      <c r="D6" s="85" t="s">
        <v>38</v>
      </c>
      <c r="G6" s="87"/>
      <c r="J6" s="87"/>
    </row>
    <row r="7" spans="1:13" ht="16.5" x14ac:dyDescent="0.3">
      <c r="A7" s="3449"/>
      <c r="B7" s="86" t="s">
        <v>37</v>
      </c>
      <c r="C7" s="86" t="s">
        <v>36</v>
      </c>
      <c r="D7" s="85" t="s">
        <v>35</v>
      </c>
      <c r="M7" s="76"/>
    </row>
    <row r="8" spans="1:13" ht="4.5" customHeight="1" thickBot="1" x14ac:dyDescent="0.35">
      <c r="A8" s="3450"/>
      <c r="B8" s="84"/>
      <c r="C8" s="84"/>
      <c r="D8" s="83"/>
      <c r="H8" s="71"/>
    </row>
    <row r="9" spans="1:13" ht="21" customHeight="1" x14ac:dyDescent="0.3">
      <c r="A9" s="80" t="s">
        <v>23</v>
      </c>
      <c r="B9" s="79">
        <v>31.818787600000004</v>
      </c>
      <c r="C9" s="79">
        <v>30.623643600000008</v>
      </c>
      <c r="D9" s="78">
        <f t="shared" ref="D9:D20" si="0">((B9/C9)-1)*100</f>
        <v>3.9026838726662572</v>
      </c>
      <c r="F9" s="71"/>
      <c r="G9" s="77"/>
      <c r="H9" s="71"/>
      <c r="I9" s="77"/>
      <c r="J9" s="77"/>
      <c r="K9" s="71"/>
      <c r="M9" s="76"/>
    </row>
    <row r="10" spans="1:13" ht="19.5" customHeight="1" x14ac:dyDescent="0.3">
      <c r="A10" s="80" t="s">
        <v>34</v>
      </c>
      <c r="B10" s="79">
        <v>5.7292436000000011</v>
      </c>
      <c r="C10" s="79">
        <v>5.8779404000000008</v>
      </c>
      <c r="D10" s="78">
        <f t="shared" si="0"/>
        <v>-2.5297432413571186</v>
      </c>
      <c r="F10" s="71"/>
      <c r="G10" s="77"/>
      <c r="H10" s="71"/>
      <c r="I10" s="77"/>
      <c r="J10" s="77"/>
      <c r="K10" s="71"/>
      <c r="M10" s="76"/>
    </row>
    <row r="11" spans="1:13" ht="19.5" customHeight="1" x14ac:dyDescent="0.3">
      <c r="A11" s="80" t="s">
        <v>21</v>
      </c>
      <c r="B11" s="79">
        <v>58.86963999999999</v>
      </c>
      <c r="C11" s="79">
        <v>56.713799999999985</v>
      </c>
      <c r="D11" s="78">
        <f t="shared" si="0"/>
        <v>3.8012617740303067</v>
      </c>
      <c r="F11" s="71"/>
      <c r="G11" s="82"/>
      <c r="H11" s="81"/>
      <c r="I11" s="77"/>
      <c r="J11" s="77"/>
      <c r="K11" s="71"/>
      <c r="M11" s="76"/>
    </row>
    <row r="12" spans="1:13" ht="19.5" customHeight="1" x14ac:dyDescent="0.3">
      <c r="A12" s="80" t="s">
        <v>20</v>
      </c>
      <c r="B12" s="79">
        <v>36.023191999999995</v>
      </c>
      <c r="C12" s="79">
        <v>33.165132400000005</v>
      </c>
      <c r="D12" s="78">
        <f t="shared" si="0"/>
        <v>8.6176637726915537</v>
      </c>
      <c r="F12" s="71"/>
      <c r="G12" s="77"/>
      <c r="H12" s="71"/>
      <c r="I12" s="77"/>
      <c r="J12" s="77"/>
      <c r="K12" s="71"/>
      <c r="M12" s="76"/>
    </row>
    <row r="13" spans="1:13" ht="20.100000000000001" customHeight="1" x14ac:dyDescent="0.3">
      <c r="A13" s="80" t="s">
        <v>19</v>
      </c>
      <c r="B13" s="79">
        <v>38.786789200000008</v>
      </c>
      <c r="C13" s="79">
        <v>35.025084399999997</v>
      </c>
      <c r="D13" s="78">
        <f t="shared" si="0"/>
        <v>10.740030650718468</v>
      </c>
      <c r="F13" s="71"/>
      <c r="G13" s="77"/>
      <c r="H13" s="71"/>
      <c r="I13" s="77"/>
      <c r="J13" s="77"/>
      <c r="K13" s="71"/>
      <c r="M13" s="76"/>
    </row>
    <row r="14" spans="1:13" ht="20.100000000000001" customHeight="1" x14ac:dyDescent="0.3">
      <c r="A14" s="80" t="s">
        <v>18</v>
      </c>
      <c r="B14" s="79">
        <v>29.416021600000001</v>
      </c>
      <c r="C14" s="79">
        <v>28.305887200000001</v>
      </c>
      <c r="D14" s="78">
        <f t="shared" si="0"/>
        <v>3.9219205254234168</v>
      </c>
      <c r="F14" s="71"/>
      <c r="G14" s="77"/>
      <c r="H14" s="71"/>
      <c r="I14" s="77"/>
      <c r="J14" s="77"/>
      <c r="K14" s="71"/>
      <c r="M14" s="76"/>
    </row>
    <row r="15" spans="1:13" ht="20.100000000000001" customHeight="1" x14ac:dyDescent="0.3">
      <c r="A15" s="80" t="s">
        <v>17</v>
      </c>
      <c r="B15" s="79">
        <v>32.620637200000004</v>
      </c>
      <c r="C15" s="79">
        <v>34.043174799999996</v>
      </c>
      <c r="D15" s="78">
        <f t="shared" si="0"/>
        <v>-4.1786278992991921</v>
      </c>
      <c r="F15" s="71"/>
      <c r="G15" s="77"/>
      <c r="H15" s="71"/>
      <c r="I15" s="77"/>
      <c r="J15" s="77"/>
      <c r="K15" s="71"/>
      <c r="M15" s="76"/>
    </row>
    <row r="16" spans="1:13" ht="20.100000000000001" customHeight="1" x14ac:dyDescent="0.3">
      <c r="A16" s="80" t="s">
        <v>16</v>
      </c>
      <c r="B16" s="79">
        <v>2.8680256000000002</v>
      </c>
      <c r="C16" s="79">
        <v>2.5714227999999997</v>
      </c>
      <c r="D16" s="78">
        <f t="shared" si="0"/>
        <v>11.534579222055608</v>
      </c>
      <c r="F16" s="71"/>
      <c r="G16" s="77"/>
      <c r="H16" s="71"/>
      <c r="I16" s="77"/>
      <c r="J16" s="77"/>
      <c r="K16" s="71"/>
      <c r="M16" s="76"/>
    </row>
    <row r="17" spans="1:13" ht="20.100000000000001" customHeight="1" x14ac:dyDescent="0.3">
      <c r="A17" s="80" t="s">
        <v>15</v>
      </c>
      <c r="B17" s="79">
        <v>47.258173999999997</v>
      </c>
      <c r="C17" s="79">
        <v>50.156282799999993</v>
      </c>
      <c r="D17" s="78">
        <f t="shared" si="0"/>
        <v>-5.7781570686893051</v>
      </c>
      <c r="F17" s="71"/>
      <c r="G17" s="77"/>
      <c r="H17" s="71"/>
      <c r="I17" s="77"/>
      <c r="J17" s="77"/>
      <c r="K17" s="71"/>
      <c r="M17" s="76"/>
    </row>
    <row r="18" spans="1:13" ht="20.100000000000001" customHeight="1" x14ac:dyDescent="0.3">
      <c r="A18" s="80" t="s">
        <v>14</v>
      </c>
      <c r="B18" s="79">
        <v>44.296263600000003</v>
      </c>
      <c r="C18" s="79">
        <v>45.493476399999999</v>
      </c>
      <c r="D18" s="78">
        <f t="shared" si="0"/>
        <v>-2.6316142329364745</v>
      </c>
      <c r="F18" s="71"/>
      <c r="G18" s="77"/>
      <c r="H18" s="71"/>
      <c r="I18" s="77"/>
      <c r="J18" s="77"/>
      <c r="K18" s="71"/>
      <c r="M18" s="76"/>
    </row>
    <row r="19" spans="1:13" ht="20.100000000000001" customHeight="1" x14ac:dyDescent="0.3">
      <c r="A19" s="80" t="s">
        <v>13</v>
      </c>
      <c r="B19" s="79">
        <v>56.830980400000001</v>
      </c>
      <c r="C19" s="79">
        <v>56.101653599999999</v>
      </c>
      <c r="D19" s="78">
        <f t="shared" si="0"/>
        <v>1.3000094528408113</v>
      </c>
      <c r="F19" s="71"/>
      <c r="G19" s="77"/>
      <c r="H19" s="71"/>
      <c r="I19" s="77"/>
      <c r="J19" s="77"/>
      <c r="K19" s="71"/>
      <c r="M19" s="76"/>
    </row>
    <row r="20" spans="1:13" ht="20.100000000000001" customHeight="1" x14ac:dyDescent="0.3">
      <c r="A20" s="80" t="s">
        <v>12</v>
      </c>
      <c r="B20" s="79">
        <v>48.17325000000001</v>
      </c>
      <c r="C20" s="79">
        <v>48.849493199999998</v>
      </c>
      <c r="D20" s="78">
        <f t="shared" si="0"/>
        <v>-1.3843402575975716</v>
      </c>
      <c r="F20" s="71"/>
      <c r="G20" s="77"/>
      <c r="H20" s="71"/>
      <c r="I20" s="77"/>
      <c r="J20" s="77"/>
      <c r="K20" s="71"/>
      <c r="M20" s="76"/>
    </row>
    <row r="21" spans="1:13" ht="6.75" customHeight="1" thickBot="1" x14ac:dyDescent="0.35">
      <c r="A21" s="75"/>
      <c r="B21" s="74"/>
      <c r="C21" s="73"/>
      <c r="D21" s="72"/>
      <c r="F21" s="71"/>
      <c r="H21" s="71"/>
      <c r="M21" s="70"/>
    </row>
    <row r="22" spans="1:13" s="63" customFormat="1" ht="18.95" customHeight="1" thickTop="1" x14ac:dyDescent="0.25">
      <c r="A22" s="63" t="s">
        <v>33</v>
      </c>
      <c r="B22" s="69"/>
      <c r="C22" s="64"/>
      <c r="D22" s="68"/>
      <c r="E22" s="67"/>
      <c r="F22" s="67"/>
      <c r="G22" s="67"/>
      <c r="H22" s="67"/>
    </row>
    <row r="23" spans="1:13" s="63" customFormat="1" ht="18.95" customHeight="1" x14ac:dyDescent="0.25">
      <c r="A23" s="63" t="s">
        <v>32</v>
      </c>
      <c r="B23" s="66"/>
      <c r="C23" s="64"/>
      <c r="D23" s="65"/>
    </row>
    <row r="24" spans="1:13" s="63" customFormat="1" ht="18.95" customHeight="1" x14ac:dyDescent="0.25">
      <c r="A24" s="63" t="s">
        <v>31</v>
      </c>
      <c r="B24" s="64"/>
      <c r="C24" s="64"/>
    </row>
    <row r="25" spans="1:13" s="63" customFormat="1" ht="18.95" customHeight="1" x14ac:dyDescent="0.25">
      <c r="A25" s="63" t="s">
        <v>30</v>
      </c>
      <c r="B25" s="64"/>
      <c r="C25" s="64"/>
    </row>
    <row r="26" spans="1:13" s="63" customFormat="1" ht="18.95" customHeight="1" x14ac:dyDescent="0.25">
      <c r="A26" s="63" t="s">
        <v>29</v>
      </c>
      <c r="B26" s="64"/>
      <c r="C26" s="64"/>
    </row>
    <row r="27" spans="1:13" s="63" customFormat="1" ht="18.95" customHeight="1" x14ac:dyDescent="0.25">
      <c r="A27" s="63" t="s">
        <v>28</v>
      </c>
      <c r="B27" s="64"/>
      <c r="C27" s="64"/>
    </row>
    <row r="28" spans="1:13" s="63" customFormat="1" ht="21" customHeight="1" x14ac:dyDescent="0.25">
      <c r="A28" s="6" t="s">
        <v>0</v>
      </c>
    </row>
    <row r="29" spans="1:13" ht="3" customHeight="1" x14ac:dyDescent="0.25"/>
    <row r="30" spans="1:13" x14ac:dyDescent="0.25">
      <c r="B30" s="62"/>
      <c r="C30" s="62"/>
    </row>
    <row r="31" spans="1:13" x14ac:dyDescent="0.25">
      <c r="B31" s="62"/>
      <c r="C31" s="62"/>
    </row>
    <row r="32" spans="1:13" x14ac:dyDescent="0.25">
      <c r="B32" s="62"/>
      <c r="C32" s="62"/>
    </row>
    <row r="96" spans="1:1" x14ac:dyDescent="0.25">
      <c r="A96" s="61"/>
    </row>
  </sheetData>
  <mergeCells count="1">
    <mergeCell ref="A3:A8"/>
  </mergeCells>
  <pageMargins left="0.75" right="0.75" top="0.75" bottom="0.75" header="0.31496062992125984" footer="0"/>
  <pageSetup paperSize="9" scale="84"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IM95"/>
  <sheetViews>
    <sheetView showGridLines="0" zoomScale="85" zoomScaleNormal="85" zoomScaleSheetLayoutView="100" workbookViewId="0">
      <pane xSplit="1" ySplit="3" topLeftCell="B4" activePane="bottomRight" state="frozen"/>
      <selection activeCell="A38" sqref="A38"/>
      <selection pane="topRight" activeCell="A38" sqref="A38"/>
      <selection pane="bottomLeft" activeCell="A38" sqref="A38"/>
      <selection pane="bottomRight" activeCell="A38" sqref="A38"/>
    </sheetView>
  </sheetViews>
  <sheetFormatPr defaultRowHeight="14.25" x14ac:dyDescent="0.25"/>
  <cols>
    <col min="1" max="1" width="17.28515625" style="97" customWidth="1"/>
    <col min="2" max="4" width="10.42578125" style="97" customWidth="1"/>
    <col min="5" max="7" width="11.7109375" style="97" customWidth="1"/>
    <col min="8" max="9" width="10.28515625" style="97" customWidth="1"/>
    <col min="10" max="10" width="10.5703125" style="97" customWidth="1"/>
    <col min="11" max="12" width="9.140625" style="97"/>
    <col min="13" max="13" width="10.85546875" style="97" customWidth="1"/>
    <col min="14" max="14" width="11.7109375" style="97" customWidth="1"/>
    <col min="15" max="16" width="19.85546875" style="97" bestFit="1" customWidth="1"/>
    <col min="17" max="17" width="20" style="97" bestFit="1" customWidth="1"/>
    <col min="18" max="18" width="19.85546875" style="97" bestFit="1" customWidth="1"/>
    <col min="19" max="19" width="15.5703125" style="97" bestFit="1" customWidth="1"/>
    <col min="20" max="21" width="15.42578125" style="97" bestFit="1" customWidth="1"/>
    <col min="22" max="22" width="9.28515625" style="97" bestFit="1" customWidth="1"/>
    <col min="23" max="144" width="9.140625" style="97"/>
    <col min="145" max="157" width="8.85546875" style="97" customWidth="1"/>
    <col min="158" max="247" width="9.140625" style="97"/>
    <col min="248" max="248" width="17.28515625" style="97" customWidth="1"/>
    <col min="249" max="251" width="0" style="97" hidden="1" customWidth="1"/>
    <col min="252" max="254" width="10.28515625" style="97" customWidth="1"/>
    <col min="255" max="257" width="0" style="97" hidden="1" customWidth="1"/>
    <col min="258" max="260" width="10.28515625" style="97" customWidth="1"/>
    <col min="261" max="263" width="0" style="97" hidden="1" customWidth="1"/>
    <col min="264" max="266" width="10.28515625" style="97" customWidth="1"/>
    <col min="267" max="268" width="9.140625" style="97"/>
    <col min="269" max="269" width="10.85546875" style="97" customWidth="1"/>
    <col min="270" max="271" width="9.140625" style="97"/>
    <col min="272" max="273" width="13.42578125" style="97" bestFit="1" customWidth="1"/>
    <col min="274" max="277" width="10.5703125" style="97" bestFit="1" customWidth="1"/>
    <col min="278" max="400" width="9.140625" style="97"/>
    <col min="401" max="413" width="8.85546875" style="97" customWidth="1"/>
    <col min="414" max="503" width="9.140625" style="97"/>
    <col min="504" max="504" width="17.28515625" style="97" customWidth="1"/>
    <col min="505" max="507" width="0" style="97" hidden="1" customWidth="1"/>
    <col min="508" max="510" width="10.28515625" style="97" customWidth="1"/>
    <col min="511" max="513" width="0" style="97" hidden="1" customWidth="1"/>
    <col min="514" max="516" width="10.28515625" style="97" customWidth="1"/>
    <col min="517" max="519" width="0" style="97" hidden="1" customWidth="1"/>
    <col min="520" max="522" width="10.28515625" style="97" customWidth="1"/>
    <col min="523" max="524" width="9.140625" style="97"/>
    <col min="525" max="525" width="10.85546875" style="97" customWidth="1"/>
    <col min="526" max="527" width="9.140625" style="97"/>
    <col min="528" max="529" width="13.42578125" style="97" bestFit="1" customWidth="1"/>
    <col min="530" max="533" width="10.5703125" style="97" bestFit="1" customWidth="1"/>
    <col min="534" max="656" width="9.140625" style="97"/>
    <col min="657" max="669" width="8.85546875" style="97" customWidth="1"/>
    <col min="670" max="759" width="9.140625" style="97"/>
    <col min="760" max="760" width="17.28515625" style="97" customWidth="1"/>
    <col min="761" max="763" width="0" style="97" hidden="1" customWidth="1"/>
    <col min="764" max="766" width="10.28515625" style="97" customWidth="1"/>
    <col min="767" max="769" width="0" style="97" hidden="1" customWidth="1"/>
    <col min="770" max="772" width="10.28515625" style="97" customWidth="1"/>
    <col min="773" max="775" width="0" style="97" hidden="1" customWidth="1"/>
    <col min="776" max="778" width="10.28515625" style="97" customWidth="1"/>
    <col min="779" max="780" width="9.140625" style="97"/>
    <col min="781" max="781" width="10.85546875" style="97" customWidth="1"/>
    <col min="782" max="783" width="9.140625" style="97"/>
    <col min="784" max="785" width="13.42578125" style="97" bestFit="1" customWidth="1"/>
    <col min="786" max="789" width="10.5703125" style="97" bestFit="1" customWidth="1"/>
    <col min="790" max="912" width="9.140625" style="97"/>
    <col min="913" max="925" width="8.85546875" style="97" customWidth="1"/>
    <col min="926" max="1015" width="9.140625" style="97"/>
    <col min="1016" max="1016" width="17.28515625" style="97" customWidth="1"/>
    <col min="1017" max="1019" width="0" style="97" hidden="1" customWidth="1"/>
    <col min="1020" max="1022" width="10.28515625" style="97" customWidth="1"/>
    <col min="1023" max="1025" width="0" style="97" hidden="1" customWidth="1"/>
    <col min="1026" max="1028" width="10.28515625" style="97" customWidth="1"/>
    <col min="1029" max="1031" width="0" style="97" hidden="1" customWidth="1"/>
    <col min="1032" max="1034" width="10.28515625" style="97" customWidth="1"/>
    <col min="1035" max="1036" width="9.140625" style="97"/>
    <col min="1037" max="1037" width="10.85546875" style="97" customWidth="1"/>
    <col min="1038" max="1039" width="9.140625" style="97"/>
    <col min="1040" max="1041" width="13.42578125" style="97" bestFit="1" customWidth="1"/>
    <col min="1042" max="1045" width="10.5703125" style="97" bestFit="1" customWidth="1"/>
    <col min="1046" max="1168" width="9.140625" style="97"/>
    <col min="1169" max="1181" width="8.85546875" style="97" customWidth="1"/>
    <col min="1182" max="1271" width="9.140625" style="97"/>
    <col min="1272" max="1272" width="17.28515625" style="97" customWidth="1"/>
    <col min="1273" max="1275" width="0" style="97" hidden="1" customWidth="1"/>
    <col min="1276" max="1278" width="10.28515625" style="97" customWidth="1"/>
    <col min="1279" max="1281" width="0" style="97" hidden="1" customWidth="1"/>
    <col min="1282" max="1284" width="10.28515625" style="97" customWidth="1"/>
    <col min="1285" max="1287" width="0" style="97" hidden="1" customWidth="1"/>
    <col min="1288" max="1290" width="10.28515625" style="97" customWidth="1"/>
    <col min="1291" max="1292" width="9.140625" style="97"/>
    <col min="1293" max="1293" width="10.85546875" style="97" customWidth="1"/>
    <col min="1294" max="1295" width="9.140625" style="97"/>
    <col min="1296" max="1297" width="13.42578125" style="97" bestFit="1" customWidth="1"/>
    <col min="1298" max="1301" width="10.5703125" style="97" bestFit="1" customWidth="1"/>
    <col min="1302" max="1424" width="9.140625" style="97"/>
    <col min="1425" max="1437" width="8.85546875" style="97" customWidth="1"/>
    <col min="1438" max="1527" width="9.140625" style="97"/>
    <col min="1528" max="1528" width="17.28515625" style="97" customWidth="1"/>
    <col min="1529" max="1531" width="0" style="97" hidden="1" customWidth="1"/>
    <col min="1532" max="1534" width="10.28515625" style="97" customWidth="1"/>
    <col min="1535" max="1537" width="0" style="97" hidden="1" customWidth="1"/>
    <col min="1538" max="1540" width="10.28515625" style="97" customWidth="1"/>
    <col min="1541" max="1543" width="0" style="97" hidden="1" customWidth="1"/>
    <col min="1544" max="1546" width="10.28515625" style="97" customWidth="1"/>
    <col min="1547" max="1548" width="9.140625" style="97"/>
    <col min="1549" max="1549" width="10.85546875" style="97" customWidth="1"/>
    <col min="1550" max="1551" width="9.140625" style="97"/>
    <col min="1552" max="1553" width="13.42578125" style="97" bestFit="1" customWidth="1"/>
    <col min="1554" max="1557" width="10.5703125" style="97" bestFit="1" customWidth="1"/>
    <col min="1558" max="1680" width="9.140625" style="97"/>
    <col min="1681" max="1693" width="8.85546875" style="97" customWidth="1"/>
    <col min="1694" max="1783" width="9.140625" style="97"/>
    <col min="1784" max="1784" width="17.28515625" style="97" customWidth="1"/>
    <col min="1785" max="1787" width="0" style="97" hidden="1" customWidth="1"/>
    <col min="1788" max="1790" width="10.28515625" style="97" customWidth="1"/>
    <col min="1791" max="1793" width="0" style="97" hidden="1" customWidth="1"/>
    <col min="1794" max="1796" width="10.28515625" style="97" customWidth="1"/>
    <col min="1797" max="1799" width="0" style="97" hidden="1" customWidth="1"/>
    <col min="1800" max="1802" width="10.28515625" style="97" customWidth="1"/>
    <col min="1803" max="1804" width="9.140625" style="97"/>
    <col min="1805" max="1805" width="10.85546875" style="97" customWidth="1"/>
    <col min="1806" max="1807" width="9.140625" style="97"/>
    <col min="1808" max="1809" width="13.42578125" style="97" bestFit="1" customWidth="1"/>
    <col min="1810" max="1813" width="10.5703125" style="97" bestFit="1" customWidth="1"/>
    <col min="1814" max="1936" width="9.140625" style="97"/>
    <col min="1937" max="1949" width="8.85546875" style="97" customWidth="1"/>
    <col min="1950" max="2039" width="9.140625" style="97"/>
    <col min="2040" max="2040" width="17.28515625" style="97" customWidth="1"/>
    <col min="2041" max="2043" width="0" style="97" hidden="1" customWidth="1"/>
    <col min="2044" max="2046" width="10.28515625" style="97" customWidth="1"/>
    <col min="2047" max="2049" width="0" style="97" hidden="1" customWidth="1"/>
    <col min="2050" max="2052" width="10.28515625" style="97" customWidth="1"/>
    <col min="2053" max="2055" width="0" style="97" hidden="1" customWidth="1"/>
    <col min="2056" max="2058" width="10.28515625" style="97" customWidth="1"/>
    <col min="2059" max="2060" width="9.140625" style="97"/>
    <col min="2061" max="2061" width="10.85546875" style="97" customWidth="1"/>
    <col min="2062" max="2063" width="9.140625" style="97"/>
    <col min="2064" max="2065" width="13.42578125" style="97" bestFit="1" customWidth="1"/>
    <col min="2066" max="2069" width="10.5703125" style="97" bestFit="1" customWidth="1"/>
    <col min="2070" max="2192" width="9.140625" style="97"/>
    <col min="2193" max="2205" width="8.85546875" style="97" customWidth="1"/>
    <col min="2206" max="2295" width="9.140625" style="97"/>
    <col min="2296" max="2296" width="17.28515625" style="97" customWidth="1"/>
    <col min="2297" max="2299" width="0" style="97" hidden="1" customWidth="1"/>
    <col min="2300" max="2302" width="10.28515625" style="97" customWidth="1"/>
    <col min="2303" max="2305" width="0" style="97" hidden="1" customWidth="1"/>
    <col min="2306" max="2308" width="10.28515625" style="97" customWidth="1"/>
    <col min="2309" max="2311" width="0" style="97" hidden="1" customWidth="1"/>
    <col min="2312" max="2314" width="10.28515625" style="97" customWidth="1"/>
    <col min="2315" max="2316" width="9.140625" style="97"/>
    <col min="2317" max="2317" width="10.85546875" style="97" customWidth="1"/>
    <col min="2318" max="2319" width="9.140625" style="97"/>
    <col min="2320" max="2321" width="13.42578125" style="97" bestFit="1" customWidth="1"/>
    <col min="2322" max="2325" width="10.5703125" style="97" bestFit="1" customWidth="1"/>
    <col min="2326" max="2448" width="9.140625" style="97"/>
    <col min="2449" max="2461" width="8.85546875" style="97" customWidth="1"/>
    <col min="2462" max="2551" width="9.140625" style="97"/>
    <col min="2552" max="2552" width="17.28515625" style="97" customWidth="1"/>
    <col min="2553" max="2555" width="0" style="97" hidden="1" customWidth="1"/>
    <col min="2556" max="2558" width="10.28515625" style="97" customWidth="1"/>
    <col min="2559" max="2561" width="0" style="97" hidden="1" customWidth="1"/>
    <col min="2562" max="2564" width="10.28515625" style="97" customWidth="1"/>
    <col min="2565" max="2567" width="0" style="97" hidden="1" customWidth="1"/>
    <col min="2568" max="2570" width="10.28515625" style="97" customWidth="1"/>
    <col min="2571" max="2572" width="9.140625" style="97"/>
    <col min="2573" max="2573" width="10.85546875" style="97" customWidth="1"/>
    <col min="2574" max="2575" width="9.140625" style="97"/>
    <col min="2576" max="2577" width="13.42578125" style="97" bestFit="1" customWidth="1"/>
    <col min="2578" max="2581" width="10.5703125" style="97" bestFit="1" customWidth="1"/>
    <col min="2582" max="2704" width="9.140625" style="97"/>
    <col min="2705" max="2717" width="8.85546875" style="97" customWidth="1"/>
    <col min="2718" max="2807" width="9.140625" style="97"/>
    <col min="2808" max="2808" width="17.28515625" style="97" customWidth="1"/>
    <col min="2809" max="2811" width="0" style="97" hidden="1" customWidth="1"/>
    <col min="2812" max="2814" width="10.28515625" style="97" customWidth="1"/>
    <col min="2815" max="2817" width="0" style="97" hidden="1" customWidth="1"/>
    <col min="2818" max="2820" width="10.28515625" style="97" customWidth="1"/>
    <col min="2821" max="2823" width="0" style="97" hidden="1" customWidth="1"/>
    <col min="2824" max="2826" width="10.28515625" style="97" customWidth="1"/>
    <col min="2827" max="2828" width="9.140625" style="97"/>
    <col min="2829" max="2829" width="10.85546875" style="97" customWidth="1"/>
    <col min="2830" max="2831" width="9.140625" style="97"/>
    <col min="2832" max="2833" width="13.42578125" style="97" bestFit="1" customWidth="1"/>
    <col min="2834" max="2837" width="10.5703125" style="97" bestFit="1" customWidth="1"/>
    <col min="2838" max="2960" width="9.140625" style="97"/>
    <col min="2961" max="2973" width="8.85546875" style="97" customWidth="1"/>
    <col min="2974" max="3063" width="9.140625" style="97"/>
    <col min="3064" max="3064" width="17.28515625" style="97" customWidth="1"/>
    <col min="3065" max="3067" width="0" style="97" hidden="1" customWidth="1"/>
    <col min="3068" max="3070" width="10.28515625" style="97" customWidth="1"/>
    <col min="3071" max="3073" width="0" style="97" hidden="1" customWidth="1"/>
    <col min="3074" max="3076" width="10.28515625" style="97" customWidth="1"/>
    <col min="3077" max="3079" width="0" style="97" hidden="1" customWidth="1"/>
    <col min="3080" max="3082" width="10.28515625" style="97" customWidth="1"/>
    <col min="3083" max="3084" width="9.140625" style="97"/>
    <col min="3085" max="3085" width="10.85546875" style="97" customWidth="1"/>
    <col min="3086" max="3087" width="9.140625" style="97"/>
    <col min="3088" max="3089" width="13.42578125" style="97" bestFit="1" customWidth="1"/>
    <col min="3090" max="3093" width="10.5703125" style="97" bestFit="1" customWidth="1"/>
    <col min="3094" max="3216" width="9.140625" style="97"/>
    <col min="3217" max="3229" width="8.85546875" style="97" customWidth="1"/>
    <col min="3230" max="3319" width="9.140625" style="97"/>
    <col min="3320" max="3320" width="17.28515625" style="97" customWidth="1"/>
    <col min="3321" max="3323" width="0" style="97" hidden="1" customWidth="1"/>
    <col min="3324" max="3326" width="10.28515625" style="97" customWidth="1"/>
    <col min="3327" max="3329" width="0" style="97" hidden="1" customWidth="1"/>
    <col min="3330" max="3332" width="10.28515625" style="97" customWidth="1"/>
    <col min="3333" max="3335" width="0" style="97" hidden="1" customWidth="1"/>
    <col min="3336" max="3338" width="10.28515625" style="97" customWidth="1"/>
    <col min="3339" max="3340" width="9.140625" style="97"/>
    <col min="3341" max="3341" width="10.85546875" style="97" customWidth="1"/>
    <col min="3342" max="3343" width="9.140625" style="97"/>
    <col min="3344" max="3345" width="13.42578125" style="97" bestFit="1" customWidth="1"/>
    <col min="3346" max="3349" width="10.5703125" style="97" bestFit="1" customWidth="1"/>
    <col min="3350" max="3472" width="9.140625" style="97"/>
    <col min="3473" max="3485" width="8.85546875" style="97" customWidth="1"/>
    <col min="3486" max="3575" width="9.140625" style="97"/>
    <col min="3576" max="3576" width="17.28515625" style="97" customWidth="1"/>
    <col min="3577" max="3579" width="0" style="97" hidden="1" customWidth="1"/>
    <col min="3580" max="3582" width="10.28515625" style="97" customWidth="1"/>
    <col min="3583" max="3585" width="0" style="97" hidden="1" customWidth="1"/>
    <col min="3586" max="3588" width="10.28515625" style="97" customWidth="1"/>
    <col min="3589" max="3591" width="0" style="97" hidden="1" customWidth="1"/>
    <col min="3592" max="3594" width="10.28515625" style="97" customWidth="1"/>
    <col min="3595" max="3596" width="9.140625" style="97"/>
    <col min="3597" max="3597" width="10.85546875" style="97" customWidth="1"/>
    <col min="3598" max="3599" width="9.140625" style="97"/>
    <col min="3600" max="3601" width="13.42578125" style="97" bestFit="1" customWidth="1"/>
    <col min="3602" max="3605" width="10.5703125" style="97" bestFit="1" customWidth="1"/>
    <col min="3606" max="3728" width="9.140625" style="97"/>
    <col min="3729" max="3741" width="8.85546875" style="97" customWidth="1"/>
    <col min="3742" max="3831" width="9.140625" style="97"/>
    <col min="3832" max="3832" width="17.28515625" style="97" customWidth="1"/>
    <col min="3833" max="3835" width="0" style="97" hidden="1" customWidth="1"/>
    <col min="3836" max="3838" width="10.28515625" style="97" customWidth="1"/>
    <col min="3839" max="3841" width="0" style="97" hidden="1" customWidth="1"/>
    <col min="3842" max="3844" width="10.28515625" style="97" customWidth="1"/>
    <col min="3845" max="3847" width="0" style="97" hidden="1" customWidth="1"/>
    <col min="3848" max="3850" width="10.28515625" style="97" customWidth="1"/>
    <col min="3851" max="3852" width="9.140625" style="97"/>
    <col min="3853" max="3853" width="10.85546875" style="97" customWidth="1"/>
    <col min="3854" max="3855" width="9.140625" style="97"/>
    <col min="3856" max="3857" width="13.42578125" style="97" bestFit="1" customWidth="1"/>
    <col min="3858" max="3861" width="10.5703125" style="97" bestFit="1" customWidth="1"/>
    <col min="3862" max="3984" width="9.140625" style="97"/>
    <col min="3985" max="3997" width="8.85546875" style="97" customWidth="1"/>
    <col min="3998" max="4087" width="9.140625" style="97"/>
    <col min="4088" max="4088" width="17.28515625" style="97" customWidth="1"/>
    <col min="4089" max="4091" width="0" style="97" hidden="1" customWidth="1"/>
    <col min="4092" max="4094" width="10.28515625" style="97" customWidth="1"/>
    <col min="4095" max="4097" width="0" style="97" hidden="1" customWidth="1"/>
    <col min="4098" max="4100" width="10.28515625" style="97" customWidth="1"/>
    <col min="4101" max="4103" width="0" style="97" hidden="1" customWidth="1"/>
    <col min="4104" max="4106" width="10.28515625" style="97" customWidth="1"/>
    <col min="4107" max="4108" width="9.140625" style="97"/>
    <col min="4109" max="4109" width="10.85546875" style="97" customWidth="1"/>
    <col min="4110" max="4111" width="9.140625" style="97"/>
    <col min="4112" max="4113" width="13.42578125" style="97" bestFit="1" customWidth="1"/>
    <col min="4114" max="4117" width="10.5703125" style="97" bestFit="1" customWidth="1"/>
    <col min="4118" max="4240" width="9.140625" style="97"/>
    <col min="4241" max="4253" width="8.85546875" style="97" customWidth="1"/>
    <col min="4254" max="4343" width="9.140625" style="97"/>
    <col min="4344" max="4344" width="17.28515625" style="97" customWidth="1"/>
    <col min="4345" max="4347" width="0" style="97" hidden="1" customWidth="1"/>
    <col min="4348" max="4350" width="10.28515625" style="97" customWidth="1"/>
    <col min="4351" max="4353" width="0" style="97" hidden="1" customWidth="1"/>
    <col min="4354" max="4356" width="10.28515625" style="97" customWidth="1"/>
    <col min="4357" max="4359" width="0" style="97" hidden="1" customWidth="1"/>
    <col min="4360" max="4362" width="10.28515625" style="97" customWidth="1"/>
    <col min="4363" max="4364" width="9.140625" style="97"/>
    <col min="4365" max="4365" width="10.85546875" style="97" customWidth="1"/>
    <col min="4366" max="4367" width="9.140625" style="97"/>
    <col min="4368" max="4369" width="13.42578125" style="97" bestFit="1" customWidth="1"/>
    <col min="4370" max="4373" width="10.5703125" style="97" bestFit="1" customWidth="1"/>
    <col min="4374" max="4496" width="9.140625" style="97"/>
    <col min="4497" max="4509" width="8.85546875" style="97" customWidth="1"/>
    <col min="4510" max="4599" width="9.140625" style="97"/>
    <col min="4600" max="4600" width="17.28515625" style="97" customWidth="1"/>
    <col min="4601" max="4603" width="0" style="97" hidden="1" customWidth="1"/>
    <col min="4604" max="4606" width="10.28515625" style="97" customWidth="1"/>
    <col min="4607" max="4609" width="0" style="97" hidden="1" customWidth="1"/>
    <col min="4610" max="4612" width="10.28515625" style="97" customWidth="1"/>
    <col min="4613" max="4615" width="0" style="97" hidden="1" customWidth="1"/>
    <col min="4616" max="4618" width="10.28515625" style="97" customWidth="1"/>
    <col min="4619" max="4620" width="9.140625" style="97"/>
    <col min="4621" max="4621" width="10.85546875" style="97" customWidth="1"/>
    <col min="4622" max="4623" width="9.140625" style="97"/>
    <col min="4624" max="4625" width="13.42578125" style="97" bestFit="1" customWidth="1"/>
    <col min="4626" max="4629" width="10.5703125" style="97" bestFit="1" customWidth="1"/>
    <col min="4630" max="4752" width="9.140625" style="97"/>
    <col min="4753" max="4765" width="8.85546875" style="97" customWidth="1"/>
    <col min="4766" max="4855" width="9.140625" style="97"/>
    <col min="4856" max="4856" width="17.28515625" style="97" customWidth="1"/>
    <col min="4857" max="4859" width="0" style="97" hidden="1" customWidth="1"/>
    <col min="4860" max="4862" width="10.28515625" style="97" customWidth="1"/>
    <col min="4863" max="4865" width="0" style="97" hidden="1" customWidth="1"/>
    <col min="4866" max="4868" width="10.28515625" style="97" customWidth="1"/>
    <col min="4869" max="4871" width="0" style="97" hidden="1" customWidth="1"/>
    <col min="4872" max="4874" width="10.28515625" style="97" customWidth="1"/>
    <col min="4875" max="4876" width="9.140625" style="97"/>
    <col min="4877" max="4877" width="10.85546875" style="97" customWidth="1"/>
    <col min="4878" max="4879" width="9.140625" style="97"/>
    <col min="4880" max="4881" width="13.42578125" style="97" bestFit="1" customWidth="1"/>
    <col min="4882" max="4885" width="10.5703125" style="97" bestFit="1" customWidth="1"/>
    <col min="4886" max="5008" width="9.140625" style="97"/>
    <col min="5009" max="5021" width="8.85546875" style="97" customWidth="1"/>
    <col min="5022" max="5111" width="9.140625" style="97"/>
    <col min="5112" max="5112" width="17.28515625" style="97" customWidth="1"/>
    <col min="5113" max="5115" width="0" style="97" hidden="1" customWidth="1"/>
    <col min="5116" max="5118" width="10.28515625" style="97" customWidth="1"/>
    <col min="5119" max="5121" width="0" style="97" hidden="1" customWidth="1"/>
    <col min="5122" max="5124" width="10.28515625" style="97" customWidth="1"/>
    <col min="5125" max="5127" width="0" style="97" hidden="1" customWidth="1"/>
    <col min="5128" max="5130" width="10.28515625" style="97" customWidth="1"/>
    <col min="5131" max="5132" width="9.140625" style="97"/>
    <col min="5133" max="5133" width="10.85546875" style="97" customWidth="1"/>
    <col min="5134" max="5135" width="9.140625" style="97"/>
    <col min="5136" max="5137" width="13.42578125" style="97" bestFit="1" customWidth="1"/>
    <col min="5138" max="5141" width="10.5703125" style="97" bestFit="1" customWidth="1"/>
    <col min="5142" max="5264" width="9.140625" style="97"/>
    <col min="5265" max="5277" width="8.85546875" style="97" customWidth="1"/>
    <col min="5278" max="5367" width="9.140625" style="97"/>
    <col min="5368" max="5368" width="17.28515625" style="97" customWidth="1"/>
    <col min="5369" max="5371" width="0" style="97" hidden="1" customWidth="1"/>
    <col min="5372" max="5374" width="10.28515625" style="97" customWidth="1"/>
    <col min="5375" max="5377" width="0" style="97" hidden="1" customWidth="1"/>
    <col min="5378" max="5380" width="10.28515625" style="97" customWidth="1"/>
    <col min="5381" max="5383" width="0" style="97" hidden="1" customWidth="1"/>
    <col min="5384" max="5386" width="10.28515625" style="97" customWidth="1"/>
    <col min="5387" max="5388" width="9.140625" style="97"/>
    <col min="5389" max="5389" width="10.85546875" style="97" customWidth="1"/>
    <col min="5390" max="5391" width="9.140625" style="97"/>
    <col min="5392" max="5393" width="13.42578125" style="97" bestFit="1" customWidth="1"/>
    <col min="5394" max="5397" width="10.5703125" style="97" bestFit="1" customWidth="1"/>
    <col min="5398" max="5520" width="9.140625" style="97"/>
    <col min="5521" max="5533" width="8.85546875" style="97" customWidth="1"/>
    <col min="5534" max="5623" width="9.140625" style="97"/>
    <col min="5624" max="5624" width="17.28515625" style="97" customWidth="1"/>
    <col min="5625" max="5627" width="0" style="97" hidden="1" customWidth="1"/>
    <col min="5628" max="5630" width="10.28515625" style="97" customWidth="1"/>
    <col min="5631" max="5633" width="0" style="97" hidden="1" customWidth="1"/>
    <col min="5634" max="5636" width="10.28515625" style="97" customWidth="1"/>
    <col min="5637" max="5639" width="0" style="97" hidden="1" customWidth="1"/>
    <col min="5640" max="5642" width="10.28515625" style="97" customWidth="1"/>
    <col min="5643" max="5644" width="9.140625" style="97"/>
    <col min="5645" max="5645" width="10.85546875" style="97" customWidth="1"/>
    <col min="5646" max="5647" width="9.140625" style="97"/>
    <col min="5648" max="5649" width="13.42578125" style="97" bestFit="1" customWidth="1"/>
    <col min="5650" max="5653" width="10.5703125" style="97" bestFit="1" customWidth="1"/>
    <col min="5654" max="5776" width="9.140625" style="97"/>
    <col min="5777" max="5789" width="8.85546875" style="97" customWidth="1"/>
    <col min="5790" max="5879" width="9.140625" style="97"/>
    <col min="5880" max="5880" width="17.28515625" style="97" customWidth="1"/>
    <col min="5881" max="5883" width="0" style="97" hidden="1" customWidth="1"/>
    <col min="5884" max="5886" width="10.28515625" style="97" customWidth="1"/>
    <col min="5887" max="5889" width="0" style="97" hidden="1" customWidth="1"/>
    <col min="5890" max="5892" width="10.28515625" style="97" customWidth="1"/>
    <col min="5893" max="5895" width="0" style="97" hidden="1" customWidth="1"/>
    <col min="5896" max="5898" width="10.28515625" style="97" customWidth="1"/>
    <col min="5899" max="5900" width="9.140625" style="97"/>
    <col min="5901" max="5901" width="10.85546875" style="97" customWidth="1"/>
    <col min="5902" max="5903" width="9.140625" style="97"/>
    <col min="5904" max="5905" width="13.42578125" style="97" bestFit="1" customWidth="1"/>
    <col min="5906" max="5909" width="10.5703125" style="97" bestFit="1" customWidth="1"/>
    <col min="5910" max="6032" width="9.140625" style="97"/>
    <col min="6033" max="6045" width="8.85546875" style="97" customWidth="1"/>
    <col min="6046" max="6135" width="9.140625" style="97"/>
    <col min="6136" max="6136" width="17.28515625" style="97" customWidth="1"/>
    <col min="6137" max="6139" width="0" style="97" hidden="1" customWidth="1"/>
    <col min="6140" max="6142" width="10.28515625" style="97" customWidth="1"/>
    <col min="6143" max="6145" width="0" style="97" hidden="1" customWidth="1"/>
    <col min="6146" max="6148" width="10.28515625" style="97" customWidth="1"/>
    <col min="6149" max="6151" width="0" style="97" hidden="1" customWidth="1"/>
    <col min="6152" max="6154" width="10.28515625" style="97" customWidth="1"/>
    <col min="6155" max="6156" width="9.140625" style="97"/>
    <col min="6157" max="6157" width="10.85546875" style="97" customWidth="1"/>
    <col min="6158" max="6159" width="9.140625" style="97"/>
    <col min="6160" max="6161" width="13.42578125" style="97" bestFit="1" customWidth="1"/>
    <col min="6162" max="6165" width="10.5703125" style="97" bestFit="1" customWidth="1"/>
    <col min="6166" max="6288" width="9.140625" style="97"/>
    <col min="6289" max="6301" width="8.85546875" style="97" customWidth="1"/>
    <col min="6302" max="6391" width="9.140625" style="97"/>
    <col min="6392" max="6392" width="17.28515625" style="97" customWidth="1"/>
    <col min="6393" max="6395" width="0" style="97" hidden="1" customWidth="1"/>
    <col min="6396" max="6398" width="10.28515625" style="97" customWidth="1"/>
    <col min="6399" max="6401" width="0" style="97" hidden="1" customWidth="1"/>
    <col min="6402" max="6404" width="10.28515625" style="97" customWidth="1"/>
    <col min="6405" max="6407" width="0" style="97" hidden="1" customWidth="1"/>
    <col min="6408" max="6410" width="10.28515625" style="97" customWidth="1"/>
    <col min="6411" max="6412" width="9.140625" style="97"/>
    <col min="6413" max="6413" width="10.85546875" style="97" customWidth="1"/>
    <col min="6414" max="6415" width="9.140625" style="97"/>
    <col min="6416" max="6417" width="13.42578125" style="97" bestFit="1" customWidth="1"/>
    <col min="6418" max="6421" width="10.5703125" style="97" bestFit="1" customWidth="1"/>
    <col min="6422" max="6544" width="9.140625" style="97"/>
    <col min="6545" max="6557" width="8.85546875" style="97" customWidth="1"/>
    <col min="6558" max="6647" width="9.140625" style="97"/>
    <col min="6648" max="6648" width="17.28515625" style="97" customWidth="1"/>
    <col min="6649" max="6651" width="0" style="97" hidden="1" customWidth="1"/>
    <col min="6652" max="6654" width="10.28515625" style="97" customWidth="1"/>
    <col min="6655" max="6657" width="0" style="97" hidden="1" customWidth="1"/>
    <col min="6658" max="6660" width="10.28515625" style="97" customWidth="1"/>
    <col min="6661" max="6663" width="0" style="97" hidden="1" customWidth="1"/>
    <col min="6664" max="6666" width="10.28515625" style="97" customWidth="1"/>
    <col min="6667" max="6668" width="9.140625" style="97"/>
    <col min="6669" max="6669" width="10.85546875" style="97" customWidth="1"/>
    <col min="6670" max="6671" width="9.140625" style="97"/>
    <col min="6672" max="6673" width="13.42578125" style="97" bestFit="1" customWidth="1"/>
    <col min="6674" max="6677" width="10.5703125" style="97" bestFit="1" customWidth="1"/>
    <col min="6678" max="6800" width="9.140625" style="97"/>
    <col min="6801" max="6813" width="8.85546875" style="97" customWidth="1"/>
    <col min="6814" max="6903" width="9.140625" style="97"/>
    <col min="6904" max="6904" width="17.28515625" style="97" customWidth="1"/>
    <col min="6905" max="6907" width="0" style="97" hidden="1" customWidth="1"/>
    <col min="6908" max="6910" width="10.28515625" style="97" customWidth="1"/>
    <col min="6911" max="6913" width="0" style="97" hidden="1" customWidth="1"/>
    <col min="6914" max="6916" width="10.28515625" style="97" customWidth="1"/>
    <col min="6917" max="6919" width="0" style="97" hidden="1" customWidth="1"/>
    <col min="6920" max="6922" width="10.28515625" style="97" customWidth="1"/>
    <col min="6923" max="6924" width="9.140625" style="97"/>
    <col min="6925" max="6925" width="10.85546875" style="97" customWidth="1"/>
    <col min="6926" max="6927" width="9.140625" style="97"/>
    <col min="6928" max="6929" width="13.42578125" style="97" bestFit="1" customWidth="1"/>
    <col min="6930" max="6933" width="10.5703125" style="97" bestFit="1" customWidth="1"/>
    <col min="6934" max="7056" width="9.140625" style="97"/>
    <col min="7057" max="7069" width="8.85546875" style="97" customWidth="1"/>
    <col min="7070" max="7159" width="9.140625" style="97"/>
    <col min="7160" max="7160" width="17.28515625" style="97" customWidth="1"/>
    <col min="7161" max="7163" width="0" style="97" hidden="1" customWidth="1"/>
    <col min="7164" max="7166" width="10.28515625" style="97" customWidth="1"/>
    <col min="7167" max="7169" width="0" style="97" hidden="1" customWidth="1"/>
    <col min="7170" max="7172" width="10.28515625" style="97" customWidth="1"/>
    <col min="7173" max="7175" width="0" style="97" hidden="1" customWidth="1"/>
    <col min="7176" max="7178" width="10.28515625" style="97" customWidth="1"/>
    <col min="7179" max="7180" width="9.140625" style="97"/>
    <col min="7181" max="7181" width="10.85546875" style="97" customWidth="1"/>
    <col min="7182" max="7183" width="9.140625" style="97"/>
    <col min="7184" max="7185" width="13.42578125" style="97" bestFit="1" customWidth="1"/>
    <col min="7186" max="7189" width="10.5703125" style="97" bestFit="1" customWidth="1"/>
    <col min="7190" max="7312" width="9.140625" style="97"/>
    <col min="7313" max="7325" width="8.85546875" style="97" customWidth="1"/>
    <col min="7326" max="7415" width="9.140625" style="97"/>
    <col min="7416" max="7416" width="17.28515625" style="97" customWidth="1"/>
    <col min="7417" max="7419" width="0" style="97" hidden="1" customWidth="1"/>
    <col min="7420" max="7422" width="10.28515625" style="97" customWidth="1"/>
    <col min="7423" max="7425" width="0" style="97" hidden="1" customWidth="1"/>
    <col min="7426" max="7428" width="10.28515625" style="97" customWidth="1"/>
    <col min="7429" max="7431" width="0" style="97" hidden="1" customWidth="1"/>
    <col min="7432" max="7434" width="10.28515625" style="97" customWidth="1"/>
    <col min="7435" max="7436" width="9.140625" style="97"/>
    <col min="7437" max="7437" width="10.85546875" style="97" customWidth="1"/>
    <col min="7438" max="7439" width="9.140625" style="97"/>
    <col min="7440" max="7441" width="13.42578125" style="97" bestFit="1" customWidth="1"/>
    <col min="7442" max="7445" width="10.5703125" style="97" bestFit="1" customWidth="1"/>
    <col min="7446" max="7568" width="9.140625" style="97"/>
    <col min="7569" max="7581" width="8.85546875" style="97" customWidth="1"/>
    <col min="7582" max="7671" width="9.140625" style="97"/>
    <col min="7672" max="7672" width="17.28515625" style="97" customWidth="1"/>
    <col min="7673" max="7675" width="0" style="97" hidden="1" customWidth="1"/>
    <col min="7676" max="7678" width="10.28515625" style="97" customWidth="1"/>
    <col min="7679" max="7681" width="0" style="97" hidden="1" customWidth="1"/>
    <col min="7682" max="7684" width="10.28515625" style="97" customWidth="1"/>
    <col min="7685" max="7687" width="0" style="97" hidden="1" customWidth="1"/>
    <col min="7688" max="7690" width="10.28515625" style="97" customWidth="1"/>
    <col min="7691" max="7692" width="9.140625" style="97"/>
    <col min="7693" max="7693" width="10.85546875" style="97" customWidth="1"/>
    <col min="7694" max="7695" width="9.140625" style="97"/>
    <col min="7696" max="7697" width="13.42578125" style="97" bestFit="1" customWidth="1"/>
    <col min="7698" max="7701" width="10.5703125" style="97" bestFit="1" customWidth="1"/>
    <col min="7702" max="7824" width="9.140625" style="97"/>
    <col min="7825" max="7837" width="8.85546875" style="97" customWidth="1"/>
    <col min="7838" max="7927" width="9.140625" style="97"/>
    <col min="7928" max="7928" width="17.28515625" style="97" customWidth="1"/>
    <col min="7929" max="7931" width="0" style="97" hidden="1" customWidth="1"/>
    <col min="7932" max="7934" width="10.28515625" style="97" customWidth="1"/>
    <col min="7935" max="7937" width="0" style="97" hidden="1" customWidth="1"/>
    <col min="7938" max="7940" width="10.28515625" style="97" customWidth="1"/>
    <col min="7941" max="7943" width="0" style="97" hidden="1" customWidth="1"/>
    <col min="7944" max="7946" width="10.28515625" style="97" customWidth="1"/>
    <col min="7947" max="7948" width="9.140625" style="97"/>
    <col min="7949" max="7949" width="10.85546875" style="97" customWidth="1"/>
    <col min="7950" max="7951" width="9.140625" style="97"/>
    <col min="7952" max="7953" width="13.42578125" style="97" bestFit="1" customWidth="1"/>
    <col min="7954" max="7957" width="10.5703125" style="97" bestFit="1" customWidth="1"/>
    <col min="7958" max="8080" width="9.140625" style="97"/>
    <col min="8081" max="8093" width="8.85546875" style="97" customWidth="1"/>
    <col min="8094" max="8183" width="9.140625" style="97"/>
    <col min="8184" max="8184" width="17.28515625" style="97" customWidth="1"/>
    <col min="8185" max="8187" width="0" style="97" hidden="1" customWidth="1"/>
    <col min="8188" max="8190" width="10.28515625" style="97" customWidth="1"/>
    <col min="8191" max="8193" width="0" style="97" hidden="1" customWidth="1"/>
    <col min="8194" max="8196" width="10.28515625" style="97" customWidth="1"/>
    <col min="8197" max="8199" width="0" style="97" hidden="1" customWidth="1"/>
    <col min="8200" max="8202" width="10.28515625" style="97" customWidth="1"/>
    <col min="8203" max="8204" width="9.140625" style="97"/>
    <col min="8205" max="8205" width="10.85546875" style="97" customWidth="1"/>
    <col min="8206" max="8207" width="9.140625" style="97"/>
    <col min="8208" max="8209" width="13.42578125" style="97" bestFit="1" customWidth="1"/>
    <col min="8210" max="8213" width="10.5703125" style="97" bestFit="1" customWidth="1"/>
    <col min="8214" max="8336" width="9.140625" style="97"/>
    <col min="8337" max="8349" width="8.85546875" style="97" customWidth="1"/>
    <col min="8350" max="8439" width="9.140625" style="97"/>
    <col min="8440" max="8440" width="17.28515625" style="97" customWidth="1"/>
    <col min="8441" max="8443" width="0" style="97" hidden="1" customWidth="1"/>
    <col min="8444" max="8446" width="10.28515625" style="97" customWidth="1"/>
    <col min="8447" max="8449" width="0" style="97" hidden="1" customWidth="1"/>
    <col min="8450" max="8452" width="10.28515625" style="97" customWidth="1"/>
    <col min="8453" max="8455" width="0" style="97" hidden="1" customWidth="1"/>
    <col min="8456" max="8458" width="10.28515625" style="97" customWidth="1"/>
    <col min="8459" max="8460" width="9.140625" style="97"/>
    <col min="8461" max="8461" width="10.85546875" style="97" customWidth="1"/>
    <col min="8462" max="8463" width="9.140625" style="97"/>
    <col min="8464" max="8465" width="13.42578125" style="97" bestFit="1" customWidth="1"/>
    <col min="8466" max="8469" width="10.5703125" style="97" bestFit="1" customWidth="1"/>
    <col min="8470" max="8592" width="9.140625" style="97"/>
    <col min="8593" max="8605" width="8.85546875" style="97" customWidth="1"/>
    <col min="8606" max="8695" width="9.140625" style="97"/>
    <col min="8696" max="8696" width="17.28515625" style="97" customWidth="1"/>
    <col min="8697" max="8699" width="0" style="97" hidden="1" customWidth="1"/>
    <col min="8700" max="8702" width="10.28515625" style="97" customWidth="1"/>
    <col min="8703" max="8705" width="0" style="97" hidden="1" customWidth="1"/>
    <col min="8706" max="8708" width="10.28515625" style="97" customWidth="1"/>
    <col min="8709" max="8711" width="0" style="97" hidden="1" customWidth="1"/>
    <col min="8712" max="8714" width="10.28515625" style="97" customWidth="1"/>
    <col min="8715" max="8716" width="9.140625" style="97"/>
    <col min="8717" max="8717" width="10.85546875" style="97" customWidth="1"/>
    <col min="8718" max="8719" width="9.140625" style="97"/>
    <col min="8720" max="8721" width="13.42578125" style="97" bestFit="1" customWidth="1"/>
    <col min="8722" max="8725" width="10.5703125" style="97" bestFit="1" customWidth="1"/>
    <col min="8726" max="8848" width="9.140625" style="97"/>
    <col min="8849" max="8861" width="8.85546875" style="97" customWidth="1"/>
    <col min="8862" max="8951" width="9.140625" style="97"/>
    <col min="8952" max="8952" width="17.28515625" style="97" customWidth="1"/>
    <col min="8953" max="8955" width="0" style="97" hidden="1" customWidth="1"/>
    <col min="8956" max="8958" width="10.28515625" style="97" customWidth="1"/>
    <col min="8959" max="8961" width="0" style="97" hidden="1" customWidth="1"/>
    <col min="8962" max="8964" width="10.28515625" style="97" customWidth="1"/>
    <col min="8965" max="8967" width="0" style="97" hidden="1" customWidth="1"/>
    <col min="8968" max="8970" width="10.28515625" style="97" customWidth="1"/>
    <col min="8971" max="8972" width="9.140625" style="97"/>
    <col min="8973" max="8973" width="10.85546875" style="97" customWidth="1"/>
    <col min="8974" max="8975" width="9.140625" style="97"/>
    <col min="8976" max="8977" width="13.42578125" style="97" bestFit="1" customWidth="1"/>
    <col min="8978" max="8981" width="10.5703125" style="97" bestFit="1" customWidth="1"/>
    <col min="8982" max="9104" width="9.140625" style="97"/>
    <col min="9105" max="9117" width="8.85546875" style="97" customWidth="1"/>
    <col min="9118" max="9207" width="9.140625" style="97"/>
    <col min="9208" max="9208" width="17.28515625" style="97" customWidth="1"/>
    <col min="9209" max="9211" width="0" style="97" hidden="1" customWidth="1"/>
    <col min="9212" max="9214" width="10.28515625" style="97" customWidth="1"/>
    <col min="9215" max="9217" width="0" style="97" hidden="1" customWidth="1"/>
    <col min="9218" max="9220" width="10.28515625" style="97" customWidth="1"/>
    <col min="9221" max="9223" width="0" style="97" hidden="1" customWidth="1"/>
    <col min="9224" max="9226" width="10.28515625" style="97" customWidth="1"/>
    <col min="9227" max="9228" width="9.140625" style="97"/>
    <col min="9229" max="9229" width="10.85546875" style="97" customWidth="1"/>
    <col min="9230" max="9231" width="9.140625" style="97"/>
    <col min="9232" max="9233" width="13.42578125" style="97" bestFit="1" customWidth="1"/>
    <col min="9234" max="9237" width="10.5703125" style="97" bestFit="1" customWidth="1"/>
    <col min="9238" max="9360" width="9.140625" style="97"/>
    <col min="9361" max="9373" width="8.85546875" style="97" customWidth="1"/>
    <col min="9374" max="9463" width="9.140625" style="97"/>
    <col min="9464" max="9464" width="17.28515625" style="97" customWidth="1"/>
    <col min="9465" max="9467" width="0" style="97" hidden="1" customWidth="1"/>
    <col min="9468" max="9470" width="10.28515625" style="97" customWidth="1"/>
    <col min="9471" max="9473" width="0" style="97" hidden="1" customWidth="1"/>
    <col min="9474" max="9476" width="10.28515625" style="97" customWidth="1"/>
    <col min="9477" max="9479" width="0" style="97" hidden="1" customWidth="1"/>
    <col min="9480" max="9482" width="10.28515625" style="97" customWidth="1"/>
    <col min="9483" max="9484" width="9.140625" style="97"/>
    <col min="9485" max="9485" width="10.85546875" style="97" customWidth="1"/>
    <col min="9486" max="9487" width="9.140625" style="97"/>
    <col min="9488" max="9489" width="13.42578125" style="97" bestFit="1" customWidth="1"/>
    <col min="9490" max="9493" width="10.5703125" style="97" bestFit="1" customWidth="1"/>
    <col min="9494" max="9616" width="9.140625" style="97"/>
    <col min="9617" max="9629" width="8.85546875" style="97" customWidth="1"/>
    <col min="9630" max="9719" width="9.140625" style="97"/>
    <col min="9720" max="9720" width="17.28515625" style="97" customWidth="1"/>
    <col min="9721" max="9723" width="0" style="97" hidden="1" customWidth="1"/>
    <col min="9724" max="9726" width="10.28515625" style="97" customWidth="1"/>
    <col min="9727" max="9729" width="0" style="97" hidden="1" customWidth="1"/>
    <col min="9730" max="9732" width="10.28515625" style="97" customWidth="1"/>
    <col min="9733" max="9735" width="0" style="97" hidden="1" customWidth="1"/>
    <col min="9736" max="9738" width="10.28515625" style="97" customWidth="1"/>
    <col min="9739" max="9740" width="9.140625" style="97"/>
    <col min="9741" max="9741" width="10.85546875" style="97" customWidth="1"/>
    <col min="9742" max="9743" width="9.140625" style="97"/>
    <col min="9744" max="9745" width="13.42578125" style="97" bestFit="1" customWidth="1"/>
    <col min="9746" max="9749" width="10.5703125" style="97" bestFit="1" customWidth="1"/>
    <col min="9750" max="9872" width="9.140625" style="97"/>
    <col min="9873" max="9885" width="8.85546875" style="97" customWidth="1"/>
    <col min="9886" max="9975" width="9.140625" style="97"/>
    <col min="9976" max="9976" width="17.28515625" style="97" customWidth="1"/>
    <col min="9977" max="9979" width="0" style="97" hidden="1" customWidth="1"/>
    <col min="9980" max="9982" width="10.28515625" style="97" customWidth="1"/>
    <col min="9983" max="9985" width="0" style="97" hidden="1" customWidth="1"/>
    <col min="9986" max="9988" width="10.28515625" style="97" customWidth="1"/>
    <col min="9989" max="9991" width="0" style="97" hidden="1" customWidth="1"/>
    <col min="9992" max="9994" width="10.28515625" style="97" customWidth="1"/>
    <col min="9995" max="9996" width="9.140625" style="97"/>
    <col min="9997" max="9997" width="10.85546875" style="97" customWidth="1"/>
    <col min="9998" max="9999" width="9.140625" style="97"/>
    <col min="10000" max="10001" width="13.42578125" style="97" bestFit="1" customWidth="1"/>
    <col min="10002" max="10005" width="10.5703125" style="97" bestFit="1" customWidth="1"/>
    <col min="10006" max="10128" width="9.140625" style="97"/>
    <col min="10129" max="10141" width="8.85546875" style="97" customWidth="1"/>
    <col min="10142" max="10231" width="9.140625" style="97"/>
    <col min="10232" max="10232" width="17.28515625" style="97" customWidth="1"/>
    <col min="10233" max="10235" width="0" style="97" hidden="1" customWidth="1"/>
    <col min="10236" max="10238" width="10.28515625" style="97" customWidth="1"/>
    <col min="10239" max="10241" width="0" style="97" hidden="1" customWidth="1"/>
    <col min="10242" max="10244" width="10.28515625" style="97" customWidth="1"/>
    <col min="10245" max="10247" width="0" style="97" hidden="1" customWidth="1"/>
    <col min="10248" max="10250" width="10.28515625" style="97" customWidth="1"/>
    <col min="10251" max="10252" width="9.140625" style="97"/>
    <col min="10253" max="10253" width="10.85546875" style="97" customWidth="1"/>
    <col min="10254" max="10255" width="9.140625" style="97"/>
    <col min="10256" max="10257" width="13.42578125" style="97" bestFit="1" customWidth="1"/>
    <col min="10258" max="10261" width="10.5703125" style="97" bestFit="1" customWidth="1"/>
    <col min="10262" max="10384" width="9.140625" style="97"/>
    <col min="10385" max="10397" width="8.85546875" style="97" customWidth="1"/>
    <col min="10398" max="10487" width="9.140625" style="97"/>
    <col min="10488" max="10488" width="17.28515625" style="97" customWidth="1"/>
    <col min="10489" max="10491" width="0" style="97" hidden="1" customWidth="1"/>
    <col min="10492" max="10494" width="10.28515625" style="97" customWidth="1"/>
    <col min="10495" max="10497" width="0" style="97" hidden="1" customWidth="1"/>
    <col min="10498" max="10500" width="10.28515625" style="97" customWidth="1"/>
    <col min="10501" max="10503" width="0" style="97" hidden="1" customWidth="1"/>
    <col min="10504" max="10506" width="10.28515625" style="97" customWidth="1"/>
    <col min="10507" max="10508" width="9.140625" style="97"/>
    <col min="10509" max="10509" width="10.85546875" style="97" customWidth="1"/>
    <col min="10510" max="10511" width="9.140625" style="97"/>
    <col min="10512" max="10513" width="13.42578125" style="97" bestFit="1" customWidth="1"/>
    <col min="10514" max="10517" width="10.5703125" style="97" bestFit="1" customWidth="1"/>
    <col min="10518" max="10640" width="9.140625" style="97"/>
    <col min="10641" max="10653" width="8.85546875" style="97" customWidth="1"/>
    <col min="10654" max="10743" width="9.140625" style="97"/>
    <col min="10744" max="10744" width="17.28515625" style="97" customWidth="1"/>
    <col min="10745" max="10747" width="0" style="97" hidden="1" customWidth="1"/>
    <col min="10748" max="10750" width="10.28515625" style="97" customWidth="1"/>
    <col min="10751" max="10753" width="0" style="97" hidden="1" customWidth="1"/>
    <col min="10754" max="10756" width="10.28515625" style="97" customWidth="1"/>
    <col min="10757" max="10759" width="0" style="97" hidden="1" customWidth="1"/>
    <col min="10760" max="10762" width="10.28515625" style="97" customWidth="1"/>
    <col min="10763" max="10764" width="9.140625" style="97"/>
    <col min="10765" max="10765" width="10.85546875" style="97" customWidth="1"/>
    <col min="10766" max="10767" width="9.140625" style="97"/>
    <col min="10768" max="10769" width="13.42578125" style="97" bestFit="1" customWidth="1"/>
    <col min="10770" max="10773" width="10.5703125" style="97" bestFit="1" customWidth="1"/>
    <col min="10774" max="10896" width="9.140625" style="97"/>
    <col min="10897" max="10909" width="8.85546875" style="97" customWidth="1"/>
    <col min="10910" max="10999" width="9.140625" style="97"/>
    <col min="11000" max="11000" width="17.28515625" style="97" customWidth="1"/>
    <col min="11001" max="11003" width="0" style="97" hidden="1" customWidth="1"/>
    <col min="11004" max="11006" width="10.28515625" style="97" customWidth="1"/>
    <col min="11007" max="11009" width="0" style="97" hidden="1" customWidth="1"/>
    <col min="11010" max="11012" width="10.28515625" style="97" customWidth="1"/>
    <col min="11013" max="11015" width="0" style="97" hidden="1" customWidth="1"/>
    <col min="11016" max="11018" width="10.28515625" style="97" customWidth="1"/>
    <col min="11019" max="11020" width="9.140625" style="97"/>
    <col min="11021" max="11021" width="10.85546875" style="97" customWidth="1"/>
    <col min="11022" max="11023" width="9.140625" style="97"/>
    <col min="11024" max="11025" width="13.42578125" style="97" bestFit="1" customWidth="1"/>
    <col min="11026" max="11029" width="10.5703125" style="97" bestFit="1" customWidth="1"/>
    <col min="11030" max="11152" width="9.140625" style="97"/>
    <col min="11153" max="11165" width="8.85546875" style="97" customWidth="1"/>
    <col min="11166" max="11255" width="9.140625" style="97"/>
    <col min="11256" max="11256" width="17.28515625" style="97" customWidth="1"/>
    <col min="11257" max="11259" width="0" style="97" hidden="1" customWidth="1"/>
    <col min="11260" max="11262" width="10.28515625" style="97" customWidth="1"/>
    <col min="11263" max="11265" width="0" style="97" hidden="1" customWidth="1"/>
    <col min="11266" max="11268" width="10.28515625" style="97" customWidth="1"/>
    <col min="11269" max="11271" width="0" style="97" hidden="1" customWidth="1"/>
    <col min="11272" max="11274" width="10.28515625" style="97" customWidth="1"/>
    <col min="11275" max="11276" width="9.140625" style="97"/>
    <col min="11277" max="11277" width="10.85546875" style="97" customWidth="1"/>
    <col min="11278" max="11279" width="9.140625" style="97"/>
    <col min="11280" max="11281" width="13.42578125" style="97" bestFit="1" customWidth="1"/>
    <col min="11282" max="11285" width="10.5703125" style="97" bestFit="1" customWidth="1"/>
    <col min="11286" max="11408" width="9.140625" style="97"/>
    <col min="11409" max="11421" width="8.85546875" style="97" customWidth="1"/>
    <col min="11422" max="11511" width="9.140625" style="97"/>
    <col min="11512" max="11512" width="17.28515625" style="97" customWidth="1"/>
    <col min="11513" max="11515" width="0" style="97" hidden="1" customWidth="1"/>
    <col min="11516" max="11518" width="10.28515625" style="97" customWidth="1"/>
    <col min="11519" max="11521" width="0" style="97" hidden="1" customWidth="1"/>
    <col min="11522" max="11524" width="10.28515625" style="97" customWidth="1"/>
    <col min="11525" max="11527" width="0" style="97" hidden="1" customWidth="1"/>
    <col min="11528" max="11530" width="10.28515625" style="97" customWidth="1"/>
    <col min="11531" max="11532" width="9.140625" style="97"/>
    <col min="11533" max="11533" width="10.85546875" style="97" customWidth="1"/>
    <col min="11534" max="11535" width="9.140625" style="97"/>
    <col min="11536" max="11537" width="13.42578125" style="97" bestFit="1" customWidth="1"/>
    <col min="11538" max="11541" width="10.5703125" style="97" bestFit="1" customWidth="1"/>
    <col min="11542" max="11664" width="9.140625" style="97"/>
    <col min="11665" max="11677" width="8.85546875" style="97" customWidth="1"/>
    <col min="11678" max="11767" width="9.140625" style="97"/>
    <col min="11768" max="11768" width="17.28515625" style="97" customWidth="1"/>
    <col min="11769" max="11771" width="0" style="97" hidden="1" customWidth="1"/>
    <col min="11772" max="11774" width="10.28515625" style="97" customWidth="1"/>
    <col min="11775" max="11777" width="0" style="97" hidden="1" customWidth="1"/>
    <col min="11778" max="11780" width="10.28515625" style="97" customWidth="1"/>
    <col min="11781" max="11783" width="0" style="97" hidden="1" customWidth="1"/>
    <col min="11784" max="11786" width="10.28515625" style="97" customWidth="1"/>
    <col min="11787" max="11788" width="9.140625" style="97"/>
    <col min="11789" max="11789" width="10.85546875" style="97" customWidth="1"/>
    <col min="11790" max="11791" width="9.140625" style="97"/>
    <col min="11792" max="11793" width="13.42578125" style="97" bestFit="1" customWidth="1"/>
    <col min="11794" max="11797" width="10.5703125" style="97" bestFit="1" customWidth="1"/>
    <col min="11798" max="11920" width="9.140625" style="97"/>
    <col min="11921" max="11933" width="8.85546875" style="97" customWidth="1"/>
    <col min="11934" max="12023" width="9.140625" style="97"/>
    <col min="12024" max="12024" width="17.28515625" style="97" customWidth="1"/>
    <col min="12025" max="12027" width="0" style="97" hidden="1" customWidth="1"/>
    <col min="12028" max="12030" width="10.28515625" style="97" customWidth="1"/>
    <col min="12031" max="12033" width="0" style="97" hidden="1" customWidth="1"/>
    <col min="12034" max="12036" width="10.28515625" style="97" customWidth="1"/>
    <col min="12037" max="12039" width="0" style="97" hidden="1" customWidth="1"/>
    <col min="12040" max="12042" width="10.28515625" style="97" customWidth="1"/>
    <col min="12043" max="12044" width="9.140625" style="97"/>
    <col min="12045" max="12045" width="10.85546875" style="97" customWidth="1"/>
    <col min="12046" max="12047" width="9.140625" style="97"/>
    <col min="12048" max="12049" width="13.42578125" style="97" bestFit="1" customWidth="1"/>
    <col min="12050" max="12053" width="10.5703125" style="97" bestFit="1" customWidth="1"/>
    <col min="12054" max="12176" width="9.140625" style="97"/>
    <col min="12177" max="12189" width="8.85546875" style="97" customWidth="1"/>
    <col min="12190" max="12279" width="9.140625" style="97"/>
    <col min="12280" max="12280" width="17.28515625" style="97" customWidth="1"/>
    <col min="12281" max="12283" width="0" style="97" hidden="1" customWidth="1"/>
    <col min="12284" max="12286" width="10.28515625" style="97" customWidth="1"/>
    <col min="12287" max="12289" width="0" style="97" hidden="1" customWidth="1"/>
    <col min="12290" max="12292" width="10.28515625" style="97" customWidth="1"/>
    <col min="12293" max="12295" width="0" style="97" hidden="1" customWidth="1"/>
    <col min="12296" max="12298" width="10.28515625" style="97" customWidth="1"/>
    <col min="12299" max="12300" width="9.140625" style="97"/>
    <col min="12301" max="12301" width="10.85546875" style="97" customWidth="1"/>
    <col min="12302" max="12303" width="9.140625" style="97"/>
    <col min="12304" max="12305" width="13.42578125" style="97" bestFit="1" customWidth="1"/>
    <col min="12306" max="12309" width="10.5703125" style="97" bestFit="1" customWidth="1"/>
    <col min="12310" max="12432" width="9.140625" style="97"/>
    <col min="12433" max="12445" width="8.85546875" style="97" customWidth="1"/>
    <col min="12446" max="12535" width="9.140625" style="97"/>
    <col min="12536" max="12536" width="17.28515625" style="97" customWidth="1"/>
    <col min="12537" max="12539" width="0" style="97" hidden="1" customWidth="1"/>
    <col min="12540" max="12542" width="10.28515625" style="97" customWidth="1"/>
    <col min="12543" max="12545" width="0" style="97" hidden="1" customWidth="1"/>
    <col min="12546" max="12548" width="10.28515625" style="97" customWidth="1"/>
    <col min="12549" max="12551" width="0" style="97" hidden="1" customWidth="1"/>
    <col min="12552" max="12554" width="10.28515625" style="97" customWidth="1"/>
    <col min="12555" max="12556" width="9.140625" style="97"/>
    <col min="12557" max="12557" width="10.85546875" style="97" customWidth="1"/>
    <col min="12558" max="12559" width="9.140625" style="97"/>
    <col min="12560" max="12561" width="13.42578125" style="97" bestFit="1" customWidth="1"/>
    <col min="12562" max="12565" width="10.5703125" style="97" bestFit="1" customWidth="1"/>
    <col min="12566" max="12688" width="9.140625" style="97"/>
    <col min="12689" max="12701" width="8.85546875" style="97" customWidth="1"/>
    <col min="12702" max="12791" width="9.140625" style="97"/>
    <col min="12792" max="12792" width="17.28515625" style="97" customWidth="1"/>
    <col min="12793" max="12795" width="0" style="97" hidden="1" customWidth="1"/>
    <col min="12796" max="12798" width="10.28515625" style="97" customWidth="1"/>
    <col min="12799" max="12801" width="0" style="97" hidden="1" customWidth="1"/>
    <col min="12802" max="12804" width="10.28515625" style="97" customWidth="1"/>
    <col min="12805" max="12807" width="0" style="97" hidden="1" customWidth="1"/>
    <col min="12808" max="12810" width="10.28515625" style="97" customWidth="1"/>
    <col min="12811" max="12812" width="9.140625" style="97"/>
    <col min="12813" max="12813" width="10.85546875" style="97" customWidth="1"/>
    <col min="12814" max="12815" width="9.140625" style="97"/>
    <col min="12816" max="12817" width="13.42578125" style="97" bestFit="1" customWidth="1"/>
    <col min="12818" max="12821" width="10.5703125" style="97" bestFit="1" customWidth="1"/>
    <col min="12822" max="12944" width="9.140625" style="97"/>
    <col min="12945" max="12957" width="8.85546875" style="97" customWidth="1"/>
    <col min="12958" max="13047" width="9.140625" style="97"/>
    <col min="13048" max="13048" width="17.28515625" style="97" customWidth="1"/>
    <col min="13049" max="13051" width="0" style="97" hidden="1" customWidth="1"/>
    <col min="13052" max="13054" width="10.28515625" style="97" customWidth="1"/>
    <col min="13055" max="13057" width="0" style="97" hidden="1" customWidth="1"/>
    <col min="13058" max="13060" width="10.28515625" style="97" customWidth="1"/>
    <col min="13061" max="13063" width="0" style="97" hidden="1" customWidth="1"/>
    <col min="13064" max="13066" width="10.28515625" style="97" customWidth="1"/>
    <col min="13067" max="13068" width="9.140625" style="97"/>
    <col min="13069" max="13069" width="10.85546875" style="97" customWidth="1"/>
    <col min="13070" max="13071" width="9.140625" style="97"/>
    <col min="13072" max="13073" width="13.42578125" style="97" bestFit="1" customWidth="1"/>
    <col min="13074" max="13077" width="10.5703125" style="97" bestFit="1" customWidth="1"/>
    <col min="13078" max="13200" width="9.140625" style="97"/>
    <col min="13201" max="13213" width="8.85546875" style="97" customWidth="1"/>
    <col min="13214" max="13303" width="9.140625" style="97"/>
    <col min="13304" max="13304" width="17.28515625" style="97" customWidth="1"/>
    <col min="13305" max="13307" width="0" style="97" hidden="1" customWidth="1"/>
    <col min="13308" max="13310" width="10.28515625" style="97" customWidth="1"/>
    <col min="13311" max="13313" width="0" style="97" hidden="1" customWidth="1"/>
    <col min="13314" max="13316" width="10.28515625" style="97" customWidth="1"/>
    <col min="13317" max="13319" width="0" style="97" hidden="1" customWidth="1"/>
    <col min="13320" max="13322" width="10.28515625" style="97" customWidth="1"/>
    <col min="13323" max="13324" width="9.140625" style="97"/>
    <col min="13325" max="13325" width="10.85546875" style="97" customWidth="1"/>
    <col min="13326" max="13327" width="9.140625" style="97"/>
    <col min="13328" max="13329" width="13.42578125" style="97" bestFit="1" customWidth="1"/>
    <col min="13330" max="13333" width="10.5703125" style="97" bestFit="1" customWidth="1"/>
    <col min="13334" max="13456" width="9.140625" style="97"/>
    <col min="13457" max="13469" width="8.85546875" style="97" customWidth="1"/>
    <col min="13470" max="13559" width="9.140625" style="97"/>
    <col min="13560" max="13560" width="17.28515625" style="97" customWidth="1"/>
    <col min="13561" max="13563" width="0" style="97" hidden="1" customWidth="1"/>
    <col min="13564" max="13566" width="10.28515625" style="97" customWidth="1"/>
    <col min="13567" max="13569" width="0" style="97" hidden="1" customWidth="1"/>
    <col min="13570" max="13572" width="10.28515625" style="97" customWidth="1"/>
    <col min="13573" max="13575" width="0" style="97" hidden="1" customWidth="1"/>
    <col min="13576" max="13578" width="10.28515625" style="97" customWidth="1"/>
    <col min="13579" max="13580" width="9.140625" style="97"/>
    <col min="13581" max="13581" width="10.85546875" style="97" customWidth="1"/>
    <col min="13582" max="13583" width="9.140625" style="97"/>
    <col min="13584" max="13585" width="13.42578125" style="97" bestFit="1" customWidth="1"/>
    <col min="13586" max="13589" width="10.5703125" style="97" bestFit="1" customWidth="1"/>
    <col min="13590" max="13712" width="9.140625" style="97"/>
    <col min="13713" max="13725" width="8.85546875" style="97" customWidth="1"/>
    <col min="13726" max="13815" width="9.140625" style="97"/>
    <col min="13816" max="13816" width="17.28515625" style="97" customWidth="1"/>
    <col min="13817" max="13819" width="0" style="97" hidden="1" customWidth="1"/>
    <col min="13820" max="13822" width="10.28515625" style="97" customWidth="1"/>
    <col min="13823" max="13825" width="0" style="97" hidden="1" customWidth="1"/>
    <col min="13826" max="13828" width="10.28515625" style="97" customWidth="1"/>
    <col min="13829" max="13831" width="0" style="97" hidden="1" customWidth="1"/>
    <col min="13832" max="13834" width="10.28515625" style="97" customWidth="1"/>
    <col min="13835" max="13836" width="9.140625" style="97"/>
    <col min="13837" max="13837" width="10.85546875" style="97" customWidth="1"/>
    <col min="13838" max="13839" width="9.140625" style="97"/>
    <col min="13840" max="13841" width="13.42578125" style="97" bestFit="1" customWidth="1"/>
    <col min="13842" max="13845" width="10.5703125" style="97" bestFit="1" customWidth="1"/>
    <col min="13846" max="13968" width="9.140625" style="97"/>
    <col min="13969" max="13981" width="8.85546875" style="97" customWidth="1"/>
    <col min="13982" max="14071" width="9.140625" style="97"/>
    <col min="14072" max="14072" width="17.28515625" style="97" customWidth="1"/>
    <col min="14073" max="14075" width="0" style="97" hidden="1" customWidth="1"/>
    <col min="14076" max="14078" width="10.28515625" style="97" customWidth="1"/>
    <col min="14079" max="14081" width="0" style="97" hidden="1" customWidth="1"/>
    <col min="14082" max="14084" width="10.28515625" style="97" customWidth="1"/>
    <col min="14085" max="14087" width="0" style="97" hidden="1" customWidth="1"/>
    <col min="14088" max="14090" width="10.28515625" style="97" customWidth="1"/>
    <col min="14091" max="14092" width="9.140625" style="97"/>
    <col min="14093" max="14093" width="10.85546875" style="97" customWidth="1"/>
    <col min="14094" max="14095" width="9.140625" style="97"/>
    <col min="14096" max="14097" width="13.42578125" style="97" bestFit="1" customWidth="1"/>
    <col min="14098" max="14101" width="10.5703125" style="97" bestFit="1" customWidth="1"/>
    <col min="14102" max="14224" width="9.140625" style="97"/>
    <col min="14225" max="14237" width="8.85546875" style="97" customWidth="1"/>
    <col min="14238" max="14327" width="9.140625" style="97"/>
    <col min="14328" max="14328" width="17.28515625" style="97" customWidth="1"/>
    <col min="14329" max="14331" width="0" style="97" hidden="1" customWidth="1"/>
    <col min="14332" max="14334" width="10.28515625" style="97" customWidth="1"/>
    <col min="14335" max="14337" width="0" style="97" hidden="1" customWidth="1"/>
    <col min="14338" max="14340" width="10.28515625" style="97" customWidth="1"/>
    <col min="14341" max="14343" width="0" style="97" hidden="1" customWidth="1"/>
    <col min="14344" max="14346" width="10.28515625" style="97" customWidth="1"/>
    <col min="14347" max="14348" width="9.140625" style="97"/>
    <col min="14349" max="14349" width="10.85546875" style="97" customWidth="1"/>
    <col min="14350" max="14351" width="9.140625" style="97"/>
    <col min="14352" max="14353" width="13.42578125" style="97" bestFit="1" customWidth="1"/>
    <col min="14354" max="14357" width="10.5703125" style="97" bestFit="1" customWidth="1"/>
    <col min="14358" max="14480" width="9.140625" style="97"/>
    <col min="14481" max="14493" width="8.85546875" style="97" customWidth="1"/>
    <col min="14494" max="14583" width="9.140625" style="97"/>
    <col min="14584" max="14584" width="17.28515625" style="97" customWidth="1"/>
    <col min="14585" max="14587" width="0" style="97" hidden="1" customWidth="1"/>
    <col min="14588" max="14590" width="10.28515625" style="97" customWidth="1"/>
    <col min="14591" max="14593" width="0" style="97" hidden="1" customWidth="1"/>
    <col min="14594" max="14596" width="10.28515625" style="97" customWidth="1"/>
    <col min="14597" max="14599" width="0" style="97" hidden="1" customWidth="1"/>
    <col min="14600" max="14602" width="10.28515625" style="97" customWidth="1"/>
    <col min="14603" max="14604" width="9.140625" style="97"/>
    <col min="14605" max="14605" width="10.85546875" style="97" customWidth="1"/>
    <col min="14606" max="14607" width="9.140625" style="97"/>
    <col min="14608" max="14609" width="13.42578125" style="97" bestFit="1" customWidth="1"/>
    <col min="14610" max="14613" width="10.5703125" style="97" bestFit="1" customWidth="1"/>
    <col min="14614" max="14736" width="9.140625" style="97"/>
    <col min="14737" max="14749" width="8.85546875" style="97" customWidth="1"/>
    <col min="14750" max="14839" width="9.140625" style="97"/>
    <col min="14840" max="14840" width="17.28515625" style="97" customWidth="1"/>
    <col min="14841" max="14843" width="0" style="97" hidden="1" customWidth="1"/>
    <col min="14844" max="14846" width="10.28515625" style="97" customWidth="1"/>
    <col min="14847" max="14849" width="0" style="97" hidden="1" customWidth="1"/>
    <col min="14850" max="14852" width="10.28515625" style="97" customWidth="1"/>
    <col min="14853" max="14855" width="0" style="97" hidden="1" customWidth="1"/>
    <col min="14856" max="14858" width="10.28515625" style="97" customWidth="1"/>
    <col min="14859" max="14860" width="9.140625" style="97"/>
    <col min="14861" max="14861" width="10.85546875" style="97" customWidth="1"/>
    <col min="14862" max="14863" width="9.140625" style="97"/>
    <col min="14864" max="14865" width="13.42578125" style="97" bestFit="1" customWidth="1"/>
    <col min="14866" max="14869" width="10.5703125" style="97" bestFit="1" customWidth="1"/>
    <col min="14870" max="14992" width="9.140625" style="97"/>
    <col min="14993" max="15005" width="8.85546875" style="97" customWidth="1"/>
    <col min="15006" max="15095" width="9.140625" style="97"/>
    <col min="15096" max="15096" width="17.28515625" style="97" customWidth="1"/>
    <col min="15097" max="15099" width="0" style="97" hidden="1" customWidth="1"/>
    <col min="15100" max="15102" width="10.28515625" style="97" customWidth="1"/>
    <col min="15103" max="15105" width="0" style="97" hidden="1" customWidth="1"/>
    <col min="15106" max="15108" width="10.28515625" style="97" customWidth="1"/>
    <col min="15109" max="15111" width="0" style="97" hidden="1" customWidth="1"/>
    <col min="15112" max="15114" width="10.28515625" style="97" customWidth="1"/>
    <col min="15115" max="15116" width="9.140625" style="97"/>
    <col min="15117" max="15117" width="10.85546875" style="97" customWidth="1"/>
    <col min="15118" max="15119" width="9.140625" style="97"/>
    <col min="15120" max="15121" width="13.42578125" style="97" bestFit="1" customWidth="1"/>
    <col min="15122" max="15125" width="10.5703125" style="97" bestFit="1" customWidth="1"/>
    <col min="15126" max="15248" width="9.140625" style="97"/>
    <col min="15249" max="15261" width="8.85546875" style="97" customWidth="1"/>
    <col min="15262" max="15351" width="9.140625" style="97"/>
    <col min="15352" max="15352" width="17.28515625" style="97" customWidth="1"/>
    <col min="15353" max="15355" width="0" style="97" hidden="1" customWidth="1"/>
    <col min="15356" max="15358" width="10.28515625" style="97" customWidth="1"/>
    <col min="15359" max="15361" width="0" style="97" hidden="1" customWidth="1"/>
    <col min="15362" max="15364" width="10.28515625" style="97" customWidth="1"/>
    <col min="15365" max="15367" width="0" style="97" hidden="1" customWidth="1"/>
    <col min="15368" max="15370" width="10.28515625" style="97" customWidth="1"/>
    <col min="15371" max="15372" width="9.140625" style="97"/>
    <col min="15373" max="15373" width="10.85546875" style="97" customWidth="1"/>
    <col min="15374" max="15375" width="9.140625" style="97"/>
    <col min="15376" max="15377" width="13.42578125" style="97" bestFit="1" customWidth="1"/>
    <col min="15378" max="15381" width="10.5703125" style="97" bestFit="1" customWidth="1"/>
    <col min="15382" max="15504" width="9.140625" style="97"/>
    <col min="15505" max="15517" width="8.85546875" style="97" customWidth="1"/>
    <col min="15518" max="15607" width="9.140625" style="97"/>
    <col min="15608" max="15608" width="17.28515625" style="97" customWidth="1"/>
    <col min="15609" max="15611" width="0" style="97" hidden="1" customWidth="1"/>
    <col min="15612" max="15614" width="10.28515625" style="97" customWidth="1"/>
    <col min="15615" max="15617" width="0" style="97" hidden="1" customWidth="1"/>
    <col min="15618" max="15620" width="10.28515625" style="97" customWidth="1"/>
    <col min="15621" max="15623" width="0" style="97" hidden="1" customWidth="1"/>
    <col min="15624" max="15626" width="10.28515625" style="97" customWidth="1"/>
    <col min="15627" max="15628" width="9.140625" style="97"/>
    <col min="15629" max="15629" width="10.85546875" style="97" customWidth="1"/>
    <col min="15630" max="15631" width="9.140625" style="97"/>
    <col min="15632" max="15633" width="13.42578125" style="97" bestFit="1" customWidth="1"/>
    <col min="15634" max="15637" width="10.5703125" style="97" bestFit="1" customWidth="1"/>
    <col min="15638" max="15760" width="9.140625" style="97"/>
    <col min="15761" max="15773" width="8.85546875" style="97" customWidth="1"/>
    <col min="15774" max="15863" width="9.140625" style="97"/>
    <col min="15864" max="15864" width="17.28515625" style="97" customWidth="1"/>
    <col min="15865" max="15867" width="0" style="97" hidden="1" customWidth="1"/>
    <col min="15868" max="15870" width="10.28515625" style="97" customWidth="1"/>
    <col min="15871" max="15873" width="0" style="97" hidden="1" customWidth="1"/>
    <col min="15874" max="15876" width="10.28515625" style="97" customWidth="1"/>
    <col min="15877" max="15879" width="0" style="97" hidden="1" customWidth="1"/>
    <col min="15880" max="15882" width="10.28515625" style="97" customWidth="1"/>
    <col min="15883" max="15884" width="9.140625" style="97"/>
    <col min="15885" max="15885" width="10.85546875" style="97" customWidth="1"/>
    <col min="15886" max="15887" width="9.140625" style="97"/>
    <col min="15888" max="15889" width="13.42578125" style="97" bestFit="1" customWidth="1"/>
    <col min="15890" max="15893" width="10.5703125" style="97" bestFit="1" customWidth="1"/>
    <col min="15894" max="16016" width="9.140625" style="97"/>
    <col min="16017" max="16029" width="8.85546875" style="97" customWidth="1"/>
    <col min="16030" max="16119" width="9.140625" style="97"/>
    <col min="16120" max="16120" width="17.28515625" style="97" customWidth="1"/>
    <col min="16121" max="16123" width="0" style="97" hidden="1" customWidth="1"/>
    <col min="16124" max="16126" width="10.28515625" style="97" customWidth="1"/>
    <col min="16127" max="16129" width="0" style="97" hidden="1" customWidth="1"/>
    <col min="16130" max="16132" width="10.28515625" style="97" customWidth="1"/>
    <col min="16133" max="16135" width="0" style="97" hidden="1" customWidth="1"/>
    <col min="16136" max="16138" width="10.28515625" style="97" customWidth="1"/>
    <col min="16139" max="16140" width="9.140625" style="97"/>
    <col min="16141" max="16141" width="10.85546875" style="97" customWidth="1"/>
    <col min="16142" max="16143" width="9.140625" style="97"/>
    <col min="16144" max="16145" width="13.42578125" style="97" bestFit="1" customWidth="1"/>
    <col min="16146" max="16149" width="10.5703125" style="97" bestFit="1" customWidth="1"/>
    <col min="16150" max="16272" width="9.140625" style="97"/>
    <col min="16273" max="16285" width="8.85546875" style="97" customWidth="1"/>
    <col min="16286" max="16384" width="9.140625" style="97"/>
  </cols>
  <sheetData>
    <row r="1" spans="1:20" ht="39" customHeight="1" thickBot="1" x14ac:dyDescent="0.35">
      <c r="A1" s="3452" t="s">
        <v>172</v>
      </c>
      <c r="B1" s="3452"/>
      <c r="C1" s="3452"/>
      <c r="D1" s="3452"/>
      <c r="E1" s="3452"/>
      <c r="F1" s="3452"/>
      <c r="G1" s="3452"/>
      <c r="H1" s="3452"/>
      <c r="I1" s="3452"/>
      <c r="J1" s="3452"/>
    </row>
    <row r="2" spans="1:20" ht="21" customHeight="1" thickBot="1" x14ac:dyDescent="0.35">
      <c r="A2" s="3453" t="s">
        <v>5</v>
      </c>
      <c r="B2" s="3455" t="s">
        <v>171</v>
      </c>
      <c r="C2" s="3456"/>
      <c r="D2" s="3457"/>
      <c r="E2" s="3455" t="s">
        <v>170</v>
      </c>
      <c r="F2" s="3456"/>
      <c r="G2" s="3457"/>
      <c r="H2" s="160"/>
      <c r="I2" s="160" t="s">
        <v>169</v>
      </c>
      <c r="J2" s="159"/>
      <c r="K2" s="158"/>
    </row>
    <row r="3" spans="1:20" ht="17.25" customHeight="1" thickBot="1" x14ac:dyDescent="0.35">
      <c r="A3" s="3454"/>
      <c r="B3" s="157">
        <v>2021</v>
      </c>
      <c r="C3" s="128">
        <v>2022</v>
      </c>
      <c r="D3" s="127">
        <v>2023</v>
      </c>
      <c r="E3" s="157">
        <v>2021</v>
      </c>
      <c r="F3" s="128">
        <v>2022</v>
      </c>
      <c r="G3" s="127">
        <v>2023</v>
      </c>
      <c r="H3" s="157">
        <v>2021</v>
      </c>
      <c r="I3" s="128">
        <v>2022</v>
      </c>
      <c r="J3" s="127">
        <v>2023</v>
      </c>
    </row>
    <row r="4" spans="1:20" ht="21" customHeight="1" thickTop="1" x14ac:dyDescent="0.3">
      <c r="A4" s="156" t="s">
        <v>65</v>
      </c>
      <c r="B4" s="144" t="s">
        <v>168</v>
      </c>
      <c r="C4" s="144" t="s">
        <v>167</v>
      </c>
      <c r="D4" s="143" t="s">
        <v>166</v>
      </c>
      <c r="E4" s="155" t="s">
        <v>165</v>
      </c>
      <c r="F4" s="154" t="s">
        <v>164</v>
      </c>
      <c r="G4" s="153" t="s">
        <v>163</v>
      </c>
      <c r="H4" s="152" t="s">
        <v>162</v>
      </c>
      <c r="I4" s="151" t="s">
        <v>161</v>
      </c>
      <c r="J4" s="150" t="s">
        <v>160</v>
      </c>
      <c r="N4" s="149"/>
      <c r="O4" s="149"/>
      <c r="P4" s="148"/>
      <c r="Q4" s="148"/>
      <c r="R4" s="148"/>
      <c r="S4" s="148"/>
    </row>
    <row r="5" spans="1:20" ht="21" customHeight="1" x14ac:dyDescent="0.3">
      <c r="A5" s="146" t="s">
        <v>64</v>
      </c>
      <c r="B5" s="144" t="s">
        <v>159</v>
      </c>
      <c r="C5" s="144" t="s">
        <v>158</v>
      </c>
      <c r="D5" s="143" t="s">
        <v>157</v>
      </c>
      <c r="E5" s="145" t="s">
        <v>156</v>
      </c>
      <c r="F5" s="144" t="s">
        <v>155</v>
      </c>
      <c r="G5" s="143" t="s">
        <v>154</v>
      </c>
      <c r="H5" s="142" t="s">
        <v>153</v>
      </c>
      <c r="I5" s="141" t="s">
        <v>152</v>
      </c>
      <c r="J5" s="140" t="s">
        <v>151</v>
      </c>
    </row>
    <row r="6" spans="1:20" ht="21" customHeight="1" x14ac:dyDescent="0.3">
      <c r="A6" s="146" t="s">
        <v>63</v>
      </c>
      <c r="B6" s="144" t="s">
        <v>150</v>
      </c>
      <c r="C6" s="144" t="s">
        <v>149</v>
      </c>
      <c r="D6" s="143" t="s">
        <v>148</v>
      </c>
      <c r="E6" s="145" t="s">
        <v>147</v>
      </c>
      <c r="F6" s="144" t="s">
        <v>146</v>
      </c>
      <c r="G6" s="143" t="s">
        <v>145</v>
      </c>
      <c r="H6" s="142" t="s">
        <v>144</v>
      </c>
      <c r="I6" s="141" t="s">
        <v>143</v>
      </c>
      <c r="J6" s="140" t="s">
        <v>142</v>
      </c>
    </row>
    <row r="7" spans="1:20" ht="21" customHeight="1" x14ac:dyDescent="0.3">
      <c r="A7" s="146" t="s">
        <v>62</v>
      </c>
      <c r="B7" s="144" t="s">
        <v>141</v>
      </c>
      <c r="C7" s="144" t="s">
        <v>140</v>
      </c>
      <c r="D7" s="143" t="s">
        <v>139</v>
      </c>
      <c r="E7" s="145" t="s">
        <v>138</v>
      </c>
      <c r="F7" s="144" t="s">
        <v>137</v>
      </c>
      <c r="G7" s="143" t="s">
        <v>136</v>
      </c>
      <c r="H7" s="142" t="s">
        <v>135</v>
      </c>
      <c r="I7" s="141" t="s">
        <v>134</v>
      </c>
      <c r="J7" s="140" t="s">
        <v>133</v>
      </c>
    </row>
    <row r="8" spans="1:20" ht="21" customHeight="1" x14ac:dyDescent="0.3">
      <c r="A8" s="146" t="s">
        <v>61</v>
      </c>
      <c r="B8" s="144" t="s">
        <v>132</v>
      </c>
      <c r="C8" s="144" t="s">
        <v>131</v>
      </c>
      <c r="D8" s="143" t="s">
        <v>130</v>
      </c>
      <c r="E8" s="145" t="s">
        <v>129</v>
      </c>
      <c r="F8" s="144" t="s">
        <v>128</v>
      </c>
      <c r="G8" s="143" t="s">
        <v>127</v>
      </c>
      <c r="H8" s="142" t="s">
        <v>126</v>
      </c>
      <c r="I8" s="141" t="s">
        <v>125</v>
      </c>
      <c r="J8" s="140" t="s">
        <v>124</v>
      </c>
    </row>
    <row r="9" spans="1:20" ht="21" customHeight="1" x14ac:dyDescent="0.3">
      <c r="A9" s="146" t="s">
        <v>60</v>
      </c>
      <c r="B9" s="144" t="s">
        <v>123</v>
      </c>
      <c r="C9" s="144" t="s">
        <v>122</v>
      </c>
      <c r="D9" s="143" t="s">
        <v>121</v>
      </c>
      <c r="E9" s="145" t="s">
        <v>120</v>
      </c>
      <c r="F9" s="144" t="s">
        <v>119</v>
      </c>
      <c r="G9" s="143" t="s">
        <v>118</v>
      </c>
      <c r="H9" s="142" t="s">
        <v>117</v>
      </c>
      <c r="I9" s="141" t="s">
        <v>116</v>
      </c>
      <c r="J9" s="140" t="s">
        <v>115</v>
      </c>
    </row>
    <row r="10" spans="1:20" ht="21" customHeight="1" x14ac:dyDescent="0.3">
      <c r="A10" s="146" t="s">
        <v>59</v>
      </c>
      <c r="B10" s="144" t="s">
        <v>114</v>
      </c>
      <c r="C10" s="144" t="s">
        <v>113</v>
      </c>
      <c r="D10" s="143" t="s">
        <v>112</v>
      </c>
      <c r="E10" s="145" t="s">
        <v>111</v>
      </c>
      <c r="F10" s="144" t="s">
        <v>110</v>
      </c>
      <c r="G10" s="143" t="s">
        <v>109</v>
      </c>
      <c r="H10" s="142" t="s">
        <v>108</v>
      </c>
      <c r="I10" s="141" t="s">
        <v>107</v>
      </c>
      <c r="J10" s="140" t="s">
        <v>106</v>
      </c>
    </row>
    <row r="11" spans="1:20" ht="21" customHeight="1" x14ac:dyDescent="0.3">
      <c r="A11" s="146" t="s">
        <v>58</v>
      </c>
      <c r="B11" s="144" t="s">
        <v>105</v>
      </c>
      <c r="C11" s="144" t="s">
        <v>104</v>
      </c>
      <c r="D11" s="143" t="s">
        <v>103</v>
      </c>
      <c r="E11" s="145" t="s">
        <v>102</v>
      </c>
      <c r="F11" s="144" t="s">
        <v>101</v>
      </c>
      <c r="G11" s="143" t="s">
        <v>100</v>
      </c>
      <c r="H11" s="142" t="s">
        <v>99</v>
      </c>
      <c r="I11" s="141" t="s">
        <v>98</v>
      </c>
      <c r="J11" s="140" t="s">
        <v>97</v>
      </c>
    </row>
    <row r="12" spans="1:20" ht="21" customHeight="1" x14ac:dyDescent="0.3">
      <c r="A12" s="146" t="s">
        <v>57</v>
      </c>
      <c r="B12" s="144" t="s">
        <v>96</v>
      </c>
      <c r="C12" s="144" t="s">
        <v>95</v>
      </c>
      <c r="D12" s="143" t="s">
        <v>94</v>
      </c>
      <c r="E12" s="145" t="s">
        <v>93</v>
      </c>
      <c r="F12" s="144" t="s">
        <v>92</v>
      </c>
      <c r="G12" s="143" t="s">
        <v>91</v>
      </c>
      <c r="H12" s="142" t="s">
        <v>90</v>
      </c>
      <c r="I12" s="141" t="s">
        <v>89</v>
      </c>
      <c r="J12" s="140" t="s">
        <v>88</v>
      </c>
      <c r="O12" s="147"/>
      <c r="P12" s="147"/>
      <c r="Q12" s="147"/>
      <c r="R12" s="147"/>
      <c r="S12" s="147"/>
      <c r="T12" s="147"/>
    </row>
    <row r="13" spans="1:20" ht="21" customHeight="1" x14ac:dyDescent="0.3">
      <c r="A13" s="146" t="s">
        <v>56</v>
      </c>
      <c r="B13" s="144" t="s">
        <v>87</v>
      </c>
      <c r="C13" s="144" t="s">
        <v>86</v>
      </c>
      <c r="D13" s="143"/>
      <c r="E13" s="145" t="s">
        <v>85</v>
      </c>
      <c r="F13" s="144" t="s">
        <v>84</v>
      </c>
      <c r="G13" s="143"/>
      <c r="H13" s="142" t="s">
        <v>83</v>
      </c>
      <c r="I13" s="141" t="s">
        <v>82</v>
      </c>
      <c r="J13" s="140"/>
      <c r="O13" s="147"/>
      <c r="P13" s="147"/>
      <c r="Q13" s="147"/>
      <c r="R13" s="147"/>
      <c r="S13" s="147"/>
      <c r="T13" s="147"/>
    </row>
    <row r="14" spans="1:20" ht="21" customHeight="1" x14ac:dyDescent="0.3">
      <c r="A14" s="146" t="s">
        <v>55</v>
      </c>
      <c r="B14" s="144" t="s">
        <v>81</v>
      </c>
      <c r="C14" s="144" t="s">
        <v>80</v>
      </c>
      <c r="D14" s="143"/>
      <c r="E14" s="145" t="s">
        <v>79</v>
      </c>
      <c r="F14" s="144" t="s">
        <v>78</v>
      </c>
      <c r="G14" s="143"/>
      <c r="H14" s="142" t="s">
        <v>77</v>
      </c>
      <c r="I14" s="141" t="s">
        <v>76</v>
      </c>
      <c r="J14" s="140"/>
    </row>
    <row r="15" spans="1:20" ht="21" customHeight="1" thickBot="1" x14ac:dyDescent="0.35">
      <c r="A15" s="139" t="s">
        <v>54</v>
      </c>
      <c r="B15" s="137" t="s">
        <v>75</v>
      </c>
      <c r="C15" s="137" t="s">
        <v>74</v>
      </c>
      <c r="D15" s="136"/>
      <c r="E15" s="138" t="s">
        <v>73</v>
      </c>
      <c r="F15" s="137" t="s">
        <v>72</v>
      </c>
      <c r="G15" s="136"/>
      <c r="H15" s="135" t="s">
        <v>71</v>
      </c>
      <c r="I15" s="134" t="s">
        <v>70</v>
      </c>
      <c r="J15" s="133"/>
    </row>
    <row r="16" spans="1:20" s="101" customFormat="1" ht="18.95" customHeight="1" x14ac:dyDescent="0.25">
      <c r="A16" s="101" t="s">
        <v>69</v>
      </c>
    </row>
    <row r="17" spans="1:247" s="101" customFormat="1" ht="18.95" customHeight="1" x14ac:dyDescent="0.25">
      <c r="A17" s="102" t="s">
        <v>0</v>
      </c>
    </row>
    <row r="19" spans="1:247" ht="18" thickBot="1" x14ac:dyDescent="0.35">
      <c r="A19" s="132" t="s">
        <v>68</v>
      </c>
      <c r="B19" s="130"/>
      <c r="C19" s="130"/>
      <c r="D19" s="130"/>
      <c r="E19" s="131"/>
      <c r="F19" s="131"/>
      <c r="G19" s="131"/>
      <c r="H19" s="130"/>
      <c r="I19" s="130"/>
      <c r="J19" s="130"/>
    </row>
    <row r="20" spans="1:247" ht="17.25" thickBot="1" x14ac:dyDescent="0.35">
      <c r="A20" s="3458" t="s">
        <v>5</v>
      </c>
      <c r="B20" s="3460" t="s">
        <v>67</v>
      </c>
      <c r="C20" s="3456"/>
      <c r="D20" s="3457"/>
      <c r="E20" s="3455" t="s">
        <v>66</v>
      </c>
      <c r="F20" s="3456"/>
      <c r="G20" s="3457"/>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c r="DK20" s="123"/>
      <c r="DL20" s="123"/>
      <c r="DM20" s="123"/>
      <c r="DN20" s="123"/>
      <c r="DO20" s="123"/>
      <c r="DP20" s="123"/>
      <c r="DQ20" s="123"/>
      <c r="DR20" s="123"/>
      <c r="DS20" s="123"/>
      <c r="DT20" s="123"/>
      <c r="DU20" s="123"/>
      <c r="DV20" s="123"/>
      <c r="DW20" s="123"/>
      <c r="DX20" s="123"/>
      <c r="DY20" s="123"/>
      <c r="DZ20" s="123"/>
      <c r="EA20" s="123"/>
      <c r="EB20" s="123"/>
      <c r="EC20" s="123"/>
      <c r="ED20" s="123"/>
      <c r="EE20" s="123"/>
      <c r="EF20" s="123"/>
      <c r="EG20" s="123"/>
      <c r="EH20" s="123"/>
      <c r="EI20" s="123"/>
      <c r="EJ20" s="123"/>
      <c r="EK20" s="123"/>
      <c r="EL20" s="123"/>
      <c r="EM20" s="123"/>
      <c r="EN20" s="123"/>
      <c r="EO20" s="123"/>
      <c r="EP20" s="123"/>
      <c r="EQ20" s="123"/>
      <c r="ER20" s="123"/>
      <c r="ES20" s="123"/>
      <c r="ET20" s="123"/>
      <c r="EU20" s="123"/>
      <c r="EV20" s="123"/>
      <c r="EW20" s="123"/>
      <c r="EX20" s="123"/>
      <c r="EY20" s="123"/>
      <c r="EZ20" s="123"/>
      <c r="FA20" s="123"/>
      <c r="FB20" s="123"/>
      <c r="FC20" s="123"/>
      <c r="FD20" s="123"/>
      <c r="FE20" s="123"/>
      <c r="FF20" s="123"/>
      <c r="FG20" s="123"/>
      <c r="FH20" s="123"/>
      <c r="FI20" s="123"/>
      <c r="FJ20" s="123"/>
      <c r="FK20" s="123"/>
      <c r="FL20" s="123"/>
      <c r="FM20" s="123"/>
      <c r="FN20" s="123"/>
      <c r="FO20" s="123"/>
      <c r="FP20" s="123"/>
      <c r="FQ20" s="123"/>
      <c r="FR20" s="123"/>
      <c r="FS20" s="123"/>
      <c r="FT20" s="123"/>
      <c r="FU20" s="123"/>
      <c r="FV20" s="123"/>
      <c r="FW20" s="123"/>
      <c r="FX20" s="123"/>
      <c r="FY20" s="123"/>
      <c r="FZ20" s="123"/>
      <c r="GA20" s="123"/>
      <c r="GB20" s="123"/>
      <c r="GC20" s="123"/>
      <c r="GD20" s="123"/>
      <c r="GE20" s="123"/>
      <c r="GF20" s="123"/>
      <c r="GG20" s="123"/>
      <c r="GH20" s="123"/>
      <c r="GI20" s="123"/>
      <c r="GJ20" s="123"/>
      <c r="GK20" s="123"/>
      <c r="GL20" s="123"/>
      <c r="GM20" s="123"/>
      <c r="GN20" s="123"/>
      <c r="GO20" s="123"/>
      <c r="GP20" s="123"/>
      <c r="GQ20" s="123"/>
      <c r="GR20" s="123"/>
      <c r="GS20" s="123"/>
      <c r="GT20" s="123"/>
      <c r="GU20" s="123"/>
      <c r="GV20" s="123"/>
      <c r="GW20" s="123"/>
      <c r="GX20" s="123"/>
      <c r="GY20" s="123"/>
      <c r="GZ20" s="123"/>
      <c r="HA20" s="123"/>
      <c r="HB20" s="123"/>
      <c r="HC20" s="123"/>
      <c r="HD20" s="123"/>
      <c r="HE20" s="123"/>
      <c r="HF20" s="123"/>
      <c r="HG20" s="123"/>
      <c r="HH20" s="123"/>
      <c r="HI20" s="123"/>
      <c r="HJ20" s="123"/>
      <c r="HK20" s="123"/>
      <c r="HL20" s="123"/>
      <c r="HM20" s="123"/>
      <c r="HN20" s="123"/>
      <c r="HO20" s="123"/>
      <c r="HP20" s="123"/>
      <c r="HQ20" s="123"/>
      <c r="HR20" s="123"/>
      <c r="HS20" s="123"/>
      <c r="HT20" s="123"/>
      <c r="HU20" s="123"/>
      <c r="HV20" s="123"/>
      <c r="HW20" s="123"/>
      <c r="HX20" s="123"/>
      <c r="HY20" s="123"/>
      <c r="HZ20" s="123"/>
      <c r="IA20" s="123"/>
      <c r="IB20" s="123"/>
      <c r="IC20" s="123"/>
      <c r="ID20" s="123"/>
      <c r="IE20" s="123"/>
      <c r="IF20" s="123"/>
      <c r="IG20" s="123"/>
      <c r="IH20" s="123"/>
      <c r="II20" s="123"/>
      <c r="IJ20" s="123"/>
      <c r="IK20" s="123"/>
      <c r="IL20" s="123"/>
      <c r="IM20" s="123"/>
    </row>
    <row r="21" spans="1:247" ht="17.25" thickBot="1" x14ac:dyDescent="0.35">
      <c r="A21" s="3459"/>
      <c r="B21" s="129">
        <v>2021</v>
      </c>
      <c r="C21" s="128">
        <v>2022</v>
      </c>
      <c r="D21" s="127">
        <v>2023</v>
      </c>
      <c r="E21" s="126">
        <v>2021</v>
      </c>
      <c r="F21" s="125">
        <v>2022</v>
      </c>
      <c r="G21" s="124">
        <v>2023</v>
      </c>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c r="DK21" s="123"/>
      <c r="DL21" s="123"/>
      <c r="DM21" s="123"/>
      <c r="DN21" s="123"/>
      <c r="DO21" s="123"/>
      <c r="DP21" s="123"/>
      <c r="DQ21" s="123"/>
      <c r="DR21" s="123"/>
      <c r="DS21" s="123"/>
      <c r="DT21" s="123"/>
      <c r="DU21" s="123"/>
      <c r="DV21" s="123"/>
      <c r="DW21" s="123"/>
      <c r="DX21" s="123"/>
      <c r="DY21" s="123"/>
      <c r="DZ21" s="123"/>
      <c r="EA21" s="123"/>
      <c r="EB21" s="123"/>
      <c r="EC21" s="123"/>
      <c r="ED21" s="123"/>
      <c r="EE21" s="123"/>
      <c r="EF21" s="123"/>
      <c r="EG21" s="123"/>
      <c r="EH21" s="123"/>
      <c r="EI21" s="123"/>
      <c r="EJ21" s="123"/>
      <c r="EK21" s="123"/>
      <c r="EL21" s="123"/>
      <c r="EM21" s="123"/>
      <c r="EN21" s="123"/>
      <c r="EO21" s="123"/>
      <c r="EP21" s="123"/>
      <c r="EQ21" s="123"/>
      <c r="ER21" s="123"/>
      <c r="ES21" s="123"/>
      <c r="ET21" s="123"/>
      <c r="EU21" s="123"/>
      <c r="EV21" s="123"/>
      <c r="EW21" s="123"/>
      <c r="EX21" s="123"/>
      <c r="EY21" s="123"/>
      <c r="EZ21" s="123"/>
      <c r="FA21" s="123"/>
      <c r="FB21" s="123"/>
      <c r="FC21" s="123"/>
      <c r="FD21" s="123"/>
      <c r="FE21" s="123"/>
      <c r="FF21" s="123"/>
      <c r="FG21" s="123"/>
      <c r="FH21" s="123"/>
      <c r="FI21" s="123"/>
      <c r="FJ21" s="123"/>
      <c r="FK21" s="123"/>
      <c r="FL21" s="123"/>
      <c r="FM21" s="123"/>
      <c r="FN21" s="123"/>
      <c r="FO21" s="123"/>
      <c r="FP21" s="123"/>
      <c r="FQ21" s="123"/>
      <c r="FR21" s="123"/>
      <c r="FS21" s="123"/>
      <c r="FT21" s="123"/>
      <c r="FU21" s="123"/>
      <c r="FV21" s="123"/>
      <c r="FW21" s="123"/>
      <c r="FX21" s="123"/>
      <c r="FY21" s="123"/>
      <c r="FZ21" s="123"/>
      <c r="GA21" s="123"/>
      <c r="GB21" s="123"/>
      <c r="GC21" s="123"/>
      <c r="GD21" s="123"/>
      <c r="GE21" s="123"/>
      <c r="GF21" s="123"/>
      <c r="GG21" s="123"/>
      <c r="GH21" s="123"/>
      <c r="GI21" s="123"/>
      <c r="GJ21" s="123"/>
      <c r="GK21" s="123"/>
      <c r="GL21" s="123"/>
      <c r="GM21" s="123"/>
      <c r="GN21" s="123"/>
      <c r="GO21" s="123"/>
      <c r="GP21" s="123"/>
      <c r="GQ21" s="123"/>
      <c r="GR21" s="123"/>
      <c r="GS21" s="123"/>
      <c r="GT21" s="123"/>
      <c r="GU21" s="123"/>
      <c r="GV21" s="123"/>
      <c r="GW21" s="123"/>
      <c r="GX21" s="123"/>
      <c r="GY21" s="123"/>
      <c r="GZ21" s="123"/>
      <c r="HA21" s="123"/>
      <c r="HB21" s="123"/>
      <c r="HC21" s="123"/>
      <c r="HD21" s="123"/>
      <c r="HE21" s="123"/>
      <c r="HF21" s="123"/>
      <c r="HG21" s="123"/>
      <c r="HH21" s="123"/>
      <c r="HI21" s="123"/>
      <c r="HJ21" s="123"/>
      <c r="HK21" s="123"/>
      <c r="HL21" s="123"/>
      <c r="HM21" s="123"/>
      <c r="HN21" s="123"/>
      <c r="HO21" s="123"/>
      <c r="HP21" s="123"/>
      <c r="HQ21" s="123"/>
      <c r="HR21" s="123"/>
      <c r="HS21" s="123"/>
      <c r="HT21" s="123"/>
      <c r="HU21" s="123"/>
      <c r="HV21" s="123"/>
      <c r="HW21" s="123"/>
      <c r="HX21" s="123"/>
      <c r="HY21" s="123"/>
      <c r="HZ21" s="123"/>
      <c r="IA21" s="123"/>
      <c r="IB21" s="123"/>
      <c r="IC21" s="123"/>
      <c r="ID21" s="123"/>
      <c r="IE21" s="123"/>
      <c r="IF21" s="123"/>
      <c r="IG21" s="123"/>
      <c r="IH21" s="123"/>
      <c r="II21" s="123"/>
      <c r="IJ21" s="123"/>
      <c r="IK21" s="123"/>
      <c r="IL21" s="123"/>
      <c r="IM21" s="123"/>
    </row>
    <row r="22" spans="1:247" ht="21" customHeight="1" thickTop="1" x14ac:dyDescent="0.3">
      <c r="A22" s="116" t="s">
        <v>65</v>
      </c>
      <c r="B22" s="122">
        <v>115.80013587633482</v>
      </c>
      <c r="C22" s="121">
        <v>124.52134875318725</v>
      </c>
      <c r="D22" s="120">
        <v>123.35413078115059</v>
      </c>
      <c r="E22" s="119">
        <v>114.85353837518042</v>
      </c>
      <c r="F22" s="118">
        <v>123.2652375193065</v>
      </c>
      <c r="G22" s="117">
        <v>121.87129177418778</v>
      </c>
    </row>
    <row r="23" spans="1:247" ht="21" customHeight="1" x14ac:dyDescent="0.35">
      <c r="A23" s="116" t="s">
        <v>64</v>
      </c>
      <c r="B23" s="115">
        <v>116.62</v>
      </c>
      <c r="C23" s="114">
        <v>124.96448669531102</v>
      </c>
      <c r="D23" s="113">
        <v>127.00056617255572</v>
      </c>
      <c r="E23" s="115">
        <v>115.67100000000001</v>
      </c>
      <c r="F23" s="114">
        <v>123.71875423580818</v>
      </c>
      <c r="G23" s="113">
        <v>125.42062757291545</v>
      </c>
      <c r="K23" s="108"/>
      <c r="L23" s="108"/>
      <c r="M23" s="107"/>
      <c r="N23" s="107"/>
      <c r="O23" s="107"/>
      <c r="P23" s="107"/>
      <c r="Q23" s="107"/>
      <c r="R23" s="107"/>
    </row>
    <row r="24" spans="1:247" ht="21" customHeight="1" x14ac:dyDescent="0.35">
      <c r="A24" s="116" t="s">
        <v>63</v>
      </c>
      <c r="B24" s="115">
        <v>117.11517813155814</v>
      </c>
      <c r="C24" s="114">
        <v>125.08883107469838</v>
      </c>
      <c r="D24" s="113">
        <v>129.221</v>
      </c>
      <c r="E24" s="115">
        <v>116.107</v>
      </c>
      <c r="F24" s="114">
        <v>123.75960354375979</v>
      </c>
      <c r="G24" s="113">
        <v>127.599</v>
      </c>
      <c r="K24" s="108"/>
      <c r="L24" s="108"/>
      <c r="M24" s="107"/>
      <c r="N24" s="107"/>
      <c r="O24" s="107"/>
      <c r="P24" s="107"/>
      <c r="Q24" s="107"/>
      <c r="R24" s="107"/>
    </row>
    <row r="25" spans="1:247" ht="21" customHeight="1" x14ac:dyDescent="0.35">
      <c r="A25" s="116" t="s">
        <v>62</v>
      </c>
      <c r="B25" s="115">
        <v>118.14425005401736</v>
      </c>
      <c r="C25" s="114">
        <v>122.27094235303456</v>
      </c>
      <c r="D25" s="113">
        <v>126.41200000000001</v>
      </c>
      <c r="E25" s="115">
        <v>117.16104690995613</v>
      </c>
      <c r="F25" s="114">
        <v>120.92468937897955</v>
      </c>
      <c r="G25" s="113">
        <v>124.911</v>
      </c>
      <c r="K25" s="108"/>
      <c r="L25" s="108"/>
      <c r="M25" s="107"/>
      <c r="N25" s="107"/>
      <c r="O25" s="107"/>
      <c r="P25" s="107"/>
      <c r="Q25" s="107"/>
      <c r="R25" s="107"/>
    </row>
    <row r="26" spans="1:247" ht="21" customHeight="1" x14ac:dyDescent="0.35">
      <c r="A26" s="116" t="s">
        <v>61</v>
      </c>
      <c r="B26" s="115">
        <v>119.03997999397988</v>
      </c>
      <c r="C26" s="114">
        <v>120.12536907683248</v>
      </c>
      <c r="D26" s="113">
        <v>126.66548004476851</v>
      </c>
      <c r="E26" s="115">
        <v>118.12024594570676</v>
      </c>
      <c r="F26" s="114">
        <v>118.67203521734078</v>
      </c>
      <c r="G26" s="113">
        <v>125.11451747833387</v>
      </c>
      <c r="K26" s="108"/>
      <c r="L26" s="108"/>
      <c r="M26" s="107"/>
      <c r="N26" s="107"/>
      <c r="O26" s="107"/>
      <c r="P26" s="107"/>
      <c r="Q26" s="107"/>
      <c r="R26" s="107"/>
    </row>
    <row r="27" spans="1:247" ht="21" customHeight="1" x14ac:dyDescent="0.35">
      <c r="A27" s="116" t="s">
        <v>60</v>
      </c>
      <c r="B27" s="115">
        <v>120.38856682275112</v>
      </c>
      <c r="C27" s="114">
        <v>123.13068423941071</v>
      </c>
      <c r="D27" s="113">
        <v>126.9653820357272</v>
      </c>
      <c r="E27" s="115">
        <v>119.44345569831705</v>
      </c>
      <c r="F27" s="114">
        <v>121.64488297088725</v>
      </c>
      <c r="G27" s="113">
        <v>125.41826794984503</v>
      </c>
      <c r="K27" s="108"/>
      <c r="L27" s="108"/>
      <c r="M27" s="107"/>
      <c r="N27" s="107"/>
      <c r="O27" s="107"/>
      <c r="P27" s="107"/>
      <c r="Q27" s="107"/>
      <c r="R27" s="107"/>
    </row>
    <row r="28" spans="1:247" ht="21" customHeight="1" x14ac:dyDescent="0.35">
      <c r="A28" s="116" t="s">
        <v>59</v>
      </c>
      <c r="B28" s="115">
        <v>124.17264578806252</v>
      </c>
      <c r="C28" s="114">
        <v>123.76187776894569</v>
      </c>
      <c r="D28" s="113">
        <v>127.97408595994678</v>
      </c>
      <c r="E28" s="115">
        <v>123.10118112775565</v>
      </c>
      <c r="F28" s="114">
        <v>122.1113728970207</v>
      </c>
      <c r="G28" s="113">
        <v>126.5129142762657</v>
      </c>
      <c r="K28" s="108"/>
      <c r="L28" s="108"/>
      <c r="M28" s="107"/>
      <c r="N28" s="107"/>
      <c r="O28" s="107"/>
      <c r="P28" s="107"/>
      <c r="Q28" s="107"/>
      <c r="R28" s="107"/>
    </row>
    <row r="29" spans="1:247" ht="21" customHeight="1" x14ac:dyDescent="0.35">
      <c r="A29" s="116" t="s">
        <v>58</v>
      </c>
      <c r="B29" s="115">
        <v>123.67013193462316</v>
      </c>
      <c r="C29" s="114">
        <v>123.35878143901316</v>
      </c>
      <c r="D29" s="113">
        <v>126.81294371128796</v>
      </c>
      <c r="E29" s="115">
        <v>122.57665297908235</v>
      </c>
      <c r="F29" s="114">
        <v>121.70433868319499</v>
      </c>
      <c r="G29" s="113">
        <v>125.29698406003642</v>
      </c>
      <c r="K29" s="108"/>
      <c r="L29" s="108"/>
      <c r="M29" s="107"/>
      <c r="N29" s="107"/>
      <c r="O29" s="107"/>
      <c r="P29" s="107"/>
      <c r="Q29" s="107"/>
      <c r="R29" s="107"/>
    </row>
    <row r="30" spans="1:247" ht="21" customHeight="1" x14ac:dyDescent="0.35">
      <c r="A30" s="116" t="s">
        <v>57</v>
      </c>
      <c r="B30" s="115">
        <v>123.44626760018313</v>
      </c>
      <c r="C30" s="114">
        <v>120.74807767528415</v>
      </c>
      <c r="D30" s="113">
        <v>124.68358032413821</v>
      </c>
      <c r="E30" s="115">
        <v>122.36311906353838</v>
      </c>
      <c r="F30" s="114">
        <v>119.00345416114131</v>
      </c>
      <c r="G30" s="113">
        <v>123.11095038879859</v>
      </c>
      <c r="K30" s="108"/>
      <c r="L30" s="108"/>
      <c r="M30" s="107"/>
      <c r="N30" s="107"/>
      <c r="O30" s="107"/>
      <c r="P30" s="107"/>
      <c r="Q30" s="107"/>
      <c r="R30" s="107"/>
    </row>
    <row r="31" spans="1:247" ht="21" customHeight="1" x14ac:dyDescent="0.35">
      <c r="A31" s="116" t="s">
        <v>56</v>
      </c>
      <c r="B31" s="115">
        <v>123.33703117855295</v>
      </c>
      <c r="C31" s="114">
        <v>119.53787760174951</v>
      </c>
      <c r="D31" s="113"/>
      <c r="E31" s="115">
        <v>122.19981907340782</v>
      </c>
      <c r="F31" s="114">
        <v>117.76062211078352</v>
      </c>
      <c r="G31" s="113"/>
      <c r="K31" s="108"/>
      <c r="L31" s="108"/>
      <c r="M31" s="107"/>
      <c r="N31" s="107"/>
      <c r="O31" s="107"/>
      <c r="P31" s="107"/>
      <c r="Q31" s="107"/>
      <c r="R31" s="107"/>
    </row>
    <row r="32" spans="1:247" ht="21" customHeight="1" x14ac:dyDescent="0.35">
      <c r="A32" s="116" t="s">
        <v>55</v>
      </c>
      <c r="B32" s="115">
        <v>123.39140728814246</v>
      </c>
      <c r="C32" s="114">
        <v>119.91249678028453</v>
      </c>
      <c r="D32" s="113"/>
      <c r="E32" s="115">
        <v>122.159796328306</v>
      </c>
      <c r="F32" s="114">
        <v>118.27879069221439</v>
      </c>
      <c r="G32" s="113"/>
      <c r="K32" s="108"/>
      <c r="L32" s="108"/>
      <c r="M32" s="107"/>
      <c r="N32" s="107"/>
      <c r="O32" s="107"/>
      <c r="P32" s="107"/>
      <c r="Q32" s="107"/>
      <c r="R32" s="107"/>
    </row>
    <row r="33" spans="1:18" ht="21" customHeight="1" thickBot="1" x14ac:dyDescent="0.4">
      <c r="A33" s="112" t="s">
        <v>54</v>
      </c>
      <c r="B33" s="111">
        <v>123.80364477164673</v>
      </c>
      <c r="C33" s="110">
        <v>121.41662473874078</v>
      </c>
      <c r="D33" s="109"/>
      <c r="E33" s="111">
        <v>122.52465392567599</v>
      </c>
      <c r="F33" s="110">
        <v>119.89046738976303</v>
      </c>
      <c r="G33" s="109"/>
      <c r="K33" s="108"/>
      <c r="L33" s="108"/>
      <c r="M33" s="107"/>
      <c r="N33" s="107"/>
      <c r="O33" s="107"/>
      <c r="P33" s="107"/>
      <c r="Q33" s="107"/>
      <c r="R33" s="107"/>
    </row>
    <row r="34" spans="1:18" ht="16.5" customHeight="1" x14ac:dyDescent="0.25">
      <c r="A34" s="106" t="s">
        <v>53</v>
      </c>
    </row>
    <row r="35" spans="1:18" s="101" customFormat="1" ht="46.5" customHeight="1" x14ac:dyDescent="0.25">
      <c r="A35" s="3451" t="s">
        <v>52</v>
      </c>
      <c r="B35" s="3451"/>
      <c r="C35" s="3451"/>
      <c r="D35" s="3451"/>
      <c r="E35" s="3451"/>
      <c r="F35" s="3451"/>
      <c r="G35" s="3451"/>
    </row>
    <row r="36" spans="1:18" s="101" customFormat="1" ht="29.25" customHeight="1" x14ac:dyDescent="0.25">
      <c r="A36" s="3451" t="s">
        <v>51</v>
      </c>
      <c r="B36" s="3451"/>
      <c r="C36" s="3451"/>
      <c r="D36" s="3451"/>
      <c r="E36" s="3451"/>
      <c r="F36" s="3451"/>
      <c r="G36" s="3451"/>
    </row>
    <row r="37" spans="1:18" s="101" customFormat="1" ht="47.25" customHeight="1" x14ac:dyDescent="0.25">
      <c r="A37" s="3451" t="s">
        <v>50</v>
      </c>
      <c r="B37" s="3451"/>
      <c r="C37" s="3451"/>
      <c r="D37" s="3451"/>
      <c r="E37" s="3451"/>
      <c r="F37" s="3451"/>
      <c r="G37" s="3451"/>
    </row>
    <row r="38" spans="1:18" s="101" customFormat="1" ht="15" customHeight="1" x14ac:dyDescent="0.25">
      <c r="A38" s="3451" t="s">
        <v>49</v>
      </c>
      <c r="B38" s="3451"/>
      <c r="C38" s="3451"/>
      <c r="D38" s="3451"/>
      <c r="E38" s="3451"/>
      <c r="F38" s="3451"/>
      <c r="G38" s="3451"/>
    </row>
    <row r="39" spans="1:18" s="101" customFormat="1" ht="16.5" customHeight="1" x14ac:dyDescent="0.25">
      <c r="A39" s="105" t="s">
        <v>48</v>
      </c>
      <c r="B39" s="104"/>
      <c r="C39" s="104"/>
      <c r="D39" s="104"/>
      <c r="E39" s="103"/>
      <c r="F39" s="103"/>
      <c r="G39" s="103"/>
    </row>
    <row r="40" spans="1:18" s="101" customFormat="1" ht="5.25" customHeight="1" x14ac:dyDescent="0.25"/>
    <row r="41" spans="1:18" s="102" customFormat="1" ht="19.5" customHeight="1" x14ac:dyDescent="0.25">
      <c r="A41" s="102" t="s">
        <v>0</v>
      </c>
    </row>
    <row r="42" spans="1:18" s="101" customFormat="1" ht="15" customHeight="1" x14ac:dyDescent="0.25">
      <c r="A42" s="102"/>
    </row>
    <row r="51" spans="15:20" ht="45.75" customHeight="1" x14ac:dyDescent="0.55000000000000004">
      <c r="O51" s="100"/>
      <c r="P51" s="100"/>
      <c r="Q51" s="100"/>
      <c r="R51" s="100"/>
      <c r="S51" s="100"/>
      <c r="T51" s="99"/>
    </row>
    <row r="52" spans="15:20" ht="45.75" customHeight="1" x14ac:dyDescent="0.55000000000000004">
      <c r="O52" s="99"/>
      <c r="P52" s="99"/>
      <c r="Q52" s="99"/>
      <c r="R52" s="99"/>
      <c r="S52" s="99"/>
      <c r="T52" s="99"/>
    </row>
    <row r="53" spans="15:20" ht="45.75" customHeight="1" x14ac:dyDescent="0.55000000000000004">
      <c r="O53" s="100"/>
      <c r="P53" s="100"/>
      <c r="Q53" s="100"/>
      <c r="R53" s="99"/>
      <c r="S53" s="99"/>
      <c r="T53" s="99"/>
    </row>
    <row r="95" spans="1:1" x14ac:dyDescent="0.25">
      <c r="A95" s="98">
        <v>44013</v>
      </c>
    </row>
  </sheetData>
  <mergeCells count="11">
    <mergeCell ref="A35:G35"/>
    <mergeCell ref="A36:G36"/>
    <mergeCell ref="A37:G37"/>
    <mergeCell ref="A38:G38"/>
    <mergeCell ref="A1:J1"/>
    <mergeCell ref="A2:A3"/>
    <mergeCell ref="B2:D2"/>
    <mergeCell ref="E2:G2"/>
    <mergeCell ref="A20:A21"/>
    <mergeCell ref="B20:D20"/>
    <mergeCell ref="E20:G20"/>
  </mergeCells>
  <pageMargins left="0.75" right="0.75" top="0.75" bottom="0.75" header="0.31496062992125984" footer="0"/>
  <pageSetup paperSize="9" scale="75"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AP97"/>
  <sheetViews>
    <sheetView showGridLines="0" zoomScaleNormal="100" zoomScaleSheetLayoutView="90" workbookViewId="0">
      <pane xSplit="1" ySplit="2" topLeftCell="B3" activePane="bottomRight" state="frozen"/>
      <selection activeCell="A38" sqref="A38"/>
      <selection pane="topRight" activeCell="A38" sqref="A38"/>
      <selection pane="bottomLeft" activeCell="A38" sqref="A38"/>
      <selection pane="bottomRight" activeCell="A38" sqref="A38"/>
    </sheetView>
  </sheetViews>
  <sheetFormatPr defaultColWidth="11.140625" defaultRowHeight="14.25" x14ac:dyDescent="0.25"/>
  <cols>
    <col min="1" max="1" width="14.42578125" style="161" customWidth="1"/>
    <col min="2" max="10" width="15.85546875" style="162" customWidth="1"/>
    <col min="11" max="11" width="2.140625" style="161" customWidth="1"/>
    <col min="12" max="12" width="15.85546875" style="161" customWidth="1"/>
    <col min="13" max="16384" width="11.140625" style="161"/>
  </cols>
  <sheetData>
    <row r="1" spans="1:42" s="197" customFormat="1" ht="18.75" x14ac:dyDescent="0.3">
      <c r="A1" s="199" t="s">
        <v>185</v>
      </c>
      <c r="B1" s="198"/>
      <c r="C1" s="198"/>
      <c r="D1" s="198"/>
      <c r="E1" s="198"/>
      <c r="F1" s="198"/>
      <c r="G1" s="198"/>
      <c r="H1" s="198"/>
      <c r="I1" s="198"/>
      <c r="J1" s="198"/>
    </row>
    <row r="2" spans="1:42" ht="15" customHeight="1" thickBot="1" x14ac:dyDescent="0.3">
      <c r="J2" s="196" t="s">
        <v>184</v>
      </c>
    </row>
    <row r="3" spans="1:42" s="190" customFormat="1" ht="36" customHeight="1" thickTop="1" thickBot="1" x14ac:dyDescent="0.35">
      <c r="A3" s="3461" t="s">
        <v>183</v>
      </c>
      <c r="B3" s="3463" t="s">
        <v>182</v>
      </c>
      <c r="C3" s="3464"/>
      <c r="D3" s="3464"/>
      <c r="E3" s="3465"/>
      <c r="F3" s="3466" t="s">
        <v>181</v>
      </c>
      <c r="G3" s="3464"/>
      <c r="H3" s="3464"/>
      <c r="I3" s="3465"/>
      <c r="J3" s="3467" t="s">
        <v>180</v>
      </c>
    </row>
    <row r="4" spans="1:42" s="190" customFormat="1" ht="34.5" thickBot="1" x14ac:dyDescent="0.35">
      <c r="A4" s="3462"/>
      <c r="B4" s="195" t="s">
        <v>179</v>
      </c>
      <c r="C4" s="195" t="s">
        <v>178</v>
      </c>
      <c r="D4" s="192" t="s">
        <v>177</v>
      </c>
      <c r="E4" s="191" t="s">
        <v>176</v>
      </c>
      <c r="F4" s="194" t="s">
        <v>179</v>
      </c>
      <c r="G4" s="193" t="s">
        <v>178</v>
      </c>
      <c r="H4" s="192" t="s">
        <v>177</v>
      </c>
      <c r="I4" s="191" t="s">
        <v>176</v>
      </c>
      <c r="J4" s="3468"/>
    </row>
    <row r="5" spans="1:42" s="170" customFormat="1" ht="16.5" hidden="1" x14ac:dyDescent="0.3">
      <c r="A5" s="183">
        <v>42736</v>
      </c>
      <c r="B5" s="180">
        <v>71.367654999999999</v>
      </c>
      <c r="C5" s="180">
        <v>289.33946800000001</v>
      </c>
      <c r="D5" s="180">
        <v>41.882050999999997</v>
      </c>
      <c r="E5" s="179">
        <v>402.58917400000001</v>
      </c>
      <c r="F5" s="182">
        <v>59.816772</v>
      </c>
      <c r="G5" s="181">
        <v>274.81638600000002</v>
      </c>
      <c r="H5" s="180">
        <v>34.484924999999997</v>
      </c>
      <c r="I5" s="179">
        <v>369.11808300000001</v>
      </c>
      <c r="J5" s="178">
        <v>771.70725700000003</v>
      </c>
      <c r="K5" s="171"/>
    </row>
    <row r="6" spans="1:42" s="170" customFormat="1" ht="16.5" hidden="1" x14ac:dyDescent="0.3">
      <c r="A6" s="183">
        <v>42767</v>
      </c>
      <c r="B6" s="180">
        <v>57.361750999999998</v>
      </c>
      <c r="C6" s="180">
        <v>276.91411599999998</v>
      </c>
      <c r="D6" s="180">
        <v>52.701816000000001</v>
      </c>
      <c r="E6" s="179">
        <v>386.97768300000001</v>
      </c>
      <c r="F6" s="182">
        <v>55.249929999999999</v>
      </c>
      <c r="G6" s="181">
        <v>257.76967999999999</v>
      </c>
      <c r="H6" s="180">
        <v>52.240282999999998</v>
      </c>
      <c r="I6" s="179">
        <v>365.25989299999998</v>
      </c>
      <c r="J6" s="178">
        <v>752.23757599999999</v>
      </c>
      <c r="K6" s="171"/>
    </row>
    <row r="7" spans="1:42" s="170" customFormat="1" ht="16.5" hidden="1" x14ac:dyDescent="0.3">
      <c r="A7" s="183">
        <v>42795</v>
      </c>
      <c r="B7" s="180">
        <v>63.612163000000002</v>
      </c>
      <c r="C7" s="180">
        <v>379.050972</v>
      </c>
      <c r="D7" s="180">
        <v>71.474632</v>
      </c>
      <c r="E7" s="179">
        <v>514.13776700000005</v>
      </c>
      <c r="F7" s="182">
        <v>68.994236000000001</v>
      </c>
      <c r="G7" s="181">
        <v>364.20819399999999</v>
      </c>
      <c r="H7" s="180">
        <v>41.228223999999997</v>
      </c>
      <c r="I7" s="179">
        <v>474.430654</v>
      </c>
      <c r="J7" s="178">
        <v>988.56842100000006</v>
      </c>
      <c r="K7" s="171"/>
    </row>
    <row r="8" spans="1:42" s="170" customFormat="1" ht="16.5" hidden="1" x14ac:dyDescent="0.3">
      <c r="A8" s="183">
        <v>42826</v>
      </c>
      <c r="B8" s="180">
        <v>68.613151999999999</v>
      </c>
      <c r="C8" s="180">
        <v>330.79203000000001</v>
      </c>
      <c r="D8" s="180">
        <v>62.428151</v>
      </c>
      <c r="E8" s="179">
        <v>461.83333299999998</v>
      </c>
      <c r="F8" s="182">
        <v>58.792122999999997</v>
      </c>
      <c r="G8" s="181">
        <v>313.81417299999998</v>
      </c>
      <c r="H8" s="180">
        <v>48.777821000000003</v>
      </c>
      <c r="I8" s="179">
        <v>421.384117</v>
      </c>
      <c r="J8" s="178">
        <v>883.21744999999999</v>
      </c>
      <c r="K8" s="171"/>
    </row>
    <row r="9" spans="1:42" s="170" customFormat="1" ht="16.5" hidden="1" x14ac:dyDescent="0.3">
      <c r="A9" s="183">
        <v>42856</v>
      </c>
      <c r="B9" s="180">
        <v>72.503810000000001</v>
      </c>
      <c r="C9" s="180">
        <v>378.38616500000001</v>
      </c>
      <c r="D9" s="180">
        <v>57.808022000000001</v>
      </c>
      <c r="E9" s="179">
        <v>508.69799699999999</v>
      </c>
      <c r="F9" s="182">
        <v>59.019297999999999</v>
      </c>
      <c r="G9" s="181">
        <v>341.61657400000001</v>
      </c>
      <c r="H9" s="180">
        <v>49.06897</v>
      </c>
      <c r="I9" s="179">
        <v>449.70484199999999</v>
      </c>
      <c r="J9" s="178">
        <v>958.40283899999997</v>
      </c>
      <c r="K9" s="171"/>
    </row>
    <row r="10" spans="1:42" s="170" customFormat="1" ht="16.5" hidden="1" x14ac:dyDescent="0.3">
      <c r="A10" s="183">
        <v>42887</v>
      </c>
      <c r="B10" s="180">
        <v>66.184938000000002</v>
      </c>
      <c r="C10" s="180">
        <v>350.50716599999998</v>
      </c>
      <c r="D10" s="180">
        <v>38.529086999999997</v>
      </c>
      <c r="E10" s="179">
        <v>455.22119099999998</v>
      </c>
      <c r="F10" s="182">
        <v>57.685504999999999</v>
      </c>
      <c r="G10" s="181">
        <v>341.366918</v>
      </c>
      <c r="H10" s="180">
        <v>43.504510000000003</v>
      </c>
      <c r="I10" s="179">
        <v>442.55693300000001</v>
      </c>
      <c r="J10" s="178">
        <v>897.77812399999993</v>
      </c>
      <c r="K10" s="171"/>
    </row>
    <row r="11" spans="1:42" s="170" customFormat="1" ht="16.5" hidden="1" x14ac:dyDescent="0.3">
      <c r="A11" s="183">
        <v>42917</v>
      </c>
      <c r="B11" s="180">
        <v>73.515699999999995</v>
      </c>
      <c r="C11" s="180">
        <v>331.795051</v>
      </c>
      <c r="D11" s="180">
        <v>44.677889999999998</v>
      </c>
      <c r="E11" s="179">
        <v>449.98864099999997</v>
      </c>
      <c r="F11" s="182">
        <v>58.737918999999998</v>
      </c>
      <c r="G11" s="181">
        <v>338.86398300000002</v>
      </c>
      <c r="H11" s="180">
        <v>52.244236999999998</v>
      </c>
      <c r="I11" s="179">
        <v>449.84613899999999</v>
      </c>
      <c r="J11" s="178">
        <v>899.83477999999991</v>
      </c>
      <c r="K11" s="171"/>
    </row>
    <row r="12" spans="1:42" s="170" customFormat="1" ht="16.5" hidden="1" x14ac:dyDescent="0.3">
      <c r="A12" s="183">
        <v>42948</v>
      </c>
      <c r="B12" s="180">
        <v>77.874554000000003</v>
      </c>
      <c r="C12" s="180">
        <v>387.67308200000002</v>
      </c>
      <c r="D12" s="180">
        <v>45.719546000000001</v>
      </c>
      <c r="E12" s="179">
        <v>511.26718199999999</v>
      </c>
      <c r="F12" s="182">
        <v>66.945625000000007</v>
      </c>
      <c r="G12" s="181">
        <v>364.68825399999997</v>
      </c>
      <c r="H12" s="180">
        <v>65.449842000000004</v>
      </c>
      <c r="I12" s="179">
        <v>497.08372100000003</v>
      </c>
      <c r="J12" s="178">
        <v>1008.350903</v>
      </c>
      <c r="K12" s="171"/>
    </row>
    <row r="13" spans="1:42" s="170" customFormat="1" ht="16.5" hidden="1" x14ac:dyDescent="0.3">
      <c r="A13" s="183">
        <v>42979</v>
      </c>
      <c r="B13" s="180">
        <v>93.166347000000002</v>
      </c>
      <c r="C13" s="180">
        <v>308.56693799999999</v>
      </c>
      <c r="D13" s="180">
        <v>71.475893999999997</v>
      </c>
      <c r="E13" s="179">
        <v>473.20917900000001</v>
      </c>
      <c r="F13" s="182">
        <v>80.031735999999995</v>
      </c>
      <c r="G13" s="181">
        <v>306.74832800000001</v>
      </c>
      <c r="H13" s="180">
        <v>35.709784999999997</v>
      </c>
      <c r="I13" s="179">
        <v>422.48984899999999</v>
      </c>
      <c r="J13" s="178">
        <v>895.699028</v>
      </c>
      <c r="K13" s="171"/>
    </row>
    <row r="14" spans="1:42" s="170" customFormat="1" ht="16.5" hidden="1" x14ac:dyDescent="0.3">
      <c r="A14" s="183">
        <v>43009</v>
      </c>
      <c r="B14" s="180">
        <v>119.35103100000001</v>
      </c>
      <c r="C14" s="180">
        <v>270.10734000000002</v>
      </c>
      <c r="D14" s="180">
        <v>64.857467999999997</v>
      </c>
      <c r="E14" s="179">
        <v>454.31583899999998</v>
      </c>
      <c r="F14" s="182">
        <v>77.112645000000001</v>
      </c>
      <c r="G14" s="181">
        <v>291.41502800000001</v>
      </c>
      <c r="H14" s="180">
        <v>55.383313000000001</v>
      </c>
      <c r="I14" s="179">
        <v>423.91098599999998</v>
      </c>
      <c r="J14" s="178">
        <v>878.22682499999996</v>
      </c>
      <c r="K14" s="171"/>
    </row>
    <row r="15" spans="1:42" s="170" customFormat="1" ht="16.5" hidden="1" x14ac:dyDescent="0.3">
      <c r="A15" s="183">
        <v>43040</v>
      </c>
      <c r="B15" s="180">
        <v>125.355412</v>
      </c>
      <c r="C15" s="180">
        <v>306.77238399999999</v>
      </c>
      <c r="D15" s="180">
        <v>47.639401999999997</v>
      </c>
      <c r="E15" s="179">
        <v>479.76719800000001</v>
      </c>
      <c r="F15" s="182">
        <v>93.624217000000002</v>
      </c>
      <c r="G15" s="181">
        <v>321.632362</v>
      </c>
      <c r="H15" s="180">
        <v>51.963557999999999</v>
      </c>
      <c r="I15" s="179">
        <v>467.22013700000002</v>
      </c>
      <c r="J15" s="178">
        <v>946.98733500000003</v>
      </c>
      <c r="K15" s="171"/>
      <c r="AP15" s="170">
        <v>2347220</v>
      </c>
    </row>
    <row r="16" spans="1:42" s="170" customFormat="1" ht="16.5" hidden="1" x14ac:dyDescent="0.3">
      <c r="A16" s="183">
        <v>43070</v>
      </c>
      <c r="B16" s="180">
        <v>124.955371</v>
      </c>
      <c r="C16" s="180">
        <v>297.92553400000003</v>
      </c>
      <c r="D16" s="180">
        <v>44.847887999999998</v>
      </c>
      <c r="E16" s="179">
        <v>467.728793</v>
      </c>
      <c r="F16" s="182">
        <v>93.850972999999996</v>
      </c>
      <c r="G16" s="181">
        <v>334.70161400000001</v>
      </c>
      <c r="H16" s="180">
        <v>41.181113000000003</v>
      </c>
      <c r="I16" s="179">
        <v>469.7337</v>
      </c>
      <c r="J16" s="178">
        <v>937.46249299999999</v>
      </c>
      <c r="K16" s="171"/>
    </row>
    <row r="17" spans="1:11" s="170" customFormat="1" ht="16.5" hidden="1" x14ac:dyDescent="0.3">
      <c r="A17" s="189">
        <v>43101</v>
      </c>
      <c r="B17" s="186">
        <v>150.516728</v>
      </c>
      <c r="C17" s="186">
        <v>299.05342300000001</v>
      </c>
      <c r="D17" s="186">
        <v>79.451380999999998</v>
      </c>
      <c r="E17" s="185">
        <v>529.02153199999998</v>
      </c>
      <c r="F17" s="188">
        <v>78.575577999999993</v>
      </c>
      <c r="G17" s="187">
        <v>298.02306800000002</v>
      </c>
      <c r="H17" s="186">
        <v>80.451706000000001</v>
      </c>
      <c r="I17" s="185">
        <v>457.05035199999998</v>
      </c>
      <c r="J17" s="184">
        <v>986.07188399999995</v>
      </c>
      <c r="K17" s="171"/>
    </row>
    <row r="18" spans="1:11" s="170" customFormat="1" ht="16.5" hidden="1" x14ac:dyDescent="0.3">
      <c r="A18" s="183">
        <v>43132</v>
      </c>
      <c r="B18" s="180">
        <v>121.768311</v>
      </c>
      <c r="C18" s="180">
        <v>296.00142399999999</v>
      </c>
      <c r="D18" s="180">
        <v>79.163911999999996</v>
      </c>
      <c r="E18" s="179">
        <v>496.93364700000001</v>
      </c>
      <c r="F18" s="182">
        <v>88.185749999999999</v>
      </c>
      <c r="G18" s="181">
        <v>267.944368</v>
      </c>
      <c r="H18" s="180">
        <v>44.641824</v>
      </c>
      <c r="I18" s="179">
        <v>400.77194200000002</v>
      </c>
      <c r="J18" s="178">
        <v>897.70558900000003</v>
      </c>
      <c r="K18" s="171"/>
    </row>
    <row r="19" spans="1:11" s="170" customFormat="1" ht="16.5" hidden="1" x14ac:dyDescent="0.3">
      <c r="A19" s="183">
        <v>43160</v>
      </c>
      <c r="B19" s="180">
        <v>138.338875</v>
      </c>
      <c r="C19" s="180">
        <v>326.79253199999999</v>
      </c>
      <c r="D19" s="180">
        <v>77.53407</v>
      </c>
      <c r="E19" s="179">
        <v>542.66547700000001</v>
      </c>
      <c r="F19" s="182">
        <v>113.005797</v>
      </c>
      <c r="G19" s="181">
        <v>318.16151400000001</v>
      </c>
      <c r="H19" s="180">
        <v>28.454459</v>
      </c>
      <c r="I19" s="179">
        <v>459.62177000000003</v>
      </c>
      <c r="J19" s="178">
        <v>1002.287247</v>
      </c>
      <c r="K19" s="171"/>
    </row>
    <row r="20" spans="1:11" s="170" customFormat="1" ht="16.5" hidden="1" x14ac:dyDescent="0.3">
      <c r="A20" s="183">
        <v>43191</v>
      </c>
      <c r="B20" s="180">
        <v>153.169408</v>
      </c>
      <c r="C20" s="180">
        <v>301.75754999999998</v>
      </c>
      <c r="D20" s="180">
        <v>54.435308999999997</v>
      </c>
      <c r="E20" s="179">
        <v>509.36226700000003</v>
      </c>
      <c r="F20" s="182">
        <v>89.853261000000003</v>
      </c>
      <c r="G20" s="181">
        <v>265.09114199999999</v>
      </c>
      <c r="H20" s="180">
        <v>28.988994999999999</v>
      </c>
      <c r="I20" s="179">
        <v>383.93339799999995</v>
      </c>
      <c r="J20" s="178">
        <v>893.29566499999999</v>
      </c>
      <c r="K20" s="171"/>
    </row>
    <row r="21" spans="1:11" s="170" customFormat="1" ht="16.5" hidden="1" x14ac:dyDescent="0.3">
      <c r="A21" s="183">
        <v>43221</v>
      </c>
      <c r="B21" s="180">
        <v>165.61107899999999</v>
      </c>
      <c r="C21" s="180">
        <v>269.776388</v>
      </c>
      <c r="D21" s="180">
        <v>69.107675999999998</v>
      </c>
      <c r="E21" s="179">
        <v>504.49514299999998</v>
      </c>
      <c r="F21" s="182">
        <v>120.92001999999999</v>
      </c>
      <c r="G21" s="181">
        <v>335.93021900000002</v>
      </c>
      <c r="H21" s="180">
        <v>49.894365000000001</v>
      </c>
      <c r="I21" s="179">
        <v>506.74460399999998</v>
      </c>
      <c r="J21" s="178">
        <v>1011.239747</v>
      </c>
      <c r="K21" s="171"/>
    </row>
    <row r="22" spans="1:11" s="170" customFormat="1" ht="16.5" hidden="1" x14ac:dyDescent="0.3">
      <c r="A22" s="183">
        <v>43252</v>
      </c>
      <c r="B22" s="180">
        <v>129.69221300000001</v>
      </c>
      <c r="C22" s="180">
        <v>351.90395999999998</v>
      </c>
      <c r="D22" s="180">
        <v>66.163261000000006</v>
      </c>
      <c r="E22" s="179">
        <v>547.75943400000006</v>
      </c>
      <c r="F22" s="182">
        <v>147.20232899999999</v>
      </c>
      <c r="G22" s="181">
        <v>324.893507</v>
      </c>
      <c r="H22" s="180">
        <v>42.271627000000002</v>
      </c>
      <c r="I22" s="179">
        <v>514.36746299999993</v>
      </c>
      <c r="J22" s="178">
        <v>1062.1268970000001</v>
      </c>
      <c r="K22" s="171"/>
    </row>
    <row r="23" spans="1:11" s="170" customFormat="1" ht="16.5" hidden="1" x14ac:dyDescent="0.3">
      <c r="A23" s="183">
        <v>43282</v>
      </c>
      <c r="B23" s="180">
        <v>123.905057</v>
      </c>
      <c r="C23" s="180">
        <v>301.27023400000002</v>
      </c>
      <c r="D23" s="180">
        <v>41.162365999999999</v>
      </c>
      <c r="E23" s="179">
        <v>466.33765700000004</v>
      </c>
      <c r="F23" s="182">
        <v>113.239209</v>
      </c>
      <c r="G23" s="181">
        <v>348.41859599999998</v>
      </c>
      <c r="H23" s="180">
        <v>37.818241999999998</v>
      </c>
      <c r="I23" s="179">
        <v>499.47604699999999</v>
      </c>
      <c r="J23" s="178">
        <v>965.81370400000003</v>
      </c>
      <c r="K23" s="171"/>
    </row>
    <row r="24" spans="1:11" s="170" customFormat="1" ht="16.5" hidden="1" x14ac:dyDescent="0.3">
      <c r="A24" s="183">
        <v>43313</v>
      </c>
      <c r="B24" s="180">
        <v>153.415706</v>
      </c>
      <c r="C24" s="180">
        <v>270.624144</v>
      </c>
      <c r="D24" s="180">
        <v>102.182585</v>
      </c>
      <c r="E24" s="179">
        <v>526.22243500000002</v>
      </c>
      <c r="F24" s="182">
        <v>119.78712400000001</v>
      </c>
      <c r="G24" s="181">
        <v>368.63866200000001</v>
      </c>
      <c r="H24" s="180">
        <v>44.826334000000003</v>
      </c>
      <c r="I24" s="179">
        <v>533.25211999999999</v>
      </c>
      <c r="J24" s="178">
        <v>1059.474555</v>
      </c>
      <c r="K24" s="171"/>
    </row>
    <row r="25" spans="1:11" s="170" customFormat="1" ht="16.5" hidden="1" x14ac:dyDescent="0.3">
      <c r="A25" s="183">
        <v>43344</v>
      </c>
      <c r="B25" s="180">
        <v>135.35585</v>
      </c>
      <c r="C25" s="180">
        <v>256.28657099999998</v>
      </c>
      <c r="D25" s="180">
        <v>92.386240999999998</v>
      </c>
      <c r="E25" s="179">
        <v>484.028662</v>
      </c>
      <c r="F25" s="182">
        <v>119.62672999999999</v>
      </c>
      <c r="G25" s="181">
        <v>302.01903099999998</v>
      </c>
      <c r="H25" s="180">
        <v>47.355319000000001</v>
      </c>
      <c r="I25" s="179">
        <v>469.00108</v>
      </c>
      <c r="J25" s="178">
        <v>953.02974200000006</v>
      </c>
      <c r="K25" s="171"/>
    </row>
    <row r="26" spans="1:11" s="170" customFormat="1" ht="16.5" hidden="1" x14ac:dyDescent="0.3">
      <c r="A26" s="183">
        <v>43374</v>
      </c>
      <c r="B26" s="180">
        <v>190.79169899999999</v>
      </c>
      <c r="C26" s="180">
        <v>266.41715099999999</v>
      </c>
      <c r="D26" s="180">
        <v>56.878337999999999</v>
      </c>
      <c r="E26" s="179">
        <v>514.08718799999997</v>
      </c>
      <c r="F26" s="182">
        <v>122.379482</v>
      </c>
      <c r="G26" s="181">
        <v>322.594696</v>
      </c>
      <c r="H26" s="180">
        <v>55.911962000000003</v>
      </c>
      <c r="I26" s="179">
        <v>500.88614000000001</v>
      </c>
      <c r="J26" s="178">
        <v>1014.973328</v>
      </c>
      <c r="K26" s="171"/>
    </row>
    <row r="27" spans="1:11" s="170" customFormat="1" ht="16.5" hidden="1" x14ac:dyDescent="0.3">
      <c r="A27" s="183">
        <v>43405</v>
      </c>
      <c r="B27" s="180">
        <v>172.770038</v>
      </c>
      <c r="C27" s="180">
        <v>258.63543099999998</v>
      </c>
      <c r="D27" s="180">
        <v>48.106962000000003</v>
      </c>
      <c r="E27" s="179">
        <v>479.51243099999999</v>
      </c>
      <c r="F27" s="182">
        <v>129.00512000000001</v>
      </c>
      <c r="G27" s="181">
        <v>309.31397800000002</v>
      </c>
      <c r="H27" s="180">
        <v>62.108376999999997</v>
      </c>
      <c r="I27" s="179">
        <v>500.42747500000002</v>
      </c>
      <c r="J27" s="178">
        <v>979.93990599999995</v>
      </c>
      <c r="K27" s="171"/>
    </row>
    <row r="28" spans="1:11" s="170" customFormat="1" ht="16.5" hidden="1" x14ac:dyDescent="0.3">
      <c r="A28" s="183">
        <v>43435</v>
      </c>
      <c r="B28" s="180">
        <v>170.73621900000001</v>
      </c>
      <c r="C28" s="180">
        <v>317.59338100000002</v>
      </c>
      <c r="D28" s="180">
        <v>76.943224000000001</v>
      </c>
      <c r="E28" s="179">
        <v>565.27282400000001</v>
      </c>
      <c r="F28" s="182">
        <v>168.26378700000001</v>
      </c>
      <c r="G28" s="181">
        <v>322.24649599999998</v>
      </c>
      <c r="H28" s="180">
        <v>64.751502000000002</v>
      </c>
      <c r="I28" s="179">
        <v>555.26178500000003</v>
      </c>
      <c r="J28" s="178">
        <v>1120.534609</v>
      </c>
      <c r="K28" s="171"/>
    </row>
    <row r="29" spans="1:11" s="170" customFormat="1" ht="16.5" hidden="1" x14ac:dyDescent="0.3">
      <c r="A29" s="183">
        <v>43466</v>
      </c>
      <c r="B29" s="180">
        <v>184.42350500000001</v>
      </c>
      <c r="C29" s="180">
        <v>255.672166</v>
      </c>
      <c r="D29" s="180">
        <v>116.893514</v>
      </c>
      <c r="E29" s="179">
        <v>556.98918500000002</v>
      </c>
      <c r="F29" s="182">
        <v>107.99948000000001</v>
      </c>
      <c r="G29" s="181">
        <v>322.25951099999997</v>
      </c>
      <c r="H29" s="180">
        <v>101.558629</v>
      </c>
      <c r="I29" s="179">
        <v>531.81762000000003</v>
      </c>
      <c r="J29" s="178">
        <v>1088.8068049999999</v>
      </c>
      <c r="K29" s="171"/>
    </row>
    <row r="30" spans="1:11" s="170" customFormat="1" ht="16.5" hidden="1" x14ac:dyDescent="0.3">
      <c r="A30" s="183">
        <v>43497</v>
      </c>
      <c r="B30" s="180">
        <v>136.49783300000001</v>
      </c>
      <c r="C30" s="180">
        <v>263.46772700000002</v>
      </c>
      <c r="D30" s="180">
        <v>61.831783000000001</v>
      </c>
      <c r="E30" s="179">
        <v>461.79734300000001</v>
      </c>
      <c r="F30" s="182">
        <v>110.995904</v>
      </c>
      <c r="G30" s="181">
        <v>300.138081</v>
      </c>
      <c r="H30" s="180">
        <v>51.533163000000002</v>
      </c>
      <c r="I30" s="179">
        <v>462.667148</v>
      </c>
      <c r="J30" s="178">
        <v>924.46449099999995</v>
      </c>
      <c r="K30" s="171"/>
    </row>
    <row r="31" spans="1:11" s="170" customFormat="1" ht="16.5" hidden="1" x14ac:dyDescent="0.3">
      <c r="A31" s="183">
        <v>43525</v>
      </c>
      <c r="B31" s="180">
        <v>179.14334500000001</v>
      </c>
      <c r="C31" s="180">
        <v>268.88963200000001</v>
      </c>
      <c r="D31" s="180">
        <v>93.050072</v>
      </c>
      <c r="E31" s="179">
        <v>541.08304900000007</v>
      </c>
      <c r="F31" s="182">
        <v>129.155824</v>
      </c>
      <c r="G31" s="181">
        <v>278.52292</v>
      </c>
      <c r="H31" s="180">
        <v>38.580140999999998</v>
      </c>
      <c r="I31" s="179">
        <v>446.25888499999996</v>
      </c>
      <c r="J31" s="178">
        <v>987.34193400000004</v>
      </c>
      <c r="K31" s="171"/>
    </row>
    <row r="32" spans="1:11" s="170" customFormat="1" ht="16.5" hidden="1" x14ac:dyDescent="0.3">
      <c r="A32" s="183">
        <v>43556</v>
      </c>
      <c r="B32" s="180">
        <v>174.499481</v>
      </c>
      <c r="C32" s="180">
        <v>295.52389299999999</v>
      </c>
      <c r="D32" s="180">
        <v>76.658833000000001</v>
      </c>
      <c r="E32" s="179">
        <v>546.68220699999995</v>
      </c>
      <c r="F32" s="182">
        <v>129.606784</v>
      </c>
      <c r="G32" s="181">
        <v>358.01396299999999</v>
      </c>
      <c r="H32" s="180">
        <v>48.058739000000003</v>
      </c>
      <c r="I32" s="179">
        <v>535.679486</v>
      </c>
      <c r="J32" s="178">
        <v>1082.3616930000001</v>
      </c>
      <c r="K32" s="171"/>
    </row>
    <row r="33" spans="1:19" s="170" customFormat="1" ht="16.5" hidden="1" x14ac:dyDescent="0.3">
      <c r="A33" s="183">
        <v>43586</v>
      </c>
      <c r="B33" s="180">
        <v>176.10825299999999</v>
      </c>
      <c r="C33" s="180">
        <v>324.33425399999999</v>
      </c>
      <c r="D33" s="180">
        <v>182.33185800000001</v>
      </c>
      <c r="E33" s="179">
        <v>682.77436499999999</v>
      </c>
      <c r="F33" s="182">
        <v>133.925397</v>
      </c>
      <c r="G33" s="181">
        <v>320.39597099999997</v>
      </c>
      <c r="H33" s="180">
        <v>68.510712999999996</v>
      </c>
      <c r="I33" s="179">
        <v>522.83208100000002</v>
      </c>
      <c r="J33" s="178">
        <v>1205.606446</v>
      </c>
      <c r="K33" s="171"/>
    </row>
    <row r="34" spans="1:19" s="170" customFormat="1" ht="16.5" hidden="1" x14ac:dyDescent="0.3">
      <c r="A34" s="183">
        <v>43617</v>
      </c>
      <c r="B34" s="180">
        <v>136.06574000000001</v>
      </c>
      <c r="C34" s="180">
        <v>278.50144999999998</v>
      </c>
      <c r="D34" s="180">
        <v>181.89193399999999</v>
      </c>
      <c r="E34" s="179">
        <v>596.45912399999997</v>
      </c>
      <c r="F34" s="182">
        <v>122.590762</v>
      </c>
      <c r="G34" s="181">
        <v>304.799441</v>
      </c>
      <c r="H34" s="180">
        <v>65.035065000000003</v>
      </c>
      <c r="I34" s="179">
        <v>492.42526800000002</v>
      </c>
      <c r="J34" s="178">
        <v>1088.8843919999999</v>
      </c>
      <c r="K34" s="171"/>
    </row>
    <row r="35" spans="1:19" s="170" customFormat="1" ht="16.5" hidden="1" x14ac:dyDescent="0.3">
      <c r="A35" s="183">
        <v>43647</v>
      </c>
      <c r="B35" s="180">
        <v>199.646086</v>
      </c>
      <c r="C35" s="180">
        <v>285.77131800000001</v>
      </c>
      <c r="D35" s="180">
        <v>57.617989000000001</v>
      </c>
      <c r="E35" s="179">
        <v>543.035393</v>
      </c>
      <c r="F35" s="182">
        <v>122.080456</v>
      </c>
      <c r="G35" s="181">
        <v>341.28227199999998</v>
      </c>
      <c r="H35" s="180">
        <v>34.344962000000002</v>
      </c>
      <c r="I35" s="179">
        <v>497.70769000000001</v>
      </c>
      <c r="J35" s="178">
        <v>1040.7430830000001</v>
      </c>
      <c r="K35" s="171"/>
    </row>
    <row r="36" spans="1:19" s="170" customFormat="1" ht="16.5" hidden="1" x14ac:dyDescent="0.3">
      <c r="A36" s="183">
        <v>43678</v>
      </c>
      <c r="B36" s="180">
        <v>198.48151999999999</v>
      </c>
      <c r="C36" s="180">
        <v>251.330512</v>
      </c>
      <c r="D36" s="180">
        <v>78.066406000000001</v>
      </c>
      <c r="E36" s="179">
        <v>527.87843799999996</v>
      </c>
      <c r="F36" s="182">
        <v>170.86985100000001</v>
      </c>
      <c r="G36" s="181">
        <v>407.743763</v>
      </c>
      <c r="H36" s="180">
        <v>45.827260000000003</v>
      </c>
      <c r="I36" s="179">
        <v>624.44087400000001</v>
      </c>
      <c r="J36" s="178">
        <v>1152.3193120000001</v>
      </c>
      <c r="K36" s="171"/>
    </row>
    <row r="37" spans="1:19" s="170" customFormat="1" ht="16.5" hidden="1" x14ac:dyDescent="0.3">
      <c r="A37" s="183">
        <v>43709</v>
      </c>
      <c r="B37" s="180">
        <v>122.801264</v>
      </c>
      <c r="C37" s="180">
        <v>251.90190799999999</v>
      </c>
      <c r="D37" s="180">
        <v>104.51127</v>
      </c>
      <c r="E37" s="179">
        <v>479.21444200000002</v>
      </c>
      <c r="F37" s="182">
        <v>137.52083200000001</v>
      </c>
      <c r="G37" s="181">
        <v>302.26297699999998</v>
      </c>
      <c r="H37" s="180">
        <v>55.772258000000001</v>
      </c>
      <c r="I37" s="179">
        <v>495.55606699999998</v>
      </c>
      <c r="J37" s="178">
        <v>974.77050899999995</v>
      </c>
      <c r="K37" s="171"/>
    </row>
    <row r="38" spans="1:19" s="170" customFormat="1" ht="16.5" hidden="1" x14ac:dyDescent="0.3">
      <c r="A38" s="183">
        <v>43739</v>
      </c>
      <c r="B38" s="180">
        <v>150.94170600000001</v>
      </c>
      <c r="C38" s="180">
        <v>295.49974900000001</v>
      </c>
      <c r="D38" s="180">
        <v>92.482240000000004</v>
      </c>
      <c r="E38" s="179">
        <v>538.92369499999995</v>
      </c>
      <c r="F38" s="182">
        <v>132.116353</v>
      </c>
      <c r="G38" s="181">
        <v>334.81636600000002</v>
      </c>
      <c r="H38" s="180">
        <v>66.177597000000006</v>
      </c>
      <c r="I38" s="179">
        <v>533.11031600000001</v>
      </c>
      <c r="J38" s="178">
        <v>1072.034011</v>
      </c>
      <c r="K38" s="171"/>
    </row>
    <row r="39" spans="1:19" s="170" customFormat="1" ht="16.5" hidden="1" x14ac:dyDescent="0.3">
      <c r="A39" s="183">
        <v>43770</v>
      </c>
      <c r="B39" s="180">
        <v>145.353589</v>
      </c>
      <c r="C39" s="180">
        <v>251.47654800000001</v>
      </c>
      <c r="D39" s="180">
        <v>56.080443000000002</v>
      </c>
      <c r="E39" s="179">
        <v>452.91057999999998</v>
      </c>
      <c r="F39" s="182">
        <v>124.52036699999999</v>
      </c>
      <c r="G39" s="181">
        <v>297.22608100000002</v>
      </c>
      <c r="H39" s="180">
        <v>39.686512999999998</v>
      </c>
      <c r="I39" s="179">
        <v>461.43296099999998</v>
      </c>
      <c r="J39" s="178">
        <v>914.34354099999996</v>
      </c>
      <c r="K39" s="171"/>
    </row>
    <row r="40" spans="1:19" s="170" customFormat="1" ht="16.5" hidden="1" x14ac:dyDescent="0.3">
      <c r="A40" s="183">
        <v>43800</v>
      </c>
      <c r="B40" s="180">
        <v>194.931096</v>
      </c>
      <c r="C40" s="180">
        <v>307.80446599999999</v>
      </c>
      <c r="D40" s="180">
        <v>53.30236</v>
      </c>
      <c r="E40" s="179">
        <v>556.03792199999998</v>
      </c>
      <c r="F40" s="182">
        <v>157.977574</v>
      </c>
      <c r="G40" s="181">
        <v>304.91613000000001</v>
      </c>
      <c r="H40" s="180">
        <v>92.405839999999998</v>
      </c>
      <c r="I40" s="179">
        <v>555.29954399999997</v>
      </c>
      <c r="J40" s="178">
        <v>1111.3374659999999</v>
      </c>
      <c r="K40" s="171"/>
    </row>
    <row r="41" spans="1:19" s="170" customFormat="1" ht="16.5" hidden="1" x14ac:dyDescent="0.3">
      <c r="A41" s="183">
        <v>43831</v>
      </c>
      <c r="B41" s="180">
        <v>178.89092600000001</v>
      </c>
      <c r="C41" s="180">
        <v>292.43761699999999</v>
      </c>
      <c r="D41" s="180">
        <v>47.878816</v>
      </c>
      <c r="E41" s="179">
        <v>519.207359</v>
      </c>
      <c r="F41" s="182">
        <v>124.618915</v>
      </c>
      <c r="G41" s="181">
        <v>323.76042999999999</v>
      </c>
      <c r="H41" s="180">
        <v>64.713352</v>
      </c>
      <c r="I41" s="179">
        <v>513.09269700000004</v>
      </c>
      <c r="J41" s="178">
        <v>1032.300056</v>
      </c>
      <c r="K41" s="171"/>
    </row>
    <row r="42" spans="1:19" s="170" customFormat="1" ht="16.5" hidden="1" x14ac:dyDescent="0.3">
      <c r="A42" s="183">
        <v>43862</v>
      </c>
      <c r="B42" s="180">
        <v>145.50209699999999</v>
      </c>
      <c r="C42" s="180">
        <v>283.31029899999999</v>
      </c>
      <c r="D42" s="180">
        <v>70.399871000000005</v>
      </c>
      <c r="E42" s="179">
        <v>499.212267</v>
      </c>
      <c r="F42" s="182">
        <v>114.788054</v>
      </c>
      <c r="G42" s="181">
        <v>341.90761700000002</v>
      </c>
      <c r="H42" s="180">
        <v>56.854312</v>
      </c>
      <c r="I42" s="179">
        <v>513.549983</v>
      </c>
      <c r="J42" s="178">
        <v>1012.76225</v>
      </c>
      <c r="K42" s="171"/>
    </row>
    <row r="43" spans="1:19" s="170" customFormat="1" ht="16.5" hidden="1" x14ac:dyDescent="0.3">
      <c r="A43" s="183">
        <v>43891</v>
      </c>
      <c r="B43" s="180">
        <v>130.36639600000001</v>
      </c>
      <c r="C43" s="180">
        <v>229.70826600000001</v>
      </c>
      <c r="D43" s="180">
        <v>83.427780999999996</v>
      </c>
      <c r="E43" s="179">
        <v>443.50244300000003</v>
      </c>
      <c r="F43" s="182">
        <v>125.07418800000001</v>
      </c>
      <c r="G43" s="181">
        <v>260.85134900000003</v>
      </c>
      <c r="H43" s="180">
        <v>54.351953000000002</v>
      </c>
      <c r="I43" s="179">
        <v>440.27749</v>
      </c>
      <c r="J43" s="178">
        <v>883.77993300000003</v>
      </c>
      <c r="K43" s="171"/>
    </row>
    <row r="44" spans="1:19" s="170" customFormat="1" ht="16.5" hidden="1" x14ac:dyDescent="0.3">
      <c r="A44" s="183">
        <v>43922</v>
      </c>
      <c r="B44" s="180">
        <v>81.205245000000005</v>
      </c>
      <c r="C44" s="180">
        <v>120.909634</v>
      </c>
      <c r="D44" s="180">
        <v>0</v>
      </c>
      <c r="E44" s="179">
        <v>202.114879</v>
      </c>
      <c r="F44" s="182">
        <v>64.56053</v>
      </c>
      <c r="G44" s="181">
        <v>169.121917</v>
      </c>
      <c r="H44" s="180">
        <v>29.914431</v>
      </c>
      <c r="I44" s="179">
        <v>263.596878</v>
      </c>
      <c r="J44" s="178">
        <v>465.71175699999998</v>
      </c>
      <c r="K44" s="171"/>
      <c r="L44" s="171"/>
      <c r="M44" s="171"/>
      <c r="N44" s="171"/>
      <c r="O44" s="171"/>
      <c r="P44" s="171"/>
      <c r="Q44" s="171"/>
      <c r="R44" s="171"/>
      <c r="S44" s="171"/>
    </row>
    <row r="45" spans="1:19" s="170" customFormat="1" ht="16.5" hidden="1" x14ac:dyDescent="0.3">
      <c r="A45" s="183">
        <v>43952</v>
      </c>
      <c r="B45" s="180">
        <v>71.360848000000004</v>
      </c>
      <c r="C45" s="180">
        <v>92.584436999999994</v>
      </c>
      <c r="D45" s="180">
        <v>4.1504099999999999</v>
      </c>
      <c r="E45" s="179">
        <v>168.09569500000001</v>
      </c>
      <c r="F45" s="182">
        <v>84.775093999999996</v>
      </c>
      <c r="G45" s="181">
        <v>170.504794</v>
      </c>
      <c r="H45" s="180">
        <v>20.937065</v>
      </c>
      <c r="I45" s="179">
        <v>276.21695299999999</v>
      </c>
      <c r="J45" s="178">
        <v>444.31264800000002</v>
      </c>
      <c r="K45" s="171"/>
      <c r="L45" s="171"/>
      <c r="M45" s="171"/>
      <c r="N45" s="171"/>
      <c r="O45" s="171"/>
      <c r="P45" s="171"/>
      <c r="Q45" s="171"/>
      <c r="R45" s="171"/>
      <c r="S45" s="171"/>
    </row>
    <row r="46" spans="1:19" s="170" customFormat="1" ht="16.5" hidden="1" x14ac:dyDescent="0.3">
      <c r="A46" s="183">
        <v>43983</v>
      </c>
      <c r="B46" s="180">
        <v>106.941774</v>
      </c>
      <c r="C46" s="180">
        <v>204.59735900000001</v>
      </c>
      <c r="D46" s="180">
        <v>11.440424</v>
      </c>
      <c r="E46" s="179">
        <v>322.979557</v>
      </c>
      <c r="F46" s="182">
        <v>125.39353300000001</v>
      </c>
      <c r="G46" s="181">
        <v>224.717288</v>
      </c>
      <c r="H46" s="180">
        <v>18.865672</v>
      </c>
      <c r="I46" s="179">
        <v>368.976493</v>
      </c>
      <c r="J46" s="178">
        <v>691.95605</v>
      </c>
      <c r="K46" s="171"/>
      <c r="L46" s="171"/>
      <c r="M46" s="171"/>
      <c r="N46" s="171"/>
      <c r="O46" s="171"/>
      <c r="P46" s="171"/>
      <c r="Q46" s="171"/>
      <c r="R46" s="171"/>
      <c r="S46" s="171"/>
    </row>
    <row r="47" spans="1:19" s="170" customFormat="1" ht="16.5" hidden="1" x14ac:dyDescent="0.3">
      <c r="A47" s="183">
        <v>44013</v>
      </c>
      <c r="B47" s="180">
        <v>96.989926999999994</v>
      </c>
      <c r="C47" s="180">
        <v>152.366343</v>
      </c>
      <c r="D47" s="180">
        <v>30.152978000000001</v>
      </c>
      <c r="E47" s="179">
        <v>279.50924800000001</v>
      </c>
      <c r="F47" s="182">
        <v>107.84173699999999</v>
      </c>
      <c r="G47" s="181">
        <v>246.46110899999999</v>
      </c>
      <c r="H47" s="180">
        <v>21.552505</v>
      </c>
      <c r="I47" s="179">
        <v>375.85535099999998</v>
      </c>
      <c r="J47" s="178">
        <v>655.364599</v>
      </c>
      <c r="K47" s="171"/>
      <c r="L47" s="171"/>
      <c r="M47" s="171"/>
      <c r="N47" s="171"/>
      <c r="O47" s="171"/>
      <c r="P47" s="171"/>
      <c r="Q47" s="171"/>
      <c r="R47" s="171"/>
      <c r="S47" s="171"/>
    </row>
    <row r="48" spans="1:19" s="170" customFormat="1" ht="16.5" hidden="1" x14ac:dyDescent="0.3">
      <c r="A48" s="183">
        <v>44044</v>
      </c>
      <c r="B48" s="180">
        <v>86.697439000000003</v>
      </c>
      <c r="C48" s="180">
        <v>173.190541</v>
      </c>
      <c r="D48" s="180">
        <v>24.547478000000002</v>
      </c>
      <c r="E48" s="179">
        <v>284.43545799999998</v>
      </c>
      <c r="F48" s="182">
        <v>127.528886</v>
      </c>
      <c r="G48" s="181">
        <v>361.18041199999999</v>
      </c>
      <c r="H48" s="180">
        <v>74.272642000000005</v>
      </c>
      <c r="I48" s="179">
        <v>562.98194000000001</v>
      </c>
      <c r="J48" s="178">
        <v>847.41739800000005</v>
      </c>
      <c r="K48" s="171"/>
      <c r="L48" s="171"/>
      <c r="M48" s="171"/>
      <c r="N48" s="171"/>
      <c r="O48" s="171"/>
      <c r="P48" s="171"/>
      <c r="Q48" s="171"/>
      <c r="R48" s="171"/>
      <c r="S48" s="171"/>
    </row>
    <row r="49" spans="1:19" s="170" customFormat="1" ht="16.5" hidden="1" x14ac:dyDescent="0.3">
      <c r="A49" s="183">
        <v>44075</v>
      </c>
      <c r="B49" s="180">
        <v>94.453462999999999</v>
      </c>
      <c r="C49" s="180">
        <v>179.818051</v>
      </c>
      <c r="D49" s="180">
        <v>12.452702</v>
      </c>
      <c r="E49" s="179">
        <v>286.72421600000001</v>
      </c>
      <c r="F49" s="182">
        <v>113.69351899999999</v>
      </c>
      <c r="G49" s="181">
        <v>267.72168199999999</v>
      </c>
      <c r="H49" s="180">
        <v>47.573014000000001</v>
      </c>
      <c r="I49" s="179">
        <v>428.98821500000003</v>
      </c>
      <c r="J49" s="178">
        <v>715.71243100000004</v>
      </c>
      <c r="K49" s="171"/>
      <c r="L49" s="171"/>
      <c r="M49" s="171"/>
      <c r="N49" s="171"/>
      <c r="O49" s="171"/>
      <c r="P49" s="171"/>
      <c r="Q49" s="171"/>
      <c r="R49" s="171"/>
      <c r="S49" s="171"/>
    </row>
    <row r="50" spans="1:19" s="170" customFormat="1" ht="16.5" hidden="1" x14ac:dyDescent="0.3">
      <c r="A50" s="183">
        <v>44105</v>
      </c>
      <c r="B50" s="180">
        <v>95.736504999999994</v>
      </c>
      <c r="C50" s="180">
        <v>178.11486400000001</v>
      </c>
      <c r="D50" s="180">
        <v>16.067779000000002</v>
      </c>
      <c r="E50" s="179">
        <v>289.91914800000001</v>
      </c>
      <c r="F50" s="182">
        <v>135.20443499999999</v>
      </c>
      <c r="G50" s="181">
        <v>233.31923800000001</v>
      </c>
      <c r="H50" s="180">
        <v>34.344360000000002</v>
      </c>
      <c r="I50" s="179">
        <v>402.93494399999997</v>
      </c>
      <c r="J50" s="178">
        <v>692.78600500000005</v>
      </c>
      <c r="K50" s="171"/>
      <c r="L50" s="171"/>
      <c r="M50" s="171"/>
      <c r="N50" s="171"/>
      <c r="O50" s="171"/>
      <c r="P50" s="171"/>
      <c r="Q50" s="171"/>
      <c r="R50" s="171"/>
      <c r="S50" s="171"/>
    </row>
    <row r="51" spans="1:19" s="170" customFormat="1" ht="16.5" hidden="1" x14ac:dyDescent="0.3">
      <c r="A51" s="183">
        <v>44136</v>
      </c>
      <c r="B51" s="180">
        <v>102.068724</v>
      </c>
      <c r="C51" s="180">
        <v>179.406824</v>
      </c>
      <c r="D51" s="180">
        <v>19.100179000000001</v>
      </c>
      <c r="E51" s="179">
        <v>300.57572699999997</v>
      </c>
      <c r="F51" s="182">
        <v>100.949342</v>
      </c>
      <c r="G51" s="181">
        <v>248.79172600000001</v>
      </c>
      <c r="H51" s="180">
        <v>42.245514</v>
      </c>
      <c r="I51" s="179">
        <v>391.986582</v>
      </c>
      <c r="J51" s="178">
        <v>692.56230900000003</v>
      </c>
      <c r="K51" s="171"/>
      <c r="L51" s="171"/>
      <c r="M51" s="171"/>
      <c r="N51" s="171"/>
      <c r="O51" s="171"/>
      <c r="P51" s="171"/>
      <c r="Q51" s="171"/>
      <c r="R51" s="171"/>
      <c r="S51" s="171"/>
    </row>
    <row r="52" spans="1:19" s="170" customFormat="1" ht="16.5" hidden="1" x14ac:dyDescent="0.3">
      <c r="A52" s="183">
        <v>44166</v>
      </c>
      <c r="B52" s="180">
        <v>109.127448</v>
      </c>
      <c r="C52" s="180">
        <v>255.35006100000001</v>
      </c>
      <c r="D52" s="180">
        <v>24.171104</v>
      </c>
      <c r="E52" s="179">
        <v>388.64861300000001</v>
      </c>
      <c r="F52" s="182">
        <v>128.583133</v>
      </c>
      <c r="G52" s="181">
        <v>263.51133099999998</v>
      </c>
      <c r="H52" s="180">
        <v>65.322834999999998</v>
      </c>
      <c r="I52" s="179">
        <v>457.41729900000001</v>
      </c>
      <c r="J52" s="178">
        <v>846.06591200000003</v>
      </c>
      <c r="K52" s="171"/>
      <c r="L52" s="171"/>
      <c r="M52" s="171"/>
      <c r="N52" s="171"/>
      <c r="O52" s="171"/>
      <c r="P52" s="171"/>
      <c r="Q52" s="171"/>
      <c r="R52" s="171"/>
      <c r="S52" s="171"/>
    </row>
    <row r="53" spans="1:19" s="170" customFormat="1" ht="16.5" hidden="1" x14ac:dyDescent="0.3">
      <c r="A53" s="183">
        <v>44197</v>
      </c>
      <c r="B53" s="180">
        <v>84.873045000000005</v>
      </c>
      <c r="C53" s="180">
        <v>182.37834599999999</v>
      </c>
      <c r="D53" s="180">
        <v>14.660762999999999</v>
      </c>
      <c r="E53" s="179">
        <v>281.91215399999999</v>
      </c>
      <c r="F53" s="182">
        <v>92.544019000000006</v>
      </c>
      <c r="G53" s="181">
        <v>255.684507</v>
      </c>
      <c r="H53" s="180">
        <v>25.232264000000001</v>
      </c>
      <c r="I53" s="179">
        <v>373.46078999999997</v>
      </c>
      <c r="J53" s="178">
        <v>655.37294399999996</v>
      </c>
      <c r="K53" s="171"/>
      <c r="L53" s="171"/>
      <c r="M53" s="171"/>
      <c r="N53" s="171"/>
      <c r="O53" s="171"/>
      <c r="P53" s="171"/>
      <c r="Q53" s="171"/>
      <c r="R53" s="171"/>
      <c r="S53" s="171"/>
    </row>
    <row r="54" spans="1:19" s="170" customFormat="1" ht="16.5" hidden="1" x14ac:dyDescent="0.3">
      <c r="A54" s="183">
        <v>44228</v>
      </c>
      <c r="B54" s="180">
        <v>78.279640999999998</v>
      </c>
      <c r="C54" s="180">
        <v>157.02091200000001</v>
      </c>
      <c r="D54" s="180">
        <v>33.897606000000003</v>
      </c>
      <c r="E54" s="179">
        <v>269.19815899999998</v>
      </c>
      <c r="F54" s="182">
        <v>99.171368000000001</v>
      </c>
      <c r="G54" s="181">
        <v>252.865959</v>
      </c>
      <c r="H54" s="180">
        <v>28.804141000000001</v>
      </c>
      <c r="I54" s="179">
        <v>380.84146800000002</v>
      </c>
      <c r="J54" s="178">
        <v>650</v>
      </c>
      <c r="K54" s="171"/>
      <c r="L54" s="171"/>
      <c r="M54" s="171"/>
      <c r="N54" s="171"/>
      <c r="O54" s="171"/>
      <c r="P54" s="171"/>
      <c r="Q54" s="171"/>
      <c r="R54" s="171"/>
      <c r="S54" s="171"/>
    </row>
    <row r="55" spans="1:19" s="170" customFormat="1" ht="16.5" hidden="1" x14ac:dyDescent="0.3">
      <c r="A55" s="183">
        <v>44256</v>
      </c>
      <c r="B55" s="180">
        <v>95.491939000000002</v>
      </c>
      <c r="C55" s="180">
        <v>140.62915799999999</v>
      </c>
      <c r="D55" s="180">
        <v>15.336401</v>
      </c>
      <c r="E55" s="179">
        <v>251.45749799999999</v>
      </c>
      <c r="F55" s="182">
        <v>117.878316</v>
      </c>
      <c r="G55" s="181">
        <v>214.352147</v>
      </c>
      <c r="H55" s="180">
        <v>33.977238999999997</v>
      </c>
      <c r="I55" s="179">
        <v>366.20770199999998</v>
      </c>
      <c r="J55" s="178">
        <v>617.66520000000003</v>
      </c>
      <c r="K55" s="171"/>
      <c r="L55" s="171"/>
      <c r="M55" s="171"/>
      <c r="N55" s="171"/>
      <c r="O55" s="171"/>
      <c r="P55" s="171"/>
      <c r="Q55" s="171"/>
      <c r="R55" s="171"/>
      <c r="S55" s="171"/>
    </row>
    <row r="56" spans="1:19" s="170" customFormat="1" ht="16.5" hidden="1" x14ac:dyDescent="0.3">
      <c r="A56" s="183">
        <v>44287</v>
      </c>
      <c r="B56" s="180">
        <v>91.106812000000005</v>
      </c>
      <c r="C56" s="180">
        <v>130.17127400000001</v>
      </c>
      <c r="D56" s="180">
        <v>19.983184999999999</v>
      </c>
      <c r="E56" s="179">
        <v>241.26127099999999</v>
      </c>
      <c r="F56" s="182">
        <v>117.37154</v>
      </c>
      <c r="G56" s="181">
        <v>205.71199999999999</v>
      </c>
      <c r="H56" s="180">
        <v>26.203202000000001</v>
      </c>
      <c r="I56" s="179">
        <v>349.286742</v>
      </c>
      <c r="J56" s="178">
        <v>590.6</v>
      </c>
      <c r="K56" s="171"/>
      <c r="L56" s="171"/>
      <c r="M56" s="171"/>
      <c r="N56" s="171"/>
      <c r="O56" s="171"/>
      <c r="P56" s="171"/>
      <c r="Q56" s="171"/>
      <c r="R56" s="171"/>
      <c r="S56" s="171"/>
    </row>
    <row r="57" spans="1:19" s="170" customFormat="1" ht="16.5" hidden="1" x14ac:dyDescent="0.3">
      <c r="A57" s="183">
        <v>44317</v>
      </c>
      <c r="B57" s="180">
        <v>83.3</v>
      </c>
      <c r="C57" s="180">
        <v>155</v>
      </c>
      <c r="D57" s="180">
        <v>6.9</v>
      </c>
      <c r="E57" s="179">
        <v>245.2</v>
      </c>
      <c r="F57" s="182">
        <v>120</v>
      </c>
      <c r="G57" s="181">
        <v>226.1</v>
      </c>
      <c r="H57" s="180">
        <v>15.6</v>
      </c>
      <c r="I57" s="179">
        <v>361.7</v>
      </c>
      <c r="J57" s="178">
        <v>606.9</v>
      </c>
      <c r="K57" s="171"/>
      <c r="L57" s="171"/>
      <c r="M57" s="171"/>
      <c r="N57" s="171"/>
      <c r="O57" s="171"/>
      <c r="P57" s="171"/>
      <c r="Q57" s="171"/>
      <c r="R57" s="171"/>
      <c r="S57" s="171"/>
    </row>
    <row r="58" spans="1:19" s="170" customFormat="1" ht="16.5" hidden="1" x14ac:dyDescent="0.3">
      <c r="A58" s="183">
        <v>44348</v>
      </c>
      <c r="B58" s="180">
        <v>105.648787</v>
      </c>
      <c r="C58" s="180">
        <v>226.105761</v>
      </c>
      <c r="D58" s="180">
        <v>19.465350999999998</v>
      </c>
      <c r="E58" s="179">
        <v>351.219899</v>
      </c>
      <c r="F58" s="182">
        <v>144.85386199999999</v>
      </c>
      <c r="G58" s="181">
        <v>240.063627</v>
      </c>
      <c r="H58" s="180">
        <v>27.861561999999999</v>
      </c>
      <c r="I58" s="179">
        <v>412.77905099999998</v>
      </c>
      <c r="J58" s="178">
        <v>763.99895000000004</v>
      </c>
      <c r="K58" s="171"/>
      <c r="L58" s="171"/>
      <c r="M58" s="171"/>
      <c r="N58" s="171"/>
      <c r="O58" s="171"/>
      <c r="P58" s="171"/>
      <c r="Q58" s="171"/>
      <c r="R58" s="171"/>
      <c r="S58" s="171"/>
    </row>
    <row r="59" spans="1:19" s="170" customFormat="1" ht="16.5" hidden="1" x14ac:dyDescent="0.3">
      <c r="A59" s="183">
        <v>44378</v>
      </c>
      <c r="B59" s="180">
        <v>81.772561999999994</v>
      </c>
      <c r="C59" s="180">
        <v>153.82618199999999</v>
      </c>
      <c r="D59" s="180">
        <v>18.426746999999999</v>
      </c>
      <c r="E59" s="179">
        <v>254.02549099999999</v>
      </c>
      <c r="F59" s="182">
        <v>117.57759299999999</v>
      </c>
      <c r="G59" s="181">
        <v>237.081064</v>
      </c>
      <c r="H59" s="180">
        <v>21.140342</v>
      </c>
      <c r="I59" s="179">
        <v>375.79899899999998</v>
      </c>
      <c r="J59" s="178">
        <v>629.82448999999997</v>
      </c>
      <c r="K59" s="171"/>
      <c r="L59" s="171"/>
      <c r="M59" s="171"/>
      <c r="N59" s="171"/>
      <c r="O59" s="171"/>
      <c r="P59" s="171"/>
      <c r="Q59" s="171"/>
      <c r="R59" s="171"/>
      <c r="S59" s="171"/>
    </row>
    <row r="60" spans="1:19" s="170" customFormat="1" ht="16.5" hidden="1" x14ac:dyDescent="0.3">
      <c r="A60" s="183">
        <v>44409</v>
      </c>
      <c r="B60" s="180">
        <v>72.903846999999999</v>
      </c>
      <c r="C60" s="180">
        <v>135.66077799999999</v>
      </c>
      <c r="D60" s="180">
        <v>18.616544000000001</v>
      </c>
      <c r="E60" s="179">
        <v>227.18116900000001</v>
      </c>
      <c r="F60" s="182">
        <v>99.404179999999997</v>
      </c>
      <c r="G60" s="181">
        <v>219.077629</v>
      </c>
      <c r="H60" s="180">
        <v>16.598858</v>
      </c>
      <c r="I60" s="179">
        <v>335.08066700000001</v>
      </c>
      <c r="J60" s="178">
        <v>562.26183600000002</v>
      </c>
      <c r="K60" s="171"/>
      <c r="L60" s="171"/>
      <c r="M60" s="171"/>
      <c r="N60" s="171"/>
      <c r="O60" s="171"/>
      <c r="P60" s="171"/>
      <c r="Q60" s="171"/>
      <c r="R60" s="171"/>
      <c r="S60" s="171"/>
    </row>
    <row r="61" spans="1:19" s="170" customFormat="1" ht="16.5" hidden="1" x14ac:dyDescent="0.3">
      <c r="A61" s="183">
        <v>44440</v>
      </c>
      <c r="B61" s="180">
        <v>78.243667000000002</v>
      </c>
      <c r="C61" s="180">
        <v>168.87505300000001</v>
      </c>
      <c r="D61" s="180">
        <v>21.594711</v>
      </c>
      <c r="E61" s="179">
        <v>268.71343100000001</v>
      </c>
      <c r="F61" s="182">
        <v>118.20035831107198</v>
      </c>
      <c r="G61" s="181">
        <v>225.2</v>
      </c>
      <c r="H61" s="180">
        <v>15</v>
      </c>
      <c r="I61" s="179">
        <v>358.40035831107195</v>
      </c>
      <c r="J61" s="178">
        <v>627.11378931107197</v>
      </c>
      <c r="K61" s="171"/>
      <c r="L61" s="171"/>
      <c r="M61" s="171"/>
      <c r="N61" s="171"/>
      <c r="O61" s="171"/>
      <c r="P61" s="171"/>
      <c r="Q61" s="171"/>
      <c r="R61" s="171"/>
      <c r="S61" s="171"/>
    </row>
    <row r="62" spans="1:19" s="170" customFormat="1" ht="16.5" hidden="1" x14ac:dyDescent="0.3">
      <c r="A62" s="183">
        <v>44470</v>
      </c>
      <c r="B62" s="180">
        <v>106.084616</v>
      </c>
      <c r="C62" s="180">
        <v>167.637328</v>
      </c>
      <c r="D62" s="180">
        <v>27.225995000000001</v>
      </c>
      <c r="E62" s="179">
        <v>300.94793900000002</v>
      </c>
      <c r="F62" s="182">
        <v>104.26313000000002</v>
      </c>
      <c r="G62" s="181">
        <v>263.90264000000002</v>
      </c>
      <c r="H62" s="180">
        <v>25.435155999999999</v>
      </c>
      <c r="I62" s="179">
        <v>393.60092600000007</v>
      </c>
      <c r="J62" s="178">
        <v>694.54886500000009</v>
      </c>
      <c r="K62" s="171"/>
      <c r="L62" s="171"/>
      <c r="M62" s="171"/>
      <c r="N62" s="171"/>
      <c r="O62" s="171"/>
      <c r="P62" s="171"/>
      <c r="Q62" s="171"/>
      <c r="R62" s="171"/>
      <c r="S62" s="171"/>
    </row>
    <row r="63" spans="1:19" s="170" customFormat="1" ht="16.5" hidden="1" x14ac:dyDescent="0.3">
      <c r="A63" s="183">
        <v>44501</v>
      </c>
      <c r="B63" s="180">
        <v>116.49632800000001</v>
      </c>
      <c r="C63" s="180">
        <v>174.470113</v>
      </c>
      <c r="D63" s="180">
        <v>18.926245999999999</v>
      </c>
      <c r="E63" s="179">
        <v>309.89268700000002</v>
      </c>
      <c r="F63" s="182">
        <v>123.639487</v>
      </c>
      <c r="G63" s="181">
        <v>224.75775100000001</v>
      </c>
      <c r="H63" s="180">
        <v>19.792394999999999</v>
      </c>
      <c r="I63" s="179">
        <v>368.18963300000001</v>
      </c>
      <c r="J63" s="178">
        <v>678.08231999999998</v>
      </c>
      <c r="K63" s="171"/>
      <c r="L63" s="171"/>
      <c r="M63" s="171"/>
      <c r="N63" s="171"/>
      <c r="O63" s="171"/>
      <c r="P63" s="171"/>
      <c r="Q63" s="171"/>
      <c r="R63" s="171"/>
      <c r="S63" s="171"/>
    </row>
    <row r="64" spans="1:19" s="170" customFormat="1" ht="16.5" hidden="1" x14ac:dyDescent="0.3">
      <c r="A64" s="183">
        <v>44531</v>
      </c>
      <c r="B64" s="180">
        <v>125.557744</v>
      </c>
      <c r="C64" s="180">
        <v>228.321223</v>
      </c>
      <c r="D64" s="180">
        <v>19.974941000000001</v>
      </c>
      <c r="E64" s="179">
        <v>373.85390799999999</v>
      </c>
      <c r="F64" s="182">
        <v>126.902677</v>
      </c>
      <c r="G64" s="181">
        <v>276.09667899999999</v>
      </c>
      <c r="H64" s="180">
        <v>14.546768</v>
      </c>
      <c r="I64" s="179">
        <v>417.54612400000002</v>
      </c>
      <c r="J64" s="178">
        <v>791.40003200000001</v>
      </c>
      <c r="K64" s="171"/>
      <c r="L64" s="171"/>
      <c r="M64" s="171"/>
      <c r="N64" s="171"/>
      <c r="O64" s="171"/>
      <c r="P64" s="171"/>
      <c r="Q64" s="171"/>
      <c r="R64" s="171"/>
      <c r="S64" s="171"/>
    </row>
    <row r="65" spans="1:19" s="170" customFormat="1" ht="16.5" hidden="1" x14ac:dyDescent="0.3">
      <c r="A65" s="183">
        <v>44562</v>
      </c>
      <c r="B65" s="180">
        <v>116.68980500000001</v>
      </c>
      <c r="C65" s="180">
        <v>166.014106</v>
      </c>
      <c r="D65" s="180">
        <v>24.197472999999999</v>
      </c>
      <c r="E65" s="179">
        <v>306.90138400000001</v>
      </c>
      <c r="F65" s="182">
        <v>91.275447</v>
      </c>
      <c r="G65" s="181">
        <v>226.466587</v>
      </c>
      <c r="H65" s="180">
        <v>16.185964999999999</v>
      </c>
      <c r="I65" s="179">
        <v>333.927999</v>
      </c>
      <c r="J65" s="178">
        <v>640.82938300000001</v>
      </c>
      <c r="K65" s="171"/>
      <c r="L65" s="171"/>
      <c r="M65" s="171"/>
      <c r="N65" s="171"/>
      <c r="O65" s="171"/>
      <c r="P65" s="171"/>
      <c r="Q65" s="171"/>
      <c r="R65" s="171"/>
      <c r="S65" s="171"/>
    </row>
    <row r="66" spans="1:19" s="170" customFormat="1" ht="16.5" hidden="1" x14ac:dyDescent="0.3">
      <c r="A66" s="183">
        <v>44593</v>
      </c>
      <c r="B66" s="180">
        <v>103.83010899999999</v>
      </c>
      <c r="C66" s="180">
        <v>188.287823</v>
      </c>
      <c r="D66" s="180">
        <v>24.975657000000002</v>
      </c>
      <c r="E66" s="179">
        <v>317.09358900000001</v>
      </c>
      <c r="F66" s="182">
        <v>124.529257</v>
      </c>
      <c r="G66" s="181">
        <v>190.19332199999999</v>
      </c>
      <c r="H66" s="180">
        <v>22.289686</v>
      </c>
      <c r="I66" s="179">
        <v>337.01226500000001</v>
      </c>
      <c r="J66" s="178">
        <v>654.10585400000002</v>
      </c>
      <c r="K66" s="171"/>
      <c r="L66" s="171"/>
      <c r="M66" s="171"/>
      <c r="N66" s="171"/>
      <c r="O66" s="171"/>
      <c r="P66" s="171"/>
      <c r="Q66" s="171"/>
      <c r="R66" s="171"/>
      <c r="S66" s="171"/>
    </row>
    <row r="67" spans="1:19" s="170" customFormat="1" ht="16.5" hidden="1" x14ac:dyDescent="0.3">
      <c r="A67" s="183">
        <v>44621</v>
      </c>
      <c r="B67" s="180">
        <v>130.909267</v>
      </c>
      <c r="C67" s="180">
        <v>185.399156</v>
      </c>
      <c r="D67" s="180">
        <v>25.592713</v>
      </c>
      <c r="E67" s="179">
        <v>341.90113600000001</v>
      </c>
      <c r="F67" s="182">
        <v>153.332671</v>
      </c>
      <c r="G67" s="181">
        <v>202.20367899999999</v>
      </c>
      <c r="H67" s="180">
        <v>19.842039</v>
      </c>
      <c r="I67" s="179">
        <v>375.37838900000003</v>
      </c>
      <c r="J67" s="178">
        <v>717.27952500000004</v>
      </c>
      <c r="K67" s="171"/>
      <c r="L67" s="171"/>
      <c r="M67" s="171"/>
      <c r="N67" s="171"/>
      <c r="O67" s="171"/>
      <c r="P67" s="171"/>
      <c r="Q67" s="171"/>
      <c r="R67" s="171"/>
      <c r="S67" s="171"/>
    </row>
    <row r="68" spans="1:19" s="170" customFormat="1" ht="16.5" hidden="1" x14ac:dyDescent="0.3">
      <c r="A68" s="183">
        <v>44652</v>
      </c>
      <c r="B68" s="180">
        <v>114.660192</v>
      </c>
      <c r="C68" s="180">
        <v>158.994809</v>
      </c>
      <c r="D68" s="180">
        <v>10.195206000000001</v>
      </c>
      <c r="E68" s="179">
        <v>283.85020700000001</v>
      </c>
      <c r="F68" s="182">
        <v>140.82723200000001</v>
      </c>
      <c r="G68" s="181">
        <v>346.80976600000002</v>
      </c>
      <c r="H68" s="180">
        <v>42.258532000000002</v>
      </c>
      <c r="I68" s="179">
        <v>529.89553000000001</v>
      </c>
      <c r="J68" s="178">
        <v>813.74573699999996</v>
      </c>
      <c r="K68" s="171"/>
      <c r="L68" s="171"/>
      <c r="M68" s="171"/>
      <c r="N68" s="171"/>
      <c r="O68" s="171"/>
      <c r="P68" s="171"/>
      <c r="Q68" s="171"/>
      <c r="R68" s="171"/>
      <c r="S68" s="171"/>
    </row>
    <row r="69" spans="1:19" s="170" customFormat="1" ht="16.5" hidden="1" x14ac:dyDescent="0.3">
      <c r="A69" s="183">
        <v>44682</v>
      </c>
      <c r="B69" s="180">
        <v>116.771163</v>
      </c>
      <c r="C69" s="180">
        <v>202.78800799999999</v>
      </c>
      <c r="D69" s="180">
        <v>47.760192000000004</v>
      </c>
      <c r="E69" s="179">
        <v>367.31936300000001</v>
      </c>
      <c r="F69" s="182">
        <v>199.45449600000001</v>
      </c>
      <c r="G69" s="181">
        <v>213.334374</v>
      </c>
      <c r="H69" s="180">
        <v>27.475045000000001</v>
      </c>
      <c r="I69" s="179">
        <v>440.263915</v>
      </c>
      <c r="J69" s="178">
        <v>807.58327799999995</v>
      </c>
      <c r="K69" s="171"/>
      <c r="L69" s="171"/>
      <c r="M69" s="171"/>
      <c r="N69" s="171"/>
      <c r="O69" s="171"/>
      <c r="P69" s="171"/>
      <c r="Q69" s="171"/>
      <c r="R69" s="171"/>
      <c r="S69" s="171"/>
    </row>
    <row r="70" spans="1:19" s="170" customFormat="1" ht="16.5" hidden="1" x14ac:dyDescent="0.3">
      <c r="A70" s="183">
        <v>44713</v>
      </c>
      <c r="B70" s="180">
        <v>118.95124300000001</v>
      </c>
      <c r="C70" s="180">
        <v>238.01984300000001</v>
      </c>
      <c r="D70" s="180">
        <v>65.307668000000007</v>
      </c>
      <c r="E70" s="179">
        <v>422.27875399999999</v>
      </c>
      <c r="F70" s="182">
        <v>158.47432699999999</v>
      </c>
      <c r="G70" s="181">
        <v>241.58240000000001</v>
      </c>
      <c r="H70" s="180">
        <v>17.475435999999998</v>
      </c>
      <c r="I70" s="179">
        <v>417.53216300000003</v>
      </c>
      <c r="J70" s="178">
        <v>839.81091700000002</v>
      </c>
      <c r="K70" s="171"/>
      <c r="L70" s="171"/>
      <c r="M70" s="171"/>
      <c r="N70" s="171"/>
      <c r="O70" s="171"/>
      <c r="P70" s="171"/>
      <c r="Q70" s="171"/>
      <c r="R70" s="171"/>
      <c r="S70" s="171"/>
    </row>
    <row r="71" spans="1:19" s="170" customFormat="1" ht="16.5" hidden="1" x14ac:dyDescent="0.3">
      <c r="A71" s="183">
        <v>44743</v>
      </c>
      <c r="B71" s="180">
        <v>121.86880600000001</v>
      </c>
      <c r="C71" s="180">
        <v>178.498974</v>
      </c>
      <c r="D71" s="180">
        <v>25.788824999999999</v>
      </c>
      <c r="E71" s="179">
        <v>326.15660500000001</v>
      </c>
      <c r="F71" s="182">
        <v>132.25432000000001</v>
      </c>
      <c r="G71" s="181">
        <v>238.01547500000001</v>
      </c>
      <c r="H71" s="180">
        <v>37.267890000000001</v>
      </c>
      <c r="I71" s="179">
        <v>407.53768500000001</v>
      </c>
      <c r="J71" s="178">
        <v>733.69429000000002</v>
      </c>
      <c r="K71" s="171"/>
      <c r="L71" s="171"/>
      <c r="M71" s="171"/>
      <c r="N71" s="171"/>
      <c r="O71" s="171"/>
      <c r="P71" s="171"/>
      <c r="Q71" s="171"/>
      <c r="R71" s="171"/>
      <c r="S71" s="171"/>
    </row>
    <row r="72" spans="1:19" s="170" customFormat="1" ht="16.5" hidden="1" x14ac:dyDescent="0.3">
      <c r="A72" s="183">
        <v>44774</v>
      </c>
      <c r="B72" s="180">
        <v>123.395172</v>
      </c>
      <c r="C72" s="180">
        <v>179.125047</v>
      </c>
      <c r="D72" s="180">
        <v>36.198858999999999</v>
      </c>
      <c r="E72" s="179">
        <v>338.71907800000002</v>
      </c>
      <c r="F72" s="182">
        <v>168.596598</v>
      </c>
      <c r="G72" s="181">
        <v>179.61055300000001</v>
      </c>
      <c r="H72" s="180">
        <v>27.375238</v>
      </c>
      <c r="I72" s="179">
        <v>375.58238899999998</v>
      </c>
      <c r="J72" s="178">
        <v>714.301467</v>
      </c>
      <c r="K72" s="171"/>
      <c r="L72" s="171"/>
      <c r="M72" s="171"/>
      <c r="N72" s="171"/>
      <c r="O72" s="171"/>
      <c r="P72" s="171"/>
      <c r="Q72" s="171"/>
      <c r="R72" s="171"/>
      <c r="S72" s="171"/>
    </row>
    <row r="73" spans="1:19" s="170" customFormat="1" ht="16.5" x14ac:dyDescent="0.3">
      <c r="A73" s="183">
        <v>44805</v>
      </c>
      <c r="B73" s="180">
        <v>127.12083</v>
      </c>
      <c r="C73" s="180">
        <v>163.70453499999999</v>
      </c>
      <c r="D73" s="180">
        <v>63.678432000000001</v>
      </c>
      <c r="E73" s="179">
        <v>354.50379700000002</v>
      </c>
      <c r="F73" s="182">
        <v>199.036531</v>
      </c>
      <c r="G73" s="181">
        <v>150.49507199999999</v>
      </c>
      <c r="H73" s="180">
        <v>38.051022000000003</v>
      </c>
      <c r="I73" s="179">
        <v>387.58262500000001</v>
      </c>
      <c r="J73" s="178">
        <v>742.08642199999997</v>
      </c>
      <c r="K73" s="171"/>
      <c r="L73" s="171"/>
      <c r="M73" s="171"/>
      <c r="N73" s="171"/>
      <c r="O73" s="171"/>
      <c r="P73" s="171"/>
      <c r="Q73" s="171"/>
      <c r="R73" s="171"/>
      <c r="S73" s="171"/>
    </row>
    <row r="74" spans="1:19" s="170" customFormat="1" ht="16.5" x14ac:dyDescent="0.3">
      <c r="A74" s="183">
        <v>44835</v>
      </c>
      <c r="B74" s="180">
        <v>125.416771</v>
      </c>
      <c r="C74" s="180">
        <v>177.97022000000001</v>
      </c>
      <c r="D74" s="180">
        <v>48.246760999999999</v>
      </c>
      <c r="E74" s="179">
        <v>351.63375200000002</v>
      </c>
      <c r="F74" s="182">
        <v>166.577811</v>
      </c>
      <c r="G74" s="181">
        <v>172.85950399999999</v>
      </c>
      <c r="H74" s="180">
        <v>49.244974999999997</v>
      </c>
      <c r="I74" s="179">
        <v>388.68229000000002</v>
      </c>
      <c r="J74" s="178">
        <v>740.31604200000004</v>
      </c>
      <c r="K74" s="171"/>
      <c r="L74" s="171"/>
      <c r="M74" s="171"/>
      <c r="N74" s="171"/>
      <c r="O74" s="171"/>
      <c r="P74" s="171"/>
      <c r="Q74" s="171"/>
      <c r="R74" s="171"/>
      <c r="S74" s="171"/>
    </row>
    <row r="75" spans="1:19" s="170" customFormat="1" ht="16.5" x14ac:dyDescent="0.3">
      <c r="A75" s="183">
        <v>44866</v>
      </c>
      <c r="B75" s="180">
        <v>198.30632600000001</v>
      </c>
      <c r="C75" s="180">
        <v>187.09650300000001</v>
      </c>
      <c r="D75" s="180">
        <v>50.445827999999999</v>
      </c>
      <c r="E75" s="179">
        <v>435.848657</v>
      </c>
      <c r="F75" s="182">
        <v>183.253737</v>
      </c>
      <c r="G75" s="181">
        <v>461.32222000000002</v>
      </c>
      <c r="H75" s="180">
        <v>105.94812400000001</v>
      </c>
      <c r="I75" s="179">
        <v>750.52408100000002</v>
      </c>
      <c r="J75" s="178">
        <v>1186.3444030000001</v>
      </c>
      <c r="K75" s="171"/>
      <c r="L75" s="171"/>
      <c r="M75" s="171"/>
      <c r="N75" s="171"/>
      <c r="O75" s="171"/>
      <c r="P75" s="171"/>
      <c r="Q75" s="171"/>
      <c r="R75" s="171"/>
      <c r="S75" s="171"/>
    </row>
    <row r="76" spans="1:19" s="170" customFormat="1" ht="16.5" x14ac:dyDescent="0.3">
      <c r="A76" s="183">
        <v>44896</v>
      </c>
      <c r="B76" s="180">
        <v>239.3</v>
      </c>
      <c r="C76" s="180">
        <v>269.92142699999999</v>
      </c>
      <c r="D76" s="180">
        <v>45.126342999999999</v>
      </c>
      <c r="E76" s="179">
        <v>554.29693899999995</v>
      </c>
      <c r="F76" s="182">
        <v>213.495058</v>
      </c>
      <c r="G76" s="181">
        <v>339.6</v>
      </c>
      <c r="H76" s="180">
        <v>88.232963999999996</v>
      </c>
      <c r="I76" s="179">
        <v>641.32802200000003</v>
      </c>
      <c r="J76" s="178">
        <f>E76+I76</f>
        <v>1195.624961</v>
      </c>
      <c r="K76" s="171"/>
      <c r="L76" s="171"/>
      <c r="M76" s="171"/>
      <c r="N76" s="171"/>
      <c r="O76" s="171"/>
      <c r="P76" s="171"/>
      <c r="Q76" s="171"/>
      <c r="R76" s="171"/>
      <c r="S76" s="171"/>
    </row>
    <row r="77" spans="1:19" s="170" customFormat="1" ht="16.5" x14ac:dyDescent="0.3">
      <c r="A77" s="183">
        <v>44927</v>
      </c>
      <c r="B77" s="180">
        <v>218.3</v>
      </c>
      <c r="C77" s="180">
        <v>217.1</v>
      </c>
      <c r="D77" s="180">
        <v>114</v>
      </c>
      <c r="E77" s="179">
        <v>549.4</v>
      </c>
      <c r="F77" s="182">
        <v>163.69999999999999</v>
      </c>
      <c r="G77" s="181">
        <v>246.2</v>
      </c>
      <c r="H77" s="180">
        <v>127.3</v>
      </c>
      <c r="I77" s="179">
        <v>537.29999999999995</v>
      </c>
      <c r="J77" s="178">
        <v>1086.7</v>
      </c>
      <c r="K77" s="171"/>
      <c r="L77" s="171"/>
      <c r="M77" s="171"/>
      <c r="N77" s="171"/>
      <c r="O77" s="171"/>
      <c r="P77" s="171"/>
      <c r="Q77" s="171"/>
      <c r="R77" s="171"/>
      <c r="S77" s="171"/>
    </row>
    <row r="78" spans="1:19" s="170" customFormat="1" ht="16.5" x14ac:dyDescent="0.3">
      <c r="A78" s="183">
        <v>44958</v>
      </c>
      <c r="B78" s="180">
        <v>194.968895</v>
      </c>
      <c r="C78" s="180">
        <v>228.3</v>
      </c>
      <c r="D78" s="180">
        <v>64</v>
      </c>
      <c r="E78" s="179">
        <v>487.3</v>
      </c>
      <c r="F78" s="182">
        <v>148.03395499999999</v>
      </c>
      <c r="G78" s="181">
        <v>271.10000000000002</v>
      </c>
      <c r="H78" s="180">
        <v>85.3</v>
      </c>
      <c r="I78" s="179">
        <v>504.4</v>
      </c>
      <c r="J78" s="178">
        <v>991.7</v>
      </c>
      <c r="K78" s="171"/>
      <c r="L78" s="171"/>
      <c r="M78" s="171"/>
      <c r="N78" s="171"/>
      <c r="O78" s="171"/>
      <c r="P78" s="171"/>
      <c r="Q78" s="171"/>
      <c r="R78" s="171"/>
      <c r="S78" s="171"/>
    </row>
    <row r="79" spans="1:19" s="170" customFormat="1" ht="16.5" x14ac:dyDescent="0.3">
      <c r="A79" s="183">
        <v>44986</v>
      </c>
      <c r="B79" s="180">
        <v>209.7</v>
      </c>
      <c r="C79" s="180">
        <v>254.11015</v>
      </c>
      <c r="D79" s="180">
        <v>104.15403499999999</v>
      </c>
      <c r="E79" s="179">
        <v>568.01445100000001</v>
      </c>
      <c r="F79" s="182">
        <v>206.88826900000001</v>
      </c>
      <c r="G79" s="181">
        <v>352.882364</v>
      </c>
      <c r="H79" s="180">
        <v>94.339438999999999</v>
      </c>
      <c r="I79" s="179">
        <v>654.11007199999995</v>
      </c>
      <c r="J79" s="178">
        <v>1222.124523</v>
      </c>
      <c r="K79" s="171"/>
      <c r="L79" s="171"/>
      <c r="M79" s="171"/>
      <c r="N79" s="171"/>
      <c r="O79" s="171"/>
      <c r="P79" s="171"/>
      <c r="Q79" s="171"/>
      <c r="R79" s="171"/>
      <c r="S79" s="171"/>
    </row>
    <row r="80" spans="1:19" s="170" customFormat="1" ht="16.5" x14ac:dyDescent="0.3">
      <c r="A80" s="183">
        <v>45017</v>
      </c>
      <c r="B80" s="180">
        <v>189.6</v>
      </c>
      <c r="C80" s="180">
        <v>195.8</v>
      </c>
      <c r="D80" s="180">
        <v>63.6</v>
      </c>
      <c r="E80" s="179">
        <v>449</v>
      </c>
      <c r="F80" s="182">
        <v>163.69999999999999</v>
      </c>
      <c r="G80" s="181">
        <v>259.10000000000002</v>
      </c>
      <c r="H80" s="180">
        <v>45.8</v>
      </c>
      <c r="I80" s="179">
        <v>468.6</v>
      </c>
      <c r="J80" s="178">
        <v>917.6</v>
      </c>
      <c r="K80" s="171"/>
      <c r="L80" s="171"/>
      <c r="M80" s="171"/>
      <c r="N80" s="171"/>
      <c r="O80" s="171"/>
      <c r="P80" s="171"/>
      <c r="Q80" s="171"/>
      <c r="R80" s="171"/>
      <c r="S80" s="171"/>
    </row>
    <row r="81" spans="1:19" s="170" customFormat="1" ht="16.5" x14ac:dyDescent="0.3">
      <c r="A81" s="183">
        <v>45047</v>
      </c>
      <c r="B81" s="180">
        <v>193</v>
      </c>
      <c r="C81" s="180">
        <v>211.1</v>
      </c>
      <c r="D81" s="180">
        <v>44.8</v>
      </c>
      <c r="E81" s="179">
        <v>448.9</v>
      </c>
      <c r="F81" s="182">
        <v>190.6</v>
      </c>
      <c r="G81" s="181">
        <v>239.4</v>
      </c>
      <c r="H81" s="180">
        <v>35.6</v>
      </c>
      <c r="I81" s="179">
        <v>465.6</v>
      </c>
      <c r="J81" s="178">
        <v>914.5</v>
      </c>
      <c r="K81" s="171"/>
      <c r="L81" s="171"/>
      <c r="M81" s="171"/>
      <c r="N81" s="171"/>
      <c r="O81" s="171"/>
      <c r="P81" s="171"/>
      <c r="Q81" s="171"/>
      <c r="R81" s="171"/>
      <c r="S81" s="171"/>
    </row>
    <row r="82" spans="1:19" s="170" customFormat="1" ht="16.5" x14ac:dyDescent="0.3">
      <c r="A82" s="183">
        <v>45078</v>
      </c>
      <c r="B82" s="180">
        <v>188.22179</v>
      </c>
      <c r="C82" s="180">
        <v>265.3</v>
      </c>
      <c r="D82" s="180">
        <v>105.364407</v>
      </c>
      <c r="E82" s="179">
        <v>558.9</v>
      </c>
      <c r="F82" s="182">
        <v>210.36404400000001</v>
      </c>
      <c r="G82" s="181">
        <v>250.764915</v>
      </c>
      <c r="H82" s="180">
        <v>83.117575000000002</v>
      </c>
      <c r="I82" s="179">
        <v>544.25653399999999</v>
      </c>
      <c r="J82" s="178">
        <v>1103.212307</v>
      </c>
      <c r="K82" s="171"/>
      <c r="L82" s="171"/>
      <c r="M82" s="171"/>
      <c r="N82" s="171"/>
      <c r="O82" s="171"/>
      <c r="P82" s="171"/>
      <c r="Q82" s="171"/>
      <c r="R82" s="171"/>
      <c r="S82" s="171"/>
    </row>
    <row r="83" spans="1:19" s="170" customFormat="1" ht="16.5" x14ac:dyDescent="0.3">
      <c r="A83" s="183">
        <v>45108</v>
      </c>
      <c r="B83" s="180">
        <v>186.82434599999999</v>
      </c>
      <c r="C83" s="180">
        <v>235.15176</v>
      </c>
      <c r="D83" s="180">
        <v>61.196137999999998</v>
      </c>
      <c r="E83" s="179">
        <v>483.17224399999998</v>
      </c>
      <c r="F83" s="182">
        <v>171.27748</v>
      </c>
      <c r="G83" s="181">
        <v>252.28746799999999</v>
      </c>
      <c r="H83" s="180">
        <v>84.117727000000002</v>
      </c>
      <c r="I83" s="179">
        <v>507.68267500000002</v>
      </c>
      <c r="J83" s="178">
        <v>990.854919</v>
      </c>
      <c r="K83" s="171"/>
      <c r="L83" s="171"/>
      <c r="M83" s="171"/>
      <c r="N83" s="171"/>
      <c r="O83" s="171"/>
      <c r="P83" s="171"/>
      <c r="Q83" s="171"/>
      <c r="R83" s="171"/>
      <c r="S83" s="171"/>
    </row>
    <row r="84" spans="1:19" s="170" customFormat="1" ht="16.5" x14ac:dyDescent="0.3">
      <c r="A84" s="183">
        <v>45139</v>
      </c>
      <c r="B84" s="180">
        <v>198.3</v>
      </c>
      <c r="C84" s="180">
        <v>221.3</v>
      </c>
      <c r="D84" s="180">
        <v>18.100000000000001</v>
      </c>
      <c r="E84" s="179">
        <v>437.7</v>
      </c>
      <c r="F84" s="182">
        <v>206.5</v>
      </c>
      <c r="G84" s="181">
        <v>214.7</v>
      </c>
      <c r="H84" s="180">
        <v>43.2</v>
      </c>
      <c r="I84" s="179">
        <v>464.4</v>
      </c>
      <c r="J84" s="178">
        <v>902.12</v>
      </c>
      <c r="K84" s="171"/>
      <c r="L84" s="171"/>
      <c r="M84" s="171"/>
      <c r="N84" s="171"/>
      <c r="O84" s="171"/>
      <c r="P84" s="171"/>
      <c r="Q84" s="171"/>
      <c r="R84" s="171"/>
      <c r="S84" s="171"/>
    </row>
    <row r="85" spans="1:19" s="170" customFormat="1" ht="17.25" thickBot="1" x14ac:dyDescent="0.35">
      <c r="A85" s="177">
        <v>45170</v>
      </c>
      <c r="B85" s="174">
        <v>178.046818</v>
      </c>
      <c r="C85" s="174">
        <v>159.776499</v>
      </c>
      <c r="D85" s="174">
        <v>19.081676999999999</v>
      </c>
      <c r="E85" s="173">
        <v>356.90499399999999</v>
      </c>
      <c r="F85" s="176">
        <v>203.93704399999999</v>
      </c>
      <c r="G85" s="175">
        <v>227.32437300000001</v>
      </c>
      <c r="H85" s="174">
        <v>31.736440000000002</v>
      </c>
      <c r="I85" s="173">
        <v>462.99785700000001</v>
      </c>
      <c r="J85" s="172">
        <v>819.90285100000006</v>
      </c>
      <c r="K85" s="171"/>
      <c r="L85" s="171"/>
      <c r="M85" s="171"/>
      <c r="N85" s="171"/>
      <c r="O85" s="171"/>
      <c r="P85" s="171"/>
      <c r="Q85" s="171"/>
      <c r="R85" s="171"/>
      <c r="S85" s="171"/>
    </row>
    <row r="86" spans="1:19" s="168" customFormat="1" ht="18.95" customHeight="1" thickTop="1" x14ac:dyDescent="0.25">
      <c r="A86" s="168" t="s">
        <v>175</v>
      </c>
      <c r="B86" s="169"/>
      <c r="C86" s="169"/>
      <c r="D86" s="169"/>
      <c r="E86" s="169"/>
      <c r="F86" s="169"/>
      <c r="G86" s="169"/>
      <c r="H86" s="169"/>
      <c r="I86" s="169"/>
      <c r="J86" s="169"/>
    </row>
    <row r="87" spans="1:19" s="168" customFormat="1" ht="18.95" customHeight="1" x14ac:dyDescent="0.25">
      <c r="A87" s="168" t="s">
        <v>174</v>
      </c>
      <c r="B87" s="169"/>
      <c r="C87" s="169"/>
      <c r="D87" s="169"/>
      <c r="E87" s="169"/>
      <c r="F87" s="169"/>
      <c r="G87" s="169"/>
      <c r="H87" s="169"/>
      <c r="I87" s="169"/>
      <c r="J87" s="169"/>
    </row>
    <row r="88" spans="1:19" s="168" customFormat="1" ht="18.95" customHeight="1" x14ac:dyDescent="0.25">
      <c r="A88" s="168" t="s">
        <v>173</v>
      </c>
      <c r="B88" s="169"/>
      <c r="C88" s="169"/>
      <c r="D88" s="169"/>
      <c r="E88" s="169"/>
      <c r="F88" s="169"/>
      <c r="G88" s="169"/>
      <c r="H88" s="169"/>
      <c r="I88" s="169"/>
      <c r="J88" s="169"/>
    </row>
    <row r="89" spans="1:19" s="168" customFormat="1" ht="18.95" customHeight="1" x14ac:dyDescent="0.25">
      <c r="A89" s="168" t="s">
        <v>0</v>
      </c>
      <c r="B89" s="169"/>
      <c r="C89" s="169"/>
      <c r="D89" s="169"/>
      <c r="E89" s="169"/>
      <c r="F89" s="169"/>
      <c r="G89" s="169"/>
      <c r="H89" s="169"/>
      <c r="I89" s="169"/>
      <c r="J89" s="169"/>
    </row>
    <row r="90" spans="1:19" s="166" customFormat="1" ht="11.25" customHeight="1" x14ac:dyDescent="0.3">
      <c r="A90" s="165"/>
      <c r="B90" s="167"/>
    </row>
    <row r="91" spans="1:19" s="166" customFormat="1" ht="16.5" x14ac:dyDescent="0.3">
      <c r="A91" s="165"/>
      <c r="B91" s="164"/>
    </row>
    <row r="92" spans="1:19" ht="16.5" x14ac:dyDescent="0.25">
      <c r="A92" s="165"/>
      <c r="B92" s="164"/>
      <c r="D92" s="163"/>
      <c r="H92" s="163"/>
    </row>
    <row r="93" spans="1:19" ht="16.5" x14ac:dyDescent="0.25">
      <c r="A93" s="165"/>
      <c r="B93" s="164"/>
      <c r="D93" s="163"/>
    </row>
    <row r="94" spans="1:19" x14ac:dyDescent="0.25">
      <c r="B94" s="163"/>
      <c r="C94" s="163"/>
      <c r="D94" s="163"/>
      <c r="E94" s="163"/>
      <c r="F94" s="163"/>
      <c r="G94" s="163"/>
      <c r="H94" s="163"/>
      <c r="I94" s="163"/>
      <c r="J94" s="163"/>
      <c r="K94" s="163"/>
    </row>
    <row r="95" spans="1:19" x14ac:dyDescent="0.25">
      <c r="B95" s="163"/>
      <c r="C95" s="163"/>
      <c r="D95" s="163"/>
      <c r="E95" s="163"/>
      <c r="F95" s="163"/>
      <c r="G95" s="163"/>
      <c r="H95" s="163"/>
      <c r="I95" s="163"/>
      <c r="J95" s="163"/>
      <c r="K95" s="163"/>
      <c r="L95" s="163"/>
      <c r="M95" s="163"/>
      <c r="N95" s="163"/>
      <c r="O95" s="163"/>
      <c r="P95" s="163"/>
      <c r="Q95" s="163"/>
    </row>
    <row r="96" spans="1:19" x14ac:dyDescent="0.25">
      <c r="B96" s="163"/>
      <c r="C96" s="163"/>
      <c r="D96" s="163"/>
      <c r="E96" s="163"/>
      <c r="F96" s="163"/>
      <c r="G96" s="163"/>
      <c r="H96" s="163"/>
      <c r="I96" s="163"/>
      <c r="J96" s="163"/>
      <c r="K96" s="163"/>
      <c r="L96" s="163"/>
      <c r="M96" s="163"/>
      <c r="N96" s="163"/>
      <c r="O96" s="163"/>
    </row>
    <row r="97" spans="2:10" x14ac:dyDescent="0.25">
      <c r="B97" s="163"/>
      <c r="C97" s="163"/>
      <c r="D97" s="163"/>
      <c r="E97" s="163"/>
      <c r="F97" s="163"/>
      <c r="G97" s="163"/>
      <c r="H97" s="163"/>
      <c r="I97" s="163"/>
      <c r="J97" s="163"/>
    </row>
  </sheetData>
  <mergeCells count="4">
    <mergeCell ref="A3:A4"/>
    <mergeCell ref="B3:E3"/>
    <mergeCell ref="F3:I3"/>
    <mergeCell ref="J3:J4"/>
  </mergeCells>
  <printOptions horizontalCentered="1"/>
  <pageMargins left="0.75" right="0.75" top="0.75" bottom="0.75" header="0.31496062992126" footer="0"/>
  <pageSetup paperSize="9" scale="82"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CE34"/>
  <sheetViews>
    <sheetView showGridLines="0" topLeftCell="A22" zoomScaleNormal="100" zoomScaleSheetLayoutView="80" workbookViewId="0">
      <pane xSplit="1" topLeftCell="B1" activePane="topRight" state="frozen"/>
      <selection activeCell="A38" sqref="A38"/>
      <selection pane="topRight" activeCell="A35" sqref="A35:XFD1048576"/>
    </sheetView>
  </sheetViews>
  <sheetFormatPr defaultColWidth="9.140625" defaultRowHeight="14.25" x14ac:dyDescent="0.25"/>
  <cols>
    <col min="1" max="1" width="13.5703125" style="202" customWidth="1"/>
    <col min="2" max="2" width="72" style="201" customWidth="1"/>
    <col min="3" max="3" width="7.28515625" style="200" hidden="1" customWidth="1"/>
    <col min="4" max="4" width="7.5703125" style="200" hidden="1" customWidth="1"/>
    <col min="5" max="5" width="8" style="200" hidden="1" customWidth="1"/>
    <col min="6" max="6" width="7.7109375" style="200" hidden="1" customWidth="1"/>
    <col min="7" max="7" width="8.28515625" style="200" hidden="1" customWidth="1"/>
    <col min="8" max="8" width="7.28515625" style="200" hidden="1" customWidth="1"/>
    <col min="9" max="9" width="6.7109375" style="200" hidden="1" customWidth="1"/>
    <col min="10" max="10" width="8" style="200" hidden="1" customWidth="1"/>
    <col min="11" max="11" width="7.7109375" style="200" hidden="1" customWidth="1"/>
    <col min="12" max="12" width="7.42578125" style="200" hidden="1" customWidth="1"/>
    <col min="13" max="13" width="8.140625" style="200" hidden="1" customWidth="1"/>
    <col min="14" max="14" width="7.7109375" style="200" hidden="1" customWidth="1"/>
    <col min="15" max="15" width="7.28515625" style="200" hidden="1" customWidth="1"/>
    <col min="16" max="16" width="7.5703125" style="200" hidden="1" customWidth="1"/>
    <col min="17" max="17" width="8" style="200" hidden="1" customWidth="1"/>
    <col min="18" max="18" width="7.7109375" style="200" hidden="1" customWidth="1"/>
    <col min="19" max="19" width="9.42578125" style="200" hidden="1" customWidth="1"/>
    <col min="20" max="20" width="8.5703125" style="200" hidden="1" customWidth="1"/>
    <col min="21" max="21" width="7.85546875" style="200" hidden="1" customWidth="1"/>
    <col min="22" max="22" width="9.140625" style="200" hidden="1" customWidth="1"/>
    <col min="23" max="23" width="8.7109375" style="200" hidden="1" customWidth="1"/>
    <col min="24" max="24" width="8.42578125" style="200" hidden="1" customWidth="1"/>
    <col min="25" max="25" width="9.28515625" style="200" hidden="1" customWidth="1"/>
    <col min="26" max="26" width="8.85546875" style="200" hidden="1" customWidth="1"/>
    <col min="27" max="27" width="8.42578125" style="200" hidden="1" customWidth="1"/>
    <col min="28" max="28" width="8.28515625" style="200" hidden="1" customWidth="1"/>
    <col min="29" max="29" width="8.7109375" style="200" hidden="1" customWidth="1"/>
    <col min="30" max="30" width="8.42578125" style="200" hidden="1" customWidth="1"/>
    <col min="31" max="31" width="9" style="200" hidden="1" customWidth="1"/>
    <col min="32" max="32" width="8.28515625" style="200" hidden="1" customWidth="1"/>
    <col min="33" max="33" width="7.5703125" style="200" hidden="1" customWidth="1"/>
    <col min="34" max="34" width="8.85546875" style="200" hidden="1" customWidth="1"/>
    <col min="35" max="35" width="8.28515625" style="200" hidden="1" customWidth="1"/>
    <col min="36" max="36" width="8.140625" style="200" hidden="1" customWidth="1"/>
    <col min="37" max="37" width="8.85546875" style="200" hidden="1" customWidth="1"/>
    <col min="38" max="38" width="8.42578125" style="200" hidden="1" customWidth="1"/>
    <col min="39" max="39" width="8.140625" style="200" hidden="1" customWidth="1"/>
    <col min="40" max="40" width="8.28515625" style="200" hidden="1" customWidth="1"/>
    <col min="41" max="41" width="8.7109375" style="200" hidden="1" customWidth="1"/>
    <col min="42" max="42" width="8.42578125" style="200" hidden="1" customWidth="1"/>
    <col min="43" max="43" width="9" style="200" hidden="1" customWidth="1"/>
    <col min="44" max="44" width="8.28515625" style="200" hidden="1" customWidth="1"/>
    <col min="45" max="45" width="7.5703125" style="200" hidden="1" customWidth="1"/>
    <col min="46" max="46" width="8.85546875" style="200" hidden="1" customWidth="1"/>
    <col min="47" max="47" width="13" style="200" hidden="1" customWidth="1"/>
    <col min="48" max="49" width="9.5703125" style="200" hidden="1" customWidth="1"/>
    <col min="50" max="50" width="11.42578125" style="200" hidden="1" customWidth="1"/>
    <col min="51" max="70" width="9.5703125" style="200" hidden="1" customWidth="1"/>
    <col min="71" max="83" width="9.5703125" style="200" customWidth="1"/>
    <col min="84" max="16384" width="9.140625" style="200"/>
  </cols>
  <sheetData>
    <row r="1" spans="1:83" s="282" customFormat="1" ht="18.75" x14ac:dyDescent="0.3">
      <c r="A1" s="283" t="s">
        <v>234</v>
      </c>
      <c r="B1" s="283"/>
    </row>
    <row r="2" spans="1:83" s="276" customFormat="1" ht="17.25" thickBot="1" x14ac:dyDescent="0.35">
      <c r="A2" s="281"/>
      <c r="T2" s="221"/>
      <c r="W2" s="221"/>
      <c r="Y2" s="221"/>
      <c r="AE2" s="280"/>
      <c r="AF2" s="280"/>
      <c r="AG2" s="280"/>
      <c r="AH2" s="280"/>
      <c r="AJ2" s="279"/>
      <c r="AK2" s="278" t="s">
        <v>184</v>
      </c>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8"/>
      <c r="BV2" s="278"/>
      <c r="BW2" s="278"/>
      <c r="BX2" s="278"/>
      <c r="BY2" s="278"/>
      <c r="BZ2" s="278"/>
      <c r="CA2" s="278"/>
      <c r="CB2" s="278"/>
      <c r="CC2" s="278"/>
      <c r="CD2" s="277"/>
      <c r="CE2" s="277" t="s">
        <v>184</v>
      </c>
    </row>
    <row r="3" spans="1:83" s="208" customFormat="1" ht="34.5" thickTop="1" thickBot="1" x14ac:dyDescent="0.3">
      <c r="A3" s="275" t="s">
        <v>233</v>
      </c>
      <c r="B3" s="274" t="s">
        <v>232</v>
      </c>
      <c r="C3" s="273">
        <v>42736</v>
      </c>
      <c r="D3" s="272">
        <v>42767</v>
      </c>
      <c r="E3" s="272">
        <v>42795</v>
      </c>
      <c r="F3" s="272">
        <v>42826</v>
      </c>
      <c r="G3" s="272">
        <v>42856</v>
      </c>
      <c r="H3" s="272">
        <v>42887</v>
      </c>
      <c r="I3" s="272">
        <v>42917</v>
      </c>
      <c r="J3" s="272">
        <v>42948</v>
      </c>
      <c r="K3" s="272">
        <v>42979</v>
      </c>
      <c r="L3" s="272">
        <v>43009</v>
      </c>
      <c r="M3" s="271">
        <v>43040</v>
      </c>
      <c r="N3" s="270">
        <v>43070</v>
      </c>
      <c r="O3" s="270">
        <v>43101</v>
      </c>
      <c r="P3" s="270">
        <v>43132</v>
      </c>
      <c r="Q3" s="270">
        <v>43160</v>
      </c>
      <c r="R3" s="270">
        <v>43191</v>
      </c>
      <c r="S3" s="269">
        <v>43221</v>
      </c>
      <c r="T3" s="269">
        <v>43252</v>
      </c>
      <c r="U3" s="268">
        <v>43282</v>
      </c>
      <c r="V3" s="267">
        <v>43313</v>
      </c>
      <c r="W3" s="266">
        <v>43344</v>
      </c>
      <c r="X3" s="266">
        <v>43374</v>
      </c>
      <c r="Y3" s="266">
        <v>43405</v>
      </c>
      <c r="Z3" s="266">
        <v>43435</v>
      </c>
      <c r="AA3" s="266">
        <v>43466</v>
      </c>
      <c r="AB3" s="265">
        <v>43497</v>
      </c>
      <c r="AC3" s="265">
        <v>43525</v>
      </c>
      <c r="AD3" s="265">
        <v>43556</v>
      </c>
      <c r="AE3" s="265">
        <v>43586</v>
      </c>
      <c r="AF3" s="265">
        <v>43617</v>
      </c>
      <c r="AG3" s="265">
        <v>43647</v>
      </c>
      <c r="AH3" s="265">
        <v>43678</v>
      </c>
      <c r="AI3" s="265">
        <v>43709</v>
      </c>
      <c r="AJ3" s="265">
        <v>43739</v>
      </c>
      <c r="AK3" s="265">
        <v>43770</v>
      </c>
      <c r="AL3" s="265">
        <v>43800</v>
      </c>
      <c r="AM3" s="265">
        <v>43831</v>
      </c>
      <c r="AN3" s="265">
        <v>43862</v>
      </c>
      <c r="AO3" s="265">
        <v>43891</v>
      </c>
      <c r="AP3" s="265">
        <v>43922</v>
      </c>
      <c r="AQ3" s="265">
        <v>43952</v>
      </c>
      <c r="AR3" s="265">
        <v>43983</v>
      </c>
      <c r="AS3" s="265">
        <v>44013</v>
      </c>
      <c r="AT3" s="265">
        <v>44044</v>
      </c>
      <c r="AU3" s="265">
        <v>44075</v>
      </c>
      <c r="AV3" s="265">
        <v>44105</v>
      </c>
      <c r="AW3" s="265">
        <v>44136</v>
      </c>
      <c r="AX3" s="265">
        <v>44166</v>
      </c>
      <c r="AY3" s="265">
        <v>44197</v>
      </c>
      <c r="AZ3" s="265">
        <v>44228</v>
      </c>
      <c r="BA3" s="265">
        <v>44256</v>
      </c>
      <c r="BB3" s="265">
        <v>44287</v>
      </c>
      <c r="BC3" s="265">
        <v>44317</v>
      </c>
      <c r="BD3" s="265">
        <v>44348</v>
      </c>
      <c r="BE3" s="265">
        <v>44378</v>
      </c>
      <c r="BF3" s="265">
        <v>44409</v>
      </c>
      <c r="BG3" s="265">
        <v>44440</v>
      </c>
      <c r="BH3" s="265">
        <v>44470</v>
      </c>
      <c r="BI3" s="265">
        <v>44501</v>
      </c>
      <c r="BJ3" s="265">
        <v>44531</v>
      </c>
      <c r="BK3" s="265">
        <v>44562</v>
      </c>
      <c r="BL3" s="265">
        <v>44593</v>
      </c>
      <c r="BM3" s="265">
        <v>44621</v>
      </c>
      <c r="BN3" s="265">
        <v>44652</v>
      </c>
      <c r="BO3" s="265">
        <v>44682</v>
      </c>
      <c r="BP3" s="265">
        <v>44713</v>
      </c>
      <c r="BQ3" s="265">
        <v>44743</v>
      </c>
      <c r="BR3" s="265">
        <v>44774</v>
      </c>
      <c r="BS3" s="265">
        <v>44805</v>
      </c>
      <c r="BT3" s="265">
        <v>44835</v>
      </c>
      <c r="BU3" s="265">
        <v>44866</v>
      </c>
      <c r="BV3" s="265">
        <v>44896</v>
      </c>
      <c r="BW3" s="265">
        <v>44927</v>
      </c>
      <c r="BX3" s="265">
        <v>44959</v>
      </c>
      <c r="BY3" s="265">
        <v>44987</v>
      </c>
      <c r="BZ3" s="265">
        <v>45019</v>
      </c>
      <c r="CA3" s="265">
        <v>45049</v>
      </c>
      <c r="CB3" s="265">
        <v>45080</v>
      </c>
      <c r="CC3" s="265">
        <v>45110</v>
      </c>
      <c r="CD3" s="265">
        <v>45142</v>
      </c>
      <c r="CE3" s="265">
        <v>45173</v>
      </c>
    </row>
    <row r="4" spans="1:83" ht="17.25" x14ac:dyDescent="0.3">
      <c r="A4" s="264" t="s">
        <v>231</v>
      </c>
      <c r="B4" s="263" t="s">
        <v>230</v>
      </c>
      <c r="C4" s="262">
        <v>18.018346000000001</v>
      </c>
      <c r="D4" s="261">
        <v>17.625985</v>
      </c>
      <c r="E4" s="261">
        <v>30.229496000000001</v>
      </c>
      <c r="F4" s="261">
        <v>16.490887000000001</v>
      </c>
      <c r="G4" s="261">
        <v>2.4953050000000001</v>
      </c>
      <c r="H4" s="261">
        <v>11.182695000000001</v>
      </c>
      <c r="I4" s="261">
        <v>18.562246999999999</v>
      </c>
      <c r="J4" s="261">
        <v>5.059183</v>
      </c>
      <c r="K4" s="261">
        <v>10.032921999999999</v>
      </c>
      <c r="L4" s="261">
        <v>17.515525</v>
      </c>
      <c r="M4" s="260">
        <v>15.898956</v>
      </c>
      <c r="N4" s="259">
        <v>11.433578000000001</v>
      </c>
      <c r="O4" s="259">
        <v>22.153179000000002</v>
      </c>
      <c r="P4" s="259">
        <v>43.992510000000003</v>
      </c>
      <c r="Q4" s="259">
        <v>33.883398</v>
      </c>
      <c r="R4" s="259">
        <v>12.625458999999999</v>
      </c>
      <c r="S4" s="258">
        <v>9.1494990000000005</v>
      </c>
      <c r="T4" s="258">
        <v>21.530449000000001</v>
      </c>
      <c r="U4" s="257">
        <v>17.676846999999999</v>
      </c>
      <c r="V4" s="256">
        <v>18.615365000000001</v>
      </c>
      <c r="W4" s="245">
        <v>22.299586000000001</v>
      </c>
      <c r="X4" s="245">
        <v>8.6744679999999992</v>
      </c>
      <c r="Y4" s="245">
        <v>4.5923470000000002</v>
      </c>
      <c r="Z4" s="245">
        <v>14.218329000000001</v>
      </c>
      <c r="AA4" s="245">
        <v>33.238545999999999</v>
      </c>
      <c r="AB4" s="244">
        <v>15.908264000000001</v>
      </c>
      <c r="AC4" s="244">
        <v>25.656555999999998</v>
      </c>
      <c r="AD4" s="244">
        <v>8.7244899999999994</v>
      </c>
      <c r="AE4" s="244">
        <v>38.616425</v>
      </c>
      <c r="AF4" s="244">
        <v>16.074694000000001</v>
      </c>
      <c r="AG4" s="244">
        <v>12.775321</v>
      </c>
      <c r="AH4" s="244">
        <v>25.684743000000001</v>
      </c>
      <c r="AI4" s="244">
        <v>20.970490000000002</v>
      </c>
      <c r="AJ4" s="244">
        <v>33.017175999999999</v>
      </c>
      <c r="AK4" s="244">
        <v>15.122108000000001</v>
      </c>
      <c r="AL4" s="244">
        <v>17.782889000000001</v>
      </c>
      <c r="AM4" s="244">
        <v>10.373018999999999</v>
      </c>
      <c r="AN4" s="244">
        <v>14.924951999999999</v>
      </c>
      <c r="AO4" s="244">
        <v>47.552660000000003</v>
      </c>
      <c r="AP4" s="244">
        <v>0.83364499999999997</v>
      </c>
      <c r="AQ4" s="244">
        <v>1.0780430000000001</v>
      </c>
      <c r="AR4" s="244">
        <v>3.5554410000000001</v>
      </c>
      <c r="AS4" s="244">
        <v>13.854087</v>
      </c>
      <c r="AT4" s="244">
        <v>13.742762000000001</v>
      </c>
      <c r="AU4" s="244">
        <v>18.350688999999999</v>
      </c>
      <c r="AV4" s="244">
        <v>3.3960759999999999</v>
      </c>
      <c r="AW4" s="244">
        <v>5.2367319999999999</v>
      </c>
      <c r="AX4" s="244">
        <v>21.401758000000001</v>
      </c>
      <c r="AY4" s="244">
        <v>7.1285759999999998</v>
      </c>
      <c r="AZ4" s="244">
        <v>21.222111000000002</v>
      </c>
      <c r="BA4" s="244">
        <v>4.8688140000000004</v>
      </c>
      <c r="BB4" s="244">
        <v>4.9187779999999997</v>
      </c>
      <c r="BC4" s="244">
        <v>5.2747719999999996</v>
      </c>
      <c r="BD4" s="244">
        <v>9.8771179999999994</v>
      </c>
      <c r="BE4" s="244">
        <v>5.4991180000000002</v>
      </c>
      <c r="BF4" s="244">
        <v>9.2341390000000008</v>
      </c>
      <c r="BG4" s="244">
        <v>10.699536999999999</v>
      </c>
      <c r="BH4" s="244">
        <v>8.3783729999999998</v>
      </c>
      <c r="BI4" s="244">
        <v>14.281655000000001</v>
      </c>
      <c r="BJ4" s="244">
        <v>14.29796</v>
      </c>
      <c r="BK4" s="244">
        <v>14.379068</v>
      </c>
      <c r="BL4" s="244">
        <v>10.751789</v>
      </c>
      <c r="BM4" s="244">
        <v>14.290884999999999</v>
      </c>
      <c r="BN4" s="244">
        <v>2.5938759999999998</v>
      </c>
      <c r="BO4" s="244">
        <v>13.060364999999999</v>
      </c>
      <c r="BP4" s="244">
        <v>30.059694</v>
      </c>
      <c r="BQ4" s="244">
        <v>12.690965</v>
      </c>
      <c r="BR4" s="244">
        <v>9.0794420000000002</v>
      </c>
      <c r="BS4" s="244">
        <v>26.299676999999999</v>
      </c>
      <c r="BT4" s="244">
        <v>16.668416000000001</v>
      </c>
      <c r="BU4" s="244">
        <v>19.295929999999998</v>
      </c>
      <c r="BV4" s="244">
        <v>11.933025000000001</v>
      </c>
      <c r="BW4" s="244">
        <v>20.149723999999999</v>
      </c>
      <c r="BX4" s="244">
        <v>15.783683999999999</v>
      </c>
      <c r="BY4" s="244">
        <v>14.84355</v>
      </c>
      <c r="BZ4" s="244">
        <v>14.756278</v>
      </c>
      <c r="CA4" s="244">
        <v>9.7234350000000003</v>
      </c>
      <c r="CB4" s="244">
        <v>16.133073</v>
      </c>
      <c r="CC4" s="244">
        <v>23.178519000000001</v>
      </c>
      <c r="CD4" s="244">
        <v>7.4749759999999998</v>
      </c>
      <c r="CE4" s="244">
        <v>3.9148749999999999</v>
      </c>
    </row>
    <row r="5" spans="1:83" ht="17.25" x14ac:dyDescent="0.3">
      <c r="A5" s="253" t="s">
        <v>229</v>
      </c>
      <c r="B5" s="252" t="s">
        <v>228</v>
      </c>
      <c r="C5" s="251">
        <v>5.6963E-2</v>
      </c>
      <c r="D5" s="250">
        <v>0</v>
      </c>
      <c r="E5" s="250">
        <v>0.33337699999999998</v>
      </c>
      <c r="F5" s="250">
        <v>8.1715999999999997E-2</v>
      </c>
      <c r="G5" s="250">
        <v>8.8495000000000004E-2</v>
      </c>
      <c r="H5" s="250">
        <v>0.06</v>
      </c>
      <c r="I5" s="250">
        <v>8.0935000000000007E-2</v>
      </c>
      <c r="J5" s="250">
        <v>0</v>
      </c>
      <c r="K5" s="250">
        <v>0.110419</v>
      </c>
      <c r="L5" s="250">
        <v>9.5311999999999994E-2</v>
      </c>
      <c r="M5" s="249">
        <v>0.16456499999999999</v>
      </c>
      <c r="N5" s="248">
        <v>0.15740499999999999</v>
      </c>
      <c r="O5" s="248">
        <v>0.12311900000000001</v>
      </c>
      <c r="P5" s="248">
        <v>0.11644699999999999</v>
      </c>
      <c r="Q5" s="248">
        <v>0.106917</v>
      </c>
      <c r="R5" s="248">
        <v>7.5231999999999993E-2</v>
      </c>
      <c r="S5" s="247">
        <v>0.19464600000000001</v>
      </c>
      <c r="T5" s="247">
        <v>0.126799</v>
      </c>
      <c r="U5" s="246">
        <v>0.13516700000000001</v>
      </c>
      <c r="V5" s="245">
        <v>0.13192200000000001</v>
      </c>
      <c r="W5" s="245">
        <v>8.3565E-2</v>
      </c>
      <c r="X5" s="245">
        <v>0.22316900000000001</v>
      </c>
      <c r="Y5" s="245">
        <v>0.60202</v>
      </c>
      <c r="Z5" s="245">
        <v>0.20648900000000001</v>
      </c>
      <c r="AA5" s="245">
        <v>0.15102699999999999</v>
      </c>
      <c r="AB5" s="244">
        <v>0.10317900000000001</v>
      </c>
      <c r="AC5" s="244">
        <v>0.19361800000000001</v>
      </c>
      <c r="AD5" s="244">
        <v>5.7688000000000003E-2</v>
      </c>
      <c r="AE5" s="244">
        <v>0.36304399999999998</v>
      </c>
      <c r="AF5" s="244">
        <v>0.457484</v>
      </c>
      <c r="AG5" s="244">
        <v>7.0125999999999994E-2</v>
      </c>
      <c r="AH5" s="244">
        <v>0.305259</v>
      </c>
      <c r="AI5" s="244">
        <v>0.29752400000000001</v>
      </c>
      <c r="AJ5" s="244">
        <v>0.22128100000000001</v>
      </c>
      <c r="AK5" s="244">
        <v>5.8171E-2</v>
      </c>
      <c r="AL5" s="244">
        <v>0.11738999999999999</v>
      </c>
      <c r="AM5" s="244">
        <v>6.3272999999999996E-2</v>
      </c>
      <c r="AN5" s="244">
        <v>7.5573000000000001E-2</v>
      </c>
      <c r="AO5" s="244">
        <v>0.114354</v>
      </c>
      <c r="AP5" s="244">
        <v>0.100505</v>
      </c>
      <c r="AQ5" s="244">
        <v>5.5555E-2</v>
      </c>
      <c r="AR5" s="244">
        <v>5.808E-2</v>
      </c>
      <c r="AS5" s="244">
        <v>6.5739000000000006E-2</v>
      </c>
      <c r="AT5" s="244">
        <v>6.6241999999999995E-2</v>
      </c>
      <c r="AU5" s="244">
        <v>6.3370999999999997E-2</v>
      </c>
      <c r="AV5" s="244">
        <v>6.3370999999999997E-2</v>
      </c>
      <c r="AW5" s="244">
        <v>6.0682E-2</v>
      </c>
      <c r="AX5" s="244">
        <v>9.1603000000000004E-2</v>
      </c>
      <c r="AY5" s="244">
        <v>0.129936</v>
      </c>
      <c r="AZ5" s="244">
        <v>7.0886000000000005E-2</v>
      </c>
      <c r="BA5" s="244">
        <v>5.4808999999999997E-2</v>
      </c>
      <c r="BB5" s="244">
        <v>0.12500600000000001</v>
      </c>
      <c r="BC5" s="244">
        <v>1.280346</v>
      </c>
      <c r="BD5" s="244">
        <v>0.56854800000000005</v>
      </c>
      <c r="BE5" s="244">
        <v>4.9703999999999998E-2</v>
      </c>
      <c r="BF5" s="244">
        <v>0.17388100000000001</v>
      </c>
      <c r="BG5" s="244">
        <v>9.6611000000000002E-2</v>
      </c>
      <c r="BH5" s="244">
        <v>6.6E-3</v>
      </c>
      <c r="BI5" s="244">
        <v>7.6832999999999999E-2</v>
      </c>
      <c r="BJ5" s="244">
        <v>8.7961999999999999E-2</v>
      </c>
      <c r="BK5" s="244">
        <v>0.57107399999999997</v>
      </c>
      <c r="BL5" s="244">
        <v>0.149862</v>
      </c>
      <c r="BM5" s="244">
        <v>5.9089999999999997E-2</v>
      </c>
      <c r="BN5" s="244">
        <v>0.53156199999999998</v>
      </c>
      <c r="BO5" s="244">
        <v>8.1206E-2</v>
      </c>
      <c r="BP5" s="244">
        <v>0.14510400000000001</v>
      </c>
      <c r="BQ5" s="244">
        <v>1.4244429999999999</v>
      </c>
      <c r="BR5" s="244">
        <v>6.5716999999999998E-2</v>
      </c>
      <c r="BS5" s="244">
        <v>7.4359999999999996E-2</v>
      </c>
      <c r="BT5" s="244">
        <v>8.5011000000000003E-2</v>
      </c>
      <c r="BU5" s="244">
        <v>0.182255</v>
      </c>
      <c r="BV5" s="244">
        <v>0.103895</v>
      </c>
      <c r="BW5" s="244">
        <v>0.21160000000000001</v>
      </c>
      <c r="BX5" s="244">
        <v>0.16530700000000001</v>
      </c>
      <c r="BY5" s="244">
        <v>0.102754</v>
      </c>
      <c r="BZ5" s="244">
        <v>0.307944</v>
      </c>
      <c r="CA5" s="244">
        <v>0.277563</v>
      </c>
      <c r="CB5" s="244">
        <v>8.6734000000000006E-2</v>
      </c>
      <c r="CC5" s="244">
        <v>0.121598</v>
      </c>
      <c r="CD5" s="244">
        <v>0.12590000000000001</v>
      </c>
      <c r="CE5" s="244">
        <v>0.157141</v>
      </c>
    </row>
    <row r="6" spans="1:83" ht="17.25" x14ac:dyDescent="0.3">
      <c r="A6" s="253" t="s">
        <v>227</v>
      </c>
      <c r="B6" s="252" t="s">
        <v>226</v>
      </c>
      <c r="C6" s="251">
        <v>29.304874000000002</v>
      </c>
      <c r="D6" s="250">
        <v>42.797502999999999</v>
      </c>
      <c r="E6" s="250">
        <v>57.191203999999999</v>
      </c>
      <c r="F6" s="250">
        <v>42.447845000000001</v>
      </c>
      <c r="G6" s="250">
        <v>41.922502000000001</v>
      </c>
      <c r="H6" s="250">
        <v>51.261707000000001</v>
      </c>
      <c r="I6" s="250">
        <v>38.661414000000001</v>
      </c>
      <c r="J6" s="250">
        <v>56.411845999999997</v>
      </c>
      <c r="K6" s="250">
        <v>40.793962999999998</v>
      </c>
      <c r="L6" s="250">
        <v>44.272258999999998</v>
      </c>
      <c r="M6" s="249">
        <v>46.077491999999999</v>
      </c>
      <c r="N6" s="248">
        <v>50.558067999999999</v>
      </c>
      <c r="O6" s="248">
        <v>42.081018999999998</v>
      </c>
      <c r="P6" s="248">
        <v>52.432369000000001</v>
      </c>
      <c r="Q6" s="248">
        <v>59.043982999999997</v>
      </c>
      <c r="R6" s="248">
        <v>44.538894999999997</v>
      </c>
      <c r="S6" s="247">
        <v>41.093724000000002</v>
      </c>
      <c r="T6" s="247">
        <v>46.138254000000003</v>
      </c>
      <c r="U6" s="246">
        <v>40.056527000000003</v>
      </c>
      <c r="V6" s="245">
        <v>65.629696999999993</v>
      </c>
      <c r="W6" s="245">
        <v>56.089705000000002</v>
      </c>
      <c r="X6" s="245">
        <v>52.318415999999999</v>
      </c>
      <c r="Y6" s="245">
        <v>52.261741000000001</v>
      </c>
      <c r="Z6" s="245">
        <v>41.400987999999998</v>
      </c>
      <c r="AA6" s="245">
        <v>50.790494000000002</v>
      </c>
      <c r="AB6" s="244">
        <v>59.976903999999998</v>
      </c>
      <c r="AC6" s="244">
        <v>55.851664999999997</v>
      </c>
      <c r="AD6" s="244">
        <v>55.101686999999998</v>
      </c>
      <c r="AE6" s="244">
        <v>54.342753000000002</v>
      </c>
      <c r="AF6" s="244">
        <v>22.355618</v>
      </c>
      <c r="AG6" s="244">
        <v>37.045240999999997</v>
      </c>
      <c r="AH6" s="244">
        <v>44.993433000000003</v>
      </c>
      <c r="AI6" s="244">
        <v>39.970992000000003</v>
      </c>
      <c r="AJ6" s="244">
        <v>43.387492000000002</v>
      </c>
      <c r="AK6" s="244">
        <v>43.131810999999999</v>
      </c>
      <c r="AL6" s="244">
        <v>43.998997000000003</v>
      </c>
      <c r="AM6" s="244">
        <v>33.906036999999998</v>
      </c>
      <c r="AN6" s="244">
        <v>40.209905999999997</v>
      </c>
      <c r="AO6" s="244">
        <v>30.195255</v>
      </c>
      <c r="AP6" s="244">
        <v>6.8237379999999996</v>
      </c>
      <c r="AQ6" s="244">
        <v>5.8710789999999999</v>
      </c>
      <c r="AR6" s="244">
        <v>18.659227999999999</v>
      </c>
      <c r="AS6" s="244">
        <v>21.353572</v>
      </c>
      <c r="AT6" s="244">
        <v>16.206496000000001</v>
      </c>
      <c r="AU6" s="244">
        <v>22.866712</v>
      </c>
      <c r="AV6" s="244">
        <v>28.514106000000002</v>
      </c>
      <c r="AW6" s="244">
        <v>36.268852000000003</v>
      </c>
      <c r="AX6" s="244">
        <v>32.477890000000002</v>
      </c>
      <c r="AY6" s="244">
        <v>21.619047999999999</v>
      </c>
      <c r="AZ6" s="244">
        <v>29.167435000000001</v>
      </c>
      <c r="BA6" s="244">
        <v>20.596738999999999</v>
      </c>
      <c r="BB6" s="244">
        <v>25.683298000000001</v>
      </c>
      <c r="BC6" s="244">
        <v>15.682479000000001</v>
      </c>
      <c r="BD6" s="244">
        <v>24.871199000000001</v>
      </c>
      <c r="BE6" s="244">
        <v>22.791371999999999</v>
      </c>
      <c r="BF6" s="244">
        <v>19.636520999999998</v>
      </c>
      <c r="BG6" s="244">
        <v>22.681912000000001</v>
      </c>
      <c r="BH6" s="244">
        <v>36.458638999999998</v>
      </c>
      <c r="BI6" s="244">
        <v>20.110769000000001</v>
      </c>
      <c r="BJ6" s="244">
        <v>27.789304000000001</v>
      </c>
      <c r="BK6" s="244">
        <v>25.260055000000001</v>
      </c>
      <c r="BL6" s="244">
        <v>24.168536</v>
      </c>
      <c r="BM6" s="244">
        <v>28.834779999999999</v>
      </c>
      <c r="BN6" s="244">
        <v>21.146049999999999</v>
      </c>
      <c r="BO6" s="244">
        <v>29.470692</v>
      </c>
      <c r="BP6" s="244">
        <v>37.555416999999998</v>
      </c>
      <c r="BQ6" s="244">
        <v>19.956576999999999</v>
      </c>
      <c r="BR6" s="244">
        <v>32.699133000000003</v>
      </c>
      <c r="BS6" s="244">
        <v>25.223586999999998</v>
      </c>
      <c r="BT6" s="244">
        <v>27.432335999999999</v>
      </c>
      <c r="BU6" s="244">
        <v>21.889386999999999</v>
      </c>
      <c r="BV6" s="244">
        <v>36.726318999999997</v>
      </c>
      <c r="BW6" s="244">
        <v>23.526541999999999</v>
      </c>
      <c r="BX6" s="244">
        <v>26.1</v>
      </c>
      <c r="BY6" s="244">
        <v>17.308239</v>
      </c>
      <c r="BZ6" s="244">
        <v>25.564316999999999</v>
      </c>
      <c r="CA6" s="244">
        <v>21.337695</v>
      </c>
      <c r="CB6" s="244">
        <v>27.753304</v>
      </c>
      <c r="CC6" s="244">
        <v>26.817651999999999</v>
      </c>
      <c r="CD6" s="244">
        <v>18.755148999999999</v>
      </c>
      <c r="CE6" s="244">
        <v>13.635631999999999</v>
      </c>
    </row>
    <row r="7" spans="1:83" ht="17.25" x14ac:dyDescent="0.3">
      <c r="A7" s="253" t="s">
        <v>225</v>
      </c>
      <c r="B7" s="252" t="s">
        <v>224</v>
      </c>
      <c r="C7" s="251">
        <v>0.25201200000000001</v>
      </c>
      <c r="D7" s="250">
        <v>0</v>
      </c>
      <c r="E7" s="250">
        <v>0</v>
      </c>
      <c r="F7" s="250">
        <v>0.124349</v>
      </c>
      <c r="G7" s="250">
        <v>0</v>
      </c>
      <c r="H7" s="250">
        <v>0</v>
      </c>
      <c r="I7" s="250">
        <v>9.8416000000000003E-2</v>
      </c>
      <c r="J7" s="250">
        <v>0</v>
      </c>
      <c r="K7" s="250">
        <v>9.2979000000000006E-2</v>
      </c>
      <c r="L7" s="250">
        <v>9.6134999999999998E-2</v>
      </c>
      <c r="M7" s="249">
        <v>0</v>
      </c>
      <c r="N7" s="248">
        <v>0</v>
      </c>
      <c r="O7" s="248">
        <v>0</v>
      </c>
      <c r="P7" s="248">
        <v>0.235565</v>
      </c>
      <c r="Q7" s="248">
        <v>0.80342000000000002</v>
      </c>
      <c r="R7" s="248">
        <v>0.33926200000000001</v>
      </c>
      <c r="S7" s="247">
        <v>3.0460999999999998E-2</v>
      </c>
      <c r="T7" s="247">
        <v>0.39599099999999998</v>
      </c>
      <c r="U7" s="246">
        <v>0.18997900000000001</v>
      </c>
      <c r="V7" s="245">
        <v>0.15114</v>
      </c>
      <c r="W7" s="245">
        <v>7.3327000000000003E-2</v>
      </c>
      <c r="X7" s="245">
        <v>0.131684</v>
      </c>
      <c r="Y7" s="245">
        <v>2.9197000000000001E-2</v>
      </c>
      <c r="Z7" s="245">
        <v>0.29869499999999999</v>
      </c>
      <c r="AA7" s="245">
        <v>0.57658799999999999</v>
      </c>
      <c r="AB7" s="244">
        <v>0.10205500000000001</v>
      </c>
      <c r="AC7" s="244">
        <v>4.2382000000000003E-2</v>
      </c>
      <c r="AD7" s="244">
        <v>0.26965299999999998</v>
      </c>
      <c r="AE7" s="244">
        <v>0.20058899999999999</v>
      </c>
      <c r="AF7" s="244">
        <v>0.80079900000000004</v>
      </c>
      <c r="AG7" s="244">
        <v>0.115</v>
      </c>
      <c r="AH7" s="244">
        <v>0.28498899999999999</v>
      </c>
      <c r="AI7" s="244">
        <v>0.30367499999999997</v>
      </c>
      <c r="AJ7" s="244">
        <v>0.20729300000000001</v>
      </c>
      <c r="AK7" s="244">
        <v>0.47078599999999998</v>
      </c>
      <c r="AL7" s="244">
        <v>1.0217529999999999</v>
      </c>
      <c r="AM7" s="244">
        <v>0</v>
      </c>
      <c r="AN7" s="244">
        <v>0.28179999999999999</v>
      </c>
      <c r="AO7" s="244">
        <v>0.17294899999999999</v>
      </c>
      <c r="AP7" s="244">
        <v>8.4647E-2</v>
      </c>
      <c r="AQ7" s="244">
        <v>2.9863000000000001E-2</v>
      </c>
      <c r="AR7" s="244">
        <v>7.0000000000000007E-2</v>
      </c>
      <c r="AS7" s="244">
        <v>0.20422000000000001</v>
      </c>
      <c r="AT7" s="244">
        <v>2.5264000000000002E-2</v>
      </c>
      <c r="AU7" s="244">
        <v>0.21925600000000001</v>
      </c>
      <c r="AV7" s="244">
        <v>0.14507</v>
      </c>
      <c r="AW7" s="244">
        <v>0.154858</v>
      </c>
      <c r="AX7" s="244">
        <v>0.109857</v>
      </c>
      <c r="AY7" s="244">
        <v>0</v>
      </c>
      <c r="AZ7" s="244">
        <v>0.12003800000000001</v>
      </c>
      <c r="BA7" s="244">
        <v>1.0249999999999999</v>
      </c>
      <c r="BB7" s="244">
        <v>0.25174000000000002</v>
      </c>
      <c r="BC7" s="244">
        <v>7.0759000000000002E-2</v>
      </c>
      <c r="BD7" s="244">
        <v>0</v>
      </c>
      <c r="BE7" s="244">
        <v>0</v>
      </c>
      <c r="BF7" s="244">
        <v>0.13116900000000001</v>
      </c>
      <c r="BG7" s="244">
        <v>0</v>
      </c>
      <c r="BH7" s="244">
        <v>0.25</v>
      </c>
      <c r="BI7" s="244">
        <v>7.2540999999999994E-2</v>
      </c>
      <c r="BJ7" s="244">
        <v>0.16689200000000001</v>
      </c>
      <c r="BK7" s="244">
        <v>0.48094199999999998</v>
      </c>
      <c r="BL7" s="244">
        <v>2.2263999999999999E-2</v>
      </c>
      <c r="BM7" s="244">
        <v>0.181423</v>
      </c>
      <c r="BN7" s="244">
        <v>0.47599999999999998</v>
      </c>
      <c r="BO7" s="244">
        <v>7.9719999999999999E-2</v>
      </c>
      <c r="BP7" s="244">
        <v>0</v>
      </c>
      <c r="BQ7" s="244">
        <v>7.0729E-2</v>
      </c>
      <c r="BR7" s="244">
        <v>0.112833</v>
      </c>
      <c r="BS7" s="244">
        <v>0.105366</v>
      </c>
      <c r="BT7" s="244">
        <v>1.107</v>
      </c>
      <c r="BU7" s="244">
        <v>0.27741199999999999</v>
      </c>
      <c r="BV7" s="244">
        <v>0.18099999999999999</v>
      </c>
      <c r="BW7" s="244">
        <v>5.5108999999999998E-2</v>
      </c>
      <c r="BX7" s="244">
        <v>7.5999999999999998E-2</v>
      </c>
      <c r="BY7" s="244">
        <v>0.118619</v>
      </c>
      <c r="BZ7" s="244">
        <v>0.54058799999999996</v>
      </c>
      <c r="CA7" s="244">
        <v>0.180005</v>
      </c>
      <c r="CB7" s="244">
        <v>0.32195200000000002</v>
      </c>
      <c r="CC7" s="244">
        <v>0.20077700000000001</v>
      </c>
      <c r="CD7" s="244">
        <v>0.23261100000000001</v>
      </c>
      <c r="CE7" s="244">
        <v>0.374778</v>
      </c>
    </row>
    <row r="8" spans="1:83" ht="33" x14ac:dyDescent="0.3">
      <c r="A8" s="253" t="s">
        <v>223</v>
      </c>
      <c r="B8" s="252" t="s">
        <v>222</v>
      </c>
      <c r="C8" s="251">
        <v>0</v>
      </c>
      <c r="D8" s="250">
        <v>2.5000000000000001E-2</v>
      </c>
      <c r="E8" s="250">
        <v>0.144425</v>
      </c>
      <c r="F8" s="250">
        <v>5.6392999999999999E-2</v>
      </c>
      <c r="G8" s="250">
        <v>6.0682E-2</v>
      </c>
      <c r="H8" s="250">
        <v>9.8736000000000004E-2</v>
      </c>
      <c r="I8" s="250">
        <v>0.37639600000000001</v>
      </c>
      <c r="J8" s="250">
        <v>0.110261</v>
      </c>
      <c r="K8" s="250">
        <v>0.13800000000000001</v>
      </c>
      <c r="L8" s="250">
        <v>0.187</v>
      </c>
      <c r="M8" s="249">
        <v>0.3518</v>
      </c>
      <c r="N8" s="248">
        <v>0.17161999999999999</v>
      </c>
      <c r="O8" s="248">
        <v>0.205757</v>
      </c>
      <c r="P8" s="248">
        <v>0.115276</v>
      </c>
      <c r="Q8" s="248">
        <v>0.197462</v>
      </c>
      <c r="R8" s="248">
        <v>0.240149</v>
      </c>
      <c r="S8" s="247">
        <v>2.5729999999999999E-2</v>
      </c>
      <c r="T8" s="247">
        <v>0.17549100000000001</v>
      </c>
      <c r="U8" s="246">
        <v>0</v>
      </c>
      <c r="V8" s="245">
        <v>4.6100000000000002E-2</v>
      </c>
      <c r="W8" s="245">
        <v>0.1091</v>
      </c>
      <c r="X8" s="245">
        <v>4.7475999999999997E-2</v>
      </c>
      <c r="Y8" s="245">
        <v>9.8365999999999995E-2</v>
      </c>
      <c r="Z8" s="245">
        <v>0.28765499999999999</v>
      </c>
      <c r="AA8" s="245">
        <v>0.12159</v>
      </c>
      <c r="AB8" s="244">
        <v>7.1999999999999995E-2</v>
      </c>
      <c r="AC8" s="244">
        <v>0.22663800000000001</v>
      </c>
      <c r="AD8" s="244">
        <v>0.11433500000000001</v>
      </c>
      <c r="AE8" s="244">
        <v>0.215478</v>
      </c>
      <c r="AF8" s="244">
        <v>0.15579699999999999</v>
      </c>
      <c r="AG8" s="244">
        <v>0.175819</v>
      </c>
      <c r="AH8" s="244">
        <v>7.3886999999999994E-2</v>
      </c>
      <c r="AI8" s="244">
        <v>7.2499999999999995E-2</v>
      </c>
      <c r="AJ8" s="244">
        <v>0.15326799999999999</v>
      </c>
      <c r="AK8" s="244">
        <v>7.7404000000000001E-2</v>
      </c>
      <c r="AL8" s="244">
        <v>0.129936</v>
      </c>
      <c r="AM8" s="244">
        <v>0.05</v>
      </c>
      <c r="AN8" s="244">
        <v>8.2217999999999999E-2</v>
      </c>
      <c r="AO8" s="244">
        <v>0.255081</v>
      </c>
      <c r="AP8" s="244">
        <v>0.20350399999999999</v>
      </c>
      <c r="AQ8" s="244">
        <v>9.3511999999999998E-2</v>
      </c>
      <c r="AR8" s="244">
        <v>2.6224999999999998E-2</v>
      </c>
      <c r="AS8" s="244">
        <v>0</v>
      </c>
      <c r="AT8" s="244">
        <v>0.12069000000000001</v>
      </c>
      <c r="AU8" s="244">
        <v>0.32039499999999999</v>
      </c>
      <c r="AV8" s="244">
        <v>0.54030100000000003</v>
      </c>
      <c r="AW8" s="244">
        <v>0.61093200000000003</v>
      </c>
      <c r="AX8" s="244">
        <v>2.3652899999999999</v>
      </c>
      <c r="AY8" s="244">
        <v>0.812948</v>
      </c>
      <c r="AZ8" s="244">
        <v>1.2743310000000001</v>
      </c>
      <c r="BA8" s="244">
        <v>0.45966899999999999</v>
      </c>
      <c r="BB8" s="244">
        <v>0.49338900000000002</v>
      </c>
      <c r="BC8" s="244">
        <v>0.34645500000000001</v>
      </c>
      <c r="BD8" s="244">
        <v>0.72699100000000005</v>
      </c>
      <c r="BE8" s="244">
        <v>0.90455600000000003</v>
      </c>
      <c r="BF8" s="244">
        <v>1.2069890000000001</v>
      </c>
      <c r="BG8" s="244">
        <v>1.0328630000000001</v>
      </c>
      <c r="BH8" s="244">
        <v>1.4112150000000001</v>
      </c>
      <c r="BI8" s="244">
        <v>0.86967899999999998</v>
      </c>
      <c r="BJ8" s="244">
        <v>1.2497549999999999</v>
      </c>
      <c r="BK8" s="244">
        <v>0.69438900000000003</v>
      </c>
      <c r="BL8" s="244">
        <v>0.88431400000000004</v>
      </c>
      <c r="BM8" s="244">
        <v>1.14097</v>
      </c>
      <c r="BN8" s="244">
        <v>0.94179299999999999</v>
      </c>
      <c r="BO8" s="244">
        <v>1.39795</v>
      </c>
      <c r="BP8" s="244">
        <v>1.463873</v>
      </c>
      <c r="BQ8" s="244">
        <v>0.83068699999999995</v>
      </c>
      <c r="BR8" s="244">
        <v>0.799655</v>
      </c>
      <c r="BS8" s="244">
        <v>0.49894699999999997</v>
      </c>
      <c r="BT8" s="244">
        <v>0.76117199999999996</v>
      </c>
      <c r="BU8" s="244">
        <v>0.50430200000000003</v>
      </c>
      <c r="BV8" s="244">
        <v>0.49655700000000003</v>
      </c>
      <c r="BW8" s="244">
        <v>0.1116</v>
      </c>
      <c r="BX8" s="244">
        <v>8.4000000000000005E-2</v>
      </c>
      <c r="BY8" s="244">
        <v>0.55463600000000002</v>
      </c>
      <c r="BZ8" s="244">
        <v>0.50176299999999996</v>
      </c>
      <c r="CA8" s="244">
        <v>0.70870299999999997</v>
      </c>
      <c r="CB8" s="244">
        <v>0.60499999999999998</v>
      </c>
      <c r="CC8" s="244">
        <v>0.66</v>
      </c>
      <c r="CD8" s="244">
        <v>0.66824600000000001</v>
      </c>
      <c r="CE8" s="244">
        <v>0.56718199999999996</v>
      </c>
    </row>
    <row r="9" spans="1:83" ht="17.25" x14ac:dyDescent="0.3">
      <c r="A9" s="253" t="s">
        <v>221</v>
      </c>
      <c r="B9" s="252" t="s">
        <v>220</v>
      </c>
      <c r="C9" s="251">
        <v>5.7090339999999999</v>
      </c>
      <c r="D9" s="250">
        <v>4.72506</v>
      </c>
      <c r="E9" s="250">
        <v>6.9963550000000003</v>
      </c>
      <c r="F9" s="250">
        <v>5.6935039999999999</v>
      </c>
      <c r="G9" s="250">
        <v>7.1081859999999999</v>
      </c>
      <c r="H9" s="250">
        <v>5.402679</v>
      </c>
      <c r="I9" s="250">
        <v>4.6283310000000002</v>
      </c>
      <c r="J9" s="250">
        <v>5.4014879999999996</v>
      </c>
      <c r="K9" s="250">
        <v>6.0429560000000002</v>
      </c>
      <c r="L9" s="250">
        <v>4.5949140000000002</v>
      </c>
      <c r="M9" s="249">
        <v>5.7255159999999998</v>
      </c>
      <c r="N9" s="248">
        <v>10.06776</v>
      </c>
      <c r="O9" s="248">
        <v>4.2887079999999997</v>
      </c>
      <c r="P9" s="248">
        <v>2.0109119999999998</v>
      </c>
      <c r="Q9" s="248">
        <v>3.0099279999999999</v>
      </c>
      <c r="R9" s="248">
        <v>7.6211440000000001</v>
      </c>
      <c r="S9" s="247">
        <v>14.233396000000001</v>
      </c>
      <c r="T9" s="247">
        <v>21.225546999999999</v>
      </c>
      <c r="U9" s="246">
        <v>7.9411480000000001</v>
      </c>
      <c r="V9" s="245">
        <v>8.4437200000000008</v>
      </c>
      <c r="W9" s="245">
        <v>7.9137589999999998</v>
      </c>
      <c r="X9" s="245">
        <v>6.5618610000000004</v>
      </c>
      <c r="Y9" s="245">
        <v>6.0944180000000001</v>
      </c>
      <c r="Z9" s="245">
        <v>5.1950260000000004</v>
      </c>
      <c r="AA9" s="245">
        <v>3.3406449999999999</v>
      </c>
      <c r="AB9" s="244">
        <v>5.6566210000000003</v>
      </c>
      <c r="AC9" s="244">
        <v>7.0412229999999996</v>
      </c>
      <c r="AD9" s="244">
        <v>11.341716999999999</v>
      </c>
      <c r="AE9" s="244">
        <v>10.454359</v>
      </c>
      <c r="AF9" s="244">
        <v>12.872574999999999</v>
      </c>
      <c r="AG9" s="244">
        <v>11.916658999999999</v>
      </c>
      <c r="AH9" s="244">
        <v>8.1740180000000002</v>
      </c>
      <c r="AI9" s="244">
        <v>37.593952000000002</v>
      </c>
      <c r="AJ9" s="244">
        <v>10.913478</v>
      </c>
      <c r="AK9" s="244">
        <v>7.6604609999999997</v>
      </c>
      <c r="AL9" s="244">
        <v>11.187224000000001</v>
      </c>
      <c r="AM9" s="244">
        <v>4.2421480000000003</v>
      </c>
      <c r="AN9" s="244">
        <v>9.7757310000000004</v>
      </c>
      <c r="AO9" s="244">
        <v>11.350887999999999</v>
      </c>
      <c r="AP9" s="244">
        <v>2.9073720000000001</v>
      </c>
      <c r="AQ9" s="244">
        <v>4.1927519999999996</v>
      </c>
      <c r="AR9" s="244">
        <v>6.5701289999999997</v>
      </c>
      <c r="AS9" s="244">
        <v>5.7636180000000001</v>
      </c>
      <c r="AT9" s="244">
        <v>7.7883990000000001</v>
      </c>
      <c r="AU9" s="244">
        <v>10.820022</v>
      </c>
      <c r="AV9" s="244">
        <v>12.275418</v>
      </c>
      <c r="AW9" s="244">
        <v>6.0508319999999998</v>
      </c>
      <c r="AX9" s="244">
        <v>7.4845470000000001</v>
      </c>
      <c r="AY9" s="244">
        <v>10.658937999999999</v>
      </c>
      <c r="AZ9" s="244">
        <v>6.6359320000000004</v>
      </c>
      <c r="BA9" s="244">
        <v>6.8459560000000002</v>
      </c>
      <c r="BB9" s="244">
        <v>7.5858470000000002</v>
      </c>
      <c r="BC9" s="244">
        <v>6.6279260000000004</v>
      </c>
      <c r="BD9" s="244">
        <v>8.5722439999999995</v>
      </c>
      <c r="BE9" s="244">
        <v>3.0553919999999999</v>
      </c>
      <c r="BF9" s="244">
        <v>4.4513360000000004</v>
      </c>
      <c r="BG9" s="244">
        <v>6.7667349999999997</v>
      </c>
      <c r="BH9" s="244">
        <v>7.2709970000000004</v>
      </c>
      <c r="BI9" s="244">
        <v>7.261406</v>
      </c>
      <c r="BJ9" s="244">
        <v>7.4608930000000004</v>
      </c>
      <c r="BK9" s="244">
        <v>6.5336980000000002</v>
      </c>
      <c r="BL9" s="244">
        <v>10.172834</v>
      </c>
      <c r="BM9" s="244">
        <v>5.2422560000000002</v>
      </c>
      <c r="BN9" s="244">
        <v>5.2114180000000001</v>
      </c>
      <c r="BO9" s="244">
        <v>9.8334949999999992</v>
      </c>
      <c r="BP9" s="244">
        <v>9.9564640000000004</v>
      </c>
      <c r="BQ9" s="244">
        <v>8.0200150000000008</v>
      </c>
      <c r="BR9" s="244">
        <v>9.4604660000000003</v>
      </c>
      <c r="BS9" s="244">
        <v>10.752843</v>
      </c>
      <c r="BT9" s="244">
        <v>5.658048</v>
      </c>
      <c r="BU9" s="244">
        <v>10.301014</v>
      </c>
      <c r="BV9" s="244">
        <v>10.130041</v>
      </c>
      <c r="BW9" s="244">
        <v>12.721728000000001</v>
      </c>
      <c r="BX9" s="244">
        <v>10.690343</v>
      </c>
      <c r="BY9" s="244">
        <v>7.9726840000000001</v>
      </c>
      <c r="BZ9" s="244">
        <v>6.6283640000000004</v>
      </c>
      <c r="CA9" s="244">
        <v>8.7294470000000004</v>
      </c>
      <c r="CB9" s="244">
        <v>7.4330350000000003</v>
      </c>
      <c r="CC9" s="244">
        <v>12.737263</v>
      </c>
      <c r="CD9" s="244">
        <v>11.496491000000001</v>
      </c>
      <c r="CE9" s="244">
        <v>9.6781640000000007</v>
      </c>
    </row>
    <row r="10" spans="1:83" ht="17.25" x14ac:dyDescent="0.3">
      <c r="A10" s="254" t="s">
        <v>219</v>
      </c>
      <c r="B10" s="252" t="s">
        <v>218</v>
      </c>
      <c r="C10" s="251">
        <v>5.1263430000000003</v>
      </c>
      <c r="D10" s="250">
        <v>3.4367529999999999</v>
      </c>
      <c r="E10" s="250">
        <v>6.2502149999999999</v>
      </c>
      <c r="F10" s="250">
        <v>4.2702999999999998</v>
      </c>
      <c r="G10" s="250">
        <v>6.5344410000000002</v>
      </c>
      <c r="H10" s="250">
        <v>8.8786640000000006</v>
      </c>
      <c r="I10" s="250">
        <v>12.854523</v>
      </c>
      <c r="J10" s="250">
        <v>6.5076349999999996</v>
      </c>
      <c r="K10" s="250">
        <v>5.0116719999999999</v>
      </c>
      <c r="L10" s="250">
        <v>4.8070029999999999</v>
      </c>
      <c r="M10" s="249">
        <v>13.352624</v>
      </c>
      <c r="N10" s="248">
        <v>6.858536</v>
      </c>
      <c r="O10" s="248">
        <v>7.3405199999999997</v>
      </c>
      <c r="P10" s="248">
        <v>8.4053679999999993</v>
      </c>
      <c r="Q10" s="248">
        <v>8.4774410000000007</v>
      </c>
      <c r="R10" s="248">
        <v>32.752226</v>
      </c>
      <c r="S10" s="247">
        <v>8.5947650000000007</v>
      </c>
      <c r="T10" s="247">
        <v>7.8002560000000001</v>
      </c>
      <c r="U10" s="246">
        <v>11.636174</v>
      </c>
      <c r="V10" s="245">
        <v>7.3858800000000002</v>
      </c>
      <c r="W10" s="245">
        <v>8.4827290000000009</v>
      </c>
      <c r="X10" s="245">
        <v>7.2464839999999997</v>
      </c>
      <c r="Y10" s="245">
        <v>6.3147779999999996</v>
      </c>
      <c r="Z10" s="245">
        <v>9.3506409999999995</v>
      </c>
      <c r="AA10" s="245">
        <v>7.1848720000000004</v>
      </c>
      <c r="AB10" s="244">
        <v>6.7489429999999997</v>
      </c>
      <c r="AC10" s="244">
        <v>8.9610269999999996</v>
      </c>
      <c r="AD10" s="244">
        <v>7.585655</v>
      </c>
      <c r="AE10" s="244">
        <v>10.932717999999999</v>
      </c>
      <c r="AF10" s="244">
        <v>9.9077000000000002</v>
      </c>
      <c r="AG10" s="244">
        <v>7.0129520000000003</v>
      </c>
      <c r="AH10" s="244">
        <v>9.4636080000000007</v>
      </c>
      <c r="AI10" s="244">
        <v>11.082891999999999</v>
      </c>
      <c r="AJ10" s="244">
        <v>11.233559</v>
      </c>
      <c r="AK10" s="244">
        <v>8.4855859999999996</v>
      </c>
      <c r="AL10" s="244">
        <v>10.973217</v>
      </c>
      <c r="AM10" s="244">
        <v>11.074468</v>
      </c>
      <c r="AN10" s="244">
        <v>9.3013739999999991</v>
      </c>
      <c r="AO10" s="244">
        <v>9.6804070000000007</v>
      </c>
      <c r="AP10" s="244">
        <v>5.697419</v>
      </c>
      <c r="AQ10" s="244">
        <v>3.5365570000000002</v>
      </c>
      <c r="AR10" s="244">
        <v>11.263423</v>
      </c>
      <c r="AS10" s="244">
        <v>11.367677</v>
      </c>
      <c r="AT10" s="244">
        <v>3.6524079999999999</v>
      </c>
      <c r="AU10" s="244">
        <v>5.0808929999999997</v>
      </c>
      <c r="AV10" s="244">
        <v>5.301361</v>
      </c>
      <c r="AW10" s="244">
        <v>10.173657</v>
      </c>
      <c r="AX10" s="244">
        <v>16.418175000000002</v>
      </c>
      <c r="AY10" s="244">
        <v>6.7324210000000004</v>
      </c>
      <c r="AZ10" s="244">
        <v>11.065365999999999</v>
      </c>
      <c r="BA10" s="244">
        <v>13.163168000000001</v>
      </c>
      <c r="BB10" s="244">
        <v>4.8917849999999996</v>
      </c>
      <c r="BC10" s="244">
        <v>5.0616529999999997</v>
      </c>
      <c r="BD10" s="244">
        <v>7.1514449999999998</v>
      </c>
      <c r="BE10" s="244">
        <v>7.0651570000000001</v>
      </c>
      <c r="BF10" s="244">
        <v>5.9195010000000003</v>
      </c>
      <c r="BG10" s="244">
        <v>6.4331690000000004</v>
      </c>
      <c r="BH10" s="244">
        <v>6.4818530000000001</v>
      </c>
      <c r="BI10" s="244">
        <v>7.6910179999999997</v>
      </c>
      <c r="BJ10" s="244">
        <v>8.4262730000000001</v>
      </c>
      <c r="BK10" s="244">
        <v>6.975803</v>
      </c>
      <c r="BL10" s="244">
        <v>8.6778410000000008</v>
      </c>
      <c r="BM10" s="244">
        <v>6.7567729999999999</v>
      </c>
      <c r="BN10" s="244">
        <v>5.4746189999999997</v>
      </c>
      <c r="BO10" s="244">
        <v>7.2185009999999998</v>
      </c>
      <c r="BP10" s="244">
        <v>9.840814</v>
      </c>
      <c r="BQ10" s="244">
        <v>5.8746409999999996</v>
      </c>
      <c r="BR10" s="244">
        <v>6.5762999999999998</v>
      </c>
      <c r="BS10" s="244">
        <v>6.0965290000000003</v>
      </c>
      <c r="BT10" s="244">
        <v>8.3053050000000006</v>
      </c>
      <c r="BU10" s="244">
        <v>6.8560340000000002</v>
      </c>
      <c r="BV10" s="244">
        <v>8.1790590000000005</v>
      </c>
      <c r="BW10" s="244">
        <v>8.7893100000000004</v>
      </c>
      <c r="BX10" s="244">
        <v>6.0699909999999999</v>
      </c>
      <c r="BY10" s="244">
        <v>8.7084910000000004</v>
      </c>
      <c r="BZ10" s="244">
        <v>9.1225769999999997</v>
      </c>
      <c r="CA10" s="244">
        <v>6.0604490000000002</v>
      </c>
      <c r="CB10" s="244">
        <v>11.343278</v>
      </c>
      <c r="CC10" s="244">
        <v>7.34</v>
      </c>
      <c r="CD10" s="244">
        <v>5.4042510000000004</v>
      </c>
      <c r="CE10" s="244">
        <v>5.5166959999999996</v>
      </c>
    </row>
    <row r="11" spans="1:83" ht="17.25" x14ac:dyDescent="0.3">
      <c r="A11" s="253" t="s">
        <v>217</v>
      </c>
      <c r="B11" s="252" t="s">
        <v>216</v>
      </c>
      <c r="C11" s="251">
        <v>7.6368609999999997</v>
      </c>
      <c r="D11" s="250">
        <v>8.2872880000000002</v>
      </c>
      <c r="E11" s="250">
        <v>6.0912790000000001</v>
      </c>
      <c r="F11" s="250">
        <v>7.3792</v>
      </c>
      <c r="G11" s="250">
        <v>6.6952210000000001</v>
      </c>
      <c r="H11" s="250">
        <v>7.555434</v>
      </c>
      <c r="I11" s="250">
        <v>5.7192439999999998</v>
      </c>
      <c r="J11" s="250">
        <v>6.3829440000000002</v>
      </c>
      <c r="K11" s="250">
        <v>11.995806999999999</v>
      </c>
      <c r="L11" s="250">
        <v>5.8849900000000002</v>
      </c>
      <c r="M11" s="249">
        <v>9.2543600000000001</v>
      </c>
      <c r="N11" s="248">
        <v>6.2743719999999996</v>
      </c>
      <c r="O11" s="248">
        <v>8.3367559999999994</v>
      </c>
      <c r="P11" s="248">
        <v>7.3876920000000004</v>
      </c>
      <c r="Q11" s="248">
        <v>9.9697060000000004</v>
      </c>
      <c r="R11" s="248">
        <v>7.6708530000000001</v>
      </c>
      <c r="S11" s="247">
        <v>8.4086429999999996</v>
      </c>
      <c r="T11" s="247">
        <v>7.8298670000000001</v>
      </c>
      <c r="U11" s="246">
        <v>6.2708959999999996</v>
      </c>
      <c r="V11" s="245">
        <v>5.5082230000000001</v>
      </c>
      <c r="W11" s="245">
        <v>6.5140849999999997</v>
      </c>
      <c r="X11" s="245">
        <v>9.4602079999999997</v>
      </c>
      <c r="Y11" s="245">
        <v>4.109864</v>
      </c>
      <c r="Z11" s="245">
        <v>8.5202869999999997</v>
      </c>
      <c r="AA11" s="245">
        <v>4.6912830000000003</v>
      </c>
      <c r="AB11" s="244">
        <v>11.864291</v>
      </c>
      <c r="AC11" s="244">
        <v>9.4023719999999997</v>
      </c>
      <c r="AD11" s="244">
        <v>5.3915389999999999</v>
      </c>
      <c r="AE11" s="244">
        <v>6.8963999999999999</v>
      </c>
      <c r="AF11" s="244">
        <v>5.046017</v>
      </c>
      <c r="AG11" s="244">
        <v>6.6539729999999997</v>
      </c>
      <c r="AH11" s="244">
        <v>5.4250999999999996</v>
      </c>
      <c r="AI11" s="244">
        <v>15.74821</v>
      </c>
      <c r="AJ11" s="244">
        <v>6.840014</v>
      </c>
      <c r="AK11" s="244">
        <v>9.9947040000000005</v>
      </c>
      <c r="AL11" s="244">
        <v>8.5225000000000009</v>
      </c>
      <c r="AM11" s="244">
        <v>9.9362840000000006</v>
      </c>
      <c r="AN11" s="244">
        <v>8.4172239999999992</v>
      </c>
      <c r="AO11" s="244">
        <v>9.2940950000000004</v>
      </c>
      <c r="AP11" s="244">
        <v>7.1633570000000004</v>
      </c>
      <c r="AQ11" s="244">
        <v>2.7809650000000001</v>
      </c>
      <c r="AR11" s="244">
        <v>8.5685210000000005</v>
      </c>
      <c r="AS11" s="244">
        <v>6.3571210000000002</v>
      </c>
      <c r="AT11" s="244">
        <v>5.9529870000000003</v>
      </c>
      <c r="AU11" s="244">
        <v>3.6036229999999998</v>
      </c>
      <c r="AV11" s="244">
        <v>7.5814550000000001</v>
      </c>
      <c r="AW11" s="244">
        <v>5.752421</v>
      </c>
      <c r="AX11" s="244">
        <v>8.0433500000000002</v>
      </c>
      <c r="AY11" s="244">
        <v>3.1026479999999999</v>
      </c>
      <c r="AZ11" s="244">
        <v>4.3402130000000003</v>
      </c>
      <c r="BA11" s="244">
        <v>3.9096410000000001</v>
      </c>
      <c r="BB11" s="244">
        <v>4.9874090000000004</v>
      </c>
      <c r="BC11" s="244">
        <v>5.3178780000000003</v>
      </c>
      <c r="BD11" s="244">
        <v>6.4343779999999997</v>
      </c>
      <c r="BE11" s="244">
        <v>6.9966410000000003</v>
      </c>
      <c r="BF11" s="244">
        <v>7.160469</v>
      </c>
      <c r="BG11" s="244">
        <v>5.9111929999999999</v>
      </c>
      <c r="BH11" s="244">
        <v>6.2388579999999996</v>
      </c>
      <c r="BI11" s="244">
        <v>11.689412000000001</v>
      </c>
      <c r="BJ11" s="244">
        <v>9.7557449999999992</v>
      </c>
      <c r="BK11" s="244">
        <v>8.6269840000000002</v>
      </c>
      <c r="BL11" s="244">
        <v>5.8225790000000002</v>
      </c>
      <c r="BM11" s="244">
        <v>6.3053860000000004</v>
      </c>
      <c r="BN11" s="244">
        <v>6.7097449999999998</v>
      </c>
      <c r="BO11" s="244">
        <v>3.8513609999999998</v>
      </c>
      <c r="BP11" s="244">
        <v>5.5032399999999999</v>
      </c>
      <c r="BQ11" s="244">
        <v>5.9072769999999997</v>
      </c>
      <c r="BR11" s="244">
        <v>5.5545410000000004</v>
      </c>
      <c r="BS11" s="244">
        <v>8.7771030000000003</v>
      </c>
      <c r="BT11" s="244">
        <v>6.2679349999999996</v>
      </c>
      <c r="BU11" s="244">
        <v>5.7426320000000004</v>
      </c>
      <c r="BV11" s="244">
        <v>7.6964090000000001</v>
      </c>
      <c r="BW11" s="244">
        <v>4.0643649999999996</v>
      </c>
      <c r="BX11" s="244">
        <v>6.4</v>
      </c>
      <c r="BY11" s="244">
        <v>7.7504970000000002</v>
      </c>
      <c r="BZ11" s="244">
        <v>4.304602</v>
      </c>
      <c r="CA11" s="244">
        <v>6.0498370000000001</v>
      </c>
      <c r="CB11" s="244">
        <v>14.722333000000001</v>
      </c>
      <c r="CC11" s="244">
        <v>6.0882300000000003</v>
      </c>
      <c r="CD11" s="244">
        <v>5.9540850000000001</v>
      </c>
      <c r="CE11" s="244">
        <v>5.4360369999999998</v>
      </c>
    </row>
    <row r="12" spans="1:83" ht="17.25" x14ac:dyDescent="0.3">
      <c r="A12" s="253" t="s">
        <v>215</v>
      </c>
      <c r="B12" s="252" t="s">
        <v>214</v>
      </c>
      <c r="C12" s="251">
        <v>53.426217999999999</v>
      </c>
      <c r="D12" s="250">
        <v>64.535597999999993</v>
      </c>
      <c r="E12" s="250">
        <v>82.866973000000002</v>
      </c>
      <c r="F12" s="250">
        <v>94.768737000000002</v>
      </c>
      <c r="G12" s="250">
        <v>104.0437</v>
      </c>
      <c r="H12" s="250">
        <v>72.312023999999994</v>
      </c>
      <c r="I12" s="250">
        <v>69.541523999999995</v>
      </c>
      <c r="J12" s="250">
        <v>56.878619999999998</v>
      </c>
      <c r="K12" s="250">
        <v>99.026985999999994</v>
      </c>
      <c r="L12" s="250">
        <v>51.895972999999998</v>
      </c>
      <c r="M12" s="249">
        <v>74.986360000000005</v>
      </c>
      <c r="N12" s="248">
        <v>45.483029999999999</v>
      </c>
      <c r="O12" s="248">
        <v>80.698081000000002</v>
      </c>
      <c r="P12" s="248">
        <v>44.420760000000001</v>
      </c>
      <c r="Q12" s="248">
        <v>86.733374999999995</v>
      </c>
      <c r="R12" s="248">
        <v>53.649572999999997</v>
      </c>
      <c r="S12" s="247">
        <v>55.885531</v>
      </c>
      <c r="T12" s="247">
        <v>121.15927499999999</v>
      </c>
      <c r="U12" s="246">
        <v>65.935664000000003</v>
      </c>
      <c r="V12" s="245">
        <v>81.750406999999996</v>
      </c>
      <c r="W12" s="245">
        <v>81.459270000000004</v>
      </c>
      <c r="X12" s="245">
        <v>50.266323999999997</v>
      </c>
      <c r="Y12" s="245">
        <v>31.536480000000001</v>
      </c>
      <c r="Z12" s="245">
        <v>53.973660000000002</v>
      </c>
      <c r="AA12" s="245">
        <v>89.338319999999996</v>
      </c>
      <c r="AB12" s="244">
        <v>42.272036</v>
      </c>
      <c r="AC12" s="244">
        <v>69.048866000000004</v>
      </c>
      <c r="AD12" s="244">
        <v>75.880795000000006</v>
      </c>
      <c r="AE12" s="244">
        <v>128.037035</v>
      </c>
      <c r="AF12" s="244">
        <v>168.097939</v>
      </c>
      <c r="AG12" s="244">
        <v>61.890943</v>
      </c>
      <c r="AH12" s="244">
        <v>63.087938000000001</v>
      </c>
      <c r="AI12" s="244">
        <v>55.229176000000002</v>
      </c>
      <c r="AJ12" s="244">
        <v>72.500572000000005</v>
      </c>
      <c r="AK12" s="244">
        <v>41.630783999999998</v>
      </c>
      <c r="AL12" s="244">
        <v>54.104399999999998</v>
      </c>
      <c r="AM12" s="244">
        <v>49.927906999999998</v>
      </c>
      <c r="AN12" s="244">
        <v>60.82884</v>
      </c>
      <c r="AO12" s="244">
        <v>33.952812999999999</v>
      </c>
      <c r="AP12" s="244">
        <v>10.668879</v>
      </c>
      <c r="AQ12" s="244">
        <v>5.8606379999999998</v>
      </c>
      <c r="AR12" s="244">
        <v>6.8355220000000001</v>
      </c>
      <c r="AS12" s="244">
        <v>8.2242739999999994</v>
      </c>
      <c r="AT12" s="244">
        <v>8.1669540000000005</v>
      </c>
      <c r="AU12" s="244">
        <v>4.2124300000000003</v>
      </c>
      <c r="AV12" s="244">
        <v>9.6024960000000004</v>
      </c>
      <c r="AW12" s="244">
        <v>9.6851730000000007</v>
      </c>
      <c r="AX12" s="244">
        <v>11.769382999999999</v>
      </c>
      <c r="AY12" s="244">
        <v>4.8192310000000003</v>
      </c>
      <c r="AZ12" s="244">
        <v>2.6483979999999998</v>
      </c>
      <c r="BA12" s="244">
        <v>8.6976040000000001</v>
      </c>
      <c r="BB12" s="244">
        <v>4.6326970000000003</v>
      </c>
      <c r="BC12" s="244">
        <v>8.5869769999999992</v>
      </c>
      <c r="BD12" s="244">
        <v>7.2186329999999996</v>
      </c>
      <c r="BE12" s="244">
        <v>6.3441989999999997</v>
      </c>
      <c r="BF12" s="244">
        <v>4.1917970000000002</v>
      </c>
      <c r="BG12" s="244">
        <v>8.6404060000000005</v>
      </c>
      <c r="BH12" s="244">
        <v>14.799744</v>
      </c>
      <c r="BI12" s="244">
        <v>8.3955540000000006</v>
      </c>
      <c r="BJ12" s="244">
        <v>26.315743000000001</v>
      </c>
      <c r="BK12" s="244">
        <v>18.041675999999999</v>
      </c>
      <c r="BL12" s="244">
        <v>27.446014999999999</v>
      </c>
      <c r="BM12" s="244">
        <v>21.852996999999998</v>
      </c>
      <c r="BN12" s="244">
        <v>11.588480000000001</v>
      </c>
      <c r="BO12" s="244">
        <v>60.295071999999998</v>
      </c>
      <c r="BP12" s="244">
        <v>60.798633000000002</v>
      </c>
      <c r="BQ12" s="244">
        <v>31.99062</v>
      </c>
      <c r="BR12" s="244">
        <v>45.287455999999999</v>
      </c>
      <c r="BS12" s="244">
        <v>42.307338999999999</v>
      </c>
      <c r="BT12" s="244">
        <v>44.751207999999998</v>
      </c>
      <c r="BU12" s="244">
        <v>46.194650000000003</v>
      </c>
      <c r="BV12" s="244">
        <v>60.903588999999997</v>
      </c>
      <c r="BW12" s="244">
        <v>104.826622</v>
      </c>
      <c r="BX12" s="244">
        <v>58.507353999999999</v>
      </c>
      <c r="BY12" s="244">
        <v>106.170219</v>
      </c>
      <c r="BZ12" s="244">
        <v>55.457881999999998</v>
      </c>
      <c r="CA12" s="244">
        <v>51.809528999999998</v>
      </c>
      <c r="CB12" s="244">
        <v>96.524912999999998</v>
      </c>
      <c r="CC12" s="244">
        <v>46.079200999999998</v>
      </c>
      <c r="CD12" s="244">
        <v>32.861581000000001</v>
      </c>
      <c r="CE12" s="244">
        <v>23.4</v>
      </c>
    </row>
    <row r="13" spans="1:83" ht="17.25" x14ac:dyDescent="0.3">
      <c r="A13" s="253" t="s">
        <v>213</v>
      </c>
      <c r="B13" s="252" t="s">
        <v>212</v>
      </c>
      <c r="C13" s="251">
        <v>9.207516</v>
      </c>
      <c r="D13" s="250">
        <v>8.2464300000000001</v>
      </c>
      <c r="E13" s="250">
        <v>10.7303</v>
      </c>
      <c r="F13" s="250">
        <v>6.5820040000000004</v>
      </c>
      <c r="G13" s="250">
        <v>10.258642999999999</v>
      </c>
      <c r="H13" s="250">
        <v>12.803919</v>
      </c>
      <c r="I13" s="250">
        <v>9.2450299999999999</v>
      </c>
      <c r="J13" s="250">
        <v>8.6731719999999992</v>
      </c>
      <c r="K13" s="250">
        <v>9.147176</v>
      </c>
      <c r="L13" s="250">
        <v>8.6683489999999992</v>
      </c>
      <c r="M13" s="249">
        <v>9.1600839999999994</v>
      </c>
      <c r="N13" s="248">
        <v>9.8615549999999992</v>
      </c>
      <c r="O13" s="248">
        <v>11.252027</v>
      </c>
      <c r="P13" s="248">
        <v>10.931773</v>
      </c>
      <c r="Q13" s="248">
        <v>10.412784</v>
      </c>
      <c r="R13" s="248">
        <v>9.0634309999999996</v>
      </c>
      <c r="S13" s="247">
        <v>9.2567210000000006</v>
      </c>
      <c r="T13" s="247">
        <v>10.560203</v>
      </c>
      <c r="U13" s="246">
        <v>10.650332000000001</v>
      </c>
      <c r="V13" s="245">
        <v>14.995312999999999</v>
      </c>
      <c r="W13" s="245">
        <v>12.38101</v>
      </c>
      <c r="X13" s="245">
        <v>12.413981</v>
      </c>
      <c r="Y13" s="245">
        <v>12.105543000000001</v>
      </c>
      <c r="Z13" s="245">
        <v>17.837136000000001</v>
      </c>
      <c r="AA13" s="245">
        <v>12.150854000000001</v>
      </c>
      <c r="AB13" s="244">
        <v>10.027736000000001</v>
      </c>
      <c r="AC13" s="244">
        <v>11.005406000000001</v>
      </c>
      <c r="AD13" s="244">
        <v>12.346831</v>
      </c>
      <c r="AE13" s="244">
        <v>12.284685</v>
      </c>
      <c r="AF13" s="244">
        <v>14.856268999999999</v>
      </c>
      <c r="AG13" s="244">
        <v>13.944611</v>
      </c>
      <c r="AH13" s="244">
        <v>11.733995999999999</v>
      </c>
      <c r="AI13" s="244">
        <v>14.365201000000001</v>
      </c>
      <c r="AJ13" s="244">
        <v>10.618242</v>
      </c>
      <c r="AK13" s="244">
        <v>11.264542</v>
      </c>
      <c r="AL13" s="244">
        <v>16.248145999999998</v>
      </c>
      <c r="AM13" s="244">
        <v>11.108453000000001</v>
      </c>
      <c r="AN13" s="244">
        <v>12.877370000000001</v>
      </c>
      <c r="AO13" s="244">
        <v>10.966037999999999</v>
      </c>
      <c r="AP13" s="244">
        <v>8.588991</v>
      </c>
      <c r="AQ13" s="244">
        <v>7.9975820000000004</v>
      </c>
      <c r="AR13" s="244">
        <v>9.2827009999999994</v>
      </c>
      <c r="AS13" s="244">
        <v>9.8493460000000006</v>
      </c>
      <c r="AT13" s="244">
        <v>9.1804330000000007</v>
      </c>
      <c r="AU13" s="244">
        <v>10.553837</v>
      </c>
      <c r="AV13" s="244">
        <v>12.932024</v>
      </c>
      <c r="AW13" s="244">
        <v>10.600440000000001</v>
      </c>
      <c r="AX13" s="244">
        <v>15.686037000000001</v>
      </c>
      <c r="AY13" s="244">
        <v>10.449502000000001</v>
      </c>
      <c r="AZ13" s="244">
        <v>10.758906</v>
      </c>
      <c r="BA13" s="244">
        <v>8.7454710000000002</v>
      </c>
      <c r="BB13" s="244">
        <v>10.396979999999999</v>
      </c>
      <c r="BC13" s="244">
        <v>10.275873000000001</v>
      </c>
      <c r="BD13" s="244">
        <v>11.974304999999999</v>
      </c>
      <c r="BE13" s="244">
        <v>9.9670489999999994</v>
      </c>
      <c r="BF13" s="244">
        <v>7.5625400000000003</v>
      </c>
      <c r="BG13" s="244">
        <v>11.217712000000001</v>
      </c>
      <c r="BH13" s="244">
        <v>9.8826479999999997</v>
      </c>
      <c r="BI13" s="244">
        <v>13.128902</v>
      </c>
      <c r="BJ13" s="244">
        <v>16.166601</v>
      </c>
      <c r="BK13" s="244">
        <v>14.517336999999999</v>
      </c>
      <c r="BL13" s="244">
        <v>9.7147839999999999</v>
      </c>
      <c r="BM13" s="244">
        <v>13.223113</v>
      </c>
      <c r="BN13" s="244">
        <v>8.4440240000000006</v>
      </c>
      <c r="BO13" s="244">
        <v>13.991196</v>
      </c>
      <c r="BP13" s="244">
        <v>14.521466999999999</v>
      </c>
      <c r="BQ13" s="244">
        <v>13.285735000000001</v>
      </c>
      <c r="BR13" s="244">
        <v>11.309601000000001</v>
      </c>
      <c r="BS13" s="244">
        <v>12.409898</v>
      </c>
      <c r="BT13" s="244">
        <v>16.54815</v>
      </c>
      <c r="BU13" s="244">
        <v>15.969165</v>
      </c>
      <c r="BV13" s="244">
        <v>20.639396999999999</v>
      </c>
      <c r="BW13" s="244">
        <v>14.499622</v>
      </c>
      <c r="BX13" s="244">
        <v>11.365303000000001</v>
      </c>
      <c r="BY13" s="244">
        <v>14.5357</v>
      </c>
      <c r="BZ13" s="244">
        <v>12.161331000000001</v>
      </c>
      <c r="CA13" s="244">
        <v>14.27426</v>
      </c>
      <c r="CB13" s="244">
        <v>15.109025000000001</v>
      </c>
      <c r="CC13" s="244">
        <v>13.751232</v>
      </c>
      <c r="CD13" s="244">
        <v>11.340408</v>
      </c>
      <c r="CE13" s="244">
        <v>11.202477</v>
      </c>
    </row>
    <row r="14" spans="1:83" ht="17.25" x14ac:dyDescent="0.3">
      <c r="A14" s="253" t="s">
        <v>211</v>
      </c>
      <c r="B14" s="252" t="s">
        <v>210</v>
      </c>
      <c r="C14" s="251">
        <v>114.00646</v>
      </c>
      <c r="D14" s="250">
        <v>102.64501</v>
      </c>
      <c r="E14" s="250">
        <v>120.07414900000001</v>
      </c>
      <c r="F14" s="250">
        <v>119.540015</v>
      </c>
      <c r="G14" s="250">
        <v>137.718324</v>
      </c>
      <c r="H14" s="250">
        <v>107.349521</v>
      </c>
      <c r="I14" s="250">
        <v>101.033653</v>
      </c>
      <c r="J14" s="250">
        <v>107.358124</v>
      </c>
      <c r="K14" s="250">
        <v>71.182616999999993</v>
      </c>
      <c r="L14" s="250">
        <v>63.694890999999998</v>
      </c>
      <c r="M14" s="249">
        <v>75.605839000000003</v>
      </c>
      <c r="N14" s="248">
        <v>74.913445999999993</v>
      </c>
      <c r="O14" s="248">
        <v>104.84138400000001</v>
      </c>
      <c r="P14" s="248">
        <v>83.282860999999997</v>
      </c>
      <c r="Q14" s="248">
        <v>71.452680000000001</v>
      </c>
      <c r="R14" s="248">
        <v>62.760581999999999</v>
      </c>
      <c r="S14" s="247">
        <v>94.008680999999996</v>
      </c>
      <c r="T14" s="247">
        <v>82.477615999999998</v>
      </c>
      <c r="U14" s="246">
        <v>82.229297000000003</v>
      </c>
      <c r="V14" s="245">
        <v>74.254378000000003</v>
      </c>
      <c r="W14" s="245">
        <v>67.612024000000005</v>
      </c>
      <c r="X14" s="245">
        <v>81.750320000000002</v>
      </c>
      <c r="Y14" s="245">
        <v>85.290424000000002</v>
      </c>
      <c r="Z14" s="245">
        <v>125.12722100000001</v>
      </c>
      <c r="AA14" s="245">
        <v>86.259099000000006</v>
      </c>
      <c r="AB14" s="244">
        <v>74.326280999999994</v>
      </c>
      <c r="AC14" s="244">
        <v>63.609343000000003</v>
      </c>
      <c r="AD14" s="244">
        <v>73.269070999999997</v>
      </c>
      <c r="AE14" s="244">
        <v>91.847943999999998</v>
      </c>
      <c r="AF14" s="244">
        <v>90.995521999999994</v>
      </c>
      <c r="AG14" s="244">
        <v>85.251741999999993</v>
      </c>
      <c r="AH14" s="244">
        <v>64.448087000000001</v>
      </c>
      <c r="AI14" s="244">
        <v>60.231479</v>
      </c>
      <c r="AJ14" s="244">
        <v>81.040030000000002</v>
      </c>
      <c r="AK14" s="244">
        <v>71.392534999999995</v>
      </c>
      <c r="AL14" s="244">
        <v>71.301535000000001</v>
      </c>
      <c r="AM14" s="244">
        <v>98.627067999999994</v>
      </c>
      <c r="AN14" s="244">
        <v>92.434111999999999</v>
      </c>
      <c r="AO14" s="244">
        <v>69.461793999999998</v>
      </c>
      <c r="AP14" s="244">
        <v>28.311513999999999</v>
      </c>
      <c r="AQ14" s="244">
        <v>17.089189000000001</v>
      </c>
      <c r="AR14" s="244">
        <v>47.822232999999997</v>
      </c>
      <c r="AS14" s="244">
        <v>36.129792000000002</v>
      </c>
      <c r="AT14" s="244">
        <v>69.069166999999993</v>
      </c>
      <c r="AU14" s="244">
        <v>51.279412999999998</v>
      </c>
      <c r="AV14" s="244">
        <v>38.335535</v>
      </c>
      <c r="AW14" s="244">
        <v>37.966628999999998</v>
      </c>
      <c r="AX14" s="244">
        <v>70.228089999999995</v>
      </c>
      <c r="AY14" s="244">
        <v>67.172633000000005</v>
      </c>
      <c r="AZ14" s="244">
        <v>34.487130999999998</v>
      </c>
      <c r="BA14" s="244">
        <v>31.666359</v>
      </c>
      <c r="BB14" s="244">
        <v>31.218091000000001</v>
      </c>
      <c r="BC14" s="244">
        <v>33.588704999999997</v>
      </c>
      <c r="BD14" s="244">
        <v>90.000816</v>
      </c>
      <c r="BE14" s="244">
        <v>45.383921999999998</v>
      </c>
      <c r="BF14" s="244">
        <v>32.290053</v>
      </c>
      <c r="BG14" s="244">
        <v>50.084175999999999</v>
      </c>
      <c r="BH14" s="244">
        <v>28.100016</v>
      </c>
      <c r="BI14" s="244">
        <v>42.623699999999999</v>
      </c>
      <c r="BJ14" s="244">
        <v>43.711995999999999</v>
      </c>
      <c r="BK14" s="244">
        <v>27.456931999999998</v>
      </c>
      <c r="BL14" s="244">
        <v>48.767786000000001</v>
      </c>
      <c r="BM14" s="244">
        <v>31.489614</v>
      </c>
      <c r="BN14" s="244">
        <v>32.264358000000001</v>
      </c>
      <c r="BO14" s="244">
        <v>41.203229999999998</v>
      </c>
      <c r="BP14" s="244">
        <v>47.013683999999998</v>
      </c>
      <c r="BQ14" s="244">
        <v>27.75872</v>
      </c>
      <c r="BR14" s="244">
        <v>25.247232</v>
      </c>
      <c r="BS14" s="244">
        <v>24.419519000000001</v>
      </c>
      <c r="BT14" s="244">
        <v>26.097752</v>
      </c>
      <c r="BU14" s="244">
        <v>25.178761000000002</v>
      </c>
      <c r="BV14" s="244">
        <v>49.524799000000002</v>
      </c>
      <c r="BW14" s="244">
        <v>66.331134000000006</v>
      </c>
      <c r="BX14" s="244">
        <v>63.698552999999997</v>
      </c>
      <c r="BY14" s="244">
        <v>84.872702000000004</v>
      </c>
      <c r="BZ14" s="244">
        <v>56.068897999999997</v>
      </c>
      <c r="CA14" s="244">
        <v>48.728957000000001</v>
      </c>
      <c r="CB14" s="244">
        <v>82.427273</v>
      </c>
      <c r="CC14" s="244">
        <v>65.724819999999994</v>
      </c>
      <c r="CD14" s="244">
        <v>48.942399999999999</v>
      </c>
      <c r="CE14" s="244">
        <v>26.708715999999999</v>
      </c>
    </row>
    <row r="15" spans="1:83" ht="17.25" x14ac:dyDescent="0.3">
      <c r="A15" s="253" t="s">
        <v>209</v>
      </c>
      <c r="B15" s="252" t="s">
        <v>208</v>
      </c>
      <c r="C15" s="251">
        <v>7.4431580000000004</v>
      </c>
      <c r="D15" s="250">
        <v>3.191764</v>
      </c>
      <c r="E15" s="250">
        <v>11.376604</v>
      </c>
      <c r="F15" s="250">
        <v>3.6755200000000001</v>
      </c>
      <c r="G15" s="250">
        <v>6.0751489999999997</v>
      </c>
      <c r="H15" s="250">
        <v>7.1958409999999997</v>
      </c>
      <c r="I15" s="250">
        <v>3.1279710000000001</v>
      </c>
      <c r="J15" s="250">
        <v>40.134290999999997</v>
      </c>
      <c r="K15" s="250">
        <v>6.2871199999999998</v>
      </c>
      <c r="L15" s="250">
        <v>5.1037610000000004</v>
      </c>
      <c r="M15" s="249">
        <v>1.591332</v>
      </c>
      <c r="N15" s="248">
        <v>3.9038390000000001</v>
      </c>
      <c r="O15" s="248">
        <v>0.95578700000000005</v>
      </c>
      <c r="P15" s="248">
        <v>3.9333209999999998</v>
      </c>
      <c r="Q15" s="248">
        <v>4.7058270000000002</v>
      </c>
      <c r="R15" s="248">
        <v>4.3063940000000001</v>
      </c>
      <c r="S15" s="247">
        <v>6.5781109999999998</v>
      </c>
      <c r="T15" s="247">
        <v>2.698734</v>
      </c>
      <c r="U15" s="246">
        <v>15.72723</v>
      </c>
      <c r="V15" s="245">
        <v>5.7628649999999997</v>
      </c>
      <c r="W15" s="245">
        <v>3.1107689999999999</v>
      </c>
      <c r="X15" s="245">
        <v>4.4975189999999996</v>
      </c>
      <c r="Y15" s="245">
        <v>3.9542950000000001</v>
      </c>
      <c r="Z15" s="245">
        <v>3.3524280000000002</v>
      </c>
      <c r="AA15" s="245">
        <v>2.742181</v>
      </c>
      <c r="AB15" s="244">
        <v>3.1589100000000001</v>
      </c>
      <c r="AC15" s="244">
        <v>3.6881569999999999</v>
      </c>
      <c r="AD15" s="244">
        <v>5.2339779999999996</v>
      </c>
      <c r="AE15" s="244">
        <v>7.5805990000000003</v>
      </c>
      <c r="AF15" s="244">
        <v>9.56203</v>
      </c>
      <c r="AG15" s="244">
        <v>6.5123879999999996</v>
      </c>
      <c r="AH15" s="244">
        <v>3.0414300000000001</v>
      </c>
      <c r="AI15" s="244">
        <v>3.3746149999999999</v>
      </c>
      <c r="AJ15" s="244">
        <v>6.2735719999999997</v>
      </c>
      <c r="AK15" s="244">
        <v>2.1273230000000001</v>
      </c>
      <c r="AL15" s="244">
        <v>3.9048210000000001</v>
      </c>
      <c r="AM15" s="244">
        <v>2.713454</v>
      </c>
      <c r="AN15" s="244">
        <v>4.1512169999999999</v>
      </c>
      <c r="AO15" s="244">
        <v>1.2201010000000001</v>
      </c>
      <c r="AP15" s="244">
        <v>1.8744700000000001</v>
      </c>
      <c r="AQ15" s="244">
        <v>2.0163730000000002</v>
      </c>
      <c r="AR15" s="244">
        <v>5.5958399999999999</v>
      </c>
      <c r="AS15" s="244">
        <v>1.4342999999999999</v>
      </c>
      <c r="AT15" s="244">
        <v>2.742451</v>
      </c>
      <c r="AU15" s="244">
        <v>3.3125209999999998</v>
      </c>
      <c r="AV15" s="244">
        <v>4.3478630000000003</v>
      </c>
      <c r="AW15" s="244">
        <v>2.8601549999999998</v>
      </c>
      <c r="AX15" s="244">
        <v>5.0721179999999997</v>
      </c>
      <c r="AY15" s="244">
        <v>2.4470800000000001</v>
      </c>
      <c r="AZ15" s="244">
        <v>2.149197</v>
      </c>
      <c r="BA15" s="244">
        <v>2.24519</v>
      </c>
      <c r="BB15" s="244">
        <v>3.775064</v>
      </c>
      <c r="BC15" s="244">
        <v>2.8862969999999999</v>
      </c>
      <c r="BD15" s="244">
        <v>6.5629229999999996</v>
      </c>
      <c r="BE15" s="244">
        <v>3.9844140000000001</v>
      </c>
      <c r="BF15" s="244">
        <v>4.6550570000000002</v>
      </c>
      <c r="BG15" s="244">
        <v>3.9947360000000001</v>
      </c>
      <c r="BH15" s="244">
        <v>6.0540969999999996</v>
      </c>
      <c r="BI15" s="244">
        <v>3.6082260000000002</v>
      </c>
      <c r="BJ15" s="244">
        <v>8.3489129999999996</v>
      </c>
      <c r="BK15" s="244">
        <v>2.906711</v>
      </c>
      <c r="BL15" s="244">
        <v>6.0146550000000003</v>
      </c>
      <c r="BM15" s="244">
        <v>5.784834</v>
      </c>
      <c r="BN15" s="244">
        <v>4.0607800000000003</v>
      </c>
      <c r="BO15" s="244">
        <v>6.3584889999999996</v>
      </c>
      <c r="BP15" s="244">
        <v>5.7006589999999999</v>
      </c>
      <c r="BQ15" s="244">
        <v>8.3644010000000009</v>
      </c>
      <c r="BR15" s="244">
        <v>6.1159679999999996</v>
      </c>
      <c r="BS15" s="244">
        <v>5.316211</v>
      </c>
      <c r="BT15" s="244">
        <v>4.5838559999999999</v>
      </c>
      <c r="BU15" s="244">
        <v>9.8059689999999993</v>
      </c>
      <c r="BV15" s="244">
        <v>10.545631999999999</v>
      </c>
      <c r="BW15" s="244">
        <v>2.825075</v>
      </c>
      <c r="BX15" s="244">
        <v>8.0114269999999994</v>
      </c>
      <c r="BY15" s="244">
        <v>6.0647659999999997</v>
      </c>
      <c r="BZ15" s="244">
        <v>7.3</v>
      </c>
      <c r="CA15" s="244">
        <v>5.371569</v>
      </c>
      <c r="CB15" s="244">
        <v>4.7081189999999999</v>
      </c>
      <c r="CC15" s="244">
        <v>10.737413</v>
      </c>
      <c r="CD15" s="244">
        <v>12.687657</v>
      </c>
      <c r="CE15" s="244">
        <v>4.2137739999999999</v>
      </c>
    </row>
    <row r="16" spans="1:83" ht="17.25" x14ac:dyDescent="0.3">
      <c r="A16" s="253" t="s">
        <v>207</v>
      </c>
      <c r="B16" s="252" t="s">
        <v>206</v>
      </c>
      <c r="C16" s="251">
        <v>14.810750000000001</v>
      </c>
      <c r="D16" s="250">
        <v>18.382771999999999</v>
      </c>
      <c r="E16" s="250">
        <v>27.526206999999999</v>
      </c>
      <c r="F16" s="250">
        <v>20.808420999999999</v>
      </c>
      <c r="G16" s="250">
        <v>23.058107</v>
      </c>
      <c r="H16" s="250">
        <v>23.266812000000002</v>
      </c>
      <c r="I16" s="250">
        <v>26.023875</v>
      </c>
      <c r="J16" s="250">
        <v>60.637323000000002</v>
      </c>
      <c r="K16" s="250">
        <v>20.461027000000001</v>
      </c>
      <c r="L16" s="250">
        <v>21.849274999999999</v>
      </c>
      <c r="M16" s="249">
        <v>16.305308</v>
      </c>
      <c r="N16" s="248">
        <v>30.725159000000001</v>
      </c>
      <c r="O16" s="248">
        <v>25.048484999999999</v>
      </c>
      <c r="P16" s="248">
        <v>35.716518999999998</v>
      </c>
      <c r="Q16" s="248">
        <v>30.985135</v>
      </c>
      <c r="R16" s="248">
        <v>28.39002</v>
      </c>
      <c r="S16" s="247">
        <v>23.796334999999999</v>
      </c>
      <c r="T16" s="247">
        <v>25.293275999999999</v>
      </c>
      <c r="U16" s="246">
        <v>26.222798999999998</v>
      </c>
      <c r="V16" s="245">
        <v>23.557244000000001</v>
      </c>
      <c r="W16" s="245">
        <v>21.464693</v>
      </c>
      <c r="X16" s="245">
        <v>25.644933999999999</v>
      </c>
      <c r="Y16" s="245">
        <v>25.04571</v>
      </c>
      <c r="Z16" s="245">
        <v>26.928208000000001</v>
      </c>
      <c r="AA16" s="245">
        <v>20.295801999999998</v>
      </c>
      <c r="AB16" s="244">
        <v>26.160764</v>
      </c>
      <c r="AC16" s="244">
        <v>25.497384</v>
      </c>
      <c r="AD16" s="244">
        <v>30.427409999999998</v>
      </c>
      <c r="AE16" s="244">
        <v>37.109676</v>
      </c>
      <c r="AF16" s="244">
        <v>30.006713999999999</v>
      </c>
      <c r="AG16" s="244">
        <v>25.902818</v>
      </c>
      <c r="AH16" s="244">
        <v>19.768214</v>
      </c>
      <c r="AI16" s="244">
        <v>25.938088</v>
      </c>
      <c r="AJ16" s="244">
        <v>22.755818999999999</v>
      </c>
      <c r="AK16" s="244">
        <v>18.760166999999999</v>
      </c>
      <c r="AL16" s="244">
        <v>25.603705999999999</v>
      </c>
      <c r="AM16" s="244">
        <v>18.086220999999998</v>
      </c>
      <c r="AN16" s="244">
        <v>22.651035</v>
      </c>
      <c r="AO16" s="244">
        <v>18.068843000000001</v>
      </c>
      <c r="AP16" s="244">
        <v>15.038517000000001</v>
      </c>
      <c r="AQ16" s="244">
        <v>9.1838599999999992</v>
      </c>
      <c r="AR16" s="244">
        <v>20.804037000000001</v>
      </c>
      <c r="AS16" s="244">
        <v>18.542815999999998</v>
      </c>
      <c r="AT16" s="244">
        <v>17.731045000000002</v>
      </c>
      <c r="AU16" s="244">
        <v>14.943498</v>
      </c>
      <c r="AV16" s="244">
        <v>17.100142000000002</v>
      </c>
      <c r="AW16" s="244">
        <v>14.013667999999999</v>
      </c>
      <c r="AX16" s="244">
        <v>21.938268000000001</v>
      </c>
      <c r="AY16" s="244">
        <v>18.956026000000001</v>
      </c>
      <c r="AZ16" s="244">
        <v>19.120449000000001</v>
      </c>
      <c r="BA16" s="244">
        <v>15.581719</v>
      </c>
      <c r="BB16" s="244">
        <v>15.049244</v>
      </c>
      <c r="BC16" s="244">
        <v>16.306469</v>
      </c>
      <c r="BD16" s="244">
        <v>20.977478999999999</v>
      </c>
      <c r="BE16" s="244">
        <v>16.761240000000001</v>
      </c>
      <c r="BF16" s="244">
        <v>16.620161</v>
      </c>
      <c r="BG16" s="244">
        <v>22.246791999999999</v>
      </c>
      <c r="BH16" s="244">
        <v>22.047243000000002</v>
      </c>
      <c r="BI16" s="244">
        <v>19.265571999999999</v>
      </c>
      <c r="BJ16" s="244">
        <v>29.144825999999998</v>
      </c>
      <c r="BK16" s="244">
        <v>18.562584999999999</v>
      </c>
      <c r="BL16" s="244">
        <v>21.856363000000002</v>
      </c>
      <c r="BM16" s="244">
        <v>19.912134000000002</v>
      </c>
      <c r="BN16" s="244">
        <v>19.779083</v>
      </c>
      <c r="BO16" s="244">
        <v>22.814729</v>
      </c>
      <c r="BP16" s="244">
        <v>25.062252999999998</v>
      </c>
      <c r="BQ16" s="244">
        <v>21.828954</v>
      </c>
      <c r="BR16" s="244">
        <v>22.604915999999999</v>
      </c>
      <c r="BS16" s="244">
        <v>19.374027999999999</v>
      </c>
      <c r="BT16" s="244">
        <v>21.386125</v>
      </c>
      <c r="BU16" s="244">
        <v>18.899604</v>
      </c>
      <c r="BV16" s="244">
        <v>34.921511000000002</v>
      </c>
      <c r="BW16" s="244">
        <v>22.949871000000002</v>
      </c>
      <c r="BX16" s="244">
        <v>22.506843</v>
      </c>
      <c r="BY16" s="244">
        <v>22.644929000000001</v>
      </c>
      <c r="BZ16" s="244">
        <v>20.089765</v>
      </c>
      <c r="CA16" s="244">
        <v>24.421479999999999</v>
      </c>
      <c r="CB16" s="244">
        <v>33.650789000000003</v>
      </c>
      <c r="CC16" s="244">
        <v>25.950355999999999</v>
      </c>
      <c r="CD16" s="244">
        <v>27.48847</v>
      </c>
      <c r="CE16" s="244">
        <v>22.748912000000001</v>
      </c>
    </row>
    <row r="17" spans="1:83" ht="17.25" x14ac:dyDescent="0.3">
      <c r="A17" s="253" t="s">
        <v>205</v>
      </c>
      <c r="B17" s="252" t="s">
        <v>204</v>
      </c>
      <c r="C17" s="251">
        <v>11.024990000000001</v>
      </c>
      <c r="D17" s="250">
        <v>8.6488119999999995</v>
      </c>
      <c r="E17" s="250">
        <v>14.874256000000001</v>
      </c>
      <c r="F17" s="250">
        <v>13.331205000000001</v>
      </c>
      <c r="G17" s="250">
        <v>12.505409999999999</v>
      </c>
      <c r="H17" s="250">
        <v>17.213787</v>
      </c>
      <c r="I17" s="250">
        <v>16.039676</v>
      </c>
      <c r="J17" s="250">
        <v>17.554079000000002</v>
      </c>
      <c r="K17" s="250">
        <v>16.687273000000001</v>
      </c>
      <c r="L17" s="250">
        <v>22.456793000000001</v>
      </c>
      <c r="M17" s="249">
        <v>14.030403</v>
      </c>
      <c r="N17" s="248">
        <v>24.607752000000001</v>
      </c>
      <c r="O17" s="248">
        <v>16.371354</v>
      </c>
      <c r="P17" s="248">
        <v>15.255300999999999</v>
      </c>
      <c r="Q17" s="248">
        <v>18.054186000000001</v>
      </c>
      <c r="R17" s="248">
        <v>16.764921000000001</v>
      </c>
      <c r="S17" s="247">
        <v>14.947494000000001</v>
      </c>
      <c r="T17" s="247">
        <v>16.085007000000001</v>
      </c>
      <c r="U17" s="246">
        <v>15.173658</v>
      </c>
      <c r="V17" s="245">
        <v>15.631684999999999</v>
      </c>
      <c r="W17" s="245">
        <v>13.844137999999999</v>
      </c>
      <c r="X17" s="245">
        <v>15.493772</v>
      </c>
      <c r="Y17" s="245">
        <v>14.563727999999999</v>
      </c>
      <c r="Z17" s="245">
        <v>23.011146</v>
      </c>
      <c r="AA17" s="245">
        <v>15.766283</v>
      </c>
      <c r="AB17" s="244">
        <v>14.026094000000001</v>
      </c>
      <c r="AC17" s="244">
        <v>15.501575000000001</v>
      </c>
      <c r="AD17" s="244">
        <v>16.247378000000001</v>
      </c>
      <c r="AE17" s="244">
        <v>20.437121999999999</v>
      </c>
      <c r="AF17" s="244">
        <v>16.627571</v>
      </c>
      <c r="AG17" s="244">
        <v>17.399487000000001</v>
      </c>
      <c r="AH17" s="244">
        <v>15.289287</v>
      </c>
      <c r="AI17" s="244">
        <v>17.798856000000001</v>
      </c>
      <c r="AJ17" s="244">
        <v>16.343696999999999</v>
      </c>
      <c r="AK17" s="244">
        <v>23.86037</v>
      </c>
      <c r="AL17" s="244">
        <v>25.139966000000001</v>
      </c>
      <c r="AM17" s="244">
        <v>19.553968999999999</v>
      </c>
      <c r="AN17" s="244">
        <v>18.975113</v>
      </c>
      <c r="AO17" s="244">
        <v>18.827112</v>
      </c>
      <c r="AP17" s="244">
        <v>9.3722670000000008</v>
      </c>
      <c r="AQ17" s="244">
        <v>11.707286</v>
      </c>
      <c r="AR17" s="244">
        <v>24.566661</v>
      </c>
      <c r="AS17" s="244">
        <v>10.257107</v>
      </c>
      <c r="AT17" s="244">
        <v>10.866294</v>
      </c>
      <c r="AU17" s="244">
        <v>11.180914</v>
      </c>
      <c r="AV17" s="244">
        <v>10.87777</v>
      </c>
      <c r="AW17" s="244">
        <v>16.379650999999999</v>
      </c>
      <c r="AX17" s="244">
        <v>14.769600000000001</v>
      </c>
      <c r="AY17" s="244">
        <v>13.402728</v>
      </c>
      <c r="AZ17" s="244">
        <v>13.117661</v>
      </c>
      <c r="BA17" s="244">
        <v>13.803005000000001</v>
      </c>
      <c r="BB17" s="244">
        <v>12.504445</v>
      </c>
      <c r="BC17" s="244">
        <v>17.863624999999999</v>
      </c>
      <c r="BD17" s="244">
        <v>16.113136000000001</v>
      </c>
      <c r="BE17" s="244">
        <v>12.028689999999999</v>
      </c>
      <c r="BF17" s="244">
        <v>13.482671</v>
      </c>
      <c r="BG17" s="244">
        <v>11.167394</v>
      </c>
      <c r="BH17" s="244">
        <v>12.940310999999999</v>
      </c>
      <c r="BI17" s="244">
        <v>15.927625000000001</v>
      </c>
      <c r="BJ17" s="244">
        <v>20.273378999999998</v>
      </c>
      <c r="BK17" s="244">
        <v>15.652404000000001</v>
      </c>
      <c r="BL17" s="244">
        <v>16.806367000000002</v>
      </c>
      <c r="BM17" s="244">
        <v>15.841175</v>
      </c>
      <c r="BN17" s="244">
        <v>15.055027000000001</v>
      </c>
      <c r="BO17" s="244">
        <v>14.930101000000001</v>
      </c>
      <c r="BP17" s="244">
        <v>19.138634</v>
      </c>
      <c r="BQ17" s="244">
        <v>18.456568999999998</v>
      </c>
      <c r="BR17" s="244">
        <v>16.870619999999999</v>
      </c>
      <c r="BS17" s="244">
        <v>18.210087000000001</v>
      </c>
      <c r="BT17" s="244">
        <v>19.830000999999999</v>
      </c>
      <c r="BU17" s="244">
        <v>20.862047</v>
      </c>
      <c r="BV17" s="244">
        <v>27.070775000000001</v>
      </c>
      <c r="BW17" s="244">
        <v>20.387011999999999</v>
      </c>
      <c r="BX17" s="244">
        <v>28.696418000000001</v>
      </c>
      <c r="BY17" s="244">
        <v>23.191313999999998</v>
      </c>
      <c r="BZ17" s="244">
        <v>15.976941999999999</v>
      </c>
      <c r="CA17" s="244">
        <v>20.017284</v>
      </c>
      <c r="CB17" s="244">
        <v>23.024121999999998</v>
      </c>
      <c r="CC17" s="244">
        <v>20.702361</v>
      </c>
      <c r="CD17" s="244">
        <v>21.6</v>
      </c>
      <c r="CE17" s="244">
        <v>22.315428000000001</v>
      </c>
    </row>
    <row r="18" spans="1:83" ht="17.25" x14ac:dyDescent="0.3">
      <c r="A18" s="253" t="s">
        <v>203</v>
      </c>
      <c r="B18" s="252" t="s">
        <v>202</v>
      </c>
      <c r="C18" s="251">
        <v>0.13133500000000001</v>
      </c>
      <c r="D18" s="250">
        <v>0.168013</v>
      </c>
      <c r="E18" s="250">
        <v>0.31973499999999999</v>
      </c>
      <c r="F18" s="250">
        <v>0.35592800000000002</v>
      </c>
      <c r="G18" s="250">
        <v>1.3143050000000001</v>
      </c>
      <c r="H18" s="250">
        <v>0.22219800000000001</v>
      </c>
      <c r="I18" s="250">
        <v>0.46631299999999998</v>
      </c>
      <c r="J18" s="250">
        <v>0.35877100000000001</v>
      </c>
      <c r="K18" s="250">
        <v>0.21185000000000001</v>
      </c>
      <c r="L18" s="250">
        <v>0</v>
      </c>
      <c r="M18" s="249">
        <v>0.41243999999999997</v>
      </c>
      <c r="N18" s="248">
        <v>5.9538000000000001E-2</v>
      </c>
      <c r="O18" s="248">
        <v>0.178373</v>
      </c>
      <c r="P18" s="248">
        <v>2.0999750000000001</v>
      </c>
      <c r="Q18" s="248">
        <v>0.373583</v>
      </c>
      <c r="R18" s="248">
        <v>0.110983</v>
      </c>
      <c r="S18" s="247">
        <v>2.3446760000000002</v>
      </c>
      <c r="T18" s="247">
        <v>0.11064</v>
      </c>
      <c r="U18" s="246">
        <v>0.46794799999999998</v>
      </c>
      <c r="V18" s="245">
        <v>7.7188999999999994E-2</v>
      </c>
      <c r="W18" s="245">
        <v>0.11956899999999999</v>
      </c>
      <c r="X18" s="245">
        <v>6.6686999999999996E-2</v>
      </c>
      <c r="Y18" s="245">
        <v>0.108735</v>
      </c>
      <c r="Z18" s="245">
        <v>0.767733</v>
      </c>
      <c r="AA18" s="245">
        <v>0.31524099999999999</v>
      </c>
      <c r="AB18" s="244">
        <v>0.175986</v>
      </c>
      <c r="AC18" s="244">
        <v>0.17774799999999999</v>
      </c>
      <c r="AD18" s="244">
        <v>1.0558069999999999</v>
      </c>
      <c r="AE18" s="244">
        <v>0.33707300000000001</v>
      </c>
      <c r="AF18" s="244">
        <v>1.9436310000000001</v>
      </c>
      <c r="AG18" s="244">
        <v>0.13586799999999999</v>
      </c>
      <c r="AH18" s="244">
        <v>0.50755399999999995</v>
      </c>
      <c r="AI18" s="244">
        <v>5.6032279999999997</v>
      </c>
      <c r="AJ18" s="244">
        <v>1.1672169999999999</v>
      </c>
      <c r="AK18" s="244">
        <v>0.211898</v>
      </c>
      <c r="AL18" s="244">
        <v>0.40614699999999998</v>
      </c>
      <c r="AM18" s="244">
        <v>0.203149</v>
      </c>
      <c r="AN18" s="244">
        <v>5.2344000000000002E-2</v>
      </c>
      <c r="AO18" s="244">
        <v>2.6908999999999999E-2</v>
      </c>
      <c r="AP18" s="244">
        <v>9.4888E-2</v>
      </c>
      <c r="AQ18" s="244">
        <v>0</v>
      </c>
      <c r="AR18" s="244">
        <v>8.2988459999999993</v>
      </c>
      <c r="AS18" s="244">
        <v>0.228377</v>
      </c>
      <c r="AT18" s="244">
        <v>0.43878099999999998</v>
      </c>
      <c r="AU18" s="244">
        <v>1.4211670000000001</v>
      </c>
      <c r="AV18" s="244">
        <v>4.5479580000000004</v>
      </c>
      <c r="AW18" s="244">
        <v>4.4353999999999998E-2</v>
      </c>
      <c r="AX18" s="244">
        <v>0.15443000000000001</v>
      </c>
      <c r="AY18" s="244">
        <v>5.9450000000000003E-2</v>
      </c>
      <c r="AZ18" s="244">
        <v>0.41297499999999998</v>
      </c>
      <c r="BA18" s="244">
        <v>0.41810999999999998</v>
      </c>
      <c r="BB18" s="244">
        <v>0.79246300000000003</v>
      </c>
      <c r="BC18" s="244">
        <v>0.31652799999999998</v>
      </c>
      <c r="BD18" s="244">
        <v>1.574003</v>
      </c>
      <c r="BE18" s="244">
        <v>0.78869</v>
      </c>
      <c r="BF18" s="244">
        <v>1.534089</v>
      </c>
      <c r="BG18" s="244">
        <v>0.76735200000000003</v>
      </c>
      <c r="BH18" s="244">
        <v>0.50174700000000005</v>
      </c>
      <c r="BI18" s="244">
        <v>0.40807500000000002</v>
      </c>
      <c r="BJ18" s="244">
        <v>0.55924099999999999</v>
      </c>
      <c r="BK18" s="244">
        <v>0.33626299999999998</v>
      </c>
      <c r="BL18" s="244">
        <v>0.60155800000000004</v>
      </c>
      <c r="BM18" s="244">
        <v>0.558616</v>
      </c>
      <c r="BN18" s="244">
        <v>1.3050630000000001</v>
      </c>
      <c r="BO18" s="244">
        <v>0.689384</v>
      </c>
      <c r="BP18" s="244">
        <v>6.0433269999999997</v>
      </c>
      <c r="BQ18" s="244">
        <v>0.75215900000000002</v>
      </c>
      <c r="BR18" s="244">
        <v>0.37155700000000003</v>
      </c>
      <c r="BS18" s="244">
        <v>0.31252099999999999</v>
      </c>
      <c r="BT18" s="244">
        <v>0.63604700000000003</v>
      </c>
      <c r="BU18" s="244">
        <v>0.62121000000000004</v>
      </c>
      <c r="BV18" s="244">
        <v>0.71798200000000001</v>
      </c>
      <c r="BW18" s="244">
        <v>0.76688500000000004</v>
      </c>
      <c r="BX18" s="244">
        <v>0.79490799999999995</v>
      </c>
      <c r="BY18" s="244">
        <v>0.72603899999999999</v>
      </c>
      <c r="BZ18" s="244">
        <v>1.1909780000000001</v>
      </c>
      <c r="CA18" s="244">
        <v>0.48689399999999999</v>
      </c>
      <c r="CB18" s="244">
        <v>0.59095799999999998</v>
      </c>
      <c r="CC18" s="244">
        <v>1.030789</v>
      </c>
      <c r="CD18" s="244">
        <v>0.50451400000000002</v>
      </c>
      <c r="CE18" s="244">
        <v>0.58875299999999997</v>
      </c>
    </row>
    <row r="19" spans="1:83" ht="17.25" x14ac:dyDescent="0.3">
      <c r="A19" s="253" t="s">
        <v>201</v>
      </c>
      <c r="B19" s="252" t="s">
        <v>200</v>
      </c>
      <c r="C19" s="251">
        <v>0.29548999999999997</v>
      </c>
      <c r="D19" s="250">
        <v>0.3</v>
      </c>
      <c r="E19" s="250">
        <v>0.155026</v>
      </c>
      <c r="F19" s="250">
        <v>1.238113</v>
      </c>
      <c r="G19" s="250">
        <v>0.67066499999999996</v>
      </c>
      <c r="H19" s="250">
        <v>0.23518500000000001</v>
      </c>
      <c r="I19" s="250">
        <v>0.59591000000000005</v>
      </c>
      <c r="J19" s="250">
        <v>0.648648</v>
      </c>
      <c r="K19" s="250">
        <v>0.67086299999999999</v>
      </c>
      <c r="L19" s="250">
        <v>3.040759</v>
      </c>
      <c r="M19" s="249">
        <v>0.245148</v>
      </c>
      <c r="N19" s="248">
        <v>2.1748180000000001</v>
      </c>
      <c r="O19" s="248">
        <v>0.45817000000000002</v>
      </c>
      <c r="P19" s="248">
        <v>0.56177699999999997</v>
      </c>
      <c r="Q19" s="248">
        <v>0.13452800000000001</v>
      </c>
      <c r="R19" s="248">
        <v>0.86668900000000004</v>
      </c>
      <c r="S19" s="247">
        <v>0.17100000000000001</v>
      </c>
      <c r="T19" s="247">
        <v>0.20044000000000001</v>
      </c>
      <c r="U19" s="246">
        <v>0.30657899999999999</v>
      </c>
      <c r="V19" s="245">
        <v>1.311426</v>
      </c>
      <c r="W19" s="245">
        <v>7.0000000000000007E-2</v>
      </c>
      <c r="X19" s="245">
        <v>0.47996100000000003</v>
      </c>
      <c r="Y19" s="245">
        <v>0.18365899999999999</v>
      </c>
      <c r="Z19" s="245">
        <v>0.69404399999999999</v>
      </c>
      <c r="AA19" s="245">
        <v>0.44184299999999999</v>
      </c>
      <c r="AB19" s="244">
        <v>0.47869800000000001</v>
      </c>
      <c r="AC19" s="244">
        <v>0.43472</v>
      </c>
      <c r="AD19" s="244">
        <v>0.56399999999999995</v>
      </c>
      <c r="AE19" s="244">
        <v>0.44455</v>
      </c>
      <c r="AF19" s="244">
        <v>1.5333920000000001</v>
      </c>
      <c r="AG19" s="244">
        <v>0.68051700000000004</v>
      </c>
      <c r="AH19" s="244">
        <v>0.86719999999999997</v>
      </c>
      <c r="AI19" s="244">
        <v>0.50900000000000001</v>
      </c>
      <c r="AJ19" s="244">
        <v>0.68880699999999995</v>
      </c>
      <c r="AK19" s="244">
        <v>0.43735200000000002</v>
      </c>
      <c r="AL19" s="244">
        <v>0.70452899999999996</v>
      </c>
      <c r="AM19" s="244">
        <v>0.96790699999999996</v>
      </c>
      <c r="AN19" s="244">
        <v>0.37655899999999998</v>
      </c>
      <c r="AO19" s="244">
        <v>0.222442</v>
      </c>
      <c r="AP19" s="244">
        <v>0.17</v>
      </c>
      <c r="AQ19" s="244">
        <v>5.2689E-2</v>
      </c>
      <c r="AR19" s="244">
        <v>0.28026099999999998</v>
      </c>
      <c r="AS19" s="244">
        <v>0.23119899999999999</v>
      </c>
      <c r="AT19" s="244">
        <v>6.4274999999999999E-2</v>
      </c>
      <c r="AU19" s="244">
        <v>0.14000199999999999</v>
      </c>
      <c r="AV19" s="244">
        <v>0.214341</v>
      </c>
      <c r="AW19" s="244">
        <v>0.34140300000000001</v>
      </c>
      <c r="AX19" s="244">
        <v>0.91951400000000005</v>
      </c>
      <c r="AY19" s="244">
        <v>0.92507099999999998</v>
      </c>
      <c r="AZ19" s="244">
        <v>0.58064000000000004</v>
      </c>
      <c r="BA19" s="244">
        <v>0.74710299999999996</v>
      </c>
      <c r="BB19" s="244">
        <v>1.091488</v>
      </c>
      <c r="BC19" s="244">
        <v>0.64621700000000004</v>
      </c>
      <c r="BD19" s="244">
        <v>1.267323</v>
      </c>
      <c r="BE19" s="244">
        <v>0.67508500000000005</v>
      </c>
      <c r="BF19" s="244">
        <v>1.147248</v>
      </c>
      <c r="BG19" s="244">
        <v>1.062845</v>
      </c>
      <c r="BH19" s="244">
        <v>0.67497799999999997</v>
      </c>
      <c r="BI19" s="244">
        <v>0.842943</v>
      </c>
      <c r="BJ19" s="244">
        <v>1.4710939999999999</v>
      </c>
      <c r="BK19" s="244">
        <v>0.97645199999999999</v>
      </c>
      <c r="BL19" s="244">
        <v>0.74085800000000002</v>
      </c>
      <c r="BM19" s="244">
        <v>1.5781259999999999</v>
      </c>
      <c r="BN19" s="244">
        <v>1.556386</v>
      </c>
      <c r="BO19" s="244">
        <v>1.4884329999999999</v>
      </c>
      <c r="BP19" s="244">
        <v>1.394776</v>
      </c>
      <c r="BQ19" s="244">
        <v>2.1385230000000002</v>
      </c>
      <c r="BR19" s="244">
        <v>0.59257899999999997</v>
      </c>
      <c r="BS19" s="244">
        <v>0.82557800000000003</v>
      </c>
      <c r="BT19" s="244">
        <v>0.47427000000000002</v>
      </c>
      <c r="BU19" s="244">
        <v>1.6865380000000001</v>
      </c>
      <c r="BV19" s="244">
        <v>1.7364809999999999</v>
      </c>
      <c r="BW19" s="244">
        <v>1.0137309999999999</v>
      </c>
      <c r="BX19" s="244">
        <v>1.792565</v>
      </c>
      <c r="BY19" s="244">
        <v>1.001039</v>
      </c>
      <c r="BZ19" s="244">
        <v>0.88678299999999999</v>
      </c>
      <c r="CA19" s="244">
        <v>1.3976580000000001</v>
      </c>
      <c r="CB19" s="244">
        <v>1.2311669999999999</v>
      </c>
      <c r="CC19" s="244">
        <v>1.1014679999999999</v>
      </c>
      <c r="CD19" s="244">
        <v>1.324063</v>
      </c>
      <c r="CE19" s="244">
        <v>0.96192500000000003</v>
      </c>
    </row>
    <row r="20" spans="1:83" ht="17.25" x14ac:dyDescent="0.3">
      <c r="A20" s="253" t="s">
        <v>199</v>
      </c>
      <c r="B20" s="252" t="s">
        <v>198</v>
      </c>
      <c r="C20" s="251">
        <v>0.32373099999999999</v>
      </c>
      <c r="D20" s="250">
        <v>0.44500800000000001</v>
      </c>
      <c r="E20" s="250">
        <v>3.3009179999999998</v>
      </c>
      <c r="F20" s="250">
        <v>0.34762199999999999</v>
      </c>
      <c r="G20" s="250">
        <v>6.607138</v>
      </c>
      <c r="H20" s="250">
        <v>6.5507960000000001</v>
      </c>
      <c r="I20" s="250">
        <v>2.5683639999999999</v>
      </c>
      <c r="J20" s="250">
        <v>8.6718930000000007</v>
      </c>
      <c r="K20" s="250">
        <v>8.4451579999999993</v>
      </c>
      <c r="L20" s="250">
        <v>13.800784</v>
      </c>
      <c r="M20" s="249">
        <v>9.3935549999999992</v>
      </c>
      <c r="N20" s="248">
        <v>0.59122399999999997</v>
      </c>
      <c r="O20" s="248">
        <v>7.6922540000000001</v>
      </c>
      <c r="P20" s="248">
        <v>1.6502730000000001</v>
      </c>
      <c r="Q20" s="248">
        <v>0.32571699999999998</v>
      </c>
      <c r="R20" s="248">
        <v>0.55090399999999995</v>
      </c>
      <c r="S20" s="247">
        <v>0.617093</v>
      </c>
      <c r="T20" s="247">
        <v>1.0975440000000001</v>
      </c>
      <c r="U20" s="246">
        <v>0.38788699999999998</v>
      </c>
      <c r="V20" s="245">
        <v>0.96395799999999998</v>
      </c>
      <c r="W20" s="245">
        <v>0.50281699999999996</v>
      </c>
      <c r="X20" s="245">
        <v>0.86569600000000002</v>
      </c>
      <c r="Y20" s="245">
        <v>0.54166199999999998</v>
      </c>
      <c r="Z20" s="245">
        <v>1.523263</v>
      </c>
      <c r="AA20" s="245">
        <v>0.67796599999999996</v>
      </c>
      <c r="AB20" s="244">
        <v>0.91152500000000003</v>
      </c>
      <c r="AC20" s="244">
        <v>0.74520699999999995</v>
      </c>
      <c r="AD20" s="244">
        <v>0.69394900000000004</v>
      </c>
      <c r="AE20" s="244">
        <v>0.75905</v>
      </c>
      <c r="AF20" s="244">
        <v>0.97522200000000003</v>
      </c>
      <c r="AG20" s="244">
        <v>0.45269799999999999</v>
      </c>
      <c r="AH20" s="244">
        <v>0.826623</v>
      </c>
      <c r="AI20" s="244">
        <v>0.63345899999999999</v>
      </c>
      <c r="AJ20" s="244">
        <v>0.57716800000000001</v>
      </c>
      <c r="AK20" s="244">
        <v>1.8774900000000001</v>
      </c>
      <c r="AL20" s="244">
        <v>3.7401110000000002</v>
      </c>
      <c r="AM20" s="244">
        <v>0.77644299999999999</v>
      </c>
      <c r="AN20" s="244">
        <v>0.82890299999999995</v>
      </c>
      <c r="AO20" s="244">
        <v>4.6523770000000004</v>
      </c>
      <c r="AP20" s="244">
        <v>0.196411</v>
      </c>
      <c r="AQ20" s="244">
        <v>0.47903299999999999</v>
      </c>
      <c r="AR20" s="244">
        <v>0.73827200000000004</v>
      </c>
      <c r="AS20" s="244">
        <v>0.57867999999999997</v>
      </c>
      <c r="AT20" s="244">
        <v>0.98813300000000004</v>
      </c>
      <c r="AU20" s="244">
        <v>3.170064</v>
      </c>
      <c r="AV20" s="244">
        <v>1.111944</v>
      </c>
      <c r="AW20" s="244">
        <v>0.54341600000000001</v>
      </c>
      <c r="AX20" s="244">
        <v>1.2802709999999999</v>
      </c>
      <c r="AY20" s="244">
        <v>0.54615100000000005</v>
      </c>
      <c r="AZ20" s="244">
        <v>1.1154580000000001</v>
      </c>
      <c r="BA20" s="244">
        <v>0.52458300000000002</v>
      </c>
      <c r="BB20" s="244">
        <v>1.1487210000000001</v>
      </c>
      <c r="BC20" s="244">
        <v>0.18318899999999999</v>
      </c>
      <c r="BD20" s="244">
        <v>0.32113900000000001</v>
      </c>
      <c r="BE20" s="244">
        <v>0.26834999999999998</v>
      </c>
      <c r="BF20" s="244">
        <v>1.093019</v>
      </c>
      <c r="BG20" s="244">
        <v>0.58559099999999997</v>
      </c>
      <c r="BH20" s="244">
        <v>1.585931</v>
      </c>
      <c r="BI20" s="244">
        <v>0.61086799999999997</v>
      </c>
      <c r="BJ20" s="244">
        <v>2.112841</v>
      </c>
      <c r="BK20" s="244">
        <v>0.50863400000000003</v>
      </c>
      <c r="BL20" s="244">
        <v>1.331688</v>
      </c>
      <c r="BM20" s="244">
        <v>1.2562199999999999</v>
      </c>
      <c r="BN20" s="244">
        <v>1.889338</v>
      </c>
      <c r="BO20" s="244">
        <v>0.73333499999999996</v>
      </c>
      <c r="BP20" s="244">
        <v>0.64928600000000003</v>
      </c>
      <c r="BQ20" s="244">
        <v>1.112989</v>
      </c>
      <c r="BR20" s="244">
        <v>0.48569099999999998</v>
      </c>
      <c r="BS20" s="244">
        <v>1.356457</v>
      </c>
      <c r="BT20" s="244">
        <v>1.151813</v>
      </c>
      <c r="BU20" s="244">
        <v>0.87770899999999996</v>
      </c>
      <c r="BV20" s="244">
        <v>2.9264290000000002</v>
      </c>
      <c r="BW20" s="244">
        <v>0.25027899999999997</v>
      </c>
      <c r="BX20" s="244">
        <v>0.149696</v>
      </c>
      <c r="BY20" s="244">
        <v>0.92505700000000002</v>
      </c>
      <c r="BZ20" s="244">
        <v>1.132336</v>
      </c>
      <c r="CA20" s="244">
        <v>1.829261</v>
      </c>
      <c r="CB20" s="244">
        <v>1.0726089999999999</v>
      </c>
      <c r="CC20" s="244">
        <v>0.74284499999999998</v>
      </c>
      <c r="CD20" s="244">
        <v>1.1577900000000001</v>
      </c>
      <c r="CE20" s="244">
        <v>1.3640319999999999</v>
      </c>
    </row>
    <row r="21" spans="1:83" ht="17.25" x14ac:dyDescent="0.3">
      <c r="A21" s="253" t="s">
        <v>197</v>
      </c>
      <c r="B21" s="252" t="s">
        <v>196</v>
      </c>
      <c r="C21" s="251">
        <v>1.403078</v>
      </c>
      <c r="D21" s="250">
        <v>1.712745</v>
      </c>
      <c r="E21" s="250">
        <v>1.192982</v>
      </c>
      <c r="F21" s="250">
        <v>2.1298910000000002</v>
      </c>
      <c r="G21" s="250">
        <v>1.2749630000000001</v>
      </c>
      <c r="H21" s="250">
        <v>1.149967</v>
      </c>
      <c r="I21" s="250">
        <v>7.7453380000000003</v>
      </c>
      <c r="J21" s="250">
        <v>0.88043000000000005</v>
      </c>
      <c r="K21" s="250">
        <v>1.587286</v>
      </c>
      <c r="L21" s="250">
        <v>2.6986669999999999</v>
      </c>
      <c r="M21" s="249">
        <v>1.5468</v>
      </c>
      <c r="N21" s="248">
        <v>2.844706</v>
      </c>
      <c r="O21" s="248">
        <v>1.518203</v>
      </c>
      <c r="P21" s="248">
        <v>1.772203</v>
      </c>
      <c r="Q21" s="248">
        <v>3.2571919999999999</v>
      </c>
      <c r="R21" s="248">
        <v>1.7995239999999999</v>
      </c>
      <c r="S21" s="247">
        <v>1.6965220000000001</v>
      </c>
      <c r="T21" s="247">
        <v>1.988769</v>
      </c>
      <c r="U21" s="246">
        <v>1.3241989999999999</v>
      </c>
      <c r="V21" s="245">
        <v>1.3989119999999999</v>
      </c>
      <c r="W21" s="245">
        <v>1.0144150000000001</v>
      </c>
      <c r="X21" s="245">
        <v>1.216553</v>
      </c>
      <c r="Y21" s="245">
        <v>2.334676</v>
      </c>
      <c r="Z21" s="245">
        <v>2.591167</v>
      </c>
      <c r="AA21" s="245">
        <v>3.1185179999999999</v>
      </c>
      <c r="AB21" s="244">
        <v>2.0060850000000001</v>
      </c>
      <c r="AC21" s="244">
        <v>1.2579340000000001</v>
      </c>
      <c r="AD21" s="244">
        <v>2.0331739999999998</v>
      </c>
      <c r="AE21" s="244">
        <v>2.8504360000000002</v>
      </c>
      <c r="AF21" s="244">
        <v>0.89180700000000002</v>
      </c>
      <c r="AG21" s="244">
        <v>1.396973</v>
      </c>
      <c r="AH21" s="244">
        <v>1.4104289999999999</v>
      </c>
      <c r="AI21" s="244">
        <v>1.4469909999999999</v>
      </c>
      <c r="AJ21" s="244">
        <v>2.22858</v>
      </c>
      <c r="AK21" s="244">
        <v>1.356376</v>
      </c>
      <c r="AL21" s="244">
        <v>2.3900990000000002</v>
      </c>
      <c r="AM21" s="244">
        <v>1.6974039999999999</v>
      </c>
      <c r="AN21" s="244">
        <v>3.230499</v>
      </c>
      <c r="AO21" s="244">
        <v>1.6928399999999999</v>
      </c>
      <c r="AP21" s="244">
        <v>0.114124</v>
      </c>
      <c r="AQ21" s="244">
        <v>1.3848670000000001</v>
      </c>
      <c r="AR21" s="244">
        <v>1.533641</v>
      </c>
      <c r="AS21" s="244">
        <v>1.4694449999999999</v>
      </c>
      <c r="AT21" s="244">
        <v>1.5520910000000001</v>
      </c>
      <c r="AU21" s="244">
        <v>1.910274</v>
      </c>
      <c r="AV21" s="244">
        <v>0.74499400000000005</v>
      </c>
      <c r="AW21" s="244">
        <v>0.34408300000000003</v>
      </c>
      <c r="AX21" s="244">
        <v>0.55416299999999996</v>
      </c>
      <c r="AY21" s="244">
        <v>0.51000800000000002</v>
      </c>
      <c r="AZ21" s="244">
        <v>1.299693</v>
      </c>
      <c r="BA21" s="244">
        <v>0.88902000000000003</v>
      </c>
      <c r="BB21" s="244">
        <v>0.33468199999999998</v>
      </c>
      <c r="BC21" s="244">
        <v>0.17155999999999999</v>
      </c>
      <c r="BD21" s="244">
        <v>0.58454799999999996</v>
      </c>
      <c r="BE21" s="244">
        <v>1.0573030000000001</v>
      </c>
      <c r="BF21" s="244">
        <v>0.18856300000000001</v>
      </c>
      <c r="BG21" s="244">
        <v>0.24726500000000001</v>
      </c>
      <c r="BH21" s="244">
        <v>0.27439599999999997</v>
      </c>
      <c r="BI21" s="244">
        <v>0.55913100000000004</v>
      </c>
      <c r="BJ21" s="244">
        <v>1.4610000000000001</v>
      </c>
      <c r="BK21" s="244">
        <v>0.92747599999999997</v>
      </c>
      <c r="BL21" s="244">
        <v>0.42389300000000002</v>
      </c>
      <c r="BM21" s="244">
        <v>1.5395099999999999</v>
      </c>
      <c r="BN21" s="244">
        <v>1.0923529999999999</v>
      </c>
      <c r="BO21" s="244">
        <v>1.0581659999999999</v>
      </c>
      <c r="BP21" s="244">
        <v>1.4037850000000001</v>
      </c>
      <c r="BQ21" s="244">
        <v>1.515191</v>
      </c>
      <c r="BR21" s="244">
        <v>0.97794199999999998</v>
      </c>
      <c r="BS21" s="244">
        <v>0.88318200000000002</v>
      </c>
      <c r="BT21" s="244">
        <v>0.94912799999999997</v>
      </c>
      <c r="BU21" s="244">
        <v>0.41299599999999997</v>
      </c>
      <c r="BV21" s="244">
        <v>0.56020999999999999</v>
      </c>
      <c r="BW21" s="244">
        <v>0.67875600000000003</v>
      </c>
      <c r="BX21" s="244">
        <v>1.0625800000000001</v>
      </c>
      <c r="BY21" s="244">
        <v>0.49541000000000002</v>
      </c>
      <c r="BZ21" s="244">
        <v>0.64091500000000001</v>
      </c>
      <c r="CA21" s="244">
        <v>0.47206599999999999</v>
      </c>
      <c r="CB21" s="244">
        <v>0.52029000000000003</v>
      </c>
      <c r="CC21" s="244">
        <v>0.85805500000000001</v>
      </c>
      <c r="CD21" s="244">
        <v>0.22423499999999999</v>
      </c>
      <c r="CE21" s="244">
        <v>0.41900700000000002</v>
      </c>
    </row>
    <row r="22" spans="1:83" ht="17.25" x14ac:dyDescent="0.3">
      <c r="A22" s="253" t="s">
        <v>195</v>
      </c>
      <c r="B22" s="252" t="s">
        <v>194</v>
      </c>
      <c r="C22" s="251">
        <v>27.185331000000005</v>
      </c>
      <c r="D22" s="255">
        <v>22.028818999999999</v>
      </c>
      <c r="E22" s="255">
        <v>35.07018399999999</v>
      </c>
      <c r="F22" s="255">
        <v>32.027396999999993</v>
      </c>
      <c r="G22" s="255">
        <v>30.346934000000005</v>
      </c>
      <c r="H22" s="255">
        <v>24.153430999999998</v>
      </c>
      <c r="I22" s="250">
        <v>25.901853000000003</v>
      </c>
      <c r="J22" s="250">
        <v>21.44654899999999</v>
      </c>
      <c r="K22" s="250">
        <v>28.356650999999999</v>
      </c>
      <c r="L22" s="250">
        <v>27.470339999999993</v>
      </c>
      <c r="M22" s="249">
        <v>29.579845000000006</v>
      </c>
      <c r="N22" s="248">
        <v>30.906048000000013</v>
      </c>
      <c r="O22" s="248">
        <v>8.2486209999999858</v>
      </c>
      <c r="P22" s="248">
        <v>25.532362000000035</v>
      </c>
      <c r="Q22" s="248">
        <v>21.321840000000009</v>
      </c>
      <c r="R22" s="248">
        <v>22.373751999999968</v>
      </c>
      <c r="S22" s="247">
        <v>19.666868999999963</v>
      </c>
      <c r="T22" s="247">
        <v>19.15944300000001</v>
      </c>
      <c r="U22" s="246">
        <v>21.695601</v>
      </c>
      <c r="V22" s="245">
        <v>15.126203</v>
      </c>
      <c r="W22" s="245">
        <v>15.356263999999999</v>
      </c>
      <c r="X22" s="245">
        <v>16.273731000000002</v>
      </c>
      <c r="Y22" s="245">
        <v>16.277384999999999</v>
      </c>
      <c r="Z22" s="245">
        <v>31.982485</v>
      </c>
      <c r="AA22" s="245">
        <v>14.125909</v>
      </c>
      <c r="AB22" s="244">
        <v>19.958051000000001</v>
      </c>
      <c r="AC22" s="244">
        <v>17.193593</v>
      </c>
      <c r="AD22" s="244">
        <v>18.078799</v>
      </c>
      <c r="AE22" s="244">
        <v>18.100528000000001</v>
      </c>
      <c r="AF22" s="244">
        <v>18.52074</v>
      </c>
      <c r="AG22" s="244">
        <v>16.544312999999999</v>
      </c>
      <c r="AH22" s="244">
        <v>23.348794999999999</v>
      </c>
      <c r="AI22" s="244">
        <v>12.115086000000019</v>
      </c>
      <c r="AJ22" s="244">
        <v>14.119937</v>
      </c>
      <c r="AK22" s="244">
        <v>14.200590999999999</v>
      </c>
      <c r="AL22" s="244">
        <v>20.994408</v>
      </c>
      <c r="AM22" s="244">
        <v>16.330876</v>
      </c>
      <c r="AN22" s="244">
        <v>17.237390999999999</v>
      </c>
      <c r="AO22" s="244">
        <v>12.628064999999999</v>
      </c>
      <c r="AP22" s="244">
        <v>9.2578300000000002</v>
      </c>
      <c r="AQ22" s="244">
        <v>9.2737420000000004</v>
      </c>
      <c r="AR22" s="244">
        <v>14.250151000000001</v>
      </c>
      <c r="AS22" s="244">
        <v>15.441103</v>
      </c>
      <c r="AT22" s="244">
        <v>10.358651999999999</v>
      </c>
      <c r="AU22" s="244">
        <v>11.273531999999999</v>
      </c>
      <c r="AV22" s="244">
        <v>9.6698950000000004</v>
      </c>
      <c r="AW22" s="244">
        <v>6.7377380000000002</v>
      </c>
      <c r="AX22" s="244">
        <v>12.577280999999999</v>
      </c>
      <c r="AY22" s="244">
        <v>5.5758080000000003</v>
      </c>
      <c r="AZ22" s="244">
        <v>3.108136</v>
      </c>
      <c r="BA22" s="244">
        <v>2.2978429999999999</v>
      </c>
      <c r="BB22" s="244">
        <v>1.90082</v>
      </c>
      <c r="BC22" s="244">
        <v>0.98790100000000003</v>
      </c>
      <c r="BD22" s="244">
        <v>1.024753</v>
      </c>
      <c r="BE22" s="244">
        <v>1.1486879999999999</v>
      </c>
      <c r="BF22" s="244">
        <v>0.90654999999999997</v>
      </c>
      <c r="BG22" s="244">
        <v>1.9530559999999999</v>
      </c>
      <c r="BH22" s="244">
        <v>0.455017663342978</v>
      </c>
      <c r="BI22" s="244">
        <v>0.93701999999999996</v>
      </c>
      <c r="BJ22" s="244">
        <v>1.3965799999999999</v>
      </c>
      <c r="BK22" s="244">
        <v>1.7640389999999999</v>
      </c>
      <c r="BL22" s="244">
        <v>1.351855</v>
      </c>
      <c r="BM22" s="244">
        <v>0.69685699999999995</v>
      </c>
      <c r="BN22" s="244">
        <v>1.2336780000000001</v>
      </c>
      <c r="BO22" s="244">
        <v>0.69095600000000001</v>
      </c>
      <c r="BP22" s="244">
        <v>0.98805500000000002</v>
      </c>
      <c r="BQ22" s="244">
        <v>0.75244</v>
      </c>
      <c r="BR22" s="244">
        <v>0.69310300000000002</v>
      </c>
      <c r="BS22" s="244">
        <v>0.83309500000000003</v>
      </c>
      <c r="BT22" s="244">
        <v>0.91609399999999996</v>
      </c>
      <c r="BU22" s="244">
        <v>1.722129</v>
      </c>
      <c r="BV22" s="244">
        <v>2.9</v>
      </c>
      <c r="BW22" s="244">
        <v>1.047687</v>
      </c>
      <c r="BX22" s="244">
        <v>1.7</v>
      </c>
      <c r="BY22" s="244">
        <v>1.881659</v>
      </c>
      <c r="BZ22" s="244">
        <v>1.4</v>
      </c>
      <c r="CA22" s="244">
        <v>1.423856</v>
      </c>
      <c r="CB22" s="244">
        <v>1.965222</v>
      </c>
      <c r="CC22" s="244">
        <v>1.4825010000000001</v>
      </c>
      <c r="CD22" s="244">
        <v>1.782886</v>
      </c>
      <c r="CE22" s="244">
        <v>1.685241</v>
      </c>
    </row>
    <row r="23" spans="1:83" ht="33" x14ac:dyDescent="0.3">
      <c r="A23" s="254" t="s">
        <v>193</v>
      </c>
      <c r="B23" s="252" t="s">
        <v>192</v>
      </c>
      <c r="C23" s="251">
        <v>0</v>
      </c>
      <c r="D23" s="250">
        <v>0</v>
      </c>
      <c r="E23" s="250">
        <v>0</v>
      </c>
      <c r="F23" s="250">
        <v>0</v>
      </c>
      <c r="G23" s="250">
        <v>0</v>
      </c>
      <c r="H23" s="250">
        <v>0</v>
      </c>
      <c r="I23" s="250">
        <v>0</v>
      </c>
      <c r="J23" s="250">
        <v>0</v>
      </c>
      <c r="K23" s="250">
        <v>0</v>
      </c>
      <c r="L23" s="250">
        <v>0</v>
      </c>
      <c r="M23" s="249">
        <v>0</v>
      </c>
      <c r="N23" s="248">
        <v>0</v>
      </c>
      <c r="O23" s="248">
        <v>0</v>
      </c>
      <c r="P23" s="248">
        <v>0</v>
      </c>
      <c r="Q23" s="248">
        <v>0</v>
      </c>
      <c r="R23" s="248">
        <v>0</v>
      </c>
      <c r="S23" s="247">
        <v>0</v>
      </c>
      <c r="T23" s="247">
        <v>0</v>
      </c>
      <c r="U23" s="246">
        <v>0</v>
      </c>
      <c r="V23" s="245">
        <v>0</v>
      </c>
      <c r="W23" s="245">
        <v>0</v>
      </c>
      <c r="X23" s="245">
        <v>0</v>
      </c>
      <c r="Y23" s="245">
        <v>0</v>
      </c>
      <c r="Z23" s="245">
        <v>0</v>
      </c>
      <c r="AA23" s="245">
        <v>2.9454999999999999E-2</v>
      </c>
      <c r="AB23" s="244">
        <v>2.5000000000000001E-2</v>
      </c>
      <c r="AC23" s="244">
        <v>0</v>
      </c>
      <c r="AD23" s="244">
        <v>0</v>
      </c>
      <c r="AE23" s="244">
        <v>0</v>
      </c>
      <c r="AF23" s="244">
        <v>0</v>
      </c>
      <c r="AG23" s="244">
        <v>0</v>
      </c>
      <c r="AH23" s="244">
        <v>0</v>
      </c>
      <c r="AI23" s="244">
        <v>0</v>
      </c>
      <c r="AJ23" s="244">
        <v>0</v>
      </c>
      <c r="AK23" s="244">
        <v>0</v>
      </c>
      <c r="AL23" s="244">
        <v>0</v>
      </c>
      <c r="AM23" s="244">
        <v>0</v>
      </c>
      <c r="AN23" s="244">
        <v>0</v>
      </c>
      <c r="AO23" s="244">
        <v>0</v>
      </c>
      <c r="AP23" s="244">
        <v>0</v>
      </c>
      <c r="AQ23" s="244">
        <v>0</v>
      </c>
      <c r="AR23" s="244">
        <v>0</v>
      </c>
      <c r="AS23" s="244">
        <v>0</v>
      </c>
      <c r="AT23" s="244">
        <v>0</v>
      </c>
      <c r="AU23" s="244">
        <v>0</v>
      </c>
      <c r="AV23" s="244">
        <v>0</v>
      </c>
      <c r="AW23" s="244">
        <v>0</v>
      </c>
      <c r="AX23" s="244">
        <v>0</v>
      </c>
      <c r="AY23" s="244">
        <v>0</v>
      </c>
      <c r="AZ23" s="244">
        <v>0</v>
      </c>
      <c r="BA23" s="244">
        <v>0</v>
      </c>
      <c r="BB23" s="244">
        <v>0</v>
      </c>
      <c r="BC23" s="244">
        <v>0</v>
      </c>
      <c r="BD23" s="244">
        <v>0</v>
      </c>
      <c r="BE23" s="244">
        <v>0</v>
      </c>
      <c r="BF23" s="244">
        <v>0</v>
      </c>
      <c r="BG23" s="244">
        <v>0</v>
      </c>
      <c r="BH23" s="244">
        <v>0</v>
      </c>
      <c r="BI23" s="244">
        <v>0</v>
      </c>
      <c r="BJ23" s="244">
        <v>0</v>
      </c>
      <c r="BK23" s="244">
        <v>0</v>
      </c>
      <c r="BL23" s="244">
        <v>0</v>
      </c>
      <c r="BM23" s="244">
        <v>0</v>
      </c>
      <c r="BN23" s="244">
        <v>0</v>
      </c>
      <c r="BO23" s="244">
        <v>0</v>
      </c>
      <c r="BP23" s="244">
        <v>0</v>
      </c>
      <c r="BQ23" s="244">
        <v>0</v>
      </c>
      <c r="BR23" s="244">
        <v>0</v>
      </c>
      <c r="BS23" s="244">
        <v>0</v>
      </c>
      <c r="BT23" s="244">
        <v>0</v>
      </c>
      <c r="BU23" s="244">
        <v>0</v>
      </c>
      <c r="BV23" s="244">
        <v>0</v>
      </c>
      <c r="BW23" s="244">
        <v>0</v>
      </c>
      <c r="BX23" s="244">
        <v>0</v>
      </c>
      <c r="BY23" s="244">
        <v>0</v>
      </c>
      <c r="BZ23" s="244">
        <v>0</v>
      </c>
      <c r="CA23" s="244">
        <v>0</v>
      </c>
      <c r="CB23" s="244">
        <v>0</v>
      </c>
      <c r="CC23" s="244">
        <v>0</v>
      </c>
      <c r="CD23" s="244">
        <v>0</v>
      </c>
      <c r="CE23" s="244">
        <v>0</v>
      </c>
    </row>
    <row r="24" spans="1:83" ht="17.25" x14ac:dyDescent="0.3">
      <c r="A24" s="253" t="s">
        <v>191</v>
      </c>
      <c r="B24" s="252" t="s">
        <v>190</v>
      </c>
      <c r="C24" s="251">
        <v>0.121946</v>
      </c>
      <c r="D24" s="250">
        <v>0.39519700000000002</v>
      </c>
      <c r="E24" s="250">
        <v>0.114692</v>
      </c>
      <c r="F24" s="250">
        <v>0.16900299999999999</v>
      </c>
      <c r="G24" s="250">
        <v>0.111</v>
      </c>
      <c r="H24" s="250">
        <v>0.48355100000000001</v>
      </c>
      <c r="I24" s="250">
        <v>0.17533899999999999</v>
      </c>
      <c r="J24" s="250">
        <v>0.56850000000000001</v>
      </c>
      <c r="K24" s="250">
        <v>2.1486000000000002E-2</v>
      </c>
      <c r="L24" s="250">
        <v>0.12</v>
      </c>
      <c r="M24" s="249">
        <v>9.1999999999999998E-2</v>
      </c>
      <c r="N24" s="248">
        <v>0.124974</v>
      </c>
      <c r="O24" s="248">
        <v>0.32700000000000001</v>
      </c>
      <c r="P24" s="248">
        <v>0.24496499999999999</v>
      </c>
      <c r="Q24" s="248">
        <v>0.191553</v>
      </c>
      <c r="R24" s="248">
        <v>0.22187100000000001</v>
      </c>
      <c r="S24" s="247">
        <v>0</v>
      </c>
      <c r="T24" s="247">
        <v>0.19980000000000001</v>
      </c>
      <c r="U24" s="246">
        <v>0.22989999999999999</v>
      </c>
      <c r="V24" s="245">
        <v>0.299985</v>
      </c>
      <c r="W24" s="245">
        <v>0.32097300000000001</v>
      </c>
      <c r="X24" s="245">
        <v>0.53400000000000003</v>
      </c>
      <c r="Y24" s="245">
        <v>0.38319999999999999</v>
      </c>
      <c r="Z24" s="245">
        <v>0.43</v>
      </c>
      <c r="AA24" s="245">
        <v>0.28999999999999998</v>
      </c>
      <c r="AB24" s="244">
        <v>0.30060100000000001</v>
      </c>
      <c r="AC24" s="244">
        <v>0</v>
      </c>
      <c r="AD24" s="244">
        <v>0.34499999999999997</v>
      </c>
      <c r="AE24" s="244">
        <v>0.12997400000000001</v>
      </c>
      <c r="AF24" s="244">
        <v>0.44098100000000001</v>
      </c>
      <c r="AG24" s="244">
        <v>0.51882499999999998</v>
      </c>
      <c r="AH24" s="244">
        <v>0.66942100000000004</v>
      </c>
      <c r="AI24" s="244">
        <v>7.8486E-2</v>
      </c>
      <c r="AJ24" s="244">
        <v>0.226687</v>
      </c>
      <c r="AK24" s="244">
        <v>0.29913000000000001</v>
      </c>
      <c r="AL24" s="244">
        <v>0.18260100000000001</v>
      </c>
      <c r="AM24" s="244">
        <v>0.42660900000000002</v>
      </c>
      <c r="AN24" s="244">
        <v>0.19683200000000001</v>
      </c>
      <c r="AO24" s="244">
        <v>0.222</v>
      </c>
      <c r="AP24" s="244">
        <v>0</v>
      </c>
      <c r="AQ24" s="244">
        <v>0.104</v>
      </c>
      <c r="AR24" s="244">
        <v>0.22123799999999999</v>
      </c>
      <c r="AS24" s="244">
        <v>0.13247800000000001</v>
      </c>
      <c r="AT24" s="244">
        <v>0.33807500000000001</v>
      </c>
      <c r="AU24" s="244">
        <v>0.17499999999999999</v>
      </c>
      <c r="AV24" s="244">
        <v>0.14599999999999999</v>
      </c>
      <c r="AW24" s="244">
        <v>0.40186899999999998</v>
      </c>
      <c r="AX24" s="244">
        <v>0.22181699999999999</v>
      </c>
      <c r="AY24" s="244">
        <v>9.7000000000000003E-2</v>
      </c>
      <c r="AZ24" s="244">
        <v>0.31061</v>
      </c>
      <c r="BA24" s="244">
        <v>0.16191900000000001</v>
      </c>
      <c r="BB24" s="244">
        <v>0.08</v>
      </c>
      <c r="BC24" s="244">
        <v>0.13900000000000001</v>
      </c>
      <c r="BD24" s="244">
        <v>0.19670000000000001</v>
      </c>
      <c r="BE24" s="244">
        <v>0.08</v>
      </c>
      <c r="BF24" s="244">
        <v>9.5000000000000001E-2</v>
      </c>
      <c r="BG24" s="244">
        <v>0.18446299999999999</v>
      </c>
      <c r="BH24" s="244">
        <v>0.16200000000000001</v>
      </c>
      <c r="BI24" s="244">
        <v>0.17369999999999999</v>
      </c>
      <c r="BJ24" s="244">
        <v>0.21379899999999999</v>
      </c>
      <c r="BK24" s="244">
        <v>7.3308999999999999E-2</v>
      </c>
      <c r="BL24" s="244">
        <v>0.25171399999999999</v>
      </c>
      <c r="BM24" s="244">
        <v>2.7297999999999999E-2</v>
      </c>
      <c r="BN24" s="244">
        <v>0.22215099999999999</v>
      </c>
      <c r="BO24" s="244">
        <v>0.106404</v>
      </c>
      <c r="BP24" s="244">
        <v>0.16</v>
      </c>
      <c r="BQ24" s="244">
        <v>8.6263999999999993E-2</v>
      </c>
      <c r="BR24" s="244">
        <v>0.316326</v>
      </c>
      <c r="BS24" s="244">
        <v>0.16238</v>
      </c>
      <c r="BT24" s="244">
        <v>6.7977999999999997E-2</v>
      </c>
      <c r="BU24" s="244">
        <v>0.353126</v>
      </c>
      <c r="BV24" s="244">
        <v>0.25875900000000002</v>
      </c>
      <c r="BW24" s="244">
        <v>5.2999999999999999E-2</v>
      </c>
      <c r="BX24" s="244">
        <v>0.29563600000000001</v>
      </c>
      <c r="BY24" s="244">
        <v>0.11830499999999999</v>
      </c>
      <c r="BZ24" s="244">
        <v>0.11723699999999999</v>
      </c>
      <c r="CA24" s="244">
        <v>0.36681000000000002</v>
      </c>
      <c r="CB24" s="244">
        <v>0.15323200000000001</v>
      </c>
      <c r="CC24" s="244">
        <v>8.7781999999999999E-2</v>
      </c>
      <c r="CD24" s="244">
        <v>0.220638</v>
      </c>
      <c r="CE24" s="244">
        <v>0.161</v>
      </c>
    </row>
    <row r="25" spans="1:83" ht="18" thickBot="1" x14ac:dyDescent="0.35">
      <c r="A25" s="243"/>
      <c r="B25" s="242" t="s">
        <v>189</v>
      </c>
      <c r="C25" s="241">
        <v>25.737110000000001</v>
      </c>
      <c r="D25" s="240">
        <v>22.018177000000001</v>
      </c>
      <c r="E25" s="240">
        <v>35.687283000000001</v>
      </c>
      <c r="F25" s="240">
        <v>21.702106000000001</v>
      </c>
      <c r="G25" s="240">
        <v>37.305055000000003</v>
      </c>
      <c r="H25" s="240">
        <v>31.659293000000002</v>
      </c>
      <c r="I25" s="240">
        <v>33.026600000000002</v>
      </c>
      <c r="J25" s="240">
        <v>29.708821</v>
      </c>
      <c r="K25" s="240">
        <v>43.738652999999999</v>
      </c>
      <c r="L25" s="240">
        <v>36.712114999999997</v>
      </c>
      <c r="M25" s="239">
        <v>30.637415000000001</v>
      </c>
      <c r="N25" s="238">
        <v>31.055990000000001</v>
      </c>
      <c r="O25" s="238">
        <v>36.385924000000003</v>
      </c>
      <c r="P25" s="238">
        <v>35.06711</v>
      </c>
      <c r="Q25" s="238">
        <v>40.885973999999997</v>
      </c>
      <c r="R25" s="238">
        <v>49.470982999999997</v>
      </c>
      <c r="S25" s="237">
        <v>28.184138999999998</v>
      </c>
      <c r="T25" s="237">
        <v>31.81381</v>
      </c>
      <c r="U25" s="236">
        <v>18.174779999999998</v>
      </c>
      <c r="V25" s="235">
        <v>31.765108999999999</v>
      </c>
      <c r="W25" s="235">
        <v>29.850967000000001</v>
      </c>
      <c r="X25" s="235">
        <v>29.128205999999999</v>
      </c>
      <c r="Y25" s="235">
        <v>40.314165000000003</v>
      </c>
      <c r="Z25" s="235">
        <v>26.839988000000002</v>
      </c>
      <c r="AA25" s="235">
        <v>26.919129999999999</v>
      </c>
      <c r="AB25" s="234">
        <v>31.039451</v>
      </c>
      <c r="AC25" s="234">
        <v>46.404277</v>
      </c>
      <c r="AD25" s="234">
        <v>47.419716000000001</v>
      </c>
      <c r="AE25" s="234">
        <v>64.725669999999994</v>
      </c>
      <c r="AF25" s="234">
        <v>38.270862999999999</v>
      </c>
      <c r="AG25" s="234">
        <v>36.993046999999997</v>
      </c>
      <c r="AH25" s="234">
        <v>29.992884</v>
      </c>
      <c r="AI25" s="234">
        <v>33.049315</v>
      </c>
      <c r="AJ25" s="234">
        <v>53.468066999999998</v>
      </c>
      <c r="AK25" s="234">
        <v>35.137366</v>
      </c>
      <c r="AL25" s="234">
        <v>42.652462999999997</v>
      </c>
      <c r="AM25" s="234">
        <v>50.251697999999998</v>
      </c>
      <c r="AN25" s="234">
        <v>36.801167</v>
      </c>
      <c r="AO25" s="234">
        <v>32.579033000000003</v>
      </c>
      <c r="AP25" s="234">
        <v>13.407575</v>
      </c>
      <c r="AQ25" s="234">
        <v>13.947247000000001</v>
      </c>
      <c r="AR25" s="234">
        <v>27.037309</v>
      </c>
      <c r="AS25" s="234">
        <v>21.03436</v>
      </c>
      <c r="AT25" s="234">
        <v>18.686419999999998</v>
      </c>
      <c r="AU25" s="234">
        <v>17.373142999999999</v>
      </c>
      <c r="AV25" s="234">
        <v>26.734531</v>
      </c>
      <c r="AW25" s="234">
        <v>34.279448000000002</v>
      </c>
      <c r="AX25" s="234">
        <v>35.957728000000003</v>
      </c>
      <c r="AY25" s="234">
        <v>21.893906000000001</v>
      </c>
      <c r="AZ25" s="234">
        <v>27.912963000000001</v>
      </c>
      <c r="BA25" s="234">
        <v>19.263836000000001</v>
      </c>
      <c r="BB25" s="234">
        <v>18.2925</v>
      </c>
      <c r="BC25" s="234">
        <v>30.327954999999999</v>
      </c>
      <c r="BD25" s="234">
        <v>29.553436999999999</v>
      </c>
      <c r="BE25" s="234">
        <v>27.353370999999999</v>
      </c>
      <c r="BF25" s="234">
        <v>22.596567</v>
      </c>
      <c r="BG25" s="234">
        <v>24.695957</v>
      </c>
      <c r="BH25" s="234">
        <v>30.611471000000002</v>
      </c>
      <c r="BI25" s="234">
        <v>24.861750000000001</v>
      </c>
      <c r="BJ25" s="234">
        <v>27.885362000000001</v>
      </c>
      <c r="BK25" s="234">
        <v>24.965751999999998</v>
      </c>
      <c r="BL25" s="234">
        <v>17.305921000000001</v>
      </c>
      <c r="BM25" s="234">
        <v>34.419795999999998</v>
      </c>
      <c r="BN25" s="234">
        <v>27.614204999999998</v>
      </c>
      <c r="BO25" s="234">
        <v>21.195450000000001</v>
      </c>
      <c r="BP25" s="234">
        <v>25.928346000000001</v>
      </c>
      <c r="BQ25" s="234">
        <v>21.469916999999999</v>
      </c>
      <c r="BR25" s="234">
        <v>20.102826</v>
      </c>
      <c r="BS25" s="234">
        <v>23.144265000000001</v>
      </c>
      <c r="BT25" s="234">
        <v>22.539318999999999</v>
      </c>
      <c r="BU25" s="234">
        <v>29.90945</v>
      </c>
      <c r="BV25" s="234">
        <v>26.986284000000001</v>
      </c>
      <c r="BW25" s="234">
        <v>25.873335000000001</v>
      </c>
      <c r="BX25" s="234">
        <v>28.199812999999999</v>
      </c>
      <c r="BY25" s="234">
        <v>38.277577000000001</v>
      </c>
      <c r="BZ25" s="234">
        <v>25.285851999999998</v>
      </c>
      <c r="CA25" s="234">
        <v>32.195397</v>
      </c>
      <c r="CB25" s="234">
        <v>31.367545</v>
      </c>
      <c r="CC25" s="234">
        <v>30.959578</v>
      </c>
      <c r="CD25" s="234">
        <v>29.103604000000001</v>
      </c>
      <c r="CE25" s="234">
        <v>23.755914000000001</v>
      </c>
    </row>
    <row r="26" spans="1:83" ht="18" thickBot="1" x14ac:dyDescent="0.35">
      <c r="A26" s="233"/>
      <c r="B26" s="232" t="s">
        <v>176</v>
      </c>
      <c r="C26" s="231">
        <v>331.22154599999993</v>
      </c>
      <c r="D26" s="230">
        <v>329.61593399999987</v>
      </c>
      <c r="E26" s="230">
        <v>450.52565999999996</v>
      </c>
      <c r="F26" s="230">
        <v>393.22015600000003</v>
      </c>
      <c r="G26" s="230">
        <v>436.19422500000007</v>
      </c>
      <c r="H26" s="230">
        <v>389.03623999999996</v>
      </c>
      <c r="I26" s="230">
        <v>376.47295199999996</v>
      </c>
      <c r="J26" s="230">
        <v>433.39257800000001</v>
      </c>
      <c r="K26" s="230">
        <v>380.04286400000001</v>
      </c>
      <c r="L26" s="230">
        <v>334.96484500000003</v>
      </c>
      <c r="M26" s="229">
        <v>354.41184200000009</v>
      </c>
      <c r="N26" s="228">
        <v>342.77341800000011</v>
      </c>
      <c r="O26" s="228">
        <v>378.5047209999999</v>
      </c>
      <c r="P26" s="228">
        <v>375.16533900000002</v>
      </c>
      <c r="Q26" s="228">
        <v>404.32662899999997</v>
      </c>
      <c r="R26" s="228">
        <v>356.19284700000003</v>
      </c>
      <c r="S26" s="227">
        <v>338.88403600000004</v>
      </c>
      <c r="T26" s="227">
        <v>418.06721099999999</v>
      </c>
      <c r="U26" s="226">
        <v>342.43261199999995</v>
      </c>
      <c r="V26" s="225">
        <v>372.80672099999992</v>
      </c>
      <c r="W26" s="224">
        <v>348.67276500000003</v>
      </c>
      <c r="X26" s="224">
        <v>323.29544999999996</v>
      </c>
      <c r="Y26" s="224">
        <v>306.74239299999999</v>
      </c>
      <c r="Z26" s="224">
        <v>394.53658899999999</v>
      </c>
      <c r="AA26" s="224">
        <v>372.56564600000002</v>
      </c>
      <c r="AB26" s="223">
        <v>325.29947499999992</v>
      </c>
      <c r="AC26" s="223">
        <v>361.93969099999998</v>
      </c>
      <c r="AD26" s="223">
        <v>372.18267200000003</v>
      </c>
      <c r="AE26" s="223">
        <v>506.66610799999995</v>
      </c>
      <c r="AF26" s="223">
        <v>460.39336499999996</v>
      </c>
      <c r="AG26" s="223">
        <v>343.389321</v>
      </c>
      <c r="AH26" s="223">
        <v>329.39689500000009</v>
      </c>
      <c r="AI26" s="223">
        <v>356.41321500000009</v>
      </c>
      <c r="AJ26" s="223">
        <v>387.98195599999997</v>
      </c>
      <c r="AK26" s="223">
        <v>307.55695500000002</v>
      </c>
      <c r="AL26" s="223">
        <v>361.10683799999998</v>
      </c>
      <c r="AM26" s="223">
        <v>340.31638700000008</v>
      </c>
      <c r="AN26" s="223">
        <v>353.71015999999997</v>
      </c>
      <c r="AO26" s="223">
        <v>313.13605600000005</v>
      </c>
      <c r="AP26" s="223">
        <v>120.90965299999999</v>
      </c>
      <c r="AQ26" s="223">
        <v>96.734831999999997</v>
      </c>
      <c r="AR26" s="223">
        <v>216.03775899999999</v>
      </c>
      <c r="AS26" s="223">
        <v>182.51931099999996</v>
      </c>
      <c r="AT26" s="223">
        <v>197.73801899999998</v>
      </c>
      <c r="AU26" s="223">
        <v>192.27075599999998</v>
      </c>
      <c r="AV26" s="223">
        <v>194.18265099999994</v>
      </c>
      <c r="AW26" s="223">
        <v>198.50699299999997</v>
      </c>
      <c r="AX26" s="223">
        <v>279.52116999999998</v>
      </c>
      <c r="AY26" s="223">
        <v>197.03910899999994</v>
      </c>
      <c r="AZ26" s="223">
        <v>190.91852899999998</v>
      </c>
      <c r="BA26" s="223">
        <v>155.96555799999999</v>
      </c>
      <c r="BB26" s="223">
        <v>150.154447</v>
      </c>
      <c r="BC26" s="223">
        <v>161.942564</v>
      </c>
      <c r="BD26" s="223">
        <v>245.57111800000001</v>
      </c>
      <c r="BE26" s="223">
        <v>172.242941</v>
      </c>
      <c r="BF26" s="223">
        <v>154.27732</v>
      </c>
      <c r="BG26" s="223">
        <v>190.469765</v>
      </c>
      <c r="BH26" s="223">
        <v>194.80019466334298</v>
      </c>
      <c r="BI26" s="223">
        <v>193.39637899999997</v>
      </c>
      <c r="BJ26" s="223">
        <v>248.29615899999999</v>
      </c>
      <c r="BK26" s="223">
        <v>190.21158299999999</v>
      </c>
      <c r="BL26" s="223">
        <v>213.263476</v>
      </c>
      <c r="BM26" s="223">
        <v>210.99185299999999</v>
      </c>
      <c r="BN26" s="223">
        <v>169.189989</v>
      </c>
      <c r="BO26" s="223">
        <v>250.54823499999998</v>
      </c>
      <c r="BP26" s="223">
        <v>303.3275109999999</v>
      </c>
      <c r="BQ26" s="223">
        <v>204.28781599999999</v>
      </c>
      <c r="BR26" s="223">
        <v>215.32390400000003</v>
      </c>
      <c r="BS26" s="223">
        <v>227.382972</v>
      </c>
      <c r="BT26" s="223">
        <v>226.21696399999996</v>
      </c>
      <c r="BU26" s="223">
        <v>237.54231999999999</v>
      </c>
      <c r="BV26" s="223">
        <v>315.04776800000002</v>
      </c>
      <c r="BW26" s="223">
        <v>331.13298700000001</v>
      </c>
      <c r="BX26" s="223">
        <v>292.32058000000001</v>
      </c>
      <c r="BY26" s="223">
        <v>358.264186</v>
      </c>
      <c r="BZ26" s="223">
        <f>SUM(BZ4:BZ25)</f>
        <v>259.43535200000002</v>
      </c>
      <c r="CA26" s="223">
        <f>SUM(CA4:CA25)</f>
        <v>255.86215499999997</v>
      </c>
      <c r="CB26" s="223">
        <f>SUM(CB4:CB25)</f>
        <v>370.74397300000004</v>
      </c>
      <c r="CC26" s="223">
        <f>SUM(CC4:CC25)</f>
        <v>296.35244000000006</v>
      </c>
      <c r="CD26" s="223">
        <v>239.4</v>
      </c>
      <c r="CE26" s="223">
        <v>178.85817499999999</v>
      </c>
    </row>
    <row r="27" spans="1:83" s="221" customFormat="1" ht="18.95" customHeight="1" thickTop="1" x14ac:dyDescent="0.25">
      <c r="A27" s="211" t="s">
        <v>188</v>
      </c>
      <c r="B27" s="222"/>
    </row>
    <row r="28" spans="1:83" s="218" customFormat="1" ht="18.95" customHeight="1" x14ac:dyDescent="0.25">
      <c r="A28" s="214" t="s">
        <v>187</v>
      </c>
      <c r="B28" s="220"/>
      <c r="C28" s="220"/>
      <c r="D28" s="220"/>
      <c r="E28" s="220"/>
      <c r="F28" s="220"/>
      <c r="G28" s="220"/>
      <c r="H28" s="220"/>
      <c r="I28" s="220"/>
      <c r="J28" s="220"/>
      <c r="K28" s="220"/>
      <c r="L28" s="219"/>
      <c r="M28" s="219"/>
      <c r="N28" s="219"/>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2"/>
      <c r="AZ28" s="212"/>
      <c r="BA28" s="212"/>
      <c r="BB28" s="212"/>
      <c r="BC28" s="212"/>
      <c r="BD28" s="212"/>
      <c r="BE28" s="212"/>
      <c r="BF28" s="212"/>
      <c r="BG28" s="212"/>
      <c r="BH28" s="212"/>
      <c r="BI28" s="212"/>
      <c r="BJ28" s="212"/>
      <c r="BK28" s="212"/>
      <c r="BL28" s="212"/>
      <c r="BM28" s="212"/>
      <c r="BN28" s="212"/>
      <c r="BO28" s="212"/>
      <c r="BP28" s="212"/>
      <c r="BQ28" s="212"/>
      <c r="BR28" s="212"/>
      <c r="BS28" s="212"/>
      <c r="BT28" s="212"/>
      <c r="BU28" s="212"/>
      <c r="BV28" s="212"/>
      <c r="BW28" s="212"/>
      <c r="BX28" s="212"/>
      <c r="BY28" s="212"/>
      <c r="BZ28" s="212"/>
      <c r="CA28" s="212"/>
      <c r="CB28" s="212"/>
      <c r="CC28" s="212"/>
      <c r="CD28" s="212"/>
      <c r="CE28" s="212"/>
    </row>
    <row r="29" spans="1:83" s="214" customFormat="1" ht="18.95" customHeight="1" x14ac:dyDescent="0.25">
      <c r="A29" s="217" t="s">
        <v>186</v>
      </c>
      <c r="B29" s="216"/>
      <c r="C29" s="216"/>
      <c r="D29" s="216"/>
      <c r="E29" s="216"/>
      <c r="F29" s="216"/>
      <c r="G29" s="216"/>
      <c r="H29" s="216"/>
      <c r="I29" s="216"/>
      <c r="J29" s="216"/>
      <c r="K29" s="216"/>
      <c r="L29" s="216"/>
      <c r="M29" s="216"/>
      <c r="N29" s="215"/>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2"/>
      <c r="AZ29" s="212"/>
      <c r="BA29" s="212"/>
      <c r="BB29" s="212"/>
      <c r="BC29" s="212"/>
      <c r="BD29" s="212"/>
      <c r="BE29" s="212"/>
      <c r="BF29" s="212"/>
      <c r="BG29" s="212"/>
      <c r="BH29" s="212"/>
      <c r="BI29" s="212"/>
      <c r="BJ29" s="212"/>
      <c r="BK29" s="212"/>
      <c r="BL29" s="212"/>
      <c r="BM29" s="212"/>
      <c r="BN29" s="212"/>
      <c r="BO29" s="212"/>
      <c r="BP29" s="212"/>
      <c r="BQ29" s="212"/>
      <c r="BR29" s="212"/>
      <c r="BS29" s="212"/>
      <c r="BT29" s="212"/>
      <c r="BU29" s="212"/>
      <c r="BV29" s="212"/>
      <c r="BW29" s="212"/>
      <c r="BX29" s="212"/>
      <c r="BY29" s="212"/>
      <c r="BZ29" s="212"/>
      <c r="CA29" s="212"/>
      <c r="CB29" s="212"/>
      <c r="CC29" s="212"/>
      <c r="CD29" s="212"/>
      <c r="CE29" s="212"/>
    </row>
    <row r="30" spans="1:83" s="211" customFormat="1" ht="18.95" customHeight="1" x14ac:dyDescent="0.25">
      <c r="A30" s="211" t="s">
        <v>173</v>
      </c>
      <c r="B30" s="213"/>
      <c r="AY30" s="212"/>
      <c r="AZ30" s="212"/>
      <c r="BA30" s="212"/>
      <c r="BB30" s="212"/>
      <c r="BC30" s="212"/>
      <c r="BD30" s="212"/>
      <c r="BE30" s="212"/>
      <c r="BF30" s="212"/>
      <c r="BG30" s="212"/>
      <c r="BH30" s="212"/>
      <c r="BI30" s="212"/>
      <c r="BJ30" s="212"/>
      <c r="BK30" s="212"/>
      <c r="BL30" s="212"/>
      <c r="BM30" s="212"/>
      <c r="BN30" s="212"/>
      <c r="BO30" s="212"/>
      <c r="BP30" s="212"/>
      <c r="BQ30" s="212"/>
      <c r="BR30" s="212"/>
      <c r="BS30" s="212"/>
      <c r="BT30" s="212"/>
      <c r="BU30" s="212"/>
      <c r="BV30" s="212"/>
      <c r="BW30" s="212"/>
      <c r="BX30" s="212"/>
      <c r="BY30" s="212"/>
      <c r="BZ30" s="212"/>
      <c r="CA30" s="212"/>
      <c r="CB30" s="212"/>
      <c r="CC30" s="212"/>
      <c r="CD30" s="212"/>
      <c r="CE30" s="212"/>
    </row>
    <row r="31" spans="1:83" s="207" customFormat="1" ht="24" customHeight="1" x14ac:dyDescent="0.25">
      <c r="A31" s="207" t="s">
        <v>0</v>
      </c>
      <c r="B31" s="210"/>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row>
    <row r="32" spans="1:83" ht="16.5" x14ac:dyDescent="0.3">
      <c r="A32" s="204"/>
      <c r="B32" s="206"/>
      <c r="C32" s="205"/>
    </row>
    <row r="33" spans="1:3" ht="16.5" x14ac:dyDescent="0.3">
      <c r="A33" s="204"/>
      <c r="B33" s="203"/>
      <c r="C33" s="205"/>
    </row>
    <row r="34" spans="1:3" ht="16.5" x14ac:dyDescent="0.25">
      <c r="A34" s="204"/>
      <c r="B34" s="203"/>
      <c r="C34" s="201"/>
    </row>
  </sheetData>
  <printOptions horizontalCentered="1"/>
  <pageMargins left="0.74803149606299213" right="0.74803149606299213" top="0.74803149606299213" bottom="0.74803149606299213" header="0.31496062992125984" footer="0"/>
  <pageSetup paperSize="9" scale="61"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CE35"/>
  <sheetViews>
    <sheetView showGridLines="0" topLeftCell="A19" zoomScale="80" zoomScaleNormal="80" zoomScaleSheetLayoutView="85" workbookViewId="0">
      <pane xSplit="1" topLeftCell="B1" activePane="topRight" state="frozen"/>
      <selection activeCell="A38" sqref="A38"/>
      <selection pane="topRight" activeCell="BU50" sqref="BU50"/>
    </sheetView>
  </sheetViews>
  <sheetFormatPr defaultColWidth="9.140625" defaultRowHeight="14.25" x14ac:dyDescent="0.25"/>
  <cols>
    <col min="1" max="1" width="13.5703125" style="284" customWidth="1"/>
    <col min="2" max="2" width="75.140625" style="162" customWidth="1"/>
    <col min="3" max="3" width="7.28515625" style="161" hidden="1" customWidth="1"/>
    <col min="4" max="4" width="7.5703125" style="161" hidden="1" customWidth="1"/>
    <col min="5" max="5" width="8" style="161" hidden="1" customWidth="1"/>
    <col min="6" max="6" width="7.7109375" style="161" hidden="1" customWidth="1"/>
    <col min="7" max="7" width="8.28515625" style="161" hidden="1" customWidth="1"/>
    <col min="8" max="8" width="7.28515625" style="161" hidden="1" customWidth="1"/>
    <col min="9" max="9" width="6.7109375" style="161" hidden="1" customWidth="1"/>
    <col min="10" max="10" width="8" style="161" hidden="1" customWidth="1"/>
    <col min="11" max="11" width="7.7109375" style="161" hidden="1" customWidth="1"/>
    <col min="12" max="12" width="7.42578125" style="161" hidden="1" customWidth="1"/>
    <col min="13" max="13" width="8.140625" style="161" hidden="1" customWidth="1"/>
    <col min="14" max="14" width="7.7109375" style="161" hidden="1" customWidth="1"/>
    <col min="15" max="15" width="7.28515625" style="161" hidden="1" customWidth="1"/>
    <col min="16" max="16" width="7.5703125" style="161" hidden="1" customWidth="1"/>
    <col min="17" max="17" width="8" style="161" hidden="1" customWidth="1"/>
    <col min="18" max="18" width="7.7109375" style="161" hidden="1" customWidth="1"/>
    <col min="19" max="19" width="9.42578125" style="161" hidden="1" customWidth="1"/>
    <col min="20" max="20" width="8.5703125" style="161" hidden="1" customWidth="1"/>
    <col min="21" max="21" width="7.85546875" style="161" hidden="1" customWidth="1"/>
    <col min="22" max="22" width="9.140625" style="161" hidden="1" customWidth="1"/>
    <col min="23" max="23" width="8.7109375" style="161" hidden="1" customWidth="1"/>
    <col min="24" max="24" width="8.42578125" style="161" hidden="1" customWidth="1"/>
    <col min="25" max="25" width="9.28515625" style="161" hidden="1" customWidth="1"/>
    <col min="26" max="26" width="8.85546875" style="161" hidden="1" customWidth="1"/>
    <col min="27" max="27" width="8.42578125" style="161" hidden="1" customWidth="1"/>
    <col min="28" max="28" width="8.28515625" style="161" hidden="1" customWidth="1"/>
    <col min="29" max="29" width="8.7109375" style="161" hidden="1" customWidth="1"/>
    <col min="30" max="30" width="8.42578125" style="161" hidden="1" customWidth="1"/>
    <col min="31" max="31" width="9" style="161" hidden="1" customWidth="1"/>
    <col min="32" max="32" width="8.28515625" style="161" hidden="1" customWidth="1"/>
    <col min="33" max="33" width="7.5703125" style="161" hidden="1" customWidth="1"/>
    <col min="34" max="34" width="8.85546875" style="161" hidden="1" customWidth="1"/>
    <col min="35" max="35" width="8.28515625" style="161" hidden="1" customWidth="1"/>
    <col min="36" max="36" width="8.140625" style="161" hidden="1" customWidth="1"/>
    <col min="37" max="37" width="8.85546875" style="161" hidden="1" customWidth="1"/>
    <col min="38" max="38" width="8.42578125" style="161" hidden="1" customWidth="1"/>
    <col min="39" max="39" width="8.140625" style="161" hidden="1" customWidth="1"/>
    <col min="40" max="40" width="8.28515625" style="161" hidden="1" customWidth="1"/>
    <col min="41" max="41" width="8.7109375" style="161" hidden="1" customWidth="1"/>
    <col min="42" max="42" width="8.42578125" style="161" hidden="1" customWidth="1"/>
    <col min="43" max="70" width="10.7109375" style="161" hidden="1" customWidth="1"/>
    <col min="71" max="83" width="10.7109375" style="161" customWidth="1"/>
    <col min="84" max="16384" width="9.140625" style="161"/>
  </cols>
  <sheetData>
    <row r="1" spans="1:83" s="303" customFormat="1" ht="18.75" x14ac:dyDescent="0.3">
      <c r="A1" s="199" t="s">
        <v>235</v>
      </c>
      <c r="B1" s="199"/>
    </row>
    <row r="2" spans="1:83" s="297" customFormat="1" ht="17.25" thickBot="1" x14ac:dyDescent="0.35">
      <c r="A2" s="302"/>
      <c r="T2" s="301"/>
      <c r="W2" s="301"/>
      <c r="Y2" s="301"/>
      <c r="AE2" s="300"/>
      <c r="AF2" s="300"/>
      <c r="AG2" s="300"/>
      <c r="AH2" s="300"/>
      <c r="AJ2" s="299"/>
      <c r="AK2" s="298" t="s">
        <v>184</v>
      </c>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t="s">
        <v>184</v>
      </c>
    </row>
    <row r="3" spans="1:83" s="296" customFormat="1" ht="34.5" thickTop="1" thickBot="1" x14ac:dyDescent="0.3">
      <c r="A3" s="275" t="s">
        <v>233</v>
      </c>
      <c r="B3" s="274" t="s">
        <v>232</v>
      </c>
      <c r="C3" s="273">
        <v>42737</v>
      </c>
      <c r="D3" s="272">
        <v>42767</v>
      </c>
      <c r="E3" s="272">
        <v>42795</v>
      </c>
      <c r="F3" s="272">
        <v>42826</v>
      </c>
      <c r="G3" s="272">
        <v>42856</v>
      </c>
      <c r="H3" s="272">
        <v>42887</v>
      </c>
      <c r="I3" s="272">
        <v>42917</v>
      </c>
      <c r="J3" s="272">
        <v>42948</v>
      </c>
      <c r="K3" s="272">
        <v>42979</v>
      </c>
      <c r="L3" s="272">
        <v>43009</v>
      </c>
      <c r="M3" s="271">
        <v>43040</v>
      </c>
      <c r="N3" s="270">
        <v>43070</v>
      </c>
      <c r="O3" s="270">
        <v>43101</v>
      </c>
      <c r="P3" s="270">
        <v>43132</v>
      </c>
      <c r="Q3" s="270">
        <v>43160</v>
      </c>
      <c r="R3" s="270">
        <v>43191</v>
      </c>
      <c r="S3" s="269">
        <v>43221</v>
      </c>
      <c r="T3" s="269">
        <v>43252</v>
      </c>
      <c r="U3" s="268">
        <v>43282</v>
      </c>
      <c r="V3" s="267">
        <v>43313</v>
      </c>
      <c r="W3" s="266">
        <v>43344</v>
      </c>
      <c r="X3" s="266">
        <v>43374</v>
      </c>
      <c r="Y3" s="266">
        <v>43405</v>
      </c>
      <c r="Z3" s="266">
        <v>43435</v>
      </c>
      <c r="AA3" s="266">
        <v>43466</v>
      </c>
      <c r="AB3" s="265">
        <v>43497</v>
      </c>
      <c r="AC3" s="265">
        <v>43525</v>
      </c>
      <c r="AD3" s="265">
        <v>43556</v>
      </c>
      <c r="AE3" s="265">
        <v>43586</v>
      </c>
      <c r="AF3" s="265">
        <v>43617</v>
      </c>
      <c r="AG3" s="265">
        <v>43647</v>
      </c>
      <c r="AH3" s="265">
        <v>43678</v>
      </c>
      <c r="AI3" s="265">
        <v>43709</v>
      </c>
      <c r="AJ3" s="265">
        <v>43739</v>
      </c>
      <c r="AK3" s="265">
        <v>43770</v>
      </c>
      <c r="AL3" s="265">
        <v>43800</v>
      </c>
      <c r="AM3" s="265">
        <v>43831</v>
      </c>
      <c r="AN3" s="265">
        <v>43862</v>
      </c>
      <c r="AO3" s="265">
        <v>43891</v>
      </c>
      <c r="AP3" s="265">
        <v>43922</v>
      </c>
      <c r="AQ3" s="265">
        <v>43952</v>
      </c>
      <c r="AR3" s="265">
        <v>43983</v>
      </c>
      <c r="AS3" s="265">
        <v>44013</v>
      </c>
      <c r="AT3" s="265">
        <v>44044</v>
      </c>
      <c r="AU3" s="265">
        <v>44075</v>
      </c>
      <c r="AV3" s="265">
        <v>44105</v>
      </c>
      <c r="AW3" s="265">
        <v>44136</v>
      </c>
      <c r="AX3" s="265">
        <v>44166</v>
      </c>
      <c r="AY3" s="265">
        <v>44197</v>
      </c>
      <c r="AZ3" s="265">
        <v>44228</v>
      </c>
      <c r="BA3" s="265">
        <v>44256</v>
      </c>
      <c r="BB3" s="265">
        <v>44287</v>
      </c>
      <c r="BC3" s="265">
        <v>44317</v>
      </c>
      <c r="BD3" s="265">
        <v>44348</v>
      </c>
      <c r="BE3" s="265">
        <v>44378</v>
      </c>
      <c r="BF3" s="265">
        <v>44409</v>
      </c>
      <c r="BG3" s="265">
        <v>44440</v>
      </c>
      <c r="BH3" s="265">
        <v>44470</v>
      </c>
      <c r="BI3" s="265">
        <v>44501</v>
      </c>
      <c r="BJ3" s="265">
        <v>44531</v>
      </c>
      <c r="BK3" s="265">
        <v>44562</v>
      </c>
      <c r="BL3" s="265">
        <v>44593</v>
      </c>
      <c r="BM3" s="265">
        <v>44621</v>
      </c>
      <c r="BN3" s="265">
        <v>44652</v>
      </c>
      <c r="BO3" s="265">
        <v>44682</v>
      </c>
      <c r="BP3" s="265">
        <v>44713</v>
      </c>
      <c r="BQ3" s="265">
        <v>44743</v>
      </c>
      <c r="BR3" s="265">
        <v>44774</v>
      </c>
      <c r="BS3" s="265">
        <v>44805</v>
      </c>
      <c r="BT3" s="265">
        <v>44835</v>
      </c>
      <c r="BU3" s="265">
        <v>44866</v>
      </c>
      <c r="BV3" s="265">
        <v>44896</v>
      </c>
      <c r="BW3" s="265">
        <v>44927</v>
      </c>
      <c r="BX3" s="265">
        <v>44959</v>
      </c>
      <c r="BY3" s="265">
        <v>44987</v>
      </c>
      <c r="BZ3" s="265">
        <v>45018</v>
      </c>
      <c r="CA3" s="265">
        <v>45048</v>
      </c>
      <c r="CB3" s="265">
        <v>45080</v>
      </c>
      <c r="CC3" s="265">
        <v>45110</v>
      </c>
      <c r="CD3" s="265">
        <v>45141</v>
      </c>
      <c r="CE3" s="265">
        <v>45170</v>
      </c>
    </row>
    <row r="4" spans="1:83" ht="17.25" x14ac:dyDescent="0.3">
      <c r="A4" s="264" t="s">
        <v>231</v>
      </c>
      <c r="B4" s="263" t="s">
        <v>230</v>
      </c>
      <c r="C4" s="262">
        <v>1.8737269999999999</v>
      </c>
      <c r="D4" s="261">
        <v>5.6502299999999996</v>
      </c>
      <c r="E4" s="261">
        <v>6.1793459999999998</v>
      </c>
      <c r="F4" s="261">
        <v>6.8903819999999998</v>
      </c>
      <c r="G4" s="261">
        <v>2.9134190000000002</v>
      </c>
      <c r="H4" s="261">
        <v>1.3776919999999999</v>
      </c>
      <c r="I4" s="261">
        <v>5.8307270000000004</v>
      </c>
      <c r="J4" s="261">
        <v>2.699341</v>
      </c>
      <c r="K4" s="261">
        <v>2.9321660000000001</v>
      </c>
      <c r="L4" s="261">
        <v>4.1240329999999998</v>
      </c>
      <c r="M4" s="260">
        <v>1.3591869999999999</v>
      </c>
      <c r="N4" s="259">
        <v>3.8012929999999998</v>
      </c>
      <c r="O4" s="259">
        <v>4.0750380000000002</v>
      </c>
      <c r="P4" s="259">
        <v>5.492051</v>
      </c>
      <c r="Q4" s="259">
        <v>2.8839169999999998</v>
      </c>
      <c r="R4" s="259">
        <v>5.3517130000000002</v>
      </c>
      <c r="S4" s="258">
        <v>3.3357260000000002</v>
      </c>
      <c r="T4" s="258">
        <v>4.0821009999999998</v>
      </c>
      <c r="U4" s="257">
        <v>9.1434730000000002</v>
      </c>
      <c r="V4" s="256">
        <v>4.4307730000000003</v>
      </c>
      <c r="W4" s="245">
        <v>5.0496080000000001</v>
      </c>
      <c r="X4" s="245">
        <v>5.7440550000000004</v>
      </c>
      <c r="Y4" s="245">
        <v>1.312559</v>
      </c>
      <c r="Z4" s="245">
        <v>1.96679</v>
      </c>
      <c r="AA4" s="245">
        <v>5.5024449999999998</v>
      </c>
      <c r="AB4" s="244">
        <v>11.190146</v>
      </c>
      <c r="AC4" s="244">
        <v>3.9146969999999999</v>
      </c>
      <c r="AD4" s="244">
        <v>4.536054</v>
      </c>
      <c r="AE4" s="244">
        <v>4.7452940000000003</v>
      </c>
      <c r="AF4" s="244">
        <v>11.968059999999999</v>
      </c>
      <c r="AG4" s="244">
        <v>10.406629000000001</v>
      </c>
      <c r="AH4" s="244">
        <v>14.553019000000001</v>
      </c>
      <c r="AI4" s="244">
        <v>10.589162</v>
      </c>
      <c r="AJ4" s="244">
        <v>19.345385</v>
      </c>
      <c r="AK4" s="244">
        <v>11.578229</v>
      </c>
      <c r="AL4" s="244">
        <v>8.3917599999999997</v>
      </c>
      <c r="AM4" s="244">
        <v>2.779633</v>
      </c>
      <c r="AN4" s="244">
        <v>4.8686730000000003</v>
      </c>
      <c r="AO4" s="244">
        <v>11.063675</v>
      </c>
      <c r="AP4" s="244">
        <v>4.4814850000000002</v>
      </c>
      <c r="AQ4" s="244">
        <v>1.74898</v>
      </c>
      <c r="AR4" s="244">
        <v>3.4967459999999999</v>
      </c>
      <c r="AS4" s="244">
        <v>4.7611949999999998</v>
      </c>
      <c r="AT4" s="244">
        <v>13.081106999999999</v>
      </c>
      <c r="AU4" s="244">
        <v>11.208748</v>
      </c>
      <c r="AV4" s="244">
        <v>4.3680279999999998</v>
      </c>
      <c r="AW4" s="244">
        <v>0.89159999999999995</v>
      </c>
      <c r="AX4" s="244">
        <v>2.6544279999999998</v>
      </c>
      <c r="AY4" s="244">
        <v>4.2001309999999998</v>
      </c>
      <c r="AZ4" s="244">
        <v>2.9666709999999998</v>
      </c>
      <c r="BA4" s="244">
        <v>3.3781840000000001</v>
      </c>
      <c r="BB4" s="244">
        <v>5.29833</v>
      </c>
      <c r="BC4" s="244">
        <v>4.2538520000000002</v>
      </c>
      <c r="BD4" s="244">
        <v>2.571167</v>
      </c>
      <c r="BE4" s="244">
        <v>1.808025</v>
      </c>
      <c r="BF4" s="244">
        <v>3.4</v>
      </c>
      <c r="BG4" s="244">
        <v>1.660148</v>
      </c>
      <c r="BH4" s="244">
        <v>1.6438790000000001</v>
      </c>
      <c r="BI4" s="244">
        <v>2.8045010000000001</v>
      </c>
      <c r="BJ4" s="244">
        <v>1.5549740000000001</v>
      </c>
      <c r="BK4" s="244">
        <v>2.0614249999999998</v>
      </c>
      <c r="BL4" s="244">
        <v>1.2758119999999999</v>
      </c>
      <c r="BM4" s="244">
        <v>1.3667339999999999</v>
      </c>
      <c r="BN4" s="244">
        <v>3.0692650000000001</v>
      </c>
      <c r="BO4" s="244">
        <v>2.4508109999999999</v>
      </c>
      <c r="BP4" s="244">
        <v>1.580608</v>
      </c>
      <c r="BQ4" s="244">
        <v>1.9720279999999999</v>
      </c>
      <c r="BR4" s="244">
        <v>1.751841</v>
      </c>
      <c r="BS4" s="244">
        <v>2.4308999999999998</v>
      </c>
      <c r="BT4" s="244">
        <v>2.7005530000000002</v>
      </c>
      <c r="BU4" s="244">
        <v>3.4696899999999999</v>
      </c>
      <c r="BV4" s="244">
        <v>2.661381</v>
      </c>
      <c r="BW4" s="244">
        <v>2.7135180000000001</v>
      </c>
      <c r="BX4" s="244">
        <v>13.423973</v>
      </c>
      <c r="BY4" s="244">
        <v>10.407861</v>
      </c>
      <c r="BZ4" s="244">
        <v>6.9277040000000003</v>
      </c>
      <c r="CA4" s="244">
        <v>7.4908089999999996</v>
      </c>
      <c r="CB4" s="244">
        <v>4.919143</v>
      </c>
      <c r="CC4" s="244">
        <v>3.0105620000000002</v>
      </c>
      <c r="CD4" s="244">
        <v>8.0133670000000006</v>
      </c>
      <c r="CE4" s="244">
        <v>5.1548809999999996</v>
      </c>
    </row>
    <row r="5" spans="1:83" ht="17.25" x14ac:dyDescent="0.3">
      <c r="A5" s="253" t="s">
        <v>229</v>
      </c>
      <c r="B5" s="252" t="s">
        <v>228</v>
      </c>
      <c r="C5" s="251">
        <v>0</v>
      </c>
      <c r="D5" s="250">
        <v>0</v>
      </c>
      <c r="E5" s="250">
        <v>0</v>
      </c>
      <c r="F5" s="250">
        <v>2.3694E-2</v>
      </c>
      <c r="G5" s="250">
        <v>0</v>
      </c>
      <c r="H5" s="250">
        <v>0</v>
      </c>
      <c r="I5" s="250">
        <v>0</v>
      </c>
      <c r="J5" s="250">
        <v>3.4252999999999999E-2</v>
      </c>
      <c r="K5" s="250">
        <v>5.4099000000000001E-2</v>
      </c>
      <c r="L5" s="250">
        <v>4.5046999999999997E-2</v>
      </c>
      <c r="M5" s="249">
        <v>0</v>
      </c>
      <c r="N5" s="248">
        <v>0</v>
      </c>
      <c r="O5" s="248">
        <v>0</v>
      </c>
      <c r="P5" s="248">
        <v>8.2864999999999994E-2</v>
      </c>
      <c r="Q5" s="248">
        <v>0</v>
      </c>
      <c r="R5" s="248">
        <v>0</v>
      </c>
      <c r="S5" s="247">
        <v>0</v>
      </c>
      <c r="T5" s="247">
        <v>0</v>
      </c>
      <c r="U5" s="246">
        <v>0</v>
      </c>
      <c r="V5" s="245">
        <v>2.775E-2</v>
      </c>
      <c r="W5" s="245">
        <v>0</v>
      </c>
      <c r="X5" s="245">
        <v>0</v>
      </c>
      <c r="Y5" s="245">
        <v>0</v>
      </c>
      <c r="Z5" s="245">
        <v>0</v>
      </c>
      <c r="AA5" s="245">
        <v>0</v>
      </c>
      <c r="AB5" s="244">
        <v>0</v>
      </c>
      <c r="AC5" s="244">
        <v>0</v>
      </c>
      <c r="AD5" s="244">
        <v>0</v>
      </c>
      <c r="AE5" s="244">
        <v>0</v>
      </c>
      <c r="AF5" s="244">
        <v>2.0589E-2</v>
      </c>
      <c r="AG5" s="244">
        <v>5.3126E-2</v>
      </c>
      <c r="AH5" s="244">
        <v>0</v>
      </c>
      <c r="AI5" s="244">
        <v>3.6579E-2</v>
      </c>
      <c r="AJ5" s="244">
        <v>0</v>
      </c>
      <c r="AK5" s="244">
        <v>0</v>
      </c>
      <c r="AL5" s="244">
        <v>0</v>
      </c>
      <c r="AM5" s="244">
        <v>0</v>
      </c>
      <c r="AN5" s="244">
        <v>0</v>
      </c>
      <c r="AO5" s="244">
        <v>0.114137</v>
      </c>
      <c r="AP5" s="244">
        <v>0</v>
      </c>
      <c r="AQ5" s="244">
        <v>0</v>
      </c>
      <c r="AR5" s="244">
        <v>0</v>
      </c>
      <c r="AS5" s="244">
        <v>0</v>
      </c>
      <c r="AT5" s="244">
        <v>0</v>
      </c>
      <c r="AU5" s="244">
        <v>0</v>
      </c>
      <c r="AV5" s="244">
        <v>0</v>
      </c>
      <c r="AW5" s="244">
        <v>0</v>
      </c>
      <c r="AX5" s="244">
        <v>0</v>
      </c>
      <c r="AY5" s="244">
        <v>0</v>
      </c>
      <c r="AZ5" s="244">
        <v>0</v>
      </c>
      <c r="BA5" s="244">
        <v>0</v>
      </c>
      <c r="BB5" s="244">
        <v>0</v>
      </c>
      <c r="BC5" s="244">
        <v>0</v>
      </c>
      <c r="BD5" s="244">
        <v>0</v>
      </c>
      <c r="BE5" s="244">
        <v>0</v>
      </c>
      <c r="BF5" s="244">
        <v>0</v>
      </c>
      <c r="BG5" s="244">
        <v>0</v>
      </c>
      <c r="BH5" s="244">
        <v>0</v>
      </c>
      <c r="BI5" s="244">
        <v>0</v>
      </c>
      <c r="BJ5" s="244">
        <v>0</v>
      </c>
      <c r="BK5" s="244">
        <v>0</v>
      </c>
      <c r="BL5" s="244">
        <v>0</v>
      </c>
      <c r="BM5" s="244">
        <v>0</v>
      </c>
      <c r="BN5" s="244">
        <v>0</v>
      </c>
      <c r="BO5" s="244">
        <v>0</v>
      </c>
      <c r="BP5" s="244">
        <v>2.1359E-2</v>
      </c>
      <c r="BQ5" s="244">
        <v>0</v>
      </c>
      <c r="BR5" s="244">
        <v>0.111414</v>
      </c>
      <c r="BS5" s="244">
        <v>0</v>
      </c>
      <c r="BT5" s="244">
        <v>0</v>
      </c>
      <c r="BU5" s="244">
        <v>0</v>
      </c>
      <c r="BV5" s="244">
        <v>0</v>
      </c>
      <c r="BW5" s="244">
        <v>3.3688000000000003E-2</v>
      </c>
      <c r="BX5" s="244">
        <v>0</v>
      </c>
      <c r="BY5" s="244">
        <v>4.4999999999999998E-2</v>
      </c>
      <c r="BZ5" s="244">
        <v>0.04</v>
      </c>
      <c r="CA5" s="244">
        <v>0</v>
      </c>
      <c r="CB5" s="244">
        <v>0</v>
      </c>
      <c r="CC5" s="244">
        <v>2.4933E-2</v>
      </c>
      <c r="CD5" s="244">
        <v>0</v>
      </c>
      <c r="CE5" s="244">
        <v>0</v>
      </c>
    </row>
    <row r="6" spans="1:83" ht="17.25" x14ac:dyDescent="0.3">
      <c r="A6" s="253" t="s">
        <v>227</v>
      </c>
      <c r="B6" s="252" t="s">
        <v>226</v>
      </c>
      <c r="C6" s="251">
        <v>25.505998999999999</v>
      </c>
      <c r="D6" s="250">
        <v>34.393787000000003</v>
      </c>
      <c r="E6" s="250">
        <v>42.556314999999998</v>
      </c>
      <c r="F6" s="250">
        <v>33.276426000000001</v>
      </c>
      <c r="G6" s="250">
        <v>42.014259000000003</v>
      </c>
      <c r="H6" s="250">
        <v>25.791346000000001</v>
      </c>
      <c r="I6" s="250">
        <v>30.973580999999999</v>
      </c>
      <c r="J6" s="250">
        <v>33.758459999999999</v>
      </c>
      <c r="K6" s="250">
        <v>26.025895999999999</v>
      </c>
      <c r="L6" s="250">
        <v>34.561964000000003</v>
      </c>
      <c r="M6" s="249">
        <v>29.122147999999999</v>
      </c>
      <c r="N6" s="248">
        <v>25.755611999999999</v>
      </c>
      <c r="O6" s="248">
        <v>34.601475000000001</v>
      </c>
      <c r="P6" s="248">
        <v>34.639186000000002</v>
      </c>
      <c r="Q6" s="248">
        <v>26.550988</v>
      </c>
      <c r="R6" s="248">
        <v>26.836786</v>
      </c>
      <c r="S6" s="247">
        <v>31.837437000000001</v>
      </c>
      <c r="T6" s="247">
        <v>28.543883999999998</v>
      </c>
      <c r="U6" s="246">
        <v>34.210056000000002</v>
      </c>
      <c r="V6" s="245">
        <v>40.196989000000002</v>
      </c>
      <c r="W6" s="245">
        <v>28.634834000000001</v>
      </c>
      <c r="X6" s="245">
        <v>32.079802999999998</v>
      </c>
      <c r="Y6" s="245">
        <v>28.314133000000002</v>
      </c>
      <c r="Z6" s="245">
        <v>39.206673000000002</v>
      </c>
      <c r="AA6" s="245">
        <v>43.894100000000002</v>
      </c>
      <c r="AB6" s="244">
        <v>40.363661</v>
      </c>
      <c r="AC6" s="244">
        <v>30.507442000000001</v>
      </c>
      <c r="AD6" s="244">
        <v>34.436408999999998</v>
      </c>
      <c r="AE6" s="244">
        <v>34.797068000000003</v>
      </c>
      <c r="AF6" s="244">
        <v>29.304745</v>
      </c>
      <c r="AG6" s="244">
        <v>33.287880000000001</v>
      </c>
      <c r="AH6" s="244">
        <v>37.400314000000002</v>
      </c>
      <c r="AI6" s="244">
        <v>25.155100999999998</v>
      </c>
      <c r="AJ6" s="244">
        <v>39.757447999999997</v>
      </c>
      <c r="AK6" s="244">
        <v>25.219282</v>
      </c>
      <c r="AL6" s="244">
        <v>30.162198</v>
      </c>
      <c r="AM6" s="244">
        <v>29.913892000000001</v>
      </c>
      <c r="AN6" s="244">
        <v>31.579284999999999</v>
      </c>
      <c r="AO6" s="244">
        <v>25.076647999999999</v>
      </c>
      <c r="AP6" s="244">
        <v>17.494340999999999</v>
      </c>
      <c r="AQ6" s="244">
        <v>21.101254000000001</v>
      </c>
      <c r="AR6" s="244">
        <v>28.187850000000001</v>
      </c>
      <c r="AS6" s="244">
        <v>29.038751000000001</v>
      </c>
      <c r="AT6" s="244">
        <v>33.133577000000002</v>
      </c>
      <c r="AU6" s="244">
        <v>32.267304000000003</v>
      </c>
      <c r="AV6" s="244">
        <v>30.417942</v>
      </c>
      <c r="AW6" s="244">
        <v>36.404601999999997</v>
      </c>
      <c r="AX6" s="244">
        <v>39.514634999999998</v>
      </c>
      <c r="AY6" s="244">
        <v>21.836134000000001</v>
      </c>
      <c r="AZ6" s="244">
        <v>23.311558999999999</v>
      </c>
      <c r="BA6" s="244">
        <v>31.723936999999999</v>
      </c>
      <c r="BB6" s="244">
        <v>26.021298000000002</v>
      </c>
      <c r="BC6" s="244">
        <v>22.023582000000001</v>
      </c>
      <c r="BD6" s="244">
        <v>26.537953000000002</v>
      </c>
      <c r="BE6" s="244">
        <v>29.190011999999999</v>
      </c>
      <c r="BF6" s="244">
        <v>27</v>
      </c>
      <c r="BG6" s="244">
        <v>23.643847000000001</v>
      </c>
      <c r="BH6" s="244">
        <v>33.541643000000001</v>
      </c>
      <c r="BI6" s="244">
        <v>26.855430999999999</v>
      </c>
      <c r="BJ6" s="244">
        <v>31.399273000000001</v>
      </c>
      <c r="BK6" s="244">
        <v>23.583365000000001</v>
      </c>
      <c r="BL6" s="244">
        <v>35.560938</v>
      </c>
      <c r="BM6" s="244">
        <v>23.338474999999999</v>
      </c>
      <c r="BN6" s="244">
        <v>58.618409</v>
      </c>
      <c r="BO6" s="244">
        <v>23.276745999999999</v>
      </c>
      <c r="BP6" s="244">
        <v>32.348742000000001</v>
      </c>
      <c r="BQ6" s="244">
        <v>26.578648000000001</v>
      </c>
      <c r="BR6" s="244">
        <v>19.290232</v>
      </c>
      <c r="BS6" s="244">
        <v>17.586203999999999</v>
      </c>
      <c r="BT6" s="244">
        <v>24.346117</v>
      </c>
      <c r="BU6" s="244">
        <v>78.982652999999999</v>
      </c>
      <c r="BV6" s="244">
        <v>36.683019000000002</v>
      </c>
      <c r="BW6" s="244">
        <v>26.167375</v>
      </c>
      <c r="BX6" s="244">
        <v>31.862690000000001</v>
      </c>
      <c r="BY6" s="244">
        <v>39.968929000000003</v>
      </c>
      <c r="BZ6" s="244">
        <v>28.548487000000002</v>
      </c>
      <c r="CA6" s="244">
        <v>26.669443000000001</v>
      </c>
      <c r="CB6" s="244">
        <v>23.708606</v>
      </c>
      <c r="CC6" s="244">
        <v>37.406140000000001</v>
      </c>
      <c r="CD6" s="244">
        <v>22.1</v>
      </c>
      <c r="CE6" s="244">
        <v>26.731335999999999</v>
      </c>
    </row>
    <row r="7" spans="1:83" ht="17.25" x14ac:dyDescent="0.3">
      <c r="A7" s="253" t="s">
        <v>225</v>
      </c>
      <c r="B7" s="252" t="s">
        <v>224</v>
      </c>
      <c r="C7" s="251">
        <v>16.069172999999999</v>
      </c>
      <c r="D7" s="250">
        <v>8.2470289999999995</v>
      </c>
      <c r="E7" s="250">
        <v>19.579142000000001</v>
      </c>
      <c r="F7" s="250">
        <v>9.5718099999999993</v>
      </c>
      <c r="G7" s="250">
        <v>9.8174869999999999</v>
      </c>
      <c r="H7" s="250">
        <v>11.629056</v>
      </c>
      <c r="I7" s="250">
        <v>14.737556</v>
      </c>
      <c r="J7" s="250">
        <v>16.954764000000001</v>
      </c>
      <c r="K7" s="250">
        <v>2.9596070000000001</v>
      </c>
      <c r="L7" s="250">
        <v>9.4236889999999995</v>
      </c>
      <c r="M7" s="249">
        <v>20.105578000000001</v>
      </c>
      <c r="N7" s="248">
        <v>23.065391000000002</v>
      </c>
      <c r="O7" s="248">
        <v>20.877905999999999</v>
      </c>
      <c r="P7" s="248">
        <v>13.191898</v>
      </c>
      <c r="Q7" s="248">
        <v>19.954177000000001</v>
      </c>
      <c r="R7" s="248">
        <v>15.967751</v>
      </c>
      <c r="S7" s="247">
        <v>16.103573000000001</v>
      </c>
      <c r="T7" s="247">
        <v>15.620875</v>
      </c>
      <c r="U7" s="246">
        <v>11.735054</v>
      </c>
      <c r="V7" s="245">
        <v>6.2553280000000004</v>
      </c>
      <c r="W7" s="245">
        <v>10.372398</v>
      </c>
      <c r="X7" s="245">
        <v>17.766860000000001</v>
      </c>
      <c r="Y7" s="245">
        <v>15.11398</v>
      </c>
      <c r="Z7" s="245">
        <v>8.5498969999999996</v>
      </c>
      <c r="AA7" s="245">
        <v>24.035513999999999</v>
      </c>
      <c r="AB7" s="244">
        <v>13.225662</v>
      </c>
      <c r="AC7" s="244">
        <v>13.931978000000001</v>
      </c>
      <c r="AD7" s="244">
        <v>14.110277</v>
      </c>
      <c r="AE7" s="244">
        <v>17.454657999999998</v>
      </c>
      <c r="AF7" s="244">
        <v>13.506233999999999</v>
      </c>
      <c r="AG7" s="244">
        <v>12.932368</v>
      </c>
      <c r="AH7" s="244">
        <v>11.687315</v>
      </c>
      <c r="AI7" s="244">
        <v>10.098132</v>
      </c>
      <c r="AJ7" s="244">
        <v>10.077458</v>
      </c>
      <c r="AK7" s="244">
        <v>7.1232990000000003</v>
      </c>
      <c r="AL7" s="244">
        <v>16.530802000000001</v>
      </c>
      <c r="AM7" s="244">
        <v>12.295249</v>
      </c>
      <c r="AN7" s="244">
        <v>8.7164739999999998</v>
      </c>
      <c r="AO7" s="244">
        <v>14.287051</v>
      </c>
      <c r="AP7" s="244">
        <v>10.384662000000001</v>
      </c>
      <c r="AQ7" s="244">
        <v>8.4363840000000003</v>
      </c>
      <c r="AR7" s="244">
        <v>10.674552</v>
      </c>
      <c r="AS7" s="244">
        <v>8.4943069999999992</v>
      </c>
      <c r="AT7" s="244">
        <v>20.710766</v>
      </c>
      <c r="AU7" s="244">
        <v>8.5488440000000008</v>
      </c>
      <c r="AV7" s="244">
        <v>10.853524</v>
      </c>
      <c r="AW7" s="244">
        <v>13.511532000000001</v>
      </c>
      <c r="AX7" s="244">
        <v>14.100395000000001</v>
      </c>
      <c r="AY7" s="244">
        <v>12.607355</v>
      </c>
      <c r="AZ7" s="244">
        <v>8.6243859999999994</v>
      </c>
      <c r="BA7" s="244">
        <v>10.459085999999999</v>
      </c>
      <c r="BB7" s="244">
        <v>11.420045999999999</v>
      </c>
      <c r="BC7" s="244">
        <v>11.947953999999999</v>
      </c>
      <c r="BD7" s="244">
        <v>16.568863</v>
      </c>
      <c r="BE7" s="244">
        <v>12.725279</v>
      </c>
      <c r="BF7" s="244">
        <v>9.5</v>
      </c>
      <c r="BG7" s="244">
        <v>11.236935000000001</v>
      </c>
      <c r="BH7" s="244">
        <v>13.020502</v>
      </c>
      <c r="BI7" s="244">
        <v>10.465655999999999</v>
      </c>
      <c r="BJ7" s="244">
        <v>11.687459</v>
      </c>
      <c r="BK7" s="244">
        <v>9.4619389999999992</v>
      </c>
      <c r="BL7" s="244">
        <v>9.6828420000000008</v>
      </c>
      <c r="BM7" s="244">
        <v>7.0869220000000004</v>
      </c>
      <c r="BN7" s="244">
        <v>20.805569999999999</v>
      </c>
      <c r="BO7" s="244">
        <v>10.500429</v>
      </c>
      <c r="BP7" s="244">
        <v>8.4496710000000004</v>
      </c>
      <c r="BQ7" s="244">
        <v>9.6994810000000005</v>
      </c>
      <c r="BR7" s="244">
        <v>13.420453</v>
      </c>
      <c r="BS7" s="244">
        <v>9.0351959999999991</v>
      </c>
      <c r="BT7" s="244">
        <v>5.2698799999999997</v>
      </c>
      <c r="BU7" s="244">
        <v>41.889741999999998</v>
      </c>
      <c r="BV7" s="244">
        <v>26.174893000000001</v>
      </c>
      <c r="BW7" s="244">
        <v>15.983039</v>
      </c>
      <c r="BX7" s="244">
        <v>12.432122</v>
      </c>
      <c r="BY7" s="244">
        <v>19.178213</v>
      </c>
      <c r="BZ7" s="244">
        <v>14.21977</v>
      </c>
      <c r="CA7" s="244">
        <v>10.215234000000001</v>
      </c>
      <c r="CB7" s="244">
        <v>9.0102010000000003</v>
      </c>
      <c r="CC7" s="244">
        <v>10.306983000000001</v>
      </c>
      <c r="CD7" s="244">
        <v>7.3299110000000001</v>
      </c>
      <c r="CE7" s="244">
        <v>8.3951519999999995</v>
      </c>
    </row>
    <row r="8" spans="1:83" ht="17.25" x14ac:dyDescent="0.3">
      <c r="A8" s="253" t="s">
        <v>223</v>
      </c>
      <c r="B8" s="252" t="s">
        <v>222</v>
      </c>
      <c r="C8" s="251">
        <v>0.314135</v>
      </c>
      <c r="D8" s="250">
        <v>0.30244599999999999</v>
      </c>
      <c r="E8" s="250">
        <v>0.11454400000000001</v>
      </c>
      <c r="F8" s="250">
        <v>0.45794699999999999</v>
      </c>
      <c r="G8" s="250">
        <v>0.52052699999999996</v>
      </c>
      <c r="H8" s="250">
        <v>1.418156</v>
      </c>
      <c r="I8" s="250">
        <v>0.40640900000000002</v>
      </c>
      <c r="J8" s="250">
        <v>1.0174879999999999</v>
      </c>
      <c r="K8" s="250">
        <v>0.26413399999999998</v>
      </c>
      <c r="L8" s="250">
        <v>0.38948700000000003</v>
      </c>
      <c r="M8" s="249">
        <v>0.32820300000000002</v>
      </c>
      <c r="N8" s="248">
        <v>0.37868400000000002</v>
      </c>
      <c r="O8" s="248">
        <v>0.39469300000000002</v>
      </c>
      <c r="P8" s="248">
        <v>0.16920399999999999</v>
      </c>
      <c r="Q8" s="248">
        <v>0.86897100000000005</v>
      </c>
      <c r="R8" s="248">
        <v>0.90102599999999999</v>
      </c>
      <c r="S8" s="247">
        <v>0.416653</v>
      </c>
      <c r="T8" s="247">
        <v>0.31012299999999998</v>
      </c>
      <c r="U8" s="246">
        <v>0.81714699999999996</v>
      </c>
      <c r="V8" s="245">
        <v>0.256023</v>
      </c>
      <c r="W8" s="245">
        <v>1.3923209999999999</v>
      </c>
      <c r="X8" s="245">
        <v>0.81400600000000001</v>
      </c>
      <c r="Y8" s="245">
        <v>0.66823299999999997</v>
      </c>
      <c r="Z8" s="245">
        <v>0.32374799999999998</v>
      </c>
      <c r="AA8" s="245">
        <v>0.31134000000000001</v>
      </c>
      <c r="AB8" s="244">
        <v>1.423918</v>
      </c>
      <c r="AC8" s="244">
        <v>2.5522520000000002</v>
      </c>
      <c r="AD8" s="244">
        <v>0.361709</v>
      </c>
      <c r="AE8" s="244">
        <v>1.2384980000000001</v>
      </c>
      <c r="AF8" s="244">
        <v>0.32272699999999999</v>
      </c>
      <c r="AG8" s="244">
        <v>0.25684299999999999</v>
      </c>
      <c r="AH8" s="244">
        <v>1.0206310000000001</v>
      </c>
      <c r="AI8" s="244">
        <v>0.59074599999999999</v>
      </c>
      <c r="AJ8" s="244">
        <v>9.2171000000000003E-2</v>
      </c>
      <c r="AK8" s="244">
        <v>0.62544699999999998</v>
      </c>
      <c r="AL8" s="244">
        <v>0.66698100000000005</v>
      </c>
      <c r="AM8" s="244">
        <v>0.53713999999999995</v>
      </c>
      <c r="AN8" s="244">
        <v>7.4107999999999993E-2</v>
      </c>
      <c r="AO8" s="244">
        <v>0.102372</v>
      </c>
      <c r="AP8" s="244">
        <v>0.98668400000000001</v>
      </c>
      <c r="AQ8" s="244">
        <v>0.46190199999999998</v>
      </c>
      <c r="AR8" s="244">
        <v>0.39591599999999999</v>
      </c>
      <c r="AS8" s="244">
        <v>0.46122400000000002</v>
      </c>
      <c r="AT8" s="244">
        <v>0.321631</v>
      </c>
      <c r="AU8" s="244">
        <v>0.76549999999999996</v>
      </c>
      <c r="AV8" s="244">
        <v>0.34033600000000003</v>
      </c>
      <c r="AW8" s="244">
        <v>0.62412599999999996</v>
      </c>
      <c r="AX8" s="244">
        <v>0.481603</v>
      </c>
      <c r="AY8" s="244">
        <v>2.1104080000000001</v>
      </c>
      <c r="AZ8" s="244">
        <v>0.29708099999999998</v>
      </c>
      <c r="BA8" s="244">
        <v>0.55460900000000002</v>
      </c>
      <c r="BB8" s="244">
        <v>9.1655E-2</v>
      </c>
      <c r="BC8" s="244">
        <v>0.88461500000000004</v>
      </c>
      <c r="BD8" s="244">
        <v>0.508571</v>
      </c>
      <c r="BE8" s="244">
        <v>0.131356</v>
      </c>
      <c r="BF8" s="244">
        <v>0.1</v>
      </c>
      <c r="BG8" s="244">
        <v>0.19775799999999999</v>
      </c>
      <c r="BH8" s="244">
        <v>0.40809000000000001</v>
      </c>
      <c r="BI8" s="244">
        <v>0</v>
      </c>
      <c r="BJ8" s="244">
        <v>0.14044200000000001</v>
      </c>
      <c r="BK8" s="244">
        <v>3.5264999999999998E-2</v>
      </c>
      <c r="BL8" s="244">
        <v>0.38619700000000001</v>
      </c>
      <c r="BM8" s="244">
        <v>0.41151399999999999</v>
      </c>
      <c r="BN8" s="244">
        <v>0.119699</v>
      </c>
      <c r="BO8" s="244">
        <v>6.9748000000000004E-2</v>
      </c>
      <c r="BP8" s="244">
        <v>0.67857900000000004</v>
      </c>
      <c r="BQ8" s="244">
        <v>0.40666099999999999</v>
      </c>
      <c r="BR8" s="244">
        <v>4.8579999999999998E-2</v>
      </c>
      <c r="BS8" s="244">
        <v>0.54788700000000001</v>
      </c>
      <c r="BT8" s="244">
        <v>0.49377900000000002</v>
      </c>
      <c r="BU8" s="244">
        <v>7.7762999999999999E-2</v>
      </c>
      <c r="BV8" s="244">
        <v>0.19320899999999999</v>
      </c>
      <c r="BW8" s="244">
        <v>5.1671000000000002E-2</v>
      </c>
      <c r="BX8" s="244">
        <v>0.106054</v>
      </c>
      <c r="BY8" s="244">
        <v>0.17133399999999999</v>
      </c>
      <c r="BZ8" s="244">
        <v>0</v>
      </c>
      <c r="CA8" s="244">
        <v>0.20325199999999999</v>
      </c>
      <c r="CB8" s="244">
        <v>0.33776699999999998</v>
      </c>
      <c r="CC8" s="244">
        <v>0.34390199999999999</v>
      </c>
      <c r="CD8" s="244">
        <v>0.36504399999999998</v>
      </c>
      <c r="CE8" s="244">
        <v>0.1</v>
      </c>
    </row>
    <row r="9" spans="1:83" ht="17.25" x14ac:dyDescent="0.3">
      <c r="A9" s="253" t="s">
        <v>221</v>
      </c>
      <c r="B9" s="252" t="s">
        <v>220</v>
      </c>
      <c r="C9" s="251">
        <v>5.4787949999999999</v>
      </c>
      <c r="D9" s="250">
        <v>4.2376849999999999</v>
      </c>
      <c r="E9" s="250">
        <v>7.9175760000000004</v>
      </c>
      <c r="F9" s="250">
        <v>14.032254999999999</v>
      </c>
      <c r="G9" s="250">
        <v>9.3569370000000003</v>
      </c>
      <c r="H9" s="250">
        <v>7.8336699999999997</v>
      </c>
      <c r="I9" s="250">
        <v>11.837421000000001</v>
      </c>
      <c r="J9" s="250">
        <v>9.2373910000000006</v>
      </c>
      <c r="K9" s="250">
        <v>8.5629399999999993</v>
      </c>
      <c r="L9" s="250">
        <v>5.0930679999999997</v>
      </c>
      <c r="M9" s="249">
        <v>7.6807160000000003</v>
      </c>
      <c r="N9" s="248">
        <v>4.937799</v>
      </c>
      <c r="O9" s="248">
        <v>9.2499490000000009</v>
      </c>
      <c r="P9" s="248">
        <v>6.0605370000000001</v>
      </c>
      <c r="Q9" s="248">
        <v>9.9650049999999997</v>
      </c>
      <c r="R9" s="248">
        <v>7.4489710000000002</v>
      </c>
      <c r="S9" s="247">
        <v>9.6599269999999997</v>
      </c>
      <c r="T9" s="247">
        <v>18.663461000000002</v>
      </c>
      <c r="U9" s="246">
        <v>11.768860999999999</v>
      </c>
      <c r="V9" s="245">
        <v>12.067918000000001</v>
      </c>
      <c r="W9" s="245">
        <v>13.798814</v>
      </c>
      <c r="X9" s="245">
        <v>8.0550800000000002</v>
      </c>
      <c r="Y9" s="245">
        <v>11.506123000000001</v>
      </c>
      <c r="Z9" s="245">
        <v>15.687813</v>
      </c>
      <c r="AA9" s="245">
        <v>28.353940000000001</v>
      </c>
      <c r="AB9" s="244">
        <v>13.179735000000001</v>
      </c>
      <c r="AC9" s="244">
        <v>15.054982000000001</v>
      </c>
      <c r="AD9" s="244">
        <v>9.7754309999999993</v>
      </c>
      <c r="AE9" s="244">
        <v>10.015857</v>
      </c>
      <c r="AF9" s="244">
        <v>13.40202</v>
      </c>
      <c r="AG9" s="244">
        <v>18.011956000000001</v>
      </c>
      <c r="AH9" s="244">
        <v>13.791334000000001</v>
      </c>
      <c r="AI9" s="244">
        <v>17.124707000000001</v>
      </c>
      <c r="AJ9" s="244">
        <v>7.2097629999999997</v>
      </c>
      <c r="AK9" s="244">
        <v>14.799659</v>
      </c>
      <c r="AL9" s="244">
        <v>13.065483</v>
      </c>
      <c r="AM9" s="244">
        <v>23.875544999999999</v>
      </c>
      <c r="AN9" s="244">
        <v>9.6195020000000007</v>
      </c>
      <c r="AO9" s="244">
        <v>6.625013</v>
      </c>
      <c r="AP9" s="244">
        <v>7.7630330000000001</v>
      </c>
      <c r="AQ9" s="244">
        <v>7.7691920000000003</v>
      </c>
      <c r="AR9" s="244">
        <v>6.0490729999999999</v>
      </c>
      <c r="AS9" s="244">
        <v>11.627424</v>
      </c>
      <c r="AT9" s="244">
        <v>17.167439000000002</v>
      </c>
      <c r="AU9" s="244">
        <v>6.8123899999999997</v>
      </c>
      <c r="AV9" s="244">
        <v>7.7895599999999998</v>
      </c>
      <c r="AW9" s="244">
        <v>8.1785479999999993</v>
      </c>
      <c r="AX9" s="244">
        <v>8.0744290000000003</v>
      </c>
      <c r="AY9" s="244">
        <v>10.802511000000001</v>
      </c>
      <c r="AZ9" s="244">
        <v>5.3157909999999999</v>
      </c>
      <c r="BA9" s="244">
        <v>5.0848069999999996</v>
      </c>
      <c r="BB9" s="244">
        <v>4.9352729999999996</v>
      </c>
      <c r="BC9" s="244">
        <v>9.2050380000000001</v>
      </c>
      <c r="BD9" s="244">
        <v>6.4387889999999999</v>
      </c>
      <c r="BE9" s="244">
        <v>9.2975999999999992</v>
      </c>
      <c r="BF9" s="244">
        <v>6.8</v>
      </c>
      <c r="BG9" s="244">
        <v>7.0850559999999998</v>
      </c>
      <c r="BH9" s="244">
        <v>13.710485</v>
      </c>
      <c r="BI9" s="244">
        <v>5.7369750000000002</v>
      </c>
      <c r="BJ9" s="244">
        <v>9.2393750000000008</v>
      </c>
      <c r="BK9" s="244">
        <v>7.8613939999999998</v>
      </c>
      <c r="BL9" s="244">
        <v>5.0439239999999996</v>
      </c>
      <c r="BM9" s="244">
        <v>7.8751740000000003</v>
      </c>
      <c r="BN9" s="244">
        <v>6.5080939999999998</v>
      </c>
      <c r="BO9" s="244">
        <v>6.4292100000000003</v>
      </c>
      <c r="BP9" s="244">
        <v>5.7953510000000001</v>
      </c>
      <c r="BQ9" s="244">
        <v>6.4321529999999996</v>
      </c>
      <c r="BR9" s="244">
        <v>5.8250260000000003</v>
      </c>
      <c r="BS9" s="244">
        <v>3.863569</v>
      </c>
      <c r="BT9" s="244">
        <v>3.9161950000000001</v>
      </c>
      <c r="BU9" s="244">
        <v>11.214347999999999</v>
      </c>
      <c r="BV9" s="244">
        <v>14.9</v>
      </c>
      <c r="BW9" s="244">
        <v>7.1179690000000004</v>
      </c>
      <c r="BX9" s="244">
        <v>7.0237150000000002</v>
      </c>
      <c r="BY9" s="244">
        <v>12.901040999999999</v>
      </c>
      <c r="BZ9" s="244">
        <v>5.3716200000000001</v>
      </c>
      <c r="CA9" s="244">
        <v>6.5391560000000002</v>
      </c>
      <c r="CB9" s="244">
        <v>9.0239930000000008</v>
      </c>
      <c r="CC9" s="244">
        <v>12.424652999999999</v>
      </c>
      <c r="CD9" s="244">
        <v>7.4186139999999998</v>
      </c>
      <c r="CE9" s="244">
        <v>8.0179010000000002</v>
      </c>
    </row>
    <row r="10" spans="1:83" ht="17.25" x14ac:dyDescent="0.3">
      <c r="A10" s="254" t="s">
        <v>219</v>
      </c>
      <c r="B10" s="252" t="s">
        <v>218</v>
      </c>
      <c r="C10" s="251">
        <v>88.102399000000005</v>
      </c>
      <c r="D10" s="250">
        <v>85.794148000000007</v>
      </c>
      <c r="E10" s="250">
        <v>117.299482</v>
      </c>
      <c r="F10" s="250">
        <v>98.597997000000007</v>
      </c>
      <c r="G10" s="250">
        <v>100.65992900000001</v>
      </c>
      <c r="H10" s="250">
        <v>115.082792</v>
      </c>
      <c r="I10" s="250">
        <v>117.499291</v>
      </c>
      <c r="J10" s="250">
        <v>121.151297</v>
      </c>
      <c r="K10" s="250">
        <v>106.603751</v>
      </c>
      <c r="L10" s="250">
        <v>102.995744</v>
      </c>
      <c r="M10" s="249">
        <v>112.531271</v>
      </c>
      <c r="N10" s="248">
        <v>124.939334</v>
      </c>
      <c r="O10" s="248">
        <v>114.061331</v>
      </c>
      <c r="P10" s="248">
        <v>100.101615</v>
      </c>
      <c r="Q10" s="248">
        <v>111.013334</v>
      </c>
      <c r="R10" s="248">
        <v>103.14534399999999</v>
      </c>
      <c r="S10" s="247">
        <v>127.72086299999999</v>
      </c>
      <c r="T10" s="247">
        <v>106.31444399999999</v>
      </c>
      <c r="U10" s="246">
        <v>128.24471199999999</v>
      </c>
      <c r="V10" s="245">
        <v>130.923158</v>
      </c>
      <c r="W10" s="245">
        <v>126.183335</v>
      </c>
      <c r="X10" s="245">
        <v>130.73920699999999</v>
      </c>
      <c r="Y10" s="245">
        <v>126.426113</v>
      </c>
      <c r="Z10" s="245">
        <v>132.38606200000001</v>
      </c>
      <c r="AA10" s="245">
        <v>144.142124</v>
      </c>
      <c r="AB10" s="244">
        <v>103.01333099999999</v>
      </c>
      <c r="AC10" s="244">
        <v>93.131393000000003</v>
      </c>
      <c r="AD10" s="244">
        <v>137.71633499999999</v>
      </c>
      <c r="AE10" s="244">
        <v>116.832531</v>
      </c>
      <c r="AF10" s="244">
        <v>124.94443699999999</v>
      </c>
      <c r="AG10" s="244">
        <v>121.814071</v>
      </c>
      <c r="AH10" s="244">
        <v>131.043193</v>
      </c>
      <c r="AI10" s="244">
        <v>127.84418700000001</v>
      </c>
      <c r="AJ10" s="244">
        <v>148.610355</v>
      </c>
      <c r="AK10" s="244">
        <v>124.455721</v>
      </c>
      <c r="AL10" s="244">
        <v>141.20030800000001</v>
      </c>
      <c r="AM10" s="244">
        <v>139.90540799999999</v>
      </c>
      <c r="AN10" s="244">
        <v>105.620879</v>
      </c>
      <c r="AO10" s="244">
        <v>115.532246</v>
      </c>
      <c r="AP10" s="244">
        <v>87.662088999999995</v>
      </c>
      <c r="AQ10" s="244">
        <v>83.364671000000001</v>
      </c>
      <c r="AR10" s="244">
        <v>104.425496</v>
      </c>
      <c r="AS10" s="244">
        <v>116.183402</v>
      </c>
      <c r="AT10" s="244">
        <v>119.719639</v>
      </c>
      <c r="AU10" s="244">
        <v>123.539907</v>
      </c>
      <c r="AV10" s="244">
        <v>108.449652</v>
      </c>
      <c r="AW10" s="244">
        <v>134.379503</v>
      </c>
      <c r="AX10" s="244">
        <v>130.71999600000001</v>
      </c>
      <c r="AY10" s="244">
        <v>111.604533</v>
      </c>
      <c r="AZ10" s="244">
        <v>97.841054</v>
      </c>
      <c r="BA10" s="244">
        <v>103.165576</v>
      </c>
      <c r="BB10" s="244">
        <v>105.468264</v>
      </c>
      <c r="BC10" s="244">
        <v>100.29871900000001</v>
      </c>
      <c r="BD10" s="244">
        <v>130.28607</v>
      </c>
      <c r="BE10" s="244">
        <v>122.771799</v>
      </c>
      <c r="BF10" s="244">
        <v>120.74898399999999</v>
      </c>
      <c r="BG10" s="244">
        <v>117.257578</v>
      </c>
      <c r="BH10" s="244">
        <v>132.39918299999991</v>
      </c>
      <c r="BI10" s="244">
        <v>127.68826</v>
      </c>
      <c r="BJ10" s="244">
        <v>137.832742</v>
      </c>
      <c r="BK10" s="244">
        <v>122.99520800000001</v>
      </c>
      <c r="BL10" s="244">
        <v>99.466179999999994</v>
      </c>
      <c r="BM10" s="244">
        <v>113.09269399999999</v>
      </c>
      <c r="BN10" s="244">
        <v>188.406001</v>
      </c>
      <c r="BO10" s="244">
        <v>123.17034</v>
      </c>
      <c r="BP10" s="244">
        <v>143.26658599999999</v>
      </c>
      <c r="BQ10" s="244">
        <v>143.52197699999999</v>
      </c>
      <c r="BR10" s="244">
        <v>105.79846999999999</v>
      </c>
      <c r="BS10" s="244">
        <v>97.075457999999998</v>
      </c>
      <c r="BT10" s="244">
        <v>129.412071</v>
      </c>
      <c r="BU10" s="244">
        <v>327.39692100000002</v>
      </c>
      <c r="BV10" s="244">
        <v>214.554136</v>
      </c>
      <c r="BW10" s="244">
        <v>230.373288</v>
      </c>
      <c r="BX10" s="244">
        <v>196.38521900000001</v>
      </c>
      <c r="BY10" s="244">
        <v>224.011875</v>
      </c>
      <c r="BZ10" s="244">
        <v>161.640218</v>
      </c>
      <c r="CA10" s="244">
        <v>147.34657200000001</v>
      </c>
      <c r="CB10" s="244">
        <v>192.32503</v>
      </c>
      <c r="CC10" s="244">
        <v>175.30307199999999</v>
      </c>
      <c r="CD10" s="244">
        <v>134.5</v>
      </c>
      <c r="CE10" s="244">
        <f>135.284437+0.1</f>
        <v>135.38443699999999</v>
      </c>
    </row>
    <row r="11" spans="1:83" ht="17.25" x14ac:dyDescent="0.3">
      <c r="A11" s="253" t="s">
        <v>217</v>
      </c>
      <c r="B11" s="252" t="s">
        <v>216</v>
      </c>
      <c r="C11" s="251">
        <v>16.889818999999999</v>
      </c>
      <c r="D11" s="250">
        <v>9.5534099999999995</v>
      </c>
      <c r="E11" s="250">
        <v>12.725694000000001</v>
      </c>
      <c r="F11" s="250">
        <v>12.018700000000001</v>
      </c>
      <c r="G11" s="250">
        <v>24.239138000000001</v>
      </c>
      <c r="H11" s="250">
        <v>10.063411</v>
      </c>
      <c r="I11" s="250">
        <v>15.013552000000001</v>
      </c>
      <c r="J11" s="250">
        <v>26.080587999999999</v>
      </c>
      <c r="K11" s="250">
        <v>14.526399</v>
      </c>
      <c r="L11" s="250">
        <v>19.260724</v>
      </c>
      <c r="M11" s="249">
        <v>20.515142999999998</v>
      </c>
      <c r="N11" s="248">
        <v>18.348980999999998</v>
      </c>
      <c r="O11" s="248">
        <v>13.143618999999999</v>
      </c>
      <c r="P11" s="248">
        <v>17.068452000000001</v>
      </c>
      <c r="Q11" s="248">
        <v>12.835943</v>
      </c>
      <c r="R11" s="248">
        <v>11.688777999999999</v>
      </c>
      <c r="S11" s="247">
        <v>16.368275000000001</v>
      </c>
      <c r="T11" s="247">
        <v>19.409613</v>
      </c>
      <c r="U11" s="246">
        <v>12.17878</v>
      </c>
      <c r="V11" s="245">
        <v>17.784216000000001</v>
      </c>
      <c r="W11" s="245">
        <v>13.337383000000001</v>
      </c>
      <c r="X11" s="245">
        <v>24.538827000000001</v>
      </c>
      <c r="Y11" s="245">
        <v>22.685216</v>
      </c>
      <c r="Z11" s="245">
        <v>21.039429999999999</v>
      </c>
      <c r="AA11" s="245">
        <v>13.267977</v>
      </c>
      <c r="AB11" s="244">
        <v>11.512627999999999</v>
      </c>
      <c r="AC11" s="244">
        <v>10.64289</v>
      </c>
      <c r="AD11" s="244">
        <v>16.521840999999998</v>
      </c>
      <c r="AE11" s="244">
        <v>23.078579000000001</v>
      </c>
      <c r="AF11" s="244">
        <v>14.985309000000001</v>
      </c>
      <c r="AG11" s="244">
        <v>9.3366290000000003</v>
      </c>
      <c r="AH11" s="244">
        <v>12.390865</v>
      </c>
      <c r="AI11" s="244">
        <v>11.909307</v>
      </c>
      <c r="AJ11" s="244">
        <v>18.706538999999999</v>
      </c>
      <c r="AK11" s="244">
        <v>9.8181329999999996</v>
      </c>
      <c r="AL11" s="244">
        <v>16.861391000000001</v>
      </c>
      <c r="AM11" s="244">
        <v>5.8926569999999998</v>
      </c>
      <c r="AN11" s="244">
        <v>16.577617</v>
      </c>
      <c r="AO11" s="244">
        <v>13.673147999999999</v>
      </c>
      <c r="AP11" s="244">
        <v>5.0566259999999996</v>
      </c>
      <c r="AQ11" s="244">
        <v>6.2167079999999997</v>
      </c>
      <c r="AR11" s="244">
        <v>7.0229600000000003</v>
      </c>
      <c r="AS11" s="244">
        <v>6.7340489999999997</v>
      </c>
      <c r="AT11" s="244">
        <v>5.9683799999999998</v>
      </c>
      <c r="AU11" s="244">
        <v>7.9896320000000003</v>
      </c>
      <c r="AV11" s="244">
        <v>6.7760360000000004</v>
      </c>
      <c r="AW11" s="244">
        <v>8.2361470000000008</v>
      </c>
      <c r="AX11" s="244">
        <v>8.2436539999999994</v>
      </c>
      <c r="AY11" s="244">
        <v>7.5339299999999998</v>
      </c>
      <c r="AZ11" s="244">
        <v>7.5924399999999999</v>
      </c>
      <c r="BA11" s="244">
        <v>7.9684609999999996</v>
      </c>
      <c r="BB11" s="244">
        <v>10.745780999999999</v>
      </c>
      <c r="BC11" s="244">
        <v>11.352751</v>
      </c>
      <c r="BD11" s="244">
        <v>7.9510759999999996</v>
      </c>
      <c r="BE11" s="244">
        <v>7.7253970000000001</v>
      </c>
      <c r="BF11" s="244">
        <v>8.1</v>
      </c>
      <c r="BG11" s="244">
        <v>8.3966650000000005</v>
      </c>
      <c r="BH11" s="244">
        <v>30.045573000000001</v>
      </c>
      <c r="BI11" s="244">
        <v>10.030177999999999</v>
      </c>
      <c r="BJ11" s="244">
        <v>9.8573450000000005</v>
      </c>
      <c r="BK11" s="244">
        <v>6.3876140000000001</v>
      </c>
      <c r="BL11" s="244">
        <v>7.7495339999999997</v>
      </c>
      <c r="BM11" s="244">
        <v>11.339365000000001</v>
      </c>
      <c r="BN11" s="244">
        <v>14.929746</v>
      </c>
      <c r="BO11" s="244">
        <v>10.795937</v>
      </c>
      <c r="BP11" s="244">
        <v>8.9869109999999992</v>
      </c>
      <c r="BQ11" s="244">
        <v>11.620001999999999</v>
      </c>
      <c r="BR11" s="244">
        <v>7.6172449999999996</v>
      </c>
      <c r="BS11" s="244">
        <v>8.1407369999999997</v>
      </c>
      <c r="BT11" s="244">
        <v>12.053775999999999</v>
      </c>
      <c r="BU11" s="244">
        <v>19.235066</v>
      </c>
      <c r="BV11" s="244">
        <v>21.889033000000001</v>
      </c>
      <c r="BW11" s="244">
        <v>9.8000000000000007</v>
      </c>
      <c r="BX11" s="244">
        <v>10.712795</v>
      </c>
      <c r="BY11" s="244">
        <v>15.463563000000001</v>
      </c>
      <c r="BZ11" s="244">
        <v>8.7085589999999993</v>
      </c>
      <c r="CA11" s="244">
        <v>8.9154689999999999</v>
      </c>
      <c r="CB11" s="244">
        <v>9.7707909999999991</v>
      </c>
      <c r="CC11" s="244">
        <v>11.167394</v>
      </c>
      <c r="CD11" s="244">
        <v>6.5737719999999999</v>
      </c>
      <c r="CE11" s="244">
        <v>6.6350350000000002</v>
      </c>
    </row>
    <row r="12" spans="1:83" ht="17.25" x14ac:dyDescent="0.3">
      <c r="A12" s="253" t="s">
        <v>215</v>
      </c>
      <c r="B12" s="252" t="s">
        <v>214</v>
      </c>
      <c r="C12" s="251">
        <v>2.8349150000000001</v>
      </c>
      <c r="D12" s="250">
        <v>12.129167000000001</v>
      </c>
      <c r="E12" s="250">
        <v>16.03096</v>
      </c>
      <c r="F12" s="250">
        <v>16.690125999999999</v>
      </c>
      <c r="G12" s="250">
        <v>12.170495000000001</v>
      </c>
      <c r="H12" s="250">
        <v>10.831574</v>
      </c>
      <c r="I12" s="250">
        <v>7.612323</v>
      </c>
      <c r="J12" s="250">
        <v>16.481141999999998</v>
      </c>
      <c r="K12" s="250">
        <v>2.4238460000000002</v>
      </c>
      <c r="L12" s="250">
        <v>1.4669559999999999</v>
      </c>
      <c r="M12" s="249">
        <v>4.2434839999999996</v>
      </c>
      <c r="N12" s="248">
        <v>1.5391550000000001</v>
      </c>
      <c r="O12" s="248">
        <v>6.6895449999999999</v>
      </c>
      <c r="P12" s="248">
        <v>7.3960610000000004</v>
      </c>
      <c r="Q12" s="248">
        <v>1.175969</v>
      </c>
      <c r="R12" s="248">
        <v>4.1955210000000003</v>
      </c>
      <c r="S12" s="247">
        <v>7.5385330000000002</v>
      </c>
      <c r="T12" s="247">
        <v>8.6924299999999999</v>
      </c>
      <c r="U12" s="246">
        <v>5.2511840000000003</v>
      </c>
      <c r="V12" s="245">
        <v>4.1489450000000003</v>
      </c>
      <c r="W12" s="245">
        <v>3.0121889999999998</v>
      </c>
      <c r="X12" s="245">
        <v>3.7753709999999998</v>
      </c>
      <c r="Y12" s="245">
        <v>3.1713550000000001</v>
      </c>
      <c r="Z12" s="245">
        <v>9.0371220000000001</v>
      </c>
      <c r="AA12" s="245">
        <v>3.0327549999999999</v>
      </c>
      <c r="AB12" s="244">
        <v>3.7700049999999998</v>
      </c>
      <c r="AC12" s="244">
        <v>6.2537609999999999</v>
      </c>
      <c r="AD12" s="244">
        <v>5.0543670000000001</v>
      </c>
      <c r="AE12" s="244">
        <v>6.2473299999999998</v>
      </c>
      <c r="AF12" s="244">
        <v>5.2664559999999998</v>
      </c>
      <c r="AG12" s="244">
        <v>4.3990419999999997</v>
      </c>
      <c r="AH12" s="244">
        <v>4.6921759999999999</v>
      </c>
      <c r="AI12" s="244">
        <v>8.069839</v>
      </c>
      <c r="AJ12" s="244">
        <v>6.58758</v>
      </c>
      <c r="AK12" s="244">
        <v>6.1132809999999997</v>
      </c>
      <c r="AL12" s="244">
        <v>5.2748869999999997</v>
      </c>
      <c r="AM12" s="244">
        <v>8.1635840000000002</v>
      </c>
      <c r="AN12" s="244">
        <v>4.662636</v>
      </c>
      <c r="AO12" s="244">
        <v>6.0398969999999998</v>
      </c>
      <c r="AP12" s="244">
        <v>1.1513850000000001</v>
      </c>
      <c r="AQ12" s="244">
        <v>0.97825099999999998</v>
      </c>
      <c r="AR12" s="244">
        <v>0.79612700000000003</v>
      </c>
      <c r="AS12" s="244">
        <v>3.9999199999999999</v>
      </c>
      <c r="AT12" s="244">
        <v>6.6353999999999997</v>
      </c>
      <c r="AU12" s="244">
        <v>4.2123200000000001</v>
      </c>
      <c r="AV12" s="244">
        <v>2.0726819999999999</v>
      </c>
      <c r="AW12" s="244">
        <v>8.4632190000000005</v>
      </c>
      <c r="AX12" s="244">
        <v>8.9608380000000007</v>
      </c>
      <c r="AY12" s="244">
        <v>7.4559470000000001</v>
      </c>
      <c r="AZ12" s="244">
        <v>24.912561</v>
      </c>
      <c r="BA12" s="244">
        <v>3.0664910000000001</v>
      </c>
      <c r="BB12" s="244">
        <v>0.82157400000000003</v>
      </c>
      <c r="BC12" s="244">
        <v>1.240634</v>
      </c>
      <c r="BD12" s="244">
        <v>4.6318029999999997</v>
      </c>
      <c r="BE12" s="244">
        <v>3.9622709999999999</v>
      </c>
      <c r="BF12" s="244">
        <v>3</v>
      </c>
      <c r="BG12" s="244">
        <v>2.923565</v>
      </c>
      <c r="BH12" s="244">
        <v>2.7033260000000001</v>
      </c>
      <c r="BI12" s="244">
        <v>5.8577360000000001</v>
      </c>
      <c r="BJ12" s="244">
        <v>2.3529710000000001</v>
      </c>
      <c r="BK12" s="244">
        <v>2.194763</v>
      </c>
      <c r="BL12" s="244">
        <v>2.0915439999999998</v>
      </c>
      <c r="BM12" s="244">
        <v>1.787855</v>
      </c>
      <c r="BN12" s="244">
        <v>3.3157709999999998</v>
      </c>
      <c r="BO12" s="244">
        <v>1.405394</v>
      </c>
      <c r="BP12" s="244">
        <v>1.6961820000000001</v>
      </c>
      <c r="BQ12" s="244">
        <v>4.2169160000000003</v>
      </c>
      <c r="BR12" s="244">
        <v>2.1171630000000001</v>
      </c>
      <c r="BS12" s="244">
        <v>1.960467</v>
      </c>
      <c r="BT12" s="244">
        <v>2.5501269999999998</v>
      </c>
      <c r="BU12" s="244">
        <v>4.0234209999999999</v>
      </c>
      <c r="BV12" s="244">
        <v>2.7673380000000001</v>
      </c>
      <c r="BW12" s="244">
        <v>1.570875</v>
      </c>
      <c r="BX12" s="244">
        <v>1.2236860000000001</v>
      </c>
      <c r="BY12" s="244">
        <v>2.2545630000000001</v>
      </c>
      <c r="BZ12" s="244">
        <v>2.175573</v>
      </c>
      <c r="CA12" s="244">
        <v>1.1607639999999999</v>
      </c>
      <c r="CB12" s="244">
        <v>1.8558939999999999</v>
      </c>
      <c r="CC12" s="244">
        <v>2.2504209999999998</v>
      </c>
      <c r="CD12" s="244">
        <v>2.4634680000000002</v>
      </c>
      <c r="CE12" s="244">
        <v>2.5662509999999998</v>
      </c>
    </row>
    <row r="13" spans="1:83" ht="17.25" x14ac:dyDescent="0.3">
      <c r="A13" s="253" t="s">
        <v>213</v>
      </c>
      <c r="B13" s="252" t="s">
        <v>212</v>
      </c>
      <c r="C13" s="251">
        <v>9.6136789999999994</v>
      </c>
      <c r="D13" s="250">
        <v>13.383050000000001</v>
      </c>
      <c r="E13" s="250">
        <v>12.783562</v>
      </c>
      <c r="F13" s="250">
        <v>10.564188</v>
      </c>
      <c r="G13" s="250">
        <v>21.164238000000001</v>
      </c>
      <c r="H13" s="250">
        <v>13.447229</v>
      </c>
      <c r="I13" s="250">
        <v>8.1844809999999999</v>
      </c>
      <c r="J13" s="250">
        <v>11.053234</v>
      </c>
      <c r="K13" s="250">
        <v>14.215763000000001</v>
      </c>
      <c r="L13" s="250">
        <v>9.4190670000000001</v>
      </c>
      <c r="M13" s="249">
        <v>20.54552</v>
      </c>
      <c r="N13" s="248">
        <v>19.196999000000002</v>
      </c>
      <c r="O13" s="248">
        <v>26.085222999999999</v>
      </c>
      <c r="P13" s="248">
        <v>14.641035</v>
      </c>
      <c r="Q13" s="248">
        <v>20.054880000000001</v>
      </c>
      <c r="R13" s="248">
        <v>14.610779000000001</v>
      </c>
      <c r="S13" s="247">
        <v>20.688759999999998</v>
      </c>
      <c r="T13" s="247">
        <v>16.058529</v>
      </c>
      <c r="U13" s="246">
        <v>15.863486999999999</v>
      </c>
      <c r="V13" s="245">
        <v>15.493672</v>
      </c>
      <c r="W13" s="245">
        <v>16.918222</v>
      </c>
      <c r="X13" s="245">
        <v>19.064589999999999</v>
      </c>
      <c r="Y13" s="245">
        <v>20.031177</v>
      </c>
      <c r="Z13" s="245">
        <v>27.194441000000001</v>
      </c>
      <c r="AA13" s="245">
        <v>20.80086</v>
      </c>
      <c r="AB13" s="244">
        <v>26.048172999999998</v>
      </c>
      <c r="AC13" s="244">
        <v>16.891673000000001</v>
      </c>
      <c r="AD13" s="244">
        <v>22.451421</v>
      </c>
      <c r="AE13" s="244">
        <v>17.842672</v>
      </c>
      <c r="AF13" s="244">
        <v>25.468492999999999</v>
      </c>
      <c r="AG13" s="244">
        <v>14.146436</v>
      </c>
      <c r="AH13" s="244">
        <v>15.217117</v>
      </c>
      <c r="AI13" s="244">
        <v>14.831144</v>
      </c>
      <c r="AJ13" s="244">
        <v>19.797871000000001</v>
      </c>
      <c r="AK13" s="244">
        <v>15.426007</v>
      </c>
      <c r="AL13" s="244">
        <v>25.291592999999999</v>
      </c>
      <c r="AM13" s="244">
        <v>28.796835999999999</v>
      </c>
      <c r="AN13" s="244">
        <v>11.501044</v>
      </c>
      <c r="AO13" s="244">
        <v>11.170305000000001</v>
      </c>
      <c r="AP13" s="244">
        <v>6.5262710000000004</v>
      </c>
      <c r="AQ13" s="244">
        <v>8.3363010000000006</v>
      </c>
      <c r="AR13" s="244">
        <v>13.547203</v>
      </c>
      <c r="AS13" s="244">
        <v>20.496839999999999</v>
      </c>
      <c r="AT13" s="244">
        <v>33.092778000000003</v>
      </c>
      <c r="AU13" s="244">
        <v>31.021692000000002</v>
      </c>
      <c r="AV13" s="244">
        <v>7.4542409999999997</v>
      </c>
      <c r="AW13" s="244">
        <v>7.1216569999999999</v>
      </c>
      <c r="AX13" s="244">
        <v>24.326357999999999</v>
      </c>
      <c r="AY13" s="244">
        <v>9.4752329999999994</v>
      </c>
      <c r="AZ13" s="244">
        <v>14.07959</v>
      </c>
      <c r="BA13" s="244">
        <v>17.153444</v>
      </c>
      <c r="BB13" s="244">
        <v>15.307014000000001</v>
      </c>
      <c r="BC13" s="244">
        <v>11.404833999999999</v>
      </c>
      <c r="BD13" s="244">
        <v>10.793652</v>
      </c>
      <c r="BE13" s="244">
        <v>9.0314969999999999</v>
      </c>
      <c r="BF13" s="244">
        <v>9.6999999999999993</v>
      </c>
      <c r="BG13" s="244">
        <v>21.725294000000002</v>
      </c>
      <c r="BH13" s="244">
        <v>13.816158</v>
      </c>
      <c r="BI13" s="244">
        <v>11.838482000000001</v>
      </c>
      <c r="BJ13" s="244">
        <v>14.611093</v>
      </c>
      <c r="BK13" s="244">
        <v>15.539550999999999</v>
      </c>
      <c r="BL13" s="244">
        <v>8.5080179999999999</v>
      </c>
      <c r="BM13" s="244">
        <v>18.407599000000001</v>
      </c>
      <c r="BN13" s="244">
        <v>33.951920999999999</v>
      </c>
      <c r="BO13" s="244">
        <v>19.452493</v>
      </c>
      <c r="BP13" s="244">
        <v>9.8780649999999994</v>
      </c>
      <c r="BQ13" s="244">
        <v>11.330355000000001</v>
      </c>
      <c r="BR13" s="244">
        <v>6.1142060000000003</v>
      </c>
      <c r="BS13" s="244">
        <v>6.8911309999999997</v>
      </c>
      <c r="BT13" s="244">
        <v>7.9182110000000003</v>
      </c>
      <c r="BU13" s="244">
        <v>24.956222</v>
      </c>
      <c r="BV13" s="244">
        <v>19.812182</v>
      </c>
      <c r="BW13" s="244">
        <v>19.837395999999998</v>
      </c>
      <c r="BX13" s="244">
        <v>26.2</v>
      </c>
      <c r="BY13" s="244">
        <v>16.909082999999999</v>
      </c>
      <c r="BZ13" s="244">
        <v>15.764684000000001</v>
      </c>
      <c r="CA13" s="244">
        <v>7.4870089999999996</v>
      </c>
      <c r="CB13" s="244">
        <v>15.674143000000001</v>
      </c>
      <c r="CC13" s="244">
        <v>11.459301999999999</v>
      </c>
      <c r="CD13" s="244">
        <v>9.1220569999999999</v>
      </c>
      <c r="CE13" s="244">
        <v>10.934234999999999</v>
      </c>
    </row>
    <row r="14" spans="1:83" ht="17.25" x14ac:dyDescent="0.3">
      <c r="A14" s="253" t="s">
        <v>211</v>
      </c>
      <c r="B14" s="252" t="s">
        <v>210</v>
      </c>
      <c r="C14" s="251">
        <v>66.404910999999998</v>
      </c>
      <c r="D14" s="250">
        <v>58.602316999999999</v>
      </c>
      <c r="E14" s="250">
        <v>81.180053000000001</v>
      </c>
      <c r="F14" s="250">
        <v>87.228334000000004</v>
      </c>
      <c r="G14" s="250">
        <v>80.033985999999999</v>
      </c>
      <c r="H14" s="250">
        <v>81.401861999999994</v>
      </c>
      <c r="I14" s="250">
        <v>66.227557000000004</v>
      </c>
      <c r="J14" s="250">
        <v>72.599221</v>
      </c>
      <c r="K14" s="250">
        <v>39.170645</v>
      </c>
      <c r="L14" s="250">
        <v>46.559255</v>
      </c>
      <c r="M14" s="249">
        <v>39.957571999999999</v>
      </c>
      <c r="N14" s="248">
        <v>63.422184999999999</v>
      </c>
      <c r="O14" s="248">
        <v>46.861897999999997</v>
      </c>
      <c r="P14" s="248">
        <v>28.575171999999998</v>
      </c>
      <c r="Q14" s="248">
        <v>40.040151000000002</v>
      </c>
      <c r="R14" s="248">
        <v>37.959099999999999</v>
      </c>
      <c r="S14" s="247">
        <v>57.364122000000002</v>
      </c>
      <c r="T14" s="247">
        <v>55.643030000000003</v>
      </c>
      <c r="U14" s="246">
        <v>60.795597000000001</v>
      </c>
      <c r="V14" s="245">
        <v>70.381085999999996</v>
      </c>
      <c r="W14" s="245">
        <v>51.429837999999997</v>
      </c>
      <c r="X14" s="245">
        <v>49.716672000000003</v>
      </c>
      <c r="Y14" s="245">
        <v>44.700550999999997</v>
      </c>
      <c r="Z14" s="245">
        <v>43.918005999999998</v>
      </c>
      <c r="AA14" s="245">
        <v>55.535260000000001</v>
      </c>
      <c r="AB14" s="244">
        <v>59.700547</v>
      </c>
      <c r="AC14" s="244">
        <v>54.581446999999997</v>
      </c>
      <c r="AD14" s="244">
        <v>66.443967999999998</v>
      </c>
      <c r="AE14" s="244">
        <v>54.049050000000001</v>
      </c>
      <c r="AF14" s="244">
        <v>35.066723000000003</v>
      </c>
      <c r="AG14" s="244">
        <v>52.887478000000002</v>
      </c>
      <c r="AH14" s="244">
        <v>86.718470999999994</v>
      </c>
      <c r="AI14" s="244">
        <v>33.496088999999998</v>
      </c>
      <c r="AJ14" s="244">
        <v>38.199157999999997</v>
      </c>
      <c r="AK14" s="244">
        <v>38.113370000000003</v>
      </c>
      <c r="AL14" s="244">
        <v>34.329718999999997</v>
      </c>
      <c r="AM14" s="244">
        <v>48.556652</v>
      </c>
      <c r="AN14" s="244">
        <v>58.770912000000003</v>
      </c>
      <c r="AO14" s="244">
        <v>33.459823</v>
      </c>
      <c r="AP14" s="244">
        <v>11.297886</v>
      </c>
      <c r="AQ14" s="244">
        <v>11.705798</v>
      </c>
      <c r="AR14" s="244">
        <v>21.655383</v>
      </c>
      <c r="AS14" s="244">
        <v>17.692299999999999</v>
      </c>
      <c r="AT14" s="244">
        <v>49.037706</v>
      </c>
      <c r="AU14" s="244">
        <v>22.488008000000001</v>
      </c>
      <c r="AV14" s="244">
        <v>26.456479999999999</v>
      </c>
      <c r="AW14" s="244">
        <v>22.932599</v>
      </c>
      <c r="AX14" s="244">
        <v>33.924796999999998</v>
      </c>
      <c r="AY14" s="244">
        <v>34.759645999999996</v>
      </c>
      <c r="AZ14" s="244">
        <v>60.092188999999998</v>
      </c>
      <c r="BA14" s="244">
        <v>27.143796999999999</v>
      </c>
      <c r="BB14" s="244">
        <v>16.643409999999999</v>
      </c>
      <c r="BC14" s="244">
        <v>38.133718000000002</v>
      </c>
      <c r="BD14" s="244">
        <v>31.18815</v>
      </c>
      <c r="BE14" s="244">
        <v>31.733350000000002</v>
      </c>
      <c r="BF14" s="244">
        <v>22.558109000000002</v>
      </c>
      <c r="BG14" s="244">
        <v>24.515218999999998</v>
      </c>
      <c r="BH14" s="244">
        <v>24.061354999999999</v>
      </c>
      <c r="BI14" s="244">
        <v>20.198198000000001</v>
      </c>
      <c r="BJ14" s="244">
        <v>39.391620000000003</v>
      </c>
      <c r="BK14" s="244">
        <v>28.559692999999999</v>
      </c>
      <c r="BL14" s="244">
        <v>21.473358999999999</v>
      </c>
      <c r="BM14" s="244">
        <v>16.001702999999999</v>
      </c>
      <c r="BN14" s="244">
        <v>21.046475000000001</v>
      </c>
      <c r="BO14" s="244">
        <v>12.99339</v>
      </c>
      <c r="BP14" s="244">
        <v>16.82741</v>
      </c>
      <c r="BQ14" s="244">
        <v>24.232654</v>
      </c>
      <c r="BR14" s="244">
        <v>16.663048</v>
      </c>
      <c r="BS14" s="244">
        <v>14.517737</v>
      </c>
      <c r="BT14" s="244">
        <v>14.023113</v>
      </c>
      <c r="BU14" s="244">
        <v>20.583815000000001</v>
      </c>
      <c r="BV14" s="244">
        <v>52.119729</v>
      </c>
      <c r="BW14" s="244">
        <v>37.977778999999998</v>
      </c>
      <c r="BX14" s="244">
        <v>19.194355999999999</v>
      </c>
      <c r="BY14" s="244">
        <v>49.996797000000001</v>
      </c>
      <c r="BZ14" s="244">
        <v>29.919975999999998</v>
      </c>
      <c r="CA14" s="244">
        <v>23.456261999999999</v>
      </c>
      <c r="CB14" s="244">
        <v>27.982002000000001</v>
      </c>
      <c r="CC14" s="244">
        <v>32.440683</v>
      </c>
      <c r="CD14" s="244">
        <v>22.172176</v>
      </c>
      <c r="CE14" s="244">
        <v>24.313953000000001</v>
      </c>
    </row>
    <row r="15" spans="1:83" ht="17.25" x14ac:dyDescent="0.3">
      <c r="A15" s="253" t="s">
        <v>209</v>
      </c>
      <c r="B15" s="252" t="s">
        <v>208</v>
      </c>
      <c r="C15" s="251">
        <v>0.44874799999999998</v>
      </c>
      <c r="D15" s="250">
        <v>0.82886700000000002</v>
      </c>
      <c r="E15" s="250">
        <v>0.26416000000000001</v>
      </c>
      <c r="F15" s="250">
        <v>0.57659700000000003</v>
      </c>
      <c r="G15" s="250">
        <v>1.6295649999999999</v>
      </c>
      <c r="H15" s="250">
        <v>0.94938299999999998</v>
      </c>
      <c r="I15" s="250">
        <v>0.37844</v>
      </c>
      <c r="J15" s="250">
        <v>2.543377</v>
      </c>
      <c r="K15" s="250">
        <v>3.007225</v>
      </c>
      <c r="L15" s="250">
        <v>0.16958599999999999</v>
      </c>
      <c r="M15" s="249">
        <v>1.1107419999999999</v>
      </c>
      <c r="N15" s="248">
        <v>0.29610500000000001</v>
      </c>
      <c r="O15" s="248">
        <v>0.44308799999999998</v>
      </c>
      <c r="P15" s="248">
        <v>0.59339299999999995</v>
      </c>
      <c r="Q15" s="248">
        <v>2.3893140000000002</v>
      </c>
      <c r="R15" s="248">
        <v>1.251147</v>
      </c>
      <c r="S15" s="247">
        <v>0.50114499999999995</v>
      </c>
      <c r="T15" s="247">
        <v>4.0275920000000003</v>
      </c>
      <c r="U15" s="246">
        <v>1.4340200000000001</v>
      </c>
      <c r="V15" s="245">
        <v>0.40084500000000001</v>
      </c>
      <c r="W15" s="245">
        <v>0.59552099999999997</v>
      </c>
      <c r="X15" s="245">
        <v>2.4821070000000001</v>
      </c>
      <c r="Y15" s="245">
        <v>3.4152339999999999</v>
      </c>
      <c r="Z15" s="245">
        <v>0.64046400000000003</v>
      </c>
      <c r="AA15" s="245">
        <v>0.99576699999999996</v>
      </c>
      <c r="AB15" s="244">
        <v>0.45868399999999998</v>
      </c>
      <c r="AC15" s="244">
        <v>0.27297100000000002</v>
      </c>
      <c r="AD15" s="244">
        <v>1.480804</v>
      </c>
      <c r="AE15" s="244">
        <v>0.56556899999999999</v>
      </c>
      <c r="AF15" s="244">
        <v>4.6659829999999998</v>
      </c>
      <c r="AG15" s="244">
        <v>1.2907850000000001</v>
      </c>
      <c r="AH15" s="244">
        <v>4.5029810000000001</v>
      </c>
      <c r="AI15" s="244">
        <v>2.7573979999999998</v>
      </c>
      <c r="AJ15" s="244">
        <v>1.1003130000000001</v>
      </c>
      <c r="AK15" s="244">
        <v>0.60709599999999997</v>
      </c>
      <c r="AL15" s="244">
        <v>2.3894609999999998</v>
      </c>
      <c r="AM15" s="244">
        <v>0.91231300000000004</v>
      </c>
      <c r="AN15" s="244">
        <v>0.39364500000000002</v>
      </c>
      <c r="AO15" s="244">
        <v>2.520851</v>
      </c>
      <c r="AP15" s="244">
        <v>1.767317</v>
      </c>
      <c r="AQ15" s="244">
        <v>0.418985</v>
      </c>
      <c r="AR15" s="244">
        <v>1.2851900000000001</v>
      </c>
      <c r="AS15" s="244">
        <v>1.0750010000000001</v>
      </c>
      <c r="AT15" s="244">
        <v>0.38054399999999999</v>
      </c>
      <c r="AU15" s="244">
        <v>1.729622</v>
      </c>
      <c r="AV15" s="244">
        <v>0.68606699999999998</v>
      </c>
      <c r="AW15" s="244">
        <v>0.45982200000000001</v>
      </c>
      <c r="AX15" s="244">
        <v>1.63137</v>
      </c>
      <c r="AY15" s="244">
        <v>0.283663</v>
      </c>
      <c r="AZ15" s="244">
        <v>0.39727400000000002</v>
      </c>
      <c r="BA15" s="244">
        <v>1.0963480000000001</v>
      </c>
      <c r="BB15" s="244">
        <v>0.87477499999999997</v>
      </c>
      <c r="BC15" s="244">
        <v>2.6401669999999999</v>
      </c>
      <c r="BD15" s="244">
        <v>0.63343400000000005</v>
      </c>
      <c r="BE15" s="244">
        <v>2.0881120000000002</v>
      </c>
      <c r="BF15" s="244">
        <v>2.5</v>
      </c>
      <c r="BG15" s="244">
        <v>0.78589900000000001</v>
      </c>
      <c r="BH15" s="244">
        <v>0.588426</v>
      </c>
      <c r="BI15" s="244">
        <v>0.94000099999999998</v>
      </c>
      <c r="BJ15" s="244">
        <v>1.281666</v>
      </c>
      <c r="BK15" s="244">
        <v>2.3126829999999998</v>
      </c>
      <c r="BL15" s="244">
        <v>1.146182</v>
      </c>
      <c r="BM15" s="244">
        <v>1.160636</v>
      </c>
      <c r="BN15" s="244">
        <v>4.4206709999999996</v>
      </c>
      <c r="BO15" s="244">
        <v>5.6912190000000002</v>
      </c>
      <c r="BP15" s="244">
        <v>1.9324159999999999</v>
      </c>
      <c r="BQ15" s="244">
        <v>6.5236369999999999</v>
      </c>
      <c r="BR15" s="244">
        <v>3.3626930000000002</v>
      </c>
      <c r="BS15" s="244">
        <v>3.243636</v>
      </c>
      <c r="BT15" s="244">
        <v>3.6752820000000002</v>
      </c>
      <c r="BU15" s="244">
        <v>5.8134160000000001</v>
      </c>
      <c r="BV15" s="244">
        <v>3.0205489999999999</v>
      </c>
      <c r="BW15" s="244">
        <v>1.181789</v>
      </c>
      <c r="BX15" s="244">
        <v>4.6202949999999996</v>
      </c>
      <c r="BY15" s="244">
        <v>3.9807869999999999</v>
      </c>
      <c r="BZ15" s="244">
        <v>0.89011099999999999</v>
      </c>
      <c r="CA15" s="244">
        <v>4.1061160000000001</v>
      </c>
      <c r="CB15" s="244">
        <v>11.311349999999999</v>
      </c>
      <c r="CC15" s="244">
        <v>4.0730529999999998</v>
      </c>
      <c r="CD15" s="244">
        <v>1.272788</v>
      </c>
      <c r="CE15" s="244">
        <v>0.789605</v>
      </c>
    </row>
    <row r="16" spans="1:83" ht="17.25" x14ac:dyDescent="0.3">
      <c r="A16" s="253" t="s">
        <v>207</v>
      </c>
      <c r="B16" s="252" t="s">
        <v>206</v>
      </c>
      <c r="C16" s="251">
        <v>3.6187610000000001</v>
      </c>
      <c r="D16" s="250">
        <v>7.0136200000000004</v>
      </c>
      <c r="E16" s="250">
        <v>22.555574</v>
      </c>
      <c r="F16" s="250">
        <v>12.501988000000001</v>
      </c>
      <c r="G16" s="250">
        <v>18.728594999999999</v>
      </c>
      <c r="H16" s="250">
        <v>11.814937</v>
      </c>
      <c r="I16" s="250">
        <v>26.637785999999998</v>
      </c>
      <c r="J16" s="250">
        <v>22.343195000000001</v>
      </c>
      <c r="K16" s="250">
        <v>19.145900999999999</v>
      </c>
      <c r="L16" s="250">
        <v>12.492255</v>
      </c>
      <c r="M16" s="249">
        <v>8.4747330000000005</v>
      </c>
      <c r="N16" s="248">
        <v>9.9276599999999995</v>
      </c>
      <c r="O16" s="248">
        <v>8.3821329999999996</v>
      </c>
      <c r="P16" s="248">
        <v>9.1300799999999995</v>
      </c>
      <c r="Q16" s="248">
        <v>18.289963</v>
      </c>
      <c r="R16" s="248">
        <v>3.7088260000000002</v>
      </c>
      <c r="S16" s="247">
        <v>11.415812000000001</v>
      </c>
      <c r="T16" s="247">
        <v>14.786317</v>
      </c>
      <c r="U16" s="246">
        <v>8.9783849999999994</v>
      </c>
      <c r="V16" s="245">
        <v>10.02014</v>
      </c>
      <c r="W16" s="245">
        <v>6.6072379999999997</v>
      </c>
      <c r="X16" s="245">
        <v>3.8363290000000001</v>
      </c>
      <c r="Y16" s="245">
        <v>3.7736179999999999</v>
      </c>
      <c r="Z16" s="245">
        <v>9.8176649999999999</v>
      </c>
      <c r="AA16" s="245">
        <v>7.0694169999999996</v>
      </c>
      <c r="AB16" s="244">
        <v>8.6537120000000005</v>
      </c>
      <c r="AC16" s="244">
        <v>5.3673279999999997</v>
      </c>
      <c r="AD16" s="244">
        <v>9.4097019999999993</v>
      </c>
      <c r="AE16" s="244">
        <v>10.400216</v>
      </c>
      <c r="AF16" s="244">
        <v>5.7474860000000003</v>
      </c>
      <c r="AG16" s="244">
        <v>13.265599999999999</v>
      </c>
      <c r="AH16" s="244">
        <v>6.7120090000000001</v>
      </c>
      <c r="AI16" s="244">
        <v>3.558243</v>
      </c>
      <c r="AJ16" s="244">
        <v>7.1033730000000004</v>
      </c>
      <c r="AK16" s="244">
        <v>10.118729</v>
      </c>
      <c r="AL16" s="244">
        <v>5.1550570000000002</v>
      </c>
      <c r="AM16" s="244">
        <v>6.403753</v>
      </c>
      <c r="AN16" s="244">
        <v>6.1364979999999996</v>
      </c>
      <c r="AO16" s="244">
        <v>3.174458</v>
      </c>
      <c r="AP16" s="244">
        <v>3.7545920000000002</v>
      </c>
      <c r="AQ16" s="244">
        <v>4.4936319999999998</v>
      </c>
      <c r="AR16" s="244">
        <v>3.6302279999999998</v>
      </c>
      <c r="AS16" s="244">
        <v>3.8203469999999999</v>
      </c>
      <c r="AT16" s="244">
        <v>4.3114189999999999</v>
      </c>
      <c r="AU16" s="244">
        <v>8.8552859999999995</v>
      </c>
      <c r="AV16" s="244">
        <v>7.127211</v>
      </c>
      <c r="AW16" s="244">
        <v>3.6858249999999999</v>
      </c>
      <c r="AX16" s="244">
        <v>4.9735329999999998</v>
      </c>
      <c r="AY16" s="244">
        <v>2.6348929999999999</v>
      </c>
      <c r="AZ16" s="244">
        <v>5.2874280000000002</v>
      </c>
      <c r="BA16" s="244">
        <v>2.2079300000000002</v>
      </c>
      <c r="BB16" s="244">
        <v>1.3088109999999999</v>
      </c>
      <c r="BC16" s="244">
        <v>1.6555200000000001</v>
      </c>
      <c r="BD16" s="244">
        <v>3.9725380000000001</v>
      </c>
      <c r="BE16" s="244">
        <v>2.0763150000000001</v>
      </c>
      <c r="BF16" s="244">
        <v>2.8</v>
      </c>
      <c r="BG16" s="244">
        <v>2.2254679999999998</v>
      </c>
      <c r="BH16" s="244">
        <v>2.8246929999999999</v>
      </c>
      <c r="BI16" s="244">
        <v>3.9487079999999999</v>
      </c>
      <c r="BJ16" s="244">
        <v>3.677244</v>
      </c>
      <c r="BK16" s="244">
        <v>2.8117519999999998</v>
      </c>
      <c r="BL16" s="244">
        <v>2.4825560000000002</v>
      </c>
      <c r="BM16" s="244">
        <v>2.4002289999999999</v>
      </c>
      <c r="BN16" s="244">
        <v>3.2332510000000001</v>
      </c>
      <c r="BO16" s="244">
        <v>3.7153960000000001</v>
      </c>
      <c r="BP16" s="244">
        <v>2.5848689999999999</v>
      </c>
      <c r="BQ16" s="244">
        <v>2.6121310000000002</v>
      </c>
      <c r="BR16" s="244">
        <v>4.0524750000000003</v>
      </c>
      <c r="BS16" s="244">
        <v>5.1436019999999996</v>
      </c>
      <c r="BT16" s="244">
        <v>1.991106</v>
      </c>
      <c r="BU16" s="244">
        <v>5.0318339999999999</v>
      </c>
      <c r="BV16" s="244">
        <v>5.2340150000000003</v>
      </c>
      <c r="BW16" s="244">
        <v>2.6926359999999998</v>
      </c>
      <c r="BX16" s="244">
        <v>4.6482900000000003</v>
      </c>
      <c r="BY16" s="244">
        <v>10.567157</v>
      </c>
      <c r="BZ16" s="244">
        <v>3.6</v>
      </c>
      <c r="CA16" s="244">
        <v>2.5214599999999998</v>
      </c>
      <c r="CB16" s="244">
        <v>2.827054</v>
      </c>
      <c r="CC16" s="244">
        <v>8.2629439999999992</v>
      </c>
      <c r="CD16" s="244">
        <v>4.5420949999999998</v>
      </c>
      <c r="CE16" s="244">
        <v>1.5321929999999999</v>
      </c>
    </row>
    <row r="17" spans="1:83" ht="17.25" x14ac:dyDescent="0.3">
      <c r="A17" s="253" t="s">
        <v>205</v>
      </c>
      <c r="B17" s="252" t="s">
        <v>204</v>
      </c>
      <c r="C17" s="251">
        <v>3.1371440000000002</v>
      </c>
      <c r="D17" s="250">
        <v>2.8717259999999998</v>
      </c>
      <c r="E17" s="250">
        <v>4.2594760000000003</v>
      </c>
      <c r="F17" s="250">
        <v>3.6478920000000001</v>
      </c>
      <c r="G17" s="250">
        <v>3.8777750000000002</v>
      </c>
      <c r="H17" s="250">
        <v>6.4176200000000003</v>
      </c>
      <c r="I17" s="250">
        <v>4.4376350000000002</v>
      </c>
      <c r="J17" s="250">
        <v>4.5064820000000001</v>
      </c>
      <c r="K17" s="250">
        <v>6.3056429999999999</v>
      </c>
      <c r="L17" s="250">
        <v>5.647602</v>
      </c>
      <c r="M17" s="249">
        <v>6.9406140000000001</v>
      </c>
      <c r="N17" s="248">
        <v>4.9382089999999996</v>
      </c>
      <c r="O17" s="248">
        <v>5.9627509999999999</v>
      </c>
      <c r="P17" s="248">
        <v>3.783182</v>
      </c>
      <c r="Q17" s="248">
        <v>5.0711469999999998</v>
      </c>
      <c r="R17" s="248">
        <v>3.8336190000000001</v>
      </c>
      <c r="S17" s="247">
        <v>4.9973429999999999</v>
      </c>
      <c r="T17" s="247">
        <v>6.7400520000000004</v>
      </c>
      <c r="U17" s="246">
        <v>5.9060589999999999</v>
      </c>
      <c r="V17" s="245">
        <v>5.1646520000000002</v>
      </c>
      <c r="W17" s="245">
        <v>10.20861</v>
      </c>
      <c r="X17" s="245">
        <v>7.5763590000000001</v>
      </c>
      <c r="Y17" s="245">
        <v>6.0936839999999997</v>
      </c>
      <c r="Z17" s="245">
        <v>6.4615629999999999</v>
      </c>
      <c r="AA17" s="245">
        <v>4.4762110000000002</v>
      </c>
      <c r="AB17" s="244">
        <v>4.6599430000000002</v>
      </c>
      <c r="AC17" s="244">
        <v>4.4157510000000002</v>
      </c>
      <c r="AD17" s="244">
        <v>6.3443399999999999</v>
      </c>
      <c r="AE17" s="244">
        <v>5.3021820000000002</v>
      </c>
      <c r="AF17" s="244">
        <v>5.2144560000000002</v>
      </c>
      <c r="AG17" s="244">
        <v>5.5650339999999998</v>
      </c>
      <c r="AH17" s="244">
        <v>4.4967069999999998</v>
      </c>
      <c r="AI17" s="244">
        <v>6.1277840000000001</v>
      </c>
      <c r="AJ17" s="244">
        <v>8.1690109999999994</v>
      </c>
      <c r="AK17" s="244">
        <v>4.7966439999999997</v>
      </c>
      <c r="AL17" s="244">
        <v>4.9400490000000001</v>
      </c>
      <c r="AM17" s="244">
        <v>5.5011760000000001</v>
      </c>
      <c r="AN17" s="244">
        <v>4.0742250000000002</v>
      </c>
      <c r="AO17" s="244">
        <v>3.7159819999999999</v>
      </c>
      <c r="AP17" s="244">
        <v>2.4363049999999999</v>
      </c>
      <c r="AQ17" s="244">
        <v>3.1200049999999999</v>
      </c>
      <c r="AR17" s="244">
        <v>3.6456390000000001</v>
      </c>
      <c r="AS17" s="244">
        <v>3.4316559999999998</v>
      </c>
      <c r="AT17" s="244">
        <v>4.1066760000000002</v>
      </c>
      <c r="AU17" s="244">
        <v>5.364986</v>
      </c>
      <c r="AV17" s="244">
        <v>5.3370160000000002</v>
      </c>
      <c r="AW17" s="244">
        <v>10.777984999999999</v>
      </c>
      <c r="AX17" s="244">
        <v>7.9858460000000004</v>
      </c>
      <c r="AY17" s="244">
        <v>5.4468209999999999</v>
      </c>
      <c r="AZ17" s="244">
        <v>4.4971230000000002</v>
      </c>
      <c r="BA17" s="244">
        <v>8.8822969999999994</v>
      </c>
      <c r="BB17" s="244">
        <v>5.9567509999999997</v>
      </c>
      <c r="BC17" s="244">
        <v>3.861615</v>
      </c>
      <c r="BD17" s="244">
        <v>3.7738260000000001</v>
      </c>
      <c r="BE17" s="244">
        <v>4.1734159999999996</v>
      </c>
      <c r="BF17" s="244">
        <v>3.1</v>
      </c>
      <c r="BG17" s="244">
        <v>2.2029390000000002</v>
      </c>
      <c r="BH17" s="244">
        <v>2.748596</v>
      </c>
      <c r="BI17" s="244">
        <v>3.328748</v>
      </c>
      <c r="BJ17" s="244">
        <v>3.408455</v>
      </c>
      <c r="BK17" s="244">
        <v>3.3752469999999999</v>
      </c>
      <c r="BL17" s="244">
        <v>3.3563139999999998</v>
      </c>
      <c r="BM17" s="244">
        <v>2.5396359999999998</v>
      </c>
      <c r="BN17" s="244">
        <v>4.5633920000000003</v>
      </c>
      <c r="BO17" s="244">
        <v>3.8863259999999999</v>
      </c>
      <c r="BP17" s="244">
        <v>3.8430200000000001</v>
      </c>
      <c r="BQ17" s="244">
        <v>2.439959</v>
      </c>
      <c r="BR17" s="244">
        <v>2.010996</v>
      </c>
      <c r="BS17" s="244">
        <v>1.9107909999999999</v>
      </c>
      <c r="BT17" s="244">
        <v>1.9650890000000001</v>
      </c>
      <c r="BU17" s="244">
        <v>4.5107379999999999</v>
      </c>
      <c r="BV17" s="244">
        <v>4.2403560000000002</v>
      </c>
      <c r="BW17" s="244">
        <v>3.020143</v>
      </c>
      <c r="BX17" s="244">
        <v>4.0999999999999996</v>
      </c>
      <c r="BY17" s="244">
        <v>4.7802990000000003</v>
      </c>
      <c r="BZ17" s="244">
        <v>4.1913549999999997</v>
      </c>
      <c r="CA17" s="244">
        <v>3.576543</v>
      </c>
      <c r="CB17" s="244">
        <v>3.5878070000000002</v>
      </c>
      <c r="CC17" s="244">
        <v>4.9211010000000002</v>
      </c>
      <c r="CD17" s="244">
        <v>3.3177370000000002</v>
      </c>
      <c r="CE17" s="244">
        <v>3.592584</v>
      </c>
    </row>
    <row r="18" spans="1:83" ht="17.25" x14ac:dyDescent="0.3">
      <c r="A18" s="253" t="s">
        <v>203</v>
      </c>
      <c r="B18" s="252" t="s">
        <v>202</v>
      </c>
      <c r="C18" s="251">
        <v>25.437317</v>
      </c>
      <c r="D18" s="250">
        <v>33.795636999999999</v>
      </c>
      <c r="E18" s="250">
        <v>13.570392999999999</v>
      </c>
      <c r="F18" s="250">
        <v>16.030614</v>
      </c>
      <c r="G18" s="250">
        <v>24.142883999999999</v>
      </c>
      <c r="H18" s="250">
        <v>33.358784</v>
      </c>
      <c r="I18" s="250">
        <v>24.439851999999998</v>
      </c>
      <c r="J18" s="250">
        <v>26.190521</v>
      </c>
      <c r="K18" s="250">
        <v>36.551259000000002</v>
      </c>
      <c r="L18" s="250">
        <v>29.649826999999998</v>
      </c>
      <c r="M18" s="249">
        <v>31.611418</v>
      </c>
      <c r="N18" s="248">
        <v>19.561145</v>
      </c>
      <c r="O18" s="248">
        <v>47.460908000000003</v>
      </c>
      <c r="P18" s="248">
        <v>22.918433</v>
      </c>
      <c r="Q18" s="248">
        <v>36.100518999999998</v>
      </c>
      <c r="R18" s="248">
        <v>18.596623999999998</v>
      </c>
      <c r="S18" s="247">
        <v>36.615346000000002</v>
      </c>
      <c r="T18" s="247">
        <v>24.380780999999999</v>
      </c>
      <c r="U18" s="246">
        <v>40.021262</v>
      </c>
      <c r="V18" s="245">
        <v>41.452291000000002</v>
      </c>
      <c r="W18" s="245">
        <v>29.955783</v>
      </c>
      <c r="X18" s="245">
        <v>23.762546</v>
      </c>
      <c r="Y18" s="245">
        <v>43.376697999999998</v>
      </c>
      <c r="Z18" s="245">
        <v>26.484911</v>
      </c>
      <c r="AA18" s="245">
        <v>30.272081</v>
      </c>
      <c r="AB18" s="244">
        <v>20.059415000000001</v>
      </c>
      <c r="AC18" s="244">
        <v>25.220177</v>
      </c>
      <c r="AD18" s="244">
        <v>31.439149</v>
      </c>
      <c r="AE18" s="244">
        <v>41.028669999999998</v>
      </c>
      <c r="AF18" s="244">
        <v>30.992667000000001</v>
      </c>
      <c r="AG18" s="244">
        <v>22.511510999999999</v>
      </c>
      <c r="AH18" s="244">
        <v>52.375475000000002</v>
      </c>
      <c r="AI18" s="244">
        <v>51.811596999999999</v>
      </c>
      <c r="AJ18" s="244">
        <v>34.940002</v>
      </c>
      <c r="AK18" s="244">
        <v>22.063917</v>
      </c>
      <c r="AL18" s="244">
        <v>51.551898999999999</v>
      </c>
      <c r="AM18" s="244">
        <v>36.440601000000001</v>
      </c>
      <c r="AN18" s="244">
        <v>88.765759000000003</v>
      </c>
      <c r="AO18" s="244">
        <v>17.978590000000001</v>
      </c>
      <c r="AP18" s="244">
        <v>5.2843780000000002</v>
      </c>
      <c r="AQ18" s="244">
        <v>6.4051030000000004</v>
      </c>
      <c r="AR18" s="244">
        <v>2.7677939999999999</v>
      </c>
      <c r="AS18" s="244">
        <v>6.67828</v>
      </c>
      <c r="AT18" s="244">
        <v>70.010741999999993</v>
      </c>
      <c r="AU18" s="244">
        <v>8.2572709999999994</v>
      </c>
      <c r="AV18" s="244">
        <v>16.586365000000001</v>
      </c>
      <c r="AW18" s="244">
        <v>1.50661</v>
      </c>
      <c r="AX18" s="244">
        <v>3.2257820000000001</v>
      </c>
      <c r="AY18" s="244">
        <v>2.7597510000000001</v>
      </c>
      <c r="AZ18" s="244">
        <v>1.2957449999999999</v>
      </c>
      <c r="BA18" s="244">
        <v>1.688685</v>
      </c>
      <c r="BB18" s="244">
        <v>4.3720020000000002</v>
      </c>
      <c r="BC18" s="244">
        <v>1.988361</v>
      </c>
      <c r="BD18" s="244">
        <v>2.494907</v>
      </c>
      <c r="BE18" s="244">
        <v>3.2858000000000001</v>
      </c>
      <c r="BF18" s="244">
        <v>0.6</v>
      </c>
      <c r="BG18" s="244">
        <v>2.3991739999999999</v>
      </c>
      <c r="BH18" s="244">
        <v>2.7396180000000001</v>
      </c>
      <c r="BI18" s="244">
        <v>1.3605799999999999</v>
      </c>
      <c r="BJ18" s="244">
        <v>3.4541819999999999</v>
      </c>
      <c r="BK18" s="244">
        <v>2.5976349999999999</v>
      </c>
      <c r="BL18" s="244">
        <v>2.858158</v>
      </c>
      <c r="BM18" s="244">
        <v>1.6958219999999999</v>
      </c>
      <c r="BN18" s="244">
        <v>4.7739089999999997</v>
      </c>
      <c r="BO18" s="244">
        <v>1.355424</v>
      </c>
      <c r="BP18" s="244">
        <v>7.8221600000000002</v>
      </c>
      <c r="BQ18" s="244">
        <v>7.2264530000000002</v>
      </c>
      <c r="BR18" s="244">
        <v>7.6110699999999998</v>
      </c>
      <c r="BS18" s="244">
        <v>3.6237140000000001</v>
      </c>
      <c r="BT18" s="244">
        <v>2.9544929999999998</v>
      </c>
      <c r="BU18" s="244">
        <v>5.3596000000000004</v>
      </c>
      <c r="BV18" s="244">
        <v>4.8805949999999996</v>
      </c>
      <c r="BW18" s="244">
        <v>2.828249</v>
      </c>
      <c r="BX18" s="244">
        <v>3.0829499999999999</v>
      </c>
      <c r="BY18" s="244">
        <v>4.4178930000000003</v>
      </c>
      <c r="BZ18" s="244">
        <v>6.6932289999999997</v>
      </c>
      <c r="CA18" s="244">
        <v>2.7078340000000001</v>
      </c>
      <c r="CB18" s="244">
        <v>5.0068590000000004</v>
      </c>
      <c r="CC18" s="244">
        <v>1.3197650000000001</v>
      </c>
      <c r="CD18" s="244">
        <v>10.329478</v>
      </c>
      <c r="CE18" s="244">
        <v>7.8442040000000004</v>
      </c>
    </row>
    <row r="19" spans="1:83" ht="17.25" x14ac:dyDescent="0.3">
      <c r="A19" s="253" t="s">
        <v>201</v>
      </c>
      <c r="B19" s="252" t="s">
        <v>200</v>
      </c>
      <c r="C19" s="251">
        <v>1.0447630000000001</v>
      </c>
      <c r="D19" s="250">
        <v>0.48388999999999999</v>
      </c>
      <c r="E19" s="250">
        <v>0.22772400000000001</v>
      </c>
      <c r="F19" s="250">
        <v>0.82512600000000003</v>
      </c>
      <c r="G19" s="250">
        <v>1.480442</v>
      </c>
      <c r="H19" s="250">
        <v>9.4362619999999993</v>
      </c>
      <c r="I19" s="250">
        <v>0.65076699999999998</v>
      </c>
      <c r="J19" s="250">
        <v>0.48773699999999998</v>
      </c>
      <c r="K19" s="250">
        <v>2.6810019999999999</v>
      </c>
      <c r="L19" s="250">
        <v>0.84370999999999996</v>
      </c>
      <c r="M19" s="249">
        <v>0.14794299999999999</v>
      </c>
      <c r="N19" s="248">
        <v>0.17220099999999999</v>
      </c>
      <c r="O19" s="248">
        <v>0.54732700000000001</v>
      </c>
      <c r="P19" s="248">
        <v>0.80044499999999996</v>
      </c>
      <c r="Q19" s="248">
        <v>0.665493</v>
      </c>
      <c r="R19" s="248">
        <v>1.594938</v>
      </c>
      <c r="S19" s="247">
        <v>0.39618100000000001</v>
      </c>
      <c r="T19" s="247">
        <v>2.8493849999999998</v>
      </c>
      <c r="U19" s="246">
        <v>0.124914</v>
      </c>
      <c r="V19" s="245">
        <v>6.434342</v>
      </c>
      <c r="W19" s="245">
        <v>1.0713090000000001</v>
      </c>
      <c r="X19" s="245">
        <v>1.631243</v>
      </c>
      <c r="Y19" s="245">
        <v>0.87265400000000004</v>
      </c>
      <c r="Z19" s="245">
        <v>0.63938399999999995</v>
      </c>
      <c r="AA19" s="245">
        <v>0.38617000000000001</v>
      </c>
      <c r="AB19" s="244">
        <v>0.38331599999999999</v>
      </c>
      <c r="AC19" s="244">
        <v>0.50011899999999998</v>
      </c>
      <c r="AD19" s="244">
        <v>0.70991899999999997</v>
      </c>
      <c r="AE19" s="244">
        <v>1.048343</v>
      </c>
      <c r="AF19" s="244">
        <v>3.0382570000000002</v>
      </c>
      <c r="AG19" s="244">
        <v>0.97822500000000001</v>
      </c>
      <c r="AH19" s="244">
        <v>6.3806219999999998</v>
      </c>
      <c r="AI19" s="244">
        <v>0.60685800000000001</v>
      </c>
      <c r="AJ19" s="244">
        <v>0.57211699999999999</v>
      </c>
      <c r="AK19" s="244">
        <v>0.68415999999999999</v>
      </c>
      <c r="AL19" s="244">
        <v>0.22622700000000001</v>
      </c>
      <c r="AM19" s="244">
        <v>0.80095799999999995</v>
      </c>
      <c r="AN19" s="244">
        <v>0.68115400000000004</v>
      </c>
      <c r="AO19" s="244">
        <v>0.16747600000000001</v>
      </c>
      <c r="AP19" s="244">
        <v>0.74000100000000002</v>
      </c>
      <c r="AQ19" s="244">
        <v>0.12765199999999999</v>
      </c>
      <c r="AR19" s="244">
        <v>3.362835</v>
      </c>
      <c r="AS19" s="244">
        <v>1.7002090000000001</v>
      </c>
      <c r="AT19" s="244">
        <v>0.60907299999999998</v>
      </c>
      <c r="AU19" s="244">
        <v>1.6028039999999999</v>
      </c>
      <c r="AV19" s="244">
        <v>0.77748399999999995</v>
      </c>
      <c r="AW19" s="244">
        <v>1.394703</v>
      </c>
      <c r="AX19" s="244">
        <v>2.2887300000000002</v>
      </c>
      <c r="AY19" s="244">
        <v>0.65078899999999995</v>
      </c>
      <c r="AZ19" s="244">
        <v>1.665386</v>
      </c>
      <c r="BA19" s="244">
        <v>1.3293489999999999</v>
      </c>
      <c r="BB19" s="244">
        <v>2.353081</v>
      </c>
      <c r="BC19" s="244">
        <v>1.4402090000000001</v>
      </c>
      <c r="BD19" s="244">
        <v>1.8814029999999999</v>
      </c>
      <c r="BE19" s="244">
        <v>0.72431999999999996</v>
      </c>
      <c r="BF19" s="244">
        <v>0.4</v>
      </c>
      <c r="BG19" s="244">
        <v>0.72513399999999995</v>
      </c>
      <c r="BH19" s="244">
        <v>1.315698</v>
      </c>
      <c r="BI19" s="244">
        <v>0.84981399999999996</v>
      </c>
      <c r="BJ19" s="244">
        <v>0.81631299999999996</v>
      </c>
      <c r="BK19" s="244">
        <v>1.0288109999999999</v>
      </c>
      <c r="BL19" s="244">
        <v>0.46808699999999998</v>
      </c>
      <c r="BM19" s="244">
        <v>1.0587819999999999</v>
      </c>
      <c r="BN19" s="244">
        <v>0.74130099999999999</v>
      </c>
      <c r="BO19" s="244">
        <v>2.684339</v>
      </c>
      <c r="BP19" s="244">
        <v>1.298516</v>
      </c>
      <c r="BQ19" s="244">
        <v>3.5002659999999999</v>
      </c>
      <c r="BR19" s="244">
        <v>0.71326100000000003</v>
      </c>
      <c r="BS19" s="244">
        <v>3.6573910000000001</v>
      </c>
      <c r="BT19" s="244">
        <v>0.21975700000000001</v>
      </c>
      <c r="BU19" s="244">
        <v>0.73238599999999998</v>
      </c>
      <c r="BV19" s="244">
        <v>2.1480320000000002</v>
      </c>
      <c r="BW19" s="244">
        <v>0.14275099999999999</v>
      </c>
      <c r="BX19" s="244">
        <v>1.3635889999999999</v>
      </c>
      <c r="BY19" s="244">
        <v>1.354498</v>
      </c>
      <c r="BZ19" s="244">
        <v>0.86667000000000005</v>
      </c>
      <c r="CA19" s="244">
        <v>1.24393</v>
      </c>
      <c r="CB19" s="244">
        <v>0.90381299999999998</v>
      </c>
      <c r="CC19" s="244">
        <v>4.2155209999999999</v>
      </c>
      <c r="CD19" s="244">
        <v>0.44868599999999997</v>
      </c>
      <c r="CE19" s="244">
        <v>0.52234000000000003</v>
      </c>
    </row>
    <row r="20" spans="1:83" ht="17.25" x14ac:dyDescent="0.3">
      <c r="A20" s="253" t="s">
        <v>199</v>
      </c>
      <c r="B20" s="252" t="s">
        <v>198</v>
      </c>
      <c r="C20" s="251">
        <v>4.0357560000000001</v>
      </c>
      <c r="D20" s="250">
        <v>6.9129310000000004</v>
      </c>
      <c r="E20" s="250">
        <v>5.1056530000000002</v>
      </c>
      <c r="F20" s="250">
        <v>5.206658</v>
      </c>
      <c r="G20" s="250">
        <v>4.378101</v>
      </c>
      <c r="H20" s="250">
        <v>8.9270289999999992</v>
      </c>
      <c r="I20" s="250">
        <v>13.045483000000001</v>
      </c>
      <c r="J20" s="250">
        <v>15.305902</v>
      </c>
      <c r="K20" s="250">
        <v>10.424073</v>
      </c>
      <c r="L20" s="250">
        <v>18.761006999999999</v>
      </c>
      <c r="M20" s="249">
        <v>19.431882999999999</v>
      </c>
      <c r="N20" s="248">
        <v>6.2664759999999999</v>
      </c>
      <c r="O20" s="248">
        <v>6.0924269999999998</v>
      </c>
      <c r="P20" s="248">
        <v>4.2823919999999998</v>
      </c>
      <c r="Q20" s="248">
        <v>5.8033080000000004</v>
      </c>
      <c r="R20" s="248">
        <v>4.8931310000000003</v>
      </c>
      <c r="S20" s="247">
        <v>6.0560960000000001</v>
      </c>
      <c r="T20" s="247">
        <v>5.1254289999999996</v>
      </c>
      <c r="U20" s="246">
        <v>4.1904070000000004</v>
      </c>
      <c r="V20" s="245">
        <v>5.4786710000000003</v>
      </c>
      <c r="W20" s="245">
        <v>4.8306079999999998</v>
      </c>
      <c r="X20" s="245">
        <v>5.0418459999999996</v>
      </c>
      <c r="Y20" s="245">
        <v>4.9606620000000001</v>
      </c>
      <c r="Z20" s="245">
        <v>5.4875059999999998</v>
      </c>
      <c r="AA20" s="245">
        <v>4.8999550000000003</v>
      </c>
      <c r="AB20" s="244">
        <v>6.1767599999999998</v>
      </c>
      <c r="AC20" s="244">
        <v>5.2119080000000002</v>
      </c>
      <c r="AD20" s="244">
        <v>5.4412659999999997</v>
      </c>
      <c r="AE20" s="244">
        <v>2.6514730000000002</v>
      </c>
      <c r="AF20" s="244">
        <v>6.1941680000000003</v>
      </c>
      <c r="AG20" s="244">
        <v>14.317636</v>
      </c>
      <c r="AH20" s="244">
        <v>7.1527570000000003</v>
      </c>
      <c r="AI20" s="244">
        <v>4.3684010000000004</v>
      </c>
      <c r="AJ20" s="244">
        <v>4.6561849999999998</v>
      </c>
      <c r="AK20" s="244">
        <v>8.4458559999999991</v>
      </c>
      <c r="AL20" s="244">
        <v>4.2078550000000003</v>
      </c>
      <c r="AM20" s="244">
        <v>7.0906510000000003</v>
      </c>
      <c r="AN20" s="244">
        <v>8.2583179999999992</v>
      </c>
      <c r="AO20" s="244">
        <v>4.9307730000000003</v>
      </c>
      <c r="AP20" s="244">
        <v>3.8840110000000001</v>
      </c>
      <c r="AQ20" s="244">
        <v>4.4419269999999997</v>
      </c>
      <c r="AR20" s="244">
        <v>9.2962930000000004</v>
      </c>
      <c r="AS20" s="244">
        <v>6.5844469999999999</v>
      </c>
      <c r="AT20" s="244">
        <v>3.0882489999999998</v>
      </c>
      <c r="AU20" s="244">
        <v>3.7130649999999998</v>
      </c>
      <c r="AV20" s="244">
        <v>5.414758</v>
      </c>
      <c r="AW20" s="244">
        <v>5.585636</v>
      </c>
      <c r="AX20" s="244">
        <v>5.3560910000000002</v>
      </c>
      <c r="AY20" s="244">
        <v>5.3508880000000003</v>
      </c>
      <c r="AZ20" s="244">
        <v>1.0585020000000001</v>
      </c>
      <c r="BA20" s="244">
        <v>0.57048100000000002</v>
      </c>
      <c r="BB20" s="244">
        <v>0.41812700000000003</v>
      </c>
      <c r="BC20" s="244">
        <v>0.23558699999999999</v>
      </c>
      <c r="BD20" s="244">
        <v>0.24615100000000001</v>
      </c>
      <c r="BE20" s="244">
        <v>0.24873200000000001</v>
      </c>
      <c r="BF20" s="244">
        <v>0.1</v>
      </c>
      <c r="BG20" s="244">
        <v>0.43782100000000002</v>
      </c>
      <c r="BH20" s="244">
        <v>0.347744</v>
      </c>
      <c r="BI20" s="244">
        <v>0.87612100000000004</v>
      </c>
      <c r="BJ20" s="244">
        <v>1.1528259999999999</v>
      </c>
      <c r="BK20" s="244">
        <v>0.55084</v>
      </c>
      <c r="BL20" s="244">
        <v>0.21302699999999999</v>
      </c>
      <c r="BM20" s="244">
        <v>0.14214299999999999</v>
      </c>
      <c r="BN20" s="244">
        <v>1.383165</v>
      </c>
      <c r="BO20" s="244">
        <v>0.73604700000000001</v>
      </c>
      <c r="BP20" s="244">
        <v>0.26905000000000001</v>
      </c>
      <c r="BQ20" s="244">
        <v>1.52922</v>
      </c>
      <c r="BR20" s="244">
        <v>0.41825200000000001</v>
      </c>
      <c r="BS20" s="244">
        <v>0.54512099999999997</v>
      </c>
      <c r="BT20" s="244">
        <v>6.2620999999999996E-2</v>
      </c>
      <c r="BU20" s="244">
        <v>2.169934</v>
      </c>
      <c r="BV20" s="244">
        <v>0.83721699999999999</v>
      </c>
      <c r="BW20" s="244">
        <v>0.70607500000000001</v>
      </c>
      <c r="BX20" s="244">
        <v>0.862707</v>
      </c>
      <c r="BY20" s="244">
        <v>0.80584199999999995</v>
      </c>
      <c r="BZ20" s="244">
        <v>0.113635</v>
      </c>
      <c r="CA20" s="244">
        <v>1.496615</v>
      </c>
      <c r="CB20" s="244">
        <v>1.446529</v>
      </c>
      <c r="CC20" s="244">
        <v>0.87737399999999999</v>
      </c>
      <c r="CD20" s="244">
        <v>1.4187019999999999</v>
      </c>
      <c r="CE20" s="244">
        <v>1.191905</v>
      </c>
    </row>
    <row r="21" spans="1:83" ht="17.25" x14ac:dyDescent="0.3">
      <c r="A21" s="253" t="s">
        <v>197</v>
      </c>
      <c r="B21" s="252" t="s">
        <v>196</v>
      </c>
      <c r="C21" s="251">
        <v>0.74888200000000005</v>
      </c>
      <c r="D21" s="250">
        <v>0.75899799999999995</v>
      </c>
      <c r="E21" s="250">
        <v>2.2659720000000001</v>
      </c>
      <c r="F21" s="250">
        <v>0.59607900000000003</v>
      </c>
      <c r="G21" s="250">
        <v>1.0317769999999999</v>
      </c>
      <c r="H21" s="250">
        <v>0.47512900000000002</v>
      </c>
      <c r="I21" s="250">
        <v>0.85426899999999995</v>
      </c>
      <c r="J21" s="250">
        <v>6.9998420000000001</v>
      </c>
      <c r="K21" s="250">
        <v>0.55164599999999997</v>
      </c>
      <c r="L21" s="250">
        <v>1.0960490000000001</v>
      </c>
      <c r="M21" s="249">
        <v>1.8840209999999999</v>
      </c>
      <c r="N21" s="248">
        <v>0.89090400000000003</v>
      </c>
      <c r="O21" s="248">
        <v>0.42893700000000001</v>
      </c>
      <c r="P21" s="248">
        <v>0.85475199999999996</v>
      </c>
      <c r="Q21" s="248">
        <v>0.98475800000000002</v>
      </c>
      <c r="R21" s="248">
        <v>0.65812199999999998</v>
      </c>
      <c r="S21" s="247">
        <v>0.797983</v>
      </c>
      <c r="T21" s="247">
        <v>11.352679999999964</v>
      </c>
      <c r="U21" s="246">
        <v>1.299004</v>
      </c>
      <c r="V21" s="245">
        <v>1.422291</v>
      </c>
      <c r="W21" s="245">
        <v>0.55962800000000001</v>
      </c>
      <c r="X21" s="245">
        <v>1.08646</v>
      </c>
      <c r="Y21" s="245">
        <v>0.89717100000000005</v>
      </c>
      <c r="Z21" s="245">
        <v>0.50260000000000005</v>
      </c>
      <c r="AA21" s="245">
        <v>0.52501200000000003</v>
      </c>
      <c r="AB21" s="244">
        <v>0.46682899999999999</v>
      </c>
      <c r="AC21" s="244">
        <v>1.504699</v>
      </c>
      <c r="AD21" s="244">
        <v>0.44214599999999998</v>
      </c>
      <c r="AE21" s="244">
        <v>1.188979</v>
      </c>
      <c r="AF21" s="244">
        <v>1.1832050000000001</v>
      </c>
      <c r="AG21" s="244">
        <v>2.4345599999999998</v>
      </c>
      <c r="AH21" s="244">
        <v>0.64086399999999999</v>
      </c>
      <c r="AI21" s="244">
        <v>1.872325</v>
      </c>
      <c r="AJ21" s="244">
        <v>1.96594</v>
      </c>
      <c r="AK21" s="244">
        <v>1.0969469999999999</v>
      </c>
      <c r="AL21" s="244">
        <v>1.871718</v>
      </c>
      <c r="AM21" s="244">
        <v>0.49807499999999999</v>
      </c>
      <c r="AN21" s="244">
        <v>1.139465</v>
      </c>
      <c r="AO21" s="244">
        <v>0.98894700000000002</v>
      </c>
      <c r="AP21" s="244">
        <v>0.2</v>
      </c>
      <c r="AQ21" s="244">
        <v>0.72372499999999995</v>
      </c>
      <c r="AR21" s="244">
        <v>0.22486900000000001</v>
      </c>
      <c r="AS21" s="244">
        <v>0.69258399999999998</v>
      </c>
      <c r="AT21" s="244">
        <v>1.024146</v>
      </c>
      <c r="AU21" s="244">
        <v>0.117546</v>
      </c>
      <c r="AV21" s="244">
        <v>2.0448230000000001</v>
      </c>
      <c r="AW21" s="244">
        <v>0.75801799999999997</v>
      </c>
      <c r="AX21" s="244">
        <v>1.2622910000000001</v>
      </c>
      <c r="AY21" s="244">
        <v>1.0720019999999999</v>
      </c>
      <c r="AZ21" s="244">
        <v>0.99453199999999997</v>
      </c>
      <c r="BA21" s="244">
        <v>1.3899790000000001</v>
      </c>
      <c r="BB21" s="244">
        <v>0.72490600000000005</v>
      </c>
      <c r="BC21" s="244">
        <v>1.050556</v>
      </c>
      <c r="BD21" s="244">
        <v>0.50901300000000005</v>
      </c>
      <c r="BE21" s="244">
        <v>0.61131100000000005</v>
      </c>
      <c r="BF21" s="244">
        <v>0.7</v>
      </c>
      <c r="BG21" s="244">
        <v>0.50836899999999996</v>
      </c>
      <c r="BH21" s="244">
        <v>0.71862400000000004</v>
      </c>
      <c r="BI21" s="244">
        <v>0.64819000000000004</v>
      </c>
      <c r="BJ21" s="244">
        <v>0.67154499999999995</v>
      </c>
      <c r="BK21" s="244">
        <v>0.67094699999999996</v>
      </c>
      <c r="BL21" s="244">
        <v>0.39547900000000002</v>
      </c>
      <c r="BM21" s="244">
        <v>0.54165700000000006</v>
      </c>
      <c r="BN21" s="244">
        <v>0.42</v>
      </c>
      <c r="BO21" s="244">
        <v>0.47230100000000003</v>
      </c>
      <c r="BP21" s="244">
        <v>0.66245500000000002</v>
      </c>
      <c r="BQ21" s="244">
        <v>0.57814600000000005</v>
      </c>
      <c r="BR21" s="244">
        <v>0.28546199999999999</v>
      </c>
      <c r="BS21" s="244">
        <v>0.59331999999999996</v>
      </c>
      <c r="BT21" s="244">
        <v>0.10440000000000001</v>
      </c>
      <c r="BU21" s="244">
        <v>0.53075000000000006</v>
      </c>
      <c r="BV21" s="244">
        <v>0.161023</v>
      </c>
      <c r="BW21" s="244">
        <v>0.387096</v>
      </c>
      <c r="BX21" s="244">
        <v>0.61143000000000003</v>
      </c>
      <c r="BY21" s="244">
        <v>0.78652999999999995</v>
      </c>
      <c r="BZ21" s="244">
        <v>0.388187</v>
      </c>
      <c r="CA21" s="244">
        <v>0.414545</v>
      </c>
      <c r="CB21" s="244">
        <v>1.0524800000000001</v>
      </c>
      <c r="CC21" s="244">
        <v>1.563653</v>
      </c>
      <c r="CD21" s="244">
        <v>0.443969</v>
      </c>
      <c r="CE21" s="244">
        <v>0.69622899999999999</v>
      </c>
    </row>
    <row r="22" spans="1:83" ht="17.25" x14ac:dyDescent="0.3">
      <c r="A22" s="253" t="s">
        <v>195</v>
      </c>
      <c r="B22" s="252" t="s">
        <v>194</v>
      </c>
      <c r="C22" s="251">
        <v>19.851663000000002</v>
      </c>
      <c r="D22" s="255">
        <v>13.033164000000006</v>
      </c>
      <c r="E22" s="255">
        <v>21.081986999999998</v>
      </c>
      <c r="F22" s="255">
        <v>18.526280000000007</v>
      </c>
      <c r="G22" s="255">
        <v>16.120517</v>
      </c>
      <c r="H22" s="255">
        <v>17.785160999999995</v>
      </c>
      <c r="I22" s="250">
        <v>20.719462</v>
      </c>
      <c r="J22" s="250">
        <v>19.627191999999994</v>
      </c>
      <c r="K22" s="250">
        <v>19.168744000000004</v>
      </c>
      <c r="L22" s="250">
        <v>15.294706000000005</v>
      </c>
      <c r="M22" s="249">
        <v>17.228833999999992</v>
      </c>
      <c r="N22" s="248">
        <v>23.09421900000001</v>
      </c>
      <c r="O22" s="248">
        <v>8.9935820000000035</v>
      </c>
      <c r="P22" s="248">
        <v>13.063686000000018</v>
      </c>
      <c r="Q22" s="248">
        <v>13.357920669999999</v>
      </c>
      <c r="R22" s="248">
        <v>14.676565000000096</v>
      </c>
      <c r="S22" s="247">
        <v>14.904435000000035</v>
      </c>
      <c r="T22" s="247">
        <v>0</v>
      </c>
      <c r="U22" s="246">
        <v>9.775442</v>
      </c>
      <c r="V22" s="245">
        <v>10.525415000000001</v>
      </c>
      <c r="W22" s="245">
        <v>7.8718000000000004</v>
      </c>
      <c r="X22" s="245">
        <v>11.693187999999999</v>
      </c>
      <c r="Y22" s="245">
        <v>8.1822700000000008</v>
      </c>
      <c r="Z22" s="245">
        <v>8.1169449999999994</v>
      </c>
      <c r="AA22" s="245">
        <v>9.6261550000000007</v>
      </c>
      <c r="AB22" s="244">
        <v>10.697240000000001</v>
      </c>
      <c r="AC22" s="244">
        <v>9.0079820000000002</v>
      </c>
      <c r="AD22" s="244">
        <v>15.839248</v>
      </c>
      <c r="AE22" s="244">
        <v>17.275794999999999</v>
      </c>
      <c r="AF22" s="244">
        <v>11.360109</v>
      </c>
      <c r="AG22" s="244">
        <v>10.89541</v>
      </c>
      <c r="AH22" s="244">
        <v>17.447255999999999</v>
      </c>
      <c r="AI22" s="244">
        <v>9.5993610000001013</v>
      </c>
      <c r="AJ22" s="244">
        <v>12.428986</v>
      </c>
      <c r="AK22" s="244">
        <v>9.8820099999999798</v>
      </c>
      <c r="AL22" s="244">
        <v>14.682936</v>
      </c>
      <c r="AM22" s="244">
        <v>7.1351880000000003</v>
      </c>
      <c r="AN22" s="244">
        <v>11.056079</v>
      </c>
      <c r="AO22" s="244">
        <v>8.1852900000000002</v>
      </c>
      <c r="AP22" s="244">
        <v>7.1307140000000002</v>
      </c>
      <c r="AQ22" s="244">
        <v>5.5853260000000002</v>
      </c>
      <c r="AR22" s="244">
        <v>7.3648680000000004</v>
      </c>
      <c r="AS22" s="244">
        <v>6.9620199999999999</v>
      </c>
      <c r="AT22" s="244">
        <v>7.2977470000000002</v>
      </c>
      <c r="AU22" s="244">
        <v>8.6031189999999995</v>
      </c>
      <c r="AV22" s="244">
        <v>3.9795630000000002</v>
      </c>
      <c r="AW22" s="244">
        <v>5.2995390000000002</v>
      </c>
      <c r="AX22" s="244">
        <v>10.538520999999999</v>
      </c>
      <c r="AY22" s="244">
        <v>4.1882809999999999</v>
      </c>
      <c r="AZ22" s="244">
        <v>1.7649140000000001</v>
      </c>
      <c r="BA22" s="244">
        <v>1.228694</v>
      </c>
      <c r="BB22" s="244">
        <v>0.33211600000000002</v>
      </c>
      <c r="BC22" s="244">
        <v>0.829461</v>
      </c>
      <c r="BD22" s="244">
        <v>1.5538000000000001</v>
      </c>
      <c r="BE22" s="244">
        <v>0.76034299999999999</v>
      </c>
      <c r="BF22" s="244">
        <v>0.5</v>
      </c>
      <c r="BG22" s="244">
        <v>0.40000099999998301</v>
      </c>
      <c r="BH22" s="244">
        <v>0.28216400000000003</v>
      </c>
      <c r="BI22" s="244">
        <v>1.039847</v>
      </c>
      <c r="BJ22" s="244">
        <v>0.37104799999999999</v>
      </c>
      <c r="BK22" s="244">
        <v>0.23214799999999999</v>
      </c>
      <c r="BL22" s="244">
        <v>1.0713809999999999</v>
      </c>
      <c r="BM22" s="244">
        <v>0.18872</v>
      </c>
      <c r="BN22" s="244">
        <v>0.83110600000000001</v>
      </c>
      <c r="BO22" s="244">
        <v>0.94680900000000001</v>
      </c>
      <c r="BP22" s="244">
        <v>1.9520850000000001</v>
      </c>
      <c r="BQ22" s="244">
        <v>0.44098399999999999</v>
      </c>
      <c r="BR22" s="244">
        <v>8.9788000000000007E-2</v>
      </c>
      <c r="BS22" s="244">
        <v>0.15065400000000001</v>
      </c>
      <c r="BT22" s="244">
        <v>0.39214599999999999</v>
      </c>
      <c r="BU22" s="244">
        <v>1.267652</v>
      </c>
      <c r="BV22" s="244">
        <v>0.655366</v>
      </c>
      <c r="BW22" s="244">
        <v>0.54762200000000005</v>
      </c>
      <c r="BX22" s="244">
        <v>0.61568599999999996</v>
      </c>
      <c r="BY22" s="244">
        <v>3.551113</v>
      </c>
      <c r="BZ22" s="244">
        <v>1.8</v>
      </c>
      <c r="CA22" s="244">
        <v>4.0725800000000003</v>
      </c>
      <c r="CB22" s="244">
        <v>1.06898</v>
      </c>
      <c r="CC22" s="244">
        <v>0.64193900000000004</v>
      </c>
      <c r="CD22" s="244">
        <v>0.87185400000000002</v>
      </c>
      <c r="CE22" s="244">
        <v>0.74070800000000003</v>
      </c>
    </row>
    <row r="23" spans="1:83" ht="33" x14ac:dyDescent="0.3">
      <c r="A23" s="254" t="s">
        <v>193</v>
      </c>
      <c r="B23" s="252" t="s">
        <v>192</v>
      </c>
      <c r="C23" s="251">
        <v>0</v>
      </c>
      <c r="D23" s="250">
        <v>0</v>
      </c>
      <c r="E23" s="250">
        <v>0</v>
      </c>
      <c r="F23" s="250">
        <v>1.6775000000000002E-2</v>
      </c>
      <c r="G23" s="250">
        <v>0</v>
      </c>
      <c r="H23" s="250">
        <v>0</v>
      </c>
      <c r="I23" s="250">
        <v>0</v>
      </c>
      <c r="J23" s="250">
        <v>0</v>
      </c>
      <c r="K23" s="250">
        <v>0</v>
      </c>
      <c r="L23" s="250">
        <v>3.8991999999999999E-2</v>
      </c>
      <c r="M23" s="249">
        <v>0</v>
      </c>
      <c r="N23" s="248">
        <v>0</v>
      </c>
      <c r="O23" s="248">
        <v>0</v>
      </c>
      <c r="P23" s="248">
        <v>0</v>
      </c>
      <c r="Q23" s="248">
        <v>0</v>
      </c>
      <c r="R23" s="248">
        <v>0</v>
      </c>
      <c r="S23" s="247">
        <v>0</v>
      </c>
      <c r="T23" s="247">
        <v>0</v>
      </c>
      <c r="U23" s="246">
        <v>0</v>
      </c>
      <c r="V23" s="245">
        <v>4.6844999999999998E-2</v>
      </c>
      <c r="W23" s="245">
        <v>0</v>
      </c>
      <c r="X23" s="245">
        <v>0</v>
      </c>
      <c r="Y23" s="245">
        <v>2.1377E-2</v>
      </c>
      <c r="Z23" s="245">
        <v>0</v>
      </c>
      <c r="AA23" s="245">
        <v>0</v>
      </c>
      <c r="AB23" s="244">
        <v>0</v>
      </c>
      <c r="AC23" s="244">
        <v>0</v>
      </c>
      <c r="AD23" s="244">
        <v>2.5846000000000001E-2</v>
      </c>
      <c r="AE23" s="244">
        <v>0</v>
      </c>
      <c r="AF23" s="244">
        <v>0</v>
      </c>
      <c r="AG23" s="244">
        <v>0</v>
      </c>
      <c r="AH23" s="244">
        <v>0</v>
      </c>
      <c r="AI23" s="244">
        <v>8.7517999999999999E-2</v>
      </c>
      <c r="AJ23" s="244">
        <v>0</v>
      </c>
      <c r="AK23" s="244">
        <v>0</v>
      </c>
      <c r="AL23" s="244">
        <v>0</v>
      </c>
      <c r="AM23" s="244">
        <v>2.6318999999999999E-2</v>
      </c>
      <c r="AN23" s="244">
        <v>0</v>
      </c>
      <c r="AO23" s="244">
        <v>0</v>
      </c>
      <c r="AP23" s="244">
        <v>0</v>
      </c>
      <c r="AQ23" s="244">
        <v>0</v>
      </c>
      <c r="AR23" s="244">
        <v>0</v>
      </c>
      <c r="AS23" s="244">
        <v>2.6033000000000001E-2</v>
      </c>
      <c r="AT23" s="244">
        <v>0</v>
      </c>
      <c r="AU23" s="244">
        <v>0</v>
      </c>
      <c r="AV23" s="244">
        <v>0</v>
      </c>
      <c r="AW23" s="244">
        <v>0</v>
      </c>
      <c r="AX23" s="244">
        <v>0</v>
      </c>
      <c r="AY23" s="244">
        <v>0</v>
      </c>
      <c r="AZ23" s="244">
        <v>0</v>
      </c>
      <c r="BA23" s="244">
        <v>0</v>
      </c>
      <c r="BB23" s="244">
        <v>0</v>
      </c>
      <c r="BC23" s="244">
        <v>0</v>
      </c>
      <c r="BD23" s="244">
        <v>0</v>
      </c>
      <c r="BE23" s="244">
        <v>0</v>
      </c>
      <c r="BF23" s="244">
        <v>0</v>
      </c>
      <c r="BG23" s="244">
        <v>0</v>
      </c>
      <c r="BH23" s="244">
        <v>0</v>
      </c>
      <c r="BI23" s="244">
        <v>0</v>
      </c>
      <c r="BJ23" s="244">
        <v>0</v>
      </c>
      <c r="BK23" s="244">
        <v>0</v>
      </c>
      <c r="BL23" s="244">
        <v>0</v>
      </c>
      <c r="BM23" s="244">
        <v>0</v>
      </c>
      <c r="BN23" s="244">
        <v>0</v>
      </c>
      <c r="BO23" s="244">
        <v>0</v>
      </c>
      <c r="BP23" s="244">
        <v>0</v>
      </c>
      <c r="BQ23" s="244">
        <v>0</v>
      </c>
      <c r="BR23" s="244">
        <v>0</v>
      </c>
      <c r="BS23" s="244">
        <v>0</v>
      </c>
      <c r="BT23" s="244">
        <v>0</v>
      </c>
      <c r="BU23" s="244">
        <v>0</v>
      </c>
      <c r="BV23" s="244">
        <v>0</v>
      </c>
      <c r="BW23" s="244">
        <v>0</v>
      </c>
      <c r="BX23" s="244">
        <v>0</v>
      </c>
      <c r="BY23" s="244">
        <v>9.5239000000000004E-2</v>
      </c>
      <c r="BZ23" s="244">
        <v>0</v>
      </c>
      <c r="CA23" s="244">
        <v>0</v>
      </c>
      <c r="CB23" s="244">
        <v>0.107292</v>
      </c>
      <c r="CC23" s="244">
        <v>0</v>
      </c>
      <c r="CD23" s="244">
        <v>0</v>
      </c>
      <c r="CE23" s="244">
        <v>0</v>
      </c>
    </row>
    <row r="24" spans="1:83" ht="17.25" x14ac:dyDescent="0.3">
      <c r="A24" s="253" t="s">
        <v>191</v>
      </c>
      <c r="B24" s="252" t="s">
        <v>190</v>
      </c>
      <c r="C24" s="251">
        <v>0.10795299999999999</v>
      </c>
      <c r="D24" s="250">
        <v>0</v>
      </c>
      <c r="E24" s="250">
        <v>0</v>
      </c>
      <c r="F24" s="250">
        <v>0</v>
      </c>
      <c r="G24" s="250">
        <v>0</v>
      </c>
      <c r="H24" s="250">
        <v>0</v>
      </c>
      <c r="I24" s="250">
        <v>0</v>
      </c>
      <c r="J24" s="250">
        <v>0</v>
      </c>
      <c r="K24" s="250">
        <v>5.7096000000000001E-2</v>
      </c>
      <c r="L24" s="250">
        <v>0</v>
      </c>
      <c r="M24" s="249">
        <v>0</v>
      </c>
      <c r="N24" s="248">
        <v>0</v>
      </c>
      <c r="O24" s="248">
        <v>0</v>
      </c>
      <c r="P24" s="248">
        <v>0.12518699999999999</v>
      </c>
      <c r="Q24" s="248">
        <v>0.146924</v>
      </c>
      <c r="R24" s="248">
        <v>0</v>
      </c>
      <c r="S24" s="247">
        <v>0</v>
      </c>
      <c r="T24" s="247">
        <v>1.645079</v>
      </c>
      <c r="U24" s="246">
        <v>0</v>
      </c>
      <c r="V24" s="245">
        <v>0</v>
      </c>
      <c r="W24" s="245">
        <v>0</v>
      </c>
      <c r="X24" s="245">
        <v>5.7637000000000001E-2</v>
      </c>
      <c r="Y24" s="245">
        <v>5.3280000000000001E-2</v>
      </c>
      <c r="Z24" s="245">
        <v>5.7803E-2</v>
      </c>
      <c r="AA24" s="245">
        <v>0</v>
      </c>
      <c r="AB24" s="244">
        <v>0</v>
      </c>
      <c r="AC24" s="244">
        <v>8.6799000000000001E-2</v>
      </c>
      <c r="AD24" s="244">
        <v>0</v>
      </c>
      <c r="AE24" s="244">
        <v>0</v>
      </c>
      <c r="AF24" s="244">
        <v>0</v>
      </c>
      <c r="AG24" s="244">
        <v>0</v>
      </c>
      <c r="AH24" s="244">
        <v>0</v>
      </c>
      <c r="AI24" s="244">
        <v>0</v>
      </c>
      <c r="AJ24" s="244">
        <v>0</v>
      </c>
      <c r="AK24" s="244">
        <v>0</v>
      </c>
      <c r="AL24" s="244">
        <v>0</v>
      </c>
      <c r="AM24" s="244">
        <v>0</v>
      </c>
      <c r="AN24" s="244">
        <v>2.5908E-2</v>
      </c>
      <c r="AO24" s="244">
        <v>0</v>
      </c>
      <c r="AP24" s="244">
        <v>0</v>
      </c>
      <c r="AQ24" s="244">
        <v>0</v>
      </c>
      <c r="AR24" s="244">
        <v>0</v>
      </c>
      <c r="AS24" s="244">
        <v>0</v>
      </c>
      <c r="AT24" s="244">
        <v>0</v>
      </c>
      <c r="AU24" s="244">
        <v>0</v>
      </c>
      <c r="AV24" s="244">
        <v>0</v>
      </c>
      <c r="AW24" s="244">
        <v>0</v>
      </c>
      <c r="AX24" s="244">
        <v>0</v>
      </c>
      <c r="AY24" s="244">
        <v>0</v>
      </c>
      <c r="AZ24" s="244">
        <v>0</v>
      </c>
      <c r="BA24" s="244">
        <v>0</v>
      </c>
      <c r="BB24" s="244">
        <v>0</v>
      </c>
      <c r="BC24" s="244">
        <v>0</v>
      </c>
      <c r="BD24" s="244">
        <v>0</v>
      </c>
      <c r="BE24" s="244">
        <v>0</v>
      </c>
      <c r="BF24" s="244">
        <v>0</v>
      </c>
      <c r="BG24" s="244">
        <v>0</v>
      </c>
      <c r="BH24" s="244">
        <v>0</v>
      </c>
      <c r="BI24" s="244">
        <v>0</v>
      </c>
      <c r="BJ24" s="244">
        <v>0</v>
      </c>
      <c r="BK24" s="244">
        <v>0</v>
      </c>
      <c r="BL24" s="244">
        <v>0</v>
      </c>
      <c r="BM24" s="244">
        <v>0</v>
      </c>
      <c r="BN24" s="244">
        <v>0</v>
      </c>
      <c r="BO24" s="244">
        <v>0</v>
      </c>
      <c r="BP24" s="244">
        <v>0</v>
      </c>
      <c r="BQ24" s="244">
        <v>0</v>
      </c>
      <c r="BR24" s="244">
        <v>0</v>
      </c>
      <c r="BS24" s="244">
        <v>0</v>
      </c>
      <c r="BT24" s="244">
        <v>0</v>
      </c>
      <c r="BU24" s="244">
        <v>0</v>
      </c>
      <c r="BV24" s="244">
        <v>0</v>
      </c>
      <c r="BW24" s="244">
        <v>0</v>
      </c>
      <c r="BX24" s="244">
        <v>0</v>
      </c>
      <c r="BY24" s="244">
        <v>0</v>
      </c>
      <c r="BZ24" s="244">
        <v>0</v>
      </c>
      <c r="CA24" s="244">
        <v>3.9759999999999997E-2</v>
      </c>
      <c r="CB24" s="244">
        <v>0</v>
      </c>
      <c r="CC24" s="244">
        <v>0</v>
      </c>
      <c r="CD24" s="244">
        <v>0</v>
      </c>
      <c r="CE24" s="244">
        <v>0</v>
      </c>
    </row>
    <row r="25" spans="1:83" ht="18" thickBot="1" x14ac:dyDescent="0.35">
      <c r="A25" s="243"/>
      <c r="B25" s="242" t="s">
        <v>189</v>
      </c>
      <c r="C25" s="241">
        <v>17.782810000000001</v>
      </c>
      <c r="D25" s="240">
        <v>12.017892</v>
      </c>
      <c r="E25" s="240">
        <v>19.738841000000001</v>
      </c>
      <c r="F25" s="240">
        <v>15.312135</v>
      </c>
      <c r="G25" s="240">
        <v>16.405452</v>
      </c>
      <c r="H25" s="240">
        <v>16.830299</v>
      </c>
      <c r="I25" s="240">
        <v>21.621621000000001</v>
      </c>
      <c r="J25" s="240">
        <v>21.066676000000001</v>
      </c>
      <c r="K25" s="240">
        <v>26.826301999999998</v>
      </c>
      <c r="L25" s="240">
        <v>29.465554000000001</v>
      </c>
      <c r="M25" s="239">
        <v>30.376919000000001</v>
      </c>
      <c r="N25" s="238">
        <v>25.350349999999999</v>
      </c>
      <c r="O25" s="238">
        <v>24.122951</v>
      </c>
      <c r="P25" s="238">
        <v>29.616571</v>
      </c>
      <c r="Q25" s="238">
        <v>18.463311999999998</v>
      </c>
      <c r="R25" s="238">
        <v>16.761391</v>
      </c>
      <c r="S25" s="237">
        <v>19.106369000000001</v>
      </c>
      <c r="T25" s="237">
        <v>22.919307</v>
      </c>
      <c r="U25" s="236">
        <v>24.498930999999999</v>
      </c>
      <c r="V25" s="235">
        <v>30.553647000000002</v>
      </c>
      <c r="W25" s="235">
        <v>17.544893999999999</v>
      </c>
      <c r="X25" s="235">
        <v>29.044478999999999</v>
      </c>
      <c r="Y25" s="235">
        <v>25.846267000000001</v>
      </c>
      <c r="Z25" s="235">
        <v>29.479147000000001</v>
      </c>
      <c r="AA25" s="235">
        <v>26.691039</v>
      </c>
      <c r="AB25" s="234">
        <v>16.687543000000002</v>
      </c>
      <c r="AC25" s="234">
        <v>18.052790999999999</v>
      </c>
      <c r="AD25" s="234">
        <v>23.532436000000001</v>
      </c>
      <c r="AE25" s="234">
        <v>23.143923000000001</v>
      </c>
      <c r="AF25" s="234">
        <v>27.182373999999999</v>
      </c>
      <c r="AG25" s="234">
        <v>26.83605</v>
      </c>
      <c r="AH25" s="234">
        <v>25.347897</v>
      </c>
      <c r="AI25" s="234">
        <v>17.500761000000001</v>
      </c>
      <c r="AJ25" s="234">
        <v>21.674337000000001</v>
      </c>
      <c r="AK25" s="234">
        <v>25.944821000000001</v>
      </c>
      <c r="AL25" s="234">
        <v>20.521667999999998</v>
      </c>
      <c r="AM25" s="234">
        <v>22.948094000000001</v>
      </c>
      <c r="AN25" s="234">
        <v>26.239796999999999</v>
      </c>
      <c r="AO25" s="234">
        <v>36.396617999999997</v>
      </c>
      <c r="AP25" s="234">
        <v>21.022086000000002</v>
      </c>
      <c r="AQ25" s="234">
        <v>16.006062</v>
      </c>
      <c r="AR25" s="234">
        <v>15.75393</v>
      </c>
      <c r="AS25" s="234">
        <v>17.553611</v>
      </c>
      <c r="AT25" s="234">
        <v>45.756053000000001</v>
      </c>
      <c r="AU25" s="234">
        <v>28.196660000000001</v>
      </c>
      <c r="AV25" s="234">
        <v>20.745667999999998</v>
      </c>
      <c r="AW25" s="234">
        <v>20.825569000000002</v>
      </c>
      <c r="AX25" s="234">
        <v>20.570874</v>
      </c>
      <c r="AY25" s="234">
        <v>36.143825</v>
      </c>
      <c r="AZ25" s="234">
        <v>19.675861999999999</v>
      </c>
      <c r="BA25" s="234">
        <v>20.237238000000001</v>
      </c>
      <c r="BB25" s="234">
        <v>18.821991000000001</v>
      </c>
      <c r="BC25" s="234">
        <v>17.297067999999999</v>
      </c>
      <c r="BD25" s="234">
        <v>15.383995000000001</v>
      </c>
      <c r="BE25" s="234">
        <v>15.876465</v>
      </c>
      <c r="BF25" s="234">
        <v>14.09718</v>
      </c>
      <c r="BG25" s="234">
        <v>12.009274</v>
      </c>
      <c r="BH25" s="234">
        <v>12.397242</v>
      </c>
      <c r="BI25" s="234">
        <v>10.082725999999999</v>
      </c>
      <c r="BJ25" s="234">
        <v>17.742858999999999</v>
      </c>
      <c r="BK25" s="234">
        <v>10.392291</v>
      </c>
      <c r="BL25" s="234">
        <v>9.2534779999999994</v>
      </c>
      <c r="BM25" s="234">
        <v>11.610061999999999</v>
      </c>
      <c r="BN25" s="234">
        <v>17.930568000000001</v>
      </c>
      <c r="BO25" s="234">
        <v>10.777074000000001</v>
      </c>
      <c r="BP25" s="234">
        <v>9.1638169999999999</v>
      </c>
      <c r="BQ25" s="234">
        <v>10.421678</v>
      </c>
      <c r="BR25" s="234">
        <v>9.6840980000000005</v>
      </c>
      <c r="BS25" s="234">
        <v>7.6285749999999997</v>
      </c>
      <c r="BT25" s="234">
        <v>8.0557639999999999</v>
      </c>
      <c r="BU25" s="234">
        <v>10.024417</v>
      </c>
      <c r="BV25" s="234">
        <v>14.833481000000001</v>
      </c>
      <c r="BW25" s="234">
        <v>10.394590000000001</v>
      </c>
      <c r="BX25" s="234">
        <v>17.970507000000001</v>
      </c>
      <c r="BY25" s="234">
        <v>25.574185</v>
      </c>
      <c r="BZ25" s="234">
        <v>13.079027999999999</v>
      </c>
      <c r="CA25" s="234">
        <v>15.363453</v>
      </c>
      <c r="CB25" s="234">
        <v>12</v>
      </c>
      <c r="CC25" s="234">
        <v>14.391798</v>
      </c>
      <c r="CD25" s="234">
        <v>15.307067</v>
      </c>
      <c r="CE25" s="234">
        <v>13.969134</v>
      </c>
    </row>
    <row r="26" spans="1:83" ht="18" thickBot="1" x14ac:dyDescent="0.35">
      <c r="A26" s="233"/>
      <c r="B26" s="232" t="s">
        <v>176</v>
      </c>
      <c r="C26" s="231">
        <v>309.30134900000002</v>
      </c>
      <c r="D26" s="230">
        <v>310.00999400000001</v>
      </c>
      <c r="E26" s="230">
        <v>405.43645399999997</v>
      </c>
      <c r="F26" s="230">
        <v>362.59200300000009</v>
      </c>
      <c r="G26" s="230">
        <v>390.6855230000001</v>
      </c>
      <c r="H26" s="230">
        <v>384.87139199999996</v>
      </c>
      <c r="I26" s="230">
        <v>391.10821299999998</v>
      </c>
      <c r="J26" s="230">
        <v>430.138103</v>
      </c>
      <c r="K26" s="230">
        <v>342.45813700000002</v>
      </c>
      <c r="L26" s="230">
        <v>346.79832200000004</v>
      </c>
      <c r="M26" s="229">
        <v>373.59592899999996</v>
      </c>
      <c r="N26" s="228">
        <v>375.88270199999999</v>
      </c>
      <c r="O26" s="228">
        <v>378.47478100000001</v>
      </c>
      <c r="P26" s="228">
        <v>312.58619700000003</v>
      </c>
      <c r="Q26" s="228">
        <v>346.61599367000008</v>
      </c>
      <c r="R26" s="228">
        <v>294.08013200000011</v>
      </c>
      <c r="S26" s="227">
        <v>385.82457900000009</v>
      </c>
      <c r="T26" s="227">
        <v>367.16511199999997</v>
      </c>
      <c r="U26" s="226">
        <v>386.23677499999997</v>
      </c>
      <c r="V26" s="225">
        <v>413.4649970000001</v>
      </c>
      <c r="W26" s="224">
        <v>349.37433299999998</v>
      </c>
      <c r="X26" s="224">
        <v>378.506665</v>
      </c>
      <c r="Y26" s="224">
        <v>371.42235499999998</v>
      </c>
      <c r="Z26" s="224">
        <v>386.99797000000001</v>
      </c>
      <c r="AA26" s="224">
        <v>423.8181219999999</v>
      </c>
      <c r="AB26" s="223">
        <v>351.67124799999999</v>
      </c>
      <c r="AC26" s="223">
        <v>317.10303999999996</v>
      </c>
      <c r="AD26" s="223">
        <v>406.07266799999991</v>
      </c>
      <c r="AE26" s="223">
        <v>388.90668700000003</v>
      </c>
      <c r="AF26" s="223">
        <v>369.83449800000005</v>
      </c>
      <c r="AG26" s="223">
        <v>375.62726900000007</v>
      </c>
      <c r="AH26" s="223">
        <v>453.57100300000002</v>
      </c>
      <c r="AI26" s="223">
        <v>358.03523900000016</v>
      </c>
      <c r="AJ26" s="223">
        <v>400.99399200000005</v>
      </c>
      <c r="AK26" s="223">
        <v>336.91260799999998</v>
      </c>
      <c r="AL26" s="223">
        <v>397.32199200000002</v>
      </c>
      <c r="AM26" s="223">
        <v>388.473724</v>
      </c>
      <c r="AN26" s="223">
        <v>398.761978</v>
      </c>
      <c r="AO26" s="223">
        <v>315.20329999999996</v>
      </c>
      <c r="AP26" s="223">
        <v>199.023866</v>
      </c>
      <c r="AQ26" s="223">
        <v>191.441858</v>
      </c>
      <c r="AR26" s="223">
        <v>243.58295200000003</v>
      </c>
      <c r="AS26" s="223">
        <v>268.0136</v>
      </c>
      <c r="AT26" s="223">
        <v>435.45307200000002</v>
      </c>
      <c r="AU26" s="223">
        <v>315.29470400000002</v>
      </c>
      <c r="AV26" s="223">
        <v>267.730501</v>
      </c>
      <c r="AW26" s="223">
        <v>291.03723999999994</v>
      </c>
      <c r="AX26" s="223">
        <v>328.83417100000008</v>
      </c>
      <c r="AY26" s="223">
        <v>280.916741</v>
      </c>
      <c r="AZ26" s="223">
        <v>281.67008800000002</v>
      </c>
      <c r="BA26" s="223">
        <v>248.32939300000001</v>
      </c>
      <c r="BB26" s="223">
        <v>231.91520499999999</v>
      </c>
      <c r="BC26" s="223">
        <v>241.74424099999999</v>
      </c>
      <c r="BD26" s="223">
        <v>267.925161</v>
      </c>
      <c r="BE26" s="223">
        <v>258.22140000000002</v>
      </c>
      <c r="BF26" s="223">
        <v>235.67648500000001</v>
      </c>
      <c r="BG26" s="223">
        <v>240.24497</v>
      </c>
      <c r="BH26" s="223">
        <v>289.31299899999999</v>
      </c>
      <c r="BI26" s="223">
        <v>244.55015199999997</v>
      </c>
      <c r="BJ26" s="223">
        <v>290.64343200000002</v>
      </c>
      <c r="BK26" s="223">
        <v>242.65257099999999</v>
      </c>
      <c r="BL26" s="223">
        <v>212.48301000000001</v>
      </c>
      <c r="BM26" s="223">
        <v>222.04572200000001</v>
      </c>
      <c r="BN26" s="223">
        <v>389.06831399999999</v>
      </c>
      <c r="BO26" s="223">
        <v>240.80943300000001</v>
      </c>
      <c r="BP26" s="223">
        <v>259.05785199999997</v>
      </c>
      <c r="BQ26" s="223">
        <v>275.28334900000004</v>
      </c>
      <c r="BR26" s="223">
        <v>206.98577299999999</v>
      </c>
      <c r="BS26" s="223">
        <v>188.54608999999999</v>
      </c>
      <c r="BT26" s="223">
        <v>222.10448</v>
      </c>
      <c r="BU26" s="223">
        <v>567.27036799999996</v>
      </c>
      <c r="BV26" s="223">
        <v>427.76555400000007</v>
      </c>
      <c r="BW26" s="223">
        <v>373.5</v>
      </c>
      <c r="BX26" s="223">
        <v>356.4</v>
      </c>
      <c r="BY26" s="223">
        <v>447.22180200000008</v>
      </c>
      <c r="BZ26" s="223">
        <f>SUM(BZ4:BZ25)</f>
        <v>304.938806</v>
      </c>
      <c r="CA26" s="223">
        <f>SUM(CA4:CA25)</f>
        <v>275.02680600000002</v>
      </c>
      <c r="CB26" s="223">
        <f>SUM(CB4:CB25)</f>
        <v>333.91973400000006</v>
      </c>
      <c r="CC26" s="223">
        <f>SUM(CC4:CC25)</f>
        <v>336.405193</v>
      </c>
      <c r="CD26" s="223">
        <v>257.89999999999998</v>
      </c>
      <c r="CE26" s="223">
        <v>259.00814000000003</v>
      </c>
    </row>
    <row r="27" spans="1:83" s="294" customFormat="1" ht="18.95" customHeight="1" thickTop="1" x14ac:dyDescent="0.25">
      <c r="A27" s="168" t="s">
        <v>188</v>
      </c>
      <c r="B27" s="295"/>
    </row>
    <row r="28" spans="1:83" s="291" customFormat="1" ht="18.95" customHeight="1" x14ac:dyDescent="0.25">
      <c r="A28" s="287" t="s">
        <v>187</v>
      </c>
      <c r="B28" s="293"/>
      <c r="C28" s="293"/>
      <c r="D28" s="293"/>
      <c r="E28" s="293"/>
      <c r="F28" s="293"/>
      <c r="G28" s="293"/>
      <c r="H28" s="293"/>
      <c r="I28" s="293"/>
      <c r="J28" s="293"/>
      <c r="K28" s="293"/>
      <c r="L28" s="292"/>
      <c r="M28" s="292"/>
      <c r="N28" s="292"/>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285"/>
      <c r="AZ28" s="285"/>
      <c r="BA28" s="285"/>
      <c r="BB28" s="285"/>
      <c r="BC28" s="285"/>
      <c r="BD28" s="285"/>
      <c r="BE28" s="285"/>
      <c r="BF28" s="285"/>
      <c r="BG28" s="285"/>
      <c r="BH28" s="285"/>
      <c r="BI28" s="285"/>
      <c r="BJ28" s="285"/>
      <c r="BK28" s="285"/>
      <c r="BL28" s="285"/>
      <c r="BM28" s="285"/>
      <c r="BN28" s="285"/>
      <c r="BO28" s="285"/>
      <c r="BP28" s="285"/>
      <c r="BQ28" s="285"/>
      <c r="BR28" s="285"/>
      <c r="BS28" s="285"/>
      <c r="BT28" s="285"/>
      <c r="BU28" s="285"/>
      <c r="BV28" s="285"/>
      <c r="BW28" s="285"/>
      <c r="BX28" s="285"/>
      <c r="BY28" s="285"/>
      <c r="BZ28" s="285"/>
      <c r="CA28" s="285"/>
      <c r="CB28" s="285"/>
      <c r="CC28" s="285"/>
      <c r="CD28" s="285"/>
      <c r="CE28" s="285"/>
    </row>
    <row r="29" spans="1:83" s="287" customFormat="1" ht="18.95" customHeight="1" x14ac:dyDescent="0.25">
      <c r="A29" s="290" t="s">
        <v>186</v>
      </c>
      <c r="B29" s="289"/>
      <c r="C29" s="289"/>
      <c r="D29" s="289"/>
      <c r="E29" s="289"/>
      <c r="F29" s="289"/>
      <c r="G29" s="289"/>
      <c r="H29" s="289"/>
      <c r="I29" s="289"/>
      <c r="J29" s="289"/>
      <c r="K29" s="289"/>
      <c r="L29" s="289"/>
      <c r="M29" s="289"/>
      <c r="N29" s="28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285"/>
      <c r="AZ29" s="285"/>
      <c r="BA29" s="285"/>
      <c r="BB29" s="285"/>
      <c r="BC29" s="285"/>
      <c r="BD29" s="285"/>
      <c r="BE29" s="285"/>
      <c r="BF29" s="285"/>
      <c r="BG29" s="285"/>
      <c r="BH29" s="285"/>
      <c r="BI29" s="285"/>
      <c r="BJ29" s="285"/>
      <c r="BK29" s="285"/>
      <c r="BL29" s="285"/>
      <c r="BM29" s="285"/>
      <c r="BN29" s="285"/>
      <c r="BO29" s="285"/>
      <c r="BP29" s="285"/>
      <c r="BQ29" s="285"/>
      <c r="BR29" s="285"/>
      <c r="BS29" s="285"/>
      <c r="BT29" s="285"/>
      <c r="BU29" s="285"/>
      <c r="BV29" s="285"/>
      <c r="BW29" s="285"/>
      <c r="BX29" s="285"/>
      <c r="BY29" s="285"/>
      <c r="BZ29" s="285"/>
      <c r="CA29" s="285"/>
      <c r="CB29" s="285"/>
      <c r="CC29" s="285"/>
      <c r="CD29" s="285"/>
      <c r="CE29" s="285"/>
    </row>
    <row r="30" spans="1:83" s="168" customFormat="1" ht="18.95" customHeight="1" x14ac:dyDescent="0.25">
      <c r="A30" s="168" t="s">
        <v>173</v>
      </c>
      <c r="B30" s="169"/>
      <c r="AY30" s="285"/>
      <c r="AZ30" s="285"/>
      <c r="BA30" s="285"/>
      <c r="BB30" s="285"/>
      <c r="BC30" s="285"/>
      <c r="BD30" s="285"/>
      <c r="BE30" s="285"/>
      <c r="BF30" s="285"/>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c r="CD30" s="286"/>
      <c r="CE30" s="286"/>
    </row>
    <row r="31" spans="1:83" s="168" customFormat="1" ht="18.95" customHeight="1" x14ac:dyDescent="0.25">
      <c r="A31" s="168" t="s">
        <v>0</v>
      </c>
      <c r="B31" s="169"/>
      <c r="AY31" s="285"/>
      <c r="AZ31" s="285"/>
      <c r="BA31" s="285"/>
      <c r="BB31" s="285"/>
      <c r="BC31" s="285"/>
      <c r="BD31" s="285"/>
      <c r="BE31" s="285"/>
      <c r="BF31" s="285"/>
      <c r="BG31" s="285"/>
      <c r="BH31" s="285"/>
      <c r="BI31" s="285"/>
      <c r="BJ31" s="285"/>
      <c r="BK31" s="285"/>
      <c r="BL31" s="285"/>
      <c r="BM31" s="285"/>
      <c r="BN31" s="285"/>
      <c r="BO31" s="285"/>
      <c r="BP31" s="285"/>
      <c r="BQ31" s="285"/>
      <c r="BR31" s="285"/>
      <c r="BS31" s="285"/>
      <c r="BT31" s="285"/>
      <c r="BU31" s="285"/>
      <c r="BV31" s="285"/>
      <c r="BW31" s="285"/>
      <c r="BX31" s="285"/>
      <c r="BY31" s="285"/>
      <c r="BZ31" s="285"/>
      <c r="CA31" s="285"/>
      <c r="CB31" s="285"/>
      <c r="CC31" s="285"/>
      <c r="CD31" s="285"/>
      <c r="CE31" s="285"/>
    </row>
    <row r="32" spans="1:83" ht="8.25" customHeight="1" x14ac:dyDescent="0.3">
      <c r="A32" s="165"/>
      <c r="B32" s="167"/>
      <c r="C32" s="166"/>
    </row>
    <row r="33" spans="1:3" ht="16.5" x14ac:dyDescent="0.3">
      <c r="A33" s="165"/>
      <c r="B33" s="164"/>
      <c r="C33" s="166"/>
    </row>
    <row r="34" spans="1:3" ht="16.5" x14ac:dyDescent="0.25">
      <c r="A34" s="165"/>
      <c r="B34" s="164"/>
      <c r="C34" s="162"/>
    </row>
    <row r="35" spans="1:3" ht="16.5" x14ac:dyDescent="0.25">
      <c r="A35" s="165"/>
      <c r="B35" s="164"/>
      <c r="C35" s="162"/>
    </row>
  </sheetData>
  <pageMargins left="0.70866141732283505" right="0.70866141732283505" top="0.74803149606299202" bottom="0.74803149606299202" header="0.31496062992126" footer="0.31496062992126"/>
  <pageSetup paperSize="9" scale="57"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M175"/>
  <sheetViews>
    <sheetView showGridLines="0" zoomScale="85" zoomScaleNormal="85" zoomScaleSheetLayoutView="100" workbookViewId="0">
      <pane xSplit="1" ySplit="1" topLeftCell="B2" activePane="bottomRight" state="frozen"/>
      <selection activeCell="A38" sqref="A38"/>
      <selection pane="topRight" activeCell="A38" sqref="A38"/>
      <selection pane="bottomLeft" activeCell="A38" sqref="A38"/>
      <selection pane="bottomRight" activeCell="A38" sqref="A38"/>
    </sheetView>
  </sheetViews>
  <sheetFormatPr defaultColWidth="9.140625" defaultRowHeight="16.5" x14ac:dyDescent="0.3"/>
  <cols>
    <col min="1" max="1" width="17.7109375" style="166" customWidth="1"/>
    <col min="2" max="2" width="9.140625" style="166"/>
    <col min="3" max="3" width="9.85546875" style="166" customWidth="1"/>
    <col min="4" max="4" width="10.140625" style="166" customWidth="1"/>
    <col min="5" max="5" width="9.7109375" style="166" customWidth="1"/>
    <col min="6" max="6" width="11.7109375" style="166" customWidth="1"/>
    <col min="7" max="7" width="9.140625" style="166"/>
    <col min="8" max="8" width="20.140625" style="166" customWidth="1"/>
    <col min="9" max="9" width="9.140625" style="166"/>
    <col min="10" max="10" width="8.5703125" style="166" bestFit="1" customWidth="1"/>
    <col min="11" max="16384" width="9.140625" style="166"/>
  </cols>
  <sheetData>
    <row r="1" spans="1:6" ht="18.75" x14ac:dyDescent="0.3">
      <c r="A1" s="323" t="s">
        <v>243</v>
      </c>
    </row>
    <row r="2" spans="1:6" ht="17.25" thickBot="1" x14ac:dyDescent="0.35">
      <c r="F2" s="322" t="s">
        <v>184</v>
      </c>
    </row>
    <row r="3" spans="1:6" ht="18" thickTop="1" thickBot="1" x14ac:dyDescent="0.35">
      <c r="A3" s="321"/>
      <c r="B3" s="320" t="s">
        <v>241</v>
      </c>
      <c r="C3" s="320" t="s">
        <v>240</v>
      </c>
      <c r="D3" s="320" t="s">
        <v>239</v>
      </c>
      <c r="E3" s="320" t="s">
        <v>238</v>
      </c>
      <c r="F3" s="320" t="s">
        <v>176</v>
      </c>
    </row>
    <row r="4" spans="1:6" hidden="1" x14ac:dyDescent="0.3">
      <c r="A4" s="316">
        <v>42736</v>
      </c>
      <c r="B4" s="315">
        <v>197.51551499999999</v>
      </c>
      <c r="C4" s="315">
        <v>108.059792</v>
      </c>
      <c r="D4" s="315">
        <v>17.536251</v>
      </c>
      <c r="E4" s="315">
        <v>8.1099619999999959</v>
      </c>
      <c r="F4" s="314">
        <v>331.22152</v>
      </c>
    </row>
    <row r="5" spans="1:6" hidden="1" x14ac:dyDescent="0.3">
      <c r="A5" s="316">
        <v>42767</v>
      </c>
      <c r="B5" s="315">
        <v>228.40382600000001</v>
      </c>
      <c r="C5" s="315">
        <v>76.873213000000007</v>
      </c>
      <c r="D5" s="315">
        <v>16.246696</v>
      </c>
      <c r="E5" s="315">
        <v>8.0922000000000054</v>
      </c>
      <c r="F5" s="314">
        <v>329.61593499999998</v>
      </c>
    </row>
    <row r="6" spans="1:6" hidden="1" x14ac:dyDescent="0.3">
      <c r="A6" s="316">
        <v>42795</v>
      </c>
      <c r="B6" s="315">
        <v>262.23346099999998</v>
      </c>
      <c r="C6" s="315">
        <v>157.87757199999999</v>
      </c>
      <c r="D6" s="315">
        <v>18.18581</v>
      </c>
      <c r="E6" s="315">
        <v>12.228756999999995</v>
      </c>
      <c r="F6" s="314">
        <v>450.52559999999994</v>
      </c>
    </row>
    <row r="7" spans="1:6" hidden="1" x14ac:dyDescent="0.3">
      <c r="A7" s="316">
        <v>42826</v>
      </c>
      <c r="B7" s="315">
        <v>227.27950799999999</v>
      </c>
      <c r="C7" s="315">
        <v>116.36069000000001</v>
      </c>
      <c r="D7" s="315">
        <v>37.234957000000001</v>
      </c>
      <c r="E7" s="315">
        <v>12.345025000000007</v>
      </c>
      <c r="F7" s="314">
        <v>393.22018000000003</v>
      </c>
    </row>
    <row r="8" spans="1:6" hidden="1" x14ac:dyDescent="0.3">
      <c r="A8" s="316">
        <v>42856</v>
      </c>
      <c r="B8" s="315">
        <v>221.14980199999999</v>
      </c>
      <c r="C8" s="315">
        <v>180.70346900000001</v>
      </c>
      <c r="D8" s="315">
        <v>19.547654999999999</v>
      </c>
      <c r="E8" s="315">
        <v>14.793257999999994</v>
      </c>
      <c r="F8" s="314">
        <v>436.19418400000001</v>
      </c>
    </row>
    <row r="9" spans="1:6" hidden="1" x14ac:dyDescent="0.3">
      <c r="A9" s="316">
        <v>42887</v>
      </c>
      <c r="B9" s="315">
        <v>199.415333</v>
      </c>
      <c r="C9" s="315">
        <v>160.60561799999999</v>
      </c>
      <c r="D9" s="315">
        <v>18.812515999999999</v>
      </c>
      <c r="E9" s="315">
        <v>10.202784999999992</v>
      </c>
      <c r="F9" s="314">
        <v>389.03625199999999</v>
      </c>
    </row>
    <row r="10" spans="1:6" hidden="1" x14ac:dyDescent="0.3">
      <c r="A10" s="316">
        <v>42917</v>
      </c>
      <c r="B10" s="315">
        <v>212.82882799999999</v>
      </c>
      <c r="C10" s="315">
        <v>143.08401799999999</v>
      </c>
      <c r="D10" s="315">
        <v>11.022928</v>
      </c>
      <c r="E10" s="315">
        <v>9.5371650000000017</v>
      </c>
      <c r="F10" s="314">
        <v>376.47293899999994</v>
      </c>
    </row>
    <row r="11" spans="1:6" hidden="1" x14ac:dyDescent="0.3">
      <c r="A11" s="316">
        <v>42948</v>
      </c>
      <c r="B11" s="315">
        <v>244.11312699999999</v>
      </c>
      <c r="C11" s="315">
        <v>171.19274899999999</v>
      </c>
      <c r="D11" s="315">
        <v>11.530946</v>
      </c>
      <c r="E11" s="315">
        <v>6.5558049999999923</v>
      </c>
      <c r="F11" s="314">
        <v>433.39262699999995</v>
      </c>
    </row>
    <row r="12" spans="1:6" hidden="1" x14ac:dyDescent="0.3">
      <c r="A12" s="316">
        <v>42979</v>
      </c>
      <c r="B12" s="315">
        <v>175.29373100000001</v>
      </c>
      <c r="C12" s="315">
        <v>156.43955099999999</v>
      </c>
      <c r="D12" s="315">
        <v>38.328558999999998</v>
      </c>
      <c r="E12" s="315">
        <v>9.9809910000000031</v>
      </c>
      <c r="F12" s="314">
        <v>380.04283200000003</v>
      </c>
    </row>
    <row r="13" spans="1:6" hidden="1" x14ac:dyDescent="0.3">
      <c r="A13" s="316">
        <v>43009</v>
      </c>
      <c r="B13" s="315">
        <v>181.63092</v>
      </c>
      <c r="C13" s="315">
        <v>121.399017</v>
      </c>
      <c r="D13" s="315">
        <v>25.756222000000001</v>
      </c>
      <c r="E13" s="315">
        <v>6.1786519999999996</v>
      </c>
      <c r="F13" s="314">
        <v>334.964811</v>
      </c>
    </row>
    <row r="14" spans="1:6" hidden="1" x14ac:dyDescent="0.3">
      <c r="A14" s="316">
        <v>43040</v>
      </c>
      <c r="B14" s="315">
        <v>170.63756100000001</v>
      </c>
      <c r="C14" s="315">
        <v>150.99259599999999</v>
      </c>
      <c r="D14" s="315">
        <v>24.640027</v>
      </c>
      <c r="E14" s="315">
        <v>8.1416010000000085</v>
      </c>
      <c r="F14" s="314">
        <v>354.41178500000001</v>
      </c>
    </row>
    <row r="15" spans="1:6" hidden="1" x14ac:dyDescent="0.3">
      <c r="A15" s="316">
        <v>43070</v>
      </c>
      <c r="B15" s="315">
        <v>189.57369800000001</v>
      </c>
      <c r="C15" s="315">
        <v>119.53563</v>
      </c>
      <c r="D15" s="315">
        <v>25.42633</v>
      </c>
      <c r="E15" s="315">
        <v>8.2377680000000026</v>
      </c>
      <c r="F15" s="314">
        <v>342.77342600000003</v>
      </c>
    </row>
    <row r="16" spans="1:6" hidden="1" x14ac:dyDescent="0.3">
      <c r="A16" s="319">
        <v>43101</v>
      </c>
      <c r="B16" s="318">
        <v>179.206379</v>
      </c>
      <c r="C16" s="318">
        <v>159.20188999999999</v>
      </c>
      <c r="D16" s="318">
        <v>31.536455</v>
      </c>
      <c r="E16" s="318">
        <v>8.5600799999999992</v>
      </c>
      <c r="F16" s="317">
        <v>378.50480400000004</v>
      </c>
    </row>
    <row r="17" spans="1:8" hidden="1" x14ac:dyDescent="0.3">
      <c r="A17" s="316">
        <v>43132</v>
      </c>
      <c r="B17" s="315">
        <v>181.44878399999999</v>
      </c>
      <c r="C17" s="315">
        <v>173.28813600000001</v>
      </c>
      <c r="D17" s="315">
        <v>13.333466</v>
      </c>
      <c r="E17" s="315">
        <v>7.0949450000000001</v>
      </c>
      <c r="F17" s="314">
        <v>375.16533099999998</v>
      </c>
    </row>
    <row r="18" spans="1:8" hidden="1" x14ac:dyDescent="0.3">
      <c r="A18" s="316">
        <v>43160</v>
      </c>
      <c r="B18" s="315">
        <v>221.87894299999999</v>
      </c>
      <c r="C18" s="315">
        <v>138.90938600000001</v>
      </c>
      <c r="D18" s="315">
        <v>32.483767999999998</v>
      </c>
      <c r="E18" s="315">
        <v>10.992385000000001</v>
      </c>
      <c r="F18" s="314">
        <v>404.26448199999999</v>
      </c>
    </row>
    <row r="19" spans="1:8" hidden="1" x14ac:dyDescent="0.3">
      <c r="A19" s="316">
        <v>43191</v>
      </c>
      <c r="B19" s="315">
        <v>189.39332099999999</v>
      </c>
      <c r="C19" s="315">
        <v>137.339338</v>
      </c>
      <c r="D19" s="315">
        <v>20.377965</v>
      </c>
      <c r="E19" s="315">
        <v>9.0822330000000004</v>
      </c>
      <c r="F19" s="314">
        <v>356.192857</v>
      </c>
    </row>
    <row r="20" spans="1:8" hidden="1" x14ac:dyDescent="0.3">
      <c r="A20" s="316">
        <v>43221</v>
      </c>
      <c r="B20" s="315">
        <v>210.61475300000001</v>
      </c>
      <c r="C20" s="315">
        <v>105.244494</v>
      </c>
      <c r="D20" s="315">
        <v>10.522864</v>
      </c>
      <c r="E20" s="315">
        <v>12.501957000000001</v>
      </c>
      <c r="F20" s="314">
        <v>338.88406800000001</v>
      </c>
    </row>
    <row r="21" spans="1:8" hidden="1" x14ac:dyDescent="0.3">
      <c r="A21" s="316">
        <v>43252</v>
      </c>
      <c r="B21" s="315">
        <v>191.12283400000001</v>
      </c>
      <c r="C21" s="315">
        <v>192.25538599999999</v>
      </c>
      <c r="D21" s="315">
        <v>26.926548</v>
      </c>
      <c r="E21" s="315">
        <v>7.7624440000000003</v>
      </c>
      <c r="F21" s="314">
        <v>418.06721200000004</v>
      </c>
    </row>
    <row r="22" spans="1:8" hidden="1" x14ac:dyDescent="0.3">
      <c r="A22" s="316">
        <v>43282</v>
      </c>
      <c r="B22" s="315">
        <v>198.883318</v>
      </c>
      <c r="C22" s="315">
        <v>114.368641</v>
      </c>
      <c r="D22" s="329">
        <v>13.925440999999999</v>
      </c>
      <c r="E22" s="329">
        <v>15.255196</v>
      </c>
      <c r="F22" s="328">
        <v>342.43259599999999</v>
      </c>
      <c r="G22" s="327"/>
      <c r="H22" s="327"/>
    </row>
    <row r="23" spans="1:8" hidden="1" x14ac:dyDescent="0.3">
      <c r="A23" s="316">
        <v>43313</v>
      </c>
      <c r="B23" s="315">
        <v>245.63909100000001</v>
      </c>
      <c r="C23" s="315">
        <v>104.66001900000001</v>
      </c>
      <c r="D23" s="315">
        <v>17.093844000000001</v>
      </c>
      <c r="E23" s="315">
        <v>5.4137740000000001</v>
      </c>
      <c r="F23" s="314">
        <v>372.80672800000002</v>
      </c>
    </row>
    <row r="24" spans="1:8" hidden="1" x14ac:dyDescent="0.3">
      <c r="A24" s="316">
        <v>43344</v>
      </c>
      <c r="B24" s="315">
        <v>168.16425899999999</v>
      </c>
      <c r="C24" s="315">
        <v>146.37354400000001</v>
      </c>
      <c r="D24" s="315">
        <v>23.715748000000001</v>
      </c>
      <c r="E24" s="315">
        <v>10.419269</v>
      </c>
      <c r="F24" s="314">
        <v>348.67282</v>
      </c>
    </row>
    <row r="25" spans="1:8" hidden="1" x14ac:dyDescent="0.3">
      <c r="A25" s="316">
        <v>43374</v>
      </c>
      <c r="B25" s="315">
        <v>206.18271899999999</v>
      </c>
      <c r="C25" s="315">
        <v>89.408169000000001</v>
      </c>
      <c r="D25" s="315">
        <v>20.596982000000001</v>
      </c>
      <c r="E25" s="315">
        <v>7.1076090000000001</v>
      </c>
      <c r="F25" s="314">
        <v>323.29547900000006</v>
      </c>
    </row>
    <row r="26" spans="1:8" hidden="1" x14ac:dyDescent="0.3">
      <c r="A26" s="316">
        <v>43405</v>
      </c>
      <c r="B26" s="315">
        <v>170.557939</v>
      </c>
      <c r="C26" s="315">
        <v>106.4451</v>
      </c>
      <c r="D26" s="315">
        <v>14.308913</v>
      </c>
      <c r="E26" s="315">
        <v>15.430426000000001</v>
      </c>
      <c r="F26" s="314">
        <v>306.74237800000003</v>
      </c>
    </row>
    <row r="27" spans="1:8" hidden="1" x14ac:dyDescent="0.3">
      <c r="A27" s="316">
        <v>43435</v>
      </c>
      <c r="B27" s="315">
        <v>251.03595899999999</v>
      </c>
      <c r="C27" s="315">
        <v>121.560455</v>
      </c>
      <c r="D27" s="315">
        <v>14.514184</v>
      </c>
      <c r="E27" s="315">
        <v>7.426005</v>
      </c>
      <c r="F27" s="314">
        <v>394.53660299999996</v>
      </c>
    </row>
    <row r="28" spans="1:8" hidden="1" x14ac:dyDescent="0.3">
      <c r="A28" s="316">
        <v>43466</v>
      </c>
      <c r="B28" s="315">
        <v>223.32334900000001</v>
      </c>
      <c r="C28" s="315">
        <v>103.93451899999999</v>
      </c>
      <c r="D28" s="315">
        <v>30.196387999999999</v>
      </c>
      <c r="E28" s="315">
        <v>15.111413000000001</v>
      </c>
      <c r="F28" s="314">
        <v>372.56566900000007</v>
      </c>
    </row>
    <row r="29" spans="1:8" hidden="1" x14ac:dyDescent="0.3">
      <c r="A29" s="316">
        <v>43497</v>
      </c>
      <c r="B29" s="315">
        <v>209.48335700000001</v>
      </c>
      <c r="C29" s="315">
        <v>87.078712999999993</v>
      </c>
      <c r="D29" s="315">
        <v>21.358367999999999</v>
      </c>
      <c r="E29" s="315">
        <v>7.3790709999999997</v>
      </c>
      <c r="F29" s="314">
        <v>325.299509</v>
      </c>
    </row>
    <row r="30" spans="1:8" hidden="1" x14ac:dyDescent="0.3">
      <c r="A30" s="316">
        <v>43525</v>
      </c>
      <c r="B30" s="315">
        <v>184.33346599999999</v>
      </c>
      <c r="C30" s="315">
        <v>150.505954</v>
      </c>
      <c r="D30" s="315">
        <v>22.220123000000001</v>
      </c>
      <c r="E30" s="315">
        <v>4.8801519999999998</v>
      </c>
      <c r="F30" s="314">
        <v>361.93969500000003</v>
      </c>
    </row>
    <row r="31" spans="1:8" hidden="1" x14ac:dyDescent="0.3">
      <c r="A31" s="316">
        <v>43556</v>
      </c>
      <c r="B31" s="315">
        <v>161.37466800000001</v>
      </c>
      <c r="C31" s="315">
        <v>185.864499</v>
      </c>
      <c r="D31" s="315">
        <v>14.68599</v>
      </c>
      <c r="E31" s="315">
        <v>10.257569999999999</v>
      </c>
      <c r="F31" s="314">
        <v>372.182727</v>
      </c>
    </row>
    <row r="32" spans="1:8" hidden="1" x14ac:dyDescent="0.3">
      <c r="A32" s="316">
        <v>43586</v>
      </c>
      <c r="B32" s="315">
        <v>232.00550999999999</v>
      </c>
      <c r="C32" s="315">
        <v>247.26540900000001</v>
      </c>
      <c r="D32" s="315">
        <v>20.564874</v>
      </c>
      <c r="E32" s="315">
        <v>6.8303159999999998</v>
      </c>
      <c r="F32" s="314">
        <v>506.66610899999995</v>
      </c>
    </row>
    <row r="33" spans="1:6" hidden="1" x14ac:dyDescent="0.3">
      <c r="A33" s="316">
        <v>43617</v>
      </c>
      <c r="B33" s="315">
        <v>174.70720499999999</v>
      </c>
      <c r="C33" s="315">
        <v>252.02389600000001</v>
      </c>
      <c r="D33" s="315">
        <v>22.393915</v>
      </c>
      <c r="E33" s="315">
        <v>11.268364</v>
      </c>
      <c r="F33" s="314">
        <v>460.39337999999998</v>
      </c>
    </row>
    <row r="34" spans="1:6" hidden="1" x14ac:dyDescent="0.3">
      <c r="A34" s="316">
        <v>43647</v>
      </c>
      <c r="B34" s="315">
        <v>186.056893</v>
      </c>
      <c r="C34" s="315">
        <v>130.51766799999999</v>
      </c>
      <c r="D34" s="315">
        <v>17.303951000000001</v>
      </c>
      <c r="E34" s="315">
        <v>9.510802</v>
      </c>
      <c r="F34" s="314">
        <v>343.38931400000001</v>
      </c>
    </row>
    <row r="35" spans="1:6" hidden="1" x14ac:dyDescent="0.3">
      <c r="A35" s="316">
        <v>43678</v>
      </c>
      <c r="B35" s="315">
        <v>176.458046</v>
      </c>
      <c r="C35" s="315">
        <v>136.06339800000001</v>
      </c>
      <c r="D35" s="315">
        <v>12.578452</v>
      </c>
      <c r="E35" s="315">
        <v>4.2970220000000001</v>
      </c>
      <c r="F35" s="314">
        <v>329.39691800000003</v>
      </c>
    </row>
    <row r="36" spans="1:6" hidden="1" x14ac:dyDescent="0.3">
      <c r="A36" s="316">
        <v>43709</v>
      </c>
      <c r="B36" s="315">
        <v>187.03259299999999</v>
      </c>
      <c r="C36" s="315">
        <v>133.00580500000001</v>
      </c>
      <c r="D36" s="315">
        <v>24.336462000000001</v>
      </c>
      <c r="E36" s="315">
        <v>12.038323</v>
      </c>
      <c r="F36" s="314">
        <v>356.413183</v>
      </c>
    </row>
    <row r="37" spans="1:6" hidden="1" x14ac:dyDescent="0.3">
      <c r="A37" s="316">
        <v>43739</v>
      </c>
      <c r="B37" s="315">
        <v>181.16417999999999</v>
      </c>
      <c r="C37" s="315">
        <v>173.462006</v>
      </c>
      <c r="D37" s="315">
        <v>27.697617999999999</v>
      </c>
      <c r="E37" s="315">
        <v>5.658188</v>
      </c>
      <c r="F37" s="314">
        <v>387.98199199999999</v>
      </c>
    </row>
    <row r="38" spans="1:6" hidden="1" x14ac:dyDescent="0.3">
      <c r="A38" s="316">
        <v>43770</v>
      </c>
      <c r="B38" s="315">
        <v>181.50894400000001</v>
      </c>
      <c r="C38" s="315">
        <v>102.697157</v>
      </c>
      <c r="D38" s="315">
        <v>16.370560000000001</v>
      </c>
      <c r="E38" s="315">
        <v>6.9803259999999998</v>
      </c>
      <c r="F38" s="314">
        <v>307.55698699999999</v>
      </c>
    </row>
    <row r="39" spans="1:6" hidden="1" x14ac:dyDescent="0.3">
      <c r="A39" s="316">
        <v>43800</v>
      </c>
      <c r="B39" s="315">
        <v>185.218412</v>
      </c>
      <c r="C39" s="315">
        <v>143.97160600000001</v>
      </c>
      <c r="D39" s="315">
        <v>24.363285000000001</v>
      </c>
      <c r="E39" s="315">
        <v>7.5535139999999998</v>
      </c>
      <c r="F39" s="314">
        <v>361.10681700000004</v>
      </c>
    </row>
    <row r="40" spans="1:6" hidden="1" x14ac:dyDescent="0.3">
      <c r="A40" s="316">
        <v>43831</v>
      </c>
      <c r="B40" s="315">
        <v>189.78112899999999</v>
      </c>
      <c r="C40" s="315">
        <v>123.542841</v>
      </c>
      <c r="D40" s="315">
        <v>18.341231000000001</v>
      </c>
      <c r="E40" s="315">
        <v>8.6512320000000003</v>
      </c>
      <c r="F40" s="314">
        <v>340.31643299999996</v>
      </c>
    </row>
    <row r="41" spans="1:6" hidden="1" x14ac:dyDescent="0.3">
      <c r="A41" s="316">
        <v>43862</v>
      </c>
      <c r="B41" s="315">
        <v>201.45648</v>
      </c>
      <c r="C41" s="315">
        <v>133.866186</v>
      </c>
      <c r="D41" s="315">
        <v>12.74198</v>
      </c>
      <c r="E41" s="315">
        <v>5.6455229999999998</v>
      </c>
      <c r="F41" s="314">
        <v>353.71016900000006</v>
      </c>
    </row>
    <row r="42" spans="1:6" hidden="1" x14ac:dyDescent="0.3">
      <c r="A42" s="316">
        <v>43891</v>
      </c>
      <c r="B42" s="315">
        <v>151.19933700000001</v>
      </c>
      <c r="C42" s="315">
        <v>149.514985</v>
      </c>
      <c r="D42" s="315">
        <v>6.8492490000000004</v>
      </c>
      <c r="E42" s="315">
        <v>5.5724720000000003</v>
      </c>
      <c r="F42" s="314">
        <v>313.13604300000003</v>
      </c>
    </row>
    <row r="43" spans="1:6" hidden="1" x14ac:dyDescent="0.3">
      <c r="A43" s="316">
        <v>43922</v>
      </c>
      <c r="B43" s="315">
        <v>61.714727000000003</v>
      </c>
      <c r="C43" s="315">
        <v>47.235143999999998</v>
      </c>
      <c r="D43" s="315">
        <v>9.3678240000000006</v>
      </c>
      <c r="E43" s="315">
        <v>2.591942</v>
      </c>
      <c r="F43" s="314">
        <v>120.909637</v>
      </c>
    </row>
    <row r="44" spans="1:6" hidden="1" x14ac:dyDescent="0.3">
      <c r="A44" s="316">
        <v>43952</v>
      </c>
      <c r="B44" s="315">
        <v>48.923915000000001</v>
      </c>
      <c r="C44" s="315">
        <v>41.802812000000003</v>
      </c>
      <c r="D44" s="315">
        <v>3.0326080000000002</v>
      </c>
      <c r="E44" s="315">
        <v>2.9755039999999999</v>
      </c>
      <c r="F44" s="314">
        <v>96.734839000000008</v>
      </c>
    </row>
    <row r="45" spans="1:6" hidden="1" x14ac:dyDescent="0.3">
      <c r="A45" s="316">
        <v>43983</v>
      </c>
      <c r="B45" s="315">
        <v>126.34948199999999</v>
      </c>
      <c r="C45" s="315">
        <v>70.657686999999996</v>
      </c>
      <c r="D45" s="315">
        <v>6.087288</v>
      </c>
      <c r="E45" s="315">
        <v>12.943326000000001</v>
      </c>
      <c r="F45" s="314">
        <v>216.03778299999999</v>
      </c>
    </row>
    <row r="46" spans="1:6" hidden="1" x14ac:dyDescent="0.3">
      <c r="A46" s="316">
        <v>44013</v>
      </c>
      <c r="B46" s="315">
        <v>89.495275000000007</v>
      </c>
      <c r="C46" s="315">
        <v>77.571545</v>
      </c>
      <c r="D46" s="315">
        <v>8.7806890000000006</v>
      </c>
      <c r="E46" s="315">
        <v>6.6718080000000004</v>
      </c>
      <c r="F46" s="314">
        <v>182.519317</v>
      </c>
    </row>
    <row r="47" spans="1:6" hidden="1" x14ac:dyDescent="0.3">
      <c r="A47" s="316">
        <v>44044</v>
      </c>
      <c r="B47" s="315">
        <v>136.760446</v>
      </c>
      <c r="C47" s="315">
        <v>47.600582000000003</v>
      </c>
      <c r="D47" s="315">
        <v>7.9731259999999997</v>
      </c>
      <c r="E47" s="315">
        <v>5.4038620000000002</v>
      </c>
      <c r="F47" s="314">
        <v>197.73801600000002</v>
      </c>
    </row>
    <row r="48" spans="1:6" hidden="1" x14ac:dyDescent="0.3">
      <c r="A48" s="316">
        <v>44075</v>
      </c>
      <c r="B48" s="315">
        <v>128.87321399999999</v>
      </c>
      <c r="C48" s="315">
        <v>50.328643999999997</v>
      </c>
      <c r="D48" s="315">
        <v>6.651726</v>
      </c>
      <c r="E48" s="315">
        <v>6.4171690000000003</v>
      </c>
      <c r="F48" s="314">
        <v>192.27075299999998</v>
      </c>
    </row>
    <row r="49" spans="1:10" hidden="1" x14ac:dyDescent="0.3">
      <c r="A49" s="316">
        <v>44105</v>
      </c>
      <c r="B49" s="315">
        <v>121.926874</v>
      </c>
      <c r="C49" s="315">
        <v>61.394674999999999</v>
      </c>
      <c r="D49" s="315">
        <v>6.6406140000000002</v>
      </c>
      <c r="E49" s="315">
        <v>4.220485</v>
      </c>
      <c r="F49" s="314">
        <v>194.182648</v>
      </c>
    </row>
    <row r="50" spans="1:10" hidden="1" x14ac:dyDescent="0.3">
      <c r="A50" s="316">
        <v>44136</v>
      </c>
      <c r="B50" s="315">
        <v>106.734134</v>
      </c>
      <c r="C50" s="315">
        <v>78.026414000000003</v>
      </c>
      <c r="D50" s="315">
        <v>7.0158069999999997</v>
      </c>
      <c r="E50" s="315">
        <v>6.7306410000000003</v>
      </c>
      <c r="F50" s="314">
        <v>198.50699599999999</v>
      </c>
    </row>
    <row r="51" spans="1:10" ht="18.75" hidden="1" customHeight="1" x14ac:dyDescent="0.3">
      <c r="A51" s="316">
        <v>44166</v>
      </c>
      <c r="B51" s="315">
        <v>162.11498599999999</v>
      </c>
      <c r="C51" s="315">
        <v>93.233040000000003</v>
      </c>
      <c r="D51" s="315">
        <v>13.513557</v>
      </c>
      <c r="E51" s="315">
        <v>10.659587</v>
      </c>
      <c r="F51" s="314">
        <v>279.52116999999998</v>
      </c>
    </row>
    <row r="52" spans="1:10" hidden="1" x14ac:dyDescent="0.3">
      <c r="A52" s="316">
        <v>44197</v>
      </c>
      <c r="B52" s="315">
        <v>128.894372</v>
      </c>
      <c r="C52" s="315">
        <v>57.342188999999998</v>
      </c>
      <c r="D52" s="315">
        <v>6.0756500000000004</v>
      </c>
      <c r="E52" s="315">
        <v>4.7268949999999998</v>
      </c>
      <c r="F52" s="314">
        <v>197.039106</v>
      </c>
      <c r="G52" s="310"/>
      <c r="H52" s="310"/>
      <c r="I52" s="310"/>
    </row>
    <row r="53" spans="1:10" hidden="1" x14ac:dyDescent="0.3">
      <c r="A53" s="316">
        <v>44228</v>
      </c>
      <c r="B53" s="315">
        <v>108.091448</v>
      </c>
      <c r="C53" s="315">
        <v>67.442348999999993</v>
      </c>
      <c r="D53" s="315">
        <v>6.2298</v>
      </c>
      <c r="E53" s="315">
        <v>9.1550429999999992</v>
      </c>
      <c r="F53" s="314">
        <v>190.9</v>
      </c>
      <c r="G53" s="310"/>
      <c r="H53" s="310"/>
      <c r="I53" s="310"/>
    </row>
    <row r="54" spans="1:10" hidden="1" x14ac:dyDescent="0.3">
      <c r="A54" s="316">
        <v>44256</v>
      </c>
      <c r="B54" s="315">
        <v>101.13719500000001</v>
      </c>
      <c r="C54" s="315">
        <v>40.262965999999999</v>
      </c>
      <c r="D54" s="315">
        <v>9.0323609999999999</v>
      </c>
      <c r="E54" s="315">
        <v>5.6330330000000002</v>
      </c>
      <c r="F54" s="314">
        <v>155.96555499999999</v>
      </c>
      <c r="G54" s="310"/>
      <c r="H54" s="310"/>
      <c r="I54" s="310"/>
    </row>
    <row r="55" spans="1:10" hidden="1" x14ac:dyDescent="0.3">
      <c r="A55" s="316">
        <v>44287</v>
      </c>
      <c r="B55" s="315">
        <v>87.023555000000002</v>
      </c>
      <c r="C55" s="315">
        <v>49.665669999999999</v>
      </c>
      <c r="D55" s="315">
        <v>7.6208609999999997</v>
      </c>
      <c r="E55" s="315">
        <v>5.8443709999999998</v>
      </c>
      <c r="F55" s="314">
        <v>150.15445700000001</v>
      </c>
      <c r="G55" s="310"/>
      <c r="H55" s="310"/>
      <c r="I55" s="310"/>
    </row>
    <row r="56" spans="1:10" hidden="1" x14ac:dyDescent="0.3">
      <c r="A56" s="316">
        <v>44317</v>
      </c>
      <c r="B56" s="315">
        <v>96.265055000000004</v>
      </c>
      <c r="C56" s="315">
        <v>52.378472000000002</v>
      </c>
      <c r="D56" s="315">
        <v>7.1751110000000002</v>
      </c>
      <c r="E56" s="315">
        <v>6.1139539999999997</v>
      </c>
      <c r="F56" s="314">
        <v>161.932592</v>
      </c>
      <c r="G56" s="310"/>
      <c r="H56" s="310"/>
      <c r="I56" s="310"/>
    </row>
    <row r="57" spans="1:10" hidden="1" x14ac:dyDescent="0.3">
      <c r="A57" s="316">
        <v>44348</v>
      </c>
      <c r="B57" s="315">
        <v>161.94835399999999</v>
      </c>
      <c r="C57" s="315">
        <v>61.027521999999998</v>
      </c>
      <c r="D57" s="315">
        <v>11.064107</v>
      </c>
      <c r="E57" s="315">
        <v>11.513075000000001</v>
      </c>
      <c r="F57" s="314">
        <v>245.55305799999999</v>
      </c>
      <c r="G57" s="310"/>
      <c r="H57" s="310"/>
      <c r="I57" s="310"/>
      <c r="J57" s="326"/>
    </row>
    <row r="58" spans="1:10" hidden="1" x14ac:dyDescent="0.3">
      <c r="A58" s="316">
        <v>44378</v>
      </c>
      <c r="B58" s="315">
        <v>103.246818</v>
      </c>
      <c r="C58" s="315">
        <v>54.836334000000001</v>
      </c>
      <c r="D58" s="315">
        <v>7.7709989999999998</v>
      </c>
      <c r="E58" s="315">
        <v>6.3</v>
      </c>
      <c r="F58" s="314">
        <v>172.24292399999999</v>
      </c>
      <c r="G58" s="310"/>
      <c r="H58" s="310"/>
      <c r="I58" s="310"/>
    </row>
    <row r="59" spans="1:10" hidden="1" x14ac:dyDescent="0.3">
      <c r="A59" s="316">
        <v>44409</v>
      </c>
      <c r="B59" s="315">
        <v>97.872945999999999</v>
      </c>
      <c r="C59" s="315">
        <v>45.436883000000002</v>
      </c>
      <c r="D59" s="315">
        <v>6.1575280000000001</v>
      </c>
      <c r="E59" s="315">
        <v>4.809971</v>
      </c>
      <c r="F59" s="314">
        <v>154.27732800000001</v>
      </c>
      <c r="G59" s="310"/>
      <c r="H59" s="310"/>
      <c r="I59" s="310"/>
    </row>
    <row r="60" spans="1:10" hidden="1" x14ac:dyDescent="0.3">
      <c r="A60" s="316">
        <v>44440</v>
      </c>
      <c r="B60" s="315">
        <v>123.64778200000001</v>
      </c>
      <c r="C60" s="315">
        <v>49.766123</v>
      </c>
      <c r="D60" s="315">
        <v>7.6298440000000003</v>
      </c>
      <c r="E60" s="315">
        <v>9.5001904000000224</v>
      </c>
      <c r="F60" s="314">
        <v>190.46976699999999</v>
      </c>
      <c r="G60" s="310"/>
      <c r="H60" s="310"/>
      <c r="I60" s="310"/>
      <c r="J60" s="325"/>
    </row>
    <row r="61" spans="1:10" hidden="1" x14ac:dyDescent="0.3">
      <c r="A61" s="316">
        <v>44470</v>
      </c>
      <c r="B61" s="315">
        <v>115.86133</v>
      </c>
      <c r="C61" s="315">
        <v>60.614904000000003</v>
      </c>
      <c r="D61" s="315">
        <v>10.764386</v>
      </c>
      <c r="E61" s="315">
        <v>7.5493800000016504</v>
      </c>
      <c r="F61" s="314">
        <v>194.79000000000167</v>
      </c>
      <c r="G61" s="310"/>
      <c r="H61" s="310"/>
      <c r="I61" s="310"/>
      <c r="J61" s="325"/>
    </row>
    <row r="62" spans="1:10" hidden="1" x14ac:dyDescent="0.3">
      <c r="A62" s="316">
        <v>44501</v>
      </c>
      <c r="B62" s="315">
        <v>122.729677</v>
      </c>
      <c r="C62" s="315">
        <v>51.369808999999997</v>
      </c>
      <c r="D62" s="315">
        <v>10.778993</v>
      </c>
      <c r="E62" s="315">
        <v>8.5178840000000005</v>
      </c>
      <c r="F62" s="314">
        <v>193.39636300000001</v>
      </c>
      <c r="G62" s="310"/>
      <c r="H62" s="310"/>
      <c r="I62" s="310"/>
      <c r="J62" s="325"/>
    </row>
    <row r="63" spans="1:10" hidden="1" x14ac:dyDescent="0.3">
      <c r="A63" s="316">
        <v>44531</v>
      </c>
      <c r="B63" s="315">
        <v>126.984352</v>
      </c>
      <c r="C63" s="315">
        <v>96.237611000000001</v>
      </c>
      <c r="D63" s="315">
        <v>17.448221</v>
      </c>
      <c r="E63" s="315">
        <v>7.6259790000000001</v>
      </c>
      <c r="F63" s="314">
        <v>248.29616300000001</v>
      </c>
      <c r="G63" s="310"/>
      <c r="H63" s="310"/>
      <c r="I63" s="310"/>
      <c r="J63" s="325"/>
    </row>
    <row r="64" spans="1:10" hidden="1" x14ac:dyDescent="0.3">
      <c r="A64" s="316">
        <v>44562</v>
      </c>
      <c r="B64" s="315">
        <v>97.531287000000006</v>
      </c>
      <c r="C64" s="315">
        <v>66.066247000000004</v>
      </c>
      <c r="D64" s="315">
        <v>14.04757</v>
      </c>
      <c r="E64" s="315">
        <v>12.566481</v>
      </c>
      <c r="F64" s="314">
        <v>190.21158500000001</v>
      </c>
      <c r="G64" s="310"/>
      <c r="H64" s="310"/>
      <c r="I64" s="310"/>
      <c r="J64" s="325"/>
    </row>
    <row r="65" spans="1:10" hidden="1" x14ac:dyDescent="0.3">
      <c r="A65" s="316">
        <v>44593</v>
      </c>
      <c r="B65" s="315">
        <v>102.07568999999999</v>
      </c>
      <c r="C65" s="315">
        <v>77.529008000000005</v>
      </c>
      <c r="D65" s="315">
        <v>17.141582</v>
      </c>
      <c r="E65" s="315">
        <v>16.517201</v>
      </c>
      <c r="F65" s="314">
        <v>213.26348100000001</v>
      </c>
      <c r="G65" s="310"/>
      <c r="H65" s="310"/>
      <c r="I65" s="310"/>
      <c r="J65" s="325"/>
    </row>
    <row r="66" spans="1:10" hidden="1" x14ac:dyDescent="0.3">
      <c r="A66" s="316">
        <v>44621</v>
      </c>
      <c r="B66" s="315">
        <v>105.875135</v>
      </c>
      <c r="C66" s="315">
        <v>80.851168000000001</v>
      </c>
      <c r="D66" s="315">
        <v>11.659483</v>
      </c>
      <c r="E66" s="315">
        <v>12.606085</v>
      </c>
      <c r="F66" s="314">
        <v>210.991871</v>
      </c>
      <c r="G66" s="310"/>
      <c r="H66" s="310"/>
      <c r="I66" s="310"/>
      <c r="J66" s="325"/>
    </row>
    <row r="67" spans="1:10" hidden="1" x14ac:dyDescent="0.3">
      <c r="A67" s="316">
        <v>44652</v>
      </c>
      <c r="B67" s="315">
        <v>99.812546999999995</v>
      </c>
      <c r="C67" s="315">
        <v>50.780858000000002</v>
      </c>
      <c r="D67" s="315">
        <v>9.0568360000000006</v>
      </c>
      <c r="E67" s="315">
        <v>9.5397739999999995</v>
      </c>
      <c r="F67" s="314">
        <v>169.19001499999999</v>
      </c>
      <c r="G67" s="310"/>
      <c r="H67" s="310"/>
      <c r="I67" s="310"/>
      <c r="J67" s="325"/>
    </row>
    <row r="68" spans="1:10" hidden="1" x14ac:dyDescent="0.3">
      <c r="A68" s="316">
        <v>44682</v>
      </c>
      <c r="B68" s="315">
        <v>116.175118</v>
      </c>
      <c r="C68" s="315">
        <v>101.786401</v>
      </c>
      <c r="D68" s="315">
        <v>25.775981999999999</v>
      </c>
      <c r="E68" s="315">
        <v>6.8107030000000002</v>
      </c>
      <c r="F68" s="314">
        <v>250.548204</v>
      </c>
      <c r="G68" s="310"/>
      <c r="H68" s="310"/>
      <c r="I68" s="310"/>
      <c r="J68" s="325"/>
    </row>
    <row r="69" spans="1:10" ht="8.25" hidden="1" customHeight="1" x14ac:dyDescent="0.3">
      <c r="A69" s="316">
        <v>44713</v>
      </c>
      <c r="B69" s="315">
        <v>146.173011</v>
      </c>
      <c r="C69" s="315">
        <v>121.220918</v>
      </c>
      <c r="D69" s="315">
        <v>19.079224</v>
      </c>
      <c r="E69" s="315">
        <v>16.854355000000002</v>
      </c>
      <c r="F69" s="314">
        <v>303.32750800000002</v>
      </c>
      <c r="G69" s="310"/>
      <c r="H69" s="310"/>
      <c r="I69" s="310"/>
      <c r="J69" s="325"/>
    </row>
    <row r="70" spans="1:10" ht="18" hidden="1" customHeight="1" x14ac:dyDescent="0.3">
      <c r="A70" s="316">
        <v>44743</v>
      </c>
      <c r="B70" s="315">
        <v>111.186733</v>
      </c>
      <c r="C70" s="315">
        <v>67.956879000000001</v>
      </c>
      <c r="D70" s="315">
        <v>17.923096999999999</v>
      </c>
      <c r="E70" s="315">
        <v>7.221095</v>
      </c>
      <c r="F70" s="314">
        <v>204.28780399999999</v>
      </c>
      <c r="G70" s="310"/>
      <c r="H70" s="310"/>
      <c r="I70" s="310"/>
      <c r="J70" s="325"/>
    </row>
    <row r="71" spans="1:10" hidden="1" x14ac:dyDescent="0.3">
      <c r="A71" s="316">
        <v>44774</v>
      </c>
      <c r="B71" s="315">
        <v>101.41757</v>
      </c>
      <c r="C71" s="315">
        <v>92.708425000000005</v>
      </c>
      <c r="D71" s="315">
        <v>13.218165000000001</v>
      </c>
      <c r="E71" s="315">
        <v>7.9797539999999998</v>
      </c>
      <c r="F71" s="314">
        <v>215.323914</v>
      </c>
      <c r="G71" s="310"/>
      <c r="H71" s="310"/>
      <c r="I71" s="310"/>
      <c r="J71" s="325"/>
    </row>
    <row r="72" spans="1:10" x14ac:dyDescent="0.3">
      <c r="A72" s="316">
        <v>44805</v>
      </c>
      <c r="B72" s="315">
        <v>100.083185</v>
      </c>
      <c r="C72" s="315">
        <v>111.419319</v>
      </c>
      <c r="D72" s="315">
        <v>10.333954</v>
      </c>
      <c r="E72" s="315">
        <v>5.5465210000000003</v>
      </c>
      <c r="F72" s="314">
        <v>227.38297900000001</v>
      </c>
      <c r="G72" s="310"/>
      <c r="H72" s="310"/>
      <c r="I72" s="310"/>
      <c r="J72" s="325"/>
    </row>
    <row r="73" spans="1:10" x14ac:dyDescent="0.3">
      <c r="A73" s="316">
        <v>44835</v>
      </c>
      <c r="B73" s="315">
        <v>115.05891</v>
      </c>
      <c r="C73" s="315">
        <v>90.683789000000004</v>
      </c>
      <c r="D73" s="315">
        <v>15.278219999999999</v>
      </c>
      <c r="E73" s="315">
        <v>5.1960740000000003</v>
      </c>
      <c r="F73" s="314">
        <v>226.216993</v>
      </c>
      <c r="G73" s="310"/>
      <c r="H73" s="310"/>
      <c r="I73" s="310"/>
      <c r="J73" s="325"/>
    </row>
    <row r="74" spans="1:10" x14ac:dyDescent="0.3">
      <c r="A74" s="316">
        <v>44866</v>
      </c>
      <c r="B74" s="315">
        <v>97.298565999999994</v>
      </c>
      <c r="C74" s="315">
        <v>103.424943</v>
      </c>
      <c r="D74" s="315">
        <v>27.630566000000002</v>
      </c>
      <c r="E74" s="315">
        <v>9.1882579999999994</v>
      </c>
      <c r="F74" s="314">
        <v>237.54233300000001</v>
      </c>
      <c r="G74" s="310"/>
      <c r="H74" s="310"/>
      <c r="I74" s="310"/>
      <c r="J74" s="325"/>
    </row>
    <row r="75" spans="1:10" x14ac:dyDescent="0.3">
      <c r="A75" s="316">
        <v>44896</v>
      </c>
      <c r="B75" s="315">
        <v>157.12240199999999</v>
      </c>
      <c r="C75" s="315">
        <v>126.14903200000001</v>
      </c>
      <c r="D75" s="315">
        <v>20.693604000000001</v>
      </c>
      <c r="E75" s="315">
        <v>11.08273</v>
      </c>
      <c r="F75" s="314">
        <v>315.04776800000002</v>
      </c>
      <c r="G75" s="310"/>
      <c r="H75" s="310"/>
      <c r="I75" s="310"/>
      <c r="J75" s="325"/>
    </row>
    <row r="76" spans="1:10" x14ac:dyDescent="0.3">
      <c r="A76" s="316">
        <v>44927</v>
      </c>
      <c r="B76" s="315">
        <v>138.5</v>
      </c>
      <c r="C76" s="315">
        <v>141.9</v>
      </c>
      <c r="D76" s="315">
        <v>43.9</v>
      </c>
      <c r="E76" s="315">
        <v>6.8</v>
      </c>
      <c r="F76" s="314">
        <v>331.1</v>
      </c>
      <c r="G76" s="310"/>
      <c r="H76" s="310"/>
      <c r="I76" s="310"/>
      <c r="J76" s="325"/>
    </row>
    <row r="77" spans="1:10" x14ac:dyDescent="0.3">
      <c r="A77" s="316">
        <v>44958</v>
      </c>
      <c r="B77" s="315">
        <v>127</v>
      </c>
      <c r="C77" s="315">
        <v>137.4</v>
      </c>
      <c r="D77" s="315">
        <v>18.8</v>
      </c>
      <c r="E77" s="315">
        <v>9.1</v>
      </c>
      <c r="F77" s="314">
        <v>292.3</v>
      </c>
      <c r="G77" s="310"/>
      <c r="H77" s="310"/>
      <c r="I77" s="310"/>
      <c r="J77" s="325"/>
    </row>
    <row r="78" spans="1:10" x14ac:dyDescent="0.3">
      <c r="A78" s="316">
        <v>44986</v>
      </c>
      <c r="B78" s="315">
        <v>132.7869</v>
      </c>
      <c r="C78" s="315">
        <v>192.293612</v>
      </c>
      <c r="D78" s="315">
        <v>23.792525999999999</v>
      </c>
      <c r="E78" s="315">
        <v>9.3911499999999997</v>
      </c>
      <c r="F78" s="314">
        <v>358.26418799999999</v>
      </c>
      <c r="G78" s="310"/>
      <c r="H78" s="310"/>
      <c r="I78" s="310"/>
      <c r="J78" s="325"/>
    </row>
    <row r="79" spans="1:10" x14ac:dyDescent="0.3">
      <c r="A79" s="316">
        <v>45017</v>
      </c>
      <c r="B79" s="315">
        <v>125.4</v>
      </c>
      <c r="C79" s="315">
        <v>106.9</v>
      </c>
      <c r="D79" s="315">
        <v>20.100000000000001</v>
      </c>
      <c r="E79" s="315">
        <v>7.1</v>
      </c>
      <c r="F79" s="314">
        <v>259.5</v>
      </c>
      <c r="G79" s="310"/>
      <c r="H79" s="310"/>
      <c r="I79" s="310"/>
      <c r="J79" s="325"/>
    </row>
    <row r="80" spans="1:10" x14ac:dyDescent="0.3">
      <c r="A80" s="316">
        <v>45047</v>
      </c>
      <c r="B80" s="315">
        <v>118.8</v>
      </c>
      <c r="C80" s="315">
        <v>92.2</v>
      </c>
      <c r="D80" s="315">
        <v>35.799999999999997</v>
      </c>
      <c r="E80" s="315">
        <v>9.1</v>
      </c>
      <c r="F80" s="314">
        <v>255.9</v>
      </c>
      <c r="G80" s="310"/>
      <c r="H80" s="310"/>
      <c r="I80" s="310"/>
      <c r="J80" s="325"/>
    </row>
    <row r="81" spans="1:13" x14ac:dyDescent="0.3">
      <c r="A81" s="316">
        <v>45078</v>
      </c>
      <c r="B81" s="315">
        <v>137.4</v>
      </c>
      <c r="C81" s="315">
        <v>174.6</v>
      </c>
      <c r="D81" s="315">
        <v>36.700000000000003</v>
      </c>
      <c r="E81" s="315">
        <v>22</v>
      </c>
      <c r="F81" s="314">
        <v>370.7</v>
      </c>
      <c r="G81" s="310"/>
      <c r="H81" s="310"/>
      <c r="I81" s="310"/>
      <c r="J81" s="325"/>
    </row>
    <row r="82" spans="1:13" x14ac:dyDescent="0.3">
      <c r="A82" s="316">
        <v>45108</v>
      </c>
      <c r="B82" s="315">
        <v>130.564987</v>
      </c>
      <c r="C82" s="315">
        <v>130.38144600000001</v>
      </c>
      <c r="D82" s="315">
        <v>20.55742</v>
      </c>
      <c r="E82" s="315">
        <v>14.844051</v>
      </c>
      <c r="F82" s="314">
        <v>296.39999999999998</v>
      </c>
      <c r="G82" s="310"/>
      <c r="H82" s="310"/>
      <c r="I82" s="310"/>
      <c r="J82" s="310"/>
      <c r="K82" s="310"/>
      <c r="L82" s="310"/>
      <c r="M82" s="310"/>
    </row>
    <row r="83" spans="1:13" x14ac:dyDescent="0.3">
      <c r="A83" s="316">
        <v>45139</v>
      </c>
      <c r="B83" s="315">
        <v>126.945826</v>
      </c>
      <c r="C83" s="315">
        <v>90.704175000000006</v>
      </c>
      <c r="D83" s="315">
        <v>15.788650000000001</v>
      </c>
      <c r="E83" s="315">
        <v>6</v>
      </c>
      <c r="F83" s="314">
        <v>239.4</v>
      </c>
      <c r="G83" s="310"/>
      <c r="H83" s="324"/>
      <c r="I83" s="324"/>
      <c r="J83" s="324"/>
      <c r="K83" s="324"/>
      <c r="L83" s="324"/>
    </row>
    <row r="84" spans="1:13" ht="17.25" thickBot="1" x14ac:dyDescent="0.35">
      <c r="A84" s="313">
        <v>45170</v>
      </c>
      <c r="B84" s="312">
        <v>88.586484999999996</v>
      </c>
      <c r="C84" s="312">
        <v>72.503133000000005</v>
      </c>
      <c r="D84" s="312">
        <v>11.429411999999999</v>
      </c>
      <c r="E84" s="312">
        <v>6.4</v>
      </c>
      <c r="F84" s="311">
        <v>178.85817700000001</v>
      </c>
      <c r="G84" s="310"/>
      <c r="H84" s="324"/>
      <c r="I84" s="324"/>
      <c r="J84" s="324"/>
      <c r="K84" s="324"/>
      <c r="L84" s="324"/>
    </row>
    <row r="85" spans="1:13" ht="19.5" customHeight="1" thickTop="1" x14ac:dyDescent="0.3"/>
    <row r="86" spans="1:13" ht="18.75" x14ac:dyDescent="0.3">
      <c r="A86" s="323" t="s">
        <v>242</v>
      </c>
    </row>
    <row r="87" spans="1:13" ht="17.25" thickBot="1" x14ac:dyDescent="0.35">
      <c r="F87" s="322" t="s">
        <v>184</v>
      </c>
    </row>
    <row r="88" spans="1:13" ht="18" thickTop="1" thickBot="1" x14ac:dyDescent="0.35">
      <c r="A88" s="321"/>
      <c r="B88" s="320" t="s">
        <v>241</v>
      </c>
      <c r="C88" s="320" t="s">
        <v>240</v>
      </c>
      <c r="D88" s="320" t="s">
        <v>239</v>
      </c>
      <c r="E88" s="320" t="s">
        <v>238</v>
      </c>
      <c r="F88" s="320" t="s">
        <v>176</v>
      </c>
    </row>
    <row r="89" spans="1:13" hidden="1" x14ac:dyDescent="0.3">
      <c r="A89" s="316">
        <v>42736</v>
      </c>
      <c r="B89" s="315">
        <v>232.84009399999999</v>
      </c>
      <c r="C89" s="315">
        <v>39.449494000000001</v>
      </c>
      <c r="D89" s="315">
        <v>7.1307369999999999</v>
      </c>
      <c r="E89" s="315">
        <v>29.880987000000005</v>
      </c>
      <c r="F89" s="314">
        <v>309.301312</v>
      </c>
    </row>
    <row r="90" spans="1:13" hidden="1" x14ac:dyDescent="0.3">
      <c r="A90" s="316">
        <v>42767</v>
      </c>
      <c r="B90" s="315">
        <v>226.67495500000001</v>
      </c>
      <c r="C90" s="315">
        <v>53.829377999999998</v>
      </c>
      <c r="D90" s="315">
        <v>5.328449</v>
      </c>
      <c r="E90" s="315">
        <v>24.177177000000007</v>
      </c>
      <c r="F90" s="314">
        <v>310.00995900000004</v>
      </c>
    </row>
    <row r="91" spans="1:13" hidden="1" x14ac:dyDescent="0.3">
      <c r="A91" s="316">
        <v>42795</v>
      </c>
      <c r="B91" s="315">
        <v>269.84619400000003</v>
      </c>
      <c r="C91" s="315">
        <v>75.824877000000001</v>
      </c>
      <c r="D91" s="315">
        <v>15.975016999999999</v>
      </c>
      <c r="E91" s="315">
        <v>43.790329999999997</v>
      </c>
      <c r="F91" s="314">
        <v>405.436418</v>
      </c>
    </row>
    <row r="92" spans="1:13" hidden="1" x14ac:dyDescent="0.3">
      <c r="A92" s="316">
        <v>42826</v>
      </c>
      <c r="B92" s="315">
        <v>259.88544899999999</v>
      </c>
      <c r="C92" s="315">
        <v>61.118138999999999</v>
      </c>
      <c r="D92" s="315">
        <v>7.5908470000000001</v>
      </c>
      <c r="E92" s="315">
        <v>33.997551000000009</v>
      </c>
      <c r="F92" s="314">
        <v>362.59198599999996</v>
      </c>
    </row>
    <row r="93" spans="1:13" hidden="1" x14ac:dyDescent="0.3">
      <c r="A93" s="316">
        <v>42856</v>
      </c>
      <c r="B93" s="315">
        <v>289.61493899999999</v>
      </c>
      <c r="C93" s="315">
        <v>51.847866000000003</v>
      </c>
      <c r="D93" s="315">
        <v>11.355527</v>
      </c>
      <c r="E93" s="315">
        <v>37.867214999999995</v>
      </c>
      <c r="F93" s="314">
        <v>390.68554699999999</v>
      </c>
    </row>
    <row r="94" spans="1:13" hidden="1" x14ac:dyDescent="0.3">
      <c r="A94" s="316">
        <v>42887</v>
      </c>
      <c r="B94" s="315">
        <v>253.55466699999999</v>
      </c>
      <c r="C94" s="315">
        <v>59.990659000000001</v>
      </c>
      <c r="D94" s="315">
        <v>17.969121999999999</v>
      </c>
      <c r="E94" s="315">
        <v>53.356980999999998</v>
      </c>
      <c r="F94" s="314">
        <v>384.87142900000003</v>
      </c>
    </row>
    <row r="95" spans="1:13" hidden="1" x14ac:dyDescent="0.3">
      <c r="A95" s="316">
        <v>42917</v>
      </c>
      <c r="B95" s="315">
        <v>276.54206199999999</v>
      </c>
      <c r="C95" s="315">
        <v>62.868993000000003</v>
      </c>
      <c r="D95" s="315">
        <v>7.8254520000000003</v>
      </c>
      <c r="E95" s="315">
        <v>43.871718000000001</v>
      </c>
      <c r="F95" s="314">
        <v>391.10822499999995</v>
      </c>
    </row>
    <row r="96" spans="1:13" hidden="1" x14ac:dyDescent="0.3">
      <c r="A96" s="316">
        <v>42948</v>
      </c>
      <c r="B96" s="315">
        <v>304.52462700000001</v>
      </c>
      <c r="C96" s="315">
        <v>72.811452000000003</v>
      </c>
      <c r="D96" s="315">
        <v>13.622331000000001</v>
      </c>
      <c r="E96" s="315">
        <v>39.179689999999994</v>
      </c>
      <c r="F96" s="314">
        <v>430.13810000000001</v>
      </c>
    </row>
    <row r="97" spans="1:6" hidden="1" x14ac:dyDescent="0.3">
      <c r="A97" s="316">
        <v>42979</v>
      </c>
      <c r="B97" s="315">
        <v>223.844401</v>
      </c>
      <c r="C97" s="315">
        <v>56.833683999999998</v>
      </c>
      <c r="D97" s="315">
        <v>23.617999999999999</v>
      </c>
      <c r="E97" s="315">
        <v>38.162030999999999</v>
      </c>
      <c r="F97" s="314">
        <v>342.45811600000002</v>
      </c>
    </row>
    <row r="98" spans="1:6" hidden="1" x14ac:dyDescent="0.3">
      <c r="A98" s="316">
        <v>43009</v>
      </c>
      <c r="B98" s="315">
        <v>229.63985500000001</v>
      </c>
      <c r="C98" s="315">
        <v>70.042503999999994</v>
      </c>
      <c r="D98" s="315">
        <v>9.8876899999999992</v>
      </c>
      <c r="E98" s="315">
        <v>37.228288000000006</v>
      </c>
      <c r="F98" s="314">
        <v>346.79833700000006</v>
      </c>
    </row>
    <row r="99" spans="1:6" hidden="1" x14ac:dyDescent="0.3">
      <c r="A99" s="316">
        <v>43040</v>
      </c>
      <c r="B99" s="315">
        <v>230.37339299999999</v>
      </c>
      <c r="C99" s="315">
        <v>102.877647</v>
      </c>
      <c r="D99" s="315">
        <v>8.7727459999999997</v>
      </c>
      <c r="E99" s="315">
        <v>31.572137999999995</v>
      </c>
      <c r="F99" s="314">
        <v>373.59592399999997</v>
      </c>
    </row>
    <row r="100" spans="1:6" hidden="1" x14ac:dyDescent="0.3">
      <c r="A100" s="316">
        <v>43070</v>
      </c>
      <c r="B100" s="315">
        <v>239.39757299999999</v>
      </c>
      <c r="C100" s="315">
        <v>97.079510999999997</v>
      </c>
      <c r="D100" s="315">
        <v>11.683376000000001</v>
      </c>
      <c r="E100" s="315">
        <v>27.722265000000007</v>
      </c>
      <c r="F100" s="314">
        <v>375.88272499999999</v>
      </c>
    </row>
    <row r="101" spans="1:6" hidden="1" x14ac:dyDescent="0.3">
      <c r="A101" s="319">
        <v>43101</v>
      </c>
      <c r="B101" s="318">
        <v>276.03976999999998</v>
      </c>
      <c r="C101" s="318">
        <v>53.969467999999999</v>
      </c>
      <c r="D101" s="318">
        <v>18.685690999999998</v>
      </c>
      <c r="E101" s="318">
        <v>29.77983900000001</v>
      </c>
      <c r="F101" s="317">
        <v>378.47476800000004</v>
      </c>
    </row>
    <row r="102" spans="1:6" hidden="1" x14ac:dyDescent="0.3">
      <c r="A102" s="316">
        <v>43132</v>
      </c>
      <c r="B102" s="315">
        <v>203.959622</v>
      </c>
      <c r="C102" s="315">
        <v>67.724095000000005</v>
      </c>
      <c r="D102" s="315">
        <v>9.9935989999999997</v>
      </c>
      <c r="E102" s="315">
        <v>30.908878999999999</v>
      </c>
      <c r="F102" s="314">
        <v>312.58619500000003</v>
      </c>
    </row>
    <row r="103" spans="1:6" hidden="1" x14ac:dyDescent="0.3">
      <c r="A103" s="316">
        <v>43160</v>
      </c>
      <c r="B103" s="315">
        <v>202.153876</v>
      </c>
      <c r="C103" s="315">
        <v>69.712320000000005</v>
      </c>
      <c r="D103" s="315">
        <v>36.895088999999999</v>
      </c>
      <c r="E103" s="315">
        <v>37.854708000000002</v>
      </c>
      <c r="F103" s="314">
        <v>346.615993</v>
      </c>
    </row>
    <row r="104" spans="1:6" hidden="1" x14ac:dyDescent="0.3">
      <c r="A104" s="316">
        <v>43191</v>
      </c>
      <c r="B104" s="315">
        <v>175.99469199999999</v>
      </c>
      <c r="C104" s="315">
        <v>73.353504999999998</v>
      </c>
      <c r="D104" s="315">
        <v>9.4582719999999991</v>
      </c>
      <c r="E104" s="315">
        <v>35.273654999999998</v>
      </c>
      <c r="F104" s="314">
        <v>294.08012400000001</v>
      </c>
    </row>
    <row r="105" spans="1:6" hidden="1" x14ac:dyDescent="0.3">
      <c r="A105" s="316">
        <v>43221</v>
      </c>
      <c r="B105" s="315">
        <v>239.26319699999999</v>
      </c>
      <c r="C105" s="315">
        <v>101.169685</v>
      </c>
      <c r="D105" s="315">
        <v>9.2102140000000006</v>
      </c>
      <c r="E105" s="315">
        <v>36.181494999999998</v>
      </c>
      <c r="F105" s="314">
        <v>385.824591</v>
      </c>
    </row>
    <row r="106" spans="1:6" hidden="1" x14ac:dyDescent="0.3">
      <c r="A106" s="316">
        <v>43252</v>
      </c>
      <c r="B106" s="315">
        <v>244.87490099999999</v>
      </c>
      <c r="C106" s="315">
        <v>66.456429</v>
      </c>
      <c r="D106" s="315">
        <v>13.102838999999999</v>
      </c>
      <c r="E106" s="315">
        <v>42.730958999999999</v>
      </c>
      <c r="F106" s="314">
        <v>367.16512799999998</v>
      </c>
    </row>
    <row r="107" spans="1:6" hidden="1" x14ac:dyDescent="0.3">
      <c r="A107" s="316">
        <v>43282</v>
      </c>
      <c r="B107" s="315">
        <v>268.98317500000002</v>
      </c>
      <c r="C107" s="315">
        <v>70.967664999999997</v>
      </c>
      <c r="D107" s="315">
        <v>12.001822000000001</v>
      </c>
      <c r="E107" s="315">
        <v>34.284165000000002</v>
      </c>
      <c r="F107" s="314">
        <v>386.23682700000006</v>
      </c>
    </row>
    <row r="108" spans="1:6" hidden="1" x14ac:dyDescent="0.3">
      <c r="A108" s="316">
        <v>43313</v>
      </c>
      <c r="B108" s="315">
        <v>280.07678399999998</v>
      </c>
      <c r="C108" s="315">
        <v>69.800085999999993</v>
      </c>
      <c r="D108" s="315">
        <v>19.413848999999999</v>
      </c>
      <c r="E108" s="315">
        <v>44.174278000000001</v>
      </c>
      <c r="F108" s="314">
        <v>413.46499699999998</v>
      </c>
    </row>
    <row r="109" spans="1:6" hidden="1" x14ac:dyDescent="0.3">
      <c r="A109" s="316">
        <v>43344</v>
      </c>
      <c r="B109" s="315">
        <v>229.104073</v>
      </c>
      <c r="C109" s="315">
        <v>75.174757999999997</v>
      </c>
      <c r="D109" s="315">
        <v>9.319407</v>
      </c>
      <c r="E109" s="315">
        <v>35.776114</v>
      </c>
      <c r="F109" s="314">
        <v>349.37435199999999</v>
      </c>
    </row>
    <row r="110" spans="1:6" hidden="1" x14ac:dyDescent="0.3">
      <c r="A110" s="316">
        <v>43374</v>
      </c>
      <c r="B110" s="315">
        <v>232.88340199999999</v>
      </c>
      <c r="C110" s="315">
        <v>99.286843000000005</v>
      </c>
      <c r="D110" s="315">
        <v>11.396564</v>
      </c>
      <c r="E110" s="315">
        <v>34.939860000000003</v>
      </c>
      <c r="F110" s="314">
        <v>378.50666899999999</v>
      </c>
    </row>
    <row r="111" spans="1:6" hidden="1" x14ac:dyDescent="0.3">
      <c r="A111" s="316">
        <v>43405</v>
      </c>
      <c r="B111" s="315">
        <v>239.50547900000001</v>
      </c>
      <c r="C111" s="315">
        <v>91.631730000000005</v>
      </c>
      <c r="D111" s="315">
        <v>6.9769920000000001</v>
      </c>
      <c r="E111" s="315">
        <v>33.308155999999997</v>
      </c>
      <c r="F111" s="314">
        <v>371.42235699999998</v>
      </c>
    </row>
    <row r="112" spans="1:6" hidden="1" x14ac:dyDescent="0.3">
      <c r="A112" s="316">
        <v>43435</v>
      </c>
      <c r="B112" s="315">
        <v>272.59127999999998</v>
      </c>
      <c r="C112" s="315">
        <v>71.706374999999994</v>
      </c>
      <c r="D112" s="315">
        <v>8.8965169999999993</v>
      </c>
      <c r="E112" s="315">
        <v>33.803832</v>
      </c>
      <c r="F112" s="314">
        <v>386.99800399999998</v>
      </c>
    </row>
    <row r="113" spans="1:6" hidden="1" x14ac:dyDescent="0.3">
      <c r="A113" s="316">
        <v>43466</v>
      </c>
      <c r="B113" s="315">
        <v>303.532265</v>
      </c>
      <c r="C113" s="315">
        <v>75.319193999999996</v>
      </c>
      <c r="D113" s="315">
        <v>10.041487</v>
      </c>
      <c r="E113" s="315">
        <v>34.925192000000003</v>
      </c>
      <c r="F113" s="314">
        <v>423.81813799999998</v>
      </c>
    </row>
    <row r="114" spans="1:6" hidden="1" x14ac:dyDescent="0.3">
      <c r="A114" s="316">
        <v>43497</v>
      </c>
      <c r="B114" s="315">
        <v>237.718187</v>
      </c>
      <c r="C114" s="315">
        <v>66.561183</v>
      </c>
      <c r="D114" s="315">
        <v>9.8629470000000001</v>
      </c>
      <c r="E114" s="315">
        <v>37.528931</v>
      </c>
      <c r="F114" s="314">
        <v>351.67124799999999</v>
      </c>
    </row>
    <row r="115" spans="1:6" hidden="1" x14ac:dyDescent="0.3">
      <c r="A115" s="316">
        <v>43525</v>
      </c>
      <c r="B115" s="315">
        <v>196.10418000000001</v>
      </c>
      <c r="C115" s="315">
        <v>77.760188999999997</v>
      </c>
      <c r="D115" s="315">
        <v>8.2067169999999994</v>
      </c>
      <c r="E115" s="315">
        <v>35.031973999999998</v>
      </c>
      <c r="F115" s="314">
        <v>317.10306000000003</v>
      </c>
    </row>
    <row r="116" spans="1:6" hidden="1" x14ac:dyDescent="0.3">
      <c r="A116" s="316">
        <v>43556</v>
      </c>
      <c r="B116" s="315">
        <v>230.63819000000001</v>
      </c>
      <c r="C116" s="315">
        <v>127.887473</v>
      </c>
      <c r="D116" s="315">
        <v>11.147404</v>
      </c>
      <c r="E116" s="315">
        <v>36.399636999999998</v>
      </c>
      <c r="F116" s="314">
        <v>406.07270399999999</v>
      </c>
    </row>
    <row r="117" spans="1:6" hidden="1" x14ac:dyDescent="0.3">
      <c r="A117" s="316">
        <v>43586</v>
      </c>
      <c r="B117" s="315">
        <v>277.991603</v>
      </c>
      <c r="C117" s="315">
        <v>63.813343000000003</v>
      </c>
      <c r="D117" s="315">
        <v>12.042906</v>
      </c>
      <c r="E117" s="315">
        <v>35.058844000000001</v>
      </c>
      <c r="F117" s="314">
        <v>388.90669600000001</v>
      </c>
    </row>
    <row r="118" spans="1:6" hidden="1" x14ac:dyDescent="0.3">
      <c r="A118" s="316">
        <v>43617</v>
      </c>
      <c r="B118" s="315">
        <v>248.19874300000001</v>
      </c>
      <c r="C118" s="315">
        <v>68.735696000000004</v>
      </c>
      <c r="D118" s="315">
        <v>12.627808999999999</v>
      </c>
      <c r="E118" s="315">
        <v>40.272264</v>
      </c>
      <c r="F118" s="314">
        <v>369.83451200000002</v>
      </c>
    </row>
    <row r="119" spans="1:6" hidden="1" x14ac:dyDescent="0.3">
      <c r="A119" s="316">
        <v>43647</v>
      </c>
      <c r="B119" s="315">
        <v>225.71867800000001</v>
      </c>
      <c r="C119" s="315">
        <v>90.078790999999995</v>
      </c>
      <c r="D119" s="315">
        <v>21.497747</v>
      </c>
      <c r="E119" s="315">
        <v>38.332016000000003</v>
      </c>
      <c r="F119" s="314">
        <v>375.62723199999999</v>
      </c>
    </row>
    <row r="120" spans="1:6" hidden="1" x14ac:dyDescent="0.3">
      <c r="A120" s="316">
        <v>43678</v>
      </c>
      <c r="B120" s="315">
        <v>313.26755000000003</v>
      </c>
      <c r="C120" s="315">
        <v>76.748981999999998</v>
      </c>
      <c r="D120" s="315">
        <v>18.314587</v>
      </c>
      <c r="E120" s="315">
        <v>45.239902999999998</v>
      </c>
      <c r="F120" s="314">
        <v>453.57102200000008</v>
      </c>
    </row>
    <row r="121" spans="1:6" hidden="1" x14ac:dyDescent="0.3">
      <c r="A121" s="316">
        <v>43709</v>
      </c>
      <c r="B121" s="315">
        <v>237.57028700000001</v>
      </c>
      <c r="C121" s="315">
        <v>73.094210000000004</v>
      </c>
      <c r="D121" s="315">
        <v>11.037868</v>
      </c>
      <c r="E121" s="315">
        <v>36.332877000000003</v>
      </c>
      <c r="F121" s="314">
        <v>358.03524199999998</v>
      </c>
    </row>
    <row r="122" spans="1:6" hidden="1" x14ac:dyDescent="0.3">
      <c r="A122" s="316">
        <v>43739</v>
      </c>
      <c r="B122" s="315">
        <v>284.247885</v>
      </c>
      <c r="C122" s="315">
        <v>63.423949</v>
      </c>
      <c r="D122" s="315">
        <v>12.434461000000001</v>
      </c>
      <c r="E122" s="315">
        <v>40.887667999999998</v>
      </c>
      <c r="F122" s="314">
        <v>400.99396300000001</v>
      </c>
    </row>
    <row r="123" spans="1:6" hidden="1" x14ac:dyDescent="0.3">
      <c r="A123" s="316">
        <v>43770</v>
      </c>
      <c r="B123" s="315">
        <v>221.55847199999999</v>
      </c>
      <c r="C123" s="315">
        <v>79.661023</v>
      </c>
      <c r="D123" s="315">
        <v>8.4149840000000005</v>
      </c>
      <c r="E123" s="315">
        <v>27.278126</v>
      </c>
      <c r="F123" s="314">
        <v>336.91260499999999</v>
      </c>
    </row>
    <row r="124" spans="1:6" hidden="1" x14ac:dyDescent="0.3">
      <c r="A124" s="316">
        <v>43800</v>
      </c>
      <c r="B124" s="315">
        <v>270.23328500000002</v>
      </c>
      <c r="C124" s="315">
        <v>83.147076999999996</v>
      </c>
      <c r="D124" s="315">
        <v>10.63932</v>
      </c>
      <c r="E124" s="315">
        <v>33.302286000000002</v>
      </c>
      <c r="F124" s="314">
        <v>397.32196799999997</v>
      </c>
    </row>
    <row r="125" spans="1:6" hidden="1" x14ac:dyDescent="0.3">
      <c r="A125" s="316">
        <v>43831</v>
      </c>
      <c r="B125" s="315">
        <v>239.48152899999999</v>
      </c>
      <c r="C125" s="315">
        <v>102.12904</v>
      </c>
      <c r="D125" s="315">
        <v>8.1191790000000008</v>
      </c>
      <c r="E125" s="315">
        <v>38.744025000000001</v>
      </c>
      <c r="F125" s="314">
        <v>388.47377299999999</v>
      </c>
    </row>
    <row r="126" spans="1:6" hidden="1" x14ac:dyDescent="0.3">
      <c r="A126" s="316">
        <v>43862</v>
      </c>
      <c r="B126" s="315">
        <v>235.48427000000001</v>
      </c>
      <c r="C126" s="315">
        <v>71.485218000000003</v>
      </c>
      <c r="D126" s="315">
        <v>54.754061</v>
      </c>
      <c r="E126" s="315">
        <v>37.038384000000001</v>
      </c>
      <c r="F126" s="314">
        <v>398.761933</v>
      </c>
    </row>
    <row r="127" spans="1:6" hidden="1" x14ac:dyDescent="0.3">
      <c r="A127" s="316">
        <v>43891</v>
      </c>
      <c r="B127" s="315">
        <v>216.58340799999999</v>
      </c>
      <c r="C127" s="315">
        <v>55.798383000000001</v>
      </c>
      <c r="D127" s="315">
        <v>6.4700319999999998</v>
      </c>
      <c r="E127" s="315">
        <v>36.351478999999998</v>
      </c>
      <c r="F127" s="314">
        <v>315.20330200000001</v>
      </c>
    </row>
    <row r="128" spans="1:6" hidden="1" x14ac:dyDescent="0.3">
      <c r="A128" s="316">
        <v>43922</v>
      </c>
      <c r="B128" s="315">
        <v>130.00830400000001</v>
      </c>
      <c r="C128" s="315">
        <v>44.040267999999998</v>
      </c>
      <c r="D128" s="315">
        <v>4.6301420000000002</v>
      </c>
      <c r="E128" s="315">
        <v>20.35764</v>
      </c>
      <c r="F128" s="314">
        <v>199.03635400000002</v>
      </c>
    </row>
    <row r="129" spans="1:11" hidden="1" x14ac:dyDescent="0.3">
      <c r="A129" s="316">
        <v>43952</v>
      </c>
      <c r="B129" s="315">
        <v>122.826075</v>
      </c>
      <c r="C129" s="315">
        <v>42.192487999999997</v>
      </c>
      <c r="D129" s="315">
        <v>6.7991999999999999</v>
      </c>
      <c r="E129" s="315">
        <v>19.624096999999999</v>
      </c>
      <c r="F129" s="314">
        <v>191.44186000000002</v>
      </c>
    </row>
    <row r="130" spans="1:11" hidden="1" x14ac:dyDescent="0.3">
      <c r="A130" s="316">
        <v>43983</v>
      </c>
      <c r="B130" s="315">
        <v>150.280609</v>
      </c>
      <c r="C130" s="315">
        <v>57.934928999999997</v>
      </c>
      <c r="D130" s="315">
        <v>9.8985430000000001</v>
      </c>
      <c r="E130" s="315">
        <v>25.468888</v>
      </c>
      <c r="F130" s="314">
        <v>243.58296899999996</v>
      </c>
    </row>
    <row r="131" spans="1:11" hidden="1" x14ac:dyDescent="0.3">
      <c r="A131" s="316">
        <v>44013</v>
      </c>
      <c r="B131" s="315">
        <v>171.10065900000001</v>
      </c>
      <c r="C131" s="315">
        <v>62.231839000000001</v>
      </c>
      <c r="D131" s="315">
        <v>8.0274099999999997</v>
      </c>
      <c r="E131" s="315">
        <v>26.65371</v>
      </c>
      <c r="F131" s="314">
        <v>268.01361800000001</v>
      </c>
    </row>
    <row r="132" spans="1:11" hidden="1" x14ac:dyDescent="0.3">
      <c r="A132" s="316">
        <v>44044</v>
      </c>
      <c r="B132" s="315">
        <v>319.52940100000001</v>
      </c>
      <c r="C132" s="315">
        <v>73.433158000000006</v>
      </c>
      <c r="D132" s="315">
        <v>9.1668950000000002</v>
      </c>
      <c r="E132" s="315">
        <v>33.323593000000002</v>
      </c>
      <c r="F132" s="314">
        <v>435.45304700000003</v>
      </c>
    </row>
    <row r="133" spans="1:11" hidden="1" x14ac:dyDescent="0.3">
      <c r="A133" s="316">
        <v>44075</v>
      </c>
      <c r="B133" s="315">
        <v>178.95326600000001</v>
      </c>
      <c r="C133" s="315">
        <v>100.257238</v>
      </c>
      <c r="D133" s="315">
        <v>11.829174999999999</v>
      </c>
      <c r="E133" s="315">
        <v>24.255016000000001</v>
      </c>
      <c r="F133" s="314">
        <v>315.29469500000005</v>
      </c>
    </row>
    <row r="134" spans="1:11" hidden="1" x14ac:dyDescent="0.3">
      <c r="A134" s="316">
        <v>44105</v>
      </c>
      <c r="B134" s="315">
        <v>183.60753700000001</v>
      </c>
      <c r="C134" s="315">
        <v>55.285085000000002</v>
      </c>
      <c r="D134" s="315">
        <v>5.6543729999999996</v>
      </c>
      <c r="E134" s="315">
        <v>23.116522</v>
      </c>
      <c r="F134" s="314">
        <v>267.73050699999999</v>
      </c>
    </row>
    <row r="135" spans="1:11" hidden="1" x14ac:dyDescent="0.3">
      <c r="A135" s="316">
        <v>44136</v>
      </c>
      <c r="B135" s="315">
        <v>191.086972</v>
      </c>
      <c r="C135" s="315">
        <v>59.222841000000003</v>
      </c>
      <c r="D135" s="315">
        <v>8.4513060000000007</v>
      </c>
      <c r="E135" s="315">
        <v>32.276119000000001</v>
      </c>
      <c r="F135" s="314">
        <v>291.037238</v>
      </c>
    </row>
    <row r="136" spans="1:11" hidden="1" x14ac:dyDescent="0.3">
      <c r="A136" s="316">
        <v>44166</v>
      </c>
      <c r="B136" s="315">
        <v>224.268126</v>
      </c>
      <c r="C136" s="315">
        <v>67.174497000000002</v>
      </c>
      <c r="D136" s="315">
        <v>8.6459930000000007</v>
      </c>
      <c r="E136" s="315">
        <v>28.745550000000001</v>
      </c>
      <c r="F136" s="314">
        <v>328.83416599999998</v>
      </c>
    </row>
    <row r="137" spans="1:11" hidden="1" x14ac:dyDescent="0.3">
      <c r="A137" s="316">
        <v>44197</v>
      </c>
      <c r="B137" s="315">
        <v>168.632274</v>
      </c>
      <c r="C137" s="315">
        <v>79.961414000000005</v>
      </c>
      <c r="D137" s="315">
        <v>5.4970939999999997</v>
      </c>
      <c r="E137" s="315">
        <v>26.825990999999998</v>
      </c>
      <c r="F137" s="314">
        <v>280.91677299999998</v>
      </c>
      <c r="G137" s="310"/>
      <c r="H137" s="310"/>
      <c r="I137" s="310"/>
      <c r="J137" s="310"/>
      <c r="K137" s="310"/>
    </row>
    <row r="138" spans="1:11" hidden="1" x14ac:dyDescent="0.3">
      <c r="A138" s="316">
        <v>44228</v>
      </c>
      <c r="B138" s="315">
        <v>169.48578599999999</v>
      </c>
      <c r="C138" s="315">
        <v>71.126624000000007</v>
      </c>
      <c r="D138" s="315">
        <v>7.9932439999999998</v>
      </c>
      <c r="E138" s="315">
        <v>33.064444999999999</v>
      </c>
      <c r="F138" s="314">
        <v>281.7</v>
      </c>
      <c r="G138" s="310"/>
      <c r="H138" s="310"/>
      <c r="I138" s="310"/>
      <c r="J138" s="310"/>
      <c r="K138" s="310"/>
    </row>
    <row r="139" spans="1:11" hidden="1" x14ac:dyDescent="0.3">
      <c r="A139" s="316">
        <v>44256</v>
      </c>
      <c r="B139" s="315">
        <v>142.00661700000001</v>
      </c>
      <c r="C139" s="315">
        <v>74.491876000000005</v>
      </c>
      <c r="D139" s="315">
        <v>6.829682</v>
      </c>
      <c r="E139" s="315">
        <v>25.001207000000001</v>
      </c>
      <c r="F139" s="314">
        <v>248.32938200000001</v>
      </c>
      <c r="G139" s="310"/>
      <c r="H139" s="310"/>
      <c r="I139" s="310"/>
      <c r="J139" s="310"/>
      <c r="K139" s="310"/>
    </row>
    <row r="140" spans="1:11" hidden="1" x14ac:dyDescent="0.3">
      <c r="A140" s="316">
        <v>44287</v>
      </c>
      <c r="B140" s="315">
        <v>161.01977099999999</v>
      </c>
      <c r="C140" s="315">
        <v>42.693876000000003</v>
      </c>
      <c r="D140" s="315">
        <v>6.0050610000000004</v>
      </c>
      <c r="E140" s="315">
        <v>22.196490000000001</v>
      </c>
      <c r="F140" s="314">
        <v>231.915198</v>
      </c>
      <c r="G140" s="310"/>
      <c r="H140" s="310"/>
      <c r="I140" s="310"/>
      <c r="J140" s="310"/>
      <c r="K140" s="310"/>
    </row>
    <row r="141" spans="1:11" hidden="1" x14ac:dyDescent="0.3">
      <c r="A141" s="316">
        <v>44317</v>
      </c>
      <c r="B141" s="315">
        <v>150.78252699999999</v>
      </c>
      <c r="C141" s="315">
        <v>42.213121999999998</v>
      </c>
      <c r="D141" s="315">
        <v>21.789214999999999</v>
      </c>
      <c r="E141" s="315">
        <v>26.949366000000001</v>
      </c>
      <c r="F141" s="314">
        <v>241.73422999999997</v>
      </c>
      <c r="G141" s="310"/>
      <c r="H141" s="310"/>
      <c r="I141" s="310"/>
      <c r="J141" s="310"/>
      <c r="K141" s="310"/>
    </row>
    <row r="142" spans="1:11" hidden="1" x14ac:dyDescent="0.3">
      <c r="A142" s="316">
        <v>44348</v>
      </c>
      <c r="B142" s="315">
        <v>162.27600000000001</v>
      </c>
      <c r="C142" s="315">
        <v>63.416823000000001</v>
      </c>
      <c r="D142" s="315">
        <v>16.990724</v>
      </c>
      <c r="E142" s="315">
        <v>25.195048</v>
      </c>
      <c r="F142" s="314">
        <v>267.87859500000002</v>
      </c>
      <c r="G142" s="310"/>
      <c r="H142" s="310"/>
      <c r="I142" s="310"/>
      <c r="J142" s="310"/>
      <c r="K142" s="310"/>
    </row>
    <row r="143" spans="1:11" hidden="1" x14ac:dyDescent="0.3">
      <c r="A143" s="316">
        <v>44378</v>
      </c>
      <c r="B143" s="315">
        <v>169.630866</v>
      </c>
      <c r="C143" s="315">
        <v>54.187372000000003</v>
      </c>
      <c r="D143" s="315">
        <v>9.1654450000000001</v>
      </c>
      <c r="E143" s="315">
        <v>25.237717</v>
      </c>
      <c r="F143" s="314">
        <v>258.22140000000002</v>
      </c>
      <c r="G143" s="310"/>
      <c r="H143" s="310"/>
      <c r="I143" s="310"/>
      <c r="J143" s="310"/>
      <c r="K143" s="310"/>
    </row>
    <row r="144" spans="1:11" hidden="1" x14ac:dyDescent="0.3">
      <c r="A144" s="316">
        <v>44409</v>
      </c>
      <c r="B144" s="315">
        <v>153.781904</v>
      </c>
      <c r="C144" s="315">
        <v>45.204614999999997</v>
      </c>
      <c r="D144" s="315">
        <v>10.930372</v>
      </c>
      <c r="E144" s="315">
        <v>25.759596999999999</v>
      </c>
      <c r="F144" s="314">
        <v>235.67648800000001</v>
      </c>
      <c r="G144" s="310"/>
      <c r="H144" s="310"/>
      <c r="I144" s="310"/>
      <c r="J144" s="310"/>
      <c r="K144" s="310"/>
    </row>
    <row r="145" spans="1:11" hidden="1" x14ac:dyDescent="0.3">
      <c r="A145" s="316">
        <v>44440</v>
      </c>
      <c r="B145" s="315">
        <v>148.564809</v>
      </c>
      <c r="C145" s="315">
        <v>60.365968000000002</v>
      </c>
      <c r="D145" s="315">
        <v>7.5178409999999998</v>
      </c>
      <c r="E145" s="315">
        <v>23.700000000001019</v>
      </c>
      <c r="F145" s="314">
        <v>240.244956</v>
      </c>
      <c r="G145" s="310"/>
      <c r="H145" s="310"/>
      <c r="I145" s="310"/>
      <c r="J145" s="310"/>
      <c r="K145" s="310"/>
    </row>
    <row r="146" spans="1:11" hidden="1" x14ac:dyDescent="0.3">
      <c r="A146" s="316">
        <v>44470</v>
      </c>
      <c r="B146" s="315">
        <v>184.30607699999999</v>
      </c>
      <c r="C146" s="315">
        <v>70.821133000000003</v>
      </c>
      <c r="D146" s="315">
        <v>7.6642479999999997</v>
      </c>
      <c r="E146" s="315">
        <v>26.546343</v>
      </c>
      <c r="F146" s="314">
        <v>289.33780100000001</v>
      </c>
      <c r="G146" s="310"/>
      <c r="H146" s="310"/>
      <c r="I146" s="310"/>
      <c r="J146" s="310"/>
      <c r="K146" s="310"/>
    </row>
    <row r="147" spans="1:11" hidden="1" x14ac:dyDescent="0.3">
      <c r="A147" s="316">
        <v>44501</v>
      </c>
      <c r="B147" s="315">
        <v>148.49675999999999</v>
      </c>
      <c r="C147" s="315">
        <v>61.965730999999998</v>
      </c>
      <c r="D147" s="315">
        <v>7.9170030000000002</v>
      </c>
      <c r="E147" s="315">
        <v>26.170660999999999</v>
      </c>
      <c r="F147" s="314">
        <v>244.55015499999999</v>
      </c>
      <c r="G147" s="310"/>
      <c r="H147" s="310"/>
      <c r="I147" s="310"/>
      <c r="J147" s="310"/>
      <c r="K147" s="310"/>
    </row>
    <row r="148" spans="1:11" hidden="1" x14ac:dyDescent="0.3">
      <c r="A148" s="316">
        <v>44531</v>
      </c>
      <c r="B148" s="315">
        <v>177.390342</v>
      </c>
      <c r="C148" s="315">
        <v>78.508438999999996</v>
      </c>
      <c r="D148" s="315">
        <v>8.3541249999999998</v>
      </c>
      <c r="E148" s="315">
        <v>26.390540000000001</v>
      </c>
      <c r="F148" s="314">
        <v>290.64344599999998</v>
      </c>
      <c r="G148" s="310"/>
      <c r="H148" s="310"/>
      <c r="I148" s="310"/>
      <c r="J148" s="310"/>
      <c r="K148" s="310"/>
    </row>
    <row r="149" spans="1:11" hidden="1" x14ac:dyDescent="0.3">
      <c r="A149" s="316">
        <v>44562</v>
      </c>
      <c r="B149" s="315">
        <v>151.06929099999999</v>
      </c>
      <c r="C149" s="315">
        <v>60.126331999999998</v>
      </c>
      <c r="D149" s="315">
        <v>7.0839679999999996</v>
      </c>
      <c r="E149" s="315">
        <v>24.372964</v>
      </c>
      <c r="F149" s="314">
        <v>242.65255500000001</v>
      </c>
      <c r="G149" s="310"/>
      <c r="H149" s="310"/>
      <c r="I149" s="310"/>
      <c r="J149" s="310"/>
      <c r="K149" s="310"/>
    </row>
    <row r="150" spans="1:11" hidden="1" x14ac:dyDescent="0.3">
      <c r="A150" s="316">
        <v>44593</v>
      </c>
      <c r="B150" s="315">
        <v>137.841576</v>
      </c>
      <c r="C150" s="315">
        <v>47.447144000000002</v>
      </c>
      <c r="D150" s="315">
        <v>4.0623110000000002</v>
      </c>
      <c r="E150" s="315">
        <v>23.131978</v>
      </c>
      <c r="F150" s="314">
        <v>212.48300900000001</v>
      </c>
      <c r="G150" s="310"/>
      <c r="H150" s="310"/>
      <c r="I150" s="310"/>
      <c r="J150" s="310"/>
      <c r="K150" s="310"/>
    </row>
    <row r="151" spans="1:11" hidden="1" x14ac:dyDescent="0.3">
      <c r="A151" s="316">
        <v>44621</v>
      </c>
      <c r="B151" s="315">
        <v>145.215474</v>
      </c>
      <c r="C151" s="315">
        <v>49.277078000000003</v>
      </c>
      <c r="D151" s="315">
        <v>7.1880350000000002</v>
      </c>
      <c r="E151" s="315">
        <v>20.365134000000001</v>
      </c>
      <c r="F151" s="314">
        <v>222.04572099999999</v>
      </c>
      <c r="G151" s="310"/>
      <c r="H151" s="310"/>
      <c r="I151" s="310"/>
      <c r="J151" s="310"/>
      <c r="K151" s="310"/>
    </row>
    <row r="152" spans="1:11" hidden="1" x14ac:dyDescent="0.3">
      <c r="A152" s="316">
        <v>44652</v>
      </c>
      <c r="B152" s="315">
        <v>268.61574000000002</v>
      </c>
      <c r="C152" s="315">
        <v>82.208949000000004</v>
      </c>
      <c r="D152" s="315">
        <v>9.5170919999999999</v>
      </c>
      <c r="E152" s="315">
        <v>28.726519</v>
      </c>
      <c r="F152" s="314">
        <v>389.06830000000002</v>
      </c>
      <c r="G152" s="310"/>
      <c r="H152" s="310"/>
      <c r="I152" s="310"/>
      <c r="J152" s="310"/>
      <c r="K152" s="310"/>
    </row>
    <row r="153" spans="1:11" hidden="1" x14ac:dyDescent="0.3">
      <c r="A153" s="316">
        <v>44682</v>
      </c>
      <c r="B153" s="315">
        <v>151.10556</v>
      </c>
      <c r="C153" s="315">
        <v>53.034537999999998</v>
      </c>
      <c r="D153" s="315">
        <v>9.2368109999999994</v>
      </c>
      <c r="E153" s="315">
        <v>27.432513</v>
      </c>
      <c r="F153" s="314">
        <v>240.80942200000001</v>
      </c>
      <c r="G153" s="310"/>
      <c r="H153" s="310"/>
      <c r="I153" s="310"/>
      <c r="J153" s="310"/>
      <c r="K153" s="310"/>
    </row>
    <row r="154" spans="1:11" hidden="1" x14ac:dyDescent="0.3">
      <c r="A154" s="316">
        <v>44713</v>
      </c>
      <c r="B154" s="315">
        <v>167.62098499999999</v>
      </c>
      <c r="C154" s="315">
        <v>58.649779000000002</v>
      </c>
      <c r="D154" s="315">
        <v>6.0373089999999996</v>
      </c>
      <c r="E154" s="315">
        <v>26.749766999999999</v>
      </c>
      <c r="F154" s="314">
        <v>259.05784</v>
      </c>
      <c r="G154" s="310"/>
      <c r="H154" s="310"/>
      <c r="I154" s="310"/>
      <c r="J154" s="310"/>
      <c r="K154" s="310"/>
    </row>
    <row r="155" spans="1:11" ht="15.75" hidden="1" customHeight="1" x14ac:dyDescent="0.3">
      <c r="A155" s="316">
        <v>44743</v>
      </c>
      <c r="B155" s="315">
        <v>189.967927</v>
      </c>
      <c r="C155" s="315">
        <v>49.773918999999999</v>
      </c>
      <c r="D155" s="315">
        <v>10.22439</v>
      </c>
      <c r="E155" s="315">
        <v>25.317131</v>
      </c>
      <c r="F155" s="314">
        <v>275.283367</v>
      </c>
      <c r="G155" s="310"/>
      <c r="H155" s="310"/>
      <c r="I155" s="310"/>
      <c r="J155" s="310"/>
      <c r="K155" s="310"/>
    </row>
    <row r="156" spans="1:11" hidden="1" x14ac:dyDescent="0.3">
      <c r="A156" s="316">
        <v>44774</v>
      </c>
      <c r="B156" s="315">
        <v>133.430993</v>
      </c>
      <c r="C156" s="315">
        <v>38.496982000000003</v>
      </c>
      <c r="D156" s="315">
        <v>12.385771999999999</v>
      </c>
      <c r="E156" s="315">
        <v>22.672034</v>
      </c>
      <c r="F156" s="314">
        <v>206.985781</v>
      </c>
      <c r="G156" s="310"/>
      <c r="H156" s="310"/>
      <c r="I156" s="310"/>
      <c r="J156" s="310"/>
      <c r="K156" s="310"/>
    </row>
    <row r="157" spans="1:11" x14ac:dyDescent="0.3">
      <c r="A157" s="316">
        <v>44805</v>
      </c>
      <c r="B157" s="315">
        <v>118.750805</v>
      </c>
      <c r="C157" s="315">
        <v>34.630307000000002</v>
      </c>
      <c r="D157" s="315">
        <v>11.394009</v>
      </c>
      <c r="E157" s="315">
        <v>23.770959999999999</v>
      </c>
      <c r="F157" s="314">
        <v>188.54608099999999</v>
      </c>
      <c r="G157" s="310"/>
      <c r="H157" s="310"/>
      <c r="I157" s="310"/>
      <c r="J157" s="310"/>
      <c r="K157" s="310"/>
    </row>
    <row r="158" spans="1:11" x14ac:dyDescent="0.3">
      <c r="A158" s="316">
        <v>44835</v>
      </c>
      <c r="B158" s="315">
        <v>148.07773700000001</v>
      </c>
      <c r="C158" s="315">
        <v>41.572977000000002</v>
      </c>
      <c r="D158" s="315">
        <v>6.578093</v>
      </c>
      <c r="E158" s="315">
        <v>25.875668000000001</v>
      </c>
      <c r="F158" s="314">
        <v>222.10447500000001</v>
      </c>
      <c r="G158" s="310"/>
      <c r="H158" s="310"/>
      <c r="I158" s="310"/>
      <c r="J158" s="310"/>
      <c r="K158" s="310"/>
    </row>
    <row r="159" spans="1:11" x14ac:dyDescent="0.3">
      <c r="A159" s="316">
        <v>44866</v>
      </c>
      <c r="B159" s="315">
        <v>439.36709000000002</v>
      </c>
      <c r="C159" s="315">
        <v>85.432257000000007</v>
      </c>
      <c r="D159" s="315">
        <v>7.2632859999999999</v>
      </c>
      <c r="E159" s="315">
        <v>35.207706999999999</v>
      </c>
      <c r="F159" s="314">
        <v>567.27034000000003</v>
      </c>
      <c r="G159" s="310"/>
      <c r="H159" s="310"/>
      <c r="I159" s="310"/>
      <c r="J159" s="310"/>
      <c r="K159" s="310"/>
    </row>
    <row r="160" spans="1:11" x14ac:dyDescent="0.3">
      <c r="A160" s="316">
        <v>44896</v>
      </c>
      <c r="B160" s="315">
        <v>285.89999999999998</v>
      </c>
      <c r="C160" s="315">
        <v>95.333434999999994</v>
      </c>
      <c r="D160" s="315">
        <v>9.7169519999999991</v>
      </c>
      <c r="E160" s="315">
        <v>36.861972000000002</v>
      </c>
      <c r="F160" s="314">
        <f>SUM(B160:E160)</f>
        <v>427.81235899999996</v>
      </c>
      <c r="G160" s="310"/>
      <c r="H160" s="310"/>
      <c r="I160" s="310"/>
      <c r="J160" s="310"/>
      <c r="K160" s="310"/>
    </row>
    <row r="161" spans="1:11" x14ac:dyDescent="0.3">
      <c r="A161" s="316">
        <v>44927</v>
      </c>
      <c r="B161" s="315">
        <v>272.5</v>
      </c>
      <c r="C161" s="315">
        <v>65</v>
      </c>
      <c r="D161" s="315">
        <v>6.7</v>
      </c>
      <c r="E161" s="315">
        <v>29.3</v>
      </c>
      <c r="F161" s="314">
        <v>373.5</v>
      </c>
      <c r="G161" s="310"/>
      <c r="H161" s="310"/>
      <c r="I161" s="310"/>
      <c r="J161" s="310"/>
      <c r="K161" s="310"/>
    </row>
    <row r="162" spans="1:11" x14ac:dyDescent="0.3">
      <c r="A162" s="316">
        <v>44958</v>
      </c>
      <c r="B162" s="315">
        <v>217.2</v>
      </c>
      <c r="C162" s="315">
        <v>93.4</v>
      </c>
      <c r="D162" s="315">
        <v>8.3000000000000007</v>
      </c>
      <c r="E162" s="315">
        <v>37.5</v>
      </c>
      <c r="F162" s="314">
        <v>356.4</v>
      </c>
      <c r="G162" s="310"/>
      <c r="H162" s="310"/>
      <c r="I162" s="310"/>
      <c r="J162" s="310"/>
      <c r="K162" s="310"/>
    </row>
    <row r="163" spans="1:11" x14ac:dyDescent="0.3">
      <c r="A163" s="316">
        <v>44986</v>
      </c>
      <c r="B163" s="315">
        <v>293.268711</v>
      </c>
      <c r="C163" s="315">
        <v>108.369499</v>
      </c>
      <c r="D163" s="315">
        <v>10</v>
      </c>
      <c r="E163" s="315">
        <v>35.505828000000001</v>
      </c>
      <c r="F163" s="314">
        <v>447.22179999999997</v>
      </c>
      <c r="G163" s="310"/>
      <c r="H163" s="310"/>
      <c r="I163" s="310"/>
      <c r="J163" s="310"/>
      <c r="K163" s="310"/>
    </row>
    <row r="164" spans="1:11" x14ac:dyDescent="0.3">
      <c r="A164" s="316">
        <v>45017</v>
      </c>
      <c r="B164" s="315">
        <v>188.603655</v>
      </c>
      <c r="C164" s="315">
        <v>74.410754999999995</v>
      </c>
      <c r="D164" s="315">
        <v>5.3835569999999997</v>
      </c>
      <c r="E164" s="315">
        <v>36.5</v>
      </c>
      <c r="F164" s="314">
        <v>304.89999999999998</v>
      </c>
      <c r="G164" s="310"/>
      <c r="H164" s="310"/>
      <c r="I164" s="310"/>
      <c r="J164" s="310"/>
      <c r="K164" s="310"/>
    </row>
    <row r="165" spans="1:11" x14ac:dyDescent="0.3">
      <c r="A165" s="316">
        <v>45047</v>
      </c>
      <c r="B165" s="315">
        <v>173.3</v>
      </c>
      <c r="C165" s="315">
        <v>63</v>
      </c>
      <c r="D165" s="315">
        <v>7.3</v>
      </c>
      <c r="E165" s="315">
        <v>31.4</v>
      </c>
      <c r="F165" s="314">
        <v>275</v>
      </c>
      <c r="G165" s="310"/>
      <c r="H165" s="310"/>
      <c r="I165" s="310"/>
      <c r="J165" s="310"/>
      <c r="K165" s="310"/>
    </row>
    <row r="166" spans="1:11" x14ac:dyDescent="0.3">
      <c r="A166" s="316">
        <v>45078</v>
      </c>
      <c r="B166" s="315">
        <v>227.3</v>
      </c>
      <c r="C166" s="315">
        <v>62</v>
      </c>
      <c r="D166" s="315">
        <v>8</v>
      </c>
      <c r="E166" s="315">
        <v>36.6</v>
      </c>
      <c r="F166" s="314">
        <v>333.90000000000003</v>
      </c>
      <c r="G166" s="310"/>
      <c r="H166" s="310"/>
      <c r="I166" s="310"/>
      <c r="J166" s="310"/>
      <c r="K166" s="310"/>
    </row>
    <row r="167" spans="1:11" x14ac:dyDescent="0.3">
      <c r="A167" s="316">
        <v>45108</v>
      </c>
      <c r="B167" s="315">
        <v>217.24742800000001</v>
      </c>
      <c r="C167" s="315">
        <v>70.992093999999994</v>
      </c>
      <c r="D167" s="315">
        <v>9.3284900000000004</v>
      </c>
      <c r="E167" s="315">
        <v>38.9</v>
      </c>
      <c r="F167" s="314">
        <v>336.40518900000001</v>
      </c>
      <c r="G167" s="310"/>
      <c r="H167" s="310"/>
      <c r="I167" s="310"/>
      <c r="J167" s="310"/>
      <c r="K167" s="310"/>
    </row>
    <row r="168" spans="1:11" x14ac:dyDescent="0.3">
      <c r="A168" s="316">
        <v>45139</v>
      </c>
      <c r="B168" s="315">
        <v>154.79362399999999</v>
      </c>
      <c r="C168" s="315">
        <v>63.793367000000003</v>
      </c>
      <c r="D168" s="315">
        <v>6.9250870000000004</v>
      </c>
      <c r="E168" s="315">
        <v>32.4</v>
      </c>
      <c r="F168" s="314">
        <v>257.85212300000001</v>
      </c>
      <c r="G168" s="310"/>
      <c r="H168" s="310"/>
      <c r="I168" s="310"/>
      <c r="J168" s="310"/>
      <c r="K168" s="310"/>
    </row>
    <row r="169" spans="1:11" ht="17.25" thickBot="1" x14ac:dyDescent="0.35">
      <c r="A169" s="313">
        <v>45170</v>
      </c>
      <c r="B169" s="312">
        <v>160.24885900000001</v>
      </c>
      <c r="C169" s="312">
        <v>55.883695000000003</v>
      </c>
      <c r="D169" s="312">
        <v>8.6488739999999993</v>
      </c>
      <c r="E169" s="312">
        <f>34.279386</f>
        <v>34.279386000000002</v>
      </c>
      <c r="F169" s="311">
        <v>259.00081399999999</v>
      </c>
      <c r="G169" s="310"/>
      <c r="H169" s="310"/>
      <c r="I169" s="310"/>
      <c r="J169" s="310"/>
      <c r="K169" s="310"/>
    </row>
    <row r="170" spans="1:11" s="308" customFormat="1" ht="18.95" customHeight="1" thickTop="1" x14ac:dyDescent="0.25">
      <c r="A170" s="309" t="s">
        <v>237</v>
      </c>
      <c r="B170" s="309"/>
      <c r="C170" s="309"/>
      <c r="D170" s="309"/>
      <c r="E170" s="309"/>
      <c r="F170" s="309"/>
    </row>
    <row r="171" spans="1:11" s="308" customFormat="1" ht="18.95" customHeight="1" x14ac:dyDescent="0.25">
      <c r="A171" s="309" t="s">
        <v>236</v>
      </c>
      <c r="B171" s="309"/>
      <c r="C171" s="309"/>
      <c r="D171" s="309"/>
      <c r="E171" s="309"/>
      <c r="F171" s="309"/>
    </row>
    <row r="172" spans="1:11" s="304" customFormat="1" ht="18.95" customHeight="1" x14ac:dyDescent="0.25">
      <c r="A172" s="307" t="s">
        <v>173</v>
      </c>
    </row>
    <row r="173" spans="1:11" s="304" customFormat="1" ht="18.95" customHeight="1" x14ac:dyDescent="0.25">
      <c r="A173" s="306" t="s">
        <v>0</v>
      </c>
      <c r="B173" s="305"/>
      <c r="C173" s="305"/>
      <c r="D173" s="305"/>
    </row>
    <row r="174" spans="1:11" x14ac:dyDescent="0.3">
      <c r="A174" s="165"/>
      <c r="B174" s="164"/>
      <c r="C174" s="162"/>
    </row>
    <row r="175" spans="1:11" x14ac:dyDescent="0.3">
      <c r="A175" s="165"/>
      <c r="B175" s="164"/>
      <c r="C175" s="162"/>
    </row>
  </sheetData>
  <pageMargins left="0.7" right="0.7" top="0.75" bottom="0.75" header="0.3" footer="0.3"/>
  <pageSetup paperSize="9" scale="65"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EL104"/>
  <sheetViews>
    <sheetView zoomScale="80" zoomScaleNormal="80" zoomScaleSheetLayoutView="100" workbookViewId="0">
      <pane xSplit="1" ySplit="2" topLeftCell="B3" activePane="bottomRight" state="frozen"/>
      <selection activeCell="A38" sqref="A38"/>
      <selection pane="topRight" activeCell="A38" sqref="A38"/>
      <selection pane="bottomLeft" activeCell="A38" sqref="A38"/>
      <selection pane="bottomRight" activeCell="A38" sqref="A38"/>
    </sheetView>
  </sheetViews>
  <sheetFormatPr defaultColWidth="11.140625" defaultRowHeight="14.25" x14ac:dyDescent="0.25"/>
  <cols>
    <col min="1" max="1" width="10.85546875" style="332" customWidth="1"/>
    <col min="2" max="2" width="74.5703125" style="330" customWidth="1"/>
    <col min="3" max="3" width="11.28515625" style="331" hidden="1" customWidth="1"/>
    <col min="4" max="4" width="6.28515625" style="331" hidden="1" customWidth="1"/>
    <col min="5" max="5" width="11.28515625" style="331" hidden="1" customWidth="1"/>
    <col min="6" max="6" width="7" style="331" hidden="1" customWidth="1"/>
    <col min="7" max="7" width="11.28515625" style="331" hidden="1" customWidth="1"/>
    <col min="8" max="8" width="7" style="331" hidden="1" customWidth="1"/>
    <col min="9" max="9" width="11.28515625" style="331" hidden="1" customWidth="1"/>
    <col min="10" max="10" width="7" style="331" hidden="1" customWidth="1"/>
    <col min="11" max="11" width="11.28515625" style="331" hidden="1" customWidth="1"/>
    <col min="12" max="12" width="7" style="331" hidden="1" customWidth="1"/>
    <col min="13" max="13" width="11.28515625" style="331" hidden="1" customWidth="1"/>
    <col min="14" max="14" width="6.28515625" style="331" hidden="1" customWidth="1"/>
    <col min="15" max="15" width="11.28515625" style="331" hidden="1" customWidth="1"/>
    <col min="16" max="16" width="7" style="331" hidden="1" customWidth="1"/>
    <col min="17" max="17" width="11.28515625" style="331" hidden="1" customWidth="1"/>
    <col min="18" max="18" width="6.28515625" style="331" hidden="1" customWidth="1"/>
    <col min="19" max="19" width="11.28515625" style="331" hidden="1" customWidth="1"/>
    <col min="20" max="20" width="6.28515625" style="331" hidden="1" customWidth="1"/>
    <col min="21" max="21" width="11.28515625" style="331" hidden="1" customWidth="1"/>
    <col min="22" max="22" width="6.28515625" style="331" hidden="1" customWidth="1"/>
    <col min="23" max="23" width="11.28515625" style="331" hidden="1" customWidth="1"/>
    <col min="24" max="24" width="6.28515625" style="331" hidden="1" customWidth="1"/>
    <col min="25" max="25" width="11.28515625" style="331" hidden="1" customWidth="1"/>
    <col min="26" max="26" width="6.28515625" style="331" hidden="1" customWidth="1"/>
    <col min="27" max="27" width="11.28515625" style="331" hidden="1" customWidth="1"/>
    <col min="28" max="28" width="6.28515625" style="331" hidden="1" customWidth="1"/>
    <col min="29" max="29" width="11.28515625" style="331" hidden="1" customWidth="1"/>
    <col min="30" max="30" width="6.28515625" style="331" hidden="1" customWidth="1"/>
    <col min="31" max="31" width="11.28515625" style="331" hidden="1" customWidth="1"/>
    <col min="32" max="32" width="6.28515625" style="331" hidden="1" customWidth="1"/>
    <col min="33" max="33" width="11.28515625" style="331" hidden="1" customWidth="1"/>
    <col min="34" max="34" width="6.28515625" style="331" hidden="1" customWidth="1"/>
    <col min="35" max="35" width="11.28515625" style="331" hidden="1" customWidth="1"/>
    <col min="36" max="36" width="6.28515625" style="331" hidden="1" customWidth="1"/>
    <col min="37" max="37" width="11.28515625" style="331" hidden="1" customWidth="1"/>
    <col min="38" max="38" width="7" style="331" hidden="1" customWidth="1"/>
    <col min="39" max="39" width="11.28515625" style="331" hidden="1" customWidth="1"/>
    <col min="40" max="40" width="6.28515625" style="331" hidden="1" customWidth="1"/>
    <col min="41" max="41" width="11.28515625" style="331" hidden="1" customWidth="1"/>
    <col min="42" max="42" width="6.28515625" style="331" hidden="1" customWidth="1"/>
    <col min="43" max="43" width="11.28515625" style="331" hidden="1" customWidth="1"/>
    <col min="44" max="44" width="7" style="331" hidden="1" customWidth="1"/>
    <col min="45" max="45" width="11.28515625" style="331" hidden="1" customWidth="1"/>
    <col min="46" max="46" width="7" style="331" hidden="1" customWidth="1"/>
    <col min="47" max="47" width="11.28515625" style="331" hidden="1" customWidth="1"/>
    <col min="48" max="48" width="6.28515625" style="331" hidden="1" customWidth="1"/>
    <col min="49" max="49" width="11.28515625" style="331" hidden="1" customWidth="1"/>
    <col min="50" max="50" width="6.28515625" style="331" hidden="1" customWidth="1"/>
    <col min="51" max="51" width="11.28515625" style="331" hidden="1" customWidth="1"/>
    <col min="52" max="52" width="6.28515625" style="331" hidden="1" customWidth="1"/>
    <col min="53" max="53" width="11.28515625" style="331" hidden="1" customWidth="1"/>
    <col min="54" max="54" width="6.28515625" style="331" hidden="1" customWidth="1"/>
    <col min="55" max="55" width="11.28515625" style="331" hidden="1" customWidth="1"/>
    <col min="56" max="56" width="6.28515625" style="331" hidden="1" customWidth="1"/>
    <col min="57" max="57" width="11.28515625" style="331" hidden="1" customWidth="1"/>
    <col min="58" max="58" width="6.28515625" style="331" hidden="1" customWidth="1"/>
    <col min="59" max="59" width="11.28515625" style="331" hidden="1" customWidth="1"/>
    <col min="60" max="60" width="6.28515625" style="331" hidden="1" customWidth="1"/>
    <col min="61" max="61" width="11.28515625" style="331" hidden="1" customWidth="1"/>
    <col min="62" max="62" width="6.28515625" style="331" hidden="1" customWidth="1"/>
    <col min="63" max="63" width="11.28515625" style="331" hidden="1" customWidth="1"/>
    <col min="64" max="64" width="6.28515625" style="331" hidden="1" customWidth="1"/>
    <col min="65" max="65" width="11.28515625" style="331" hidden="1" customWidth="1"/>
    <col min="66" max="66" width="6.28515625" style="331" hidden="1" customWidth="1"/>
    <col min="67" max="106" width="13.85546875" style="331" hidden="1" customWidth="1"/>
    <col min="107" max="128" width="16.42578125" style="331" hidden="1" customWidth="1"/>
    <col min="129" max="129" width="17.140625" style="331" hidden="1" customWidth="1"/>
    <col min="130" max="130" width="15.42578125" style="331" hidden="1" customWidth="1"/>
    <col min="131" max="132" width="16.42578125" style="331" hidden="1" customWidth="1"/>
    <col min="133" max="133" width="16.140625" style="331" hidden="1" customWidth="1"/>
    <col min="134" max="134" width="15" style="331" hidden="1" customWidth="1"/>
    <col min="135" max="135" width="15.140625" style="331" customWidth="1"/>
    <col min="136" max="136" width="15.42578125" style="331" customWidth="1"/>
    <col min="137" max="137" width="16.140625" style="331" customWidth="1"/>
    <col min="138" max="138" width="15.140625" style="331" customWidth="1"/>
    <col min="139" max="139" width="16.140625" style="331" customWidth="1"/>
    <col min="140" max="140" width="15.140625" style="331" customWidth="1"/>
    <col min="141" max="16384" width="11.140625" style="330"/>
  </cols>
  <sheetData>
    <row r="1" spans="1:140" s="416" customFormat="1" ht="18.75" x14ac:dyDescent="0.3">
      <c r="A1" s="419" t="s">
        <v>258</v>
      </c>
      <c r="B1" s="346"/>
      <c r="C1" s="418"/>
      <c r="D1" s="418"/>
      <c r="E1" s="418"/>
      <c r="F1" s="418"/>
      <c r="G1" s="418"/>
      <c r="H1" s="418"/>
      <c r="I1" s="418"/>
      <c r="J1" s="418"/>
      <c r="K1" s="418"/>
      <c r="L1" s="418"/>
      <c r="M1" s="418"/>
      <c r="N1" s="418"/>
      <c r="O1" s="417"/>
      <c r="P1" s="417"/>
      <c r="Q1" s="417"/>
      <c r="R1" s="417"/>
      <c r="S1" s="417"/>
      <c r="T1" s="417"/>
      <c r="U1" s="417"/>
      <c r="V1" s="417"/>
      <c r="W1" s="417"/>
      <c r="X1" s="417"/>
      <c r="Y1" s="417"/>
      <c r="Z1" s="417"/>
      <c r="AA1" s="417"/>
      <c r="AB1" s="417"/>
      <c r="AC1" s="417"/>
      <c r="AD1" s="417"/>
      <c r="AE1" s="417"/>
      <c r="AF1" s="417"/>
      <c r="AG1" s="417"/>
      <c r="AH1" s="417"/>
      <c r="AI1" s="417"/>
      <c r="AJ1" s="417"/>
      <c r="AK1" s="417"/>
      <c r="AL1" s="417"/>
      <c r="AM1" s="417"/>
      <c r="AN1" s="417"/>
      <c r="AO1" s="417"/>
      <c r="AP1" s="417"/>
      <c r="AQ1" s="417"/>
      <c r="AR1" s="417"/>
      <c r="AS1" s="417"/>
      <c r="AT1" s="417"/>
      <c r="AU1" s="417"/>
      <c r="AV1" s="417"/>
      <c r="AW1" s="417"/>
      <c r="AX1" s="417"/>
      <c r="AY1" s="417"/>
      <c r="AZ1" s="417"/>
      <c r="BA1" s="417"/>
      <c r="BB1" s="417"/>
      <c r="BC1" s="417"/>
      <c r="BD1" s="417"/>
      <c r="BE1" s="417"/>
      <c r="BF1" s="417"/>
      <c r="BG1" s="417"/>
      <c r="BH1" s="417"/>
      <c r="BI1" s="417"/>
      <c r="BJ1" s="417"/>
      <c r="BK1" s="417"/>
      <c r="BL1" s="417"/>
      <c r="BM1" s="417"/>
      <c r="BN1" s="417"/>
      <c r="BO1" s="417"/>
      <c r="BP1" s="417"/>
      <c r="BQ1" s="417"/>
      <c r="BR1" s="417"/>
      <c r="BS1" s="417"/>
      <c r="BT1" s="417"/>
      <c r="BU1" s="417"/>
      <c r="BV1" s="417"/>
      <c r="BW1" s="417"/>
      <c r="BX1" s="417"/>
      <c r="BY1" s="417"/>
      <c r="BZ1" s="417"/>
      <c r="CA1" s="417"/>
      <c r="CB1" s="417"/>
      <c r="CC1" s="417"/>
      <c r="CD1" s="417"/>
      <c r="CE1" s="417"/>
      <c r="CF1" s="417"/>
      <c r="CG1" s="417"/>
      <c r="CH1" s="417"/>
      <c r="CI1" s="417"/>
      <c r="CJ1" s="417"/>
      <c r="CK1" s="417"/>
      <c r="CL1" s="417"/>
      <c r="CM1" s="417"/>
      <c r="CN1" s="417"/>
      <c r="CO1" s="417"/>
      <c r="CP1" s="417"/>
      <c r="CQ1" s="417"/>
      <c r="CR1" s="417"/>
      <c r="CS1" s="417"/>
      <c r="CT1" s="417"/>
      <c r="CU1" s="417"/>
      <c r="CV1" s="417"/>
      <c r="CW1" s="417"/>
      <c r="CX1" s="417"/>
      <c r="CY1" s="417"/>
      <c r="CZ1" s="417"/>
      <c r="DA1" s="417"/>
      <c r="DB1" s="417"/>
      <c r="DC1" s="417"/>
      <c r="DD1" s="417"/>
      <c r="DE1" s="417"/>
      <c r="DF1" s="417"/>
      <c r="DG1" s="417"/>
      <c r="DH1" s="417"/>
      <c r="DI1" s="417"/>
      <c r="DJ1" s="417"/>
      <c r="DK1" s="417"/>
      <c r="DL1" s="417"/>
      <c r="DM1" s="417"/>
      <c r="DN1" s="417"/>
      <c r="DO1" s="417"/>
      <c r="DP1" s="417"/>
      <c r="DQ1" s="417"/>
      <c r="DR1" s="417"/>
      <c r="DS1" s="417"/>
      <c r="DT1" s="417"/>
      <c r="DU1" s="417"/>
      <c r="DV1" s="417"/>
      <c r="DW1" s="417"/>
      <c r="DX1" s="417"/>
      <c r="DY1" s="417"/>
      <c r="DZ1" s="417"/>
      <c r="EA1" s="417"/>
      <c r="EB1" s="417"/>
      <c r="EC1" s="417"/>
      <c r="ED1" s="417"/>
      <c r="EE1" s="417"/>
      <c r="EF1" s="417"/>
      <c r="EG1" s="417"/>
      <c r="EH1" s="417"/>
      <c r="EI1" s="417"/>
      <c r="EJ1" s="417"/>
    </row>
    <row r="2" spans="1:140" ht="15" thickBot="1" x14ac:dyDescent="0.3">
      <c r="O2" s="3489"/>
      <c r="P2" s="3489"/>
      <c r="Q2" s="415"/>
      <c r="R2" s="415"/>
      <c r="S2" s="415"/>
      <c r="T2" s="415"/>
      <c r="U2" s="3489"/>
      <c r="V2" s="3489"/>
      <c r="W2" s="415"/>
      <c r="X2" s="415"/>
      <c r="Y2" s="415"/>
      <c r="Z2" s="415"/>
      <c r="AA2" s="415"/>
      <c r="AB2" s="415"/>
      <c r="AC2" s="415"/>
      <c r="AD2" s="415"/>
      <c r="AE2" s="415"/>
      <c r="AF2" s="415"/>
      <c r="AG2" s="415"/>
      <c r="AH2" s="415"/>
      <c r="AI2" s="415"/>
      <c r="AJ2" s="415"/>
      <c r="AK2" s="415"/>
      <c r="AL2" s="415"/>
      <c r="AM2" s="415"/>
      <c r="AN2" s="415"/>
      <c r="AO2" s="415"/>
      <c r="AP2" s="415"/>
      <c r="AQ2" s="415"/>
      <c r="AR2" s="415"/>
      <c r="AS2" s="415"/>
      <c r="AT2" s="415"/>
      <c r="AU2" s="415"/>
      <c r="AV2" s="415"/>
      <c r="AW2" s="415"/>
      <c r="AX2" s="415"/>
      <c r="AY2" s="415"/>
      <c r="AZ2" s="415"/>
      <c r="BA2" s="415"/>
      <c r="BB2" s="415"/>
      <c r="BC2" s="415"/>
      <c r="BD2" s="415"/>
      <c r="BE2" s="415"/>
      <c r="BF2" s="415"/>
      <c r="BG2" s="415"/>
      <c r="BH2" s="415"/>
      <c r="BI2" s="415"/>
      <c r="BJ2" s="415"/>
      <c r="BK2" s="415"/>
      <c r="BL2" s="415"/>
      <c r="BM2" s="415"/>
      <c r="BN2" s="415"/>
      <c r="BO2" s="415"/>
      <c r="BP2" s="415"/>
      <c r="BQ2" s="415"/>
      <c r="BR2" s="415"/>
      <c r="BS2" s="415"/>
      <c r="BT2" s="415"/>
      <c r="BU2" s="415"/>
      <c r="BV2" s="415"/>
      <c r="BW2" s="415"/>
      <c r="BX2" s="415"/>
      <c r="BY2" s="415"/>
      <c r="BZ2" s="415"/>
      <c r="CA2" s="415"/>
      <c r="CB2" s="415"/>
      <c r="CC2" s="415"/>
      <c r="CD2" s="415"/>
      <c r="CE2" s="414"/>
      <c r="CF2" s="414"/>
      <c r="CG2" s="3488"/>
      <c r="CH2" s="3488"/>
      <c r="CI2" s="3488"/>
      <c r="CJ2" s="3488"/>
      <c r="CK2" s="3488"/>
      <c r="CL2" s="3488"/>
      <c r="CM2" s="3488"/>
      <c r="CN2" s="3488"/>
      <c r="CO2" s="3488"/>
      <c r="CP2" s="3488"/>
      <c r="CQ2" s="3488"/>
      <c r="CR2" s="3488"/>
      <c r="CS2" s="3488"/>
      <c r="CT2" s="3488"/>
      <c r="CU2" s="3488"/>
      <c r="CV2" s="3488"/>
      <c r="CW2" s="3488"/>
      <c r="CX2" s="3488"/>
      <c r="CY2" s="3488"/>
      <c r="CZ2" s="3488"/>
      <c r="DA2" s="3488"/>
      <c r="DB2" s="3488"/>
      <c r="DC2" s="3488"/>
      <c r="DD2" s="3488"/>
      <c r="DE2" s="3488"/>
      <c r="DF2" s="3488"/>
      <c r="DG2" s="3488"/>
      <c r="DH2" s="3488"/>
      <c r="DI2" s="3488"/>
      <c r="DJ2" s="3488"/>
      <c r="DK2" s="3488"/>
      <c r="DL2" s="3488"/>
      <c r="DM2" s="3488"/>
      <c r="DN2" s="3488"/>
      <c r="DO2" s="3488"/>
      <c r="DP2" s="3488"/>
      <c r="DQ2" s="3488"/>
      <c r="DR2" s="3488"/>
      <c r="DS2" s="3488"/>
      <c r="DT2" s="3488"/>
      <c r="DU2" s="3488"/>
      <c r="DV2" s="3488"/>
      <c r="DW2" s="3488"/>
      <c r="DX2" s="3488"/>
      <c r="DY2" s="3488"/>
      <c r="DZ2" s="3488"/>
      <c r="EA2" s="3488"/>
      <c r="EB2" s="3488"/>
      <c r="EC2" s="3488"/>
      <c r="ED2" s="3488"/>
      <c r="EE2" s="3488"/>
      <c r="EF2" s="3488"/>
      <c r="EG2" s="3488"/>
      <c r="EH2" s="3488"/>
      <c r="EI2" s="3488" t="s">
        <v>184</v>
      </c>
      <c r="EJ2" s="3488"/>
    </row>
    <row r="3" spans="1:140" s="367" customFormat="1" ht="18" thickTop="1" thickBot="1" x14ac:dyDescent="0.35">
      <c r="A3" s="3486" t="s">
        <v>257</v>
      </c>
      <c r="B3" s="3461" t="s">
        <v>256</v>
      </c>
      <c r="C3" s="3485">
        <v>43101</v>
      </c>
      <c r="D3" s="3484"/>
      <c r="E3" s="3483">
        <v>43132</v>
      </c>
      <c r="F3" s="3484"/>
      <c r="G3" s="3483">
        <v>43160</v>
      </c>
      <c r="H3" s="3484"/>
      <c r="I3" s="3483">
        <v>43191</v>
      </c>
      <c r="J3" s="3484"/>
      <c r="K3" s="3483">
        <v>43221</v>
      </c>
      <c r="L3" s="3484"/>
      <c r="M3" s="3483">
        <v>43252</v>
      </c>
      <c r="N3" s="3484"/>
      <c r="O3" s="3483">
        <v>43282</v>
      </c>
      <c r="P3" s="3484"/>
      <c r="Q3" s="3483">
        <v>43313</v>
      </c>
      <c r="R3" s="3485"/>
      <c r="S3" s="3481">
        <v>43344</v>
      </c>
      <c r="T3" s="3481"/>
      <c r="U3" s="3481">
        <v>43374</v>
      </c>
      <c r="V3" s="3481"/>
      <c r="W3" s="3481">
        <v>43405</v>
      </c>
      <c r="X3" s="3481"/>
      <c r="Y3" s="3481">
        <v>43435</v>
      </c>
      <c r="Z3" s="3482"/>
      <c r="AA3" s="3481">
        <v>43466</v>
      </c>
      <c r="AB3" s="3482"/>
      <c r="AC3" s="3481">
        <v>43497</v>
      </c>
      <c r="AD3" s="3482"/>
      <c r="AE3" s="3481">
        <v>43525</v>
      </c>
      <c r="AF3" s="3482"/>
      <c r="AG3" s="3480">
        <v>43556</v>
      </c>
      <c r="AH3" s="3480"/>
      <c r="AI3" s="3480">
        <v>43586</v>
      </c>
      <c r="AJ3" s="3480"/>
      <c r="AK3" s="3480">
        <v>43617</v>
      </c>
      <c r="AL3" s="3480"/>
      <c r="AM3" s="3480">
        <v>43647</v>
      </c>
      <c r="AN3" s="3480"/>
      <c r="AO3" s="3478">
        <v>43678</v>
      </c>
      <c r="AP3" s="3479"/>
      <c r="AQ3" s="3480">
        <v>43709</v>
      </c>
      <c r="AR3" s="3480"/>
      <c r="AS3" s="3480">
        <v>43739</v>
      </c>
      <c r="AT3" s="3480"/>
      <c r="AU3" s="3478">
        <v>43770</v>
      </c>
      <c r="AV3" s="3479"/>
      <c r="AW3" s="3478">
        <v>43800</v>
      </c>
      <c r="AX3" s="3479"/>
      <c r="AY3" s="3473">
        <v>43831</v>
      </c>
      <c r="AZ3" s="3474"/>
      <c r="BA3" s="3473">
        <v>43862</v>
      </c>
      <c r="BB3" s="3474"/>
      <c r="BC3" s="3473">
        <v>43891</v>
      </c>
      <c r="BD3" s="3474"/>
      <c r="BE3" s="3473">
        <v>43922</v>
      </c>
      <c r="BF3" s="3474"/>
      <c r="BG3" s="3473">
        <v>43952</v>
      </c>
      <c r="BH3" s="3474"/>
      <c r="BI3" s="3473">
        <v>43983</v>
      </c>
      <c r="BJ3" s="3474"/>
      <c r="BK3" s="3473">
        <v>44013</v>
      </c>
      <c r="BL3" s="3474"/>
      <c r="BM3" s="3473">
        <v>44044</v>
      </c>
      <c r="BN3" s="3474"/>
      <c r="BO3" s="3473">
        <v>44075</v>
      </c>
      <c r="BP3" s="3474"/>
      <c r="BQ3" s="3473">
        <v>44105</v>
      </c>
      <c r="BR3" s="3474"/>
      <c r="BS3" s="3473">
        <v>44136</v>
      </c>
      <c r="BT3" s="3474"/>
      <c r="BU3" s="3473">
        <v>44166</v>
      </c>
      <c r="BV3" s="3474"/>
      <c r="BW3" s="3473">
        <v>44197</v>
      </c>
      <c r="BX3" s="3474"/>
      <c r="BY3" s="3473">
        <v>44228</v>
      </c>
      <c r="BZ3" s="3474"/>
      <c r="CA3" s="3473">
        <v>44256</v>
      </c>
      <c r="CB3" s="3474"/>
      <c r="CC3" s="3473">
        <v>44287</v>
      </c>
      <c r="CD3" s="3474"/>
      <c r="CE3" s="3473">
        <v>44317</v>
      </c>
      <c r="CF3" s="3474"/>
      <c r="CG3" s="3473">
        <v>44348</v>
      </c>
      <c r="CH3" s="3474"/>
      <c r="CI3" s="3473">
        <v>44378</v>
      </c>
      <c r="CJ3" s="3474"/>
      <c r="CK3" s="3473">
        <v>44409</v>
      </c>
      <c r="CL3" s="3474"/>
      <c r="CM3" s="3473">
        <v>44440</v>
      </c>
      <c r="CN3" s="3474"/>
      <c r="CO3" s="3473">
        <v>44470</v>
      </c>
      <c r="CP3" s="3474"/>
      <c r="CQ3" s="3473">
        <v>44501</v>
      </c>
      <c r="CR3" s="3474"/>
      <c r="CS3" s="3473">
        <v>44531</v>
      </c>
      <c r="CT3" s="3474"/>
      <c r="CU3" s="3473">
        <v>44562</v>
      </c>
      <c r="CV3" s="3474"/>
      <c r="CW3" s="3473">
        <v>44593</v>
      </c>
      <c r="CX3" s="3474"/>
      <c r="CY3" s="3473">
        <v>44621</v>
      </c>
      <c r="CZ3" s="3474"/>
      <c r="DA3" s="3473">
        <v>44652</v>
      </c>
      <c r="DB3" s="3474"/>
      <c r="DC3" s="3473">
        <v>44682</v>
      </c>
      <c r="DD3" s="3474"/>
      <c r="DE3" s="3473">
        <v>44713</v>
      </c>
      <c r="DF3" s="3474"/>
      <c r="DG3" s="3473">
        <v>44743</v>
      </c>
      <c r="DH3" s="3474"/>
      <c r="DI3" s="3473">
        <v>44774</v>
      </c>
      <c r="DJ3" s="3474"/>
      <c r="DK3" s="3473">
        <v>44805</v>
      </c>
      <c r="DL3" s="3474"/>
      <c r="DM3" s="3473">
        <v>44835</v>
      </c>
      <c r="DN3" s="3474"/>
      <c r="DO3" s="3473">
        <v>44866</v>
      </c>
      <c r="DP3" s="3474"/>
      <c r="DQ3" s="3473">
        <v>44896</v>
      </c>
      <c r="DR3" s="3474"/>
      <c r="DS3" s="3473">
        <v>44927</v>
      </c>
      <c r="DT3" s="3474"/>
      <c r="DU3" s="3473">
        <v>44959</v>
      </c>
      <c r="DV3" s="3474"/>
      <c r="DW3" s="3473">
        <v>44986</v>
      </c>
      <c r="DX3" s="3474"/>
      <c r="DY3" s="3473">
        <v>45018</v>
      </c>
      <c r="DZ3" s="3474"/>
      <c r="EA3" s="3473">
        <v>45048</v>
      </c>
      <c r="EB3" s="3474"/>
      <c r="EC3" s="3473">
        <v>45080</v>
      </c>
      <c r="ED3" s="3474"/>
      <c r="EE3" s="3473">
        <v>45110</v>
      </c>
      <c r="EF3" s="3474"/>
      <c r="EG3" s="3473">
        <v>45141</v>
      </c>
      <c r="EH3" s="3474"/>
      <c r="EI3" s="3473">
        <v>45172</v>
      </c>
      <c r="EJ3" s="3474"/>
    </row>
    <row r="4" spans="1:140" s="367" customFormat="1" ht="46.5" customHeight="1" thickBot="1" x14ac:dyDescent="0.35">
      <c r="A4" s="3487"/>
      <c r="B4" s="3462"/>
      <c r="C4" s="413" t="s">
        <v>255</v>
      </c>
      <c r="D4" s="411" t="s">
        <v>254</v>
      </c>
      <c r="E4" s="412" t="s">
        <v>255</v>
      </c>
      <c r="F4" s="411" t="s">
        <v>254</v>
      </c>
      <c r="G4" s="412" t="s">
        <v>255</v>
      </c>
      <c r="H4" s="411" t="s">
        <v>254</v>
      </c>
      <c r="I4" s="412" t="s">
        <v>255</v>
      </c>
      <c r="J4" s="411" t="s">
        <v>254</v>
      </c>
      <c r="K4" s="412" t="s">
        <v>255</v>
      </c>
      <c r="L4" s="411" t="s">
        <v>254</v>
      </c>
      <c r="M4" s="412" t="s">
        <v>255</v>
      </c>
      <c r="N4" s="411" t="s">
        <v>254</v>
      </c>
      <c r="O4" s="412" t="s">
        <v>255</v>
      </c>
      <c r="P4" s="411" t="s">
        <v>254</v>
      </c>
      <c r="Q4" s="411" t="s">
        <v>255</v>
      </c>
      <c r="R4" s="410" t="s">
        <v>254</v>
      </c>
      <c r="S4" s="409" t="s">
        <v>255</v>
      </c>
      <c r="T4" s="409" t="s">
        <v>254</v>
      </c>
      <c r="U4" s="409" t="s">
        <v>255</v>
      </c>
      <c r="V4" s="409" t="s">
        <v>254</v>
      </c>
      <c r="W4" s="409" t="s">
        <v>255</v>
      </c>
      <c r="X4" s="409" t="s">
        <v>254</v>
      </c>
      <c r="Y4" s="409" t="s">
        <v>255</v>
      </c>
      <c r="Z4" s="408" t="s">
        <v>254</v>
      </c>
      <c r="AA4" s="409" t="s">
        <v>255</v>
      </c>
      <c r="AB4" s="408" t="s">
        <v>254</v>
      </c>
      <c r="AC4" s="409" t="s">
        <v>255</v>
      </c>
      <c r="AD4" s="408" t="s">
        <v>254</v>
      </c>
      <c r="AE4" s="409" t="s">
        <v>255</v>
      </c>
      <c r="AF4" s="408" t="s">
        <v>254</v>
      </c>
      <c r="AG4" s="407" t="s">
        <v>255</v>
      </c>
      <c r="AH4" s="407" t="s">
        <v>254</v>
      </c>
      <c r="AI4" s="407" t="s">
        <v>255</v>
      </c>
      <c r="AJ4" s="407" t="s">
        <v>254</v>
      </c>
      <c r="AK4" s="407" t="s">
        <v>255</v>
      </c>
      <c r="AL4" s="407" t="s">
        <v>254</v>
      </c>
      <c r="AM4" s="407" t="s">
        <v>255</v>
      </c>
      <c r="AN4" s="407" t="s">
        <v>254</v>
      </c>
      <c r="AO4" s="407" t="s">
        <v>255</v>
      </c>
      <c r="AP4" s="407" t="s">
        <v>254</v>
      </c>
      <c r="AQ4" s="407" t="s">
        <v>255</v>
      </c>
      <c r="AR4" s="407" t="s">
        <v>254</v>
      </c>
      <c r="AS4" s="407" t="s">
        <v>255</v>
      </c>
      <c r="AT4" s="407" t="s">
        <v>254</v>
      </c>
      <c r="AU4" s="407" t="s">
        <v>255</v>
      </c>
      <c r="AV4" s="407" t="s">
        <v>254</v>
      </c>
      <c r="AW4" s="407" t="s">
        <v>255</v>
      </c>
      <c r="AX4" s="407" t="s">
        <v>254</v>
      </c>
      <c r="AY4" s="407" t="s">
        <v>255</v>
      </c>
      <c r="AZ4" s="407" t="s">
        <v>254</v>
      </c>
      <c r="BA4" s="407" t="s">
        <v>255</v>
      </c>
      <c r="BB4" s="407" t="s">
        <v>254</v>
      </c>
      <c r="BC4" s="406" t="s">
        <v>255</v>
      </c>
      <c r="BD4" s="406" t="s">
        <v>254</v>
      </c>
      <c r="BE4" s="406" t="s">
        <v>255</v>
      </c>
      <c r="BF4" s="406" t="s">
        <v>254</v>
      </c>
      <c r="BG4" s="406" t="s">
        <v>255</v>
      </c>
      <c r="BH4" s="406" t="s">
        <v>254</v>
      </c>
      <c r="BI4" s="406" t="s">
        <v>255</v>
      </c>
      <c r="BJ4" s="406" t="s">
        <v>254</v>
      </c>
      <c r="BK4" s="406" t="s">
        <v>255</v>
      </c>
      <c r="BL4" s="406" t="s">
        <v>254</v>
      </c>
      <c r="BM4" s="406" t="s">
        <v>255</v>
      </c>
      <c r="BN4" s="406" t="s">
        <v>254</v>
      </c>
      <c r="BO4" s="406" t="s">
        <v>255</v>
      </c>
      <c r="BP4" s="406" t="s">
        <v>254</v>
      </c>
      <c r="BQ4" s="406" t="s">
        <v>255</v>
      </c>
      <c r="BR4" s="406" t="s">
        <v>254</v>
      </c>
      <c r="BS4" s="406" t="s">
        <v>255</v>
      </c>
      <c r="BT4" s="406" t="s">
        <v>254</v>
      </c>
      <c r="BU4" s="406" t="s">
        <v>255</v>
      </c>
      <c r="BV4" s="406" t="s">
        <v>254</v>
      </c>
      <c r="BW4" s="406" t="s">
        <v>255</v>
      </c>
      <c r="BX4" s="406" t="s">
        <v>254</v>
      </c>
      <c r="BY4" s="406" t="s">
        <v>255</v>
      </c>
      <c r="BZ4" s="406" t="s">
        <v>254</v>
      </c>
      <c r="CA4" s="406" t="s">
        <v>255</v>
      </c>
      <c r="CB4" s="406" t="s">
        <v>254</v>
      </c>
      <c r="CC4" s="406" t="s">
        <v>255</v>
      </c>
      <c r="CD4" s="406" t="s">
        <v>254</v>
      </c>
      <c r="CE4" s="406" t="s">
        <v>255</v>
      </c>
      <c r="CF4" s="406" t="s">
        <v>254</v>
      </c>
      <c r="CG4" s="406" t="s">
        <v>255</v>
      </c>
      <c r="CH4" s="406" t="s">
        <v>254</v>
      </c>
      <c r="CI4" s="406" t="s">
        <v>255</v>
      </c>
      <c r="CJ4" s="406" t="s">
        <v>254</v>
      </c>
      <c r="CK4" s="406" t="s">
        <v>255</v>
      </c>
      <c r="CL4" s="406" t="s">
        <v>254</v>
      </c>
      <c r="CM4" s="406" t="s">
        <v>255</v>
      </c>
      <c r="CN4" s="406" t="s">
        <v>254</v>
      </c>
      <c r="CO4" s="406" t="s">
        <v>255</v>
      </c>
      <c r="CP4" s="406" t="s">
        <v>254</v>
      </c>
      <c r="CQ4" s="406" t="s">
        <v>255</v>
      </c>
      <c r="CR4" s="406" t="s">
        <v>254</v>
      </c>
      <c r="CS4" s="406" t="s">
        <v>255</v>
      </c>
      <c r="CT4" s="406" t="s">
        <v>254</v>
      </c>
      <c r="CU4" s="406" t="s">
        <v>255</v>
      </c>
      <c r="CV4" s="406" t="s">
        <v>254</v>
      </c>
      <c r="CW4" s="406" t="s">
        <v>255</v>
      </c>
      <c r="CX4" s="406" t="s">
        <v>254</v>
      </c>
      <c r="CY4" s="406" t="s">
        <v>255</v>
      </c>
      <c r="CZ4" s="406" t="s">
        <v>254</v>
      </c>
      <c r="DA4" s="406" t="s">
        <v>255</v>
      </c>
      <c r="DB4" s="406" t="s">
        <v>254</v>
      </c>
      <c r="DC4" s="406" t="s">
        <v>255</v>
      </c>
      <c r="DD4" s="406" t="s">
        <v>254</v>
      </c>
      <c r="DE4" s="406" t="s">
        <v>255</v>
      </c>
      <c r="DF4" s="406" t="s">
        <v>254</v>
      </c>
      <c r="DG4" s="406" t="s">
        <v>255</v>
      </c>
      <c r="DH4" s="406" t="s">
        <v>254</v>
      </c>
      <c r="DI4" s="406" t="s">
        <v>255</v>
      </c>
      <c r="DJ4" s="406" t="s">
        <v>254</v>
      </c>
      <c r="DK4" s="406" t="s">
        <v>255</v>
      </c>
      <c r="DL4" s="406" t="s">
        <v>254</v>
      </c>
      <c r="DM4" s="406" t="s">
        <v>255</v>
      </c>
      <c r="DN4" s="406" t="s">
        <v>254</v>
      </c>
      <c r="DO4" s="406" t="s">
        <v>255</v>
      </c>
      <c r="DP4" s="406" t="s">
        <v>254</v>
      </c>
      <c r="DQ4" s="406" t="s">
        <v>255</v>
      </c>
      <c r="DR4" s="406" t="s">
        <v>254</v>
      </c>
      <c r="DS4" s="406" t="s">
        <v>255</v>
      </c>
      <c r="DT4" s="406" t="s">
        <v>254</v>
      </c>
      <c r="DU4" s="406" t="s">
        <v>255</v>
      </c>
      <c r="DV4" s="406" t="s">
        <v>254</v>
      </c>
      <c r="DW4" s="406" t="s">
        <v>255</v>
      </c>
      <c r="DX4" s="406" t="s">
        <v>254</v>
      </c>
      <c r="DY4" s="405" t="s">
        <v>253</v>
      </c>
      <c r="DZ4" s="405" t="s">
        <v>252</v>
      </c>
      <c r="EA4" s="405" t="s">
        <v>253</v>
      </c>
      <c r="EB4" s="405" t="s">
        <v>252</v>
      </c>
      <c r="EC4" s="405" t="s">
        <v>253</v>
      </c>
      <c r="ED4" s="405" t="s">
        <v>252</v>
      </c>
      <c r="EE4" s="405" t="s">
        <v>253</v>
      </c>
      <c r="EF4" s="405" t="s">
        <v>252</v>
      </c>
      <c r="EG4" s="405" t="s">
        <v>253</v>
      </c>
      <c r="EH4" s="405" t="s">
        <v>252</v>
      </c>
      <c r="EI4" s="405" t="s">
        <v>253</v>
      </c>
      <c r="EJ4" s="405" t="s">
        <v>252</v>
      </c>
    </row>
    <row r="5" spans="1:140" s="367" customFormat="1" ht="17.25" thickBot="1" x14ac:dyDescent="0.35">
      <c r="A5" s="3475" t="s">
        <v>241</v>
      </c>
      <c r="B5" s="3476"/>
      <c r="C5" s="3476"/>
      <c r="D5" s="3476"/>
      <c r="E5" s="3476"/>
      <c r="F5" s="3476"/>
      <c r="G5" s="3476"/>
      <c r="H5" s="3476"/>
      <c r="I5" s="3476"/>
      <c r="J5" s="3476"/>
      <c r="K5" s="3476"/>
      <c r="L5" s="3476"/>
      <c r="M5" s="3476"/>
      <c r="N5" s="3476"/>
      <c r="O5" s="3476"/>
      <c r="P5" s="3476"/>
      <c r="Q5" s="3476"/>
      <c r="R5" s="3476"/>
      <c r="S5" s="3476"/>
      <c r="T5" s="3476"/>
      <c r="U5" s="3476"/>
      <c r="V5" s="3476"/>
      <c r="W5" s="3476"/>
      <c r="X5" s="3476"/>
      <c r="Y5" s="3476"/>
      <c r="Z5" s="3476"/>
      <c r="AA5" s="3476"/>
      <c r="AB5" s="3476"/>
      <c r="AC5" s="3476"/>
      <c r="AD5" s="3476"/>
      <c r="AE5" s="3476"/>
      <c r="AF5" s="3476"/>
      <c r="AG5" s="3476"/>
      <c r="AH5" s="3476"/>
      <c r="AI5" s="3476"/>
      <c r="AJ5" s="3476"/>
      <c r="AK5" s="3476"/>
      <c r="AL5" s="3476"/>
      <c r="AM5" s="3476"/>
      <c r="AN5" s="3476"/>
      <c r="AO5" s="3476"/>
      <c r="AP5" s="3476"/>
      <c r="AQ5" s="3476"/>
      <c r="AR5" s="3476"/>
      <c r="AS5" s="3476"/>
      <c r="AT5" s="3476"/>
      <c r="AU5" s="3476"/>
      <c r="AV5" s="3476"/>
      <c r="AW5" s="3476"/>
      <c r="AX5" s="3476"/>
      <c r="AY5" s="3476"/>
      <c r="AZ5" s="3476"/>
      <c r="BA5" s="3476"/>
      <c r="BB5" s="3476"/>
      <c r="BC5" s="3476"/>
      <c r="BD5" s="3476"/>
      <c r="BE5" s="3476"/>
      <c r="BF5" s="3476"/>
      <c r="BG5" s="3476"/>
      <c r="BH5" s="3476"/>
      <c r="BI5" s="3476"/>
      <c r="BJ5" s="3476"/>
      <c r="BK5" s="3476"/>
      <c r="BL5" s="3476"/>
      <c r="BM5" s="3476"/>
      <c r="BN5" s="3476"/>
      <c r="BO5" s="3476"/>
      <c r="BP5" s="3476"/>
      <c r="BQ5" s="3476"/>
      <c r="BR5" s="3476"/>
      <c r="BS5" s="3476"/>
      <c r="BT5" s="3476"/>
      <c r="BU5" s="3476"/>
      <c r="BV5" s="3476"/>
      <c r="BW5" s="3476"/>
      <c r="BX5" s="3476"/>
      <c r="BY5" s="3476"/>
      <c r="BZ5" s="3476"/>
      <c r="CA5" s="3476"/>
      <c r="CB5" s="3476"/>
      <c r="CC5" s="3476"/>
      <c r="CD5" s="3476"/>
      <c r="CE5" s="3476"/>
      <c r="CF5" s="3476"/>
      <c r="CG5" s="3476"/>
      <c r="CH5" s="3476"/>
      <c r="CI5" s="3476"/>
      <c r="CJ5" s="3476"/>
      <c r="CK5" s="3476"/>
      <c r="CL5" s="3476"/>
      <c r="CM5" s="3476"/>
      <c r="CN5" s="3476"/>
      <c r="CO5" s="3476"/>
      <c r="CP5" s="3476"/>
      <c r="CQ5" s="3476"/>
      <c r="CR5" s="3476"/>
      <c r="CS5" s="3476"/>
      <c r="CT5" s="3477"/>
      <c r="CU5" s="403"/>
      <c r="CV5" s="403"/>
      <c r="CW5" s="403"/>
      <c r="CX5" s="404"/>
      <c r="CY5" s="403"/>
      <c r="CZ5" s="404"/>
      <c r="DA5" s="403"/>
      <c r="DB5" s="404"/>
      <c r="DC5" s="403"/>
      <c r="DD5" s="404"/>
      <c r="DE5" s="403"/>
      <c r="DF5" s="404"/>
      <c r="DG5" s="403"/>
      <c r="DH5" s="404"/>
      <c r="DI5" s="403"/>
      <c r="DJ5" s="404"/>
      <c r="DK5" s="403"/>
      <c r="DL5" s="404"/>
      <c r="DM5" s="403"/>
      <c r="DN5" s="404"/>
      <c r="DO5" s="403"/>
      <c r="DP5" s="404"/>
      <c r="DQ5" s="403"/>
      <c r="DR5" s="404"/>
      <c r="DS5" s="403"/>
      <c r="DT5" s="404"/>
      <c r="DU5" s="403"/>
      <c r="DV5" s="404"/>
      <c r="DW5" s="403"/>
      <c r="DX5" s="404"/>
      <c r="DY5" s="403"/>
      <c r="DZ5" s="404"/>
      <c r="EA5" s="403"/>
      <c r="EB5" s="404"/>
      <c r="EC5" s="403"/>
      <c r="ED5" s="404"/>
      <c r="EE5" s="403"/>
      <c r="EF5" s="404"/>
      <c r="EG5" s="403"/>
      <c r="EH5" s="404"/>
      <c r="EI5" s="403"/>
      <c r="EJ5" s="404"/>
    </row>
    <row r="6" spans="1:140" s="367" customFormat="1" ht="17.25" x14ac:dyDescent="0.3">
      <c r="A6" s="366" t="s">
        <v>231</v>
      </c>
      <c r="B6" s="374" t="s">
        <v>230</v>
      </c>
      <c r="C6" s="371">
        <v>13.525</v>
      </c>
      <c r="D6" s="371">
        <v>0</v>
      </c>
      <c r="E6" s="371">
        <v>32.814999999999998</v>
      </c>
      <c r="F6" s="371">
        <v>0</v>
      </c>
      <c r="G6" s="371">
        <v>66.375</v>
      </c>
      <c r="H6" s="371">
        <v>0</v>
      </c>
      <c r="I6" s="371">
        <v>25.5</v>
      </c>
      <c r="J6" s="371">
        <v>0.5</v>
      </c>
      <c r="K6" s="372">
        <v>36.774999999999999</v>
      </c>
      <c r="L6" s="371">
        <v>0</v>
      </c>
      <c r="M6" s="371">
        <v>0.8</v>
      </c>
      <c r="N6" s="371">
        <v>6.01</v>
      </c>
      <c r="O6" s="372">
        <v>0</v>
      </c>
      <c r="P6" s="371">
        <v>0.79</v>
      </c>
      <c r="Q6" s="371">
        <v>2.5</v>
      </c>
      <c r="R6" s="370">
        <v>0</v>
      </c>
      <c r="S6" s="393">
        <v>4.5</v>
      </c>
      <c r="T6" s="393">
        <v>0</v>
      </c>
      <c r="U6" s="393">
        <v>4</v>
      </c>
      <c r="V6" s="393">
        <v>2.4</v>
      </c>
      <c r="W6" s="393">
        <v>0.79200000000000004</v>
      </c>
      <c r="X6" s="393">
        <v>1.7350000000000001</v>
      </c>
      <c r="Y6" s="393">
        <v>6.9039999999999999</v>
      </c>
      <c r="Z6" s="393">
        <v>4.3250000000000002</v>
      </c>
      <c r="AA6" s="393">
        <v>12.76</v>
      </c>
      <c r="AB6" s="393">
        <v>0</v>
      </c>
      <c r="AC6" s="393">
        <v>5.9320000000000004</v>
      </c>
      <c r="AD6" s="393">
        <v>2.5</v>
      </c>
      <c r="AE6" s="393">
        <v>1.1000000000000001</v>
      </c>
      <c r="AF6" s="393">
        <v>0.72</v>
      </c>
      <c r="AG6" s="402">
        <v>9.8149999999999995</v>
      </c>
      <c r="AH6" s="373">
        <v>0</v>
      </c>
      <c r="AI6" s="373">
        <v>4.3179999999999996</v>
      </c>
      <c r="AJ6" s="373">
        <v>0.47399999999999998</v>
      </c>
      <c r="AK6" s="373">
        <v>11.135999999999999</v>
      </c>
      <c r="AL6" s="373">
        <v>26.906600000000001</v>
      </c>
      <c r="AM6" s="373">
        <v>12.24</v>
      </c>
      <c r="AN6" s="373">
        <v>5.3049999999999997</v>
      </c>
      <c r="AO6" s="373">
        <v>0.22500000000000001</v>
      </c>
      <c r="AP6" s="373">
        <v>8.8109999999999999</v>
      </c>
      <c r="AQ6" s="373">
        <v>0.3</v>
      </c>
      <c r="AR6" s="373">
        <v>18.669</v>
      </c>
      <c r="AS6" s="373">
        <v>3.10575</v>
      </c>
      <c r="AT6" s="373">
        <v>7.5840000000000005</v>
      </c>
      <c r="AU6" s="373">
        <v>2</v>
      </c>
      <c r="AV6" s="373">
        <v>2.5000000000000001E-2</v>
      </c>
      <c r="AW6" s="373">
        <v>1.85</v>
      </c>
      <c r="AX6" s="373">
        <v>0</v>
      </c>
      <c r="AY6" s="373">
        <v>1.2000000000000002</v>
      </c>
      <c r="AZ6" s="373">
        <v>2</v>
      </c>
      <c r="BA6" s="373">
        <v>0.2</v>
      </c>
      <c r="BB6" s="373">
        <v>0</v>
      </c>
      <c r="BC6" s="373">
        <v>1.8</v>
      </c>
      <c r="BD6" s="373">
        <v>0</v>
      </c>
      <c r="BE6" s="373">
        <v>1.2</v>
      </c>
      <c r="BF6" s="373">
        <v>0.46600000000000003</v>
      </c>
      <c r="BG6" s="373">
        <v>1.47</v>
      </c>
      <c r="BH6" s="373">
        <v>2.5400499999999999</v>
      </c>
      <c r="BI6" s="373">
        <v>2.9</v>
      </c>
      <c r="BJ6" s="373">
        <v>4.3250000000000002</v>
      </c>
      <c r="BK6" s="373">
        <v>1.7749999999999999</v>
      </c>
      <c r="BL6" s="373">
        <v>2</v>
      </c>
      <c r="BM6" s="373">
        <v>13.306573999999999</v>
      </c>
      <c r="BN6" s="373">
        <v>0.20957400000000001</v>
      </c>
      <c r="BO6" s="373">
        <v>9.2140000000000004</v>
      </c>
      <c r="BP6" s="373">
        <v>0</v>
      </c>
      <c r="BQ6" s="373">
        <v>5.6070000000000002</v>
      </c>
      <c r="BR6" s="373">
        <v>0.6</v>
      </c>
      <c r="BS6" s="373">
        <v>7.2910000000000004</v>
      </c>
      <c r="BT6" s="373">
        <v>0</v>
      </c>
      <c r="BU6" s="373">
        <v>7.8710000000000004</v>
      </c>
      <c r="BV6" s="373">
        <v>1.798</v>
      </c>
      <c r="BW6" s="373">
        <v>4</v>
      </c>
      <c r="BX6" s="373">
        <v>0.25</v>
      </c>
      <c r="BY6" s="373">
        <v>1.2793299999999999</v>
      </c>
      <c r="BZ6" s="373">
        <v>1.3287819999999999</v>
      </c>
      <c r="CA6" s="373">
        <v>0</v>
      </c>
      <c r="CB6" s="373">
        <v>0.52600000000000002</v>
      </c>
      <c r="CC6" s="373">
        <v>7.8999999999999995</v>
      </c>
      <c r="CD6" s="373">
        <v>0</v>
      </c>
      <c r="CE6" s="373">
        <v>1.5325000000000002</v>
      </c>
      <c r="CF6" s="373">
        <v>0</v>
      </c>
      <c r="CG6" s="373">
        <v>1.2650000000000001</v>
      </c>
      <c r="CH6" s="373">
        <v>0.1</v>
      </c>
      <c r="CI6" s="373">
        <v>1.157</v>
      </c>
      <c r="CJ6" s="373">
        <v>0.5</v>
      </c>
      <c r="CK6" s="373">
        <v>2.5710000000000002</v>
      </c>
      <c r="CL6" s="373">
        <v>0.2</v>
      </c>
      <c r="CM6" s="373">
        <v>0.41</v>
      </c>
      <c r="CN6" s="373">
        <v>9.9000000000000005E-2</v>
      </c>
      <c r="CO6" s="373">
        <v>1.4510000000000001</v>
      </c>
      <c r="CP6" s="373">
        <v>0.13600000000000001</v>
      </c>
      <c r="CQ6" s="373">
        <v>1.4410000000000001</v>
      </c>
      <c r="CR6" s="373">
        <v>1.641</v>
      </c>
      <c r="CS6" s="373">
        <v>0</v>
      </c>
      <c r="CT6" s="373">
        <v>0</v>
      </c>
      <c r="CU6" s="373">
        <v>0.5</v>
      </c>
      <c r="CV6" s="373">
        <v>0</v>
      </c>
      <c r="CW6" s="373">
        <v>0.3</v>
      </c>
      <c r="CX6" s="373">
        <v>0.53347</v>
      </c>
      <c r="CY6" s="373">
        <v>0.2</v>
      </c>
      <c r="CZ6" s="373">
        <v>0.55600000000000005</v>
      </c>
      <c r="DA6" s="373">
        <v>0.36899999999999999</v>
      </c>
      <c r="DB6" s="373">
        <v>2.6739000000000002</v>
      </c>
      <c r="DC6" s="373">
        <v>0.27</v>
      </c>
      <c r="DD6" s="373">
        <v>6.8220000000000001</v>
      </c>
      <c r="DE6" s="373">
        <v>8.8999999999999996E-2</v>
      </c>
      <c r="DF6" s="373">
        <v>2.431</v>
      </c>
      <c r="DG6" s="373">
        <v>2.67</v>
      </c>
      <c r="DH6" s="373">
        <v>2.3370000000000002</v>
      </c>
      <c r="DI6" s="373">
        <v>0.26700000000000002</v>
      </c>
      <c r="DJ6" s="373">
        <v>3.5870000000000002</v>
      </c>
      <c r="DK6" s="373">
        <v>0.79600000000000004</v>
      </c>
      <c r="DL6" s="373">
        <v>3.113</v>
      </c>
      <c r="DM6" s="373">
        <v>0.37</v>
      </c>
      <c r="DN6" s="373">
        <v>2.9670000000000001</v>
      </c>
      <c r="DO6" s="373">
        <v>3.2839999999999998</v>
      </c>
      <c r="DP6" s="373">
        <v>2.6179999999999999</v>
      </c>
      <c r="DQ6" s="373">
        <v>3.6190000000000002</v>
      </c>
      <c r="DR6" s="373">
        <v>0.155</v>
      </c>
      <c r="DS6" s="373">
        <v>1.8</v>
      </c>
      <c r="DT6" s="373">
        <v>0.21</v>
      </c>
      <c r="DU6" s="373">
        <v>0.3</v>
      </c>
      <c r="DV6" s="373">
        <v>0</v>
      </c>
      <c r="DW6" s="373">
        <v>3.6</v>
      </c>
      <c r="DX6" s="373">
        <v>0.3</v>
      </c>
      <c r="DY6" s="373">
        <v>1.97</v>
      </c>
      <c r="DZ6" s="373">
        <v>0</v>
      </c>
      <c r="EA6" s="373">
        <v>0.42499999999999999</v>
      </c>
      <c r="EB6" s="373">
        <v>0</v>
      </c>
      <c r="EC6" s="373">
        <v>3.9689999999999999</v>
      </c>
      <c r="ED6" s="373">
        <v>0.53</v>
      </c>
      <c r="EE6" s="373">
        <v>1.2250000000000001</v>
      </c>
      <c r="EF6" s="373">
        <v>1.1000000000000001</v>
      </c>
      <c r="EG6" s="373">
        <v>0.17299</v>
      </c>
      <c r="EH6" s="373">
        <v>9.4020000000000006E-2</v>
      </c>
      <c r="EI6" s="373">
        <v>0.1</v>
      </c>
      <c r="EJ6" s="373">
        <v>0.18804000000000001</v>
      </c>
    </row>
    <row r="7" spans="1:140" s="367" customFormat="1" ht="17.25" x14ac:dyDescent="0.3">
      <c r="A7" s="366" t="s">
        <v>227</v>
      </c>
      <c r="B7" s="365" t="s">
        <v>226</v>
      </c>
      <c r="C7" s="371">
        <v>14.308999999999999</v>
      </c>
      <c r="D7" s="371">
        <v>1.31</v>
      </c>
      <c r="E7" s="371">
        <v>14.647</v>
      </c>
      <c r="F7" s="371">
        <v>2.9750000000000001</v>
      </c>
      <c r="G7" s="371">
        <v>16.533999999999999</v>
      </c>
      <c r="H7" s="371">
        <v>4.8</v>
      </c>
      <c r="I7" s="371">
        <v>14.157</v>
      </c>
      <c r="J7" s="371">
        <v>0.72499999999999998</v>
      </c>
      <c r="K7" s="372">
        <v>26.327000000000002</v>
      </c>
      <c r="L7" s="371">
        <v>0.45700000000000002</v>
      </c>
      <c r="M7" s="371">
        <v>16.515999999999998</v>
      </c>
      <c r="N7" s="371">
        <v>3.2120000000000002</v>
      </c>
      <c r="O7" s="372">
        <v>13.907999999999999</v>
      </c>
      <c r="P7" s="371">
        <v>8.4049999999999994</v>
      </c>
      <c r="Q7" s="371">
        <v>13.241</v>
      </c>
      <c r="R7" s="370">
        <v>0.5</v>
      </c>
      <c r="S7" s="369">
        <v>11.438000000000001</v>
      </c>
      <c r="T7" s="369">
        <v>1.88</v>
      </c>
      <c r="U7" s="369">
        <v>15.233000000000001</v>
      </c>
      <c r="V7" s="369">
        <v>1.1299999999999999</v>
      </c>
      <c r="W7" s="369">
        <v>13.048999999999999</v>
      </c>
      <c r="X7" s="369">
        <v>0</v>
      </c>
      <c r="Y7" s="369">
        <v>21.199000000000002</v>
      </c>
      <c r="Z7" s="369">
        <v>0.3</v>
      </c>
      <c r="AA7" s="369">
        <v>20.422000000000001</v>
      </c>
      <c r="AB7" s="369">
        <v>0</v>
      </c>
      <c r="AC7" s="369">
        <v>14.102</v>
      </c>
      <c r="AD7" s="369">
        <v>0.93</v>
      </c>
      <c r="AE7" s="369">
        <v>10.545</v>
      </c>
      <c r="AF7" s="369">
        <v>0.625</v>
      </c>
      <c r="AG7" s="368">
        <v>13.544</v>
      </c>
      <c r="AH7" s="362">
        <v>2.2999999999999998</v>
      </c>
      <c r="AI7" s="362">
        <v>11.374000000000001</v>
      </c>
      <c r="AJ7" s="362">
        <v>6.4009999999999998</v>
      </c>
      <c r="AK7" s="362">
        <v>19.888999999999999</v>
      </c>
      <c r="AL7" s="362">
        <v>17.60961562</v>
      </c>
      <c r="AM7" s="362">
        <v>15.445</v>
      </c>
      <c r="AN7" s="362">
        <v>16.774999999999999</v>
      </c>
      <c r="AO7" s="362">
        <v>6.5739999999999998</v>
      </c>
      <c r="AP7" s="362">
        <v>12.228</v>
      </c>
      <c r="AQ7" s="362">
        <v>9.020999999999999</v>
      </c>
      <c r="AR7" s="362">
        <v>11.62</v>
      </c>
      <c r="AS7" s="362">
        <v>14.048</v>
      </c>
      <c r="AT7" s="362">
        <v>14.655000000000001</v>
      </c>
      <c r="AU7" s="362">
        <v>10.508999999999999</v>
      </c>
      <c r="AV7" s="362">
        <v>9.3829999999999991</v>
      </c>
      <c r="AW7" s="362">
        <v>12.082999999999998</v>
      </c>
      <c r="AX7" s="362">
        <v>7.7607116300000003</v>
      </c>
      <c r="AY7" s="362">
        <v>13.073999999999998</v>
      </c>
      <c r="AZ7" s="362">
        <v>10.305</v>
      </c>
      <c r="BA7" s="362">
        <v>11.227999999999998</v>
      </c>
      <c r="BB7" s="362">
        <v>4.4409999999999998</v>
      </c>
      <c r="BC7" s="362">
        <v>22.272999999999996</v>
      </c>
      <c r="BD7" s="362">
        <v>6.6390000000000002</v>
      </c>
      <c r="BE7" s="362">
        <v>7.8089999999999993</v>
      </c>
      <c r="BF7" s="362">
        <v>6.92</v>
      </c>
      <c r="BG7" s="362">
        <v>6.3669938900000007</v>
      </c>
      <c r="BH7" s="362">
        <v>10.908999999999999</v>
      </c>
      <c r="BI7" s="362">
        <v>12.417</v>
      </c>
      <c r="BJ7" s="362">
        <v>13.06</v>
      </c>
      <c r="BK7" s="362">
        <v>24.373999999999999</v>
      </c>
      <c r="BL7" s="362">
        <v>23.104999999999997</v>
      </c>
      <c r="BM7" s="362">
        <v>16.172000000000001</v>
      </c>
      <c r="BN7" s="362">
        <v>21.635000000000002</v>
      </c>
      <c r="BO7" s="362">
        <v>20.096999999999998</v>
      </c>
      <c r="BP7" s="362">
        <v>20.7</v>
      </c>
      <c r="BQ7" s="362">
        <v>21.689999999999998</v>
      </c>
      <c r="BR7" s="362">
        <v>18.395000000000003</v>
      </c>
      <c r="BS7" s="362">
        <v>45.550999999999988</v>
      </c>
      <c r="BT7" s="362">
        <v>17.455000000000002</v>
      </c>
      <c r="BU7" s="362">
        <v>19.644000000000002</v>
      </c>
      <c r="BV7" s="362">
        <v>17.912337000000001</v>
      </c>
      <c r="BW7" s="362">
        <v>23.628</v>
      </c>
      <c r="BX7" s="362">
        <v>12.526999999999999</v>
      </c>
      <c r="BY7" s="362">
        <v>16.101999999999997</v>
      </c>
      <c r="BZ7" s="362">
        <v>7.907</v>
      </c>
      <c r="CA7" s="362">
        <v>30.090999999999998</v>
      </c>
      <c r="CB7" s="362">
        <v>4.2869999999999999</v>
      </c>
      <c r="CC7" s="362">
        <v>32.375</v>
      </c>
      <c r="CD7" s="362">
        <v>4.4550000000000001</v>
      </c>
      <c r="CE7" s="362">
        <v>22.145</v>
      </c>
      <c r="CF7" s="362">
        <v>6.93</v>
      </c>
      <c r="CG7" s="362">
        <v>32.836000000000006</v>
      </c>
      <c r="CH7" s="362">
        <v>11.637649999999997</v>
      </c>
      <c r="CI7" s="362">
        <v>25.655000000000001</v>
      </c>
      <c r="CJ7" s="362">
        <v>12.912000000000001</v>
      </c>
      <c r="CK7" s="362">
        <v>28.896999999999998</v>
      </c>
      <c r="CL7" s="362">
        <v>9.7579999999999991</v>
      </c>
      <c r="CM7" s="362">
        <v>25.225000000000001</v>
      </c>
      <c r="CN7" s="362">
        <v>8.8245199999999997</v>
      </c>
      <c r="CO7" s="362">
        <v>24.76</v>
      </c>
      <c r="CP7" s="362">
        <v>4.18452</v>
      </c>
      <c r="CQ7" s="362">
        <v>24.155000000000001</v>
      </c>
      <c r="CR7" s="362">
        <v>4.0545200000000001</v>
      </c>
      <c r="CS7" s="362">
        <v>25.745999999999999</v>
      </c>
      <c r="CT7" s="362">
        <v>7.4091319999999996</v>
      </c>
      <c r="CU7" s="362">
        <v>23.068999999999999</v>
      </c>
      <c r="CV7" s="362">
        <v>4.8975600000000004</v>
      </c>
      <c r="CW7" s="362">
        <v>20.881</v>
      </c>
      <c r="CX7" s="362">
        <v>8.7840000000000007</v>
      </c>
      <c r="CY7" s="362">
        <v>29.041</v>
      </c>
      <c r="CZ7" s="362">
        <v>7.1520000000000001</v>
      </c>
      <c r="DA7" s="362">
        <v>17.596</v>
      </c>
      <c r="DB7" s="362">
        <v>11.1912</v>
      </c>
      <c r="DC7" s="362">
        <v>35.825000000000003</v>
      </c>
      <c r="DD7" s="362">
        <v>11.805</v>
      </c>
      <c r="DE7" s="362">
        <v>26.1953</v>
      </c>
      <c r="DF7" s="362">
        <v>18.645</v>
      </c>
      <c r="DG7" s="362">
        <v>26.564999999999998</v>
      </c>
      <c r="DH7" s="362">
        <v>18.420000000000002</v>
      </c>
      <c r="DI7" s="362">
        <v>33.447000000000003</v>
      </c>
      <c r="DJ7" s="362">
        <v>20.193999999999999</v>
      </c>
      <c r="DK7" s="362">
        <v>40.524000000000001</v>
      </c>
      <c r="DL7" s="362">
        <v>20.806212389999999</v>
      </c>
      <c r="DM7" s="362">
        <v>38.847000000000001</v>
      </c>
      <c r="DN7" s="362">
        <v>15.42601739</v>
      </c>
      <c r="DO7" s="362">
        <v>45.131</v>
      </c>
      <c r="DP7" s="362">
        <v>12.712</v>
      </c>
      <c r="DQ7" s="362">
        <v>46.104999999999997</v>
      </c>
      <c r="DR7" s="362">
        <v>7.2619999999999996</v>
      </c>
      <c r="DS7" s="362">
        <v>28.774999999999999</v>
      </c>
      <c r="DT7" s="362">
        <v>12.1</v>
      </c>
      <c r="DU7" s="362">
        <v>28.41</v>
      </c>
      <c r="DV7" s="362">
        <v>14.843</v>
      </c>
      <c r="DW7" s="362">
        <v>31.018999999999998</v>
      </c>
      <c r="DX7" s="362">
        <v>9.7729999999999997</v>
      </c>
      <c r="DY7" s="362">
        <v>52.844999999999999</v>
      </c>
      <c r="DZ7" s="362">
        <v>11.945</v>
      </c>
      <c r="EA7" s="362">
        <v>47.454999999999998</v>
      </c>
      <c r="EB7" s="362">
        <v>10.989000000000001</v>
      </c>
      <c r="EC7" s="362">
        <v>44.896999999999998</v>
      </c>
      <c r="ED7" s="362">
        <v>13.930999999999999</v>
      </c>
      <c r="EE7" s="362">
        <v>40.909990000000001</v>
      </c>
      <c r="EF7" s="362">
        <v>19.515999999999998</v>
      </c>
      <c r="EG7" s="362">
        <v>41.625</v>
      </c>
      <c r="EH7" s="362">
        <v>10.021000000000001</v>
      </c>
      <c r="EI7" s="362">
        <v>31.655000000000001</v>
      </c>
      <c r="EJ7" s="362">
        <v>9.5069999999999997</v>
      </c>
    </row>
    <row r="8" spans="1:140" s="367" customFormat="1" ht="17.25" x14ac:dyDescent="0.3">
      <c r="A8" s="366" t="s">
        <v>225</v>
      </c>
      <c r="B8" s="365" t="s">
        <v>224</v>
      </c>
      <c r="C8" s="371"/>
      <c r="D8" s="371"/>
      <c r="E8" s="371"/>
      <c r="F8" s="371"/>
      <c r="G8" s="371"/>
      <c r="H8" s="371"/>
      <c r="I8" s="371"/>
      <c r="J8" s="371"/>
      <c r="K8" s="372"/>
      <c r="L8" s="371"/>
      <c r="M8" s="371"/>
      <c r="N8" s="371"/>
      <c r="O8" s="372"/>
      <c r="P8" s="371"/>
      <c r="Q8" s="371"/>
      <c r="R8" s="370"/>
      <c r="S8" s="369"/>
      <c r="T8" s="369"/>
      <c r="U8" s="369"/>
      <c r="V8" s="369"/>
      <c r="W8" s="369"/>
      <c r="X8" s="369"/>
      <c r="Y8" s="369"/>
      <c r="Z8" s="369"/>
      <c r="AA8" s="369"/>
      <c r="AB8" s="369"/>
      <c r="AC8" s="369"/>
      <c r="AD8" s="369"/>
      <c r="AE8" s="369">
        <v>0</v>
      </c>
      <c r="AF8" s="369">
        <v>0</v>
      </c>
      <c r="AG8" s="368">
        <v>0</v>
      </c>
      <c r="AH8" s="362">
        <v>0</v>
      </c>
      <c r="AI8" s="362">
        <v>0</v>
      </c>
      <c r="AJ8" s="362">
        <v>0</v>
      </c>
      <c r="AK8" s="362">
        <v>0</v>
      </c>
      <c r="AL8" s="362">
        <v>0</v>
      </c>
      <c r="AM8" s="362">
        <v>0</v>
      </c>
      <c r="AN8" s="362">
        <v>0.09</v>
      </c>
      <c r="AO8" s="362">
        <v>0</v>
      </c>
      <c r="AP8" s="362">
        <v>0</v>
      </c>
      <c r="AQ8" s="362">
        <v>0</v>
      </c>
      <c r="AR8" s="362">
        <v>0</v>
      </c>
      <c r="AS8" s="362">
        <v>0</v>
      </c>
      <c r="AT8" s="362">
        <v>2.5789999999999997</v>
      </c>
      <c r="AU8" s="362">
        <v>0</v>
      </c>
      <c r="AV8" s="362">
        <v>5.2084999999999999</v>
      </c>
      <c r="AW8" s="362">
        <v>0</v>
      </c>
      <c r="AX8" s="362">
        <v>7.4739999999999993</v>
      </c>
      <c r="AY8" s="362">
        <v>0</v>
      </c>
      <c r="AZ8" s="362">
        <v>0</v>
      </c>
      <c r="BA8" s="362">
        <v>0</v>
      </c>
      <c r="BB8" s="362">
        <v>8.68</v>
      </c>
      <c r="BC8" s="362">
        <v>0</v>
      </c>
      <c r="BD8" s="362">
        <v>12.690999999999999</v>
      </c>
      <c r="BE8" s="362">
        <v>0</v>
      </c>
      <c r="BF8" s="362">
        <v>6.1037340000000002</v>
      </c>
      <c r="BG8" s="362">
        <v>0</v>
      </c>
      <c r="BH8" s="362">
        <v>5.2847430000000006</v>
      </c>
      <c r="BI8" s="362">
        <v>0.621</v>
      </c>
      <c r="BJ8" s="362">
        <v>9.6509999999999998</v>
      </c>
      <c r="BK8" s="362">
        <v>0.872</v>
      </c>
      <c r="BL8" s="362">
        <v>8.3190000000000008</v>
      </c>
      <c r="BM8" s="362">
        <v>0.12</v>
      </c>
      <c r="BN8" s="362">
        <v>0.59</v>
      </c>
      <c r="BO8" s="362">
        <v>0</v>
      </c>
      <c r="BP8" s="362">
        <v>0</v>
      </c>
      <c r="BQ8" s="362">
        <v>0</v>
      </c>
      <c r="BR8" s="362">
        <v>0</v>
      </c>
      <c r="BS8" s="362">
        <v>0</v>
      </c>
      <c r="BT8" s="362">
        <v>0</v>
      </c>
      <c r="BU8" s="362">
        <v>0</v>
      </c>
      <c r="BV8" s="362">
        <v>0</v>
      </c>
      <c r="BW8" s="362">
        <v>0</v>
      </c>
      <c r="BX8" s="362">
        <v>0</v>
      </c>
      <c r="BY8" s="362">
        <v>0</v>
      </c>
      <c r="BZ8" s="362">
        <v>0</v>
      </c>
      <c r="CA8" s="362">
        <v>0</v>
      </c>
      <c r="CB8" s="362">
        <v>0</v>
      </c>
      <c r="CC8" s="362">
        <v>0</v>
      </c>
      <c r="CD8" s="362">
        <v>0</v>
      </c>
      <c r="CE8" s="362">
        <v>0</v>
      </c>
      <c r="CF8" s="362">
        <v>0</v>
      </c>
      <c r="CG8" s="362">
        <v>0</v>
      </c>
      <c r="CH8" s="362">
        <v>0.104</v>
      </c>
      <c r="CI8" s="362">
        <v>0</v>
      </c>
      <c r="CJ8" s="362">
        <v>10.86</v>
      </c>
      <c r="CK8" s="362">
        <v>0</v>
      </c>
      <c r="CL8" s="362">
        <v>0.755</v>
      </c>
      <c r="CM8" s="362">
        <v>0</v>
      </c>
      <c r="CN8" s="362">
        <v>9.1739999999999995</v>
      </c>
      <c r="CO8" s="362">
        <v>0</v>
      </c>
      <c r="CP8" s="362">
        <v>17.927</v>
      </c>
      <c r="CQ8" s="362">
        <v>2.6190000000000002</v>
      </c>
      <c r="CR8" s="362">
        <v>4.4450000000000003</v>
      </c>
      <c r="CS8" s="362">
        <v>0</v>
      </c>
      <c r="CT8" s="362">
        <v>7.65</v>
      </c>
      <c r="CU8" s="362">
        <v>0</v>
      </c>
      <c r="CV8" s="362">
        <v>18.206</v>
      </c>
      <c r="CW8" s="362">
        <v>0</v>
      </c>
      <c r="CX8" s="362">
        <v>19.762</v>
      </c>
      <c r="CY8" s="362">
        <v>0</v>
      </c>
      <c r="CZ8" s="362">
        <v>50.728999999999999</v>
      </c>
      <c r="DA8" s="362">
        <v>0</v>
      </c>
      <c r="DB8" s="362">
        <v>52.997999999999998</v>
      </c>
      <c r="DC8" s="362">
        <v>0</v>
      </c>
      <c r="DD8" s="362">
        <v>71.305000000000007</v>
      </c>
      <c r="DE8" s="362">
        <v>7.4999999999999997E-2</v>
      </c>
      <c r="DF8" s="362">
        <v>43.286999999999999</v>
      </c>
      <c r="DG8" s="362">
        <v>0</v>
      </c>
      <c r="DH8" s="362">
        <v>72.444000000000003</v>
      </c>
      <c r="DI8" s="362">
        <v>0</v>
      </c>
      <c r="DJ8" s="362">
        <v>86.221999999999994</v>
      </c>
      <c r="DK8" s="362">
        <v>0</v>
      </c>
      <c r="DL8" s="362">
        <v>100.30298187999999</v>
      </c>
      <c r="DM8" s="362">
        <v>0</v>
      </c>
      <c r="DN8" s="362">
        <v>96.423000000000002</v>
      </c>
      <c r="DO8" s="362">
        <v>0</v>
      </c>
      <c r="DP8" s="362">
        <v>89.456999999999994</v>
      </c>
      <c r="DQ8" s="362">
        <v>1.5669999999999999</v>
      </c>
      <c r="DR8" s="362">
        <v>78.772794519999991</v>
      </c>
      <c r="DS8" s="362">
        <v>0</v>
      </c>
      <c r="DT8" s="362">
        <v>80.242816000000005</v>
      </c>
      <c r="DU8" s="362">
        <v>6.6275919999999999</v>
      </c>
      <c r="DV8" s="362">
        <v>68.377815999999996</v>
      </c>
      <c r="DW8" s="362">
        <v>0</v>
      </c>
      <c r="DX8" s="362">
        <v>95.355431999999993</v>
      </c>
      <c r="DY8" s="362">
        <v>0</v>
      </c>
      <c r="DZ8" s="362">
        <v>55.783064000000003</v>
      </c>
      <c r="EA8" s="362">
        <v>1.2</v>
      </c>
      <c r="EB8" s="362">
        <v>62.880569000000001</v>
      </c>
      <c r="EC8" s="362">
        <v>0</v>
      </c>
      <c r="ED8" s="362">
        <v>85.557000000000002</v>
      </c>
      <c r="EE8" s="362">
        <v>0</v>
      </c>
      <c r="EF8" s="362">
        <v>91.08800746</v>
      </c>
      <c r="EG8" s="362">
        <v>0</v>
      </c>
      <c r="EH8" s="362">
        <v>134.13369529999997</v>
      </c>
      <c r="EI8" s="362">
        <v>0</v>
      </c>
      <c r="EJ8" s="362">
        <v>136.1881243</v>
      </c>
    </row>
    <row r="9" spans="1:140" s="367" customFormat="1" ht="17.25" x14ac:dyDescent="0.3">
      <c r="A9" s="366" t="s">
        <v>223</v>
      </c>
      <c r="B9" s="365" t="s">
        <v>222</v>
      </c>
      <c r="C9" s="371"/>
      <c r="D9" s="371"/>
      <c r="E9" s="371"/>
      <c r="F9" s="371"/>
      <c r="G9" s="371"/>
      <c r="H9" s="371"/>
      <c r="I9" s="371"/>
      <c r="J9" s="371"/>
      <c r="K9" s="372"/>
      <c r="L9" s="371"/>
      <c r="M9" s="371"/>
      <c r="N9" s="371"/>
      <c r="O9" s="372"/>
      <c r="P9" s="371"/>
      <c r="Q9" s="371"/>
      <c r="R9" s="370"/>
      <c r="S9" s="369"/>
      <c r="T9" s="369"/>
      <c r="U9" s="369"/>
      <c r="V9" s="369"/>
      <c r="W9" s="369"/>
      <c r="X9" s="369"/>
      <c r="Y9" s="369"/>
      <c r="Z9" s="369"/>
      <c r="AA9" s="369"/>
      <c r="AB9" s="369"/>
      <c r="AC9" s="369"/>
      <c r="AD9" s="369"/>
      <c r="AE9" s="369"/>
      <c r="AF9" s="369"/>
      <c r="AG9" s="368"/>
      <c r="AH9" s="362"/>
      <c r="AI9" s="362">
        <v>0</v>
      </c>
      <c r="AJ9" s="362">
        <v>0</v>
      </c>
      <c r="AK9" s="362">
        <v>0</v>
      </c>
      <c r="AL9" s="362">
        <v>0</v>
      </c>
      <c r="AM9" s="362">
        <v>0.105</v>
      </c>
      <c r="AN9" s="362">
        <v>0</v>
      </c>
      <c r="AO9" s="362">
        <v>4.2000000000000003E-2</v>
      </c>
      <c r="AP9" s="362">
        <v>0</v>
      </c>
      <c r="AQ9" s="362">
        <v>0</v>
      </c>
      <c r="AR9" s="362">
        <v>0</v>
      </c>
      <c r="AS9" s="362">
        <v>5.5E-2</v>
      </c>
      <c r="AT9" s="362">
        <v>0</v>
      </c>
      <c r="AU9" s="362">
        <v>0.03</v>
      </c>
      <c r="AV9" s="362">
        <v>0</v>
      </c>
      <c r="AW9" s="362">
        <v>8.3000000000000004E-2</v>
      </c>
      <c r="AX9" s="362">
        <v>0</v>
      </c>
      <c r="AY9" s="362">
        <v>0</v>
      </c>
      <c r="AZ9" s="362">
        <v>0</v>
      </c>
      <c r="BA9" s="362">
        <v>0.128</v>
      </c>
      <c r="BB9" s="362">
        <v>0</v>
      </c>
      <c r="BC9" s="362">
        <v>0.38</v>
      </c>
      <c r="BD9" s="362">
        <v>0</v>
      </c>
      <c r="BE9" s="362">
        <v>0.42000000000000004</v>
      </c>
      <c r="BF9" s="362">
        <v>0</v>
      </c>
      <c r="BG9" s="362">
        <v>0.32</v>
      </c>
      <c r="BH9" s="362">
        <v>0</v>
      </c>
      <c r="BI9" s="362">
        <v>0.32</v>
      </c>
      <c r="BJ9" s="362">
        <v>0</v>
      </c>
      <c r="BK9" s="362">
        <v>0.32</v>
      </c>
      <c r="BL9" s="362">
        <v>0</v>
      </c>
      <c r="BM9" s="362">
        <v>0.32</v>
      </c>
      <c r="BN9" s="362">
        <v>0</v>
      </c>
      <c r="BO9" s="362">
        <v>0.67999999999999994</v>
      </c>
      <c r="BP9" s="362">
        <v>0</v>
      </c>
      <c r="BQ9" s="362">
        <v>0.77</v>
      </c>
      <c r="BR9" s="362">
        <v>0</v>
      </c>
      <c r="BS9" s="362">
        <v>0.86</v>
      </c>
      <c r="BT9" s="362">
        <v>0</v>
      </c>
      <c r="BU9" s="362">
        <v>0.98</v>
      </c>
      <c r="BV9" s="362">
        <v>0</v>
      </c>
      <c r="BW9" s="362">
        <v>1.08</v>
      </c>
      <c r="BX9" s="362">
        <v>0</v>
      </c>
      <c r="BY9" s="362">
        <v>1.08</v>
      </c>
      <c r="BZ9" s="362">
        <v>0</v>
      </c>
      <c r="CA9" s="362">
        <v>0.57499999999999996</v>
      </c>
      <c r="CB9" s="362">
        <v>0</v>
      </c>
      <c r="CC9" s="362">
        <v>1.19</v>
      </c>
      <c r="CD9" s="362">
        <v>0</v>
      </c>
      <c r="CE9" s="362">
        <v>1.23</v>
      </c>
      <c r="CF9" s="362">
        <v>0</v>
      </c>
      <c r="CG9" s="362">
        <v>1.446</v>
      </c>
      <c r="CH9" s="362">
        <v>0</v>
      </c>
      <c r="CI9" s="362">
        <v>1.4410000000000001</v>
      </c>
      <c r="CJ9" s="362">
        <v>0</v>
      </c>
      <c r="CK9" s="362">
        <v>1.1299999999999999</v>
      </c>
      <c r="CL9" s="362">
        <v>0</v>
      </c>
      <c r="CM9" s="362">
        <v>0.75</v>
      </c>
      <c r="CN9" s="362">
        <v>0</v>
      </c>
      <c r="CO9" s="362">
        <v>0.57499999999999996</v>
      </c>
      <c r="CP9" s="362">
        <v>0</v>
      </c>
      <c r="CQ9" s="362">
        <v>0.15</v>
      </c>
      <c r="CR9" s="362">
        <v>0</v>
      </c>
      <c r="CS9" s="362">
        <v>0</v>
      </c>
      <c r="CT9" s="362">
        <v>0</v>
      </c>
      <c r="CU9" s="362">
        <v>0.69499999999999995</v>
      </c>
      <c r="CV9" s="362">
        <v>0</v>
      </c>
      <c r="CW9" s="362">
        <v>2.0249999999999999</v>
      </c>
      <c r="CX9" s="362">
        <v>0</v>
      </c>
      <c r="CY9" s="362">
        <v>1.97</v>
      </c>
      <c r="CZ9" s="362">
        <v>0</v>
      </c>
      <c r="DA9" s="362">
        <v>3.375</v>
      </c>
      <c r="DB9" s="362">
        <v>0</v>
      </c>
      <c r="DC9" s="362">
        <v>2.7</v>
      </c>
      <c r="DD9" s="362">
        <v>0</v>
      </c>
      <c r="DE9" s="362">
        <v>0</v>
      </c>
      <c r="DF9" s="362">
        <v>0</v>
      </c>
      <c r="DG9" s="362">
        <v>0.78</v>
      </c>
      <c r="DH9" s="362">
        <v>0</v>
      </c>
      <c r="DI9" s="362">
        <v>0.2</v>
      </c>
      <c r="DJ9" s="362">
        <v>0</v>
      </c>
      <c r="DK9" s="362">
        <v>0</v>
      </c>
      <c r="DL9" s="362">
        <v>0</v>
      </c>
      <c r="DM9" s="362">
        <v>0</v>
      </c>
      <c r="DN9" s="362">
        <v>0</v>
      </c>
      <c r="DO9" s="362">
        <v>0.8</v>
      </c>
      <c r="DP9" s="362">
        <v>0</v>
      </c>
      <c r="DQ9" s="362">
        <v>0.94</v>
      </c>
      <c r="DR9" s="362">
        <v>0</v>
      </c>
      <c r="DS9" s="362">
        <v>0.54</v>
      </c>
      <c r="DT9" s="362">
        <v>0</v>
      </c>
      <c r="DU9" s="362">
        <v>0.625</v>
      </c>
      <c r="DV9" s="362">
        <v>0</v>
      </c>
      <c r="DW9" s="362">
        <v>0.6</v>
      </c>
      <c r="DX9" s="362">
        <v>0</v>
      </c>
      <c r="DY9" s="362">
        <v>0.41499999999999998</v>
      </c>
      <c r="DZ9" s="362">
        <v>0</v>
      </c>
      <c r="EA9" s="362">
        <v>0.4</v>
      </c>
      <c r="EB9" s="362">
        <v>0</v>
      </c>
      <c r="EC9" s="362">
        <v>0.55000000000000004</v>
      </c>
      <c r="ED9" s="362">
        <v>0</v>
      </c>
      <c r="EE9" s="362">
        <v>2.2050000000000001</v>
      </c>
      <c r="EF9" s="362">
        <v>0</v>
      </c>
      <c r="EG9" s="362">
        <v>0.88500000000000001</v>
      </c>
      <c r="EH9" s="362">
        <v>0</v>
      </c>
      <c r="EI9" s="362">
        <v>0.35</v>
      </c>
      <c r="EJ9" s="362">
        <v>0</v>
      </c>
    </row>
    <row r="10" spans="1:140" s="367" customFormat="1" ht="17.25" x14ac:dyDescent="0.3">
      <c r="A10" s="366" t="s">
        <v>221</v>
      </c>
      <c r="B10" s="365" t="s">
        <v>220</v>
      </c>
      <c r="C10" s="371">
        <v>0.25</v>
      </c>
      <c r="D10" s="371">
        <v>0</v>
      </c>
      <c r="E10" s="371">
        <v>0.34200000000000003</v>
      </c>
      <c r="F10" s="371">
        <v>0</v>
      </c>
      <c r="G10" s="371">
        <v>0.78</v>
      </c>
      <c r="H10" s="371">
        <v>0</v>
      </c>
      <c r="I10" s="371">
        <v>0.35</v>
      </c>
      <c r="J10" s="371">
        <v>0</v>
      </c>
      <c r="K10" s="372">
        <v>0.35699999999999998</v>
      </c>
      <c r="L10" s="371">
        <v>0</v>
      </c>
      <c r="M10" s="371">
        <v>0</v>
      </c>
      <c r="N10" s="371">
        <v>0.6</v>
      </c>
      <c r="O10" s="372">
        <v>4.2519999999999998</v>
      </c>
      <c r="P10" s="371">
        <v>0</v>
      </c>
      <c r="Q10" s="371">
        <v>4.0140000000000002</v>
      </c>
      <c r="R10" s="370">
        <v>0</v>
      </c>
      <c r="S10" s="369">
        <v>2.95</v>
      </c>
      <c r="T10" s="369">
        <v>0</v>
      </c>
      <c r="U10" s="369">
        <v>5.2430000000000003</v>
      </c>
      <c r="V10" s="369">
        <v>0</v>
      </c>
      <c r="W10" s="369">
        <v>5.59</v>
      </c>
      <c r="X10" s="369">
        <v>0</v>
      </c>
      <c r="Y10" s="369">
        <v>6.734</v>
      </c>
      <c r="Z10" s="369">
        <v>0</v>
      </c>
      <c r="AA10" s="369">
        <v>7.77</v>
      </c>
      <c r="AB10" s="369">
        <v>1.27</v>
      </c>
      <c r="AC10" s="369">
        <v>2.4900000000000002</v>
      </c>
      <c r="AD10" s="369">
        <v>0</v>
      </c>
      <c r="AE10" s="369">
        <v>2.44</v>
      </c>
      <c r="AF10" s="369">
        <v>0</v>
      </c>
      <c r="AG10" s="368">
        <v>1.5</v>
      </c>
      <c r="AH10" s="362">
        <v>1.2</v>
      </c>
      <c r="AI10" s="362">
        <v>1.925</v>
      </c>
      <c r="AJ10" s="362">
        <v>0</v>
      </c>
      <c r="AK10" s="362">
        <v>0.5</v>
      </c>
      <c r="AL10" s="362">
        <v>0</v>
      </c>
      <c r="AM10" s="362">
        <v>0.3</v>
      </c>
      <c r="AN10" s="362">
        <v>1.56</v>
      </c>
      <c r="AO10" s="362">
        <v>0.73</v>
      </c>
      <c r="AP10" s="362">
        <v>0</v>
      </c>
      <c r="AQ10" s="362">
        <v>0</v>
      </c>
      <c r="AR10" s="362">
        <v>0</v>
      </c>
      <c r="AS10" s="362">
        <v>0.30000000000000004</v>
      </c>
      <c r="AT10" s="362">
        <v>0</v>
      </c>
      <c r="AU10" s="362">
        <v>0.30000000000000004</v>
      </c>
      <c r="AV10" s="362">
        <v>0</v>
      </c>
      <c r="AW10" s="362">
        <v>0</v>
      </c>
      <c r="AX10" s="362">
        <v>0</v>
      </c>
      <c r="AY10" s="362">
        <v>0.30000000000000004</v>
      </c>
      <c r="AZ10" s="362">
        <v>0</v>
      </c>
      <c r="BA10" s="362">
        <v>0.1</v>
      </c>
      <c r="BB10" s="362">
        <v>0</v>
      </c>
      <c r="BC10" s="362">
        <v>0</v>
      </c>
      <c r="BD10" s="362">
        <v>0</v>
      </c>
      <c r="BE10" s="362">
        <v>0.30000000000000004</v>
      </c>
      <c r="BF10" s="362">
        <v>1.4</v>
      </c>
      <c r="BG10" s="362">
        <v>0</v>
      </c>
      <c r="BH10" s="362">
        <v>1.6719999999999999</v>
      </c>
      <c r="BI10" s="362">
        <v>0.13</v>
      </c>
      <c r="BJ10" s="362">
        <v>0</v>
      </c>
      <c r="BK10" s="362">
        <v>3.2050000000000001</v>
      </c>
      <c r="BL10" s="362">
        <v>0</v>
      </c>
      <c r="BM10" s="362">
        <v>0.36</v>
      </c>
      <c r="BN10" s="362">
        <v>0</v>
      </c>
      <c r="BO10" s="362">
        <v>2.5810000000000004</v>
      </c>
      <c r="BP10" s="362">
        <v>0</v>
      </c>
      <c r="BQ10" s="362">
        <v>0.74</v>
      </c>
      <c r="BR10" s="362">
        <v>2.0999999999999996</v>
      </c>
      <c r="BS10" s="362">
        <v>0.37</v>
      </c>
      <c r="BT10" s="362">
        <v>0</v>
      </c>
      <c r="BU10" s="362">
        <v>0.44400000000000001</v>
      </c>
      <c r="BV10" s="362">
        <v>0</v>
      </c>
      <c r="BW10" s="362">
        <v>0.82400000000000007</v>
      </c>
      <c r="BX10" s="362">
        <v>0</v>
      </c>
      <c r="BY10" s="362">
        <v>0.52200000000000002</v>
      </c>
      <c r="BZ10" s="362">
        <v>0.05</v>
      </c>
      <c r="CA10" s="362">
        <v>0.52300000000000002</v>
      </c>
      <c r="CB10" s="362">
        <v>2.7675000000000001</v>
      </c>
      <c r="CC10" s="362">
        <v>0.91399999999999992</v>
      </c>
      <c r="CD10" s="362">
        <v>0</v>
      </c>
      <c r="CE10" s="362">
        <v>0.56000000000000005</v>
      </c>
      <c r="CF10" s="362">
        <v>0</v>
      </c>
      <c r="CG10" s="362">
        <v>0.54600000000000004</v>
      </c>
      <c r="CH10" s="362">
        <v>0</v>
      </c>
      <c r="CI10" s="362">
        <v>0.94199999999999995</v>
      </c>
      <c r="CJ10" s="362">
        <v>0.02</v>
      </c>
      <c r="CK10" s="362">
        <v>0.52800000000000002</v>
      </c>
      <c r="CL10" s="362">
        <v>0</v>
      </c>
      <c r="CM10" s="362">
        <v>0.52800000000000002</v>
      </c>
      <c r="CN10" s="362">
        <v>0</v>
      </c>
      <c r="CO10" s="362">
        <v>0.91500000000000004</v>
      </c>
      <c r="CP10" s="362">
        <v>0</v>
      </c>
      <c r="CQ10" s="362">
        <v>0.56000000000000005</v>
      </c>
      <c r="CR10" s="362">
        <v>0.15015899999999999</v>
      </c>
      <c r="CS10" s="362">
        <v>0.56899999999999995</v>
      </c>
      <c r="CT10" s="362">
        <v>0.59853999999999996</v>
      </c>
      <c r="CU10" s="362">
        <v>0.59799999999999998</v>
      </c>
      <c r="CV10" s="362">
        <v>0.59853999999999996</v>
      </c>
      <c r="CW10" s="362">
        <v>1.018</v>
      </c>
      <c r="CX10" s="362">
        <v>0</v>
      </c>
      <c r="CY10" s="362">
        <v>0.70699999999999996</v>
      </c>
      <c r="CZ10" s="362">
        <v>0</v>
      </c>
      <c r="DA10" s="362">
        <v>1.048</v>
      </c>
      <c r="DB10" s="362">
        <v>0</v>
      </c>
      <c r="DC10" s="362">
        <v>1.387</v>
      </c>
      <c r="DD10" s="362">
        <v>0</v>
      </c>
      <c r="DE10" s="362">
        <v>0</v>
      </c>
      <c r="DF10" s="362">
        <v>0</v>
      </c>
      <c r="DG10" s="362">
        <v>0.42799999999999999</v>
      </c>
      <c r="DH10" s="362">
        <v>0</v>
      </c>
      <c r="DI10" s="362">
        <v>0.72</v>
      </c>
      <c r="DJ10" s="362">
        <v>0</v>
      </c>
      <c r="DK10" s="362">
        <v>0.24399999999999999</v>
      </c>
      <c r="DL10" s="362">
        <v>0.80992935999999993</v>
      </c>
      <c r="DM10" s="362">
        <v>0.36599999999999999</v>
      </c>
      <c r="DN10" s="362">
        <v>0.80992935999999993</v>
      </c>
      <c r="DO10" s="362">
        <v>0.63200000000000001</v>
      </c>
      <c r="DP10" s="362">
        <v>1.6433921200000001</v>
      </c>
      <c r="DQ10" s="362">
        <v>0.25800000000000001</v>
      </c>
      <c r="DR10" s="362">
        <v>1.6433921200000001</v>
      </c>
      <c r="DS10" s="362">
        <v>0.28199999999999997</v>
      </c>
      <c r="DT10" s="362">
        <v>1.0099293599999999</v>
      </c>
      <c r="DU10" s="362">
        <v>1.1100000000000001</v>
      </c>
      <c r="DV10" s="362">
        <v>0.60992935999999998</v>
      </c>
      <c r="DW10" s="362">
        <v>0.55000000000000004</v>
      </c>
      <c r="DX10" s="362">
        <v>0</v>
      </c>
      <c r="DY10" s="362">
        <v>0.67</v>
      </c>
      <c r="DZ10" s="362">
        <v>0</v>
      </c>
      <c r="EA10" s="362">
        <v>0.87</v>
      </c>
      <c r="EB10" s="362">
        <v>0</v>
      </c>
      <c r="EC10" s="362">
        <v>0.8</v>
      </c>
      <c r="ED10" s="362">
        <v>0</v>
      </c>
      <c r="EE10" s="362">
        <v>0.61599999999999999</v>
      </c>
      <c r="EF10" s="362">
        <v>0</v>
      </c>
      <c r="EG10" s="362">
        <v>0.65</v>
      </c>
      <c r="EH10" s="362">
        <v>0</v>
      </c>
      <c r="EI10" s="362">
        <v>0.68400000000000005</v>
      </c>
      <c r="EJ10" s="362">
        <v>1.52</v>
      </c>
    </row>
    <row r="11" spans="1:140" s="367" customFormat="1" ht="17.25" x14ac:dyDescent="0.3">
      <c r="A11" s="366" t="s">
        <v>219</v>
      </c>
      <c r="B11" s="365" t="s">
        <v>218</v>
      </c>
      <c r="C11" s="371">
        <v>20.21746907</v>
      </c>
      <c r="D11" s="371">
        <v>0.2</v>
      </c>
      <c r="E11" s="371">
        <v>20.149017180000001</v>
      </c>
      <c r="F11" s="371">
        <v>0</v>
      </c>
      <c r="G11" s="371">
        <v>13.61564409</v>
      </c>
      <c r="H11" s="371">
        <v>0</v>
      </c>
      <c r="I11" s="371">
        <v>46.902014719999997</v>
      </c>
      <c r="J11" s="371">
        <v>1.0149999999999999</v>
      </c>
      <c r="K11" s="372">
        <v>23.802492350000001</v>
      </c>
      <c r="L11" s="372">
        <v>0.34699999999999998</v>
      </c>
      <c r="M11" s="372">
        <v>17.57952088</v>
      </c>
      <c r="N11" s="372">
        <v>0.35499999999999998</v>
      </c>
      <c r="O11" s="372">
        <v>13.889362260000002</v>
      </c>
      <c r="P11" s="372">
        <v>0.05</v>
      </c>
      <c r="Q11" s="372">
        <v>14.355987539999999</v>
      </c>
      <c r="R11" s="401">
        <v>0</v>
      </c>
      <c r="S11" s="369">
        <v>12.60221488</v>
      </c>
      <c r="T11" s="369">
        <v>0</v>
      </c>
      <c r="U11" s="369">
        <v>23.224584840000002</v>
      </c>
      <c r="V11" s="369">
        <v>0</v>
      </c>
      <c r="W11" s="369">
        <v>24.889187799999998</v>
      </c>
      <c r="X11" s="369">
        <v>0</v>
      </c>
      <c r="Y11" s="369">
        <v>31.936883880000003</v>
      </c>
      <c r="Z11" s="369">
        <v>0</v>
      </c>
      <c r="AA11" s="369">
        <v>33.005209579999999</v>
      </c>
      <c r="AB11" s="369">
        <v>0</v>
      </c>
      <c r="AC11" s="369">
        <v>29.336324000000001</v>
      </c>
      <c r="AD11" s="369">
        <v>7.0000000000000007E-2</v>
      </c>
      <c r="AE11" s="369">
        <v>24.235054479999999</v>
      </c>
      <c r="AF11" s="369">
        <v>0.14000000000000001</v>
      </c>
      <c r="AG11" s="368">
        <v>33.201685850000004</v>
      </c>
      <c r="AH11" s="362">
        <v>1.87</v>
      </c>
      <c r="AI11" s="362">
        <v>32.78772069</v>
      </c>
      <c r="AJ11" s="362">
        <v>0.05</v>
      </c>
      <c r="AK11" s="362">
        <v>27.693999999999999</v>
      </c>
      <c r="AL11" s="362">
        <v>0</v>
      </c>
      <c r="AM11" s="362">
        <v>46.280999999999999</v>
      </c>
      <c r="AN11" s="362">
        <v>0</v>
      </c>
      <c r="AO11" s="362">
        <v>25.512</v>
      </c>
      <c r="AP11" s="362">
        <v>0.25</v>
      </c>
      <c r="AQ11" s="362">
        <v>27.938164799999996</v>
      </c>
      <c r="AR11" s="362">
        <v>0.93500000000000005</v>
      </c>
      <c r="AS11" s="362">
        <v>22.358000000000008</v>
      </c>
      <c r="AT11" s="362">
        <v>0</v>
      </c>
      <c r="AU11" s="362">
        <v>29.814999999999994</v>
      </c>
      <c r="AV11" s="362">
        <v>7.0000000000000007E-2</v>
      </c>
      <c r="AW11" s="362">
        <v>47.334999999999987</v>
      </c>
      <c r="AX11" s="362">
        <v>0</v>
      </c>
      <c r="AY11" s="362">
        <v>34.819999999999993</v>
      </c>
      <c r="AZ11" s="362">
        <v>0</v>
      </c>
      <c r="BA11" s="362">
        <v>41.15</v>
      </c>
      <c r="BB11" s="362">
        <v>0</v>
      </c>
      <c r="BC11" s="362">
        <v>37.628999999999998</v>
      </c>
      <c r="BD11" s="362">
        <v>0</v>
      </c>
      <c r="BE11" s="362">
        <v>13.453000000000001</v>
      </c>
      <c r="BF11" s="362">
        <v>3</v>
      </c>
      <c r="BG11" s="362">
        <v>15.570324569999997</v>
      </c>
      <c r="BH11" s="362">
        <v>1</v>
      </c>
      <c r="BI11" s="362">
        <v>22.657525110000002</v>
      </c>
      <c r="BJ11" s="362">
        <v>1</v>
      </c>
      <c r="BK11" s="362">
        <v>61.936999999999991</v>
      </c>
      <c r="BL11" s="362">
        <v>0</v>
      </c>
      <c r="BM11" s="362">
        <v>69.257999999999996</v>
      </c>
      <c r="BN11" s="362">
        <v>0</v>
      </c>
      <c r="BO11" s="362">
        <v>53.804404000000005</v>
      </c>
      <c r="BP11" s="362">
        <v>0</v>
      </c>
      <c r="BQ11" s="362">
        <v>65.564022829999985</v>
      </c>
      <c r="BR11" s="362">
        <v>0</v>
      </c>
      <c r="BS11" s="362">
        <v>67.409000000000006</v>
      </c>
      <c r="BT11" s="362">
        <v>0</v>
      </c>
      <c r="BU11" s="362">
        <v>55.701641000000002</v>
      </c>
      <c r="BV11" s="362">
        <v>0</v>
      </c>
      <c r="BW11" s="362">
        <v>45.860000000000014</v>
      </c>
      <c r="BX11" s="362">
        <v>0.15</v>
      </c>
      <c r="BY11" s="362">
        <v>35.007000000000005</v>
      </c>
      <c r="BZ11" s="362">
        <v>0</v>
      </c>
      <c r="CA11" s="362">
        <v>46.838000000000008</v>
      </c>
      <c r="CB11" s="362">
        <v>7.5000000000000011E-2</v>
      </c>
      <c r="CC11" s="362">
        <v>49.174999999999997</v>
      </c>
      <c r="CD11" s="362">
        <v>0</v>
      </c>
      <c r="CE11" s="362">
        <v>49.225000000000001</v>
      </c>
      <c r="CF11" s="362">
        <v>0</v>
      </c>
      <c r="CG11" s="362">
        <v>60.5</v>
      </c>
      <c r="CH11" s="362">
        <v>2.6675000000000004</v>
      </c>
      <c r="CI11" s="362">
        <v>48.625</v>
      </c>
      <c r="CJ11" s="362">
        <v>1</v>
      </c>
      <c r="CK11" s="362">
        <v>44.314999999999998</v>
      </c>
      <c r="CL11" s="362">
        <v>0</v>
      </c>
      <c r="CM11" s="362">
        <v>31.585000000000001</v>
      </c>
      <c r="CN11" s="362">
        <v>0.9</v>
      </c>
      <c r="CO11" s="362">
        <v>27.47</v>
      </c>
      <c r="CP11" s="362">
        <v>0.46818300000000002</v>
      </c>
      <c r="CQ11" s="362">
        <v>32.85</v>
      </c>
      <c r="CR11" s="362">
        <v>2.6</v>
      </c>
      <c r="CS11" s="362">
        <v>32.174999999999997</v>
      </c>
      <c r="CT11" s="362">
        <v>2.4068069599999999</v>
      </c>
      <c r="CU11" s="362">
        <v>27.015000000000001</v>
      </c>
      <c r="CV11" s="362">
        <v>3.56164455</v>
      </c>
      <c r="CW11" s="362">
        <v>31.376000000000001</v>
      </c>
      <c r="CX11" s="362">
        <v>5.2612969999999999</v>
      </c>
      <c r="CY11" s="362">
        <v>35</v>
      </c>
      <c r="CZ11" s="362">
        <v>9.3461381100000001</v>
      </c>
      <c r="DA11" s="362">
        <v>40.9</v>
      </c>
      <c r="DB11" s="362">
        <v>4.9250797799999999</v>
      </c>
      <c r="DC11" s="362">
        <v>51.37</v>
      </c>
      <c r="DD11" s="362">
        <v>2.4594760199999999</v>
      </c>
      <c r="DE11" s="362">
        <v>39.18</v>
      </c>
      <c r="DF11" s="362">
        <v>5.4875504199999998</v>
      </c>
      <c r="DG11" s="362">
        <v>48.387623999999995</v>
      </c>
      <c r="DH11" s="362">
        <v>7.9619622099999994</v>
      </c>
      <c r="DI11" s="362">
        <v>18.848935999999998</v>
      </c>
      <c r="DJ11" s="362">
        <v>12.789823480000001</v>
      </c>
      <c r="DK11" s="362">
        <v>15.214624000000001</v>
      </c>
      <c r="DL11" s="362">
        <v>26.714036870000001</v>
      </c>
      <c r="DM11" s="362">
        <v>19.222624</v>
      </c>
      <c r="DN11" s="362">
        <v>30.099385679999997</v>
      </c>
      <c r="DO11" s="362">
        <v>22.722624</v>
      </c>
      <c r="DP11" s="362">
        <v>20.24714805</v>
      </c>
      <c r="DQ11" s="362">
        <v>24.625623999999998</v>
      </c>
      <c r="DR11" s="362">
        <v>1.8129999999999999</v>
      </c>
      <c r="DS11" s="362">
        <v>22.132624</v>
      </c>
      <c r="DT11" s="362">
        <v>6.3380000000000001</v>
      </c>
      <c r="DU11" s="362">
        <v>26.297623999999999</v>
      </c>
      <c r="DV11" s="362">
        <v>3.54</v>
      </c>
      <c r="DW11" s="362">
        <v>25.351312</v>
      </c>
      <c r="DX11" s="362">
        <v>0.6</v>
      </c>
      <c r="DY11" s="362">
        <v>33.056623999999999</v>
      </c>
      <c r="DZ11" s="362">
        <v>0.15</v>
      </c>
      <c r="EA11" s="362">
        <v>37.162624000000001</v>
      </c>
      <c r="EB11" s="362">
        <v>0</v>
      </c>
      <c r="EC11" s="362">
        <v>38.356623999999996</v>
      </c>
      <c r="ED11" s="362">
        <v>0</v>
      </c>
      <c r="EE11" s="362">
        <v>29.713311999999998</v>
      </c>
      <c r="EF11" s="362">
        <v>5.8000000000000003E-2</v>
      </c>
      <c r="EG11" s="362">
        <v>31.554311999999999</v>
      </c>
      <c r="EH11" s="362">
        <v>2.022878</v>
      </c>
      <c r="EI11" s="362">
        <v>32.033312000000002</v>
      </c>
      <c r="EJ11" s="362">
        <v>3.4674330000000002</v>
      </c>
    </row>
    <row r="12" spans="1:140" s="367" customFormat="1" ht="17.25" x14ac:dyDescent="0.3">
      <c r="A12" s="366" t="s">
        <v>217</v>
      </c>
      <c r="B12" s="365" t="s">
        <v>216</v>
      </c>
      <c r="C12" s="371">
        <v>7.7549999999999999</v>
      </c>
      <c r="D12" s="372">
        <v>0</v>
      </c>
      <c r="E12" s="372">
        <v>9.01</v>
      </c>
      <c r="F12" s="372">
        <v>0</v>
      </c>
      <c r="G12" s="372">
        <v>8.9312859299999996</v>
      </c>
      <c r="H12" s="372">
        <v>0</v>
      </c>
      <c r="I12" s="372">
        <v>7.6</v>
      </c>
      <c r="J12" s="372">
        <v>0</v>
      </c>
      <c r="K12" s="372">
        <v>11.96</v>
      </c>
      <c r="L12" s="371">
        <v>0</v>
      </c>
      <c r="M12" s="371">
        <v>9.36</v>
      </c>
      <c r="N12" s="371">
        <v>0</v>
      </c>
      <c r="O12" s="372">
        <v>4.9400000000000004</v>
      </c>
      <c r="P12" s="371">
        <v>0</v>
      </c>
      <c r="Q12" s="371">
        <v>3.9849999999999999</v>
      </c>
      <c r="R12" s="370">
        <v>0</v>
      </c>
      <c r="S12" s="369">
        <v>4.375</v>
      </c>
      <c r="T12" s="369">
        <v>0</v>
      </c>
      <c r="U12" s="369">
        <v>7.1550000000000002</v>
      </c>
      <c r="V12" s="369">
        <v>0</v>
      </c>
      <c r="W12" s="369">
        <v>7.13</v>
      </c>
      <c r="X12" s="369">
        <v>0</v>
      </c>
      <c r="Y12" s="369">
        <v>4.7549999999999999</v>
      </c>
      <c r="Z12" s="369">
        <v>0</v>
      </c>
      <c r="AA12" s="369">
        <v>4.5750000000000002</v>
      </c>
      <c r="AB12" s="369">
        <v>0</v>
      </c>
      <c r="AC12" s="369">
        <v>4.3460000000000001</v>
      </c>
      <c r="AD12" s="369">
        <v>0</v>
      </c>
      <c r="AE12" s="369">
        <v>6.9</v>
      </c>
      <c r="AF12" s="369">
        <v>0</v>
      </c>
      <c r="AG12" s="368">
        <v>6.65</v>
      </c>
      <c r="AH12" s="362">
        <v>0.52500000000000002</v>
      </c>
      <c r="AI12" s="362">
        <v>5.2939999999999996</v>
      </c>
      <c r="AJ12" s="362">
        <v>0</v>
      </c>
      <c r="AK12" s="362">
        <v>1.3</v>
      </c>
      <c r="AL12" s="362">
        <v>0</v>
      </c>
      <c r="AM12" s="362">
        <v>1.7</v>
      </c>
      <c r="AN12" s="362">
        <v>0</v>
      </c>
      <c r="AO12" s="362">
        <v>1.4</v>
      </c>
      <c r="AP12" s="362">
        <v>0</v>
      </c>
      <c r="AQ12" s="362">
        <v>1.75</v>
      </c>
      <c r="AR12" s="362">
        <v>0</v>
      </c>
      <c r="AS12" s="362">
        <v>2.7749999999999999</v>
      </c>
      <c r="AT12" s="362">
        <v>0</v>
      </c>
      <c r="AU12" s="362">
        <v>1.53</v>
      </c>
      <c r="AV12" s="362">
        <v>0</v>
      </c>
      <c r="AW12" s="362">
        <v>0.27</v>
      </c>
      <c r="AX12" s="362">
        <v>0</v>
      </c>
      <c r="AY12" s="362">
        <v>1.0900000000000001</v>
      </c>
      <c r="AZ12" s="362">
        <v>0</v>
      </c>
      <c r="BA12" s="362">
        <v>2.4899999999999998</v>
      </c>
      <c r="BB12" s="362">
        <v>0</v>
      </c>
      <c r="BC12" s="362">
        <v>1.895</v>
      </c>
      <c r="BD12" s="362">
        <v>0</v>
      </c>
      <c r="BE12" s="362">
        <v>3.2299999999999995</v>
      </c>
      <c r="BF12" s="362">
        <v>0</v>
      </c>
      <c r="BG12" s="362">
        <v>5.1000000000000005</v>
      </c>
      <c r="BH12" s="362">
        <v>0</v>
      </c>
      <c r="BI12" s="362">
        <v>0.30000000000000004</v>
      </c>
      <c r="BJ12" s="362">
        <v>0</v>
      </c>
      <c r="BK12" s="362">
        <v>0.2</v>
      </c>
      <c r="BL12" s="362">
        <v>0</v>
      </c>
      <c r="BM12" s="362">
        <v>1.2749999999999999</v>
      </c>
      <c r="BN12" s="362">
        <v>0</v>
      </c>
      <c r="BO12" s="362">
        <v>6</v>
      </c>
      <c r="BP12" s="362">
        <v>0</v>
      </c>
      <c r="BQ12" s="362">
        <v>1</v>
      </c>
      <c r="BR12" s="362">
        <v>0</v>
      </c>
      <c r="BS12" s="362">
        <v>2</v>
      </c>
      <c r="BT12" s="362">
        <v>0</v>
      </c>
      <c r="BU12" s="362">
        <v>1</v>
      </c>
      <c r="BV12" s="362">
        <v>0</v>
      </c>
      <c r="BW12" s="362">
        <v>3</v>
      </c>
      <c r="BX12" s="362">
        <v>0</v>
      </c>
      <c r="BY12" s="362">
        <v>4</v>
      </c>
      <c r="BZ12" s="362">
        <v>0</v>
      </c>
      <c r="CA12" s="362">
        <v>5</v>
      </c>
      <c r="CB12" s="362">
        <v>0</v>
      </c>
      <c r="CC12" s="362">
        <v>3.5</v>
      </c>
      <c r="CD12" s="362">
        <v>0</v>
      </c>
      <c r="CE12" s="362">
        <v>5</v>
      </c>
      <c r="CF12" s="362">
        <v>0</v>
      </c>
      <c r="CG12" s="362">
        <v>2</v>
      </c>
      <c r="CH12" s="362">
        <v>0</v>
      </c>
      <c r="CI12" s="362">
        <v>0</v>
      </c>
      <c r="CJ12" s="362">
        <v>0</v>
      </c>
      <c r="CK12" s="362">
        <v>0</v>
      </c>
      <c r="CL12" s="362">
        <v>0</v>
      </c>
      <c r="CM12" s="362">
        <v>0</v>
      </c>
      <c r="CN12" s="362">
        <v>0</v>
      </c>
      <c r="CO12" s="362">
        <v>0</v>
      </c>
      <c r="CP12" s="362">
        <v>0</v>
      </c>
      <c r="CQ12" s="362">
        <v>0</v>
      </c>
      <c r="CR12" s="362">
        <v>0</v>
      </c>
      <c r="CS12" s="362">
        <v>0</v>
      </c>
      <c r="CT12" s="362">
        <v>0</v>
      </c>
      <c r="CU12" s="362">
        <v>0</v>
      </c>
      <c r="CV12" s="362">
        <v>0</v>
      </c>
      <c r="CW12" s="362">
        <v>0.25</v>
      </c>
      <c r="CX12" s="362">
        <v>0.125</v>
      </c>
      <c r="CY12" s="362">
        <v>1.3</v>
      </c>
      <c r="CZ12" s="362">
        <v>0</v>
      </c>
      <c r="DA12" s="362">
        <v>1.05</v>
      </c>
      <c r="DB12" s="362">
        <v>0</v>
      </c>
      <c r="DC12" s="362">
        <v>1.85</v>
      </c>
      <c r="DD12" s="362">
        <v>0</v>
      </c>
      <c r="DE12" s="362">
        <v>2.5</v>
      </c>
      <c r="DF12" s="362">
        <v>0</v>
      </c>
      <c r="DG12" s="362">
        <v>4.8999999999999995</v>
      </c>
      <c r="DH12" s="362">
        <v>0</v>
      </c>
      <c r="DI12" s="362">
        <v>3.7</v>
      </c>
      <c r="DJ12" s="362">
        <v>1.663181</v>
      </c>
      <c r="DK12" s="362">
        <v>3.2</v>
      </c>
      <c r="DL12" s="362">
        <v>0.38772699999999999</v>
      </c>
      <c r="DM12" s="362">
        <v>2</v>
      </c>
      <c r="DN12" s="362">
        <v>0</v>
      </c>
      <c r="DO12" s="362">
        <v>2.5</v>
      </c>
      <c r="DP12" s="362">
        <v>0</v>
      </c>
      <c r="DQ12" s="362">
        <v>1</v>
      </c>
      <c r="DR12" s="362">
        <v>0</v>
      </c>
      <c r="DS12" s="362">
        <v>0.5</v>
      </c>
      <c r="DT12" s="362">
        <v>0</v>
      </c>
      <c r="DU12" s="362">
        <v>0</v>
      </c>
      <c r="DV12" s="362">
        <v>0</v>
      </c>
      <c r="DW12" s="362">
        <v>0.5</v>
      </c>
      <c r="DX12" s="362">
        <v>0</v>
      </c>
      <c r="DY12" s="362">
        <v>1</v>
      </c>
      <c r="DZ12" s="362">
        <v>0</v>
      </c>
      <c r="EA12" s="362">
        <v>0.5</v>
      </c>
      <c r="EB12" s="362">
        <v>0</v>
      </c>
      <c r="EC12" s="362">
        <v>0.5</v>
      </c>
      <c r="ED12" s="362">
        <v>0</v>
      </c>
      <c r="EE12" s="362">
        <v>0.5</v>
      </c>
      <c r="EF12" s="362">
        <v>0</v>
      </c>
      <c r="EG12" s="362">
        <v>1</v>
      </c>
      <c r="EH12" s="362">
        <v>0</v>
      </c>
      <c r="EI12" s="362">
        <v>0.5</v>
      </c>
      <c r="EJ12" s="362">
        <v>0</v>
      </c>
    </row>
    <row r="13" spans="1:140" s="367" customFormat="1" ht="17.25" x14ac:dyDescent="0.3">
      <c r="A13" s="366" t="s">
        <v>215</v>
      </c>
      <c r="B13" s="365" t="s">
        <v>214</v>
      </c>
      <c r="C13" s="371">
        <v>45.758279999999999</v>
      </c>
      <c r="D13" s="371">
        <v>1.3</v>
      </c>
      <c r="E13" s="371">
        <v>32.723280000000003</v>
      </c>
      <c r="F13" s="371">
        <v>0</v>
      </c>
      <c r="G13" s="371">
        <v>22.55228</v>
      </c>
      <c r="H13" s="371">
        <v>0.5</v>
      </c>
      <c r="I13" s="371">
        <v>12.123279999999999</v>
      </c>
      <c r="J13" s="371">
        <v>2.2650000000000001</v>
      </c>
      <c r="K13" s="372">
        <v>23.204280000000001</v>
      </c>
      <c r="L13" s="371">
        <v>2.82</v>
      </c>
      <c r="M13" s="371">
        <v>23.325060000000001</v>
      </c>
      <c r="N13" s="371">
        <v>6.8548</v>
      </c>
      <c r="O13" s="372">
        <v>19.948060000000002</v>
      </c>
      <c r="P13" s="371">
        <v>0.3</v>
      </c>
      <c r="Q13" s="371">
        <v>37.762279999999997</v>
      </c>
      <c r="R13" s="370">
        <v>1.25</v>
      </c>
      <c r="S13" s="369">
        <v>27.763000000000002</v>
      </c>
      <c r="T13" s="369">
        <v>1.05</v>
      </c>
      <c r="U13" s="369">
        <v>33.340000000000003</v>
      </c>
      <c r="V13" s="369">
        <v>0.25</v>
      </c>
      <c r="W13" s="369">
        <v>12.79</v>
      </c>
      <c r="X13" s="369">
        <v>0</v>
      </c>
      <c r="Y13" s="369">
        <v>7.1395348800000002</v>
      </c>
      <c r="Z13" s="369">
        <v>0.65</v>
      </c>
      <c r="AA13" s="369">
        <v>2.4750000000000001</v>
      </c>
      <c r="AB13" s="369">
        <v>0.877</v>
      </c>
      <c r="AC13" s="369">
        <v>5.1071812899999998</v>
      </c>
      <c r="AD13" s="369">
        <v>1.65</v>
      </c>
      <c r="AE13" s="369">
        <v>6.165</v>
      </c>
      <c r="AF13" s="369">
        <v>0.67100000000000004</v>
      </c>
      <c r="AG13" s="368">
        <v>8.49</v>
      </c>
      <c r="AH13" s="362">
        <v>0.95</v>
      </c>
      <c r="AI13" s="362">
        <v>0.87299741999999991</v>
      </c>
      <c r="AJ13" s="362">
        <v>0.215</v>
      </c>
      <c r="AK13" s="362">
        <v>8.5</v>
      </c>
      <c r="AL13" s="362">
        <v>6</v>
      </c>
      <c r="AM13" s="362">
        <v>1.99</v>
      </c>
      <c r="AN13" s="362">
        <v>1.3</v>
      </c>
      <c r="AO13" s="362">
        <v>4.01</v>
      </c>
      <c r="AP13" s="362">
        <v>7.01</v>
      </c>
      <c r="AQ13" s="362">
        <v>18.75</v>
      </c>
      <c r="AR13" s="362">
        <v>2.1113400000000002</v>
      </c>
      <c r="AS13" s="362">
        <v>29.890599999999999</v>
      </c>
      <c r="AT13" s="362">
        <v>5.7846000000000002</v>
      </c>
      <c r="AU13" s="362">
        <v>8.1655999999999995</v>
      </c>
      <c r="AV13" s="362">
        <v>4.7</v>
      </c>
      <c r="AW13" s="362">
        <v>15.3156</v>
      </c>
      <c r="AX13" s="362">
        <v>0</v>
      </c>
      <c r="AY13" s="362">
        <v>3.2</v>
      </c>
      <c r="AZ13" s="362">
        <v>7.5</v>
      </c>
      <c r="BA13" s="362">
        <v>1.1575</v>
      </c>
      <c r="BB13" s="362">
        <v>0.49500000000000005</v>
      </c>
      <c r="BC13" s="362">
        <v>2.468</v>
      </c>
      <c r="BD13" s="362">
        <v>0.5</v>
      </c>
      <c r="BE13" s="362">
        <v>2.4245000000000001</v>
      </c>
      <c r="BF13" s="362">
        <v>0</v>
      </c>
      <c r="BG13" s="362">
        <v>2.6745000000000001</v>
      </c>
      <c r="BH13" s="362">
        <v>0.53</v>
      </c>
      <c r="BI13" s="362">
        <v>0</v>
      </c>
      <c r="BJ13" s="362">
        <v>0</v>
      </c>
      <c r="BK13" s="362">
        <v>13.15</v>
      </c>
      <c r="BL13" s="362">
        <v>0.3</v>
      </c>
      <c r="BM13" s="362">
        <v>2.6</v>
      </c>
      <c r="BN13" s="362">
        <v>10</v>
      </c>
      <c r="BO13" s="362">
        <v>6.625</v>
      </c>
      <c r="BP13" s="362">
        <v>9.2032190000000007</v>
      </c>
      <c r="BQ13" s="362">
        <v>1.0549999999999999</v>
      </c>
      <c r="BR13" s="362">
        <v>4.2032189999999998</v>
      </c>
      <c r="BS13" s="362">
        <v>12.7</v>
      </c>
      <c r="BT13" s="362">
        <v>14.719999999999999</v>
      </c>
      <c r="BU13" s="362">
        <v>16.25</v>
      </c>
      <c r="BV13" s="362">
        <v>9.86</v>
      </c>
      <c r="BW13" s="362">
        <v>4.25</v>
      </c>
      <c r="BX13" s="362">
        <v>10.459999999999999</v>
      </c>
      <c r="BY13" s="362">
        <v>9</v>
      </c>
      <c r="BZ13" s="362">
        <v>9.86</v>
      </c>
      <c r="CA13" s="362">
        <v>2</v>
      </c>
      <c r="CB13" s="362">
        <v>0</v>
      </c>
      <c r="CC13" s="362">
        <v>5.75</v>
      </c>
      <c r="CD13" s="362">
        <v>0.7</v>
      </c>
      <c r="CE13" s="362">
        <v>9.1999999999999993</v>
      </c>
      <c r="CF13" s="362">
        <v>0</v>
      </c>
      <c r="CG13" s="362">
        <v>10.899999999999999</v>
      </c>
      <c r="CH13" s="362">
        <v>0</v>
      </c>
      <c r="CI13" s="362">
        <v>7.55</v>
      </c>
      <c r="CJ13" s="362">
        <v>0</v>
      </c>
      <c r="CK13" s="362">
        <v>6.15</v>
      </c>
      <c r="CL13" s="362">
        <v>0</v>
      </c>
      <c r="CM13" s="362">
        <v>7.5</v>
      </c>
      <c r="CN13" s="362">
        <v>0</v>
      </c>
      <c r="CO13" s="362">
        <v>3.45</v>
      </c>
      <c r="CP13" s="362">
        <v>0</v>
      </c>
      <c r="CQ13" s="362">
        <v>3.2</v>
      </c>
      <c r="CR13" s="362">
        <v>0</v>
      </c>
      <c r="CS13" s="362">
        <v>4</v>
      </c>
      <c r="CT13" s="362">
        <v>0</v>
      </c>
      <c r="CU13" s="362">
        <v>0</v>
      </c>
      <c r="CV13" s="362">
        <v>0.15</v>
      </c>
      <c r="CW13" s="362">
        <v>0.3</v>
      </c>
      <c r="CX13" s="362">
        <v>3.5000000000000003E-2</v>
      </c>
      <c r="CY13" s="362">
        <v>0</v>
      </c>
      <c r="CZ13" s="362">
        <v>0</v>
      </c>
      <c r="DA13" s="362">
        <v>0</v>
      </c>
      <c r="DB13" s="362">
        <v>0</v>
      </c>
      <c r="DC13" s="362">
        <v>1.1000000000000001</v>
      </c>
      <c r="DD13" s="362">
        <v>0</v>
      </c>
      <c r="DE13" s="362">
        <v>0</v>
      </c>
      <c r="DF13" s="362">
        <v>0</v>
      </c>
      <c r="DG13" s="362">
        <v>0.2</v>
      </c>
      <c r="DH13" s="362">
        <v>0</v>
      </c>
      <c r="DI13" s="362">
        <v>0.95</v>
      </c>
      <c r="DJ13" s="362">
        <v>0</v>
      </c>
      <c r="DK13" s="362">
        <v>0</v>
      </c>
      <c r="DL13" s="362">
        <v>0</v>
      </c>
      <c r="DM13" s="362">
        <v>0</v>
      </c>
      <c r="DN13" s="362">
        <v>0</v>
      </c>
      <c r="DO13" s="362">
        <v>0.15</v>
      </c>
      <c r="DP13" s="362">
        <v>2.1</v>
      </c>
      <c r="DQ13" s="362">
        <v>35.049999999999997</v>
      </c>
      <c r="DR13" s="362">
        <v>0</v>
      </c>
      <c r="DS13" s="362">
        <v>20.125</v>
      </c>
      <c r="DT13" s="362">
        <v>0</v>
      </c>
      <c r="DU13" s="362">
        <v>30</v>
      </c>
      <c r="DV13" s="362">
        <v>0</v>
      </c>
      <c r="DW13" s="362">
        <v>26.5</v>
      </c>
      <c r="DX13" s="362">
        <v>0</v>
      </c>
      <c r="DY13" s="362">
        <v>6</v>
      </c>
      <c r="DZ13" s="362">
        <v>0.35</v>
      </c>
      <c r="EA13" s="362">
        <v>4.5999999999999996</v>
      </c>
      <c r="EB13" s="362">
        <v>0</v>
      </c>
      <c r="EC13" s="362">
        <v>10</v>
      </c>
      <c r="ED13" s="362">
        <v>0</v>
      </c>
      <c r="EE13" s="362">
        <v>0.8</v>
      </c>
      <c r="EF13" s="362">
        <v>0</v>
      </c>
      <c r="EG13" s="362">
        <v>2.95</v>
      </c>
      <c r="EH13" s="362">
        <v>0</v>
      </c>
      <c r="EI13" s="362">
        <v>2</v>
      </c>
      <c r="EJ13" s="362">
        <v>0</v>
      </c>
    </row>
    <row r="14" spans="1:140" s="367" customFormat="1" ht="17.25" x14ac:dyDescent="0.3">
      <c r="A14" s="366" t="s">
        <v>213</v>
      </c>
      <c r="B14" s="365" t="s">
        <v>212</v>
      </c>
      <c r="C14" s="371">
        <v>1.905</v>
      </c>
      <c r="D14" s="371">
        <v>0</v>
      </c>
      <c r="E14" s="371">
        <v>0.745</v>
      </c>
      <c r="F14" s="371">
        <v>0</v>
      </c>
      <c r="G14" s="371">
        <v>1.875</v>
      </c>
      <c r="H14" s="371">
        <v>0</v>
      </c>
      <c r="I14" s="371">
        <v>1.23</v>
      </c>
      <c r="J14" s="371">
        <v>0</v>
      </c>
      <c r="K14" s="372">
        <v>2.62</v>
      </c>
      <c r="L14" s="371">
        <v>0</v>
      </c>
      <c r="M14" s="371">
        <v>3.03</v>
      </c>
      <c r="N14" s="371">
        <v>0</v>
      </c>
      <c r="O14" s="372">
        <v>2.65</v>
      </c>
      <c r="P14" s="371">
        <v>0</v>
      </c>
      <c r="Q14" s="371">
        <v>2.46</v>
      </c>
      <c r="R14" s="370">
        <v>0</v>
      </c>
      <c r="S14" s="369">
        <v>1.056</v>
      </c>
      <c r="T14" s="369">
        <v>0</v>
      </c>
      <c r="U14" s="369">
        <v>0</v>
      </c>
      <c r="V14" s="369">
        <v>0</v>
      </c>
      <c r="W14" s="369">
        <v>2.25</v>
      </c>
      <c r="X14" s="369">
        <v>0</v>
      </c>
      <c r="Y14" s="369">
        <v>0</v>
      </c>
      <c r="Z14" s="369">
        <v>0</v>
      </c>
      <c r="AA14" s="369">
        <v>0</v>
      </c>
      <c r="AB14" s="369">
        <v>0</v>
      </c>
      <c r="AC14" s="369">
        <v>1.32</v>
      </c>
      <c r="AD14" s="369">
        <v>0</v>
      </c>
      <c r="AE14" s="369">
        <v>2.4550000000000001</v>
      </c>
      <c r="AF14" s="369">
        <v>0</v>
      </c>
      <c r="AG14" s="368">
        <v>2.46</v>
      </c>
      <c r="AH14" s="362">
        <v>0</v>
      </c>
      <c r="AI14" s="362">
        <v>0.255</v>
      </c>
      <c r="AJ14" s="362">
        <v>0</v>
      </c>
      <c r="AK14" s="362">
        <v>5.4240000000000004</v>
      </c>
      <c r="AL14" s="362">
        <v>0</v>
      </c>
      <c r="AM14" s="362">
        <v>2.2000000000000002</v>
      </c>
      <c r="AN14" s="362">
        <v>0</v>
      </c>
      <c r="AO14" s="362">
        <v>5.5</v>
      </c>
      <c r="AP14" s="362">
        <v>0</v>
      </c>
      <c r="AQ14" s="362">
        <v>5.0200000000000005</v>
      </c>
      <c r="AR14" s="362">
        <v>0</v>
      </c>
      <c r="AS14" s="362">
        <v>3.52</v>
      </c>
      <c r="AT14" s="362">
        <v>0</v>
      </c>
      <c r="AU14" s="362">
        <v>4.98001</v>
      </c>
      <c r="AV14" s="362">
        <v>0</v>
      </c>
      <c r="AW14" s="362">
        <v>2.7250000000000001</v>
      </c>
      <c r="AX14" s="362">
        <v>0</v>
      </c>
      <c r="AY14" s="362">
        <v>4.3850000000000007</v>
      </c>
      <c r="AZ14" s="362">
        <v>0</v>
      </c>
      <c r="BA14" s="362">
        <v>2.0549999999999997</v>
      </c>
      <c r="BB14" s="362">
        <v>0</v>
      </c>
      <c r="BC14" s="362">
        <v>4.8100000000000005</v>
      </c>
      <c r="BD14" s="362">
        <v>0</v>
      </c>
      <c r="BE14" s="362">
        <v>3.44824083</v>
      </c>
      <c r="BF14" s="362">
        <v>0</v>
      </c>
      <c r="BG14" s="362">
        <v>3.6503758300000002</v>
      </c>
      <c r="BH14" s="362">
        <v>0</v>
      </c>
      <c r="BI14" s="362">
        <v>6.0088961700000008</v>
      </c>
      <c r="BJ14" s="362">
        <v>0.48599999999999999</v>
      </c>
      <c r="BK14" s="362">
        <v>5.5942408300000004</v>
      </c>
      <c r="BL14" s="362">
        <v>0</v>
      </c>
      <c r="BM14" s="362">
        <v>5.5714816600000008</v>
      </c>
      <c r="BN14" s="362">
        <v>1</v>
      </c>
      <c r="BO14" s="362">
        <v>0.32</v>
      </c>
      <c r="BP14" s="362">
        <v>0</v>
      </c>
      <c r="BQ14" s="362">
        <v>0</v>
      </c>
      <c r="BR14" s="362">
        <v>0</v>
      </c>
      <c r="BS14" s="362">
        <v>1.8699999999999999</v>
      </c>
      <c r="BT14" s="362">
        <v>0</v>
      </c>
      <c r="BU14" s="362">
        <v>0</v>
      </c>
      <c r="BV14" s="362">
        <v>1.4</v>
      </c>
      <c r="BW14" s="362">
        <v>0</v>
      </c>
      <c r="BX14" s="362">
        <v>0</v>
      </c>
      <c r="BY14" s="362">
        <v>0.4</v>
      </c>
      <c r="BZ14" s="362">
        <v>0</v>
      </c>
      <c r="CA14" s="362">
        <v>0</v>
      </c>
      <c r="CB14" s="362">
        <v>0.25</v>
      </c>
      <c r="CC14" s="362">
        <v>0</v>
      </c>
      <c r="CD14" s="362">
        <v>0</v>
      </c>
      <c r="CE14" s="362">
        <v>0</v>
      </c>
      <c r="CF14" s="362">
        <v>0.2</v>
      </c>
      <c r="CG14" s="362">
        <v>0.2</v>
      </c>
      <c r="CH14" s="362">
        <v>0</v>
      </c>
      <c r="CI14" s="362">
        <v>0</v>
      </c>
      <c r="CJ14" s="362">
        <v>0.3</v>
      </c>
      <c r="CK14" s="362">
        <v>0</v>
      </c>
      <c r="CL14" s="362">
        <v>0</v>
      </c>
      <c r="CM14" s="362">
        <v>0</v>
      </c>
      <c r="CN14" s="362">
        <v>0</v>
      </c>
      <c r="CO14" s="362">
        <v>0</v>
      </c>
      <c r="CP14" s="362">
        <v>0</v>
      </c>
      <c r="CQ14" s="362">
        <v>0</v>
      </c>
      <c r="CR14" s="362">
        <v>0</v>
      </c>
      <c r="CS14" s="362">
        <v>0</v>
      </c>
      <c r="CT14" s="362">
        <v>0</v>
      </c>
      <c r="CU14" s="362">
        <v>0</v>
      </c>
      <c r="CV14" s="362">
        <v>0.2</v>
      </c>
      <c r="CW14" s="362">
        <v>0</v>
      </c>
      <c r="CX14" s="362">
        <v>1.609</v>
      </c>
      <c r="CY14" s="362">
        <v>0</v>
      </c>
      <c r="CZ14" s="362">
        <v>2.7</v>
      </c>
      <c r="DA14" s="362">
        <v>0.95699999999999996</v>
      </c>
      <c r="DB14" s="362">
        <v>2.3279999999999998</v>
      </c>
      <c r="DC14" s="362">
        <v>1.0020228500000001</v>
      </c>
      <c r="DD14" s="362">
        <v>0</v>
      </c>
      <c r="DE14" s="362">
        <v>3.33</v>
      </c>
      <c r="DF14" s="362">
        <v>0.505</v>
      </c>
      <c r="DG14" s="362">
        <v>0.38589286</v>
      </c>
      <c r="DH14" s="362">
        <v>0.04</v>
      </c>
      <c r="DI14" s="362">
        <v>0</v>
      </c>
      <c r="DJ14" s="362">
        <v>0.59</v>
      </c>
      <c r="DK14" s="362">
        <v>0</v>
      </c>
      <c r="DL14" s="362">
        <v>0.28499999999999998</v>
      </c>
      <c r="DM14" s="362">
        <v>0</v>
      </c>
      <c r="DN14" s="362">
        <v>0.66500000000000004</v>
      </c>
      <c r="DO14" s="362">
        <v>0</v>
      </c>
      <c r="DP14" s="362">
        <v>0</v>
      </c>
      <c r="DQ14" s="362">
        <v>0.15</v>
      </c>
      <c r="DR14" s="362">
        <v>0</v>
      </c>
      <c r="DS14" s="362">
        <v>0</v>
      </c>
      <c r="DT14" s="362">
        <v>0</v>
      </c>
      <c r="DU14" s="362">
        <v>0</v>
      </c>
      <c r="DV14" s="362">
        <v>0</v>
      </c>
      <c r="DW14" s="362">
        <v>0.2</v>
      </c>
      <c r="DX14" s="362">
        <v>0</v>
      </c>
      <c r="DY14" s="362">
        <v>0.3</v>
      </c>
      <c r="DZ14" s="362">
        <v>0</v>
      </c>
      <c r="EA14" s="362">
        <v>0.1</v>
      </c>
      <c r="EB14" s="362">
        <v>0</v>
      </c>
      <c r="EC14" s="362">
        <v>0</v>
      </c>
      <c r="ED14" s="362">
        <v>0</v>
      </c>
      <c r="EE14" s="362">
        <v>0</v>
      </c>
      <c r="EF14" s="362">
        <v>0</v>
      </c>
      <c r="EG14" s="362">
        <v>0</v>
      </c>
      <c r="EH14" s="362">
        <v>0.2</v>
      </c>
      <c r="EI14" s="362">
        <v>0</v>
      </c>
      <c r="EJ14" s="362">
        <v>0.2</v>
      </c>
    </row>
    <row r="15" spans="1:140" s="367" customFormat="1" ht="17.25" x14ac:dyDescent="0.3">
      <c r="A15" s="366" t="s">
        <v>211</v>
      </c>
      <c r="B15" s="365" t="s">
        <v>210</v>
      </c>
      <c r="C15" s="371">
        <v>338.49152800000002</v>
      </c>
      <c r="D15" s="371">
        <v>65.127109149999995</v>
      </c>
      <c r="E15" s="371">
        <v>340.17269874999994</v>
      </c>
      <c r="F15" s="371">
        <v>210.30647868</v>
      </c>
      <c r="G15" s="371">
        <v>310.33459085999999</v>
      </c>
      <c r="H15" s="371">
        <v>263.10811609000001</v>
      </c>
      <c r="I15" s="371">
        <v>342.09115270999996</v>
      </c>
      <c r="J15" s="371">
        <v>89.893186289999974</v>
      </c>
      <c r="K15" s="372">
        <v>435.52581905000005</v>
      </c>
      <c r="L15" s="371">
        <v>83.364604099999994</v>
      </c>
      <c r="M15" s="371">
        <v>417.65808118000007</v>
      </c>
      <c r="N15" s="371">
        <v>71.309720320000011</v>
      </c>
      <c r="O15" s="372">
        <v>299.65887624000015</v>
      </c>
      <c r="P15" s="371">
        <v>136.18072051999999</v>
      </c>
      <c r="Q15" s="371">
        <v>243.08413280000011</v>
      </c>
      <c r="R15" s="370">
        <v>80.087113340000002</v>
      </c>
      <c r="S15" s="369">
        <v>301.92879793999998</v>
      </c>
      <c r="T15" s="369">
        <v>48.181882209999998</v>
      </c>
      <c r="U15" s="369">
        <v>204.38111503999994</v>
      </c>
      <c r="V15" s="369">
        <v>80.179591400000007</v>
      </c>
      <c r="W15" s="369">
        <v>251.47948204000005</v>
      </c>
      <c r="X15" s="369">
        <v>59.816023789999996</v>
      </c>
      <c r="Y15" s="369">
        <v>338.79139493999975</v>
      </c>
      <c r="Z15" s="369">
        <v>49.043482850000004</v>
      </c>
      <c r="AA15" s="369">
        <v>348.99357450999992</v>
      </c>
      <c r="AB15" s="369">
        <v>25.49138026</v>
      </c>
      <c r="AC15" s="369">
        <v>411.17957194999968</v>
      </c>
      <c r="AD15" s="369">
        <v>55.40953932</v>
      </c>
      <c r="AE15" s="369">
        <v>628.02381604999971</v>
      </c>
      <c r="AF15" s="369">
        <v>38.211232810000006</v>
      </c>
      <c r="AG15" s="368">
        <v>607.42099672000018</v>
      </c>
      <c r="AH15" s="362">
        <v>25.261482000000001</v>
      </c>
      <c r="AI15" s="362">
        <v>560.08025080999982</v>
      </c>
      <c r="AJ15" s="362">
        <v>37.352272999999997</v>
      </c>
      <c r="AK15" s="362">
        <v>731.9814514200001</v>
      </c>
      <c r="AL15" s="362">
        <v>124.10028714999999</v>
      </c>
      <c r="AM15" s="362">
        <v>402.42638737999999</v>
      </c>
      <c r="AN15" s="362">
        <v>26.8838428</v>
      </c>
      <c r="AO15" s="362">
        <v>627.51656354000011</v>
      </c>
      <c r="AP15" s="362">
        <v>53.458305319999994</v>
      </c>
      <c r="AQ15" s="362">
        <v>467.78428994999985</v>
      </c>
      <c r="AR15" s="362">
        <v>86.494309149999992</v>
      </c>
      <c r="AS15" s="362">
        <v>745.40213086999984</v>
      </c>
      <c r="AT15" s="362">
        <v>186.19907872000002</v>
      </c>
      <c r="AU15" s="362">
        <v>460.09924364000011</v>
      </c>
      <c r="AV15" s="362">
        <v>175.38433003999998</v>
      </c>
      <c r="AW15" s="362">
        <v>590.05201737999994</v>
      </c>
      <c r="AX15" s="362">
        <v>97.99848627999998</v>
      </c>
      <c r="AY15" s="362">
        <v>548.41857400999993</v>
      </c>
      <c r="AZ15" s="362">
        <v>94.467328550000005</v>
      </c>
      <c r="BA15" s="362">
        <v>356.48712003000003</v>
      </c>
      <c r="BB15" s="362">
        <v>94.878434180000028</v>
      </c>
      <c r="BC15" s="362">
        <v>116.31169556000003</v>
      </c>
      <c r="BD15" s="362">
        <v>62.844692430000009</v>
      </c>
      <c r="BE15" s="362">
        <v>70.195708010000004</v>
      </c>
      <c r="BF15" s="362">
        <v>25.900523719999999</v>
      </c>
      <c r="BG15" s="362">
        <v>146.06203421000004</v>
      </c>
      <c r="BH15" s="362">
        <v>7.7900000000000009</v>
      </c>
      <c r="BI15" s="362">
        <v>175.02488783000007</v>
      </c>
      <c r="BJ15" s="362">
        <v>60.788814649999999</v>
      </c>
      <c r="BK15" s="362">
        <v>129.67361061</v>
      </c>
      <c r="BL15" s="362">
        <v>87.015083040000022</v>
      </c>
      <c r="BM15" s="362">
        <v>123.49772595000002</v>
      </c>
      <c r="BN15" s="362">
        <v>65.309168240000005</v>
      </c>
      <c r="BO15" s="362">
        <v>143.20572161000004</v>
      </c>
      <c r="BP15" s="362">
        <v>76.64164913999997</v>
      </c>
      <c r="BQ15" s="362">
        <v>201.55118945999996</v>
      </c>
      <c r="BR15" s="362">
        <v>5.65126566</v>
      </c>
      <c r="BS15" s="362">
        <v>166.12721233999997</v>
      </c>
      <c r="BT15" s="362">
        <v>6.7865239300000004</v>
      </c>
      <c r="BU15" s="362">
        <v>120.20451301999999</v>
      </c>
      <c r="BV15" s="362">
        <v>32.774743530000002</v>
      </c>
      <c r="BW15" s="362">
        <v>67.736009569999993</v>
      </c>
      <c r="BX15" s="362">
        <v>56.171323090000001</v>
      </c>
      <c r="BY15" s="362">
        <v>135.50158079000002</v>
      </c>
      <c r="BZ15" s="362">
        <v>12.47077064</v>
      </c>
      <c r="CA15" s="362">
        <v>247.1942617899999</v>
      </c>
      <c r="CB15" s="362">
        <v>18.342122280000002</v>
      </c>
      <c r="CC15" s="362">
        <v>398.25491356000015</v>
      </c>
      <c r="CD15" s="362">
        <v>18.123827160000001</v>
      </c>
      <c r="CE15" s="362">
        <v>446.98578651999998</v>
      </c>
      <c r="CF15" s="362">
        <v>38.729028380000003</v>
      </c>
      <c r="CG15" s="362">
        <v>326.85729507999991</v>
      </c>
      <c r="CH15" s="362">
        <v>71.963579430000024</v>
      </c>
      <c r="CI15" s="362">
        <v>399.44163467999988</v>
      </c>
      <c r="CJ15" s="362">
        <v>196.75431021</v>
      </c>
      <c r="CK15" s="362">
        <v>584.12680560000001</v>
      </c>
      <c r="CL15" s="362">
        <v>193.49719942999994</v>
      </c>
      <c r="CM15" s="362">
        <v>493.26856682999988</v>
      </c>
      <c r="CN15" s="362">
        <v>133.73076451</v>
      </c>
      <c r="CO15" s="362">
        <v>155.22882758999998</v>
      </c>
      <c r="CP15" s="362">
        <v>94.978337879999998</v>
      </c>
      <c r="CQ15" s="362">
        <v>281.20356293999998</v>
      </c>
      <c r="CR15" s="362">
        <v>50.19188102999999</v>
      </c>
      <c r="CS15" s="362">
        <v>610.85878538999987</v>
      </c>
      <c r="CT15" s="362">
        <v>24.298113180000001</v>
      </c>
      <c r="CU15" s="362">
        <v>476.84682028000003</v>
      </c>
      <c r="CV15" s="362">
        <v>29.984248999999998</v>
      </c>
      <c r="CW15" s="362">
        <v>539.92142253000009</v>
      </c>
      <c r="CX15" s="362">
        <v>16.484999999999999</v>
      </c>
      <c r="CY15" s="362">
        <v>826.55351384000016</v>
      </c>
      <c r="CZ15" s="362">
        <v>166.26985956999999</v>
      </c>
      <c r="DA15" s="362">
        <v>571.66416898999989</v>
      </c>
      <c r="DB15" s="362">
        <v>117.09070970000001</v>
      </c>
      <c r="DC15" s="362">
        <v>480.62778880000013</v>
      </c>
      <c r="DD15" s="362">
        <v>336.75555773000002</v>
      </c>
      <c r="DE15" s="362">
        <v>336.87179089</v>
      </c>
      <c r="DF15" s="362">
        <v>270.30379372999994</v>
      </c>
      <c r="DG15" s="362">
        <v>494.56735272000009</v>
      </c>
      <c r="DH15" s="362">
        <v>196.38197400000001</v>
      </c>
      <c r="DI15" s="362">
        <v>298.61191323999981</v>
      </c>
      <c r="DJ15" s="362">
        <v>90.401983610000002</v>
      </c>
      <c r="DK15" s="362">
        <v>80.466659829999998</v>
      </c>
      <c r="DL15" s="362">
        <v>233.01596196</v>
      </c>
      <c r="DM15" s="362">
        <v>102.22874113</v>
      </c>
      <c r="DN15" s="362">
        <v>214.99050396999999</v>
      </c>
      <c r="DO15" s="362">
        <v>125.90638472000002</v>
      </c>
      <c r="DP15" s="362">
        <v>305.85228677999999</v>
      </c>
      <c r="DQ15" s="362">
        <v>127.70264622000001</v>
      </c>
      <c r="DR15" s="362">
        <v>151.46919351</v>
      </c>
      <c r="DS15" s="362">
        <v>131.70191851999996</v>
      </c>
      <c r="DT15" s="362">
        <v>132.81680026000001</v>
      </c>
      <c r="DU15" s="362">
        <v>127.99294515000003</v>
      </c>
      <c r="DV15" s="362">
        <v>101.29241525</v>
      </c>
      <c r="DW15" s="362">
        <v>261.13561703000005</v>
      </c>
      <c r="DX15" s="362">
        <v>151.02407839999998</v>
      </c>
      <c r="DY15" s="362">
        <v>261.20184442000004</v>
      </c>
      <c r="DZ15" s="362">
        <v>243.63034276000002</v>
      </c>
      <c r="EA15" s="362">
        <v>216.95986520000002</v>
      </c>
      <c r="EB15" s="362">
        <v>72.399404689999997</v>
      </c>
      <c r="EC15" s="362">
        <v>148.08479439000001</v>
      </c>
      <c r="ED15" s="362">
        <v>37.125053999999999</v>
      </c>
      <c r="EE15" s="362">
        <v>220.38532158999999</v>
      </c>
      <c r="EF15" s="362">
        <v>11.944521</v>
      </c>
      <c r="EG15" s="362">
        <v>217.91504663000006</v>
      </c>
      <c r="EH15" s="362">
        <v>34.003585000000001</v>
      </c>
      <c r="EI15" s="362">
        <v>125.52070332</v>
      </c>
      <c r="EJ15" s="362">
        <v>22.840450380000004</v>
      </c>
    </row>
    <row r="16" spans="1:140" s="367" customFormat="1" ht="17.25" x14ac:dyDescent="0.3">
      <c r="A16" s="366" t="s">
        <v>209</v>
      </c>
      <c r="B16" s="365" t="s">
        <v>208</v>
      </c>
      <c r="C16" s="371"/>
      <c r="D16" s="371"/>
      <c r="E16" s="371"/>
      <c r="F16" s="371"/>
      <c r="G16" s="371"/>
      <c r="H16" s="371"/>
      <c r="I16" s="371"/>
      <c r="J16" s="371"/>
      <c r="K16" s="372">
        <v>0</v>
      </c>
      <c r="L16" s="371">
        <v>0</v>
      </c>
      <c r="M16" s="371">
        <v>0</v>
      </c>
      <c r="N16" s="371">
        <v>0</v>
      </c>
      <c r="O16" s="372">
        <v>0</v>
      </c>
      <c r="P16" s="371">
        <v>0</v>
      </c>
      <c r="Q16" s="371">
        <v>0</v>
      </c>
      <c r="R16" s="370">
        <v>0</v>
      </c>
      <c r="S16" s="369">
        <v>0</v>
      </c>
      <c r="T16" s="369">
        <v>0</v>
      </c>
      <c r="U16" s="369">
        <v>0</v>
      </c>
      <c r="V16" s="369">
        <v>0</v>
      </c>
      <c r="W16" s="369">
        <v>0</v>
      </c>
      <c r="X16" s="369">
        <v>0</v>
      </c>
      <c r="Y16" s="369">
        <v>0</v>
      </c>
      <c r="Z16" s="369">
        <v>0</v>
      </c>
      <c r="AA16" s="369">
        <v>0</v>
      </c>
      <c r="AB16" s="369">
        <v>0</v>
      </c>
      <c r="AC16" s="369">
        <v>0</v>
      </c>
      <c r="AD16" s="369">
        <v>0</v>
      </c>
      <c r="AE16" s="369">
        <v>0</v>
      </c>
      <c r="AF16" s="369">
        <v>0</v>
      </c>
      <c r="AG16" s="368">
        <v>0</v>
      </c>
      <c r="AH16" s="362">
        <v>0</v>
      </c>
      <c r="AI16" s="362">
        <v>0</v>
      </c>
      <c r="AJ16" s="362">
        <v>0</v>
      </c>
      <c r="AK16" s="362">
        <v>0</v>
      </c>
      <c r="AL16" s="362">
        <v>0</v>
      </c>
      <c r="AM16" s="362">
        <v>0</v>
      </c>
      <c r="AN16" s="362">
        <v>0</v>
      </c>
      <c r="AO16" s="362">
        <v>0</v>
      </c>
      <c r="AP16" s="362">
        <v>0</v>
      </c>
      <c r="AQ16" s="362">
        <v>0</v>
      </c>
      <c r="AR16" s="362">
        <v>0</v>
      </c>
      <c r="AS16" s="362">
        <v>0</v>
      </c>
      <c r="AT16" s="362">
        <v>0</v>
      </c>
      <c r="AU16" s="362">
        <v>0</v>
      </c>
      <c r="AV16" s="362">
        <v>0</v>
      </c>
      <c r="AW16" s="362">
        <v>0</v>
      </c>
      <c r="AX16" s="362">
        <v>0</v>
      </c>
      <c r="AY16" s="362">
        <v>0</v>
      </c>
      <c r="AZ16" s="362">
        <v>0</v>
      </c>
      <c r="BA16" s="362">
        <v>0</v>
      </c>
      <c r="BB16" s="362">
        <v>0</v>
      </c>
      <c r="BC16" s="362">
        <v>0</v>
      </c>
      <c r="BD16" s="362">
        <v>0</v>
      </c>
      <c r="BE16" s="362">
        <v>0</v>
      </c>
      <c r="BF16" s="362">
        <v>0</v>
      </c>
      <c r="BG16" s="362">
        <v>0</v>
      </c>
      <c r="BH16" s="362">
        <v>0</v>
      </c>
      <c r="BI16" s="362">
        <v>0</v>
      </c>
      <c r="BJ16" s="362">
        <v>0</v>
      </c>
      <c r="BK16" s="362">
        <v>0</v>
      </c>
      <c r="BL16" s="362">
        <v>0</v>
      </c>
      <c r="BM16" s="362">
        <v>0</v>
      </c>
      <c r="BN16" s="362">
        <v>0</v>
      </c>
      <c r="BO16" s="362">
        <v>0</v>
      </c>
      <c r="BP16" s="362">
        <v>0</v>
      </c>
      <c r="BQ16" s="362">
        <v>0</v>
      </c>
      <c r="BR16" s="362">
        <v>0</v>
      </c>
      <c r="BS16" s="362">
        <v>0</v>
      </c>
      <c r="BT16" s="362">
        <v>0</v>
      </c>
      <c r="BU16" s="362">
        <v>0</v>
      </c>
      <c r="BV16" s="362">
        <v>0</v>
      </c>
      <c r="BW16" s="362">
        <v>0</v>
      </c>
      <c r="BX16" s="362">
        <v>0</v>
      </c>
      <c r="BY16" s="362">
        <v>0</v>
      </c>
      <c r="BZ16" s="362">
        <v>0</v>
      </c>
      <c r="CA16" s="362">
        <v>0</v>
      </c>
      <c r="CB16" s="362">
        <v>0</v>
      </c>
      <c r="CC16" s="362">
        <v>0</v>
      </c>
      <c r="CD16" s="362">
        <v>0</v>
      </c>
      <c r="CE16" s="362">
        <v>0</v>
      </c>
      <c r="CF16" s="362">
        <v>0</v>
      </c>
      <c r="CG16" s="362">
        <v>0</v>
      </c>
      <c r="CH16" s="362">
        <v>0</v>
      </c>
      <c r="CI16" s="362">
        <v>0</v>
      </c>
      <c r="CJ16" s="362">
        <v>0</v>
      </c>
      <c r="CK16" s="362">
        <v>0</v>
      </c>
      <c r="CL16" s="362">
        <v>0</v>
      </c>
      <c r="CM16" s="362">
        <v>0</v>
      </c>
      <c r="CN16" s="362">
        <v>0</v>
      </c>
      <c r="CO16" s="362">
        <v>0</v>
      </c>
      <c r="CP16" s="362">
        <v>0</v>
      </c>
      <c r="CQ16" s="362">
        <v>0</v>
      </c>
      <c r="CR16" s="362">
        <v>0</v>
      </c>
      <c r="CS16" s="362">
        <v>0</v>
      </c>
      <c r="CT16" s="362">
        <v>0</v>
      </c>
      <c r="CU16" s="362">
        <v>0</v>
      </c>
      <c r="CV16" s="362">
        <v>0</v>
      </c>
      <c r="CW16" s="362">
        <v>0</v>
      </c>
      <c r="CX16" s="362">
        <v>0</v>
      </c>
      <c r="CY16" s="362">
        <v>0.1</v>
      </c>
      <c r="CZ16" s="362">
        <v>0</v>
      </c>
      <c r="DA16" s="362">
        <v>0</v>
      </c>
      <c r="DB16" s="362">
        <v>0</v>
      </c>
      <c r="DC16" s="362">
        <v>0</v>
      </c>
      <c r="DD16" s="362">
        <v>0</v>
      </c>
      <c r="DE16" s="362">
        <v>0.1</v>
      </c>
      <c r="DF16" s="362">
        <v>0</v>
      </c>
      <c r="DG16" s="362">
        <v>0</v>
      </c>
      <c r="DH16" s="362">
        <v>0</v>
      </c>
      <c r="DI16" s="362">
        <v>0</v>
      </c>
      <c r="DJ16" s="362">
        <v>0</v>
      </c>
      <c r="DK16" s="362">
        <v>0.1</v>
      </c>
      <c r="DL16" s="362">
        <v>5.6369785800000001</v>
      </c>
      <c r="DM16" s="362">
        <v>0</v>
      </c>
      <c r="DN16" s="362">
        <v>1.0634207900000001</v>
      </c>
      <c r="DO16" s="362">
        <v>0</v>
      </c>
      <c r="DP16" s="362">
        <v>0</v>
      </c>
      <c r="DQ16" s="362">
        <v>0.1</v>
      </c>
      <c r="DR16" s="362">
        <v>0</v>
      </c>
      <c r="DS16" s="362">
        <v>0</v>
      </c>
      <c r="DT16" s="362">
        <v>5.5369785800000004</v>
      </c>
      <c r="DU16" s="362">
        <v>0</v>
      </c>
      <c r="DV16" s="362">
        <v>0</v>
      </c>
      <c r="DW16" s="362">
        <v>0.1</v>
      </c>
      <c r="DX16" s="362">
        <v>0</v>
      </c>
      <c r="DY16" s="362">
        <v>0</v>
      </c>
      <c r="DZ16" s="362">
        <v>2.6369785800000001</v>
      </c>
      <c r="EA16" s="362">
        <v>0</v>
      </c>
      <c r="EB16" s="362">
        <v>2.1389785800000003</v>
      </c>
      <c r="EC16" s="362">
        <v>0</v>
      </c>
      <c r="ED16" s="362">
        <v>0.93897858000000001</v>
      </c>
      <c r="EE16" s="362">
        <v>0</v>
      </c>
      <c r="EF16" s="362">
        <v>0</v>
      </c>
      <c r="EG16" s="362">
        <v>0</v>
      </c>
      <c r="EH16" s="362">
        <v>0</v>
      </c>
      <c r="EI16" s="362">
        <v>0.1</v>
      </c>
      <c r="EJ16" s="362">
        <v>0</v>
      </c>
    </row>
    <row r="17" spans="1:140" s="367" customFormat="1" ht="17.25" x14ac:dyDescent="0.3">
      <c r="A17" s="366" t="s">
        <v>207</v>
      </c>
      <c r="B17" s="365" t="s">
        <v>206</v>
      </c>
      <c r="C17" s="371">
        <v>0.51800000000000002</v>
      </c>
      <c r="D17" s="371">
        <v>0</v>
      </c>
      <c r="E17" s="371">
        <v>1.7999999999999999E-2</v>
      </c>
      <c r="F17" s="371">
        <v>0</v>
      </c>
      <c r="G17" s="371">
        <v>0.15</v>
      </c>
      <c r="H17" s="371">
        <v>0</v>
      </c>
      <c r="I17" s="371">
        <v>0</v>
      </c>
      <c r="J17" s="371">
        <v>0.5</v>
      </c>
      <c r="K17" s="372">
        <v>0</v>
      </c>
      <c r="L17" s="371">
        <v>1.49</v>
      </c>
      <c r="M17" s="371">
        <v>0</v>
      </c>
      <c r="N17" s="371">
        <v>1.7084999999999999</v>
      </c>
      <c r="O17" s="372">
        <v>0</v>
      </c>
      <c r="P17" s="371">
        <v>0.15</v>
      </c>
      <c r="Q17" s="371">
        <v>0</v>
      </c>
      <c r="R17" s="370">
        <v>0</v>
      </c>
      <c r="S17" s="369">
        <v>0.5</v>
      </c>
      <c r="T17" s="369">
        <v>0</v>
      </c>
      <c r="U17" s="369">
        <v>0</v>
      </c>
      <c r="V17" s="369">
        <v>0</v>
      </c>
      <c r="W17" s="369">
        <v>0</v>
      </c>
      <c r="X17" s="369">
        <v>0</v>
      </c>
      <c r="Y17" s="369">
        <v>0</v>
      </c>
      <c r="Z17" s="369">
        <v>0</v>
      </c>
      <c r="AA17" s="369">
        <v>0</v>
      </c>
      <c r="AB17" s="369">
        <v>0</v>
      </c>
      <c r="AC17" s="369">
        <v>0</v>
      </c>
      <c r="AD17" s="369">
        <v>0</v>
      </c>
      <c r="AE17" s="369">
        <v>0.5</v>
      </c>
      <c r="AF17" s="369">
        <v>0</v>
      </c>
      <c r="AG17" s="368">
        <v>0</v>
      </c>
      <c r="AH17" s="362">
        <v>0</v>
      </c>
      <c r="AI17" s="362">
        <v>0.47499999999999998</v>
      </c>
      <c r="AJ17" s="362">
        <v>0</v>
      </c>
      <c r="AK17" s="362">
        <v>0</v>
      </c>
      <c r="AL17" s="362">
        <v>0</v>
      </c>
      <c r="AM17" s="362">
        <v>1.18</v>
      </c>
      <c r="AN17" s="362">
        <v>0</v>
      </c>
      <c r="AO17" s="362">
        <v>0.72499999999999998</v>
      </c>
      <c r="AP17" s="362">
        <v>0</v>
      </c>
      <c r="AQ17" s="362">
        <v>2.605</v>
      </c>
      <c r="AR17" s="362">
        <v>0</v>
      </c>
      <c r="AS17" s="362">
        <v>0</v>
      </c>
      <c r="AT17" s="362">
        <v>0</v>
      </c>
      <c r="AU17" s="362">
        <v>0</v>
      </c>
      <c r="AV17" s="362">
        <v>0</v>
      </c>
      <c r="AW17" s="362">
        <v>0.3</v>
      </c>
      <c r="AX17" s="362">
        <v>0</v>
      </c>
      <c r="AY17" s="362">
        <v>7.4999999999999997E-2</v>
      </c>
      <c r="AZ17" s="362">
        <v>0</v>
      </c>
      <c r="BA17" s="362">
        <v>0.13</v>
      </c>
      <c r="BB17" s="362">
        <v>0</v>
      </c>
      <c r="BC17" s="362">
        <v>0</v>
      </c>
      <c r="BD17" s="362">
        <v>0</v>
      </c>
      <c r="BE17" s="362">
        <v>0</v>
      </c>
      <c r="BF17" s="362">
        <v>0</v>
      </c>
      <c r="BG17" s="362">
        <v>0.48</v>
      </c>
      <c r="BH17" s="362">
        <v>0</v>
      </c>
      <c r="BI17" s="362">
        <v>0</v>
      </c>
      <c r="BJ17" s="362">
        <v>0</v>
      </c>
      <c r="BK17" s="362">
        <v>0</v>
      </c>
      <c r="BL17" s="362">
        <v>0</v>
      </c>
      <c r="BM17" s="362">
        <v>0</v>
      </c>
      <c r="BN17" s="362">
        <v>0</v>
      </c>
      <c r="BO17" s="362">
        <v>0.48</v>
      </c>
      <c r="BP17" s="362">
        <v>0</v>
      </c>
      <c r="BQ17" s="362">
        <v>2.8600000000000003</v>
      </c>
      <c r="BR17" s="362">
        <v>0</v>
      </c>
      <c r="BS17" s="362">
        <v>2.84</v>
      </c>
      <c r="BT17" s="362">
        <v>0</v>
      </c>
      <c r="BU17" s="362">
        <v>1.4550000000000001</v>
      </c>
      <c r="BV17" s="362">
        <v>0</v>
      </c>
      <c r="BW17" s="362">
        <v>1.4550000000000001</v>
      </c>
      <c r="BX17" s="362">
        <v>0</v>
      </c>
      <c r="BY17" s="362">
        <v>0.76</v>
      </c>
      <c r="BZ17" s="362">
        <v>0</v>
      </c>
      <c r="CA17" s="362">
        <v>1.4550000000000001</v>
      </c>
      <c r="CB17" s="362">
        <v>0</v>
      </c>
      <c r="CC17" s="362">
        <v>1.1400000000000001</v>
      </c>
      <c r="CD17" s="362">
        <v>0</v>
      </c>
      <c r="CE17" s="362">
        <v>2.7199999999999998</v>
      </c>
      <c r="CF17" s="362">
        <v>0</v>
      </c>
      <c r="CG17" s="362">
        <v>2.6199999999999997</v>
      </c>
      <c r="CH17" s="362">
        <v>0</v>
      </c>
      <c r="CI17" s="362">
        <v>0.57499999999999996</v>
      </c>
      <c r="CJ17" s="362">
        <v>0</v>
      </c>
      <c r="CK17" s="362">
        <v>0.375</v>
      </c>
      <c r="CL17" s="362">
        <v>0</v>
      </c>
      <c r="CM17" s="362">
        <v>0</v>
      </c>
      <c r="CN17" s="362">
        <v>0</v>
      </c>
      <c r="CO17" s="362">
        <v>0</v>
      </c>
      <c r="CP17" s="362">
        <v>0</v>
      </c>
      <c r="CQ17" s="362">
        <v>0</v>
      </c>
      <c r="CR17" s="362">
        <v>0</v>
      </c>
      <c r="CS17" s="362">
        <v>0.6</v>
      </c>
      <c r="CT17" s="362">
        <v>0</v>
      </c>
      <c r="CU17" s="362">
        <v>0.68</v>
      </c>
      <c r="CV17" s="362">
        <v>0</v>
      </c>
      <c r="CW17" s="362">
        <v>0</v>
      </c>
      <c r="CX17" s="362">
        <v>0</v>
      </c>
      <c r="CY17" s="362">
        <v>0</v>
      </c>
      <c r="CZ17" s="362">
        <v>0</v>
      </c>
      <c r="DA17" s="362">
        <v>0.15</v>
      </c>
      <c r="DB17" s="362">
        <v>0</v>
      </c>
      <c r="DC17" s="362">
        <v>0.22</v>
      </c>
      <c r="DD17" s="362">
        <v>0</v>
      </c>
      <c r="DE17" s="362">
        <v>0.88</v>
      </c>
      <c r="DF17" s="362">
        <v>0</v>
      </c>
      <c r="DG17" s="362">
        <v>0.88</v>
      </c>
      <c r="DH17" s="362">
        <v>0</v>
      </c>
      <c r="DI17" s="362">
        <v>0.42</v>
      </c>
      <c r="DJ17" s="362">
        <v>0</v>
      </c>
      <c r="DK17" s="362">
        <v>0.42</v>
      </c>
      <c r="DL17" s="362">
        <v>0</v>
      </c>
      <c r="DM17" s="362">
        <v>0</v>
      </c>
      <c r="DN17" s="362">
        <v>0</v>
      </c>
      <c r="DO17" s="362">
        <v>0</v>
      </c>
      <c r="DP17" s="362">
        <v>0</v>
      </c>
      <c r="DQ17" s="362">
        <v>9.9000000000000005E-2</v>
      </c>
      <c r="DR17" s="362">
        <v>0</v>
      </c>
      <c r="DS17" s="362">
        <v>0</v>
      </c>
      <c r="DT17" s="362">
        <v>0</v>
      </c>
      <c r="DU17" s="362">
        <v>0</v>
      </c>
      <c r="DV17" s="362">
        <v>0</v>
      </c>
      <c r="DW17" s="362">
        <v>0</v>
      </c>
      <c r="DX17" s="362">
        <v>0</v>
      </c>
      <c r="DY17" s="362">
        <v>0</v>
      </c>
      <c r="DZ17" s="362">
        <v>0</v>
      </c>
      <c r="EA17" s="362">
        <v>1.3</v>
      </c>
      <c r="EB17" s="362">
        <v>0</v>
      </c>
      <c r="EC17" s="362">
        <v>0</v>
      </c>
      <c r="ED17" s="362">
        <v>0</v>
      </c>
      <c r="EE17" s="362">
        <v>0</v>
      </c>
      <c r="EF17" s="362">
        <v>0</v>
      </c>
      <c r="EG17" s="362">
        <v>0</v>
      </c>
      <c r="EH17" s="362">
        <v>0</v>
      </c>
      <c r="EI17" s="362">
        <v>0.3</v>
      </c>
      <c r="EJ17" s="362">
        <v>0</v>
      </c>
    </row>
    <row r="18" spans="1:140" s="367" customFormat="1" ht="17.25" x14ac:dyDescent="0.3">
      <c r="A18" s="366" t="s">
        <v>205</v>
      </c>
      <c r="B18" s="365" t="s">
        <v>204</v>
      </c>
      <c r="C18" s="371">
        <v>0.51500000000000001</v>
      </c>
      <c r="D18" s="371">
        <v>0</v>
      </c>
      <c r="E18" s="371">
        <v>0</v>
      </c>
      <c r="F18" s="371">
        <v>0</v>
      </c>
      <c r="G18" s="371">
        <v>0</v>
      </c>
      <c r="H18" s="371">
        <v>0</v>
      </c>
      <c r="I18" s="371">
        <v>0</v>
      </c>
      <c r="J18" s="371">
        <v>0</v>
      </c>
      <c r="K18" s="372">
        <v>0.64500000000000002</v>
      </c>
      <c r="L18" s="371">
        <v>0</v>
      </c>
      <c r="M18" s="371">
        <v>0</v>
      </c>
      <c r="N18" s="371">
        <v>0</v>
      </c>
      <c r="O18" s="372">
        <v>0</v>
      </c>
      <c r="P18" s="371">
        <v>0</v>
      </c>
      <c r="Q18" s="371">
        <v>0</v>
      </c>
      <c r="R18" s="370">
        <v>0</v>
      </c>
      <c r="S18" s="369">
        <v>0</v>
      </c>
      <c r="T18" s="369">
        <v>0</v>
      </c>
      <c r="U18" s="369">
        <v>0</v>
      </c>
      <c r="V18" s="369">
        <v>0</v>
      </c>
      <c r="W18" s="369">
        <v>0</v>
      </c>
      <c r="X18" s="369">
        <v>0</v>
      </c>
      <c r="Y18" s="369">
        <v>0</v>
      </c>
      <c r="Z18" s="369">
        <v>0</v>
      </c>
      <c r="AA18" s="369">
        <v>0</v>
      </c>
      <c r="AB18" s="369">
        <v>0</v>
      </c>
      <c r="AC18" s="369">
        <v>0</v>
      </c>
      <c r="AD18" s="369">
        <v>0</v>
      </c>
      <c r="AE18" s="369">
        <v>0</v>
      </c>
      <c r="AF18" s="369">
        <v>0</v>
      </c>
      <c r="AG18" s="368">
        <v>0</v>
      </c>
      <c r="AH18" s="362">
        <v>0</v>
      </c>
      <c r="AI18" s="362">
        <v>0</v>
      </c>
      <c r="AJ18" s="362">
        <v>0</v>
      </c>
      <c r="AK18" s="362">
        <v>0</v>
      </c>
      <c r="AL18" s="362">
        <v>0</v>
      </c>
      <c r="AM18" s="362">
        <v>0</v>
      </c>
      <c r="AN18" s="362">
        <v>0</v>
      </c>
      <c r="AO18" s="362">
        <v>0</v>
      </c>
      <c r="AP18" s="362">
        <v>0</v>
      </c>
      <c r="AQ18" s="362">
        <v>0</v>
      </c>
      <c r="AR18" s="362">
        <v>0</v>
      </c>
      <c r="AS18" s="362">
        <v>0</v>
      </c>
      <c r="AT18" s="362">
        <v>0</v>
      </c>
      <c r="AU18" s="362">
        <v>0</v>
      </c>
      <c r="AV18" s="362">
        <v>0</v>
      </c>
      <c r="AW18" s="362">
        <v>0</v>
      </c>
      <c r="AX18" s="362">
        <v>0</v>
      </c>
      <c r="AY18" s="362">
        <v>0</v>
      </c>
      <c r="AZ18" s="362">
        <v>0</v>
      </c>
      <c r="BA18" s="362">
        <v>0</v>
      </c>
      <c r="BB18" s="362">
        <v>0</v>
      </c>
      <c r="BC18" s="362">
        <v>0</v>
      </c>
      <c r="BD18" s="362">
        <v>0</v>
      </c>
      <c r="BE18" s="362">
        <v>0</v>
      </c>
      <c r="BF18" s="362">
        <v>0</v>
      </c>
      <c r="BG18" s="362">
        <v>0</v>
      </c>
      <c r="BH18" s="362">
        <v>0</v>
      </c>
      <c r="BI18" s="362">
        <v>0</v>
      </c>
      <c r="BJ18" s="362">
        <v>0</v>
      </c>
      <c r="BK18" s="362">
        <v>0</v>
      </c>
      <c r="BL18" s="362">
        <v>0</v>
      </c>
      <c r="BM18" s="362">
        <v>0</v>
      </c>
      <c r="BN18" s="362">
        <v>0</v>
      </c>
      <c r="BO18" s="362">
        <v>0.2</v>
      </c>
      <c r="BP18" s="362">
        <v>0</v>
      </c>
      <c r="BQ18" s="362">
        <v>0</v>
      </c>
      <c r="BR18" s="362">
        <v>0</v>
      </c>
      <c r="BS18" s="362">
        <v>0</v>
      </c>
      <c r="BT18" s="362">
        <v>0</v>
      </c>
      <c r="BU18" s="362">
        <v>0</v>
      </c>
      <c r="BV18" s="362">
        <v>0</v>
      </c>
      <c r="BW18" s="362">
        <v>0</v>
      </c>
      <c r="BX18" s="362">
        <v>0</v>
      </c>
      <c r="BY18" s="362">
        <v>0</v>
      </c>
      <c r="BZ18" s="362">
        <v>0</v>
      </c>
      <c r="CA18" s="362">
        <v>0</v>
      </c>
      <c r="CB18" s="362">
        <v>0</v>
      </c>
      <c r="CC18" s="362">
        <v>0</v>
      </c>
      <c r="CD18" s="362">
        <v>0</v>
      </c>
      <c r="CE18" s="362">
        <v>0.2</v>
      </c>
      <c r="CF18" s="362">
        <v>0</v>
      </c>
      <c r="CG18" s="362">
        <v>0</v>
      </c>
      <c r="CH18" s="362">
        <v>0</v>
      </c>
      <c r="CI18" s="362">
        <v>0.2</v>
      </c>
      <c r="CJ18" s="362">
        <v>0</v>
      </c>
      <c r="CK18" s="362">
        <v>0</v>
      </c>
      <c r="CL18" s="362">
        <v>0</v>
      </c>
      <c r="CM18" s="362">
        <v>0</v>
      </c>
      <c r="CN18" s="362">
        <v>0</v>
      </c>
      <c r="CO18" s="362">
        <v>0</v>
      </c>
      <c r="CP18" s="362">
        <v>0</v>
      </c>
      <c r="CQ18" s="362">
        <v>0</v>
      </c>
      <c r="CR18" s="362">
        <v>0</v>
      </c>
      <c r="CS18" s="362">
        <v>0</v>
      </c>
      <c r="CT18" s="362">
        <v>0</v>
      </c>
      <c r="CU18" s="362">
        <v>0</v>
      </c>
      <c r="CV18" s="362">
        <v>0</v>
      </c>
      <c r="CW18" s="362">
        <v>0</v>
      </c>
      <c r="CX18" s="362">
        <v>0</v>
      </c>
      <c r="CY18" s="362">
        <v>0</v>
      </c>
      <c r="CZ18" s="362">
        <v>0</v>
      </c>
      <c r="DA18" s="362">
        <v>0</v>
      </c>
      <c r="DB18" s="362">
        <v>0</v>
      </c>
      <c r="DC18" s="362">
        <v>0</v>
      </c>
      <c r="DD18" s="362">
        <v>0</v>
      </c>
      <c r="DE18" s="362">
        <v>22.96</v>
      </c>
      <c r="DF18" s="362">
        <v>0</v>
      </c>
      <c r="DG18" s="362">
        <v>18.36</v>
      </c>
      <c r="DH18" s="362">
        <v>0</v>
      </c>
      <c r="DI18" s="362">
        <v>3.64</v>
      </c>
      <c r="DJ18" s="362">
        <v>0</v>
      </c>
      <c r="DK18" s="362">
        <v>2.5499999999999998</v>
      </c>
      <c r="DL18" s="362">
        <v>0</v>
      </c>
      <c r="DM18" s="362">
        <v>3.2252800000000001</v>
      </c>
      <c r="DN18" s="362">
        <v>0.48527999999999999</v>
      </c>
      <c r="DO18" s="362">
        <v>1.7</v>
      </c>
      <c r="DP18" s="362">
        <v>0</v>
      </c>
      <c r="DQ18" s="362">
        <v>1.7</v>
      </c>
      <c r="DR18" s="362">
        <v>0</v>
      </c>
      <c r="DS18" s="362">
        <v>1.7</v>
      </c>
      <c r="DT18" s="362">
        <v>0.43</v>
      </c>
      <c r="DU18" s="362">
        <v>3.4</v>
      </c>
      <c r="DV18" s="362">
        <v>0</v>
      </c>
      <c r="DW18" s="362">
        <v>1.7</v>
      </c>
      <c r="DX18" s="362">
        <v>0</v>
      </c>
      <c r="DY18" s="362">
        <v>1.82</v>
      </c>
      <c r="DZ18" s="362">
        <v>0</v>
      </c>
      <c r="EA18" s="362">
        <v>1.82</v>
      </c>
      <c r="EB18" s="362">
        <v>0</v>
      </c>
      <c r="EC18" s="362">
        <v>2.7</v>
      </c>
      <c r="ED18" s="362">
        <v>0</v>
      </c>
      <c r="EE18" s="362">
        <v>1.825</v>
      </c>
      <c r="EF18" s="362">
        <v>0</v>
      </c>
      <c r="EG18" s="362">
        <v>1.845</v>
      </c>
      <c r="EH18" s="362">
        <v>0</v>
      </c>
      <c r="EI18" s="362">
        <v>1.75</v>
      </c>
      <c r="EJ18" s="362">
        <v>0</v>
      </c>
    </row>
    <row r="19" spans="1:140" s="367" customFormat="1" ht="17.25" x14ac:dyDescent="0.3">
      <c r="A19" s="366" t="s">
        <v>203</v>
      </c>
      <c r="B19" s="365" t="s">
        <v>202</v>
      </c>
      <c r="C19" s="371"/>
      <c r="D19" s="371"/>
      <c r="E19" s="371"/>
      <c r="F19" s="371"/>
      <c r="G19" s="371"/>
      <c r="H19" s="371"/>
      <c r="I19" s="371"/>
      <c r="J19" s="371"/>
      <c r="K19" s="372"/>
      <c r="L19" s="371"/>
      <c r="M19" s="371"/>
      <c r="N19" s="371"/>
      <c r="O19" s="372"/>
      <c r="P19" s="371"/>
      <c r="Q19" s="371"/>
      <c r="R19" s="370"/>
      <c r="S19" s="369"/>
      <c r="T19" s="369"/>
      <c r="U19" s="369"/>
      <c r="V19" s="369"/>
      <c r="W19" s="369"/>
      <c r="X19" s="369"/>
      <c r="Y19" s="369"/>
      <c r="Z19" s="369"/>
      <c r="AA19" s="369"/>
      <c r="AB19" s="369"/>
      <c r="AC19" s="369"/>
      <c r="AD19" s="369"/>
      <c r="AE19" s="369"/>
      <c r="AF19" s="369"/>
      <c r="AG19" s="368"/>
      <c r="AH19" s="362"/>
      <c r="AI19" s="362"/>
      <c r="AJ19" s="362"/>
      <c r="AK19" s="362"/>
      <c r="AL19" s="362"/>
      <c r="AM19" s="362"/>
      <c r="AN19" s="362"/>
      <c r="AO19" s="362"/>
      <c r="AP19" s="362"/>
      <c r="AQ19" s="362"/>
      <c r="AR19" s="362"/>
      <c r="AS19" s="362"/>
      <c r="AT19" s="362"/>
      <c r="AU19" s="362"/>
      <c r="AV19" s="362"/>
      <c r="AW19" s="362"/>
      <c r="AX19" s="362"/>
      <c r="AY19" s="362"/>
      <c r="AZ19" s="362"/>
      <c r="BA19" s="362"/>
      <c r="BB19" s="362"/>
      <c r="BC19" s="362"/>
      <c r="BD19" s="362"/>
      <c r="BE19" s="362"/>
      <c r="BF19" s="362"/>
      <c r="BG19" s="362"/>
      <c r="BH19" s="362"/>
      <c r="BI19" s="362"/>
      <c r="BJ19" s="362"/>
      <c r="BK19" s="362"/>
      <c r="BL19" s="362"/>
      <c r="BM19" s="362"/>
      <c r="BN19" s="362"/>
      <c r="BO19" s="362"/>
      <c r="BP19" s="362"/>
      <c r="BQ19" s="362"/>
      <c r="BR19" s="362"/>
      <c r="BS19" s="362"/>
      <c r="BT19" s="362"/>
      <c r="BU19" s="362"/>
      <c r="BV19" s="362"/>
      <c r="BW19" s="362"/>
      <c r="BX19" s="362"/>
      <c r="BY19" s="362"/>
      <c r="BZ19" s="362"/>
      <c r="CA19" s="362"/>
      <c r="CB19" s="362"/>
      <c r="CC19" s="362"/>
      <c r="CD19" s="362"/>
      <c r="CE19" s="362"/>
      <c r="CF19" s="362"/>
      <c r="CG19" s="362"/>
      <c r="CH19" s="362"/>
      <c r="CI19" s="362"/>
      <c r="CJ19" s="362"/>
      <c r="CK19" s="362"/>
      <c r="CL19" s="362"/>
      <c r="CM19" s="362"/>
      <c r="CN19" s="362"/>
      <c r="CO19" s="362"/>
      <c r="CP19" s="362"/>
      <c r="CQ19" s="362"/>
      <c r="CR19" s="362"/>
      <c r="CS19" s="362"/>
      <c r="CT19" s="362"/>
      <c r="CU19" s="362"/>
      <c r="CV19" s="362"/>
      <c r="CW19" s="362"/>
      <c r="CX19" s="362"/>
      <c r="CY19" s="362"/>
      <c r="CZ19" s="362"/>
      <c r="DA19" s="362"/>
      <c r="DB19" s="362"/>
      <c r="DC19" s="362"/>
      <c r="DD19" s="362"/>
      <c r="DE19" s="362"/>
      <c r="DF19" s="362"/>
      <c r="DG19" s="362"/>
      <c r="DH19" s="362"/>
      <c r="DI19" s="362"/>
      <c r="DJ19" s="362"/>
      <c r="DK19" s="362">
        <v>0</v>
      </c>
      <c r="DL19" s="362">
        <v>0</v>
      </c>
      <c r="DM19" s="362">
        <v>0</v>
      </c>
      <c r="DN19" s="362">
        <v>0</v>
      </c>
      <c r="DO19" s="362">
        <v>0</v>
      </c>
      <c r="DP19" s="362">
        <v>4.7</v>
      </c>
      <c r="DQ19" s="362">
        <v>0</v>
      </c>
      <c r="DR19" s="362">
        <v>0</v>
      </c>
      <c r="DS19" s="362">
        <v>0</v>
      </c>
      <c r="DT19" s="362">
        <v>0</v>
      </c>
      <c r="DU19" s="362">
        <v>0</v>
      </c>
      <c r="DV19" s="362">
        <v>0</v>
      </c>
      <c r="DW19" s="362">
        <v>0</v>
      </c>
      <c r="DX19" s="362">
        <v>0</v>
      </c>
      <c r="DY19" s="362">
        <v>0</v>
      </c>
      <c r="DZ19" s="362">
        <v>0</v>
      </c>
      <c r="EA19" s="362">
        <v>0</v>
      </c>
      <c r="EB19" s="362">
        <v>0</v>
      </c>
      <c r="EC19" s="362">
        <v>0</v>
      </c>
      <c r="ED19" s="362">
        <v>0</v>
      </c>
      <c r="EE19" s="362">
        <v>0</v>
      </c>
      <c r="EF19" s="362">
        <v>0</v>
      </c>
      <c r="EG19" s="362">
        <v>0</v>
      </c>
      <c r="EH19" s="362">
        <v>0</v>
      </c>
      <c r="EI19" s="362">
        <v>0</v>
      </c>
      <c r="EJ19" s="362">
        <v>0</v>
      </c>
    </row>
    <row r="20" spans="1:140" s="367" customFormat="1" ht="17.25" x14ac:dyDescent="0.3">
      <c r="A20" s="366" t="s">
        <v>195</v>
      </c>
      <c r="B20" s="365" t="s">
        <v>194</v>
      </c>
      <c r="C20" s="371">
        <v>1.0783674999999999</v>
      </c>
      <c r="D20" s="371">
        <v>0</v>
      </c>
      <c r="E20" s="371">
        <v>28.08187032</v>
      </c>
      <c r="F20" s="371">
        <v>0</v>
      </c>
      <c r="G20" s="371">
        <v>14.991367500000001</v>
      </c>
      <c r="H20" s="371">
        <v>0</v>
      </c>
      <c r="I20" s="371">
        <v>2.8913674999999999</v>
      </c>
      <c r="J20" s="371">
        <v>1</v>
      </c>
      <c r="K20" s="372">
        <v>12.2233675</v>
      </c>
      <c r="L20" s="371">
        <v>0</v>
      </c>
      <c r="M20" s="371">
        <v>12.2233675</v>
      </c>
      <c r="N20" s="371">
        <v>0</v>
      </c>
      <c r="O20" s="372">
        <v>0.17499999999999999</v>
      </c>
      <c r="P20" s="371">
        <v>0</v>
      </c>
      <c r="Q20" s="371">
        <v>0.2233675</v>
      </c>
      <c r="R20" s="370">
        <v>0</v>
      </c>
      <c r="S20" s="369">
        <v>12.398367500000001</v>
      </c>
      <c r="T20" s="369">
        <v>0</v>
      </c>
      <c r="U20" s="369">
        <v>0</v>
      </c>
      <c r="V20" s="369">
        <v>0</v>
      </c>
      <c r="W20" s="369">
        <v>6.9233675000000003</v>
      </c>
      <c r="X20" s="369">
        <v>0</v>
      </c>
      <c r="Y20" s="369">
        <v>3.3233674999999998</v>
      </c>
      <c r="Z20" s="369">
        <v>0</v>
      </c>
      <c r="AA20" s="369">
        <v>0</v>
      </c>
      <c r="AB20" s="369">
        <v>0</v>
      </c>
      <c r="AC20" s="369">
        <v>0.72336750000000005</v>
      </c>
      <c r="AD20" s="369">
        <v>0</v>
      </c>
      <c r="AE20" s="369">
        <v>0.62</v>
      </c>
      <c r="AF20" s="369">
        <v>0.12</v>
      </c>
      <c r="AG20" s="368">
        <v>0.5</v>
      </c>
      <c r="AH20" s="362">
        <v>0</v>
      </c>
      <c r="AI20" s="362">
        <v>0.5</v>
      </c>
      <c r="AJ20" s="362">
        <v>0</v>
      </c>
      <c r="AK20" s="362">
        <v>0</v>
      </c>
      <c r="AL20" s="362">
        <v>0</v>
      </c>
      <c r="AM20" s="362">
        <v>0</v>
      </c>
      <c r="AN20" s="362">
        <v>0</v>
      </c>
      <c r="AO20" s="362">
        <v>0</v>
      </c>
      <c r="AP20" s="362">
        <v>0</v>
      </c>
      <c r="AQ20" s="362">
        <v>0</v>
      </c>
      <c r="AR20" s="362">
        <v>0</v>
      </c>
      <c r="AS20" s="362">
        <v>0</v>
      </c>
      <c r="AT20" s="362">
        <v>0</v>
      </c>
      <c r="AU20" s="362">
        <v>0.67</v>
      </c>
      <c r="AV20" s="362">
        <v>0</v>
      </c>
      <c r="AW20" s="362">
        <v>1.34</v>
      </c>
      <c r="AX20" s="362">
        <v>5.0000000000000001E-3</v>
      </c>
      <c r="AY20" s="362">
        <v>1.34</v>
      </c>
      <c r="AZ20" s="362">
        <v>0</v>
      </c>
      <c r="BA20" s="362">
        <v>1.369</v>
      </c>
      <c r="BB20" s="362">
        <v>0</v>
      </c>
      <c r="BC20" s="362">
        <v>1.94</v>
      </c>
      <c r="BD20" s="362">
        <v>0</v>
      </c>
      <c r="BE20" s="362">
        <v>0.5</v>
      </c>
      <c r="BF20" s="362">
        <v>0</v>
      </c>
      <c r="BG20" s="362">
        <v>3.242</v>
      </c>
      <c r="BH20" s="362">
        <v>0</v>
      </c>
      <c r="BI20" s="362">
        <v>0.63400000000000001</v>
      </c>
      <c r="BJ20" s="362">
        <v>0</v>
      </c>
      <c r="BK20" s="362">
        <v>1.0009999999999999</v>
      </c>
      <c r="BL20" s="362">
        <v>0</v>
      </c>
      <c r="BM20" s="362">
        <v>1.268</v>
      </c>
      <c r="BN20" s="362">
        <v>0</v>
      </c>
      <c r="BO20" s="362">
        <v>0.63400000000000001</v>
      </c>
      <c r="BP20" s="362">
        <v>0</v>
      </c>
      <c r="BQ20" s="362">
        <v>0.88853798000000006</v>
      </c>
      <c r="BR20" s="362">
        <v>0</v>
      </c>
      <c r="BS20" s="362">
        <v>0.36834544000000002</v>
      </c>
      <c r="BT20" s="362">
        <v>0</v>
      </c>
      <c r="BU20" s="362">
        <v>0.3</v>
      </c>
      <c r="BV20" s="362">
        <v>0</v>
      </c>
      <c r="BW20" s="362">
        <v>0.89999999999999991</v>
      </c>
      <c r="BX20" s="362">
        <v>0</v>
      </c>
      <c r="BY20" s="362">
        <v>1.2</v>
      </c>
      <c r="BZ20" s="362">
        <v>0</v>
      </c>
      <c r="CA20" s="362">
        <v>2.2000000000000002</v>
      </c>
      <c r="CB20" s="362">
        <v>0</v>
      </c>
      <c r="CC20" s="362">
        <v>2</v>
      </c>
      <c r="CD20" s="362">
        <v>0</v>
      </c>
      <c r="CE20" s="362">
        <v>2.02</v>
      </c>
      <c r="CF20" s="362">
        <v>0</v>
      </c>
      <c r="CG20" s="362">
        <v>0.68</v>
      </c>
      <c r="CH20" s="362">
        <v>0</v>
      </c>
      <c r="CI20" s="362">
        <v>0</v>
      </c>
      <c r="CJ20" s="362">
        <v>0</v>
      </c>
      <c r="CK20" s="362">
        <v>0</v>
      </c>
      <c r="CL20" s="362">
        <v>0</v>
      </c>
      <c r="CM20" s="362">
        <v>0</v>
      </c>
      <c r="CN20" s="362">
        <v>0</v>
      </c>
      <c r="CO20" s="362">
        <v>0</v>
      </c>
      <c r="CP20" s="362">
        <v>0</v>
      </c>
      <c r="CQ20" s="362">
        <v>0</v>
      </c>
      <c r="CR20" s="362">
        <v>0</v>
      </c>
      <c r="CS20" s="362">
        <v>0</v>
      </c>
      <c r="CT20" s="362">
        <v>0</v>
      </c>
      <c r="CU20" s="362">
        <v>0</v>
      </c>
      <c r="CV20" s="362">
        <v>0</v>
      </c>
      <c r="CW20" s="362">
        <v>0</v>
      </c>
      <c r="CX20" s="362">
        <v>0</v>
      </c>
      <c r="CY20" s="362">
        <v>0</v>
      </c>
      <c r="CZ20" s="362">
        <v>0</v>
      </c>
      <c r="DA20" s="362">
        <v>2</v>
      </c>
      <c r="DB20" s="362">
        <v>0</v>
      </c>
      <c r="DC20" s="362">
        <v>2</v>
      </c>
      <c r="DD20" s="362">
        <v>0</v>
      </c>
      <c r="DE20" s="362">
        <v>2.5</v>
      </c>
      <c r="DF20" s="362">
        <v>0</v>
      </c>
      <c r="DG20" s="362">
        <v>2</v>
      </c>
      <c r="DH20" s="362">
        <v>0</v>
      </c>
      <c r="DI20" s="362">
        <v>2.5</v>
      </c>
      <c r="DJ20" s="362">
        <v>0</v>
      </c>
      <c r="DK20" s="362">
        <v>1.5</v>
      </c>
      <c r="DL20" s="362">
        <v>0</v>
      </c>
      <c r="DM20" s="362">
        <v>0</v>
      </c>
      <c r="DN20" s="362">
        <v>0</v>
      </c>
      <c r="DO20" s="362">
        <v>1</v>
      </c>
      <c r="DP20" s="362">
        <v>0</v>
      </c>
      <c r="DQ20" s="362">
        <v>1</v>
      </c>
      <c r="DR20" s="362">
        <v>0</v>
      </c>
      <c r="DS20" s="362">
        <v>0.5</v>
      </c>
      <c r="DT20" s="362">
        <v>0</v>
      </c>
      <c r="DU20" s="362">
        <v>0</v>
      </c>
      <c r="DV20" s="362">
        <v>0</v>
      </c>
      <c r="DW20" s="362">
        <v>0</v>
      </c>
      <c r="DX20" s="362">
        <v>0</v>
      </c>
      <c r="DY20" s="362">
        <v>0</v>
      </c>
      <c r="DZ20" s="362">
        <v>0</v>
      </c>
      <c r="EA20" s="362">
        <v>0</v>
      </c>
      <c r="EB20" s="362">
        <v>0</v>
      </c>
      <c r="EC20" s="362">
        <v>0</v>
      </c>
      <c r="ED20" s="362">
        <v>0</v>
      </c>
      <c r="EE20" s="362">
        <v>0</v>
      </c>
      <c r="EF20" s="362">
        <v>0</v>
      </c>
      <c r="EG20" s="362">
        <v>0</v>
      </c>
      <c r="EH20" s="362">
        <v>0</v>
      </c>
      <c r="EI20" s="362">
        <v>0</v>
      </c>
      <c r="EJ20" s="362">
        <v>0</v>
      </c>
    </row>
    <row r="21" spans="1:140" s="367" customFormat="1" ht="18" thickBot="1" x14ac:dyDescent="0.35">
      <c r="A21" s="366"/>
      <c r="B21" s="365" t="s">
        <v>189</v>
      </c>
      <c r="C21" s="371">
        <v>0</v>
      </c>
      <c r="D21" s="371">
        <v>0</v>
      </c>
      <c r="E21" s="371">
        <v>0</v>
      </c>
      <c r="F21" s="371">
        <v>0</v>
      </c>
      <c r="G21" s="371">
        <v>0</v>
      </c>
      <c r="H21" s="371">
        <v>0</v>
      </c>
      <c r="I21" s="371">
        <v>0</v>
      </c>
      <c r="J21" s="371">
        <v>0</v>
      </c>
      <c r="K21" s="372">
        <v>0</v>
      </c>
      <c r="L21" s="371">
        <v>0</v>
      </c>
      <c r="M21" s="371">
        <v>0.2233675</v>
      </c>
      <c r="N21" s="371">
        <v>0</v>
      </c>
      <c r="O21" s="372">
        <v>0.72336750000000005</v>
      </c>
      <c r="P21" s="371">
        <v>0</v>
      </c>
      <c r="Q21" s="371">
        <v>0.2233675</v>
      </c>
      <c r="R21" s="370">
        <v>0</v>
      </c>
      <c r="S21" s="369">
        <v>0.89836749999999999</v>
      </c>
      <c r="T21" s="369">
        <v>0</v>
      </c>
      <c r="U21" s="369">
        <v>0.2233675</v>
      </c>
      <c r="V21" s="369">
        <v>0</v>
      </c>
      <c r="W21" s="369">
        <v>0.72336750000000005</v>
      </c>
      <c r="X21" s="369">
        <v>0</v>
      </c>
      <c r="Y21" s="369">
        <v>0.72336750000000005</v>
      </c>
      <c r="Z21" s="369">
        <v>0</v>
      </c>
      <c r="AA21" s="369">
        <v>0.72336750000000005</v>
      </c>
      <c r="AB21" s="369">
        <v>0</v>
      </c>
      <c r="AC21" s="369">
        <v>0.72336750000000005</v>
      </c>
      <c r="AD21" s="369">
        <v>0</v>
      </c>
      <c r="AE21" s="369">
        <v>0.62</v>
      </c>
      <c r="AF21" s="369">
        <v>0</v>
      </c>
      <c r="AG21" s="368">
        <v>0.5</v>
      </c>
      <c r="AH21" s="362">
        <v>0</v>
      </c>
      <c r="AI21" s="362">
        <v>0.5</v>
      </c>
      <c r="AJ21" s="362">
        <v>0</v>
      </c>
      <c r="AK21" s="362">
        <v>0.5</v>
      </c>
      <c r="AL21" s="362">
        <v>0</v>
      </c>
      <c r="AM21" s="362">
        <v>0.5</v>
      </c>
      <c r="AN21" s="362">
        <v>0</v>
      </c>
      <c r="AO21" s="362">
        <v>0.5</v>
      </c>
      <c r="AP21" s="362">
        <v>0</v>
      </c>
      <c r="AQ21" s="362">
        <v>0.5</v>
      </c>
      <c r="AR21" s="362">
        <v>0</v>
      </c>
      <c r="AS21" s="362">
        <v>0.5</v>
      </c>
      <c r="AT21" s="362">
        <v>0</v>
      </c>
      <c r="AU21" s="362">
        <v>0.5</v>
      </c>
      <c r="AV21" s="362">
        <v>0</v>
      </c>
      <c r="AW21" s="362">
        <v>0</v>
      </c>
      <c r="AX21" s="362">
        <v>0</v>
      </c>
      <c r="AY21" s="362">
        <v>0.5</v>
      </c>
      <c r="AZ21" s="362">
        <v>0</v>
      </c>
      <c r="BA21" s="362">
        <v>0.6</v>
      </c>
      <c r="BB21" s="362">
        <v>0</v>
      </c>
      <c r="BC21" s="362">
        <v>0</v>
      </c>
      <c r="BD21" s="362">
        <v>0</v>
      </c>
      <c r="BE21" s="362">
        <v>0.5</v>
      </c>
      <c r="BF21" s="362">
        <v>0</v>
      </c>
      <c r="BG21" s="362">
        <v>0.6</v>
      </c>
      <c r="BH21" s="362">
        <v>0</v>
      </c>
      <c r="BI21" s="362">
        <v>0.5</v>
      </c>
      <c r="BJ21" s="362">
        <v>0</v>
      </c>
      <c r="BK21" s="362">
        <v>0.6</v>
      </c>
      <c r="BL21" s="362">
        <v>0</v>
      </c>
      <c r="BM21" s="362">
        <v>0.7</v>
      </c>
      <c r="BN21" s="362">
        <v>0</v>
      </c>
      <c r="BO21" s="362">
        <v>1</v>
      </c>
      <c r="BP21" s="362">
        <v>0</v>
      </c>
      <c r="BQ21" s="362">
        <v>0.5</v>
      </c>
      <c r="BR21" s="362">
        <v>0</v>
      </c>
      <c r="BS21" s="362">
        <v>0.5</v>
      </c>
      <c r="BT21" s="362">
        <v>0</v>
      </c>
      <c r="BU21" s="362">
        <v>0.54699748999999998</v>
      </c>
      <c r="BV21" s="362">
        <v>0</v>
      </c>
      <c r="BW21" s="362">
        <v>0</v>
      </c>
      <c r="BX21" s="362">
        <v>0.5</v>
      </c>
      <c r="BY21" s="362">
        <v>0.25</v>
      </c>
      <c r="BZ21" s="362">
        <v>0</v>
      </c>
      <c r="CA21" s="362">
        <v>0.25</v>
      </c>
      <c r="CB21" s="362">
        <v>0</v>
      </c>
      <c r="CC21" s="362">
        <v>0.125</v>
      </c>
      <c r="CD21" s="362">
        <v>0</v>
      </c>
      <c r="CE21" s="362">
        <v>0.125</v>
      </c>
      <c r="CF21" s="362">
        <v>0</v>
      </c>
      <c r="CG21" s="362">
        <v>0.125</v>
      </c>
      <c r="CH21" s="362">
        <v>0</v>
      </c>
      <c r="CI21" s="362">
        <v>0.125</v>
      </c>
      <c r="CJ21" s="362">
        <v>0</v>
      </c>
      <c r="CK21" s="362">
        <v>0.125</v>
      </c>
      <c r="CL21" s="362">
        <v>0</v>
      </c>
      <c r="CM21" s="362">
        <v>0.125</v>
      </c>
      <c r="CN21" s="362">
        <v>0</v>
      </c>
      <c r="CO21" s="362">
        <v>0.125</v>
      </c>
      <c r="CP21" s="362">
        <v>0</v>
      </c>
      <c r="CQ21" s="362">
        <v>0.125</v>
      </c>
      <c r="CR21" s="362">
        <v>0</v>
      </c>
      <c r="CS21" s="362">
        <v>0.125</v>
      </c>
      <c r="CT21" s="362">
        <v>0</v>
      </c>
      <c r="CU21" s="362">
        <v>0.125</v>
      </c>
      <c r="CV21" s="362">
        <v>0</v>
      </c>
      <c r="CW21" s="362">
        <v>0.125</v>
      </c>
      <c r="CX21" s="362">
        <v>0</v>
      </c>
      <c r="CY21" s="362">
        <v>0.125</v>
      </c>
      <c r="CZ21" s="362">
        <v>0</v>
      </c>
      <c r="DA21" s="362">
        <v>0.125</v>
      </c>
      <c r="DB21" s="362">
        <v>0</v>
      </c>
      <c r="DC21" s="362">
        <v>0.125</v>
      </c>
      <c r="DD21" s="362">
        <v>0</v>
      </c>
      <c r="DE21" s="362">
        <v>0.125</v>
      </c>
      <c r="DF21" s="362">
        <v>0</v>
      </c>
      <c r="DG21" s="362">
        <v>0.125</v>
      </c>
      <c r="DH21" s="362">
        <v>0</v>
      </c>
      <c r="DI21" s="362">
        <v>0.32500000000000001</v>
      </c>
      <c r="DJ21" s="362">
        <v>0</v>
      </c>
      <c r="DK21" s="362">
        <v>0.125</v>
      </c>
      <c r="DL21" s="362">
        <v>0</v>
      </c>
      <c r="DM21" s="362">
        <v>0</v>
      </c>
      <c r="DN21" s="362">
        <v>0</v>
      </c>
      <c r="DO21" s="362">
        <v>0</v>
      </c>
      <c r="DP21" s="362">
        <v>0</v>
      </c>
      <c r="DQ21" s="362">
        <v>0</v>
      </c>
      <c r="DR21" s="362">
        <v>0</v>
      </c>
      <c r="DS21" s="362">
        <v>0.2</v>
      </c>
      <c r="DT21" s="362">
        <v>0</v>
      </c>
      <c r="DU21" s="362">
        <v>0</v>
      </c>
      <c r="DV21" s="362">
        <v>0</v>
      </c>
      <c r="DW21" s="362">
        <v>0</v>
      </c>
      <c r="DX21" s="362">
        <v>0</v>
      </c>
      <c r="DY21" s="362">
        <v>0</v>
      </c>
      <c r="DZ21" s="362">
        <v>0</v>
      </c>
      <c r="EA21" s="362">
        <v>0</v>
      </c>
      <c r="EB21" s="362">
        <v>0</v>
      </c>
      <c r="EC21" s="362">
        <v>0.29899999999999999</v>
      </c>
      <c r="ED21" s="362">
        <v>0</v>
      </c>
      <c r="EE21" s="362">
        <v>0</v>
      </c>
      <c r="EF21" s="362">
        <v>0</v>
      </c>
      <c r="EG21" s="362">
        <v>0</v>
      </c>
      <c r="EH21" s="362">
        <v>0</v>
      </c>
      <c r="EI21" s="362">
        <v>0.1</v>
      </c>
      <c r="EJ21" s="362">
        <v>0</v>
      </c>
    </row>
    <row r="22" spans="1:140" ht="18" thickBot="1" x14ac:dyDescent="0.35">
      <c r="A22" s="388"/>
      <c r="B22" s="400" t="s">
        <v>251</v>
      </c>
      <c r="C22" s="399">
        <v>444.32264456999997</v>
      </c>
      <c r="D22" s="399">
        <v>67.937109149999998</v>
      </c>
      <c r="E22" s="399">
        <v>478.70386624999992</v>
      </c>
      <c r="F22" s="399">
        <v>213.28147867999999</v>
      </c>
      <c r="G22" s="399">
        <v>456.13916838</v>
      </c>
      <c r="H22" s="399">
        <v>268.40811609000002</v>
      </c>
      <c r="I22" s="399">
        <v>452.84481492999993</v>
      </c>
      <c r="J22" s="399">
        <v>95.89818628999997</v>
      </c>
      <c r="K22" s="399">
        <v>573.43995890000008</v>
      </c>
      <c r="L22" s="399">
        <v>88.478604099999984</v>
      </c>
      <c r="M22" s="399">
        <v>500.71539706000004</v>
      </c>
      <c r="N22" s="399">
        <v>90.050020320000002</v>
      </c>
      <c r="O22" s="399">
        <v>360.14466600000014</v>
      </c>
      <c r="P22" s="399">
        <v>145.87572051999999</v>
      </c>
      <c r="Q22" s="399">
        <v>321.84913534000009</v>
      </c>
      <c r="R22" s="398">
        <v>81.837113340000002</v>
      </c>
      <c r="S22" s="397">
        <v>380.40974782000001</v>
      </c>
      <c r="T22" s="397">
        <v>51.111882209999997</v>
      </c>
      <c r="U22" s="397">
        <v>292.80006737999997</v>
      </c>
      <c r="V22" s="397">
        <v>83.959591400000008</v>
      </c>
      <c r="W22" s="397">
        <v>325.61640484000003</v>
      </c>
      <c r="X22" s="397">
        <v>61.551023789999995</v>
      </c>
      <c r="Y22" s="397">
        <v>421.50654869999977</v>
      </c>
      <c r="Z22" s="397">
        <v>54.318482850000002</v>
      </c>
      <c r="AA22" s="397">
        <v>430.72415158999991</v>
      </c>
      <c r="AB22" s="397">
        <v>27.638380259999998</v>
      </c>
      <c r="AC22" s="397">
        <v>475.25981223999969</v>
      </c>
      <c r="AD22" s="397">
        <v>60.559539319999999</v>
      </c>
      <c r="AE22" s="397">
        <v>683.60387052999977</v>
      </c>
      <c r="AF22" s="396">
        <v>40.487232810000002</v>
      </c>
      <c r="AG22" s="395">
        <v>684.08168257000011</v>
      </c>
      <c r="AH22" s="395">
        <v>32.106482</v>
      </c>
      <c r="AI22" s="395">
        <v>618.38196891999985</v>
      </c>
      <c r="AJ22" s="395">
        <v>44.492272999999997</v>
      </c>
      <c r="AK22" s="395">
        <v>806.92445142000008</v>
      </c>
      <c r="AL22" s="395">
        <v>174.61650276999998</v>
      </c>
      <c r="AM22" s="395">
        <v>484.36738738000003</v>
      </c>
      <c r="AN22" s="395">
        <v>51.913842799999998</v>
      </c>
      <c r="AO22" s="395">
        <v>672.73456354000007</v>
      </c>
      <c r="AP22" s="395">
        <v>81.75730532</v>
      </c>
      <c r="AQ22" s="395">
        <v>533.66845474999991</v>
      </c>
      <c r="AR22" s="395">
        <v>119.82964914999999</v>
      </c>
      <c r="AS22" s="395">
        <v>821.95448086999977</v>
      </c>
      <c r="AT22" s="395">
        <v>216.80167872000001</v>
      </c>
      <c r="AU22" s="395">
        <v>518.59885364000002</v>
      </c>
      <c r="AV22" s="395">
        <v>194.77083003999996</v>
      </c>
      <c r="AW22" s="395">
        <v>671.35361737999995</v>
      </c>
      <c r="AX22" s="395">
        <v>113.23819790999997</v>
      </c>
      <c r="AY22" s="395">
        <v>608.40257401000031</v>
      </c>
      <c r="AZ22" s="395">
        <v>114.27232855000001</v>
      </c>
      <c r="BA22" s="395">
        <v>417.09462003000021</v>
      </c>
      <c r="BB22" s="395">
        <v>108.49443417999998</v>
      </c>
      <c r="BC22" s="395">
        <v>189.50669556000003</v>
      </c>
      <c r="BD22" s="395">
        <v>82.674692430000007</v>
      </c>
      <c r="BE22" s="395">
        <v>103.48044884000001</v>
      </c>
      <c r="BF22" s="395">
        <v>43.79025772</v>
      </c>
      <c r="BG22" s="395">
        <v>185.53622850000002</v>
      </c>
      <c r="BH22" s="395">
        <v>29.725793000000003</v>
      </c>
      <c r="BI22" s="395">
        <v>221.51330911000005</v>
      </c>
      <c r="BJ22" s="395">
        <v>89.310814649999998</v>
      </c>
      <c r="BK22" s="395">
        <v>242.70185143999998</v>
      </c>
      <c r="BL22" s="395">
        <v>120.73908304000003</v>
      </c>
      <c r="BM22" s="395">
        <v>234.44878161</v>
      </c>
      <c r="BN22" s="395">
        <v>98.743742240000003</v>
      </c>
      <c r="BO22" s="395">
        <v>244.84112561000001</v>
      </c>
      <c r="BP22" s="395">
        <v>106.54486813999998</v>
      </c>
      <c r="BQ22" s="395">
        <v>302.22575026999999</v>
      </c>
      <c r="BR22" s="395">
        <v>30.949484660000007</v>
      </c>
      <c r="BS22" s="395">
        <v>307.88655777999992</v>
      </c>
      <c r="BT22" s="395">
        <v>38.961523929999998</v>
      </c>
      <c r="BU22" s="395">
        <v>224.39715151000001</v>
      </c>
      <c r="BV22" s="395">
        <v>63.745080530000003</v>
      </c>
      <c r="BW22" s="395">
        <v>152.73300957000004</v>
      </c>
      <c r="BX22" s="395">
        <v>80.058323090000002</v>
      </c>
      <c r="BY22" s="395">
        <v>205.10191079000001</v>
      </c>
      <c r="BZ22" s="395">
        <v>31.616552640000002</v>
      </c>
      <c r="CA22" s="395">
        <v>336.12626178999989</v>
      </c>
      <c r="CB22" s="395">
        <v>26.247622280000002</v>
      </c>
      <c r="CC22" s="395">
        <v>502.32391356000016</v>
      </c>
      <c r="CD22" s="395">
        <v>23.278827160000002</v>
      </c>
      <c r="CE22" s="395">
        <v>540.94328652000002</v>
      </c>
      <c r="CF22" s="395">
        <v>45.859028380000005</v>
      </c>
      <c r="CG22" s="395">
        <v>439.97529507999991</v>
      </c>
      <c r="CH22" s="395">
        <v>86.472729430000015</v>
      </c>
      <c r="CI22" s="394">
        <v>485.71163467999986</v>
      </c>
      <c r="CJ22" s="394">
        <v>222.34631021000001</v>
      </c>
      <c r="CK22" s="394">
        <v>668.21780560000002</v>
      </c>
      <c r="CL22" s="394">
        <v>204.21019942999993</v>
      </c>
      <c r="CM22" s="394">
        <v>559.39156682999987</v>
      </c>
      <c r="CN22" s="394">
        <v>152.72828451000001</v>
      </c>
      <c r="CO22" s="394">
        <v>213.97482758999999</v>
      </c>
      <c r="CP22" s="394">
        <v>117.69404088</v>
      </c>
      <c r="CQ22" s="394">
        <v>346.30356294000001</v>
      </c>
      <c r="CR22" s="394">
        <v>63.082560029999989</v>
      </c>
      <c r="CS22" s="394">
        <v>674.0737853899999</v>
      </c>
      <c r="CT22" s="394">
        <v>42.362592140000004</v>
      </c>
      <c r="CU22" s="394">
        <v>529.52882027999999</v>
      </c>
      <c r="CV22" s="394">
        <v>57.597993549999998</v>
      </c>
      <c r="CW22" s="394">
        <v>596.19642253000006</v>
      </c>
      <c r="CX22" s="394">
        <v>52.594766999999997</v>
      </c>
      <c r="CY22" s="394">
        <v>894.99651384000015</v>
      </c>
      <c r="CZ22" s="394">
        <v>236.75299767999999</v>
      </c>
      <c r="DA22" s="394">
        <v>639.23416898999983</v>
      </c>
      <c r="DB22" s="394">
        <v>191.20688948000003</v>
      </c>
      <c r="DC22" s="394">
        <v>578.47681165000017</v>
      </c>
      <c r="DD22" s="394">
        <v>429.14703374999999</v>
      </c>
      <c r="DE22" s="394">
        <v>434.80609089000001</v>
      </c>
      <c r="DF22" s="394">
        <v>340.65934414999992</v>
      </c>
      <c r="DG22" s="394">
        <v>600.24886958000013</v>
      </c>
      <c r="DH22" s="394">
        <v>297.58493621000002</v>
      </c>
      <c r="DI22" s="394">
        <v>363.62984923999983</v>
      </c>
      <c r="DJ22" s="394">
        <v>215.44798808999997</v>
      </c>
      <c r="DK22" s="394">
        <v>145.14028382999999</v>
      </c>
      <c r="DL22" s="394">
        <v>391.07182804000001</v>
      </c>
      <c r="DM22" s="394">
        <v>166.25964513</v>
      </c>
      <c r="DN22" s="394">
        <v>362.92953718999996</v>
      </c>
      <c r="DO22" s="394">
        <v>203.82600872</v>
      </c>
      <c r="DP22" s="394">
        <v>439.32982694999993</v>
      </c>
      <c r="DQ22" s="394">
        <v>243.91627021999997</v>
      </c>
      <c r="DR22" s="394">
        <v>241.11538014999999</v>
      </c>
      <c r="DS22" s="394">
        <v>208.25654251999993</v>
      </c>
      <c r="DT22" s="394">
        <v>238.68452420000003</v>
      </c>
      <c r="DU22" s="394">
        <v>224.76316115000003</v>
      </c>
      <c r="DV22" s="394">
        <v>188.66316061000001</v>
      </c>
      <c r="DW22" s="394">
        <v>351.25592903000006</v>
      </c>
      <c r="DX22" s="394">
        <v>257.05251039999996</v>
      </c>
      <c r="DY22" s="394">
        <f t="shared" ref="DY22:EF22" si="0">SUM(DY6:DY21)</f>
        <v>359.27846842000002</v>
      </c>
      <c r="DZ22" s="394">
        <f t="shared" si="0"/>
        <v>314.49538534000004</v>
      </c>
      <c r="EA22" s="394">
        <f t="shared" si="0"/>
        <v>312.79248919999998</v>
      </c>
      <c r="EB22" s="394">
        <f t="shared" si="0"/>
        <v>148.40795227000001</v>
      </c>
      <c r="EC22" s="394">
        <f>SUM(EC6:EC21)</f>
        <v>250.15641839</v>
      </c>
      <c r="ED22" s="394">
        <f t="shared" ref="ED22" si="1">SUM(ED6:ED21)</f>
        <v>138.08203258</v>
      </c>
      <c r="EE22" s="394">
        <f>SUM(EE6:EE21)</f>
        <v>298.17962358999995</v>
      </c>
      <c r="EF22" s="394">
        <f t="shared" si="0"/>
        <v>123.70652846</v>
      </c>
      <c r="EG22" s="394">
        <f>SUM(EG6:EG21)</f>
        <v>298.59734863000006</v>
      </c>
      <c r="EH22" s="394">
        <f t="shared" ref="EH22:EJ22" si="2">SUM(EH6:EH21)</f>
        <v>180.47517829999993</v>
      </c>
      <c r="EI22" s="394">
        <f>SUM(EI6:EI21)</f>
        <v>195.09301532000001</v>
      </c>
      <c r="EJ22" s="394">
        <f t="shared" si="2"/>
        <v>173.91104768</v>
      </c>
    </row>
    <row r="23" spans="1:140" s="367" customFormat="1" ht="18" thickBot="1" x14ac:dyDescent="0.35">
      <c r="A23" s="3469" t="s">
        <v>240</v>
      </c>
      <c r="B23" s="3470"/>
      <c r="C23" s="3470"/>
      <c r="D23" s="3471"/>
      <c r="E23" s="3471"/>
      <c r="F23" s="3471"/>
      <c r="G23" s="3471"/>
      <c r="H23" s="3471"/>
      <c r="I23" s="3470"/>
      <c r="J23" s="3470"/>
      <c r="K23" s="3470"/>
      <c r="L23" s="3470"/>
      <c r="M23" s="3470"/>
      <c r="N23" s="3470"/>
      <c r="O23" s="3470"/>
      <c r="P23" s="3470"/>
      <c r="Q23" s="3470"/>
      <c r="R23" s="3470"/>
      <c r="S23" s="3470"/>
      <c r="T23" s="3470"/>
      <c r="U23" s="3470"/>
      <c r="V23" s="3470"/>
      <c r="W23" s="3470"/>
      <c r="X23" s="3470"/>
      <c r="Y23" s="3470"/>
      <c r="Z23" s="3470"/>
      <c r="AA23" s="3470"/>
      <c r="AB23" s="3470"/>
      <c r="AC23" s="3470"/>
      <c r="AD23" s="3470"/>
      <c r="AE23" s="3470"/>
      <c r="AF23" s="3470"/>
      <c r="AG23" s="3470"/>
      <c r="AH23" s="3470"/>
      <c r="AI23" s="3470"/>
      <c r="AJ23" s="3470"/>
      <c r="AK23" s="3470"/>
      <c r="AL23" s="3470"/>
      <c r="AM23" s="3470"/>
      <c r="AN23" s="3470"/>
      <c r="AO23" s="3470"/>
      <c r="AP23" s="3470"/>
      <c r="AQ23" s="3470"/>
      <c r="AR23" s="3470"/>
      <c r="AS23" s="3470"/>
      <c r="AT23" s="3470"/>
      <c r="AU23" s="3470"/>
      <c r="AV23" s="3470"/>
      <c r="AW23" s="3470"/>
      <c r="AX23" s="3470"/>
      <c r="AY23" s="3470"/>
      <c r="AZ23" s="3470"/>
      <c r="BA23" s="3470"/>
      <c r="BB23" s="3470"/>
      <c r="BC23" s="3470"/>
      <c r="BD23" s="3470"/>
      <c r="BE23" s="3470"/>
      <c r="BF23" s="3470"/>
      <c r="BG23" s="3470"/>
      <c r="BH23" s="3470"/>
      <c r="BI23" s="3470"/>
      <c r="BJ23" s="3470"/>
      <c r="BK23" s="3470"/>
      <c r="BL23" s="3470"/>
      <c r="BM23" s="3470"/>
      <c r="BN23" s="3470"/>
      <c r="BO23" s="3470"/>
      <c r="BP23" s="3470"/>
      <c r="BQ23" s="3470"/>
      <c r="BR23" s="3470"/>
      <c r="BS23" s="3470"/>
      <c r="BT23" s="3470"/>
      <c r="BU23" s="3470"/>
      <c r="BV23" s="3470"/>
      <c r="BW23" s="3470"/>
      <c r="BX23" s="3470"/>
      <c r="BY23" s="3470"/>
      <c r="BZ23" s="3470"/>
      <c r="CA23" s="3470"/>
      <c r="CB23" s="3470"/>
      <c r="CC23" s="3470"/>
      <c r="CD23" s="3470"/>
      <c r="CE23" s="3470"/>
      <c r="CF23" s="3470"/>
      <c r="CG23" s="3470"/>
      <c r="CH23" s="3470"/>
      <c r="CI23" s="3470"/>
      <c r="CJ23" s="3470"/>
      <c r="CK23" s="3470"/>
      <c r="CL23" s="3470"/>
      <c r="CM23" s="3470"/>
      <c r="CN23" s="3470"/>
      <c r="CO23" s="3470"/>
      <c r="CP23" s="3470"/>
      <c r="CQ23" s="3470"/>
      <c r="CR23" s="3470"/>
      <c r="CS23" s="3470"/>
      <c r="CT23" s="3472"/>
      <c r="CU23" s="377"/>
      <c r="CV23" s="377"/>
      <c r="CW23" s="377"/>
      <c r="CX23" s="376"/>
      <c r="CY23" s="377"/>
      <c r="CZ23" s="376"/>
      <c r="DA23" s="377"/>
      <c r="DB23" s="376"/>
      <c r="DC23" s="377"/>
      <c r="DD23" s="376"/>
      <c r="DE23" s="377"/>
      <c r="DF23" s="376"/>
      <c r="DG23" s="377"/>
      <c r="DH23" s="376"/>
      <c r="DI23" s="377"/>
      <c r="DJ23" s="376"/>
      <c r="DK23" s="377"/>
      <c r="DL23" s="376"/>
      <c r="DM23" s="377"/>
      <c r="DN23" s="376"/>
      <c r="DO23" s="377"/>
      <c r="DP23" s="376"/>
      <c r="DQ23" s="377"/>
      <c r="DR23" s="376"/>
      <c r="DS23" s="376"/>
      <c r="DT23" s="376"/>
      <c r="DU23" s="376"/>
      <c r="DV23" s="376"/>
      <c r="DW23" s="376"/>
      <c r="DX23" s="376"/>
      <c r="DY23" s="376"/>
      <c r="DZ23" s="376"/>
      <c r="EA23" s="376"/>
      <c r="EB23" s="376"/>
      <c r="EC23" s="376"/>
      <c r="ED23" s="376"/>
      <c r="EE23" s="376"/>
      <c r="EF23" s="376"/>
      <c r="EG23" s="376"/>
      <c r="EH23" s="376"/>
      <c r="EI23" s="376"/>
      <c r="EJ23" s="376"/>
    </row>
    <row r="24" spans="1:140" ht="17.25" x14ac:dyDescent="0.3">
      <c r="A24" s="375" t="s">
        <v>231</v>
      </c>
      <c r="B24" s="374" t="s">
        <v>230</v>
      </c>
      <c r="C24" s="371">
        <v>12.186464998992015</v>
      </c>
      <c r="D24" s="371">
        <v>0</v>
      </c>
      <c r="E24" s="371">
        <v>77.323555206577325</v>
      </c>
      <c r="F24" s="371">
        <v>1.130804388123859</v>
      </c>
      <c r="G24" s="371">
        <v>28.844582861843293</v>
      </c>
      <c r="H24" s="371">
        <v>0.9446048168175748</v>
      </c>
      <c r="I24" s="371">
        <v>0</v>
      </c>
      <c r="J24" s="371">
        <v>0.30295426400957287</v>
      </c>
      <c r="K24" s="371">
        <v>11.815775575628594</v>
      </c>
      <c r="L24" s="371">
        <v>0.40766431022960353</v>
      </c>
      <c r="M24" s="371">
        <v>0</v>
      </c>
      <c r="N24" s="371">
        <v>0.91883915723270793</v>
      </c>
      <c r="O24" s="371">
        <v>3.511321498675068</v>
      </c>
      <c r="P24" s="371">
        <v>0.41285904817574165</v>
      </c>
      <c r="Q24" s="371">
        <v>7.1360126291799402</v>
      </c>
      <c r="R24" s="370">
        <v>0</v>
      </c>
      <c r="S24" s="393">
        <v>0.81292066796621554</v>
      </c>
      <c r="T24" s="393">
        <v>0</v>
      </c>
      <c r="U24" s="393">
        <v>8.2581384452785955E-2</v>
      </c>
      <c r="V24" s="393">
        <v>0</v>
      </c>
      <c r="W24" s="393">
        <v>7.9503565306568533E-2</v>
      </c>
      <c r="X24" s="393">
        <v>0</v>
      </c>
      <c r="Y24" s="393">
        <v>0</v>
      </c>
      <c r="Z24" s="393">
        <v>0</v>
      </c>
      <c r="AA24" s="393">
        <v>0</v>
      </c>
      <c r="AB24" s="393">
        <v>0</v>
      </c>
      <c r="AC24" s="393">
        <v>3.2817642847636241</v>
      </c>
      <c r="AD24" s="393">
        <v>9.3622569938775643E-2</v>
      </c>
      <c r="AE24" s="393">
        <v>0.78892430414499048</v>
      </c>
      <c r="AF24" s="392">
        <v>0.24653140808513804</v>
      </c>
      <c r="AG24" s="373">
        <v>0.80567846090012984</v>
      </c>
      <c r="AH24" s="373">
        <v>0</v>
      </c>
      <c r="AI24" s="373">
        <v>2.6425210757909809</v>
      </c>
      <c r="AJ24" s="373">
        <v>1.2522970117991752</v>
      </c>
      <c r="AK24" s="373">
        <v>2.5428629468907666</v>
      </c>
      <c r="AL24" s="373">
        <v>14.550974176833076</v>
      </c>
      <c r="AM24" s="373">
        <v>2.976738940314807</v>
      </c>
      <c r="AN24" s="373">
        <v>3.2691919422423235E-2</v>
      </c>
      <c r="AO24" s="373">
        <v>4.1980743454860185</v>
      </c>
      <c r="AP24" s="373">
        <v>0</v>
      </c>
      <c r="AQ24" s="373">
        <v>0.19037331155144765</v>
      </c>
      <c r="AR24" s="373">
        <v>0</v>
      </c>
      <c r="AS24" s="373">
        <v>1.0559276819322165</v>
      </c>
      <c r="AT24" s="373">
        <v>1.6254748494932065</v>
      </c>
      <c r="AU24" s="373">
        <v>0.38328394730746662</v>
      </c>
      <c r="AV24" s="373">
        <v>4.4418045343586759E-2</v>
      </c>
      <c r="AW24" s="373">
        <v>1.3657179921274389</v>
      </c>
      <c r="AX24" s="373">
        <v>2.897862089534638E-2</v>
      </c>
      <c r="AY24" s="373">
        <v>3.913228206619229</v>
      </c>
      <c r="AZ24" s="373">
        <v>1.1008058944319621</v>
      </c>
      <c r="BA24" s="373">
        <v>2.9006444721401863</v>
      </c>
      <c r="BB24" s="373">
        <v>0</v>
      </c>
      <c r="BC24" s="373">
        <v>1.9448251452762815</v>
      </c>
      <c r="BD24" s="373">
        <v>0</v>
      </c>
      <c r="BE24" s="373">
        <v>10.094280390311756</v>
      </c>
      <c r="BF24" s="373">
        <v>0.53638827596908933</v>
      </c>
      <c r="BG24" s="373">
        <v>0</v>
      </c>
      <c r="BH24" s="373">
        <v>3.2242164647705636</v>
      </c>
      <c r="BI24" s="373">
        <v>0</v>
      </c>
      <c r="BJ24" s="373">
        <v>3.8408461885902496</v>
      </c>
      <c r="BK24" s="373">
        <v>0.60665580204894709</v>
      </c>
      <c r="BL24" s="373">
        <v>0</v>
      </c>
      <c r="BM24" s="373">
        <v>0.11911765578572518</v>
      </c>
      <c r="BN24" s="373">
        <v>11.970531576726785</v>
      </c>
      <c r="BO24" s="373">
        <v>0.29159637887264594</v>
      </c>
      <c r="BP24" s="373">
        <v>12.52439304613589</v>
      </c>
      <c r="BQ24" s="373">
        <v>0.59303255270567989</v>
      </c>
      <c r="BR24" s="373">
        <v>12.901422456859189</v>
      </c>
      <c r="BS24" s="373">
        <v>3.4135021438603443</v>
      </c>
      <c r="BT24" s="373">
        <v>14.163785113191903</v>
      </c>
      <c r="BU24" s="373">
        <v>9.6561943443422873</v>
      </c>
      <c r="BV24" s="373">
        <v>4.0007749686443361</v>
      </c>
      <c r="BW24" s="373">
        <v>1.0717221585835335</v>
      </c>
      <c r="BX24" s="373">
        <v>6.1375276680306028</v>
      </c>
      <c r="BY24" s="373">
        <v>1.1916431373665544</v>
      </c>
      <c r="BZ24" s="373">
        <v>0.20928609929903824</v>
      </c>
      <c r="CA24" s="373">
        <v>0.21697845023557005</v>
      </c>
      <c r="CB24" s="373">
        <v>2.140422178509632</v>
      </c>
      <c r="CC24" s="373">
        <v>2.0816963830743958</v>
      </c>
      <c r="CD24" s="373">
        <v>0.12946451458849584</v>
      </c>
      <c r="CE24" s="373">
        <v>4.035226620761593</v>
      </c>
      <c r="CF24" s="373">
        <v>0.541912585885859</v>
      </c>
      <c r="CG24" s="373">
        <v>5.1910173424796735</v>
      </c>
      <c r="CH24" s="373">
        <v>0</v>
      </c>
      <c r="CI24" s="373">
        <v>5.4380105526681239</v>
      </c>
      <c r="CJ24" s="373">
        <v>0</v>
      </c>
      <c r="CK24" s="373">
        <v>4.0553286609076302</v>
      </c>
      <c r="CL24" s="373">
        <v>0</v>
      </c>
      <c r="CM24" s="373">
        <v>4.6580518753498792</v>
      </c>
      <c r="CN24" s="373">
        <v>0</v>
      </c>
      <c r="CO24" s="373">
        <v>2.9219050472394863</v>
      </c>
      <c r="CP24" s="373">
        <v>0</v>
      </c>
      <c r="CQ24" s="373">
        <v>2.9217995057721389</v>
      </c>
      <c r="CR24" s="373">
        <v>1.9883658208239592</v>
      </c>
      <c r="CS24" s="373">
        <v>1.5388353186290802</v>
      </c>
      <c r="CT24" s="373">
        <v>0</v>
      </c>
      <c r="CU24" s="373">
        <v>0.7317131681639143</v>
      </c>
      <c r="CV24" s="373">
        <v>0</v>
      </c>
      <c r="CW24" s="373">
        <v>4.6696821004427074</v>
      </c>
      <c r="CX24" s="373">
        <v>6.0255616278567414</v>
      </c>
      <c r="CY24" s="373">
        <v>0.72592749514335542</v>
      </c>
      <c r="CZ24" s="373">
        <v>3.7513352955228725</v>
      </c>
      <c r="DA24" s="373">
        <v>1.815096284849538</v>
      </c>
      <c r="DB24" s="373">
        <v>0.81074037837294155</v>
      </c>
      <c r="DC24" s="373">
        <v>0</v>
      </c>
      <c r="DD24" s="373">
        <v>1.2309984400811711</v>
      </c>
      <c r="DE24" s="373">
        <v>8.4078338374889691E-2</v>
      </c>
      <c r="DF24" s="373">
        <v>0.57452183813572455</v>
      </c>
      <c r="DG24" s="373">
        <v>2.349909621955252</v>
      </c>
      <c r="DH24" s="373">
        <v>0.86789375068885688</v>
      </c>
      <c r="DI24" s="373">
        <v>3.3433744910457146</v>
      </c>
      <c r="DJ24" s="373">
        <v>0.35522526399417398</v>
      </c>
      <c r="DK24" s="373">
        <v>2.9691673654033064</v>
      </c>
      <c r="DL24" s="373">
        <v>0</v>
      </c>
      <c r="DM24" s="373">
        <v>0</v>
      </c>
      <c r="DN24" s="373">
        <v>0</v>
      </c>
      <c r="DO24" s="373">
        <v>0.46340102932840727</v>
      </c>
      <c r="DP24" s="373">
        <v>0</v>
      </c>
      <c r="DQ24" s="373">
        <v>0</v>
      </c>
      <c r="DR24" s="373">
        <v>0</v>
      </c>
      <c r="DS24" s="373">
        <v>0.94227530927950787</v>
      </c>
      <c r="DT24" s="373">
        <v>2.5258761983879299</v>
      </c>
      <c r="DU24" s="373">
        <v>0.53492140728318571</v>
      </c>
      <c r="DV24" s="373">
        <v>0</v>
      </c>
      <c r="DW24" s="373">
        <v>0.46524269361130649</v>
      </c>
      <c r="DX24" s="373">
        <v>0</v>
      </c>
      <c r="DY24" s="373">
        <v>0.7138150669887986</v>
      </c>
      <c r="DZ24" s="373">
        <v>0</v>
      </c>
      <c r="EA24" s="373">
        <v>1.2344705240174674</v>
      </c>
      <c r="EB24" s="373">
        <v>0.10842794759825328</v>
      </c>
      <c r="EC24" s="373">
        <v>0.69986956521739141</v>
      </c>
      <c r="ED24" s="373">
        <v>0</v>
      </c>
      <c r="EE24" s="373">
        <v>0.56819690470127593</v>
      </c>
      <c r="EF24" s="373">
        <v>0.44816756661465035</v>
      </c>
      <c r="EG24" s="373">
        <v>3.0420276690888763</v>
      </c>
      <c r="EH24" s="373">
        <v>0</v>
      </c>
      <c r="EI24" s="373">
        <v>7.4958573518782936</v>
      </c>
      <c r="EJ24" s="373">
        <v>0</v>
      </c>
    </row>
    <row r="25" spans="1:140" ht="17.25" x14ac:dyDescent="0.3">
      <c r="A25" s="366" t="s">
        <v>227</v>
      </c>
      <c r="B25" s="365" t="s">
        <v>226</v>
      </c>
      <c r="C25" s="371">
        <v>48.326687526136048</v>
      </c>
      <c r="D25" s="371">
        <v>4.3691120161310808</v>
      </c>
      <c r="E25" s="371">
        <v>49.623442357508161</v>
      </c>
      <c r="F25" s="371">
        <v>2.0262237960037353</v>
      </c>
      <c r="G25" s="371">
        <v>26.696344396656794</v>
      </c>
      <c r="H25" s="371">
        <v>1.3359000190246217</v>
      </c>
      <c r="I25" s="371">
        <v>45.970114630170748</v>
      </c>
      <c r="J25" s="371">
        <v>1.1867547525182875</v>
      </c>
      <c r="K25" s="371">
        <v>46.157896301157521</v>
      </c>
      <c r="L25" s="371">
        <v>0.4093509919101882</v>
      </c>
      <c r="M25" s="371">
        <v>4.3195012484276107</v>
      </c>
      <c r="N25" s="371">
        <v>0.57202712550150403</v>
      </c>
      <c r="O25" s="371">
        <v>46.584908350872631</v>
      </c>
      <c r="P25" s="371">
        <v>1.0677173651502767</v>
      </c>
      <c r="Q25" s="371">
        <v>41.95401868338547</v>
      </c>
      <c r="R25" s="370">
        <v>0.22866942350764269</v>
      </c>
      <c r="S25" s="369">
        <v>2.4835353005854235</v>
      </c>
      <c r="T25" s="369">
        <v>0</v>
      </c>
      <c r="U25" s="369">
        <v>11.667013723009307</v>
      </c>
      <c r="V25" s="369">
        <v>0</v>
      </c>
      <c r="W25" s="369">
        <v>10.61855242710636</v>
      </c>
      <c r="X25" s="369">
        <v>0.11277420462035721</v>
      </c>
      <c r="Y25" s="369">
        <v>5.477302000316782</v>
      </c>
      <c r="Z25" s="369">
        <v>0</v>
      </c>
      <c r="AA25" s="369">
        <v>5.2333616809475085</v>
      </c>
      <c r="AB25" s="369">
        <v>0.63088010351057622</v>
      </c>
      <c r="AC25" s="369">
        <v>5.0867115810309391</v>
      </c>
      <c r="AD25" s="369">
        <v>0</v>
      </c>
      <c r="AE25" s="369">
        <v>6.7367785608633959</v>
      </c>
      <c r="AF25" s="391">
        <v>8.6409766962892015E-2</v>
      </c>
      <c r="AG25" s="362">
        <v>7.3727945753799631</v>
      </c>
      <c r="AH25" s="362">
        <v>9.4550833360280848E-2</v>
      </c>
      <c r="AI25" s="362">
        <v>6.8422684875158968</v>
      </c>
      <c r="AJ25" s="362">
        <v>0</v>
      </c>
      <c r="AK25" s="362">
        <v>4.0624531296114759</v>
      </c>
      <c r="AL25" s="362">
        <v>2.2832913307821133E-2</v>
      </c>
      <c r="AM25" s="362">
        <v>2.3342528236893956</v>
      </c>
      <c r="AN25" s="362">
        <v>0</v>
      </c>
      <c r="AO25" s="362">
        <v>4.4236502334325687</v>
      </c>
      <c r="AP25" s="362">
        <v>0</v>
      </c>
      <c r="AQ25" s="362">
        <v>3.599635709223588</v>
      </c>
      <c r="AR25" s="362">
        <v>0.38285805505827641</v>
      </c>
      <c r="AS25" s="362">
        <v>3.4242270879047583</v>
      </c>
      <c r="AT25" s="362">
        <v>0.22091712495641389</v>
      </c>
      <c r="AU25" s="362">
        <v>2.697640782752186</v>
      </c>
      <c r="AV25" s="362">
        <v>1.8676710906509784</v>
      </c>
      <c r="AW25" s="362">
        <v>4.7022192510011003</v>
      </c>
      <c r="AX25" s="362">
        <v>0.40012098758955578</v>
      </c>
      <c r="AY25" s="362">
        <v>2.7109735736857905</v>
      </c>
      <c r="AZ25" s="362">
        <v>0.22154252929092597</v>
      </c>
      <c r="BA25" s="362">
        <v>2.0390498408119013</v>
      </c>
      <c r="BB25" s="362">
        <v>0.15869014189214647</v>
      </c>
      <c r="BC25" s="362">
        <v>3.9664975040459387</v>
      </c>
      <c r="BD25" s="362">
        <v>0</v>
      </c>
      <c r="BE25" s="362">
        <v>2.123764843678055</v>
      </c>
      <c r="BF25" s="362">
        <v>0</v>
      </c>
      <c r="BG25" s="362">
        <v>1.5033084141988122</v>
      </c>
      <c r="BH25" s="362">
        <v>0</v>
      </c>
      <c r="BI25" s="362">
        <v>2.2886238873544049</v>
      </c>
      <c r="BJ25" s="362">
        <v>0.60395131485391418</v>
      </c>
      <c r="BK25" s="362">
        <v>3.6884903007955554</v>
      </c>
      <c r="BL25" s="362">
        <v>3.1460608556468976</v>
      </c>
      <c r="BM25" s="362">
        <v>3.8625413962064283</v>
      </c>
      <c r="BN25" s="362">
        <v>5.6017494120306957</v>
      </c>
      <c r="BO25" s="362">
        <v>4.0467575890052867</v>
      </c>
      <c r="BP25" s="362">
        <v>3.2852792890616089</v>
      </c>
      <c r="BQ25" s="362">
        <v>3.1727911217878866</v>
      </c>
      <c r="BR25" s="362">
        <v>4.1426832539186016</v>
      </c>
      <c r="BS25" s="362">
        <v>4.9806854763715833</v>
      </c>
      <c r="BT25" s="362">
        <v>1.8902877341541364</v>
      </c>
      <c r="BU25" s="362">
        <v>4.7075028812320925</v>
      </c>
      <c r="BV25" s="362">
        <v>0.50409176297967995</v>
      </c>
      <c r="BW25" s="362">
        <v>3.8298387852480991</v>
      </c>
      <c r="BX25" s="362">
        <v>0</v>
      </c>
      <c r="BY25" s="362">
        <v>3.0310236478956534</v>
      </c>
      <c r="BZ25" s="362">
        <v>0</v>
      </c>
      <c r="CA25" s="362">
        <v>5.493899828228539</v>
      </c>
      <c r="CB25" s="362">
        <v>0</v>
      </c>
      <c r="CC25" s="362">
        <v>3.698688571656723</v>
      </c>
      <c r="CD25" s="362">
        <v>0</v>
      </c>
      <c r="CE25" s="362">
        <v>4.9621757573043634</v>
      </c>
      <c r="CF25" s="362">
        <v>0</v>
      </c>
      <c r="CG25" s="362">
        <v>6.1157417045910352</v>
      </c>
      <c r="CH25" s="362">
        <v>0.15021040126960999</v>
      </c>
      <c r="CI25" s="362">
        <v>5.6934199098006983</v>
      </c>
      <c r="CJ25" s="362">
        <v>2.9015146237128482</v>
      </c>
      <c r="CK25" s="362">
        <v>7.2135632290963274</v>
      </c>
      <c r="CL25" s="362">
        <v>7.101257829417654</v>
      </c>
      <c r="CM25" s="362">
        <v>12.540636487684271</v>
      </c>
      <c r="CN25" s="362">
        <v>1.0000466504944954</v>
      </c>
      <c r="CO25" s="362">
        <v>6.8187376327304134</v>
      </c>
      <c r="CP25" s="362">
        <v>0</v>
      </c>
      <c r="CQ25" s="362">
        <v>6.9055734334083274</v>
      </c>
      <c r="CR25" s="362">
        <v>0</v>
      </c>
      <c r="CS25" s="362">
        <v>7.1073698517732433</v>
      </c>
      <c r="CT25" s="362">
        <v>0</v>
      </c>
      <c r="CU25" s="362">
        <v>6.9574632389899751</v>
      </c>
      <c r="CV25" s="362">
        <v>0</v>
      </c>
      <c r="CW25" s="362">
        <v>5.570478611528606</v>
      </c>
      <c r="CX25" s="362">
        <v>0</v>
      </c>
      <c r="CY25" s="362">
        <v>7.4819087176204917</v>
      </c>
      <c r="CZ25" s="362">
        <v>0</v>
      </c>
      <c r="DA25" s="362">
        <v>7.5280327898832331</v>
      </c>
      <c r="DB25" s="362">
        <v>0</v>
      </c>
      <c r="DC25" s="362">
        <v>11.708248703518793</v>
      </c>
      <c r="DD25" s="362">
        <v>0.41305063063975078</v>
      </c>
      <c r="DE25" s="362">
        <v>5.6889865012048082</v>
      </c>
      <c r="DF25" s="362">
        <v>3.1097794727587531</v>
      </c>
      <c r="DG25" s="362">
        <v>5.9385429295712555</v>
      </c>
      <c r="DH25" s="362">
        <v>7.2078820634806551</v>
      </c>
      <c r="DI25" s="362">
        <v>14.250168272148477</v>
      </c>
      <c r="DJ25" s="362">
        <v>1.7631754333697465</v>
      </c>
      <c r="DK25" s="362">
        <v>16.942702854181633</v>
      </c>
      <c r="DL25" s="362">
        <v>3.5700067409329193</v>
      </c>
      <c r="DM25" s="362">
        <v>14.651175743263565</v>
      </c>
      <c r="DN25" s="362">
        <v>3.2038218612678646</v>
      </c>
      <c r="DO25" s="362">
        <v>17.430439034084365</v>
      </c>
      <c r="DP25" s="362">
        <v>2.2582896210590024</v>
      </c>
      <c r="DQ25" s="362">
        <v>22.474459781531547</v>
      </c>
      <c r="DR25" s="362">
        <v>2.2676816808419447</v>
      </c>
      <c r="DS25" s="362">
        <v>20.939996407642738</v>
      </c>
      <c r="DT25" s="362">
        <v>0</v>
      </c>
      <c r="DU25" s="362">
        <v>23.812067175267405</v>
      </c>
      <c r="DV25" s="362">
        <v>2.1722696750805914</v>
      </c>
      <c r="DW25" s="362">
        <v>24.615996248214703</v>
      </c>
      <c r="DX25" s="362">
        <v>0</v>
      </c>
      <c r="DY25" s="362">
        <v>17.025203162749833</v>
      </c>
      <c r="DZ25" s="362">
        <v>8.7924445420601793E-2</v>
      </c>
      <c r="EA25" s="362">
        <v>33.473120087336248</v>
      </c>
      <c r="EB25" s="362">
        <v>0.31694323144104808</v>
      </c>
      <c r="EC25" s="362">
        <v>21.481630434782613</v>
      </c>
      <c r="ED25" s="362">
        <v>4.5054989151956519</v>
      </c>
      <c r="EE25" s="362">
        <v>19.106031719085646</v>
      </c>
      <c r="EF25" s="362">
        <v>0.57846741143619518</v>
      </c>
      <c r="EG25" s="362">
        <v>26.667581181875345</v>
      </c>
      <c r="EH25" s="362">
        <v>2.9059661472889879</v>
      </c>
      <c r="EI25" s="362">
        <v>16.198183845435153</v>
      </c>
      <c r="EJ25" s="362">
        <v>0.64159262784917237</v>
      </c>
    </row>
    <row r="26" spans="1:140" s="367" customFormat="1" ht="17.25" x14ac:dyDescent="0.3">
      <c r="A26" s="366" t="s">
        <v>225</v>
      </c>
      <c r="B26" s="365" t="s">
        <v>224</v>
      </c>
      <c r="C26" s="371"/>
      <c r="D26" s="371"/>
      <c r="E26" s="371"/>
      <c r="F26" s="371"/>
      <c r="G26" s="371"/>
      <c r="H26" s="371"/>
      <c r="I26" s="371"/>
      <c r="J26" s="371"/>
      <c r="K26" s="372"/>
      <c r="L26" s="371"/>
      <c r="M26" s="371"/>
      <c r="N26" s="371"/>
      <c r="O26" s="372"/>
      <c r="P26" s="371"/>
      <c r="Q26" s="371"/>
      <c r="R26" s="370"/>
      <c r="S26" s="369"/>
      <c r="T26" s="369"/>
      <c r="U26" s="369"/>
      <c r="V26" s="369"/>
      <c r="W26" s="369"/>
      <c r="X26" s="369"/>
      <c r="Y26" s="369"/>
      <c r="Z26" s="369"/>
      <c r="AA26" s="369"/>
      <c r="AB26" s="369"/>
      <c r="AC26" s="369"/>
      <c r="AD26" s="369"/>
      <c r="AE26" s="369">
        <v>0</v>
      </c>
      <c r="AF26" s="391">
        <v>0</v>
      </c>
      <c r="AG26" s="362">
        <v>0</v>
      </c>
      <c r="AH26" s="362">
        <v>0</v>
      </c>
      <c r="AI26" s="362">
        <v>0</v>
      </c>
      <c r="AJ26" s="362">
        <v>0.16761059888091145</v>
      </c>
      <c r="AK26" s="362">
        <v>0</v>
      </c>
      <c r="AL26" s="362">
        <v>0</v>
      </c>
      <c r="AM26" s="362">
        <v>0</v>
      </c>
      <c r="AN26" s="362">
        <v>0</v>
      </c>
      <c r="AO26" s="362">
        <v>0</v>
      </c>
      <c r="AP26" s="362">
        <v>0</v>
      </c>
      <c r="AQ26" s="362">
        <v>0</v>
      </c>
      <c r="AR26" s="362">
        <v>0</v>
      </c>
      <c r="AS26" s="362">
        <v>0</v>
      </c>
      <c r="AT26" s="362">
        <v>0</v>
      </c>
      <c r="AU26" s="362">
        <v>0</v>
      </c>
      <c r="AV26" s="362">
        <v>0</v>
      </c>
      <c r="AW26" s="362">
        <v>0</v>
      </c>
      <c r="AX26" s="362">
        <v>0.84846825575581575</v>
      </c>
      <c r="AY26" s="362">
        <v>0</v>
      </c>
      <c r="AZ26" s="362">
        <v>0</v>
      </c>
      <c r="BA26" s="362">
        <v>0</v>
      </c>
      <c r="BB26" s="362">
        <v>0</v>
      </c>
      <c r="BC26" s="362">
        <v>0</v>
      </c>
      <c r="BD26" s="362">
        <v>1.1675638319584825</v>
      </c>
      <c r="BE26" s="362">
        <v>0</v>
      </c>
      <c r="BF26" s="362">
        <v>0</v>
      </c>
      <c r="BG26" s="362">
        <v>0</v>
      </c>
      <c r="BH26" s="362">
        <v>0</v>
      </c>
      <c r="BI26" s="362">
        <v>0</v>
      </c>
      <c r="BJ26" s="362">
        <v>0</v>
      </c>
      <c r="BK26" s="362">
        <v>0</v>
      </c>
      <c r="BL26" s="362">
        <v>7.6843713178376891E-2</v>
      </c>
      <c r="BM26" s="362">
        <v>0</v>
      </c>
      <c r="BN26" s="362">
        <v>0</v>
      </c>
      <c r="BO26" s="362">
        <v>0</v>
      </c>
      <c r="BP26" s="362">
        <v>0.16986724743849077</v>
      </c>
      <c r="BQ26" s="362">
        <v>0</v>
      </c>
      <c r="BR26" s="362">
        <v>0.13113139530776741</v>
      </c>
      <c r="BS26" s="362">
        <v>0</v>
      </c>
      <c r="BT26" s="362">
        <v>0</v>
      </c>
      <c r="BU26" s="362">
        <v>0</v>
      </c>
      <c r="BV26" s="362">
        <v>0</v>
      </c>
      <c r="BW26" s="362">
        <v>0</v>
      </c>
      <c r="BX26" s="362">
        <v>0</v>
      </c>
      <c r="BY26" s="362">
        <v>0</v>
      </c>
      <c r="BZ26" s="362">
        <v>0</v>
      </c>
      <c r="CA26" s="362">
        <v>0</v>
      </c>
      <c r="CB26" s="362">
        <v>0</v>
      </c>
      <c r="CC26" s="362">
        <v>0</v>
      </c>
      <c r="CD26" s="362">
        <v>0</v>
      </c>
      <c r="CE26" s="362">
        <v>0</v>
      </c>
      <c r="CF26" s="362">
        <v>0</v>
      </c>
      <c r="CG26" s="362">
        <v>0</v>
      </c>
      <c r="CH26" s="362">
        <v>0</v>
      </c>
      <c r="CI26" s="362">
        <v>0</v>
      </c>
      <c r="CJ26" s="362">
        <v>0.35615254922178713</v>
      </c>
      <c r="CK26" s="362">
        <v>0</v>
      </c>
      <c r="CL26" s="362">
        <v>0</v>
      </c>
      <c r="CM26" s="362">
        <v>0</v>
      </c>
      <c r="CN26" s="362">
        <v>7.1466983112520985</v>
      </c>
      <c r="CO26" s="362">
        <v>0.50197179565786909</v>
      </c>
      <c r="CP26" s="362">
        <v>3.0595394033982704</v>
      </c>
      <c r="CQ26" s="362">
        <v>1.2433495924464277</v>
      </c>
      <c r="CR26" s="362">
        <v>2.5159056541142628</v>
      </c>
      <c r="CS26" s="362">
        <v>0</v>
      </c>
      <c r="CT26" s="362">
        <v>0</v>
      </c>
      <c r="CU26" s="362">
        <v>0</v>
      </c>
      <c r="CV26" s="362">
        <v>0</v>
      </c>
      <c r="CW26" s="362">
        <v>0</v>
      </c>
      <c r="CX26" s="362">
        <v>0</v>
      </c>
      <c r="CY26" s="362">
        <v>0.41363736754093777</v>
      </c>
      <c r="CZ26" s="362">
        <v>0.5055284615141914</v>
      </c>
      <c r="DA26" s="362">
        <v>0</v>
      </c>
      <c r="DB26" s="362">
        <v>0.51675799676307343</v>
      </c>
      <c r="DC26" s="362">
        <v>0</v>
      </c>
      <c r="DD26" s="362">
        <v>0.21254469236468049</v>
      </c>
      <c r="DE26" s="362">
        <v>4.249566021931332</v>
      </c>
      <c r="DF26" s="362">
        <v>0.95404166638595644</v>
      </c>
      <c r="DG26" s="362">
        <v>0</v>
      </c>
      <c r="DH26" s="362">
        <v>0</v>
      </c>
      <c r="DI26" s="362">
        <v>0</v>
      </c>
      <c r="DJ26" s="362">
        <v>0</v>
      </c>
      <c r="DK26" s="362">
        <v>3.4228828279817884</v>
      </c>
      <c r="DL26" s="362">
        <v>1.8395423503728696</v>
      </c>
      <c r="DM26" s="362">
        <v>0.82234469161106361</v>
      </c>
      <c r="DN26" s="362">
        <v>1.8783007443217896</v>
      </c>
      <c r="DO26" s="362">
        <v>0</v>
      </c>
      <c r="DP26" s="362">
        <v>9.8235598322542472E-2</v>
      </c>
      <c r="DQ26" s="362">
        <v>1.5647003598810827</v>
      </c>
      <c r="DR26" s="362">
        <v>1.3291449252685501</v>
      </c>
      <c r="DS26" s="362">
        <v>0</v>
      </c>
      <c r="DT26" s="362">
        <v>0.26718157120725661</v>
      </c>
      <c r="DU26" s="362">
        <v>0</v>
      </c>
      <c r="DV26" s="362">
        <v>1.1786735252461182</v>
      </c>
      <c r="DW26" s="362">
        <v>0</v>
      </c>
      <c r="DX26" s="362">
        <v>0</v>
      </c>
      <c r="DY26" s="362">
        <v>0</v>
      </c>
      <c r="DZ26" s="362">
        <v>0</v>
      </c>
      <c r="EA26" s="362">
        <v>0</v>
      </c>
      <c r="EB26" s="362">
        <v>0</v>
      </c>
      <c r="EC26" s="362">
        <v>0</v>
      </c>
      <c r="ED26" s="362">
        <v>0.23728478260869565</v>
      </c>
      <c r="EE26" s="362">
        <v>0</v>
      </c>
      <c r="EF26" s="362">
        <v>0.17248879689904259</v>
      </c>
      <c r="EG26" s="362">
        <v>0</v>
      </c>
      <c r="EH26" s="362">
        <v>0</v>
      </c>
      <c r="EI26" s="362">
        <v>0</v>
      </c>
      <c r="EJ26" s="362">
        <v>0</v>
      </c>
    </row>
    <row r="27" spans="1:140" s="367" customFormat="1" ht="17.25" x14ac:dyDescent="0.3">
      <c r="A27" s="366" t="s">
        <v>223</v>
      </c>
      <c r="B27" s="365" t="s">
        <v>222</v>
      </c>
      <c r="C27" s="371"/>
      <c r="D27" s="371"/>
      <c r="E27" s="371"/>
      <c r="F27" s="371"/>
      <c r="G27" s="371"/>
      <c r="H27" s="371"/>
      <c r="I27" s="371"/>
      <c r="J27" s="371"/>
      <c r="K27" s="372"/>
      <c r="L27" s="371"/>
      <c r="M27" s="371"/>
      <c r="N27" s="371"/>
      <c r="O27" s="372"/>
      <c r="P27" s="371"/>
      <c r="Q27" s="371"/>
      <c r="R27" s="370"/>
      <c r="S27" s="369"/>
      <c r="T27" s="369"/>
      <c r="U27" s="369"/>
      <c r="V27" s="369"/>
      <c r="W27" s="369"/>
      <c r="X27" s="369"/>
      <c r="Y27" s="369"/>
      <c r="Z27" s="369"/>
      <c r="AA27" s="369"/>
      <c r="AB27" s="369"/>
      <c r="AC27" s="369"/>
      <c r="AD27" s="369"/>
      <c r="AE27" s="369"/>
      <c r="AF27" s="369"/>
      <c r="AG27" s="368"/>
      <c r="AH27" s="362"/>
      <c r="AI27" s="362">
        <v>0</v>
      </c>
      <c r="AJ27" s="362">
        <v>0</v>
      </c>
      <c r="AK27" s="362">
        <v>0</v>
      </c>
      <c r="AL27" s="362">
        <v>0</v>
      </c>
      <c r="AM27" s="362">
        <v>0</v>
      </c>
      <c r="AN27" s="362">
        <v>0</v>
      </c>
      <c r="AO27" s="362">
        <v>0</v>
      </c>
      <c r="AP27" s="362">
        <v>0</v>
      </c>
      <c r="AQ27" s="362">
        <v>0</v>
      </c>
      <c r="AR27" s="362">
        <v>0</v>
      </c>
      <c r="AS27" s="362">
        <v>0</v>
      </c>
      <c r="AT27" s="362">
        <v>0</v>
      </c>
      <c r="AU27" s="362">
        <v>0</v>
      </c>
      <c r="AV27" s="362">
        <v>0</v>
      </c>
      <c r="AW27" s="362">
        <v>0</v>
      </c>
      <c r="AX27" s="362">
        <v>0</v>
      </c>
      <c r="AY27" s="362">
        <v>0</v>
      </c>
      <c r="AZ27" s="362">
        <v>0</v>
      </c>
      <c r="BA27" s="362">
        <v>0</v>
      </c>
      <c r="BB27" s="362">
        <v>0</v>
      </c>
      <c r="BC27" s="362">
        <v>0</v>
      </c>
      <c r="BD27" s="362">
        <v>0</v>
      </c>
      <c r="BE27" s="362">
        <v>0</v>
      </c>
      <c r="BF27" s="362">
        <v>0</v>
      </c>
      <c r="BG27" s="362">
        <v>0</v>
      </c>
      <c r="BH27" s="362">
        <v>0</v>
      </c>
      <c r="BI27" s="362">
        <v>4.6969079096161215E-2</v>
      </c>
      <c r="BJ27" s="362">
        <v>0</v>
      </c>
      <c r="BK27" s="362">
        <v>4.8666915355638517E-2</v>
      </c>
      <c r="BL27" s="362">
        <v>0</v>
      </c>
      <c r="BM27" s="362">
        <v>0.13764660050006208</v>
      </c>
      <c r="BN27" s="362">
        <v>0</v>
      </c>
      <c r="BO27" s="362">
        <v>0.27201349469983138</v>
      </c>
      <c r="BP27" s="362">
        <v>0</v>
      </c>
      <c r="BQ27" s="362">
        <v>0.28838661783305325</v>
      </c>
      <c r="BR27" s="362">
        <v>0</v>
      </c>
      <c r="BS27" s="362">
        <v>0.3097386925651171</v>
      </c>
      <c r="BT27" s="362">
        <v>0</v>
      </c>
      <c r="BU27" s="362">
        <v>0.31810095392158133</v>
      </c>
      <c r="BV27" s="362">
        <v>0</v>
      </c>
      <c r="BW27" s="362">
        <v>0.31617654517493654</v>
      </c>
      <c r="BX27" s="362">
        <v>0</v>
      </c>
      <c r="BY27" s="362">
        <v>0.31675880050746663</v>
      </c>
      <c r="BZ27" s="362">
        <v>0</v>
      </c>
      <c r="CA27" s="362">
        <v>0.30796650124955449</v>
      </c>
      <c r="CB27" s="362">
        <v>0</v>
      </c>
      <c r="CC27" s="362">
        <v>0.31301674987929473</v>
      </c>
      <c r="CD27" s="362">
        <v>0</v>
      </c>
      <c r="CE27" s="362">
        <v>0.51767378203417147</v>
      </c>
      <c r="CF27" s="362">
        <v>0</v>
      </c>
      <c r="CG27" s="362">
        <v>0.73218479879693765</v>
      </c>
      <c r="CH27" s="362">
        <v>0</v>
      </c>
      <c r="CI27" s="362">
        <v>0.70659216631599464</v>
      </c>
      <c r="CJ27" s="362">
        <v>0</v>
      </c>
      <c r="CK27" s="362">
        <v>0.67210748131417786</v>
      </c>
      <c r="CL27" s="362">
        <v>0</v>
      </c>
      <c r="CM27" s="362">
        <v>0.52268963426012316</v>
      </c>
      <c r="CN27" s="362">
        <v>0</v>
      </c>
      <c r="CO27" s="362">
        <v>0.40966435346469349</v>
      </c>
      <c r="CP27" s="362">
        <v>0</v>
      </c>
      <c r="CQ27" s="362">
        <v>0.33070851620993624</v>
      </c>
      <c r="CR27" s="362">
        <v>0</v>
      </c>
      <c r="CS27" s="362">
        <v>0.33297730184670321</v>
      </c>
      <c r="CT27" s="362">
        <v>0</v>
      </c>
      <c r="CU27" s="362">
        <v>0</v>
      </c>
      <c r="CV27" s="362">
        <v>0</v>
      </c>
      <c r="CW27" s="362">
        <v>0</v>
      </c>
      <c r="CX27" s="362">
        <v>0</v>
      </c>
      <c r="CY27" s="362">
        <v>0</v>
      </c>
      <c r="CZ27" s="362">
        <v>0</v>
      </c>
      <c r="DA27" s="362">
        <v>0</v>
      </c>
      <c r="DB27" s="362">
        <v>0</v>
      </c>
      <c r="DC27" s="362">
        <v>0</v>
      </c>
      <c r="DD27" s="362">
        <v>0</v>
      </c>
      <c r="DE27" s="362">
        <v>0</v>
      </c>
      <c r="DF27" s="362">
        <v>0</v>
      </c>
      <c r="DG27" s="362">
        <v>0</v>
      </c>
      <c r="DH27" s="362">
        <v>0</v>
      </c>
      <c r="DI27" s="362">
        <v>0</v>
      </c>
      <c r="DJ27" s="362">
        <v>0</v>
      </c>
      <c r="DK27" s="362">
        <v>0</v>
      </c>
      <c r="DL27" s="362">
        <v>0</v>
      </c>
      <c r="DM27" s="362">
        <v>0</v>
      </c>
      <c r="DN27" s="362">
        <v>0</v>
      </c>
      <c r="DO27" s="362">
        <v>0</v>
      </c>
      <c r="DP27" s="362">
        <v>0</v>
      </c>
      <c r="DQ27" s="362">
        <v>0</v>
      </c>
      <c r="DR27" s="362">
        <v>0</v>
      </c>
      <c r="DS27" s="362">
        <v>0</v>
      </c>
      <c r="DT27" s="362">
        <v>0</v>
      </c>
      <c r="DU27" s="362">
        <v>0</v>
      </c>
      <c r="DV27" s="362">
        <v>0</v>
      </c>
      <c r="DW27" s="362">
        <v>0</v>
      </c>
      <c r="DX27" s="362">
        <v>0</v>
      </c>
      <c r="DY27" s="362">
        <v>0</v>
      </c>
      <c r="DZ27" s="362">
        <v>0</v>
      </c>
      <c r="EA27" s="362">
        <v>0</v>
      </c>
      <c r="EB27" s="362">
        <v>0</v>
      </c>
      <c r="EC27" s="362">
        <v>2.6630434782608695E-2</v>
      </c>
      <c r="ED27" s="362">
        <v>0</v>
      </c>
      <c r="EE27" s="362">
        <v>0</v>
      </c>
      <c r="EF27" s="362">
        <v>0</v>
      </c>
      <c r="EG27" s="362">
        <v>0</v>
      </c>
      <c r="EH27" s="362">
        <v>0</v>
      </c>
      <c r="EI27" s="362">
        <v>0</v>
      </c>
      <c r="EJ27" s="362">
        <v>0</v>
      </c>
    </row>
    <row r="28" spans="1:140" ht="17.25" x14ac:dyDescent="0.3">
      <c r="A28" s="366" t="s">
        <v>221</v>
      </c>
      <c r="B28" s="365" t="s">
        <v>220</v>
      </c>
      <c r="C28" s="371">
        <v>6.8231160773080637</v>
      </c>
      <c r="D28" s="371">
        <v>0.88471917591609084</v>
      </c>
      <c r="E28" s="371">
        <v>6.7353739781390161</v>
      </c>
      <c r="F28" s="371">
        <v>1.3249809955741534</v>
      </c>
      <c r="G28" s="371">
        <v>6.7207583898531276</v>
      </c>
      <c r="H28" s="371">
        <v>2.2896361428380945</v>
      </c>
      <c r="I28" s="371">
        <v>6.6430700622147363</v>
      </c>
      <c r="J28" s="371">
        <v>2.9651192383426781</v>
      </c>
      <c r="K28" s="371">
        <v>0</v>
      </c>
      <c r="L28" s="371">
        <v>3.090112321583518</v>
      </c>
      <c r="M28" s="371">
        <v>0.91764894159930066</v>
      </c>
      <c r="N28" s="371">
        <v>1.7143827793775395</v>
      </c>
      <c r="O28" s="371">
        <v>8.6838502101096182</v>
      </c>
      <c r="P28" s="371">
        <v>4.1070326621715086E-2</v>
      </c>
      <c r="Q28" s="371">
        <v>0.51419401821625055</v>
      </c>
      <c r="R28" s="370">
        <v>0</v>
      </c>
      <c r="S28" s="369">
        <v>0.15126504559498635</v>
      </c>
      <c r="T28" s="369">
        <v>0.27403554462084279</v>
      </c>
      <c r="U28" s="369">
        <v>0.45393220965218772</v>
      </c>
      <c r="V28" s="369">
        <v>0.26504080774744054</v>
      </c>
      <c r="W28" s="369">
        <v>2.1224269787078289</v>
      </c>
      <c r="X28" s="369">
        <v>0</v>
      </c>
      <c r="Y28" s="369">
        <v>2.0101730086341858</v>
      </c>
      <c r="Z28" s="369">
        <v>0</v>
      </c>
      <c r="AA28" s="369">
        <v>0.94165599927406241</v>
      </c>
      <c r="AB28" s="369">
        <v>0</v>
      </c>
      <c r="AC28" s="369">
        <v>0.39522355877349702</v>
      </c>
      <c r="AD28" s="369">
        <v>0</v>
      </c>
      <c r="AE28" s="369">
        <v>0.78744317670152053</v>
      </c>
      <c r="AF28" s="391">
        <v>0</v>
      </c>
      <c r="AG28" s="362">
        <v>0.38847288149445658</v>
      </c>
      <c r="AH28" s="362">
        <v>0</v>
      </c>
      <c r="AI28" s="362">
        <v>1.2307623911020873</v>
      </c>
      <c r="AJ28" s="362">
        <v>0</v>
      </c>
      <c r="AK28" s="362">
        <v>0</v>
      </c>
      <c r="AL28" s="362">
        <v>0</v>
      </c>
      <c r="AM28" s="362">
        <v>0</v>
      </c>
      <c r="AN28" s="362">
        <v>0</v>
      </c>
      <c r="AO28" s="362">
        <v>0</v>
      </c>
      <c r="AP28" s="362">
        <v>0.45933650729821279</v>
      </c>
      <c r="AQ28" s="362">
        <v>1.3068304330953384</v>
      </c>
      <c r="AR28" s="362">
        <v>0.48552833387594885</v>
      </c>
      <c r="AS28" s="362">
        <v>1.5345518804449645</v>
      </c>
      <c r="AT28" s="362">
        <v>6.7078355820143681E-2</v>
      </c>
      <c r="AU28" s="362">
        <v>1.3850365632153334</v>
      </c>
      <c r="AV28" s="362">
        <v>0</v>
      </c>
      <c r="AW28" s="362">
        <v>1.1203698988213822</v>
      </c>
      <c r="AX28" s="362">
        <v>0</v>
      </c>
      <c r="AY28" s="362">
        <v>2.702839517169322</v>
      </c>
      <c r="AZ28" s="362">
        <v>0</v>
      </c>
      <c r="BA28" s="362">
        <v>2.0887055722818144</v>
      </c>
      <c r="BB28" s="362">
        <v>0</v>
      </c>
      <c r="BC28" s="362">
        <v>2.3409372033110318</v>
      </c>
      <c r="BD28" s="362">
        <v>0</v>
      </c>
      <c r="BE28" s="362">
        <v>2.1608459014813972</v>
      </c>
      <c r="BF28" s="362">
        <v>0</v>
      </c>
      <c r="BG28" s="362">
        <v>3.1053697190381895</v>
      </c>
      <c r="BH28" s="362">
        <v>0</v>
      </c>
      <c r="BI28" s="362">
        <v>1.6772885773606794</v>
      </c>
      <c r="BJ28" s="362">
        <v>0.15842863168040983</v>
      </c>
      <c r="BK28" s="362">
        <v>4.2344036754053995</v>
      </c>
      <c r="BL28" s="362">
        <v>0</v>
      </c>
      <c r="BM28" s="362">
        <v>0</v>
      </c>
      <c r="BN28" s="362">
        <v>0</v>
      </c>
      <c r="BO28" s="362">
        <v>0</v>
      </c>
      <c r="BP28" s="362">
        <v>0</v>
      </c>
      <c r="BQ28" s="362">
        <v>0</v>
      </c>
      <c r="BR28" s="362">
        <v>0</v>
      </c>
      <c r="BS28" s="362">
        <v>3.2099655534618803</v>
      </c>
      <c r="BT28" s="362">
        <v>0</v>
      </c>
      <c r="BU28" s="362">
        <v>3.4151460669112739</v>
      </c>
      <c r="BV28" s="362">
        <v>0</v>
      </c>
      <c r="BW28" s="362">
        <v>6.1189178916717015</v>
      </c>
      <c r="BX28" s="362">
        <v>0</v>
      </c>
      <c r="BY28" s="362">
        <v>0.83820233880647532</v>
      </c>
      <c r="BZ28" s="362">
        <v>0.98344472003563399</v>
      </c>
      <c r="CA28" s="362">
        <v>1.2983405552668947</v>
      </c>
      <c r="CB28" s="362">
        <v>0</v>
      </c>
      <c r="CC28" s="362">
        <v>5.9302165611683513E-2</v>
      </c>
      <c r="CD28" s="362">
        <v>0</v>
      </c>
      <c r="CE28" s="362">
        <v>0.13265558947156803</v>
      </c>
      <c r="CF28" s="362">
        <v>0.12123685481182334</v>
      </c>
      <c r="CG28" s="362">
        <v>0.37800814924038573</v>
      </c>
      <c r="CH28" s="362">
        <v>0.51723790597833263</v>
      </c>
      <c r="CI28" s="362">
        <v>0.13570536133134539</v>
      </c>
      <c r="CJ28" s="362">
        <v>0</v>
      </c>
      <c r="CK28" s="362">
        <v>0.25465806691969167</v>
      </c>
      <c r="CL28" s="362">
        <v>2.6777190544112508</v>
      </c>
      <c r="CM28" s="362">
        <v>2.5937593300988997</v>
      </c>
      <c r="CN28" s="362">
        <v>0</v>
      </c>
      <c r="CO28" s="362">
        <v>4.7913055191698488</v>
      </c>
      <c r="CP28" s="362">
        <v>0</v>
      </c>
      <c r="CQ28" s="362">
        <v>1.0345936451148894</v>
      </c>
      <c r="CR28" s="362">
        <v>0</v>
      </c>
      <c r="CS28" s="362">
        <v>0.69096084952474379</v>
      </c>
      <c r="CT28" s="362">
        <v>5.6447416976284179E-2</v>
      </c>
      <c r="CU28" s="362">
        <v>3.0031060654524189</v>
      </c>
      <c r="CV28" s="362">
        <v>0</v>
      </c>
      <c r="CW28" s="362">
        <v>1.2579508996277793</v>
      </c>
      <c r="CX28" s="362">
        <v>2.6148665398721667</v>
      </c>
      <c r="CY28" s="362">
        <v>1.5306532017794925</v>
      </c>
      <c r="CZ28" s="362">
        <v>0</v>
      </c>
      <c r="DA28" s="362">
        <v>0.81734910344449219</v>
      </c>
      <c r="DB28" s="362">
        <v>0</v>
      </c>
      <c r="DC28" s="362">
        <v>0.71878206691545621</v>
      </c>
      <c r="DD28" s="362">
        <v>0</v>
      </c>
      <c r="DE28" s="362">
        <v>0</v>
      </c>
      <c r="DF28" s="362">
        <v>0</v>
      </c>
      <c r="DG28" s="362">
        <v>0</v>
      </c>
      <c r="DH28" s="362">
        <v>0</v>
      </c>
      <c r="DI28" s="362">
        <v>0</v>
      </c>
      <c r="DJ28" s="362">
        <v>0</v>
      </c>
      <c r="DK28" s="362">
        <v>0.25135614217307467</v>
      </c>
      <c r="DL28" s="362">
        <v>0</v>
      </c>
      <c r="DM28" s="362">
        <v>1.0376616577367359</v>
      </c>
      <c r="DN28" s="362">
        <v>0</v>
      </c>
      <c r="DO28" s="362">
        <v>1.4221025579646487</v>
      </c>
      <c r="DP28" s="362">
        <v>0</v>
      </c>
      <c r="DQ28" s="362">
        <v>1.4076452620192799</v>
      </c>
      <c r="DR28" s="362">
        <v>0</v>
      </c>
      <c r="DS28" s="362">
        <v>1.0130559734165563</v>
      </c>
      <c r="DT28" s="362">
        <v>0</v>
      </c>
      <c r="DU28" s="362">
        <v>1.5180200630827116</v>
      </c>
      <c r="DV28" s="362">
        <v>0</v>
      </c>
      <c r="DW28" s="362">
        <v>0.61207925646436856</v>
      </c>
      <c r="DX28" s="362">
        <v>1.4921873287246061</v>
      </c>
      <c r="DY28" s="362">
        <v>0.63701076213485608</v>
      </c>
      <c r="DZ28" s="362">
        <v>0</v>
      </c>
      <c r="EA28" s="362">
        <v>0.63286899563318777</v>
      </c>
      <c r="EB28" s="362">
        <v>0</v>
      </c>
      <c r="EC28" s="362">
        <v>0.98952173913043484</v>
      </c>
      <c r="ED28" s="362">
        <v>0</v>
      </c>
      <c r="EE28" s="362">
        <v>0.73018210072017598</v>
      </c>
      <c r="EF28" s="362">
        <v>0</v>
      </c>
      <c r="EG28" s="362">
        <v>0.77326828011458915</v>
      </c>
      <c r="EH28" s="362">
        <v>0</v>
      </c>
      <c r="EI28" s="362">
        <v>0.85326431857845464</v>
      </c>
      <c r="EJ28" s="362">
        <v>0</v>
      </c>
    </row>
    <row r="29" spans="1:140" ht="17.25" x14ac:dyDescent="0.3">
      <c r="A29" s="366" t="s">
        <v>219</v>
      </c>
      <c r="B29" s="365" t="s">
        <v>218</v>
      </c>
      <c r="C29" s="371">
        <v>19.904297721927762</v>
      </c>
      <c r="D29" s="372">
        <v>0</v>
      </c>
      <c r="E29" s="371">
        <v>21.515667363786893</v>
      </c>
      <c r="F29" s="371">
        <v>0</v>
      </c>
      <c r="G29" s="371">
        <v>6.0689734275424101</v>
      </c>
      <c r="H29" s="371">
        <v>0</v>
      </c>
      <c r="I29" s="371">
        <v>15.774566277368788</v>
      </c>
      <c r="J29" s="371">
        <v>0</v>
      </c>
      <c r="K29" s="371">
        <v>5.1225910719823702</v>
      </c>
      <c r="L29" s="372">
        <v>0</v>
      </c>
      <c r="M29" s="371">
        <v>8.4168339428689745</v>
      </c>
      <c r="N29" s="371">
        <v>0</v>
      </c>
      <c r="O29" s="371">
        <v>1.9066054345792662</v>
      </c>
      <c r="P29" s="372">
        <v>0</v>
      </c>
      <c r="Q29" s="371">
        <v>7.7310231178802269</v>
      </c>
      <c r="R29" s="370">
        <v>0</v>
      </c>
      <c r="S29" s="369">
        <v>7.5310227954433575</v>
      </c>
      <c r="T29" s="369">
        <v>6.2804294664107543E-2</v>
      </c>
      <c r="U29" s="369">
        <v>11.848940234452368</v>
      </c>
      <c r="V29" s="369">
        <v>0</v>
      </c>
      <c r="W29" s="369">
        <v>9.4773758892395925</v>
      </c>
      <c r="X29" s="369">
        <v>0</v>
      </c>
      <c r="Y29" s="369">
        <v>7.4682218531376918</v>
      </c>
      <c r="Z29" s="369">
        <v>0</v>
      </c>
      <c r="AA29" s="369">
        <v>7.6581295859978384</v>
      </c>
      <c r="AB29" s="369">
        <v>0</v>
      </c>
      <c r="AC29" s="369">
        <v>18.156685360645607</v>
      </c>
      <c r="AD29" s="369">
        <v>0</v>
      </c>
      <c r="AE29" s="369">
        <v>17.712486039005906</v>
      </c>
      <c r="AF29" s="391">
        <v>0</v>
      </c>
      <c r="AG29" s="362">
        <v>20.539704913288723</v>
      </c>
      <c r="AH29" s="362">
        <v>0</v>
      </c>
      <c r="AI29" s="362">
        <v>18.580242584323429</v>
      </c>
      <c r="AJ29" s="362">
        <v>0</v>
      </c>
      <c r="AK29" s="362">
        <v>8.1962567871826604</v>
      </c>
      <c r="AL29" s="362">
        <v>0</v>
      </c>
      <c r="AM29" s="362">
        <v>11.810412105283346</v>
      </c>
      <c r="AN29" s="362">
        <v>0</v>
      </c>
      <c r="AO29" s="362">
        <v>13.790047280941799</v>
      </c>
      <c r="AP29" s="362">
        <v>0</v>
      </c>
      <c r="AQ29" s="362">
        <v>20.660048480139039</v>
      </c>
      <c r="AR29" s="362">
        <v>0</v>
      </c>
      <c r="AS29" s="362">
        <v>16.81386451548817</v>
      </c>
      <c r="AT29" s="362">
        <v>0</v>
      </c>
      <c r="AU29" s="362">
        <v>14.27162304902356</v>
      </c>
      <c r="AV29" s="362">
        <v>0</v>
      </c>
      <c r="AW29" s="362">
        <v>11.278925758949734</v>
      </c>
      <c r="AX29" s="362">
        <v>0</v>
      </c>
      <c r="AY29" s="362">
        <v>12.878963719619136</v>
      </c>
      <c r="AZ29" s="362">
        <v>0</v>
      </c>
      <c r="BA29" s="362">
        <v>9.6404821853951574</v>
      </c>
      <c r="BB29" s="362">
        <v>0</v>
      </c>
      <c r="BC29" s="362">
        <v>8.9457349003092048</v>
      </c>
      <c r="BD29" s="362">
        <v>0</v>
      </c>
      <c r="BE29" s="362">
        <v>4.6052268946539865</v>
      </c>
      <c r="BF29" s="362">
        <v>0</v>
      </c>
      <c r="BG29" s="362">
        <v>6.6239643502346528</v>
      </c>
      <c r="BH29" s="362">
        <v>0</v>
      </c>
      <c r="BI29" s="362">
        <v>12.505505800665794</v>
      </c>
      <c r="BJ29" s="362">
        <v>0</v>
      </c>
      <c r="BK29" s="362">
        <v>18.328208541735698</v>
      </c>
      <c r="BL29" s="362">
        <v>0</v>
      </c>
      <c r="BM29" s="362">
        <v>12.680083884861729</v>
      </c>
      <c r="BN29" s="362">
        <v>0</v>
      </c>
      <c r="BO29" s="362">
        <v>13.925618739516185</v>
      </c>
      <c r="BP29" s="362">
        <v>0</v>
      </c>
      <c r="BQ29" s="362">
        <v>13.020723411573936</v>
      </c>
      <c r="BR29" s="362">
        <v>0</v>
      </c>
      <c r="BS29" s="362">
        <v>15.83507505016158</v>
      </c>
      <c r="BT29" s="362">
        <v>0</v>
      </c>
      <c r="BU29" s="362">
        <v>21.708188642764672</v>
      </c>
      <c r="BV29" s="362">
        <v>0</v>
      </c>
      <c r="BW29" s="362">
        <v>20.057421777555362</v>
      </c>
      <c r="BX29" s="362">
        <v>0</v>
      </c>
      <c r="BY29" s="362">
        <v>19.898915790067186</v>
      </c>
      <c r="BZ29" s="362">
        <v>0</v>
      </c>
      <c r="CA29" s="362">
        <v>26.668273953088921</v>
      </c>
      <c r="CB29" s="362">
        <v>0</v>
      </c>
      <c r="CC29" s="362">
        <v>30.87855387884191</v>
      </c>
      <c r="CD29" s="362">
        <v>0</v>
      </c>
      <c r="CE29" s="362">
        <v>28.638688314550844</v>
      </c>
      <c r="CF29" s="362">
        <v>0.269870629513981</v>
      </c>
      <c r="CG29" s="362">
        <v>32.088727998046259</v>
      </c>
      <c r="CH29" s="362">
        <v>0</v>
      </c>
      <c r="CI29" s="362">
        <v>18.033543736443402</v>
      </c>
      <c r="CJ29" s="362">
        <v>0</v>
      </c>
      <c r="CK29" s="362">
        <v>21.152141011013576</v>
      </c>
      <c r="CL29" s="362">
        <v>0</v>
      </c>
      <c r="CM29" s="362">
        <v>17.65874415580139</v>
      </c>
      <c r="CN29" s="362">
        <v>0</v>
      </c>
      <c r="CO29" s="362">
        <v>15.783591362187972</v>
      </c>
      <c r="CP29" s="362">
        <v>1.337639584088143</v>
      </c>
      <c r="CQ29" s="362">
        <v>18.607598292332092</v>
      </c>
      <c r="CR29" s="362">
        <v>0</v>
      </c>
      <c r="CS29" s="362">
        <v>18.056469191434157</v>
      </c>
      <c r="CT29" s="362">
        <v>0</v>
      </c>
      <c r="CU29" s="362">
        <v>15.020550981055171</v>
      </c>
      <c r="CV29" s="362">
        <v>1.6894128393710646</v>
      </c>
      <c r="CW29" s="362">
        <v>13.108877358211704</v>
      </c>
      <c r="CX29" s="362">
        <v>0</v>
      </c>
      <c r="CY29" s="362">
        <v>18.064982128449799</v>
      </c>
      <c r="CZ29" s="362">
        <v>1.8604312843492097</v>
      </c>
      <c r="DA29" s="362">
        <v>14.253415231842581</v>
      </c>
      <c r="DB29" s="362">
        <v>0.17922727979298303</v>
      </c>
      <c r="DC29" s="362">
        <v>16.741863343748133</v>
      </c>
      <c r="DD29" s="362">
        <v>0.51068360336647978</v>
      </c>
      <c r="DE29" s="362">
        <v>13.774228102915121</v>
      </c>
      <c r="DF29" s="362">
        <v>0.32649972265825888</v>
      </c>
      <c r="DG29" s="362">
        <v>6.5141518792020277</v>
      </c>
      <c r="DH29" s="362">
        <v>0.45414197068224399</v>
      </c>
      <c r="DI29" s="362">
        <v>13.3955344433778</v>
      </c>
      <c r="DJ29" s="362">
        <v>1.1855048052147816</v>
      </c>
      <c r="DK29" s="362">
        <v>3.6885332313214914</v>
      </c>
      <c r="DL29" s="362">
        <v>1.3102817168971199</v>
      </c>
      <c r="DM29" s="362">
        <v>2.3548795294799105</v>
      </c>
      <c r="DN29" s="362">
        <v>4.2697292660376727</v>
      </c>
      <c r="DO29" s="362">
        <v>2.460553326121862</v>
      </c>
      <c r="DP29" s="362">
        <v>0.30873077348677702</v>
      </c>
      <c r="DQ29" s="362">
        <v>2.2445626662494131</v>
      </c>
      <c r="DR29" s="362">
        <v>0.35746732110372598</v>
      </c>
      <c r="DS29" s="362">
        <v>4.9347111520240681</v>
      </c>
      <c r="DT29" s="362">
        <v>0</v>
      </c>
      <c r="DU29" s="362">
        <v>2.4206306967772209</v>
      </c>
      <c r="DV29" s="362">
        <v>0</v>
      </c>
      <c r="DW29" s="362">
        <v>16.010177996631921</v>
      </c>
      <c r="DX29" s="362">
        <v>0</v>
      </c>
      <c r="DY29" s="362">
        <v>22.535451350757743</v>
      </c>
      <c r="DZ29" s="362">
        <v>0.39891533277838781</v>
      </c>
      <c r="EA29" s="362">
        <v>36.878229257641927</v>
      </c>
      <c r="EB29" s="362">
        <v>0</v>
      </c>
      <c r="EC29" s="362">
        <v>21.940976086956525</v>
      </c>
      <c r="ED29" s="362">
        <v>1.0366630434782609</v>
      </c>
      <c r="EE29" s="362">
        <v>6.5319791673467975</v>
      </c>
      <c r="EF29" s="362">
        <v>0</v>
      </c>
      <c r="EG29" s="362">
        <v>4.6092843854807155</v>
      </c>
      <c r="EH29" s="362">
        <v>0.61971964413603964</v>
      </c>
      <c r="EI29" s="362">
        <v>2.0298579159835706</v>
      </c>
      <c r="EJ29" s="362">
        <v>3.0490330883001042</v>
      </c>
    </row>
    <row r="30" spans="1:140" s="331" customFormat="1" ht="17.25" x14ac:dyDescent="0.3">
      <c r="A30" s="366" t="s">
        <v>217</v>
      </c>
      <c r="B30" s="365" t="s">
        <v>216</v>
      </c>
      <c r="C30" s="371">
        <v>0</v>
      </c>
      <c r="D30" s="371">
        <v>0</v>
      </c>
      <c r="E30" s="371">
        <v>0</v>
      </c>
      <c r="F30" s="371">
        <v>0</v>
      </c>
      <c r="G30" s="371">
        <v>0</v>
      </c>
      <c r="H30" s="371">
        <v>0</v>
      </c>
      <c r="I30" s="371">
        <v>0</v>
      </c>
      <c r="J30" s="371">
        <v>0</v>
      </c>
      <c r="K30" s="371">
        <v>0</v>
      </c>
      <c r="L30" s="371">
        <v>0</v>
      </c>
      <c r="M30" s="371">
        <v>0</v>
      </c>
      <c r="N30" s="371">
        <v>0</v>
      </c>
      <c r="O30" s="371">
        <v>0</v>
      </c>
      <c r="P30" s="371">
        <v>0</v>
      </c>
      <c r="Q30" s="371">
        <v>0</v>
      </c>
      <c r="R30" s="370">
        <v>0</v>
      </c>
      <c r="S30" s="369">
        <v>0</v>
      </c>
      <c r="T30" s="369">
        <v>0</v>
      </c>
      <c r="U30" s="369">
        <v>0</v>
      </c>
      <c r="V30" s="369">
        <v>0</v>
      </c>
      <c r="W30" s="369">
        <v>0</v>
      </c>
      <c r="X30" s="369">
        <v>0</v>
      </c>
      <c r="Y30" s="369">
        <v>0</v>
      </c>
      <c r="Z30" s="369">
        <v>0</v>
      </c>
      <c r="AA30" s="369">
        <v>0</v>
      </c>
      <c r="AB30" s="369">
        <v>0</v>
      </c>
      <c r="AC30" s="369">
        <v>0</v>
      </c>
      <c r="AD30" s="369">
        <v>0</v>
      </c>
      <c r="AE30" s="369">
        <v>0</v>
      </c>
      <c r="AF30" s="391">
        <v>0</v>
      </c>
      <c r="AG30" s="362">
        <v>0</v>
      </c>
      <c r="AH30" s="362">
        <v>0</v>
      </c>
      <c r="AI30" s="362">
        <v>0</v>
      </c>
      <c r="AJ30" s="362">
        <v>0</v>
      </c>
      <c r="AK30" s="362">
        <v>0</v>
      </c>
      <c r="AL30" s="362">
        <v>0</v>
      </c>
      <c r="AM30" s="362">
        <v>0</v>
      </c>
      <c r="AN30" s="362">
        <v>0</v>
      </c>
      <c r="AO30" s="362">
        <v>0</v>
      </c>
      <c r="AP30" s="362">
        <v>0</v>
      </c>
      <c r="AQ30" s="362">
        <v>0</v>
      </c>
      <c r="AR30" s="362">
        <v>0</v>
      </c>
      <c r="AS30" s="362">
        <v>0</v>
      </c>
      <c r="AT30" s="362">
        <v>0</v>
      </c>
      <c r="AU30" s="362">
        <v>0</v>
      </c>
      <c r="AV30" s="362">
        <v>0</v>
      </c>
      <c r="AW30" s="362">
        <v>0</v>
      </c>
      <c r="AX30" s="362">
        <v>0</v>
      </c>
      <c r="AY30" s="362">
        <v>0</v>
      </c>
      <c r="AZ30" s="362">
        <v>0</v>
      </c>
      <c r="BA30" s="362">
        <v>0</v>
      </c>
      <c r="BB30" s="362">
        <v>0</v>
      </c>
      <c r="BC30" s="362">
        <v>0</v>
      </c>
      <c r="BD30" s="362">
        <v>0</v>
      </c>
      <c r="BE30" s="362">
        <v>0</v>
      </c>
      <c r="BF30" s="362">
        <v>0</v>
      </c>
      <c r="BG30" s="362">
        <v>0</v>
      </c>
      <c r="BH30" s="362">
        <v>0</v>
      </c>
      <c r="BI30" s="362">
        <v>0</v>
      </c>
      <c r="BJ30" s="362">
        <v>0</v>
      </c>
      <c r="BK30" s="362">
        <v>0</v>
      </c>
      <c r="BL30" s="362">
        <v>0</v>
      </c>
      <c r="BM30" s="362">
        <v>0</v>
      </c>
      <c r="BN30" s="362">
        <v>0</v>
      </c>
      <c r="BO30" s="362">
        <v>0</v>
      </c>
      <c r="BP30" s="362">
        <v>0</v>
      </c>
      <c r="BQ30" s="362">
        <v>0</v>
      </c>
      <c r="BR30" s="362">
        <v>0</v>
      </c>
      <c r="BS30" s="362">
        <v>0</v>
      </c>
      <c r="BT30" s="362">
        <v>0</v>
      </c>
      <c r="BU30" s="362">
        <v>0</v>
      </c>
      <c r="BV30" s="362">
        <v>0</v>
      </c>
      <c r="BW30" s="362">
        <v>0</v>
      </c>
      <c r="BX30" s="362">
        <v>0</v>
      </c>
      <c r="BY30" s="362">
        <v>0</v>
      </c>
      <c r="BZ30" s="362">
        <v>0</v>
      </c>
      <c r="CA30" s="362">
        <v>0</v>
      </c>
      <c r="CB30" s="362">
        <v>0</v>
      </c>
      <c r="CC30" s="362">
        <v>0</v>
      </c>
      <c r="CD30" s="362">
        <v>0</v>
      </c>
      <c r="CE30" s="362">
        <v>0</v>
      </c>
      <c r="CF30" s="362">
        <v>0</v>
      </c>
      <c r="CG30" s="362">
        <v>0</v>
      </c>
      <c r="CH30" s="362">
        <v>0</v>
      </c>
      <c r="CI30" s="362">
        <v>0</v>
      </c>
      <c r="CJ30" s="362">
        <v>0</v>
      </c>
      <c r="CK30" s="362">
        <v>0</v>
      </c>
      <c r="CL30" s="362">
        <v>0</v>
      </c>
      <c r="CM30" s="362">
        <v>0</v>
      </c>
      <c r="CN30" s="362">
        <v>0</v>
      </c>
      <c r="CO30" s="362">
        <v>0</v>
      </c>
      <c r="CP30" s="362">
        <v>0</v>
      </c>
      <c r="CQ30" s="362">
        <v>0</v>
      </c>
      <c r="CR30" s="362">
        <v>0</v>
      </c>
      <c r="CS30" s="362">
        <v>0</v>
      </c>
      <c r="CT30" s="362">
        <v>0</v>
      </c>
      <c r="CU30" s="362">
        <v>0</v>
      </c>
      <c r="CV30" s="362">
        <v>0</v>
      </c>
      <c r="CW30" s="362">
        <v>0</v>
      </c>
      <c r="CX30" s="362">
        <v>0</v>
      </c>
      <c r="CY30" s="362">
        <v>0</v>
      </c>
      <c r="CZ30" s="362">
        <v>0</v>
      </c>
      <c r="DA30" s="362">
        <v>0</v>
      </c>
      <c r="DB30" s="362">
        <v>0</v>
      </c>
      <c r="DC30" s="362">
        <v>0</v>
      </c>
      <c r="DD30" s="362">
        <v>0</v>
      </c>
      <c r="DE30" s="362">
        <v>0</v>
      </c>
      <c r="DF30" s="362">
        <v>0</v>
      </c>
      <c r="DG30" s="362">
        <v>0</v>
      </c>
      <c r="DH30" s="362">
        <v>0</v>
      </c>
      <c r="DI30" s="362">
        <v>0</v>
      </c>
      <c r="DJ30" s="362">
        <v>0</v>
      </c>
      <c r="DK30" s="362">
        <v>0</v>
      </c>
      <c r="DL30" s="362">
        <v>0</v>
      </c>
      <c r="DM30" s="362">
        <v>0</v>
      </c>
      <c r="DN30" s="362">
        <v>0</v>
      </c>
      <c r="DO30" s="362">
        <v>0</v>
      </c>
      <c r="DP30" s="362">
        <v>0</v>
      </c>
      <c r="DQ30" s="362">
        <v>0</v>
      </c>
      <c r="DR30" s="362">
        <v>0</v>
      </c>
      <c r="DS30" s="362">
        <v>0</v>
      </c>
      <c r="DT30" s="362">
        <v>0</v>
      </c>
      <c r="DU30" s="362">
        <v>0</v>
      </c>
      <c r="DV30" s="362">
        <v>0</v>
      </c>
      <c r="DW30" s="362">
        <v>0</v>
      </c>
      <c r="DX30" s="362">
        <v>0</v>
      </c>
      <c r="DY30" s="362">
        <v>0</v>
      </c>
      <c r="DZ30" s="362">
        <v>0</v>
      </c>
      <c r="EA30" s="362">
        <v>0</v>
      </c>
      <c r="EB30" s="362">
        <v>0</v>
      </c>
      <c r="EC30" s="362">
        <v>0</v>
      </c>
      <c r="ED30" s="362">
        <v>0</v>
      </c>
      <c r="EE30" s="362">
        <v>0</v>
      </c>
      <c r="EF30" s="362">
        <v>0</v>
      </c>
      <c r="EG30" s="362">
        <v>0</v>
      </c>
      <c r="EH30" s="362">
        <v>0</v>
      </c>
      <c r="EI30" s="362">
        <v>0</v>
      </c>
      <c r="EJ30" s="362">
        <v>0</v>
      </c>
    </row>
    <row r="31" spans="1:140" ht="17.25" x14ac:dyDescent="0.3">
      <c r="A31" s="366" t="s">
        <v>215</v>
      </c>
      <c r="B31" s="365" t="s">
        <v>214</v>
      </c>
      <c r="C31" s="371">
        <v>214.49253337533298</v>
      </c>
      <c r="D31" s="371">
        <v>2.1513906565802747</v>
      </c>
      <c r="E31" s="371">
        <v>182.86209544525417</v>
      </c>
      <c r="F31" s="371">
        <v>0</v>
      </c>
      <c r="G31" s="371">
        <v>227.35241093266669</v>
      </c>
      <c r="H31" s="371">
        <v>0</v>
      </c>
      <c r="I31" s="371">
        <v>188.37796111919587</v>
      </c>
      <c r="J31" s="371">
        <v>2.4203191541424496</v>
      </c>
      <c r="K31" s="372">
        <v>160.26381955274869</v>
      </c>
      <c r="L31" s="371">
        <v>0.2865038248165972</v>
      </c>
      <c r="M31" s="371">
        <v>178.49066158484922</v>
      </c>
      <c r="N31" s="371">
        <v>0</v>
      </c>
      <c r="O31" s="372">
        <v>168.14289393390106</v>
      </c>
      <c r="P31" s="371">
        <v>0</v>
      </c>
      <c r="Q31" s="371">
        <v>145.7489747403217</v>
      </c>
      <c r="R31" s="370">
        <v>0.35937275588489248</v>
      </c>
      <c r="S31" s="369">
        <v>142.27509560528128</v>
      </c>
      <c r="T31" s="369">
        <v>0</v>
      </c>
      <c r="U31" s="369">
        <v>168.33737161644453</v>
      </c>
      <c r="V31" s="369">
        <v>0.46326593125145765</v>
      </c>
      <c r="W31" s="369">
        <v>89.69182652591698</v>
      </c>
      <c r="X31" s="369">
        <v>0.51420475495529216</v>
      </c>
      <c r="Y31" s="369">
        <v>104.93339073355524</v>
      </c>
      <c r="Z31" s="369">
        <v>0.91836594140743999</v>
      </c>
      <c r="AA31" s="369">
        <v>121.24037647940062</v>
      </c>
      <c r="AB31" s="369">
        <v>0.22801479652591899</v>
      </c>
      <c r="AC31" s="369">
        <v>150.59068428132142</v>
      </c>
      <c r="AD31" s="369">
        <v>0</v>
      </c>
      <c r="AE31" s="369">
        <v>237.40298939727083</v>
      </c>
      <c r="AF31" s="391">
        <v>3.578576641409593</v>
      </c>
      <c r="AG31" s="362">
        <v>261.78368129338043</v>
      </c>
      <c r="AH31" s="362">
        <v>0.3603277704376785</v>
      </c>
      <c r="AI31" s="362">
        <v>258.96245516216368</v>
      </c>
      <c r="AJ31" s="362">
        <v>0</v>
      </c>
      <c r="AK31" s="362">
        <v>7.6522598718574484</v>
      </c>
      <c r="AL31" s="362">
        <v>4.3303434788329067</v>
      </c>
      <c r="AM31" s="362">
        <v>313.863503283341</v>
      </c>
      <c r="AN31" s="362">
        <v>1.8037490913641705</v>
      </c>
      <c r="AO31" s="362">
        <v>236.07205847991824</v>
      </c>
      <c r="AP31" s="362">
        <v>2.0706539222101075</v>
      </c>
      <c r="AQ31" s="362">
        <v>94.687653380170033</v>
      </c>
      <c r="AR31" s="362">
        <v>0.38412251916779538</v>
      </c>
      <c r="AS31" s="362">
        <v>30.379620583995258</v>
      </c>
      <c r="AT31" s="362">
        <v>1.5834188042524309</v>
      </c>
      <c r="AU31" s="362">
        <v>24.844546295881031</v>
      </c>
      <c r="AV31" s="362">
        <v>3.2108370559463744</v>
      </c>
      <c r="AW31" s="362">
        <v>68.980723110592294</v>
      </c>
      <c r="AX31" s="362">
        <v>1.04679825625282</v>
      </c>
      <c r="AY31" s="362">
        <v>65.528590710360987</v>
      </c>
      <c r="AZ31" s="362">
        <v>3.2044165277034411</v>
      </c>
      <c r="BA31" s="362">
        <v>75.381606470418504</v>
      </c>
      <c r="BB31" s="362">
        <v>0.63045924364218642</v>
      </c>
      <c r="BC31" s="362">
        <v>59.06200670547021</v>
      </c>
      <c r="BD31" s="362">
        <v>0.42896956106973827</v>
      </c>
      <c r="BE31" s="362">
        <v>39.692410817057713</v>
      </c>
      <c r="BF31" s="362">
        <v>1.5002719184062308</v>
      </c>
      <c r="BG31" s="362">
        <v>44.477150317376385</v>
      </c>
      <c r="BH31" s="362">
        <v>5.2992145335638883</v>
      </c>
      <c r="BI31" s="362">
        <v>59.734636687463663</v>
      </c>
      <c r="BJ31" s="362">
        <v>19.395589763168672</v>
      </c>
      <c r="BK31" s="362">
        <v>9.0852114070064562</v>
      </c>
      <c r="BL31" s="362">
        <v>13.959599280943614</v>
      </c>
      <c r="BM31" s="362">
        <v>4.7288648877126986</v>
      </c>
      <c r="BN31" s="362">
        <v>1.2330111347759263</v>
      </c>
      <c r="BO31" s="362">
        <v>0.27884444685021104</v>
      </c>
      <c r="BP31" s="362">
        <v>7.9471485828177322</v>
      </c>
      <c r="BQ31" s="362">
        <v>6.448945014288137</v>
      </c>
      <c r="BR31" s="362">
        <v>15.638388049822618</v>
      </c>
      <c r="BS31" s="362">
        <v>5.9594702644950193</v>
      </c>
      <c r="BT31" s="362">
        <v>51.179207037112775</v>
      </c>
      <c r="BU31" s="362">
        <v>7.2269842719089938</v>
      </c>
      <c r="BV31" s="362">
        <v>40.905396889360603</v>
      </c>
      <c r="BW31" s="362">
        <v>4.7528872597799001</v>
      </c>
      <c r="BX31" s="362">
        <v>8.3939940377398035</v>
      </c>
      <c r="BY31" s="362">
        <v>4.0736559728104718</v>
      </c>
      <c r="BZ31" s="362">
        <v>9.0627351170065893</v>
      </c>
      <c r="CA31" s="362">
        <v>3.1754086430647259</v>
      </c>
      <c r="CB31" s="362">
        <v>3.883374288368485</v>
      </c>
      <c r="CC31" s="362">
        <v>1.086882436608013</v>
      </c>
      <c r="CD31" s="362">
        <v>1.5415822156133794</v>
      </c>
      <c r="CE31" s="362">
        <v>2.5976948221871603</v>
      </c>
      <c r="CF31" s="362">
        <v>2.3578960091838232</v>
      </c>
      <c r="CG31" s="362">
        <v>8.1774519435186548</v>
      </c>
      <c r="CH31" s="362">
        <v>2.7455074381682829</v>
      </c>
      <c r="CI31" s="362">
        <v>8.3462619957826476</v>
      </c>
      <c r="CJ31" s="362">
        <v>9.5194723898170484</v>
      </c>
      <c r="CK31" s="362">
        <v>8.160692240692013</v>
      </c>
      <c r="CL31" s="362">
        <v>9.5308647868302785</v>
      </c>
      <c r="CM31" s="362">
        <v>5.5089568900447849</v>
      </c>
      <c r="CN31" s="362">
        <v>7.247633303788021</v>
      </c>
      <c r="CO31" s="362">
        <v>8.4930766439991441</v>
      </c>
      <c r="CP31" s="362">
        <v>1.5247218815900707</v>
      </c>
      <c r="CQ31" s="362">
        <v>14.763334236298084</v>
      </c>
      <c r="CR31" s="362">
        <v>20.879016408180579</v>
      </c>
      <c r="CS31" s="362">
        <v>11.156859759632907</v>
      </c>
      <c r="CT31" s="362">
        <v>16.984306345993843</v>
      </c>
      <c r="CU31" s="362">
        <v>5.2927343854399904</v>
      </c>
      <c r="CV31" s="362">
        <v>8.7291794229732318</v>
      </c>
      <c r="CW31" s="362">
        <v>8.267403062781808</v>
      </c>
      <c r="CX31" s="362">
        <v>5.5433578962375485</v>
      </c>
      <c r="CY31" s="362">
        <v>9.0425536672285816</v>
      </c>
      <c r="CZ31" s="362">
        <v>3.5171580158004336</v>
      </c>
      <c r="DA31" s="362">
        <v>23.747233982836981</v>
      </c>
      <c r="DB31" s="362">
        <v>2.1624276898494008</v>
      </c>
      <c r="DC31" s="362">
        <v>22.762620851754793</v>
      </c>
      <c r="DD31" s="362">
        <v>2.1402523479309217</v>
      </c>
      <c r="DE31" s="362">
        <v>11.735601245983034</v>
      </c>
      <c r="DF31" s="362">
        <v>3.2507477653666412</v>
      </c>
      <c r="DG31" s="362">
        <v>18.790666807825417</v>
      </c>
      <c r="DH31" s="362">
        <v>5.5447910821117601</v>
      </c>
      <c r="DI31" s="362">
        <v>18.588411850768537</v>
      </c>
      <c r="DJ31" s="362">
        <v>8.1246258951460391</v>
      </c>
      <c r="DK31" s="362">
        <v>21.565937665656186</v>
      </c>
      <c r="DL31" s="362">
        <v>3.3096886257536906</v>
      </c>
      <c r="DM31" s="362">
        <v>32.297247493589389</v>
      </c>
      <c r="DN31" s="362">
        <v>0.55217002885054534</v>
      </c>
      <c r="DO31" s="362">
        <v>90.384978530790647</v>
      </c>
      <c r="DP31" s="362">
        <v>0</v>
      </c>
      <c r="DQ31" s="362">
        <v>199.44774014499558</v>
      </c>
      <c r="DR31" s="362">
        <v>0.53324534728411099</v>
      </c>
      <c r="DS31" s="362">
        <v>87.700337906508906</v>
      </c>
      <c r="DT31" s="362">
        <v>1.6788881618985605</v>
      </c>
      <c r="DU31" s="362">
        <v>148.72424774509727</v>
      </c>
      <c r="DV31" s="362">
        <v>2.1722695371762236E-2</v>
      </c>
      <c r="DW31" s="362">
        <v>196.74794824324783</v>
      </c>
      <c r="DX31" s="362">
        <v>7.1235957502931075</v>
      </c>
      <c r="DY31" s="362">
        <v>218.01087744327913</v>
      </c>
      <c r="DZ31" s="362">
        <v>13.767515923566878</v>
      </c>
      <c r="EA31" s="362">
        <v>164.33848253074234</v>
      </c>
      <c r="EB31" s="362">
        <v>16.39382096069869</v>
      </c>
      <c r="EC31" s="362">
        <v>37.039345283319001</v>
      </c>
      <c r="ED31" s="362">
        <v>14.054586956521737</v>
      </c>
      <c r="EE31" s="362">
        <v>36.821636178496576</v>
      </c>
      <c r="EF31" s="362">
        <v>0</v>
      </c>
      <c r="EG31" s="362">
        <v>56.600731691102737</v>
      </c>
      <c r="EH31" s="362">
        <v>0</v>
      </c>
      <c r="EI31" s="362">
        <v>50.954567495361559</v>
      </c>
      <c r="EJ31" s="362">
        <v>0.80732058807975027</v>
      </c>
    </row>
    <row r="32" spans="1:140" ht="17.25" x14ac:dyDescent="0.3">
      <c r="A32" s="366" t="s">
        <v>213</v>
      </c>
      <c r="B32" s="365" t="s">
        <v>212</v>
      </c>
      <c r="C32" s="371">
        <v>0</v>
      </c>
      <c r="D32" s="371">
        <v>0</v>
      </c>
      <c r="E32" s="371">
        <v>0</v>
      </c>
      <c r="F32" s="371">
        <v>0</v>
      </c>
      <c r="G32" s="371">
        <v>0</v>
      </c>
      <c r="H32" s="371">
        <v>0</v>
      </c>
      <c r="I32" s="371">
        <v>0</v>
      </c>
      <c r="J32" s="371">
        <v>0</v>
      </c>
      <c r="K32" s="371">
        <v>0</v>
      </c>
      <c r="L32" s="371">
        <v>0</v>
      </c>
      <c r="M32" s="371">
        <v>0</v>
      </c>
      <c r="N32" s="371">
        <v>0</v>
      </c>
      <c r="O32" s="371">
        <v>0</v>
      </c>
      <c r="P32" s="371">
        <v>0</v>
      </c>
      <c r="Q32" s="371">
        <v>0</v>
      </c>
      <c r="R32" s="370">
        <v>0</v>
      </c>
      <c r="S32" s="369">
        <v>0</v>
      </c>
      <c r="T32" s="369">
        <v>0</v>
      </c>
      <c r="U32" s="369">
        <v>0</v>
      </c>
      <c r="V32" s="369">
        <v>0</v>
      </c>
      <c r="W32" s="369">
        <v>0</v>
      </c>
      <c r="X32" s="369">
        <v>0.42908053753684017</v>
      </c>
      <c r="Y32" s="369">
        <v>1.123574724279129</v>
      </c>
      <c r="Z32" s="369">
        <v>0.21485506256634881</v>
      </c>
      <c r="AA32" s="369">
        <v>0</v>
      </c>
      <c r="AB32" s="369">
        <v>0.37640873659446245</v>
      </c>
      <c r="AC32" s="369">
        <v>1.1244196774732775</v>
      </c>
      <c r="AD32" s="369">
        <v>0.3872591715454039</v>
      </c>
      <c r="AE32" s="369">
        <v>0</v>
      </c>
      <c r="AF32" s="391">
        <v>0.37696324505833162</v>
      </c>
      <c r="AG32" s="362">
        <v>1.0994193545414814</v>
      </c>
      <c r="AH32" s="362">
        <v>0.46226854415395358</v>
      </c>
      <c r="AI32" s="362">
        <v>0</v>
      </c>
      <c r="AJ32" s="362">
        <v>0</v>
      </c>
      <c r="AK32" s="362">
        <v>0</v>
      </c>
      <c r="AL32" s="362">
        <v>0.36744663443198256</v>
      </c>
      <c r="AM32" s="362">
        <v>0</v>
      </c>
      <c r="AN32" s="362">
        <v>8.3834222804141628E-2</v>
      </c>
      <c r="AO32" s="362">
        <v>0</v>
      </c>
      <c r="AP32" s="362">
        <v>0.36310495633743983</v>
      </c>
      <c r="AQ32" s="362">
        <v>0</v>
      </c>
      <c r="AR32" s="362">
        <v>0</v>
      </c>
      <c r="AS32" s="362">
        <v>0</v>
      </c>
      <c r="AT32" s="362">
        <v>0.44890198445704399</v>
      </c>
      <c r="AU32" s="362">
        <v>0</v>
      </c>
      <c r="AV32" s="362">
        <v>0.15823694594810422</v>
      </c>
      <c r="AW32" s="362">
        <v>0</v>
      </c>
      <c r="AX32" s="362">
        <v>0</v>
      </c>
      <c r="AY32" s="362">
        <v>0</v>
      </c>
      <c r="AZ32" s="362">
        <v>0</v>
      </c>
      <c r="BA32" s="362">
        <v>0.31980170911209632</v>
      </c>
      <c r="BB32" s="362">
        <v>0</v>
      </c>
      <c r="BC32" s="362">
        <v>0</v>
      </c>
      <c r="BD32" s="362">
        <v>0</v>
      </c>
      <c r="BE32" s="362">
        <v>0</v>
      </c>
      <c r="BF32" s="362">
        <v>0</v>
      </c>
      <c r="BG32" s="362">
        <v>0</v>
      </c>
      <c r="BH32" s="362">
        <v>0</v>
      </c>
      <c r="BI32" s="362">
        <v>0</v>
      </c>
      <c r="BJ32" s="362">
        <v>0</v>
      </c>
      <c r="BK32" s="362">
        <v>0</v>
      </c>
      <c r="BL32" s="362">
        <v>0</v>
      </c>
      <c r="BM32" s="362">
        <v>0.41395275408711707</v>
      </c>
      <c r="BN32" s="362">
        <v>0</v>
      </c>
      <c r="BO32" s="362">
        <v>0</v>
      </c>
      <c r="BP32" s="362">
        <v>0</v>
      </c>
      <c r="BQ32" s="362">
        <v>0</v>
      </c>
      <c r="BR32" s="362">
        <v>0</v>
      </c>
      <c r="BS32" s="362">
        <v>0</v>
      </c>
      <c r="BT32" s="362">
        <v>0</v>
      </c>
      <c r="BU32" s="362">
        <v>0</v>
      </c>
      <c r="BV32" s="362">
        <v>0</v>
      </c>
      <c r="BW32" s="362">
        <v>0.21531260019605783</v>
      </c>
      <c r="BX32" s="362">
        <v>0</v>
      </c>
      <c r="BY32" s="362">
        <v>0</v>
      </c>
      <c r="BZ32" s="362">
        <v>0</v>
      </c>
      <c r="CA32" s="362">
        <v>0.1265970120398964</v>
      </c>
      <c r="CB32" s="362">
        <v>0</v>
      </c>
      <c r="CC32" s="362">
        <v>0</v>
      </c>
      <c r="CD32" s="362">
        <v>0</v>
      </c>
      <c r="CE32" s="362">
        <v>0</v>
      </c>
      <c r="CF32" s="362">
        <v>0</v>
      </c>
      <c r="CG32" s="362">
        <v>0</v>
      </c>
      <c r="CH32" s="362">
        <v>0</v>
      </c>
      <c r="CI32" s="362">
        <v>0</v>
      </c>
      <c r="CJ32" s="362">
        <v>0</v>
      </c>
      <c r="CK32" s="362">
        <v>0.20170209793466365</v>
      </c>
      <c r="CL32" s="362">
        <v>0</v>
      </c>
      <c r="CM32" s="362">
        <v>0.17318996081358462</v>
      </c>
      <c r="CN32" s="362">
        <v>0</v>
      </c>
      <c r="CO32" s="362">
        <v>0</v>
      </c>
      <c r="CP32" s="362">
        <v>0</v>
      </c>
      <c r="CQ32" s="362">
        <v>0.1612752646332018</v>
      </c>
      <c r="CR32" s="362">
        <v>0</v>
      </c>
      <c r="CS32" s="362">
        <v>0</v>
      </c>
      <c r="CT32" s="362">
        <v>0</v>
      </c>
      <c r="CU32" s="362">
        <v>0.13922461456914909</v>
      </c>
      <c r="CV32" s="362">
        <v>0</v>
      </c>
      <c r="CW32" s="362">
        <v>0</v>
      </c>
      <c r="CX32" s="362">
        <v>0</v>
      </c>
      <c r="CY32" s="362">
        <v>0.13662833936563884</v>
      </c>
      <c r="CZ32" s="362">
        <v>0</v>
      </c>
      <c r="DA32" s="362">
        <v>0</v>
      </c>
      <c r="DB32" s="362">
        <v>0</v>
      </c>
      <c r="DC32" s="362">
        <v>0</v>
      </c>
      <c r="DD32" s="362">
        <v>0</v>
      </c>
      <c r="DE32" s="362">
        <v>0</v>
      </c>
      <c r="DF32" s="362">
        <v>0</v>
      </c>
      <c r="DG32" s="362">
        <v>0</v>
      </c>
      <c r="DH32" s="362">
        <v>0</v>
      </c>
      <c r="DI32" s="362">
        <v>9.7653017312721385E-2</v>
      </c>
      <c r="DJ32" s="362">
        <v>0</v>
      </c>
      <c r="DK32" s="362">
        <v>0</v>
      </c>
      <c r="DL32" s="362">
        <v>0</v>
      </c>
      <c r="DM32" s="362">
        <v>0</v>
      </c>
      <c r="DN32" s="362">
        <v>0</v>
      </c>
      <c r="DO32" s="362">
        <v>0</v>
      </c>
      <c r="DP32" s="362">
        <v>0</v>
      </c>
      <c r="DQ32" s="362">
        <v>0</v>
      </c>
      <c r="DR32" s="362">
        <v>0</v>
      </c>
      <c r="DS32" s="362">
        <v>0</v>
      </c>
      <c r="DT32" s="362">
        <v>0</v>
      </c>
      <c r="DU32" s="362">
        <v>0</v>
      </c>
      <c r="DV32" s="362">
        <v>0</v>
      </c>
      <c r="DW32" s="362">
        <v>0.10509262219948413</v>
      </c>
      <c r="DX32" s="362">
        <v>0</v>
      </c>
      <c r="DY32" s="362">
        <v>0</v>
      </c>
      <c r="DZ32" s="362">
        <v>0</v>
      </c>
      <c r="EA32" s="362">
        <v>0.35472707423580785</v>
      </c>
      <c r="EB32" s="362">
        <v>0</v>
      </c>
      <c r="EC32" s="362">
        <v>0.26391304347826089</v>
      </c>
      <c r="ED32" s="362">
        <v>0</v>
      </c>
      <c r="EE32" s="362">
        <v>0</v>
      </c>
      <c r="EF32" s="362">
        <v>0</v>
      </c>
      <c r="EG32" s="362">
        <v>7.9997336151481274E-2</v>
      </c>
      <c r="EH32" s="362">
        <v>0</v>
      </c>
      <c r="EI32" s="362">
        <v>0</v>
      </c>
      <c r="EJ32" s="362">
        <v>0</v>
      </c>
    </row>
    <row r="33" spans="1:140" ht="17.25" x14ac:dyDescent="0.3">
      <c r="A33" s="366" t="s">
        <v>211</v>
      </c>
      <c r="B33" s="365" t="s">
        <v>210</v>
      </c>
      <c r="C33" s="371">
        <v>26.976512889245921</v>
      </c>
      <c r="D33" s="371">
        <v>1.3549209104237259</v>
      </c>
      <c r="E33" s="371">
        <v>36.145375551151922</v>
      </c>
      <c r="F33" s="371">
        <v>12.721862113663409</v>
      </c>
      <c r="G33" s="371">
        <v>67.118756419647099</v>
      </c>
      <c r="H33" s="371">
        <v>0.2222599568982529</v>
      </c>
      <c r="I33" s="371">
        <v>11.596347946872436</v>
      </c>
      <c r="J33" s="371">
        <v>2.5449698508308103</v>
      </c>
      <c r="K33" s="371">
        <v>20.344514973641399</v>
      </c>
      <c r="L33" s="371">
        <v>17.519076228044785</v>
      </c>
      <c r="M33" s="371">
        <v>5.7953978001959294</v>
      </c>
      <c r="N33" s="371">
        <v>0.11613461063764656</v>
      </c>
      <c r="O33" s="371">
        <v>18.885970702442073</v>
      </c>
      <c r="P33" s="371">
        <v>5.7514984284777659</v>
      </c>
      <c r="Q33" s="371">
        <v>13.497736802216705</v>
      </c>
      <c r="R33" s="370">
        <v>0.59622206562536528</v>
      </c>
      <c r="S33" s="369">
        <v>58.953895983079761</v>
      </c>
      <c r="T33" s="369">
        <v>2.0266700944921872</v>
      </c>
      <c r="U33" s="369">
        <v>10.457013665457655</v>
      </c>
      <c r="V33" s="369">
        <v>2.0359043693067251</v>
      </c>
      <c r="W33" s="369">
        <v>19.039669116431284</v>
      </c>
      <c r="X33" s="369">
        <v>2.2138096895296364</v>
      </c>
      <c r="Y33" s="369">
        <v>14.402710301232567</v>
      </c>
      <c r="Z33" s="369">
        <v>1.3011916176652765</v>
      </c>
      <c r="AA33" s="369">
        <v>11.513731450261631</v>
      </c>
      <c r="AB33" s="369">
        <v>3.0577609939201835</v>
      </c>
      <c r="AC33" s="369">
        <v>16.994285208376269</v>
      </c>
      <c r="AD33" s="369">
        <v>0</v>
      </c>
      <c r="AE33" s="369">
        <v>24.637206693348705</v>
      </c>
      <c r="AF33" s="391">
        <v>2.2634488530200096</v>
      </c>
      <c r="AG33" s="362">
        <v>21.227735711549215</v>
      </c>
      <c r="AH33" s="362">
        <v>0.20714199605245406</v>
      </c>
      <c r="AI33" s="362">
        <v>17.957944411203353</v>
      </c>
      <c r="AJ33" s="362">
        <v>0</v>
      </c>
      <c r="AK33" s="362">
        <v>29.31896127359731</v>
      </c>
      <c r="AL33" s="362">
        <v>4.0857298336912429</v>
      </c>
      <c r="AM33" s="362">
        <v>26.431994817554571</v>
      </c>
      <c r="AN33" s="362">
        <v>0</v>
      </c>
      <c r="AO33" s="362">
        <v>11.152458070037042</v>
      </c>
      <c r="AP33" s="362">
        <v>0.38484483362294497</v>
      </c>
      <c r="AQ33" s="362">
        <v>11.167997828919846</v>
      </c>
      <c r="AR33" s="362">
        <v>2.7504732356520099E-2</v>
      </c>
      <c r="AS33" s="362">
        <v>33.17187270266286</v>
      </c>
      <c r="AT33" s="362">
        <v>0</v>
      </c>
      <c r="AU33" s="362">
        <v>15.873724885199195</v>
      </c>
      <c r="AV33" s="362">
        <v>0</v>
      </c>
      <c r="AW33" s="362">
        <v>3.332632538393109</v>
      </c>
      <c r="AX33" s="362">
        <v>0</v>
      </c>
      <c r="AY33" s="362">
        <v>24.944735026081382</v>
      </c>
      <c r="AZ33" s="362">
        <v>0.27235008490505502</v>
      </c>
      <c r="BA33" s="362">
        <v>3.7951013917002783</v>
      </c>
      <c r="BB33" s="362">
        <v>0</v>
      </c>
      <c r="BC33" s="362">
        <v>8.3783851711377704</v>
      </c>
      <c r="BD33" s="362">
        <v>2.2049311684846864</v>
      </c>
      <c r="BE33" s="362">
        <v>2.6827591759115097</v>
      </c>
      <c r="BF33" s="362">
        <v>8.5596929893134208E-2</v>
      </c>
      <c r="BG33" s="362">
        <v>5.349213133184425</v>
      </c>
      <c r="BH33" s="362">
        <v>0.4272561921141057</v>
      </c>
      <c r="BI33" s="362">
        <v>12.55463328359437</v>
      </c>
      <c r="BJ33" s="362">
        <v>6.7683492110889865E-2</v>
      </c>
      <c r="BK33" s="362">
        <v>23.119301219870621</v>
      </c>
      <c r="BL33" s="362">
        <v>18.55494868667223</v>
      </c>
      <c r="BM33" s="362">
        <v>3.7199701753969694</v>
      </c>
      <c r="BN33" s="362">
        <v>0.96742915501761551</v>
      </c>
      <c r="BO33" s="362">
        <v>2.0292680337886408</v>
      </c>
      <c r="BP33" s="362">
        <v>1.7403416921159141</v>
      </c>
      <c r="BQ33" s="362">
        <v>6.1937744601757974</v>
      </c>
      <c r="BR33" s="362">
        <v>2.2605946697876806</v>
      </c>
      <c r="BS33" s="362">
        <v>14.489082710643107</v>
      </c>
      <c r="BT33" s="362">
        <v>1.2569954460905606</v>
      </c>
      <c r="BU33" s="362">
        <v>6.6783834975024483</v>
      </c>
      <c r="BV33" s="362">
        <v>0.78787708086498043</v>
      </c>
      <c r="BW33" s="362">
        <v>7.8656544763210858</v>
      </c>
      <c r="BX33" s="362">
        <v>0.76646410280943122</v>
      </c>
      <c r="BY33" s="362">
        <v>6.9966836099821368</v>
      </c>
      <c r="BZ33" s="362">
        <v>0</v>
      </c>
      <c r="CA33" s="362">
        <v>10.117410704088055</v>
      </c>
      <c r="CB33" s="362">
        <v>0.76173523158564249</v>
      </c>
      <c r="CC33" s="362">
        <v>2.0980912386651984</v>
      </c>
      <c r="CD33" s="362">
        <v>0.44996445932324636</v>
      </c>
      <c r="CE33" s="362">
        <v>16.479882574280971</v>
      </c>
      <c r="CF33" s="362">
        <v>1.5761071857515194</v>
      </c>
      <c r="CG33" s="362">
        <v>9.3659001026954556</v>
      </c>
      <c r="CH33" s="362">
        <v>1.3245698094925336</v>
      </c>
      <c r="CI33" s="362">
        <v>12.581716991850945</v>
      </c>
      <c r="CJ33" s="362">
        <v>3.1614809037696063</v>
      </c>
      <c r="CK33" s="362">
        <v>20.077352317973315</v>
      </c>
      <c r="CL33" s="362">
        <v>1.9289573194868093</v>
      </c>
      <c r="CM33" s="362">
        <v>21.370379268520242</v>
      </c>
      <c r="CN33" s="362">
        <v>3.5432154599738759</v>
      </c>
      <c r="CO33" s="362">
        <v>18.858772748808558</v>
      </c>
      <c r="CP33" s="362">
        <v>4.3346606374775885</v>
      </c>
      <c r="CQ33" s="362">
        <v>17.185009061409655</v>
      </c>
      <c r="CR33" s="362">
        <v>0.98540944380924278</v>
      </c>
      <c r="CS33" s="362">
        <v>19.236885933929415</v>
      </c>
      <c r="CT33" s="362">
        <v>1.4796335438411521</v>
      </c>
      <c r="CU33" s="362">
        <v>3.6600303409703625</v>
      </c>
      <c r="CV33" s="362">
        <v>0.62310940113138924</v>
      </c>
      <c r="CW33" s="362">
        <v>16.296320533978484</v>
      </c>
      <c r="CX33" s="362">
        <v>0.73940581137034922</v>
      </c>
      <c r="CY33" s="362">
        <v>8.2192262272323653</v>
      </c>
      <c r="CZ33" s="362">
        <v>3.3396437727225603</v>
      </c>
      <c r="DA33" s="362">
        <v>7.9606905443340077</v>
      </c>
      <c r="DB33" s="362">
        <v>3.7712498144710733</v>
      </c>
      <c r="DC33" s="362">
        <v>5.4078589538880628</v>
      </c>
      <c r="DD33" s="362">
        <v>1.1364376791720927</v>
      </c>
      <c r="DE33" s="362">
        <v>5.7818516311152726</v>
      </c>
      <c r="DF33" s="362">
        <v>2.9613759518885061</v>
      </c>
      <c r="DG33" s="362">
        <v>6.8659095161688528</v>
      </c>
      <c r="DH33" s="362">
        <v>3.9861012895403949</v>
      </c>
      <c r="DI33" s="362">
        <v>6.1067231619715967</v>
      </c>
      <c r="DJ33" s="362">
        <v>0</v>
      </c>
      <c r="DK33" s="362">
        <v>3.7815580233129675</v>
      </c>
      <c r="DL33" s="362">
        <v>16.349894422191134</v>
      </c>
      <c r="DM33" s="362">
        <v>9.0543481893219582</v>
      </c>
      <c r="DN33" s="362">
        <v>0.14902387131988462</v>
      </c>
      <c r="DO33" s="362">
        <v>3.291231322872183</v>
      </c>
      <c r="DP33" s="362">
        <v>0.69109298959154308</v>
      </c>
      <c r="DQ33" s="362">
        <v>0.5215667866270276</v>
      </c>
      <c r="DR33" s="362">
        <v>0.92076039902126861</v>
      </c>
      <c r="DS33" s="362">
        <v>14.699400974426904</v>
      </c>
      <c r="DT33" s="362">
        <v>4.5756307954826116</v>
      </c>
      <c r="DU33" s="362">
        <v>9.9909742195035065</v>
      </c>
      <c r="DV33" s="362">
        <v>0.86908165127251569</v>
      </c>
      <c r="DW33" s="362">
        <v>8.3394854085395753</v>
      </c>
      <c r="DX33" s="362">
        <v>3.893657137984694</v>
      </c>
      <c r="DY33" s="362">
        <v>4.4178901860311877</v>
      </c>
      <c r="DZ33" s="362">
        <v>1.1000557873929278</v>
      </c>
      <c r="EA33" s="362">
        <v>15.912609610698693</v>
      </c>
      <c r="EB33" s="362">
        <v>1.6174685589519651</v>
      </c>
      <c r="EC33" s="362">
        <v>7.8169298913043477</v>
      </c>
      <c r="ED33" s="362">
        <v>0.17551684782608695</v>
      </c>
      <c r="EE33" s="362">
        <v>11.293559332362651</v>
      </c>
      <c r="EF33" s="362">
        <v>0.48138837924482719</v>
      </c>
      <c r="EG33" s="362">
        <v>18.508828474357184</v>
      </c>
      <c r="EH33" s="362">
        <v>1.9627697343138624</v>
      </c>
      <c r="EI33" s="362">
        <v>18.563766262097413</v>
      </c>
      <c r="EJ33" s="362">
        <v>5.119011119043841</v>
      </c>
    </row>
    <row r="34" spans="1:140" s="367" customFormat="1" ht="17.25" x14ac:dyDescent="0.3">
      <c r="A34" s="366" t="s">
        <v>209</v>
      </c>
      <c r="B34" s="365" t="s">
        <v>208</v>
      </c>
      <c r="C34" s="371"/>
      <c r="D34" s="371"/>
      <c r="E34" s="371"/>
      <c r="F34" s="371"/>
      <c r="G34" s="371"/>
      <c r="H34" s="371"/>
      <c r="I34" s="371"/>
      <c r="J34" s="371"/>
      <c r="K34" s="372">
        <v>0</v>
      </c>
      <c r="L34" s="371">
        <v>0</v>
      </c>
      <c r="M34" s="371">
        <v>0</v>
      </c>
      <c r="N34" s="371">
        <v>0</v>
      </c>
      <c r="O34" s="372">
        <v>0.72709426967004509</v>
      </c>
      <c r="P34" s="371">
        <v>0</v>
      </c>
      <c r="Q34" s="371">
        <v>0.40929959241272296</v>
      </c>
      <c r="R34" s="370">
        <v>0</v>
      </c>
      <c r="S34" s="369">
        <v>1.7130392838007538</v>
      </c>
      <c r="T34" s="369">
        <v>0</v>
      </c>
      <c r="U34" s="369">
        <v>0.56741526206523463</v>
      </c>
      <c r="V34" s="369">
        <v>0</v>
      </c>
      <c r="W34" s="369">
        <v>1.4940023513631042</v>
      </c>
      <c r="X34" s="369">
        <v>0</v>
      </c>
      <c r="Y34" s="369">
        <v>1.7013210999898702</v>
      </c>
      <c r="Z34" s="369">
        <v>0</v>
      </c>
      <c r="AA34" s="369">
        <v>1.9679250700080972</v>
      </c>
      <c r="AB34" s="369">
        <v>0</v>
      </c>
      <c r="AC34" s="369">
        <v>3.300148523462779</v>
      </c>
      <c r="AD34" s="369">
        <v>0</v>
      </c>
      <c r="AE34" s="369">
        <v>0.67022254337977905</v>
      </c>
      <c r="AF34" s="391">
        <v>0</v>
      </c>
      <c r="AG34" s="362">
        <v>2.9268076551360944</v>
      </c>
      <c r="AH34" s="362">
        <v>0</v>
      </c>
      <c r="AI34" s="362">
        <v>1.5556866918125962</v>
      </c>
      <c r="AJ34" s="362">
        <v>0</v>
      </c>
      <c r="AK34" s="362">
        <v>0</v>
      </c>
      <c r="AL34" s="362">
        <v>0</v>
      </c>
      <c r="AM34" s="362">
        <v>0</v>
      </c>
      <c r="AN34" s="362">
        <v>0</v>
      </c>
      <c r="AO34" s="362">
        <v>0</v>
      </c>
      <c r="AP34" s="362">
        <v>0</v>
      </c>
      <c r="AQ34" s="362">
        <v>0</v>
      </c>
      <c r="AR34" s="362">
        <v>0</v>
      </c>
      <c r="AS34" s="362">
        <v>0</v>
      </c>
      <c r="AT34" s="362">
        <v>0</v>
      </c>
      <c r="AU34" s="362">
        <v>0</v>
      </c>
      <c r="AV34" s="362">
        <v>0</v>
      </c>
      <c r="AW34" s="362">
        <v>0</v>
      </c>
      <c r="AX34" s="362">
        <v>0</v>
      </c>
      <c r="AY34" s="362">
        <v>0</v>
      </c>
      <c r="AZ34" s="362">
        <v>0</v>
      </c>
      <c r="BA34" s="362">
        <v>0</v>
      </c>
      <c r="BB34" s="362">
        <v>0</v>
      </c>
      <c r="BC34" s="362">
        <v>0</v>
      </c>
      <c r="BD34" s="362">
        <v>0</v>
      </c>
      <c r="BE34" s="362">
        <v>0</v>
      </c>
      <c r="BF34" s="362">
        <v>0</v>
      </c>
      <c r="BG34" s="362">
        <v>0</v>
      </c>
      <c r="BH34" s="362">
        <v>0</v>
      </c>
      <c r="BI34" s="362">
        <v>0</v>
      </c>
      <c r="BJ34" s="362">
        <v>0</v>
      </c>
      <c r="BK34" s="362">
        <v>0</v>
      </c>
      <c r="BL34" s="362">
        <v>0</v>
      </c>
      <c r="BM34" s="362">
        <v>0</v>
      </c>
      <c r="BN34" s="362">
        <v>0</v>
      </c>
      <c r="BO34" s="362">
        <v>0</v>
      </c>
      <c r="BP34" s="362">
        <v>2.9331967878825091</v>
      </c>
      <c r="BQ34" s="362">
        <v>0</v>
      </c>
      <c r="BR34" s="362">
        <v>0</v>
      </c>
      <c r="BS34" s="362">
        <v>0</v>
      </c>
      <c r="BT34" s="362">
        <v>0</v>
      </c>
      <c r="BU34" s="362">
        <v>0</v>
      </c>
      <c r="BV34" s="362">
        <v>0</v>
      </c>
      <c r="BW34" s="362">
        <v>0</v>
      </c>
      <c r="BX34" s="362">
        <v>0</v>
      </c>
      <c r="BY34" s="362">
        <v>0</v>
      </c>
      <c r="BZ34" s="362">
        <v>0</v>
      </c>
      <c r="CA34" s="362">
        <v>0</v>
      </c>
      <c r="CB34" s="362">
        <v>2.9670958197829496</v>
      </c>
      <c r="CC34" s="362">
        <v>0</v>
      </c>
      <c r="CD34" s="362">
        <v>0</v>
      </c>
      <c r="CE34" s="362">
        <v>0</v>
      </c>
      <c r="CF34" s="362">
        <v>0</v>
      </c>
      <c r="CG34" s="362">
        <v>0</v>
      </c>
      <c r="CH34" s="362">
        <v>0</v>
      </c>
      <c r="CI34" s="362">
        <v>0</v>
      </c>
      <c r="CJ34" s="362">
        <v>0</v>
      </c>
      <c r="CK34" s="362">
        <v>0</v>
      </c>
      <c r="CL34" s="362">
        <v>0</v>
      </c>
      <c r="CM34" s="362">
        <v>0</v>
      </c>
      <c r="CN34" s="362">
        <v>2.9103272952043291</v>
      </c>
      <c r="CO34" s="362">
        <v>0</v>
      </c>
      <c r="CP34" s="362">
        <v>0</v>
      </c>
      <c r="CQ34" s="362">
        <v>0</v>
      </c>
      <c r="CR34" s="362">
        <v>0</v>
      </c>
      <c r="CS34" s="362">
        <v>0</v>
      </c>
      <c r="CT34" s="362">
        <v>2.8547259061406263</v>
      </c>
      <c r="CU34" s="362">
        <v>0</v>
      </c>
      <c r="CV34" s="362">
        <v>0</v>
      </c>
      <c r="CW34" s="362">
        <v>0</v>
      </c>
      <c r="CX34" s="362">
        <v>0</v>
      </c>
      <c r="CY34" s="362">
        <v>0.27410180247993116</v>
      </c>
      <c r="CZ34" s="362">
        <v>0</v>
      </c>
      <c r="DA34" s="362">
        <v>0</v>
      </c>
      <c r="DB34" s="362">
        <v>0</v>
      </c>
      <c r="DC34" s="362">
        <v>0</v>
      </c>
      <c r="DD34" s="362">
        <v>0</v>
      </c>
      <c r="DE34" s="362">
        <v>0.25937628424945935</v>
      </c>
      <c r="DF34" s="362">
        <v>2.6538681663780967</v>
      </c>
      <c r="DG34" s="362">
        <v>0</v>
      </c>
      <c r="DH34" s="362">
        <v>0</v>
      </c>
      <c r="DI34" s="362">
        <v>0</v>
      </c>
      <c r="DJ34" s="362">
        <v>0</v>
      </c>
      <c r="DK34" s="362">
        <v>0.24520651837881238</v>
      </c>
      <c r="DL34" s="362">
        <v>0</v>
      </c>
      <c r="DM34" s="362">
        <v>0.38764439196640416</v>
      </c>
      <c r="DN34" s="362">
        <v>0.41778708520379182</v>
      </c>
      <c r="DO34" s="362">
        <v>0</v>
      </c>
      <c r="DP34" s="362">
        <v>0</v>
      </c>
      <c r="DQ34" s="362">
        <v>0.26057363275802248</v>
      </c>
      <c r="DR34" s="362">
        <v>2.6786709500452401</v>
      </c>
      <c r="DS34" s="362">
        <v>0</v>
      </c>
      <c r="DT34" s="362">
        <v>0</v>
      </c>
      <c r="DU34" s="362">
        <v>0</v>
      </c>
      <c r="DV34" s="362">
        <v>0</v>
      </c>
      <c r="DW34" s="362">
        <v>0.26166570740338085</v>
      </c>
      <c r="DX34" s="362">
        <v>0</v>
      </c>
      <c r="DY34" s="362">
        <v>0</v>
      </c>
      <c r="DZ34" s="362">
        <v>2.7558640483197885</v>
      </c>
      <c r="EA34" s="362">
        <v>0</v>
      </c>
      <c r="EB34" s="362">
        <v>0</v>
      </c>
      <c r="EC34" s="362">
        <v>0</v>
      </c>
      <c r="ED34" s="362">
        <v>0</v>
      </c>
      <c r="EE34" s="362">
        <v>0</v>
      </c>
      <c r="EF34" s="362">
        <v>0</v>
      </c>
      <c r="EG34" s="362">
        <v>0</v>
      </c>
      <c r="EH34" s="362">
        <v>0</v>
      </c>
      <c r="EI34" s="362">
        <v>0.2605681597828195</v>
      </c>
      <c r="EJ34" s="362">
        <v>0</v>
      </c>
    </row>
    <row r="35" spans="1:140" ht="17.25" x14ac:dyDescent="0.3">
      <c r="A35" s="366" t="s">
        <v>207</v>
      </c>
      <c r="B35" s="365" t="s">
        <v>206</v>
      </c>
      <c r="C35" s="371">
        <v>5.9960206464881489</v>
      </c>
      <c r="D35" s="371">
        <v>0</v>
      </c>
      <c r="E35" s="371">
        <v>20.084235165497279</v>
      </c>
      <c r="F35" s="371">
        <v>0</v>
      </c>
      <c r="G35" s="371">
        <v>4.9516787868205521</v>
      </c>
      <c r="H35" s="371">
        <v>0</v>
      </c>
      <c r="I35" s="371">
        <v>0</v>
      </c>
      <c r="J35" s="371">
        <v>0</v>
      </c>
      <c r="K35" s="371">
        <v>4.7421232562140005</v>
      </c>
      <c r="L35" s="371">
        <v>0</v>
      </c>
      <c r="M35" s="371">
        <v>8.6622203431744964</v>
      </c>
      <c r="N35" s="371">
        <v>0.57369056222745674</v>
      </c>
      <c r="O35" s="371">
        <v>0</v>
      </c>
      <c r="P35" s="371">
        <v>0</v>
      </c>
      <c r="Q35" s="371">
        <v>11.04628252593236</v>
      </c>
      <c r="R35" s="370">
        <v>0</v>
      </c>
      <c r="S35" s="369">
        <v>0</v>
      </c>
      <c r="T35" s="369">
        <v>0</v>
      </c>
      <c r="U35" s="369">
        <v>0</v>
      </c>
      <c r="V35" s="369">
        <v>0</v>
      </c>
      <c r="W35" s="369">
        <v>4.5253896802497549</v>
      </c>
      <c r="X35" s="369">
        <v>0</v>
      </c>
      <c r="Y35" s="369">
        <v>0</v>
      </c>
      <c r="Z35" s="369">
        <v>0</v>
      </c>
      <c r="AA35" s="369">
        <v>0</v>
      </c>
      <c r="AB35" s="369">
        <v>4.5813989976318625</v>
      </c>
      <c r="AC35" s="369">
        <v>0</v>
      </c>
      <c r="AD35" s="369">
        <v>0</v>
      </c>
      <c r="AE35" s="369">
        <v>0</v>
      </c>
      <c r="AF35" s="391">
        <v>0</v>
      </c>
      <c r="AG35" s="362">
        <v>0</v>
      </c>
      <c r="AH35" s="362">
        <v>0</v>
      </c>
      <c r="AI35" s="362">
        <v>0</v>
      </c>
      <c r="AJ35" s="362">
        <v>0</v>
      </c>
      <c r="AK35" s="362">
        <v>0</v>
      </c>
      <c r="AL35" s="362">
        <v>0</v>
      </c>
      <c r="AM35" s="362">
        <v>5.0376721663258861</v>
      </c>
      <c r="AN35" s="362">
        <v>0</v>
      </c>
      <c r="AO35" s="362">
        <v>4.4322210036771326</v>
      </c>
      <c r="AP35" s="362">
        <v>0</v>
      </c>
      <c r="AQ35" s="362">
        <v>0.87740823880219554</v>
      </c>
      <c r="AR35" s="362">
        <v>0</v>
      </c>
      <c r="AS35" s="362">
        <v>0</v>
      </c>
      <c r="AT35" s="362">
        <v>0</v>
      </c>
      <c r="AU35" s="362">
        <v>0.30172239096774128</v>
      </c>
      <c r="AV35" s="362">
        <v>0</v>
      </c>
      <c r="AW35" s="362">
        <v>0.60978423010795058</v>
      </c>
      <c r="AX35" s="362">
        <v>0</v>
      </c>
      <c r="AY35" s="362">
        <v>0.82663481345793488</v>
      </c>
      <c r="AZ35" s="362">
        <v>0</v>
      </c>
      <c r="BA35" s="362">
        <v>0.87747545925468529</v>
      </c>
      <c r="BB35" s="362">
        <v>0</v>
      </c>
      <c r="BC35" s="362">
        <v>0</v>
      </c>
      <c r="BD35" s="362">
        <v>0</v>
      </c>
      <c r="BE35" s="362">
        <v>0</v>
      </c>
      <c r="BF35" s="362">
        <v>0</v>
      </c>
      <c r="BG35" s="362">
        <v>0</v>
      </c>
      <c r="BH35" s="362">
        <v>0</v>
      </c>
      <c r="BI35" s="362">
        <v>0</v>
      </c>
      <c r="BJ35" s="362">
        <v>0</v>
      </c>
      <c r="BK35" s="362">
        <v>0</v>
      </c>
      <c r="BL35" s="362">
        <v>0</v>
      </c>
      <c r="BM35" s="362">
        <v>0.11711022405395669</v>
      </c>
      <c r="BN35" s="362">
        <v>0</v>
      </c>
      <c r="BO35" s="362">
        <v>0</v>
      </c>
      <c r="BP35" s="362">
        <v>0</v>
      </c>
      <c r="BQ35" s="362">
        <v>0</v>
      </c>
      <c r="BR35" s="362">
        <v>0</v>
      </c>
      <c r="BS35" s="362">
        <v>0</v>
      </c>
      <c r="BT35" s="362">
        <v>0</v>
      </c>
      <c r="BU35" s="362">
        <v>0</v>
      </c>
      <c r="BV35" s="362">
        <v>0</v>
      </c>
      <c r="BW35" s="362">
        <v>0</v>
      </c>
      <c r="BX35" s="362">
        <v>0</v>
      </c>
      <c r="BY35" s="362">
        <v>0</v>
      </c>
      <c r="BZ35" s="362">
        <v>0</v>
      </c>
      <c r="CA35" s="362">
        <v>0</v>
      </c>
      <c r="CB35" s="362">
        <v>0</v>
      </c>
      <c r="CC35" s="362">
        <v>0.23674273309715949</v>
      </c>
      <c r="CD35" s="362">
        <v>0</v>
      </c>
      <c r="CE35" s="362">
        <v>0.12140819702536719</v>
      </c>
      <c r="CF35" s="362">
        <v>0</v>
      </c>
      <c r="CG35" s="362">
        <v>3.6755319547837959</v>
      </c>
      <c r="CH35" s="362">
        <v>0</v>
      </c>
      <c r="CI35" s="362">
        <v>2.365815764905876</v>
      </c>
      <c r="CJ35" s="362">
        <v>0</v>
      </c>
      <c r="CK35" s="362">
        <v>0.14683796307076161</v>
      </c>
      <c r="CL35" s="362">
        <v>0</v>
      </c>
      <c r="CM35" s="362">
        <v>2.9098245941406978E-2</v>
      </c>
      <c r="CN35" s="362">
        <v>0</v>
      </c>
      <c r="CO35" s="362">
        <v>0.28944055814126324</v>
      </c>
      <c r="CP35" s="362">
        <v>0</v>
      </c>
      <c r="CQ35" s="362">
        <v>1.8100173348578172</v>
      </c>
      <c r="CR35" s="362">
        <v>0</v>
      </c>
      <c r="CS35" s="362">
        <v>1.8567595939407411</v>
      </c>
      <c r="CT35" s="362">
        <v>0</v>
      </c>
      <c r="CU35" s="362">
        <v>0.47533425331054713</v>
      </c>
      <c r="CV35" s="362">
        <v>0</v>
      </c>
      <c r="CW35" s="362">
        <v>0.45456612542718949</v>
      </c>
      <c r="CX35" s="362">
        <v>0</v>
      </c>
      <c r="CY35" s="362">
        <v>0.79198236733810812</v>
      </c>
      <c r="CZ35" s="362">
        <v>0</v>
      </c>
      <c r="DA35" s="362">
        <v>0</v>
      </c>
      <c r="DB35" s="362">
        <v>0</v>
      </c>
      <c r="DC35" s="362">
        <v>0</v>
      </c>
      <c r="DD35" s="362">
        <v>0</v>
      </c>
      <c r="DE35" s="362">
        <v>0</v>
      </c>
      <c r="DF35" s="362">
        <v>0</v>
      </c>
      <c r="DG35" s="362">
        <v>0</v>
      </c>
      <c r="DH35" s="362">
        <v>0</v>
      </c>
      <c r="DI35" s="362">
        <v>0</v>
      </c>
      <c r="DJ35" s="362">
        <v>0</v>
      </c>
      <c r="DK35" s="362">
        <v>0.14111885343433692</v>
      </c>
      <c r="DL35" s="362">
        <v>0</v>
      </c>
      <c r="DM35" s="362">
        <v>0.29218139084134431</v>
      </c>
      <c r="DN35" s="362">
        <v>0</v>
      </c>
      <c r="DO35" s="362">
        <v>0.41326699983966142</v>
      </c>
      <c r="DP35" s="362">
        <v>0</v>
      </c>
      <c r="DQ35" s="362">
        <v>0</v>
      </c>
      <c r="DR35" s="362">
        <v>0</v>
      </c>
      <c r="DS35" s="362">
        <v>0</v>
      </c>
      <c r="DT35" s="362">
        <v>0.43726846134848113</v>
      </c>
      <c r="DU35" s="362">
        <v>0.42446149434775426</v>
      </c>
      <c r="DV35" s="362">
        <v>1.3381507033809208</v>
      </c>
      <c r="DW35" s="362">
        <v>0.21316961906589074</v>
      </c>
      <c r="DX35" s="362">
        <v>0.80498177399756987</v>
      </c>
      <c r="DY35" s="362">
        <v>0</v>
      </c>
      <c r="DZ35" s="362">
        <v>0.54755106523171537</v>
      </c>
      <c r="EA35" s="362">
        <v>0.10611353711790393</v>
      </c>
      <c r="EB35" s="362">
        <v>0</v>
      </c>
      <c r="EC35" s="362">
        <v>0.7</v>
      </c>
      <c r="ED35" s="362">
        <v>0.49275000000000002</v>
      </c>
      <c r="EE35" s="362">
        <v>0</v>
      </c>
      <c r="EF35" s="362">
        <v>1.5049807278370126</v>
      </c>
      <c r="EG35" s="362">
        <v>0.6492803242034656</v>
      </c>
      <c r="EH35" s="362">
        <v>0.66135498183342656</v>
      </c>
      <c r="EI35" s="362">
        <v>2.0315612494931865</v>
      </c>
      <c r="EJ35" s="362">
        <v>0</v>
      </c>
    </row>
    <row r="36" spans="1:140" ht="17.25" x14ac:dyDescent="0.3">
      <c r="A36" s="366" t="s">
        <v>205</v>
      </c>
      <c r="B36" s="365" t="s">
        <v>204</v>
      </c>
      <c r="C36" s="371">
        <v>0.18084757983596564</v>
      </c>
      <c r="D36" s="371">
        <v>0</v>
      </c>
      <c r="E36" s="371">
        <v>0</v>
      </c>
      <c r="F36" s="371">
        <v>0</v>
      </c>
      <c r="G36" s="371">
        <v>0</v>
      </c>
      <c r="H36" s="371">
        <v>0</v>
      </c>
      <c r="I36" s="371">
        <v>0</v>
      </c>
      <c r="J36" s="371">
        <v>0</v>
      </c>
      <c r="K36" s="371">
        <v>0</v>
      </c>
      <c r="L36" s="371">
        <v>0</v>
      </c>
      <c r="M36" s="371">
        <v>0</v>
      </c>
      <c r="N36" s="371">
        <v>0</v>
      </c>
      <c r="O36" s="371">
        <v>0</v>
      </c>
      <c r="P36" s="371">
        <v>0</v>
      </c>
      <c r="Q36" s="371">
        <v>0</v>
      </c>
      <c r="R36" s="370">
        <v>0</v>
      </c>
      <c r="S36" s="369">
        <v>0</v>
      </c>
      <c r="T36" s="369">
        <v>0</v>
      </c>
      <c r="U36" s="369">
        <v>0</v>
      </c>
      <c r="V36" s="369">
        <v>0</v>
      </c>
      <c r="W36" s="369">
        <v>0</v>
      </c>
      <c r="X36" s="369">
        <v>0</v>
      </c>
      <c r="Y36" s="369">
        <v>0</v>
      </c>
      <c r="Z36" s="369">
        <v>0</v>
      </c>
      <c r="AA36" s="369">
        <v>0</v>
      </c>
      <c r="AB36" s="369">
        <v>0</v>
      </c>
      <c r="AC36" s="369">
        <v>0</v>
      </c>
      <c r="AD36" s="369">
        <v>0</v>
      </c>
      <c r="AE36" s="369">
        <v>0</v>
      </c>
      <c r="AF36" s="391">
        <v>0</v>
      </c>
      <c r="AG36" s="362">
        <v>0</v>
      </c>
      <c r="AH36" s="362">
        <v>0</v>
      </c>
      <c r="AI36" s="362">
        <v>0</v>
      </c>
      <c r="AJ36" s="362">
        <v>0</v>
      </c>
      <c r="AK36" s="362">
        <v>0</v>
      </c>
      <c r="AL36" s="362">
        <v>0</v>
      </c>
      <c r="AM36" s="362">
        <v>0</v>
      </c>
      <c r="AN36" s="362">
        <v>0</v>
      </c>
      <c r="AO36" s="362">
        <v>0</v>
      </c>
      <c r="AP36" s="362">
        <v>0</v>
      </c>
      <c r="AQ36" s="362">
        <v>0</v>
      </c>
      <c r="AR36" s="362">
        <v>0</v>
      </c>
      <c r="AS36" s="362">
        <v>0</v>
      </c>
      <c r="AT36" s="362">
        <v>0</v>
      </c>
      <c r="AU36" s="362">
        <v>0</v>
      </c>
      <c r="AV36" s="362">
        <v>0</v>
      </c>
      <c r="AW36" s="362">
        <v>0</v>
      </c>
      <c r="AX36" s="362">
        <v>0</v>
      </c>
      <c r="AY36" s="362">
        <v>0</v>
      </c>
      <c r="AZ36" s="362">
        <v>0</v>
      </c>
      <c r="BA36" s="362">
        <v>0</v>
      </c>
      <c r="BB36" s="362">
        <v>0</v>
      </c>
      <c r="BC36" s="362">
        <v>0</v>
      </c>
      <c r="BD36" s="362">
        <v>0</v>
      </c>
      <c r="BE36" s="362">
        <v>0</v>
      </c>
      <c r="BF36" s="362">
        <v>0</v>
      </c>
      <c r="BG36" s="362">
        <v>0</v>
      </c>
      <c r="BH36" s="362">
        <v>0</v>
      </c>
      <c r="BI36" s="362">
        <v>0</v>
      </c>
      <c r="BJ36" s="362">
        <v>0</v>
      </c>
      <c r="BK36" s="362">
        <v>0</v>
      </c>
      <c r="BL36" s="362">
        <v>0</v>
      </c>
      <c r="BM36" s="362">
        <v>0</v>
      </c>
      <c r="BN36" s="362">
        <v>0</v>
      </c>
      <c r="BO36" s="362">
        <v>0.1628127837816388</v>
      </c>
      <c r="BP36" s="362">
        <v>0</v>
      </c>
      <c r="BQ36" s="362">
        <v>0</v>
      </c>
      <c r="BR36" s="362">
        <v>0</v>
      </c>
      <c r="BS36" s="362">
        <v>0.12995889812847708</v>
      </c>
      <c r="BT36" s="362">
        <v>0</v>
      </c>
      <c r="BU36" s="362">
        <v>0.18292203580018818</v>
      </c>
      <c r="BV36" s="362">
        <v>0</v>
      </c>
      <c r="BW36" s="362">
        <v>0</v>
      </c>
      <c r="BX36" s="362">
        <v>0</v>
      </c>
      <c r="BY36" s="362">
        <v>0.13426107323750916</v>
      </c>
      <c r="BZ36" s="362">
        <v>0</v>
      </c>
      <c r="CA36" s="362">
        <v>0.17575647950717391</v>
      </c>
      <c r="CB36" s="362">
        <v>0</v>
      </c>
      <c r="CC36" s="362">
        <v>0</v>
      </c>
      <c r="CD36" s="362">
        <v>0</v>
      </c>
      <c r="CE36" s="362">
        <v>0.13387211918772948</v>
      </c>
      <c r="CF36" s="362">
        <v>0</v>
      </c>
      <c r="CG36" s="362">
        <v>0.18290132736073089</v>
      </c>
      <c r="CH36" s="362">
        <v>0</v>
      </c>
      <c r="CI36" s="362">
        <v>0</v>
      </c>
      <c r="CJ36" s="362">
        <v>0</v>
      </c>
      <c r="CK36" s="362">
        <v>0.13321652269075837</v>
      </c>
      <c r="CL36" s="362">
        <v>0</v>
      </c>
      <c r="CM36" s="362">
        <v>0</v>
      </c>
      <c r="CN36" s="362">
        <v>0</v>
      </c>
      <c r="CO36" s="362">
        <v>0.17157409213790026</v>
      </c>
      <c r="CP36" s="362">
        <v>0</v>
      </c>
      <c r="CQ36" s="362">
        <v>0.13042636373695277</v>
      </c>
      <c r="CR36" s="362">
        <v>0</v>
      </c>
      <c r="CS36" s="362">
        <v>0</v>
      </c>
      <c r="CT36" s="362">
        <v>0</v>
      </c>
      <c r="CU36" s="362">
        <v>0.16844036445719821</v>
      </c>
      <c r="CV36" s="362">
        <v>0</v>
      </c>
      <c r="CW36" s="362">
        <v>0.61359321317074167</v>
      </c>
      <c r="CX36" s="362">
        <v>0</v>
      </c>
      <c r="CY36" s="362">
        <v>0</v>
      </c>
      <c r="CZ36" s="362">
        <v>0</v>
      </c>
      <c r="DA36" s="362">
        <v>0.16236067042784125</v>
      </c>
      <c r="DB36" s="362">
        <v>0</v>
      </c>
      <c r="DC36" s="362">
        <v>0.11821791927995252</v>
      </c>
      <c r="DD36" s="362">
        <v>0</v>
      </c>
      <c r="DE36" s="362">
        <v>12.8582592819656</v>
      </c>
      <c r="DF36" s="362">
        <v>0</v>
      </c>
      <c r="DG36" s="362">
        <v>8.710889452220874</v>
      </c>
      <c r="DH36" s="362">
        <v>0</v>
      </c>
      <c r="DI36" s="362">
        <v>0.3826177629183356</v>
      </c>
      <c r="DJ36" s="362">
        <v>0</v>
      </c>
      <c r="DK36" s="362">
        <v>0.18852544698757398</v>
      </c>
      <c r="DL36" s="362">
        <v>0</v>
      </c>
      <c r="DM36" s="362">
        <v>0.25915364307754002</v>
      </c>
      <c r="DN36" s="362">
        <v>0.30318692702705718</v>
      </c>
      <c r="DO36" s="362">
        <v>0.18292145894542391</v>
      </c>
      <c r="DP36" s="362">
        <v>0</v>
      </c>
      <c r="DQ36" s="362">
        <v>0.20610958798491538</v>
      </c>
      <c r="DR36" s="362">
        <v>0</v>
      </c>
      <c r="DS36" s="362">
        <v>0.19045106535844988</v>
      </c>
      <c r="DT36" s="362">
        <v>0</v>
      </c>
      <c r="DU36" s="362">
        <v>0.37742099455194761</v>
      </c>
      <c r="DV36" s="362">
        <v>0</v>
      </c>
      <c r="DW36" s="362">
        <v>0.21157084692289654</v>
      </c>
      <c r="DX36" s="362">
        <v>0</v>
      </c>
      <c r="DY36" s="362">
        <v>0.21667032725675381</v>
      </c>
      <c r="DZ36" s="362">
        <v>0</v>
      </c>
      <c r="EA36" s="362">
        <v>0.23995633187772927</v>
      </c>
      <c r="EB36" s="362">
        <v>0</v>
      </c>
      <c r="EC36" s="362">
        <v>0.34524456521739127</v>
      </c>
      <c r="ED36" s="362">
        <v>0</v>
      </c>
      <c r="EE36" s="362">
        <v>0.21927390412017297</v>
      </c>
      <c r="EF36" s="362">
        <v>0</v>
      </c>
      <c r="EG36" s="362">
        <v>0.18837994340413641</v>
      </c>
      <c r="EH36" s="362">
        <v>0</v>
      </c>
      <c r="EI36" s="362">
        <v>0.10477814797186526</v>
      </c>
      <c r="EJ36" s="362">
        <v>0</v>
      </c>
    </row>
    <row r="37" spans="1:140" s="367" customFormat="1" ht="17.25" x14ac:dyDescent="0.3">
      <c r="A37" s="366" t="s">
        <v>203</v>
      </c>
      <c r="B37" s="365" t="s">
        <v>202</v>
      </c>
      <c r="C37" s="371"/>
      <c r="D37" s="371"/>
      <c r="E37" s="371"/>
      <c r="F37" s="371"/>
      <c r="G37" s="371"/>
      <c r="H37" s="371"/>
      <c r="I37" s="371"/>
      <c r="J37" s="371"/>
      <c r="K37" s="372"/>
      <c r="L37" s="371"/>
      <c r="M37" s="371"/>
      <c r="N37" s="371"/>
      <c r="O37" s="372"/>
      <c r="P37" s="371"/>
      <c r="Q37" s="371"/>
      <c r="R37" s="370"/>
      <c r="S37" s="369"/>
      <c r="T37" s="369"/>
      <c r="U37" s="369"/>
      <c r="V37" s="369"/>
      <c r="W37" s="369"/>
      <c r="X37" s="369"/>
      <c r="Y37" s="369"/>
      <c r="Z37" s="369"/>
      <c r="AA37" s="369"/>
      <c r="AB37" s="369"/>
      <c r="AC37" s="369"/>
      <c r="AD37" s="369"/>
      <c r="AE37" s="369"/>
      <c r="AF37" s="369"/>
      <c r="AG37" s="368"/>
      <c r="AH37" s="362"/>
      <c r="AI37" s="362"/>
      <c r="AJ37" s="362"/>
      <c r="AK37" s="362"/>
      <c r="AL37" s="362"/>
      <c r="AM37" s="362"/>
      <c r="AN37" s="362"/>
      <c r="AO37" s="362"/>
      <c r="AP37" s="362"/>
      <c r="AQ37" s="362"/>
      <c r="AR37" s="362"/>
      <c r="AS37" s="362"/>
      <c r="AT37" s="362"/>
      <c r="AU37" s="362"/>
      <c r="AV37" s="362"/>
      <c r="AW37" s="362"/>
      <c r="AX37" s="362"/>
      <c r="AY37" s="362"/>
      <c r="AZ37" s="362"/>
      <c r="BA37" s="362"/>
      <c r="BB37" s="362"/>
      <c r="BC37" s="362"/>
      <c r="BD37" s="362"/>
      <c r="BE37" s="362"/>
      <c r="BF37" s="362"/>
      <c r="BG37" s="362"/>
      <c r="BH37" s="362"/>
      <c r="BI37" s="362"/>
      <c r="BJ37" s="362"/>
      <c r="BK37" s="362"/>
      <c r="BL37" s="362"/>
      <c r="BM37" s="362"/>
      <c r="BN37" s="362"/>
      <c r="BO37" s="362"/>
      <c r="BP37" s="362"/>
      <c r="BQ37" s="362"/>
      <c r="BR37" s="362"/>
      <c r="BS37" s="362"/>
      <c r="BT37" s="362"/>
      <c r="BU37" s="362"/>
      <c r="BV37" s="362"/>
      <c r="BW37" s="362"/>
      <c r="BX37" s="362"/>
      <c r="BY37" s="362"/>
      <c r="BZ37" s="362"/>
      <c r="CA37" s="362"/>
      <c r="CB37" s="362"/>
      <c r="CC37" s="362"/>
      <c r="CD37" s="362"/>
      <c r="CE37" s="362"/>
      <c r="CF37" s="362"/>
      <c r="CG37" s="362"/>
      <c r="CH37" s="362"/>
      <c r="CI37" s="362"/>
      <c r="CJ37" s="362"/>
      <c r="CK37" s="362"/>
      <c r="CL37" s="362"/>
      <c r="CM37" s="362"/>
      <c r="CN37" s="362"/>
      <c r="CO37" s="362"/>
      <c r="CP37" s="362"/>
      <c r="CQ37" s="362"/>
      <c r="CR37" s="362"/>
      <c r="CS37" s="362"/>
      <c r="CT37" s="362"/>
      <c r="CU37" s="362"/>
      <c r="CV37" s="362"/>
      <c r="CW37" s="362"/>
      <c r="CX37" s="362"/>
      <c r="CY37" s="362"/>
      <c r="CZ37" s="362"/>
      <c r="DA37" s="362"/>
      <c r="DB37" s="362"/>
      <c r="DC37" s="362"/>
      <c r="DD37" s="362"/>
      <c r="DE37" s="362"/>
      <c r="DF37" s="362"/>
      <c r="DG37" s="362"/>
      <c r="DH37" s="362"/>
      <c r="DI37" s="362"/>
      <c r="DJ37" s="362"/>
      <c r="DK37" s="362">
        <v>0</v>
      </c>
      <c r="DL37" s="362">
        <v>0</v>
      </c>
      <c r="DM37" s="362">
        <v>0</v>
      </c>
      <c r="DN37" s="362">
        <v>0</v>
      </c>
      <c r="DO37" s="362">
        <v>0</v>
      </c>
      <c r="DP37" s="362">
        <v>0</v>
      </c>
      <c r="DQ37" s="362">
        <v>0</v>
      </c>
      <c r="DR37" s="362">
        <v>0</v>
      </c>
      <c r="DS37" s="362">
        <v>0</v>
      </c>
      <c r="DT37" s="362">
        <v>0</v>
      </c>
      <c r="DU37" s="362">
        <v>0</v>
      </c>
      <c r="DV37" s="362">
        <v>0</v>
      </c>
      <c r="DW37" s="362">
        <v>0</v>
      </c>
      <c r="DX37" s="362">
        <v>0</v>
      </c>
      <c r="DY37" s="362">
        <v>0</v>
      </c>
      <c r="DZ37" s="362">
        <v>0</v>
      </c>
      <c r="EA37" s="362">
        <v>0</v>
      </c>
      <c r="EB37" s="362">
        <v>0</v>
      </c>
      <c r="EC37" s="362">
        <v>0</v>
      </c>
      <c r="ED37" s="362">
        <v>0</v>
      </c>
      <c r="EE37" s="362">
        <v>0</v>
      </c>
      <c r="EF37" s="362">
        <v>0</v>
      </c>
      <c r="EG37" s="362">
        <v>0</v>
      </c>
      <c r="EH37" s="362">
        <v>0</v>
      </c>
      <c r="EI37" s="362">
        <v>0</v>
      </c>
      <c r="EJ37" s="362">
        <v>0</v>
      </c>
    </row>
    <row r="38" spans="1:140" ht="17.25" x14ac:dyDescent="0.3">
      <c r="A38" s="366" t="s">
        <v>195</v>
      </c>
      <c r="B38" s="365" t="s">
        <v>194</v>
      </c>
      <c r="C38" s="371">
        <v>0</v>
      </c>
      <c r="D38" s="371">
        <v>0</v>
      </c>
      <c r="E38" s="371">
        <v>0</v>
      </c>
      <c r="F38" s="371">
        <v>0</v>
      </c>
      <c r="G38" s="371">
        <v>0</v>
      </c>
      <c r="H38" s="371">
        <v>0</v>
      </c>
      <c r="I38" s="371">
        <v>0</v>
      </c>
      <c r="J38" s="371">
        <v>0</v>
      </c>
      <c r="K38" s="371">
        <v>1.3707889508815885</v>
      </c>
      <c r="L38" s="371">
        <v>0</v>
      </c>
      <c r="M38" s="371">
        <v>0</v>
      </c>
      <c r="N38" s="371">
        <v>0</v>
      </c>
      <c r="O38" s="371">
        <v>0</v>
      </c>
      <c r="P38" s="371">
        <v>0</v>
      </c>
      <c r="Q38" s="371">
        <v>0</v>
      </c>
      <c r="R38" s="370">
        <v>0</v>
      </c>
      <c r="S38" s="369">
        <v>0</v>
      </c>
      <c r="T38" s="369">
        <v>0</v>
      </c>
      <c r="U38" s="369">
        <v>0</v>
      </c>
      <c r="V38" s="369">
        <v>0</v>
      </c>
      <c r="W38" s="369">
        <v>0</v>
      </c>
      <c r="X38" s="369">
        <v>0</v>
      </c>
      <c r="Y38" s="369">
        <v>0</v>
      </c>
      <c r="Z38" s="369">
        <v>0</v>
      </c>
      <c r="AA38" s="369">
        <v>0</v>
      </c>
      <c r="AB38" s="369">
        <v>0</v>
      </c>
      <c r="AC38" s="369">
        <v>0</v>
      </c>
      <c r="AD38" s="369">
        <v>0</v>
      </c>
      <c r="AE38" s="369">
        <v>0</v>
      </c>
      <c r="AF38" s="391">
        <v>0</v>
      </c>
      <c r="AG38" s="362">
        <v>0</v>
      </c>
      <c r="AH38" s="362">
        <v>0</v>
      </c>
      <c r="AI38" s="362">
        <v>0</v>
      </c>
      <c r="AJ38" s="362">
        <v>0</v>
      </c>
      <c r="AK38" s="362">
        <v>0</v>
      </c>
      <c r="AL38" s="362">
        <v>0</v>
      </c>
      <c r="AM38" s="362">
        <v>0</v>
      </c>
      <c r="AN38" s="362">
        <v>0</v>
      </c>
      <c r="AO38" s="362">
        <v>0.15429783293287083</v>
      </c>
      <c r="AP38" s="362">
        <v>0</v>
      </c>
      <c r="AQ38" s="362">
        <v>0</v>
      </c>
      <c r="AR38" s="362">
        <v>5.4748756349471281E-2</v>
      </c>
      <c r="AS38" s="362">
        <v>0</v>
      </c>
      <c r="AT38" s="362">
        <v>0</v>
      </c>
      <c r="AU38" s="362">
        <v>0</v>
      </c>
      <c r="AV38" s="362">
        <v>0</v>
      </c>
      <c r="AW38" s="362">
        <v>0</v>
      </c>
      <c r="AX38" s="362">
        <v>0</v>
      </c>
      <c r="AY38" s="362">
        <v>0.16602513721269063</v>
      </c>
      <c r="AZ38" s="362">
        <v>0</v>
      </c>
      <c r="BA38" s="362">
        <v>0.32390731291816205</v>
      </c>
      <c r="BB38" s="362">
        <v>0</v>
      </c>
      <c r="BC38" s="362">
        <v>0</v>
      </c>
      <c r="BD38" s="362">
        <v>0</v>
      </c>
      <c r="BE38" s="362">
        <v>0</v>
      </c>
      <c r="BF38" s="362">
        <v>0.30215010459680247</v>
      </c>
      <c r="BG38" s="362">
        <v>0</v>
      </c>
      <c r="BH38" s="362">
        <v>0.13207962137624377</v>
      </c>
      <c r="BI38" s="362">
        <v>0</v>
      </c>
      <c r="BJ38" s="362">
        <v>0</v>
      </c>
      <c r="BK38" s="362">
        <v>0</v>
      </c>
      <c r="BL38" s="362">
        <v>0</v>
      </c>
      <c r="BM38" s="362">
        <v>0</v>
      </c>
      <c r="BN38" s="362">
        <v>0</v>
      </c>
      <c r="BO38" s="362">
        <v>0</v>
      </c>
      <c r="BP38" s="362">
        <v>0</v>
      </c>
      <c r="BQ38" s="362">
        <v>0.5554358936403071</v>
      </c>
      <c r="BR38" s="362">
        <v>0</v>
      </c>
      <c r="BS38" s="362">
        <v>0</v>
      </c>
      <c r="BT38" s="362">
        <v>0.37352699426211178</v>
      </c>
      <c r="BU38" s="362">
        <v>0</v>
      </c>
      <c r="BV38" s="362">
        <v>0.31641550552740194</v>
      </c>
      <c r="BW38" s="362">
        <v>0</v>
      </c>
      <c r="BX38" s="362">
        <v>0.26246532310684584</v>
      </c>
      <c r="BY38" s="362">
        <v>0</v>
      </c>
      <c r="BZ38" s="362">
        <v>0</v>
      </c>
      <c r="CA38" s="362">
        <v>0</v>
      </c>
      <c r="CB38" s="362">
        <v>0</v>
      </c>
      <c r="CC38" s="362">
        <v>0</v>
      </c>
      <c r="CD38" s="362">
        <v>0</v>
      </c>
      <c r="CE38" s="362">
        <v>0</v>
      </c>
      <c r="CF38" s="362">
        <v>0</v>
      </c>
      <c r="CG38" s="362">
        <v>0</v>
      </c>
      <c r="CH38" s="362">
        <v>0</v>
      </c>
      <c r="CI38" s="362">
        <v>0</v>
      </c>
      <c r="CJ38" s="362">
        <v>0</v>
      </c>
      <c r="CK38" s="362">
        <v>0</v>
      </c>
      <c r="CL38" s="362">
        <v>0</v>
      </c>
      <c r="CM38" s="362">
        <v>0</v>
      </c>
      <c r="CN38" s="362">
        <v>0</v>
      </c>
      <c r="CO38" s="362">
        <v>0</v>
      </c>
      <c r="CP38" s="362">
        <v>0</v>
      </c>
      <c r="CQ38" s="362">
        <v>0</v>
      </c>
      <c r="CR38" s="362">
        <v>0</v>
      </c>
      <c r="CS38" s="362">
        <v>0</v>
      </c>
      <c r="CT38" s="362">
        <v>0</v>
      </c>
      <c r="CU38" s="362">
        <v>0</v>
      </c>
      <c r="CV38" s="362">
        <v>0</v>
      </c>
      <c r="CW38" s="362">
        <v>0</v>
      </c>
      <c r="CX38" s="362">
        <v>0</v>
      </c>
      <c r="CY38" s="362">
        <v>0</v>
      </c>
      <c r="CZ38" s="362">
        <v>0</v>
      </c>
      <c r="DA38" s="362">
        <v>0</v>
      </c>
      <c r="DB38" s="362">
        <v>0</v>
      </c>
      <c r="DC38" s="362">
        <v>0</v>
      </c>
      <c r="DD38" s="362">
        <v>0</v>
      </c>
      <c r="DE38" s="362">
        <v>0</v>
      </c>
      <c r="DF38" s="362">
        <v>0</v>
      </c>
      <c r="DG38" s="362">
        <v>0</v>
      </c>
      <c r="DH38" s="362">
        <v>0</v>
      </c>
      <c r="DI38" s="362">
        <v>0</v>
      </c>
      <c r="DJ38" s="362">
        <v>0</v>
      </c>
      <c r="DK38" s="362">
        <v>0</v>
      </c>
      <c r="DL38" s="362">
        <v>0</v>
      </c>
      <c r="DM38" s="362">
        <v>0</v>
      </c>
      <c r="DN38" s="362">
        <v>0</v>
      </c>
      <c r="DO38" s="362">
        <v>0</v>
      </c>
      <c r="DP38" s="362">
        <v>0</v>
      </c>
      <c r="DQ38" s="362">
        <v>0</v>
      </c>
      <c r="DR38" s="362">
        <v>0</v>
      </c>
      <c r="DS38" s="362">
        <v>0</v>
      </c>
      <c r="DT38" s="362">
        <v>0</v>
      </c>
      <c r="DU38" s="362">
        <v>0</v>
      </c>
      <c r="DV38" s="362">
        <v>0</v>
      </c>
      <c r="DW38" s="362">
        <v>0</v>
      </c>
      <c r="DX38" s="362">
        <v>0</v>
      </c>
      <c r="DY38" s="362">
        <v>0</v>
      </c>
      <c r="DZ38" s="362">
        <v>0</v>
      </c>
      <c r="EA38" s="362">
        <v>0</v>
      </c>
      <c r="EB38" s="362">
        <v>0</v>
      </c>
      <c r="EC38" s="362">
        <v>0</v>
      </c>
      <c r="ED38" s="362">
        <v>0</v>
      </c>
      <c r="EE38" s="362">
        <v>0</v>
      </c>
      <c r="EF38" s="362">
        <v>0</v>
      </c>
      <c r="EG38" s="362">
        <v>0</v>
      </c>
      <c r="EH38" s="362">
        <v>0</v>
      </c>
      <c r="EI38" s="362">
        <v>0</v>
      </c>
      <c r="EJ38" s="362">
        <v>0</v>
      </c>
    </row>
    <row r="39" spans="1:140" ht="18" thickBot="1" x14ac:dyDescent="0.35">
      <c r="A39" s="364"/>
      <c r="B39" s="363" t="s">
        <v>189</v>
      </c>
      <c r="C39" s="371">
        <v>0</v>
      </c>
      <c r="D39" s="371">
        <v>0</v>
      </c>
      <c r="E39" s="371">
        <v>0</v>
      </c>
      <c r="F39" s="371">
        <v>0</v>
      </c>
      <c r="G39" s="371">
        <v>0</v>
      </c>
      <c r="H39" s="371">
        <v>0</v>
      </c>
      <c r="I39" s="371">
        <v>0</v>
      </c>
      <c r="J39" s="371">
        <v>0</v>
      </c>
      <c r="K39" s="371">
        <v>0</v>
      </c>
      <c r="L39" s="371">
        <v>0</v>
      </c>
      <c r="M39" s="371">
        <v>0</v>
      </c>
      <c r="N39" s="371">
        <v>0</v>
      </c>
      <c r="O39" s="371">
        <v>0</v>
      </c>
      <c r="P39" s="371">
        <v>0</v>
      </c>
      <c r="Q39" s="371">
        <v>0</v>
      </c>
      <c r="R39" s="370">
        <v>0</v>
      </c>
      <c r="S39" s="369">
        <v>0</v>
      </c>
      <c r="T39" s="369">
        <v>0</v>
      </c>
      <c r="U39" s="369">
        <v>0</v>
      </c>
      <c r="V39" s="369">
        <v>0</v>
      </c>
      <c r="W39" s="390">
        <v>0</v>
      </c>
      <c r="X39" s="390">
        <v>0</v>
      </c>
      <c r="Y39" s="390">
        <v>0</v>
      </c>
      <c r="Z39" s="390">
        <v>0</v>
      </c>
      <c r="AA39" s="390">
        <v>0</v>
      </c>
      <c r="AB39" s="390">
        <v>0</v>
      </c>
      <c r="AC39" s="390">
        <v>0</v>
      </c>
      <c r="AD39" s="390">
        <v>0</v>
      </c>
      <c r="AE39" s="390">
        <v>0</v>
      </c>
      <c r="AF39" s="389">
        <v>0</v>
      </c>
      <c r="AG39" s="361">
        <v>0</v>
      </c>
      <c r="AH39" s="361">
        <v>0</v>
      </c>
      <c r="AI39" s="361">
        <v>0</v>
      </c>
      <c r="AJ39" s="361">
        <v>0</v>
      </c>
      <c r="AK39" s="361">
        <v>0</v>
      </c>
      <c r="AL39" s="361">
        <v>0</v>
      </c>
      <c r="AM39" s="361">
        <v>0</v>
      </c>
      <c r="AN39" s="361">
        <v>0</v>
      </c>
      <c r="AO39" s="361">
        <v>0</v>
      </c>
      <c r="AP39" s="361">
        <v>0</v>
      </c>
      <c r="AQ39" s="361">
        <v>0</v>
      </c>
      <c r="AR39" s="361">
        <v>0</v>
      </c>
      <c r="AS39" s="361">
        <v>0</v>
      </c>
      <c r="AT39" s="361">
        <v>0</v>
      </c>
      <c r="AU39" s="361">
        <v>0</v>
      </c>
      <c r="AV39" s="361">
        <v>0</v>
      </c>
      <c r="AW39" s="361">
        <v>0</v>
      </c>
      <c r="AX39" s="361">
        <v>0</v>
      </c>
      <c r="AY39" s="361">
        <v>0</v>
      </c>
      <c r="AZ39" s="361">
        <v>0</v>
      </c>
      <c r="BA39" s="361">
        <v>0</v>
      </c>
      <c r="BB39" s="361">
        <v>0</v>
      </c>
      <c r="BC39" s="361">
        <v>0</v>
      </c>
      <c r="BD39" s="361">
        <v>0</v>
      </c>
      <c r="BE39" s="361">
        <v>0</v>
      </c>
      <c r="BF39" s="361">
        <v>0</v>
      </c>
      <c r="BG39" s="361">
        <v>0</v>
      </c>
      <c r="BH39" s="361">
        <v>0.213672450974492</v>
      </c>
      <c r="BI39" s="361">
        <v>0</v>
      </c>
      <c r="BJ39" s="361">
        <v>0</v>
      </c>
      <c r="BK39" s="361">
        <v>0</v>
      </c>
      <c r="BL39" s="361">
        <v>0</v>
      </c>
      <c r="BM39" s="361">
        <v>0</v>
      </c>
      <c r="BN39" s="361">
        <v>0</v>
      </c>
      <c r="BO39" s="361">
        <v>0</v>
      </c>
      <c r="BP39" s="361">
        <v>0</v>
      </c>
      <c r="BQ39" s="361">
        <v>0</v>
      </c>
      <c r="BR39" s="361">
        <v>0</v>
      </c>
      <c r="BS39" s="361">
        <v>0</v>
      </c>
      <c r="BT39" s="361">
        <v>0</v>
      </c>
      <c r="BU39" s="361">
        <v>0</v>
      </c>
      <c r="BV39" s="361">
        <v>0</v>
      </c>
      <c r="BW39" s="361">
        <v>0</v>
      </c>
      <c r="BX39" s="361">
        <v>0</v>
      </c>
      <c r="BY39" s="361">
        <v>0</v>
      </c>
      <c r="BZ39" s="361">
        <v>0</v>
      </c>
      <c r="CA39" s="361">
        <v>0</v>
      </c>
      <c r="CB39" s="361">
        <v>0</v>
      </c>
      <c r="CC39" s="361">
        <v>0</v>
      </c>
      <c r="CD39" s="361">
        <v>0</v>
      </c>
      <c r="CE39" s="361">
        <v>0</v>
      </c>
      <c r="CF39" s="361">
        <v>0</v>
      </c>
      <c r="CG39" s="361">
        <v>0</v>
      </c>
      <c r="CH39" s="361">
        <v>0</v>
      </c>
      <c r="CI39" s="361">
        <v>0.47177857975578374</v>
      </c>
      <c r="CJ39" s="361">
        <v>0</v>
      </c>
      <c r="CK39" s="361">
        <v>0</v>
      </c>
      <c r="CL39" s="361">
        <v>0</v>
      </c>
      <c r="CM39" s="361">
        <v>0</v>
      </c>
      <c r="CN39" s="361">
        <v>0</v>
      </c>
      <c r="CO39" s="361">
        <v>0</v>
      </c>
      <c r="CP39" s="361">
        <v>0</v>
      </c>
      <c r="CQ39" s="361">
        <v>0</v>
      </c>
      <c r="CR39" s="361">
        <v>0</v>
      </c>
      <c r="CS39" s="361">
        <v>0</v>
      </c>
      <c r="CT39" s="361">
        <v>0</v>
      </c>
      <c r="CU39" s="361">
        <v>0</v>
      </c>
      <c r="CV39" s="361">
        <v>0</v>
      </c>
      <c r="CW39" s="361">
        <v>0</v>
      </c>
      <c r="CX39" s="361">
        <v>0</v>
      </c>
      <c r="CY39" s="361">
        <v>0</v>
      </c>
      <c r="CZ39" s="361">
        <v>0</v>
      </c>
      <c r="DA39" s="361">
        <v>0</v>
      </c>
      <c r="DB39" s="361">
        <v>0</v>
      </c>
      <c r="DC39" s="361">
        <v>0</v>
      </c>
      <c r="DD39" s="361">
        <v>0</v>
      </c>
      <c r="DE39" s="361">
        <v>0</v>
      </c>
      <c r="DF39" s="361">
        <v>0</v>
      </c>
      <c r="DG39" s="361">
        <v>0</v>
      </c>
      <c r="DH39" s="361">
        <v>0</v>
      </c>
      <c r="DI39" s="361">
        <v>0</v>
      </c>
      <c r="DJ39" s="361">
        <v>0</v>
      </c>
      <c r="DK39" s="361">
        <v>0</v>
      </c>
      <c r="DL39" s="361">
        <v>0</v>
      </c>
      <c r="DM39" s="361">
        <v>0</v>
      </c>
      <c r="DN39" s="361">
        <v>0</v>
      </c>
      <c r="DO39" s="361">
        <v>0</v>
      </c>
      <c r="DP39" s="361">
        <v>0.91842832075842396</v>
      </c>
      <c r="DQ39" s="361">
        <v>0.13606090554645456</v>
      </c>
      <c r="DR39" s="361">
        <v>0</v>
      </c>
      <c r="DS39" s="361">
        <v>0</v>
      </c>
      <c r="DT39" s="361">
        <v>0</v>
      </c>
      <c r="DU39" s="361">
        <v>0</v>
      </c>
      <c r="DV39" s="361">
        <v>0</v>
      </c>
      <c r="DW39" s="361">
        <v>0.1279017672579992</v>
      </c>
      <c r="DX39" s="361">
        <v>0</v>
      </c>
      <c r="DY39" s="361">
        <v>0</v>
      </c>
      <c r="DZ39" s="361">
        <v>0</v>
      </c>
      <c r="EA39" s="361">
        <v>0</v>
      </c>
      <c r="EB39" s="361">
        <v>0</v>
      </c>
      <c r="EC39" s="361">
        <v>0.1304347796521739</v>
      </c>
      <c r="ED39" s="361">
        <v>0</v>
      </c>
      <c r="EE39" s="361">
        <v>0</v>
      </c>
      <c r="EF39" s="361">
        <v>0</v>
      </c>
      <c r="EG39" s="361">
        <v>0</v>
      </c>
      <c r="EH39" s="361">
        <v>0</v>
      </c>
      <c r="EI39" s="361">
        <v>0.13221217766671953</v>
      </c>
      <c r="EJ39" s="361">
        <v>0</v>
      </c>
    </row>
    <row r="40" spans="1:140" ht="18" thickBot="1" x14ac:dyDescent="0.35">
      <c r="A40" s="388"/>
      <c r="B40" s="381" t="s">
        <v>250</v>
      </c>
      <c r="C40" s="387">
        <v>334.88648081526691</v>
      </c>
      <c r="D40" s="387">
        <v>8.7601427590511722</v>
      </c>
      <c r="E40" s="387">
        <v>394.28974506791479</v>
      </c>
      <c r="F40" s="387">
        <v>17.203871293365157</v>
      </c>
      <c r="G40" s="387">
        <v>367.75350521502997</v>
      </c>
      <c r="H40" s="387">
        <v>4.7924009355785442</v>
      </c>
      <c r="I40" s="387">
        <v>268.36206003582259</v>
      </c>
      <c r="J40" s="387">
        <v>9.4201172598437974</v>
      </c>
      <c r="K40" s="387">
        <v>249.81750968225415</v>
      </c>
      <c r="L40" s="387">
        <v>21.712707676584692</v>
      </c>
      <c r="M40" s="387">
        <v>206.60226386111552</v>
      </c>
      <c r="N40" s="387">
        <v>3.895074234976855</v>
      </c>
      <c r="O40" s="387">
        <v>248.44264440024978</v>
      </c>
      <c r="P40" s="387">
        <v>7.2731451684254997</v>
      </c>
      <c r="Q40" s="387">
        <v>228.03754210954537</v>
      </c>
      <c r="R40" s="386">
        <v>1.1842642450179004</v>
      </c>
      <c r="S40" s="385">
        <v>213.92077468175177</v>
      </c>
      <c r="T40" s="385">
        <v>2.3635099337771375</v>
      </c>
      <c r="U40" s="385">
        <v>203.41426809553406</v>
      </c>
      <c r="V40" s="385">
        <v>2.7642111083056236</v>
      </c>
      <c r="W40" s="384">
        <v>137.04874653432145</v>
      </c>
      <c r="X40" s="384">
        <v>3.2698691866421261</v>
      </c>
      <c r="Y40" s="384">
        <v>137.11669372114548</v>
      </c>
      <c r="Z40" s="384">
        <v>2.4344126216390656</v>
      </c>
      <c r="AA40" s="384">
        <v>148.55518026588976</v>
      </c>
      <c r="AB40" s="384">
        <v>8.8744636281830047</v>
      </c>
      <c r="AC40" s="384">
        <v>198.92992247584738</v>
      </c>
      <c r="AD40" s="384">
        <v>0.48088174148417956</v>
      </c>
      <c r="AE40" s="384">
        <v>288.73605071471519</v>
      </c>
      <c r="AF40" s="383">
        <v>6.5519299145359646</v>
      </c>
      <c r="AG40" s="354">
        <v>316.14429484567046</v>
      </c>
      <c r="AH40" s="354">
        <v>1.124289144004367</v>
      </c>
      <c r="AI40" s="354">
        <v>307.77188080391198</v>
      </c>
      <c r="AJ40" s="354">
        <v>1.4199076106800868</v>
      </c>
      <c r="AK40" s="354">
        <v>51.772794009139659</v>
      </c>
      <c r="AL40" s="354">
        <v>23.357327037097029</v>
      </c>
      <c r="AM40" s="354">
        <v>362.45457413650905</v>
      </c>
      <c r="AN40" s="354">
        <v>1.9202752335907354</v>
      </c>
      <c r="AO40" s="354">
        <v>274.22280724642565</v>
      </c>
      <c r="AP40" s="354">
        <v>3.2779402194687051</v>
      </c>
      <c r="AQ40" s="354">
        <v>132.48979871850869</v>
      </c>
      <c r="AR40" s="354">
        <v>1.334762396808012</v>
      </c>
      <c r="AS40" s="354">
        <v>86.380064452428229</v>
      </c>
      <c r="AT40" s="354">
        <v>3.9457911189792387</v>
      </c>
      <c r="AU40" s="354">
        <v>59.757577914346513</v>
      </c>
      <c r="AV40" s="354">
        <v>5.2811631378890436</v>
      </c>
      <c r="AW40" s="354">
        <v>91.390372779993015</v>
      </c>
      <c r="AX40" s="354">
        <v>2.3243661204935382</v>
      </c>
      <c r="AY40" s="354">
        <v>113.67199070420646</v>
      </c>
      <c r="AZ40" s="354">
        <v>4.7991150363313837</v>
      </c>
      <c r="BA40" s="354">
        <v>97.366774414032804</v>
      </c>
      <c r="BB40" s="354">
        <v>0.83246823999092168</v>
      </c>
      <c r="BC40" s="354">
        <v>84.638386629550439</v>
      </c>
      <c r="BD40" s="354">
        <v>3.801464561512907</v>
      </c>
      <c r="BE40" s="354">
        <v>61.359288023094415</v>
      </c>
      <c r="BF40" s="354">
        <v>2.4244072288652569</v>
      </c>
      <c r="BG40" s="354">
        <v>61.059005934032463</v>
      </c>
      <c r="BH40" s="354">
        <v>9.2964392627992929</v>
      </c>
      <c r="BI40" s="354">
        <v>88.807657315535067</v>
      </c>
      <c r="BJ40" s="354">
        <v>24.066499390404136</v>
      </c>
      <c r="BK40" s="354">
        <v>59.110937862218314</v>
      </c>
      <c r="BL40" s="354">
        <v>35.737452536441118</v>
      </c>
      <c r="BM40" s="354">
        <v>25.779287578604688</v>
      </c>
      <c r="BN40" s="354">
        <v>19.772721278551021</v>
      </c>
      <c r="BO40" s="354">
        <v>21.006911466514442</v>
      </c>
      <c r="BP40" s="354">
        <v>28.600226645452146</v>
      </c>
      <c r="BQ40" s="354">
        <v>30.273089072004794</v>
      </c>
      <c r="BR40" s="354">
        <v>35.074219825695856</v>
      </c>
      <c r="BS40" s="354">
        <v>48.327478789687106</v>
      </c>
      <c r="BT40" s="354">
        <v>68.863802324811473</v>
      </c>
      <c r="BU40" s="354">
        <v>53.893422694383531</v>
      </c>
      <c r="BV40" s="354">
        <v>46.514556207376998</v>
      </c>
      <c r="BW40" s="354">
        <v>44.227931494530672</v>
      </c>
      <c r="BX40" s="354">
        <v>15.560451131686682</v>
      </c>
      <c r="BY40" s="354">
        <v>36.481144370673455</v>
      </c>
      <c r="BZ40" s="354">
        <v>10.255465936341261</v>
      </c>
      <c r="CA40" s="354">
        <v>47.580632126769331</v>
      </c>
      <c r="CB40" s="354">
        <v>9.7526275182467099</v>
      </c>
      <c r="CC40" s="354">
        <v>40.452974157434376</v>
      </c>
      <c r="CD40" s="354">
        <v>2.1210111895251216</v>
      </c>
      <c r="CE40" s="354">
        <v>57.619277776803763</v>
      </c>
      <c r="CF40" s="354">
        <v>4.8670232651470062</v>
      </c>
      <c r="CG40" s="354">
        <v>65.907465321512916</v>
      </c>
      <c r="CH40" s="354">
        <v>4.7375255549087596</v>
      </c>
      <c r="CI40" s="353">
        <v>53.77284505885482</v>
      </c>
      <c r="CJ40" s="353">
        <v>15.938620466521289</v>
      </c>
      <c r="CK40" s="353">
        <v>62.067599591612911</v>
      </c>
      <c r="CL40" s="353">
        <v>21.238798990145991</v>
      </c>
      <c r="CM40" s="353">
        <v>65.055505848514585</v>
      </c>
      <c r="CN40" s="353">
        <v>21.847921020712821</v>
      </c>
      <c r="CO40" s="353">
        <v>59.040039753537158</v>
      </c>
      <c r="CP40" s="353">
        <v>10.256561506554071</v>
      </c>
      <c r="CQ40" s="353">
        <v>65.093685246219536</v>
      </c>
      <c r="CR40" s="353">
        <v>26.368697326928043</v>
      </c>
      <c r="CS40" s="353">
        <v>59.977117800710992</v>
      </c>
      <c r="CT40" s="353">
        <v>21.375113212951906</v>
      </c>
      <c r="CU40" s="353">
        <v>35.448597412408731</v>
      </c>
      <c r="CV40" s="353">
        <v>11.041701663475685</v>
      </c>
      <c r="CW40" s="353">
        <v>50.23887190516902</v>
      </c>
      <c r="CX40" s="353">
        <v>14.923191875336805</v>
      </c>
      <c r="CY40" s="353">
        <v>46.681601314178693</v>
      </c>
      <c r="CZ40" s="353">
        <v>12.974096829909268</v>
      </c>
      <c r="DA40" s="353">
        <v>56.284178607618678</v>
      </c>
      <c r="DB40" s="353">
        <v>7.4404031592494722</v>
      </c>
      <c r="DC40" s="353">
        <v>57.457591839105184</v>
      </c>
      <c r="DD40" s="353">
        <v>5.6439673935550969</v>
      </c>
      <c r="DE40" s="353">
        <v>54.431947407739521</v>
      </c>
      <c r="DF40" s="353">
        <v>13.830834583571937</v>
      </c>
      <c r="DG40" s="353">
        <v>49.170070206943684</v>
      </c>
      <c r="DH40" s="353">
        <v>18.060810156503912</v>
      </c>
      <c r="DI40" s="353">
        <v>56.164482999543182</v>
      </c>
      <c r="DJ40" s="353">
        <v>11.428531397724742</v>
      </c>
      <c r="DK40" s="353">
        <v>53.196988928831175</v>
      </c>
      <c r="DL40" s="353">
        <v>26.379413856147735</v>
      </c>
      <c r="DM40" s="353">
        <v>61.156636730887904</v>
      </c>
      <c r="DN40" s="353">
        <v>10.774019784028606</v>
      </c>
      <c r="DO40" s="353">
        <v>116.0488942599472</v>
      </c>
      <c r="DP40" s="353">
        <v>4.274777303218289</v>
      </c>
      <c r="DQ40" s="353">
        <v>228.26341912759332</v>
      </c>
      <c r="DR40" s="353">
        <v>8.0869706235648415</v>
      </c>
      <c r="DS40" s="353">
        <v>130.42022878865711</v>
      </c>
      <c r="DT40" s="353">
        <v>9.4848451883248401</v>
      </c>
      <c r="DU40" s="353">
        <v>187.802743795911</v>
      </c>
      <c r="DV40" s="353">
        <v>5.5798982503519081</v>
      </c>
      <c r="DW40" s="353">
        <v>247.71033040955942</v>
      </c>
      <c r="DX40" s="353">
        <v>13.314421990999977</v>
      </c>
      <c r="DY40" s="353">
        <f t="shared" ref="DY40:EF40" si="3">SUM(DY24:DY39)</f>
        <v>263.55691829919829</v>
      </c>
      <c r="DZ40" s="353">
        <f t="shared" si="3"/>
        <v>18.657826602710298</v>
      </c>
      <c r="EA40" s="353">
        <f t="shared" si="3"/>
        <v>253.17057794930128</v>
      </c>
      <c r="EB40" s="353">
        <f t="shared" si="3"/>
        <v>18.436660698689959</v>
      </c>
      <c r="EC40" s="353">
        <f>SUM(EC24:EC39)</f>
        <v>91.434495823840734</v>
      </c>
      <c r="ED40" s="353">
        <f t="shared" ref="ED40" si="4">SUM(ED24:ED39)</f>
        <v>20.502300545630433</v>
      </c>
      <c r="EE40" s="353">
        <f>SUM(EE24:EE39)</f>
        <v>75.270859306833287</v>
      </c>
      <c r="EF40" s="353">
        <f t="shared" si="3"/>
        <v>3.1854928820317276</v>
      </c>
      <c r="EG40" s="353">
        <f>SUM(EG24:EG39)</f>
        <v>111.11937928577852</v>
      </c>
      <c r="EH40" s="353">
        <f t="shared" ref="EH40:EJ40" si="5">SUM(EH24:EH39)</f>
        <v>6.1498105075723162</v>
      </c>
      <c r="EI40" s="353">
        <f>SUM(EI24:EI39)</f>
        <v>98.624616924249025</v>
      </c>
      <c r="EJ40" s="353">
        <f t="shared" si="5"/>
        <v>9.6169574232728685</v>
      </c>
    </row>
    <row r="41" spans="1:140" s="367" customFormat="1" ht="18" thickBot="1" x14ac:dyDescent="0.35">
      <c r="A41" s="3469" t="s">
        <v>239</v>
      </c>
      <c r="B41" s="3470"/>
      <c r="C41" s="3470"/>
      <c r="D41" s="3470"/>
      <c r="E41" s="3470"/>
      <c r="F41" s="3470"/>
      <c r="G41" s="3470"/>
      <c r="H41" s="3470"/>
      <c r="I41" s="3470"/>
      <c r="J41" s="3470"/>
      <c r="K41" s="3470"/>
      <c r="L41" s="3470"/>
      <c r="M41" s="3470"/>
      <c r="N41" s="3470"/>
      <c r="O41" s="3470"/>
      <c r="P41" s="3470"/>
      <c r="Q41" s="3470"/>
      <c r="R41" s="3470"/>
      <c r="S41" s="3470"/>
      <c r="T41" s="3470"/>
      <c r="U41" s="3470"/>
      <c r="V41" s="3470"/>
      <c r="W41" s="3470"/>
      <c r="X41" s="3470"/>
      <c r="Y41" s="3470"/>
      <c r="Z41" s="3470"/>
      <c r="AA41" s="3470"/>
      <c r="AB41" s="3470"/>
      <c r="AC41" s="3470"/>
      <c r="AD41" s="3470"/>
      <c r="AE41" s="3470"/>
      <c r="AF41" s="3470"/>
      <c r="AG41" s="3470"/>
      <c r="AH41" s="3470"/>
      <c r="AI41" s="3470"/>
      <c r="AJ41" s="3470"/>
      <c r="AK41" s="3470"/>
      <c r="AL41" s="3470"/>
      <c r="AM41" s="3470"/>
      <c r="AN41" s="3470"/>
      <c r="AO41" s="3470"/>
      <c r="AP41" s="3470"/>
      <c r="AQ41" s="3470"/>
      <c r="AR41" s="3470"/>
      <c r="AS41" s="3470"/>
      <c r="AT41" s="3470"/>
      <c r="AU41" s="3470"/>
      <c r="AV41" s="3470"/>
      <c r="AW41" s="3470"/>
      <c r="AX41" s="3470"/>
      <c r="AY41" s="3470"/>
      <c r="AZ41" s="3470"/>
      <c r="BA41" s="3470"/>
      <c r="BB41" s="3470"/>
      <c r="BC41" s="3470"/>
      <c r="BD41" s="3470"/>
      <c r="BE41" s="3470"/>
      <c r="BF41" s="3470"/>
      <c r="BG41" s="3470"/>
      <c r="BH41" s="3470"/>
      <c r="BI41" s="3470"/>
      <c r="BJ41" s="3470"/>
      <c r="BK41" s="3470"/>
      <c r="BL41" s="3470"/>
      <c r="BM41" s="3470"/>
      <c r="BN41" s="3470"/>
      <c r="BO41" s="3470"/>
      <c r="BP41" s="3470"/>
      <c r="BQ41" s="3470"/>
      <c r="BR41" s="3470"/>
      <c r="BS41" s="3470"/>
      <c r="BT41" s="3470"/>
      <c r="BU41" s="3470"/>
      <c r="BV41" s="3470"/>
      <c r="BW41" s="3470"/>
      <c r="BX41" s="3470"/>
      <c r="BY41" s="3470"/>
      <c r="BZ41" s="3470"/>
      <c r="CA41" s="3470"/>
      <c r="CB41" s="3470"/>
      <c r="CC41" s="3470"/>
      <c r="CD41" s="3470"/>
      <c r="CE41" s="3470"/>
      <c r="CF41" s="3470"/>
      <c r="CG41" s="3470"/>
      <c r="CH41" s="3470"/>
      <c r="CI41" s="3470"/>
      <c r="CJ41" s="3470"/>
      <c r="CK41" s="3470"/>
      <c r="CL41" s="3470"/>
      <c r="CM41" s="3470"/>
      <c r="CN41" s="3470"/>
      <c r="CO41" s="3470"/>
      <c r="CP41" s="3470"/>
      <c r="CQ41" s="3470"/>
      <c r="CR41" s="3470"/>
      <c r="CS41" s="3470"/>
      <c r="CT41" s="3472"/>
      <c r="CU41" s="377"/>
      <c r="CV41" s="377"/>
      <c r="CW41" s="377"/>
      <c r="CX41" s="376"/>
      <c r="CY41" s="377"/>
      <c r="CZ41" s="376"/>
      <c r="DA41" s="377"/>
      <c r="DB41" s="376"/>
      <c r="DC41" s="377"/>
      <c r="DD41" s="376"/>
      <c r="DE41" s="377"/>
      <c r="DF41" s="376"/>
      <c r="DG41" s="377"/>
      <c r="DH41" s="376"/>
      <c r="DI41" s="377"/>
      <c r="DJ41" s="376"/>
      <c r="DK41" s="377"/>
      <c r="DL41" s="376"/>
      <c r="DM41" s="377"/>
      <c r="DN41" s="376"/>
      <c r="DO41" s="377"/>
      <c r="DP41" s="376"/>
      <c r="DQ41" s="377"/>
      <c r="DR41" s="376"/>
      <c r="DS41" s="377"/>
      <c r="DT41" s="376"/>
      <c r="DU41" s="377"/>
      <c r="DV41" s="376"/>
      <c r="DW41" s="377"/>
      <c r="DX41" s="376"/>
      <c r="DY41" s="377"/>
      <c r="DZ41" s="376"/>
      <c r="EA41" s="377"/>
      <c r="EB41" s="376"/>
      <c r="EC41" s="377"/>
      <c r="ED41" s="376"/>
      <c r="EE41" s="377"/>
      <c r="EF41" s="376"/>
      <c r="EG41" s="377"/>
      <c r="EH41" s="376"/>
      <c r="EI41" s="377"/>
      <c r="EJ41" s="376"/>
    </row>
    <row r="42" spans="1:140" ht="17.25" x14ac:dyDescent="0.3">
      <c r="A42" s="375" t="s">
        <v>231</v>
      </c>
      <c r="B42" s="374" t="s">
        <v>230</v>
      </c>
      <c r="C42" s="362">
        <v>1.1006654367020208</v>
      </c>
      <c r="D42" s="362">
        <v>0</v>
      </c>
      <c r="E42" s="362">
        <v>0</v>
      </c>
      <c r="F42" s="362">
        <v>4.3293231654718621E-2</v>
      </c>
      <c r="G42" s="362">
        <v>4.2694163626687952E-2</v>
      </c>
      <c r="H42" s="362">
        <v>0</v>
      </c>
      <c r="I42" s="362">
        <v>0</v>
      </c>
      <c r="J42" s="362">
        <v>0</v>
      </c>
      <c r="K42" s="362">
        <v>10.561347474383373</v>
      </c>
      <c r="L42" s="362">
        <v>0</v>
      </c>
      <c r="M42" s="362">
        <v>7.1009611884094967</v>
      </c>
      <c r="N42" s="362">
        <v>0</v>
      </c>
      <c r="O42" s="362">
        <v>2.8328403837363796</v>
      </c>
      <c r="P42" s="362">
        <v>3.3015502962995172E-2</v>
      </c>
      <c r="Q42" s="362">
        <v>1.3628699516037615</v>
      </c>
      <c r="R42" s="362">
        <v>0</v>
      </c>
      <c r="S42" s="373">
        <v>0.63820627923430917</v>
      </c>
      <c r="T42" s="373">
        <v>0</v>
      </c>
      <c r="U42" s="373">
        <v>1.2561240054795779</v>
      </c>
      <c r="V42" s="373">
        <v>0</v>
      </c>
      <c r="W42" s="373">
        <v>0.61138072244487274</v>
      </c>
      <c r="X42" s="373">
        <v>0</v>
      </c>
      <c r="Y42" s="373">
        <v>0.56957106043941652</v>
      </c>
      <c r="Z42" s="373">
        <v>5.2027518445214915E-2</v>
      </c>
      <c r="AA42" s="373">
        <v>0.57368177398619336</v>
      </c>
      <c r="AB42" s="373">
        <v>1.1814939486659102</v>
      </c>
      <c r="AC42" s="373">
        <v>0.83674263502663915</v>
      </c>
      <c r="AD42" s="373">
        <v>0</v>
      </c>
      <c r="AE42" s="373">
        <v>0</v>
      </c>
      <c r="AF42" s="373">
        <v>8.4780560486595533E-2</v>
      </c>
      <c r="AG42" s="373">
        <v>0.94860431954004243</v>
      </c>
      <c r="AH42" s="373">
        <v>0</v>
      </c>
      <c r="AI42" s="373">
        <v>0.49667755397336144</v>
      </c>
      <c r="AJ42" s="373">
        <v>0</v>
      </c>
      <c r="AK42" s="373">
        <v>0.29270625304985126</v>
      </c>
      <c r="AL42" s="373">
        <v>4.1332880410739632E-2</v>
      </c>
      <c r="AM42" s="373">
        <v>0.27852083135008904</v>
      </c>
      <c r="AN42" s="373">
        <v>0</v>
      </c>
      <c r="AO42" s="373">
        <v>1.0524595875105625</v>
      </c>
      <c r="AP42" s="373">
        <v>0</v>
      </c>
      <c r="AQ42" s="373">
        <v>0.24313750361289391</v>
      </c>
      <c r="AR42" s="373">
        <v>0.20681951087988631</v>
      </c>
      <c r="AS42" s="373">
        <v>0.24985340779976359</v>
      </c>
      <c r="AT42" s="373">
        <v>0</v>
      </c>
      <c r="AU42" s="373">
        <v>0.24776135855977757</v>
      </c>
      <c r="AV42" s="373">
        <v>0</v>
      </c>
      <c r="AW42" s="373">
        <v>0</v>
      </c>
      <c r="AX42" s="373">
        <v>0</v>
      </c>
      <c r="AY42" s="373">
        <v>0.11980427438275967</v>
      </c>
      <c r="AZ42" s="373">
        <v>0</v>
      </c>
      <c r="BA42" s="373">
        <v>0</v>
      </c>
      <c r="BB42" s="373">
        <v>0</v>
      </c>
      <c r="BC42" s="373">
        <v>0.44882641441562293</v>
      </c>
      <c r="BD42" s="373">
        <v>0</v>
      </c>
      <c r="BE42" s="373">
        <v>0</v>
      </c>
      <c r="BF42" s="373">
        <v>0</v>
      </c>
      <c r="BG42" s="373">
        <v>0.73760819392713239</v>
      </c>
      <c r="BH42" s="373">
        <v>0</v>
      </c>
      <c r="BI42" s="373">
        <v>8.3708049064114706E-2</v>
      </c>
      <c r="BJ42" s="373">
        <v>0</v>
      </c>
      <c r="BK42" s="373">
        <v>0.17775061090278532</v>
      </c>
      <c r="BL42" s="373">
        <v>3.0121396459666386E-2</v>
      </c>
      <c r="BM42" s="373">
        <v>0</v>
      </c>
      <c r="BN42" s="373">
        <v>0</v>
      </c>
      <c r="BO42" s="373">
        <v>0</v>
      </c>
      <c r="BP42" s="373">
        <v>0</v>
      </c>
      <c r="BQ42" s="373">
        <v>0</v>
      </c>
      <c r="BR42" s="373">
        <v>0</v>
      </c>
      <c r="BS42" s="373">
        <v>0</v>
      </c>
      <c r="BT42" s="373">
        <v>0</v>
      </c>
      <c r="BU42" s="373">
        <v>0</v>
      </c>
      <c r="BV42" s="373">
        <v>0</v>
      </c>
      <c r="BW42" s="373">
        <v>0</v>
      </c>
      <c r="BX42" s="373">
        <v>0</v>
      </c>
      <c r="BY42" s="373">
        <v>1.5059911123235075</v>
      </c>
      <c r="BZ42" s="373">
        <v>0</v>
      </c>
      <c r="CA42" s="373">
        <v>0</v>
      </c>
      <c r="CB42" s="373">
        <v>0</v>
      </c>
      <c r="CC42" s="373">
        <v>0</v>
      </c>
      <c r="CD42" s="373">
        <v>0</v>
      </c>
      <c r="CE42" s="373">
        <v>4.1620981866531022</v>
      </c>
      <c r="CF42" s="373">
        <v>0</v>
      </c>
      <c r="CG42" s="373">
        <v>1.8729954169617526</v>
      </c>
      <c r="CH42" s="373">
        <v>0</v>
      </c>
      <c r="CI42" s="373">
        <v>0</v>
      </c>
      <c r="CJ42" s="373">
        <v>0</v>
      </c>
      <c r="CK42" s="373">
        <v>1.3852900086152697</v>
      </c>
      <c r="CL42" s="373">
        <v>0</v>
      </c>
      <c r="CM42" s="373">
        <v>0</v>
      </c>
      <c r="CN42" s="373">
        <v>0</v>
      </c>
      <c r="CO42" s="373">
        <v>0</v>
      </c>
      <c r="CP42" s="373">
        <v>0</v>
      </c>
      <c r="CQ42" s="373">
        <v>0</v>
      </c>
      <c r="CR42" s="373">
        <v>0</v>
      </c>
      <c r="CS42" s="373">
        <v>0</v>
      </c>
      <c r="CT42" s="373">
        <v>0</v>
      </c>
      <c r="CU42" s="373">
        <v>0</v>
      </c>
      <c r="CV42" s="373">
        <v>0</v>
      </c>
      <c r="CW42" s="373">
        <v>0</v>
      </c>
      <c r="CX42" s="373">
        <v>0</v>
      </c>
      <c r="CY42" s="373">
        <v>0</v>
      </c>
      <c r="CZ42" s="373">
        <v>0</v>
      </c>
      <c r="DA42" s="373">
        <v>0</v>
      </c>
      <c r="DB42" s="373">
        <v>0</v>
      </c>
      <c r="DC42" s="373">
        <v>0</v>
      </c>
      <c r="DD42" s="373">
        <v>0</v>
      </c>
      <c r="DE42" s="373">
        <v>0</v>
      </c>
      <c r="DF42" s="373">
        <v>0</v>
      </c>
      <c r="DG42" s="373">
        <v>0</v>
      </c>
      <c r="DH42" s="373">
        <v>0</v>
      </c>
      <c r="DI42" s="373">
        <v>0</v>
      </c>
      <c r="DJ42" s="373">
        <v>0</v>
      </c>
      <c r="DK42" s="373">
        <v>0</v>
      </c>
      <c r="DL42" s="373">
        <v>0</v>
      </c>
      <c r="DM42" s="373">
        <v>0</v>
      </c>
      <c r="DN42" s="373">
        <v>0</v>
      </c>
      <c r="DO42" s="373">
        <v>0</v>
      </c>
      <c r="DP42" s="373">
        <v>0</v>
      </c>
      <c r="DQ42" s="373">
        <v>0</v>
      </c>
      <c r="DR42" s="373">
        <v>0</v>
      </c>
      <c r="DS42" s="373">
        <v>2.9051842205707357</v>
      </c>
      <c r="DT42" s="373">
        <v>0</v>
      </c>
      <c r="DU42" s="373">
        <v>0</v>
      </c>
      <c r="DV42" s="373">
        <v>0</v>
      </c>
      <c r="DW42" s="373">
        <v>1.2299887020101894</v>
      </c>
      <c r="DX42" s="373">
        <v>0</v>
      </c>
      <c r="DY42" s="373">
        <v>2.4643092466505596</v>
      </c>
      <c r="DZ42" s="373">
        <v>1.3774763891939381</v>
      </c>
      <c r="EA42" s="373">
        <v>0</v>
      </c>
      <c r="EB42" s="373">
        <v>0.34200873362445416</v>
      </c>
      <c r="EC42" s="373">
        <v>0</v>
      </c>
      <c r="ED42" s="373">
        <v>0</v>
      </c>
      <c r="EE42" s="373">
        <v>0</v>
      </c>
      <c r="EF42" s="373">
        <v>0</v>
      </c>
      <c r="EG42" s="373">
        <v>0</v>
      </c>
      <c r="EH42" s="373">
        <v>0</v>
      </c>
      <c r="EI42" s="373">
        <v>0</v>
      </c>
      <c r="EJ42" s="373">
        <v>0</v>
      </c>
    </row>
    <row r="43" spans="1:140" ht="17.25" x14ac:dyDescent="0.3">
      <c r="A43" s="366" t="s">
        <v>227</v>
      </c>
      <c r="B43" s="365" t="s">
        <v>226</v>
      </c>
      <c r="C43" s="362">
        <v>0</v>
      </c>
      <c r="D43" s="362">
        <v>0.2730530978347695</v>
      </c>
      <c r="E43" s="362">
        <v>0</v>
      </c>
      <c r="F43" s="362">
        <v>5.5688014542201972E-2</v>
      </c>
      <c r="G43" s="362">
        <v>0</v>
      </c>
      <c r="H43" s="362">
        <v>1.3271580778176602</v>
      </c>
      <c r="I43" s="362">
        <v>8.9401787065877536E-2</v>
      </c>
      <c r="J43" s="362">
        <v>0.53954474997459467</v>
      </c>
      <c r="K43" s="362">
        <v>3.7323551899837902E-2</v>
      </c>
      <c r="L43" s="362">
        <v>0.51009160544827981</v>
      </c>
      <c r="M43" s="362">
        <v>0.10010630441427598</v>
      </c>
      <c r="N43" s="362">
        <v>0.26161998704886746</v>
      </c>
      <c r="O43" s="362">
        <v>0</v>
      </c>
      <c r="P43" s="362">
        <v>0</v>
      </c>
      <c r="Q43" s="362">
        <v>0</v>
      </c>
      <c r="R43" s="362">
        <v>0</v>
      </c>
      <c r="S43" s="362">
        <v>0</v>
      </c>
      <c r="T43" s="362">
        <v>0</v>
      </c>
      <c r="U43" s="362">
        <v>0</v>
      </c>
      <c r="V43" s="362">
        <v>0</v>
      </c>
      <c r="W43" s="362">
        <v>0</v>
      </c>
      <c r="X43" s="362">
        <v>0</v>
      </c>
      <c r="Y43" s="362">
        <v>0</v>
      </c>
      <c r="Z43" s="362">
        <v>0</v>
      </c>
      <c r="AA43" s="362">
        <v>0</v>
      </c>
      <c r="AB43" s="362">
        <v>0</v>
      </c>
      <c r="AC43" s="362">
        <v>0</v>
      </c>
      <c r="AD43" s="362">
        <v>0</v>
      </c>
      <c r="AE43" s="362">
        <v>0</v>
      </c>
      <c r="AF43" s="362">
        <v>0</v>
      </c>
      <c r="AG43" s="362">
        <v>0</v>
      </c>
      <c r="AH43" s="362">
        <v>0</v>
      </c>
      <c r="AI43" s="362">
        <v>0.18917944445261467</v>
      </c>
      <c r="AJ43" s="362">
        <v>0</v>
      </c>
      <c r="AK43" s="362">
        <v>0</v>
      </c>
      <c r="AL43" s="362">
        <v>0.21744354338065125</v>
      </c>
      <c r="AM43" s="362">
        <v>0.18698145252440854</v>
      </c>
      <c r="AN43" s="362">
        <v>2.3925663074212116</v>
      </c>
      <c r="AO43" s="362">
        <v>0</v>
      </c>
      <c r="AP43" s="362">
        <v>0.16493696204500452</v>
      </c>
      <c r="AQ43" s="362">
        <v>0</v>
      </c>
      <c r="AR43" s="362">
        <v>0</v>
      </c>
      <c r="AS43" s="362">
        <v>0</v>
      </c>
      <c r="AT43" s="362">
        <v>1.781073497547909</v>
      </c>
      <c r="AU43" s="362">
        <v>0</v>
      </c>
      <c r="AV43" s="362">
        <v>0</v>
      </c>
      <c r="AW43" s="362">
        <v>0</v>
      </c>
      <c r="AX43" s="362">
        <v>0</v>
      </c>
      <c r="AY43" s="362">
        <v>0.15590833424430325</v>
      </c>
      <c r="AZ43" s="362">
        <v>0</v>
      </c>
      <c r="BA43" s="362">
        <v>0.160806889066647</v>
      </c>
      <c r="BB43" s="362">
        <v>0</v>
      </c>
      <c r="BC43" s="362">
        <v>0</v>
      </c>
      <c r="BD43" s="362">
        <v>0</v>
      </c>
      <c r="BE43" s="362">
        <v>0</v>
      </c>
      <c r="BF43" s="362">
        <v>0</v>
      </c>
      <c r="BG43" s="362">
        <v>0</v>
      </c>
      <c r="BH43" s="362">
        <v>0</v>
      </c>
      <c r="BI43" s="362">
        <v>0</v>
      </c>
      <c r="BJ43" s="362">
        <v>0</v>
      </c>
      <c r="BK43" s="362">
        <v>0</v>
      </c>
      <c r="BL43" s="362">
        <v>0</v>
      </c>
      <c r="BM43" s="362">
        <v>0</v>
      </c>
      <c r="BN43" s="362">
        <v>0</v>
      </c>
      <c r="BO43" s="362">
        <v>0</v>
      </c>
      <c r="BP43" s="362">
        <v>0</v>
      </c>
      <c r="BQ43" s="362">
        <v>0</v>
      </c>
      <c r="BR43" s="362">
        <v>1.3008050226879755</v>
      </c>
      <c r="BS43" s="362">
        <v>0</v>
      </c>
      <c r="BT43" s="362">
        <v>0.65336824412662975</v>
      </c>
      <c r="BU43" s="362">
        <v>3.4669918710446231E-2</v>
      </c>
      <c r="BV43" s="362">
        <v>0</v>
      </c>
      <c r="BW43" s="362">
        <v>0</v>
      </c>
      <c r="BX43" s="362">
        <v>0</v>
      </c>
      <c r="BY43" s="362">
        <v>0</v>
      </c>
      <c r="BZ43" s="362">
        <v>0</v>
      </c>
      <c r="CA43" s="362">
        <v>0</v>
      </c>
      <c r="CB43" s="362">
        <v>0</v>
      </c>
      <c r="CC43" s="362">
        <v>0</v>
      </c>
      <c r="CD43" s="362">
        <v>1.3622114192339172</v>
      </c>
      <c r="CE43" s="362">
        <v>0</v>
      </c>
      <c r="CF43" s="362">
        <v>1.2276106618859139</v>
      </c>
      <c r="CG43" s="362">
        <v>0</v>
      </c>
      <c r="CH43" s="362">
        <v>2.6183516586672817</v>
      </c>
      <c r="CI43" s="362">
        <v>0</v>
      </c>
      <c r="CJ43" s="362">
        <v>4.1710245191615458</v>
      </c>
      <c r="CK43" s="362">
        <v>4.077118308612941</v>
      </c>
      <c r="CL43" s="362">
        <v>3.7208836472861897</v>
      </c>
      <c r="CM43" s="362">
        <v>0</v>
      </c>
      <c r="CN43" s="362">
        <v>1.9420134353424146</v>
      </c>
      <c r="CO43" s="362">
        <v>0</v>
      </c>
      <c r="CP43" s="362">
        <v>0</v>
      </c>
      <c r="CQ43" s="362">
        <v>0</v>
      </c>
      <c r="CR43" s="362">
        <v>0</v>
      </c>
      <c r="CS43" s="362">
        <v>0.5599336222842094</v>
      </c>
      <c r="CT43" s="362">
        <v>0</v>
      </c>
      <c r="CU43" s="362">
        <v>0</v>
      </c>
      <c r="CV43" s="362">
        <v>0</v>
      </c>
      <c r="CW43" s="362">
        <v>0</v>
      </c>
      <c r="CX43" s="362">
        <v>0</v>
      </c>
      <c r="CY43" s="362">
        <v>0.13093783945803905</v>
      </c>
      <c r="CZ43" s="362">
        <v>0</v>
      </c>
      <c r="DA43" s="362">
        <v>9.8586816382140216E-2</v>
      </c>
      <c r="DB43" s="362">
        <v>0</v>
      </c>
      <c r="DC43" s="362">
        <v>0.46228125474532833</v>
      </c>
      <c r="DD43" s="362">
        <v>0</v>
      </c>
      <c r="DE43" s="362">
        <v>0.8835411712130502</v>
      </c>
      <c r="DF43" s="362">
        <v>5.5323726305246602E-2</v>
      </c>
      <c r="DG43" s="362">
        <v>9.0929130386862123E-2</v>
      </c>
      <c r="DH43" s="362">
        <v>0</v>
      </c>
      <c r="DI43" s="362">
        <v>5.7742173965815928E-2</v>
      </c>
      <c r="DJ43" s="362">
        <v>0.71050900945634299</v>
      </c>
      <c r="DK43" s="362">
        <v>2.1796134967005547</v>
      </c>
      <c r="DL43" s="362">
        <v>0.43824020675190883</v>
      </c>
      <c r="DM43" s="362">
        <v>0</v>
      </c>
      <c r="DN43" s="362">
        <v>1.00377062145634</v>
      </c>
      <c r="DO43" s="362">
        <v>0</v>
      </c>
      <c r="DP43" s="362">
        <v>1.6326087987480042</v>
      </c>
      <c r="DQ43" s="362">
        <v>0</v>
      </c>
      <c r="DR43" s="362">
        <v>0</v>
      </c>
      <c r="DS43" s="362">
        <v>0</v>
      </c>
      <c r="DT43" s="362">
        <v>0</v>
      </c>
      <c r="DU43" s="362">
        <v>0</v>
      </c>
      <c r="DV43" s="362">
        <v>0</v>
      </c>
      <c r="DW43" s="362">
        <v>0.20927927351793821</v>
      </c>
      <c r="DX43" s="362">
        <v>1.6669864210952656</v>
      </c>
      <c r="DY43" s="362">
        <v>0</v>
      </c>
      <c r="DZ43" s="362">
        <v>3.6892730068086972</v>
      </c>
      <c r="EA43" s="362">
        <v>0</v>
      </c>
      <c r="EB43" s="362">
        <v>1.8971462882096071</v>
      </c>
      <c r="EC43" s="362">
        <v>0</v>
      </c>
      <c r="ED43" s="362">
        <v>3.1932973913043483</v>
      </c>
      <c r="EE43" s="362">
        <v>0.48696000400460526</v>
      </c>
      <c r="EF43" s="362">
        <v>4.4719919211440979</v>
      </c>
      <c r="EG43" s="362">
        <v>2.8460492069591954</v>
      </c>
      <c r="EH43" s="362">
        <v>6.7153112335802119</v>
      </c>
      <c r="EI43" s="362">
        <v>3.6049852803779507</v>
      </c>
      <c r="EJ43" s="362">
        <v>3.1891559574805646</v>
      </c>
    </row>
    <row r="44" spans="1:140" s="367" customFormat="1" ht="17.25" x14ac:dyDescent="0.3">
      <c r="A44" s="366" t="s">
        <v>225</v>
      </c>
      <c r="B44" s="365" t="s">
        <v>224</v>
      </c>
      <c r="C44" s="362"/>
      <c r="D44" s="362"/>
      <c r="E44" s="362"/>
      <c r="F44" s="362"/>
      <c r="G44" s="362"/>
      <c r="H44" s="362"/>
      <c r="I44" s="362"/>
      <c r="J44" s="362"/>
      <c r="K44" s="362"/>
      <c r="L44" s="362"/>
      <c r="M44" s="362"/>
      <c r="N44" s="362"/>
      <c r="O44" s="362"/>
      <c r="P44" s="362"/>
      <c r="Q44" s="362"/>
      <c r="R44" s="362"/>
      <c r="S44" s="362"/>
      <c r="T44" s="362"/>
      <c r="U44" s="362"/>
      <c r="V44" s="362"/>
      <c r="W44" s="362"/>
      <c r="X44" s="362"/>
      <c r="Y44" s="362"/>
      <c r="Z44" s="362"/>
      <c r="AA44" s="362"/>
      <c r="AB44" s="362"/>
      <c r="AC44" s="362"/>
      <c r="AD44" s="362"/>
      <c r="AE44" s="362">
        <v>0</v>
      </c>
      <c r="AF44" s="362">
        <v>0</v>
      </c>
      <c r="AG44" s="362">
        <v>0</v>
      </c>
      <c r="AH44" s="362">
        <v>0</v>
      </c>
      <c r="AI44" s="362">
        <v>0</v>
      </c>
      <c r="AJ44" s="362">
        <v>0</v>
      </c>
      <c r="AK44" s="362">
        <v>0</v>
      </c>
      <c r="AL44" s="362">
        <v>0</v>
      </c>
      <c r="AM44" s="362">
        <v>0</v>
      </c>
      <c r="AN44" s="362">
        <v>0</v>
      </c>
      <c r="AO44" s="362">
        <v>0</v>
      </c>
      <c r="AP44" s="362">
        <v>0</v>
      </c>
      <c r="AQ44" s="362">
        <v>0</v>
      </c>
      <c r="AR44" s="362">
        <v>0</v>
      </c>
      <c r="AS44" s="362">
        <v>0</v>
      </c>
      <c r="AT44" s="362">
        <v>0</v>
      </c>
      <c r="AU44" s="362">
        <v>0</v>
      </c>
      <c r="AV44" s="362">
        <v>0</v>
      </c>
      <c r="AW44" s="362">
        <v>0</v>
      </c>
      <c r="AX44" s="362">
        <v>0</v>
      </c>
      <c r="AY44" s="362">
        <v>0</v>
      </c>
      <c r="AZ44" s="362">
        <v>0</v>
      </c>
      <c r="BA44" s="362">
        <v>0</v>
      </c>
      <c r="BB44" s="362">
        <v>0</v>
      </c>
      <c r="BC44" s="362">
        <v>0</v>
      </c>
      <c r="BD44" s="362">
        <v>0</v>
      </c>
      <c r="BE44" s="362">
        <v>0</v>
      </c>
      <c r="BF44" s="362">
        <v>0</v>
      </c>
      <c r="BG44" s="362">
        <v>0</v>
      </c>
      <c r="BH44" s="362">
        <v>0</v>
      </c>
      <c r="BI44" s="362">
        <v>0</v>
      </c>
      <c r="BJ44" s="362">
        <v>0</v>
      </c>
      <c r="BK44" s="362">
        <v>0</v>
      </c>
      <c r="BL44" s="362">
        <v>0</v>
      </c>
      <c r="BM44" s="362">
        <v>0</v>
      </c>
      <c r="BN44" s="362">
        <v>0</v>
      </c>
      <c r="BO44" s="362">
        <v>0</v>
      </c>
      <c r="BP44" s="362">
        <v>0</v>
      </c>
      <c r="BQ44" s="362">
        <v>0</v>
      </c>
      <c r="BR44" s="362">
        <v>0</v>
      </c>
      <c r="BS44" s="362">
        <v>0</v>
      </c>
      <c r="BT44" s="362">
        <v>0</v>
      </c>
      <c r="BU44" s="362">
        <v>0</v>
      </c>
      <c r="BV44" s="362">
        <v>0</v>
      </c>
      <c r="BW44" s="362">
        <v>0</v>
      </c>
      <c r="BX44" s="362">
        <v>0</v>
      </c>
      <c r="BY44" s="362">
        <v>0</v>
      </c>
      <c r="BZ44" s="362">
        <v>0</v>
      </c>
      <c r="CA44" s="362">
        <v>0</v>
      </c>
      <c r="CB44" s="362">
        <v>0</v>
      </c>
      <c r="CC44" s="362">
        <v>0</v>
      </c>
      <c r="CD44" s="362">
        <v>0</v>
      </c>
      <c r="CE44" s="362">
        <v>0</v>
      </c>
      <c r="CF44" s="362">
        <v>0</v>
      </c>
      <c r="CG44" s="362">
        <v>0</v>
      </c>
      <c r="CH44" s="362">
        <v>0</v>
      </c>
      <c r="CI44" s="362">
        <v>0</v>
      </c>
      <c r="CJ44" s="362">
        <v>0</v>
      </c>
      <c r="CK44" s="362">
        <v>0</v>
      </c>
      <c r="CL44" s="362">
        <v>0</v>
      </c>
      <c r="CM44" s="362">
        <v>0</v>
      </c>
      <c r="CN44" s="362">
        <v>0</v>
      </c>
      <c r="CO44" s="362">
        <v>0</v>
      </c>
      <c r="CP44" s="362">
        <v>0</v>
      </c>
      <c r="CQ44" s="362">
        <v>0</v>
      </c>
      <c r="CR44" s="362">
        <v>0</v>
      </c>
      <c r="CS44" s="362">
        <v>0</v>
      </c>
      <c r="CT44" s="362">
        <v>0</v>
      </c>
      <c r="CU44" s="362">
        <v>0</v>
      </c>
      <c r="CV44" s="362">
        <v>0</v>
      </c>
      <c r="CW44" s="362">
        <v>0</v>
      </c>
      <c r="CX44" s="362">
        <v>0</v>
      </c>
      <c r="CY44" s="362">
        <v>0</v>
      </c>
      <c r="CZ44" s="362">
        <v>0</v>
      </c>
      <c r="DA44" s="362">
        <v>0</v>
      </c>
      <c r="DB44" s="362">
        <v>0</v>
      </c>
      <c r="DC44" s="362">
        <v>0</v>
      </c>
      <c r="DD44" s="362">
        <v>0</v>
      </c>
      <c r="DE44" s="362">
        <v>0</v>
      </c>
      <c r="DF44" s="362">
        <v>0</v>
      </c>
      <c r="DG44" s="362">
        <v>0</v>
      </c>
      <c r="DH44" s="362">
        <v>0</v>
      </c>
      <c r="DI44" s="362">
        <v>0</v>
      </c>
      <c r="DJ44" s="362">
        <v>0</v>
      </c>
      <c r="DK44" s="362">
        <v>0</v>
      </c>
      <c r="DL44" s="362">
        <v>0</v>
      </c>
      <c r="DM44" s="362">
        <v>0</v>
      </c>
      <c r="DN44" s="362">
        <v>0</v>
      </c>
      <c r="DO44" s="362">
        <v>0</v>
      </c>
      <c r="DP44" s="362">
        <v>0</v>
      </c>
      <c r="DQ44" s="362">
        <v>0</v>
      </c>
      <c r="DR44" s="362">
        <v>0</v>
      </c>
      <c r="DS44" s="362">
        <v>0</v>
      </c>
      <c r="DT44" s="362">
        <v>0</v>
      </c>
      <c r="DU44" s="362">
        <v>0</v>
      </c>
      <c r="DV44" s="362">
        <v>0</v>
      </c>
      <c r="DW44" s="362">
        <v>0</v>
      </c>
      <c r="DX44" s="362">
        <v>0</v>
      </c>
      <c r="DY44" s="362">
        <v>0</v>
      </c>
      <c r="DZ44" s="362">
        <v>0</v>
      </c>
      <c r="EA44" s="362">
        <v>0</v>
      </c>
      <c r="EB44" s="362">
        <v>0</v>
      </c>
      <c r="EC44" s="362">
        <v>0</v>
      </c>
      <c r="ED44" s="362">
        <v>0</v>
      </c>
      <c r="EE44" s="362">
        <v>0</v>
      </c>
      <c r="EF44" s="362">
        <v>0</v>
      </c>
      <c r="EG44" s="362">
        <v>0</v>
      </c>
      <c r="EH44" s="362">
        <v>0</v>
      </c>
      <c r="EI44" s="362">
        <v>0</v>
      </c>
      <c r="EJ44" s="362">
        <v>0</v>
      </c>
    </row>
    <row r="45" spans="1:140" s="367" customFormat="1" ht="17.25" x14ac:dyDescent="0.3">
      <c r="A45" s="366" t="s">
        <v>223</v>
      </c>
      <c r="B45" s="365" t="s">
        <v>222</v>
      </c>
      <c r="C45" s="371"/>
      <c r="D45" s="371"/>
      <c r="E45" s="371"/>
      <c r="F45" s="371"/>
      <c r="G45" s="371"/>
      <c r="H45" s="371"/>
      <c r="I45" s="371"/>
      <c r="J45" s="371"/>
      <c r="K45" s="372"/>
      <c r="L45" s="371"/>
      <c r="M45" s="371"/>
      <c r="N45" s="371"/>
      <c r="O45" s="372"/>
      <c r="P45" s="371"/>
      <c r="Q45" s="371"/>
      <c r="R45" s="370"/>
      <c r="S45" s="369"/>
      <c r="T45" s="369"/>
      <c r="U45" s="369"/>
      <c r="V45" s="369"/>
      <c r="W45" s="369"/>
      <c r="X45" s="369"/>
      <c r="Y45" s="369"/>
      <c r="Z45" s="369"/>
      <c r="AA45" s="369"/>
      <c r="AB45" s="369"/>
      <c r="AC45" s="369"/>
      <c r="AD45" s="369"/>
      <c r="AE45" s="369"/>
      <c r="AF45" s="369"/>
      <c r="AG45" s="368"/>
      <c r="AH45" s="362"/>
      <c r="AI45" s="362">
        <v>0</v>
      </c>
      <c r="AJ45" s="362">
        <v>0</v>
      </c>
      <c r="AK45" s="362">
        <v>0</v>
      </c>
      <c r="AL45" s="362">
        <v>0</v>
      </c>
      <c r="AM45" s="362">
        <v>0</v>
      </c>
      <c r="AN45" s="362">
        <v>0</v>
      </c>
      <c r="AO45" s="362">
        <v>0</v>
      </c>
      <c r="AP45" s="362">
        <v>0</v>
      </c>
      <c r="AQ45" s="362">
        <v>0</v>
      </c>
      <c r="AR45" s="362">
        <v>0</v>
      </c>
      <c r="AS45" s="362">
        <v>0</v>
      </c>
      <c r="AT45" s="362">
        <v>0</v>
      </c>
      <c r="AU45" s="362">
        <v>0</v>
      </c>
      <c r="AV45" s="362">
        <v>0</v>
      </c>
      <c r="AW45" s="362">
        <v>0</v>
      </c>
      <c r="AX45" s="362">
        <v>0</v>
      </c>
      <c r="AY45" s="362">
        <v>0</v>
      </c>
      <c r="AZ45" s="362">
        <v>0</v>
      </c>
      <c r="BA45" s="362">
        <v>0</v>
      </c>
      <c r="BB45" s="362">
        <v>0</v>
      </c>
      <c r="BC45" s="362">
        <v>0</v>
      </c>
      <c r="BD45" s="362">
        <v>0</v>
      </c>
      <c r="BE45" s="362">
        <v>0</v>
      </c>
      <c r="BF45" s="362">
        <v>0</v>
      </c>
      <c r="BG45" s="362">
        <v>0</v>
      </c>
      <c r="BH45" s="362">
        <v>0</v>
      </c>
      <c r="BI45" s="362">
        <v>0</v>
      </c>
      <c r="BJ45" s="362">
        <v>0</v>
      </c>
      <c r="BK45" s="362">
        <v>0</v>
      </c>
      <c r="BL45" s="362">
        <v>0</v>
      </c>
      <c r="BM45" s="362">
        <v>0</v>
      </c>
      <c r="BN45" s="362">
        <v>0</v>
      </c>
      <c r="BO45" s="362">
        <v>0</v>
      </c>
      <c r="BP45" s="362">
        <v>0</v>
      </c>
      <c r="BQ45" s="362">
        <v>0</v>
      </c>
      <c r="BR45" s="362">
        <v>0</v>
      </c>
      <c r="BS45" s="362">
        <v>0</v>
      </c>
      <c r="BT45" s="362">
        <v>0</v>
      </c>
      <c r="BU45" s="362">
        <v>0</v>
      </c>
      <c r="BV45" s="362">
        <v>0</v>
      </c>
      <c r="BW45" s="362">
        <v>0</v>
      </c>
      <c r="BX45" s="362">
        <v>0</v>
      </c>
      <c r="BY45" s="362">
        <v>0</v>
      </c>
      <c r="BZ45" s="362">
        <v>0</v>
      </c>
      <c r="CA45" s="362">
        <v>0</v>
      </c>
      <c r="CB45" s="362">
        <v>0</v>
      </c>
      <c r="CC45" s="362">
        <v>0</v>
      </c>
      <c r="CD45" s="362">
        <v>0</v>
      </c>
      <c r="CE45" s="362">
        <v>0</v>
      </c>
      <c r="CF45" s="362">
        <v>0</v>
      </c>
      <c r="CG45" s="362">
        <v>0</v>
      </c>
      <c r="CH45" s="362">
        <v>0</v>
      </c>
      <c r="CI45" s="362">
        <v>0</v>
      </c>
      <c r="CJ45" s="362">
        <v>0</v>
      </c>
      <c r="CK45" s="362">
        <v>0</v>
      </c>
      <c r="CL45" s="362">
        <v>0</v>
      </c>
      <c r="CM45" s="362">
        <v>0</v>
      </c>
      <c r="CN45" s="362">
        <v>0</v>
      </c>
      <c r="CO45" s="362">
        <v>0</v>
      </c>
      <c r="CP45" s="362">
        <v>0</v>
      </c>
      <c r="CQ45" s="362">
        <v>0</v>
      </c>
      <c r="CR45" s="362">
        <v>0</v>
      </c>
      <c r="CS45" s="362">
        <v>0</v>
      </c>
      <c r="CT45" s="362">
        <v>0</v>
      </c>
      <c r="CU45" s="362">
        <v>0</v>
      </c>
      <c r="CV45" s="362">
        <v>0</v>
      </c>
      <c r="CW45" s="362">
        <v>0</v>
      </c>
      <c r="CX45" s="362">
        <v>0</v>
      </c>
      <c r="CY45" s="362">
        <v>0</v>
      </c>
      <c r="CZ45" s="362">
        <v>0</v>
      </c>
      <c r="DA45" s="362">
        <v>0</v>
      </c>
      <c r="DB45" s="362">
        <v>0</v>
      </c>
      <c r="DC45" s="362">
        <v>0</v>
      </c>
      <c r="DD45" s="362">
        <v>0</v>
      </c>
      <c r="DE45" s="362">
        <v>0</v>
      </c>
      <c r="DF45" s="362">
        <v>0</v>
      </c>
      <c r="DG45" s="362">
        <v>0</v>
      </c>
      <c r="DH45" s="362">
        <v>0</v>
      </c>
      <c r="DI45" s="362">
        <v>0</v>
      </c>
      <c r="DJ45" s="362">
        <v>0</v>
      </c>
      <c r="DK45" s="362">
        <v>0</v>
      </c>
      <c r="DL45" s="362">
        <v>0</v>
      </c>
      <c r="DM45" s="362">
        <v>0</v>
      </c>
      <c r="DN45" s="362">
        <v>0</v>
      </c>
      <c r="DO45" s="362">
        <v>0</v>
      </c>
      <c r="DP45" s="362">
        <v>0</v>
      </c>
      <c r="DQ45" s="362">
        <v>0</v>
      </c>
      <c r="DR45" s="362">
        <v>0</v>
      </c>
      <c r="DS45" s="362">
        <v>0</v>
      </c>
      <c r="DT45" s="362">
        <v>0</v>
      </c>
      <c r="DU45" s="362">
        <v>0</v>
      </c>
      <c r="DV45" s="362">
        <v>0</v>
      </c>
      <c r="DW45" s="362">
        <v>0</v>
      </c>
      <c r="DX45" s="362">
        <v>0</v>
      </c>
      <c r="DY45" s="362">
        <v>0</v>
      </c>
      <c r="DZ45" s="362">
        <v>0</v>
      </c>
      <c r="EA45" s="362">
        <v>0</v>
      </c>
      <c r="EB45" s="362">
        <v>0</v>
      </c>
      <c r="EC45" s="362">
        <v>0</v>
      </c>
      <c r="ED45" s="362">
        <v>0</v>
      </c>
      <c r="EE45" s="362">
        <v>0</v>
      </c>
      <c r="EF45" s="362">
        <v>0</v>
      </c>
      <c r="EG45" s="362">
        <v>0</v>
      </c>
      <c r="EH45" s="362">
        <v>0</v>
      </c>
      <c r="EI45" s="362">
        <v>0</v>
      </c>
      <c r="EJ45" s="362">
        <v>0</v>
      </c>
    </row>
    <row r="46" spans="1:140" ht="17.25" x14ac:dyDescent="0.3">
      <c r="A46" s="366" t="s">
        <v>221</v>
      </c>
      <c r="B46" s="365" t="s">
        <v>220</v>
      </c>
      <c r="C46" s="362">
        <v>0</v>
      </c>
      <c r="D46" s="362">
        <v>1.8175369056237094</v>
      </c>
      <c r="E46" s="362">
        <v>0</v>
      </c>
      <c r="F46" s="362">
        <v>1.849416274131827</v>
      </c>
      <c r="G46" s="362">
        <v>0.13853434842462997</v>
      </c>
      <c r="H46" s="362">
        <v>0.97793921834311104</v>
      </c>
      <c r="I46" s="362">
        <v>0</v>
      </c>
      <c r="J46" s="362">
        <v>0.95803432431154678</v>
      </c>
      <c r="K46" s="362">
        <v>0</v>
      </c>
      <c r="L46" s="362">
        <v>0.91234075346972032</v>
      </c>
      <c r="M46" s="362">
        <v>0.13232515501842973</v>
      </c>
      <c r="N46" s="362">
        <v>1.8001953664088064</v>
      </c>
      <c r="O46" s="362">
        <v>0</v>
      </c>
      <c r="P46" s="362">
        <v>0.89715349684662593</v>
      </c>
      <c r="Q46" s="362">
        <v>0</v>
      </c>
      <c r="R46" s="362">
        <v>0</v>
      </c>
      <c r="S46" s="362">
        <v>0.12842162979863794</v>
      </c>
      <c r="T46" s="362">
        <v>0</v>
      </c>
      <c r="U46" s="362">
        <v>0</v>
      </c>
      <c r="V46" s="362">
        <v>0</v>
      </c>
      <c r="W46" s="362">
        <v>0</v>
      </c>
      <c r="X46" s="362">
        <v>0</v>
      </c>
      <c r="Y46" s="362">
        <v>0.12668987094564879</v>
      </c>
      <c r="Z46" s="362">
        <v>0</v>
      </c>
      <c r="AA46" s="362">
        <v>0</v>
      </c>
      <c r="AB46" s="362">
        <v>0</v>
      </c>
      <c r="AC46" s="362">
        <v>0</v>
      </c>
      <c r="AD46" s="362">
        <v>0</v>
      </c>
      <c r="AE46" s="362">
        <v>0.13016005693107766</v>
      </c>
      <c r="AF46" s="362">
        <v>0</v>
      </c>
      <c r="AG46" s="362">
        <v>0</v>
      </c>
      <c r="AH46" s="362">
        <v>0</v>
      </c>
      <c r="AI46" s="362">
        <v>0</v>
      </c>
      <c r="AJ46" s="362">
        <v>0</v>
      </c>
      <c r="AK46" s="362">
        <v>0.12653803052950927</v>
      </c>
      <c r="AL46" s="362">
        <v>0</v>
      </c>
      <c r="AM46" s="362">
        <v>0</v>
      </c>
      <c r="AN46" s="362">
        <v>0</v>
      </c>
      <c r="AO46" s="362">
        <v>0</v>
      </c>
      <c r="AP46" s="362">
        <v>0</v>
      </c>
      <c r="AQ46" s="362">
        <v>0</v>
      </c>
      <c r="AR46" s="362">
        <v>0</v>
      </c>
      <c r="AS46" s="362">
        <v>0</v>
      </c>
      <c r="AT46" s="362">
        <v>0</v>
      </c>
      <c r="AU46" s="362">
        <v>0</v>
      </c>
      <c r="AV46" s="362">
        <v>0</v>
      </c>
      <c r="AW46" s="362">
        <v>0.13063843884150811</v>
      </c>
      <c r="AX46" s="362">
        <v>0</v>
      </c>
      <c r="AY46" s="362">
        <v>0</v>
      </c>
      <c r="AZ46" s="362">
        <v>0</v>
      </c>
      <c r="BA46" s="362">
        <v>0</v>
      </c>
      <c r="BB46" s="362">
        <v>0</v>
      </c>
      <c r="BC46" s="362">
        <v>0.12588810633423403</v>
      </c>
      <c r="BD46" s="362">
        <v>0</v>
      </c>
      <c r="BE46" s="362">
        <v>0</v>
      </c>
      <c r="BF46" s="362">
        <v>0</v>
      </c>
      <c r="BG46" s="362">
        <v>0</v>
      </c>
      <c r="BH46" s="362">
        <v>0</v>
      </c>
      <c r="BI46" s="362">
        <v>0</v>
      </c>
      <c r="BJ46" s="362">
        <v>0</v>
      </c>
      <c r="BK46" s="362">
        <v>0</v>
      </c>
      <c r="BL46" s="362">
        <v>0</v>
      </c>
      <c r="BM46" s="362">
        <v>0</v>
      </c>
      <c r="BN46" s="362">
        <v>0</v>
      </c>
      <c r="BO46" s="362">
        <v>0.12792614696777468</v>
      </c>
      <c r="BP46" s="362">
        <v>0</v>
      </c>
      <c r="BQ46" s="362">
        <v>0.1292025346127284</v>
      </c>
      <c r="BR46" s="362">
        <v>0</v>
      </c>
      <c r="BS46" s="362">
        <v>0</v>
      </c>
      <c r="BT46" s="362">
        <v>0</v>
      </c>
      <c r="BU46" s="362">
        <v>0</v>
      </c>
      <c r="BV46" s="362">
        <v>0</v>
      </c>
      <c r="BW46" s="362">
        <v>0.13533009115929864</v>
      </c>
      <c r="BX46" s="362">
        <v>0</v>
      </c>
      <c r="BY46" s="362">
        <v>0</v>
      </c>
      <c r="BZ46" s="362">
        <v>0</v>
      </c>
      <c r="CA46" s="362">
        <v>0</v>
      </c>
      <c r="CB46" s="362">
        <v>0</v>
      </c>
      <c r="CC46" s="362">
        <v>0.13863499280251679</v>
      </c>
      <c r="CD46" s="362">
        <v>0</v>
      </c>
      <c r="CE46" s="362">
        <v>0</v>
      </c>
      <c r="CF46" s="362">
        <v>0</v>
      </c>
      <c r="CG46" s="362">
        <v>0</v>
      </c>
      <c r="CH46" s="362">
        <v>0</v>
      </c>
      <c r="CI46" s="362">
        <v>0.13679928466500621</v>
      </c>
      <c r="CJ46" s="362">
        <v>0</v>
      </c>
      <c r="CK46" s="362">
        <v>0</v>
      </c>
      <c r="CL46" s="362">
        <v>0</v>
      </c>
      <c r="CM46" s="362">
        <v>0</v>
      </c>
      <c r="CN46" s="362">
        <v>0</v>
      </c>
      <c r="CO46" s="362">
        <v>0.13644640153098669</v>
      </c>
      <c r="CP46" s="362">
        <v>0</v>
      </c>
      <c r="CQ46" s="362">
        <v>0</v>
      </c>
      <c r="CR46" s="362">
        <v>0</v>
      </c>
      <c r="CS46" s="362">
        <v>0</v>
      </c>
      <c r="CT46" s="362">
        <v>0</v>
      </c>
      <c r="CU46" s="362">
        <v>0</v>
      </c>
      <c r="CV46" s="362">
        <v>0</v>
      </c>
      <c r="CW46" s="362">
        <v>0.13222129501833815</v>
      </c>
      <c r="CX46" s="362">
        <v>0</v>
      </c>
      <c r="CY46" s="362">
        <v>0</v>
      </c>
      <c r="CZ46" s="362">
        <v>0</v>
      </c>
      <c r="DA46" s="362">
        <v>0</v>
      </c>
      <c r="DB46" s="362">
        <v>0</v>
      </c>
      <c r="DC46" s="362">
        <v>0.12102025133559421</v>
      </c>
      <c r="DD46" s="362">
        <v>0</v>
      </c>
      <c r="DE46" s="362">
        <v>0</v>
      </c>
      <c r="DF46" s="362">
        <v>0</v>
      </c>
      <c r="DG46" s="362">
        <v>0</v>
      </c>
      <c r="DH46" s="362">
        <v>0</v>
      </c>
      <c r="DI46" s="362">
        <v>0.11916978383925321</v>
      </c>
      <c r="DJ46" s="362">
        <v>0</v>
      </c>
      <c r="DK46" s="362">
        <v>0</v>
      </c>
      <c r="DL46" s="362">
        <v>0</v>
      </c>
      <c r="DM46" s="362">
        <v>0</v>
      </c>
      <c r="DN46" s="362">
        <v>0</v>
      </c>
      <c r="DO46" s="362">
        <v>0.11630191525542384</v>
      </c>
      <c r="DP46" s="362">
        <v>0</v>
      </c>
      <c r="DQ46" s="362">
        <v>0</v>
      </c>
      <c r="DR46" s="362">
        <v>0</v>
      </c>
      <c r="DS46" s="362">
        <v>0</v>
      </c>
      <c r="DT46" s="362">
        <v>0</v>
      </c>
      <c r="DU46" s="362">
        <v>0.11784562982786936</v>
      </c>
      <c r="DV46" s="362">
        <v>0</v>
      </c>
      <c r="DW46" s="362">
        <v>0</v>
      </c>
      <c r="DX46" s="362">
        <v>0</v>
      </c>
      <c r="DY46" s="362">
        <v>0</v>
      </c>
      <c r="DZ46" s="362">
        <v>0</v>
      </c>
      <c r="EA46" s="362">
        <v>0.12358078602620087</v>
      </c>
      <c r="EB46" s="362">
        <v>0</v>
      </c>
      <c r="EC46" s="362">
        <v>0</v>
      </c>
      <c r="ED46" s="362">
        <v>0</v>
      </c>
      <c r="EE46" s="362">
        <v>0</v>
      </c>
      <c r="EF46" s="362">
        <v>0</v>
      </c>
      <c r="EG46" s="362">
        <v>0</v>
      </c>
      <c r="EH46" s="362">
        <v>0</v>
      </c>
      <c r="EI46" s="362">
        <v>0</v>
      </c>
      <c r="EJ46" s="362">
        <v>0</v>
      </c>
    </row>
    <row r="47" spans="1:140" ht="17.25" x14ac:dyDescent="0.3">
      <c r="A47" s="366" t="s">
        <v>219</v>
      </c>
      <c r="B47" s="365" t="s">
        <v>218</v>
      </c>
      <c r="C47" s="362">
        <v>0</v>
      </c>
      <c r="D47" s="362">
        <v>0</v>
      </c>
      <c r="E47" s="362">
        <v>0</v>
      </c>
      <c r="F47" s="362">
        <v>0</v>
      </c>
      <c r="G47" s="362">
        <v>0</v>
      </c>
      <c r="H47" s="362">
        <v>0</v>
      </c>
      <c r="I47" s="362">
        <v>0</v>
      </c>
      <c r="J47" s="362">
        <v>0</v>
      </c>
      <c r="K47" s="362">
        <v>0</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0</v>
      </c>
      <c r="AI47" s="362">
        <v>0</v>
      </c>
      <c r="AJ47" s="362">
        <v>0</v>
      </c>
      <c r="AK47" s="362">
        <v>0</v>
      </c>
      <c r="AL47" s="362">
        <v>0</v>
      </c>
      <c r="AM47" s="362">
        <v>0</v>
      </c>
      <c r="AN47" s="362">
        <v>0</v>
      </c>
      <c r="AO47" s="362">
        <v>0</v>
      </c>
      <c r="AP47" s="362">
        <v>0</v>
      </c>
      <c r="AQ47" s="362">
        <v>0</v>
      </c>
      <c r="AR47" s="362">
        <v>0</v>
      </c>
      <c r="AS47" s="362">
        <v>0</v>
      </c>
      <c r="AT47" s="362">
        <v>0</v>
      </c>
      <c r="AU47" s="362">
        <v>0</v>
      </c>
      <c r="AV47" s="362">
        <v>0</v>
      </c>
      <c r="AW47" s="362">
        <v>0</v>
      </c>
      <c r="AX47" s="362">
        <v>0</v>
      </c>
      <c r="AY47" s="362">
        <v>0</v>
      </c>
      <c r="AZ47" s="362">
        <v>0</v>
      </c>
      <c r="BA47" s="362">
        <v>0</v>
      </c>
      <c r="BB47" s="362">
        <v>0</v>
      </c>
      <c r="BC47" s="362">
        <v>0</v>
      </c>
      <c r="BD47" s="362">
        <v>0</v>
      </c>
      <c r="BE47" s="362">
        <v>0</v>
      </c>
      <c r="BF47" s="362">
        <v>0</v>
      </c>
      <c r="BG47" s="362">
        <v>0</v>
      </c>
      <c r="BH47" s="362">
        <v>0</v>
      </c>
      <c r="BI47" s="362">
        <v>0</v>
      </c>
      <c r="BJ47" s="362">
        <v>0</v>
      </c>
      <c r="BK47" s="362">
        <v>0</v>
      </c>
      <c r="BL47" s="362">
        <v>0</v>
      </c>
      <c r="BM47" s="362">
        <v>0</v>
      </c>
      <c r="BN47" s="362">
        <v>0</v>
      </c>
      <c r="BO47" s="362">
        <v>0</v>
      </c>
      <c r="BP47" s="362">
        <v>0</v>
      </c>
      <c r="BQ47" s="362">
        <v>0</v>
      </c>
      <c r="BR47" s="362">
        <v>0</v>
      </c>
      <c r="BS47" s="362">
        <v>0</v>
      </c>
      <c r="BT47" s="362">
        <v>0</v>
      </c>
      <c r="BU47" s="362">
        <v>0</v>
      </c>
      <c r="BV47" s="362">
        <v>0</v>
      </c>
      <c r="BW47" s="362">
        <v>0</v>
      </c>
      <c r="BX47" s="362">
        <v>0</v>
      </c>
      <c r="BY47" s="362">
        <v>0</v>
      </c>
      <c r="BZ47" s="362">
        <v>0</v>
      </c>
      <c r="CA47" s="362">
        <v>0</v>
      </c>
      <c r="CB47" s="362">
        <v>0</v>
      </c>
      <c r="CC47" s="362">
        <v>0</v>
      </c>
      <c r="CD47" s="362">
        <v>0</v>
      </c>
      <c r="CE47" s="362">
        <v>0</v>
      </c>
      <c r="CF47" s="362">
        <v>0</v>
      </c>
      <c r="CG47" s="362">
        <v>0</v>
      </c>
      <c r="CH47" s="362">
        <v>0</v>
      </c>
      <c r="CI47" s="362">
        <v>0</v>
      </c>
      <c r="CJ47" s="362">
        <v>0</v>
      </c>
      <c r="CK47" s="362">
        <v>0</v>
      </c>
      <c r="CL47" s="362">
        <v>0</v>
      </c>
      <c r="CM47" s="362">
        <v>0</v>
      </c>
      <c r="CN47" s="362">
        <v>0</v>
      </c>
      <c r="CO47" s="362">
        <v>0</v>
      </c>
      <c r="CP47" s="362">
        <v>0</v>
      </c>
      <c r="CQ47" s="362">
        <v>0</v>
      </c>
      <c r="CR47" s="362">
        <v>0</v>
      </c>
      <c r="CS47" s="362">
        <v>0</v>
      </c>
      <c r="CT47" s="362">
        <v>0</v>
      </c>
      <c r="CU47" s="362">
        <v>0</v>
      </c>
      <c r="CV47" s="362">
        <v>0</v>
      </c>
      <c r="CW47" s="362">
        <v>0</v>
      </c>
      <c r="CX47" s="362">
        <v>0</v>
      </c>
      <c r="CY47" s="362">
        <v>0</v>
      </c>
      <c r="CZ47" s="362">
        <v>0.39203661752178165</v>
      </c>
      <c r="DA47" s="362">
        <v>0</v>
      </c>
      <c r="DB47" s="362">
        <v>0</v>
      </c>
      <c r="DC47" s="362">
        <v>0</v>
      </c>
      <c r="DD47" s="362">
        <v>0</v>
      </c>
      <c r="DE47" s="362">
        <v>0</v>
      </c>
      <c r="DF47" s="362">
        <v>0</v>
      </c>
      <c r="DG47" s="362">
        <v>0</v>
      </c>
      <c r="DH47" s="362">
        <v>0</v>
      </c>
      <c r="DI47" s="362">
        <v>0</v>
      </c>
      <c r="DJ47" s="362">
        <v>0.25424583843666898</v>
      </c>
      <c r="DK47" s="362">
        <v>0</v>
      </c>
      <c r="DL47" s="362">
        <v>0</v>
      </c>
      <c r="DM47" s="362">
        <v>0</v>
      </c>
      <c r="DN47" s="362">
        <v>0.51797443997638493</v>
      </c>
      <c r="DO47" s="362">
        <v>0</v>
      </c>
      <c r="DP47" s="362">
        <v>0</v>
      </c>
      <c r="DQ47" s="362">
        <v>0</v>
      </c>
      <c r="DR47" s="362">
        <v>0</v>
      </c>
      <c r="DS47" s="362">
        <v>0</v>
      </c>
      <c r="DT47" s="362">
        <v>0</v>
      </c>
      <c r="DU47" s="362">
        <v>0</v>
      </c>
      <c r="DV47" s="362">
        <v>0</v>
      </c>
      <c r="DW47" s="362">
        <v>0</v>
      </c>
      <c r="DX47" s="362">
        <v>0</v>
      </c>
      <c r="DY47" s="362">
        <v>0</v>
      </c>
      <c r="DZ47" s="362">
        <v>0</v>
      </c>
      <c r="EA47" s="362">
        <v>0</v>
      </c>
      <c r="EB47" s="362">
        <v>0</v>
      </c>
      <c r="EC47" s="362">
        <v>0</v>
      </c>
      <c r="ED47" s="362">
        <v>0</v>
      </c>
      <c r="EE47" s="362">
        <v>0</v>
      </c>
      <c r="EF47" s="362">
        <v>0</v>
      </c>
      <c r="EG47" s="362">
        <v>0</v>
      </c>
      <c r="EH47" s="362">
        <v>0</v>
      </c>
      <c r="EI47" s="362">
        <v>0</v>
      </c>
      <c r="EJ47" s="362">
        <v>0</v>
      </c>
    </row>
    <row r="48" spans="1:140" ht="17.25" x14ac:dyDescent="0.3">
      <c r="A48" s="366" t="s">
        <v>217</v>
      </c>
      <c r="B48" s="365" t="s">
        <v>216</v>
      </c>
      <c r="C48" s="362">
        <v>0</v>
      </c>
      <c r="D48" s="362">
        <v>0</v>
      </c>
      <c r="E48" s="362">
        <v>0</v>
      </c>
      <c r="F48" s="362">
        <v>0</v>
      </c>
      <c r="G48" s="362">
        <v>0</v>
      </c>
      <c r="H48" s="362">
        <v>0</v>
      </c>
      <c r="I48" s="362">
        <v>0</v>
      </c>
      <c r="J48" s="362">
        <v>0</v>
      </c>
      <c r="K48" s="362">
        <v>0</v>
      </c>
      <c r="L48" s="362">
        <v>0</v>
      </c>
      <c r="M48" s="362">
        <v>0</v>
      </c>
      <c r="N48" s="362">
        <v>0</v>
      </c>
      <c r="O48" s="362">
        <v>0</v>
      </c>
      <c r="P48" s="362">
        <v>0</v>
      </c>
      <c r="Q48" s="362">
        <v>0</v>
      </c>
      <c r="R48" s="362">
        <v>0</v>
      </c>
      <c r="S48" s="362">
        <v>0</v>
      </c>
      <c r="T48" s="362">
        <v>0</v>
      </c>
      <c r="U48" s="362">
        <v>0</v>
      </c>
      <c r="V48" s="362">
        <v>0</v>
      </c>
      <c r="W48" s="362">
        <v>0</v>
      </c>
      <c r="X48" s="362">
        <v>0</v>
      </c>
      <c r="Y48" s="362">
        <v>0</v>
      </c>
      <c r="Z48" s="362">
        <v>0</v>
      </c>
      <c r="AA48" s="362">
        <v>0</v>
      </c>
      <c r="AB48" s="362">
        <v>0</v>
      </c>
      <c r="AC48" s="362">
        <v>0</v>
      </c>
      <c r="AD48" s="362">
        <v>0</v>
      </c>
      <c r="AE48" s="362">
        <v>0</v>
      </c>
      <c r="AF48" s="362">
        <v>0</v>
      </c>
      <c r="AG48" s="362">
        <v>0</v>
      </c>
      <c r="AH48" s="362">
        <v>0</v>
      </c>
      <c r="AI48" s="362">
        <v>0</v>
      </c>
      <c r="AJ48" s="362">
        <v>0</v>
      </c>
      <c r="AK48" s="362">
        <v>0</v>
      </c>
      <c r="AL48" s="362">
        <v>0</v>
      </c>
      <c r="AM48" s="362">
        <v>0</v>
      </c>
      <c r="AN48" s="362">
        <v>0</v>
      </c>
      <c r="AO48" s="362">
        <v>0</v>
      </c>
      <c r="AP48" s="362">
        <v>0</v>
      </c>
      <c r="AQ48" s="362">
        <v>0</v>
      </c>
      <c r="AR48" s="362">
        <v>0</v>
      </c>
      <c r="AS48" s="362">
        <v>0</v>
      </c>
      <c r="AT48" s="362">
        <v>0</v>
      </c>
      <c r="AU48" s="362">
        <v>0</v>
      </c>
      <c r="AV48" s="362">
        <v>0</v>
      </c>
      <c r="AW48" s="362">
        <v>0</v>
      </c>
      <c r="AX48" s="362">
        <v>0</v>
      </c>
      <c r="AY48" s="362">
        <v>0</v>
      </c>
      <c r="AZ48" s="362">
        <v>0</v>
      </c>
      <c r="BA48" s="362">
        <v>0</v>
      </c>
      <c r="BB48" s="362">
        <v>0</v>
      </c>
      <c r="BC48" s="362">
        <v>0</v>
      </c>
      <c r="BD48" s="362">
        <v>0</v>
      </c>
      <c r="BE48" s="362">
        <v>0</v>
      </c>
      <c r="BF48" s="362">
        <v>0</v>
      </c>
      <c r="BG48" s="362">
        <v>0</v>
      </c>
      <c r="BH48" s="362">
        <v>0</v>
      </c>
      <c r="BI48" s="362">
        <v>0</v>
      </c>
      <c r="BJ48" s="362">
        <v>0</v>
      </c>
      <c r="BK48" s="362">
        <v>0</v>
      </c>
      <c r="BL48" s="362">
        <v>0</v>
      </c>
      <c r="BM48" s="362">
        <v>0</v>
      </c>
      <c r="BN48" s="362">
        <v>0</v>
      </c>
      <c r="BO48" s="362">
        <v>0</v>
      </c>
      <c r="BP48" s="362">
        <v>0</v>
      </c>
      <c r="BQ48" s="362">
        <v>0</v>
      </c>
      <c r="BR48" s="362">
        <v>0</v>
      </c>
      <c r="BS48" s="362">
        <v>0</v>
      </c>
      <c r="BT48" s="362">
        <v>0</v>
      </c>
      <c r="BU48" s="362">
        <v>0</v>
      </c>
      <c r="BV48" s="362">
        <v>0</v>
      </c>
      <c r="BW48" s="362">
        <v>0</v>
      </c>
      <c r="BX48" s="362">
        <v>0</v>
      </c>
      <c r="BY48" s="362">
        <v>0</v>
      </c>
      <c r="BZ48" s="362">
        <v>0</v>
      </c>
      <c r="CA48" s="362">
        <v>0</v>
      </c>
      <c r="CB48" s="362">
        <v>0</v>
      </c>
      <c r="CC48" s="362">
        <v>0</v>
      </c>
      <c r="CD48" s="362">
        <v>0</v>
      </c>
      <c r="CE48" s="362">
        <v>0</v>
      </c>
      <c r="CF48" s="362">
        <v>0</v>
      </c>
      <c r="CG48" s="362">
        <v>0</v>
      </c>
      <c r="CH48" s="362">
        <v>0</v>
      </c>
      <c r="CI48" s="362">
        <v>0</v>
      </c>
      <c r="CJ48" s="362">
        <v>0</v>
      </c>
      <c r="CK48" s="362">
        <v>0</v>
      </c>
      <c r="CL48" s="362">
        <v>0</v>
      </c>
      <c r="CM48" s="362">
        <v>0</v>
      </c>
      <c r="CN48" s="362">
        <v>0</v>
      </c>
      <c r="CO48" s="362">
        <v>0</v>
      </c>
      <c r="CP48" s="362">
        <v>0</v>
      </c>
      <c r="CQ48" s="362">
        <v>0</v>
      </c>
      <c r="CR48" s="362">
        <v>0</v>
      </c>
      <c r="CS48" s="362">
        <v>0</v>
      </c>
      <c r="CT48" s="362">
        <v>0</v>
      </c>
      <c r="CU48" s="362">
        <v>0</v>
      </c>
      <c r="CV48" s="362">
        <v>0</v>
      </c>
      <c r="CW48" s="362">
        <v>0</v>
      </c>
      <c r="CX48" s="362">
        <v>0</v>
      </c>
      <c r="CY48" s="362">
        <v>0</v>
      </c>
      <c r="CZ48" s="362">
        <v>0</v>
      </c>
      <c r="DA48" s="362">
        <v>0</v>
      </c>
      <c r="DB48" s="362">
        <v>0</v>
      </c>
      <c r="DC48" s="362">
        <v>0</v>
      </c>
      <c r="DD48" s="362">
        <v>0</v>
      </c>
      <c r="DE48" s="362">
        <v>0</v>
      </c>
      <c r="DF48" s="362">
        <v>0</v>
      </c>
      <c r="DG48" s="362">
        <v>0</v>
      </c>
      <c r="DH48" s="362">
        <v>0</v>
      </c>
      <c r="DI48" s="362">
        <v>0</v>
      </c>
      <c r="DJ48" s="362">
        <v>0</v>
      </c>
      <c r="DK48" s="362">
        <v>0</v>
      </c>
      <c r="DL48" s="362">
        <v>0</v>
      </c>
      <c r="DM48" s="362">
        <v>0</v>
      </c>
      <c r="DN48" s="362">
        <v>0</v>
      </c>
      <c r="DO48" s="362">
        <v>0</v>
      </c>
      <c r="DP48" s="362">
        <v>0</v>
      </c>
      <c r="DQ48" s="362">
        <v>0</v>
      </c>
      <c r="DR48" s="362">
        <v>0</v>
      </c>
      <c r="DS48" s="362">
        <v>0</v>
      </c>
      <c r="DT48" s="362">
        <v>0</v>
      </c>
      <c r="DU48" s="362">
        <v>0</v>
      </c>
      <c r="DV48" s="362">
        <v>0</v>
      </c>
      <c r="DW48" s="362">
        <v>0</v>
      </c>
      <c r="DX48" s="362">
        <v>0</v>
      </c>
      <c r="DY48" s="362">
        <v>0</v>
      </c>
      <c r="DZ48" s="362">
        <v>0</v>
      </c>
      <c r="EA48" s="362">
        <v>0</v>
      </c>
      <c r="EB48" s="362">
        <v>0</v>
      </c>
      <c r="EC48" s="362">
        <v>0</v>
      </c>
      <c r="ED48" s="362">
        <v>0</v>
      </c>
      <c r="EE48" s="362">
        <v>0</v>
      </c>
      <c r="EF48" s="362">
        <v>0</v>
      </c>
      <c r="EG48" s="362">
        <v>0</v>
      </c>
      <c r="EH48" s="362">
        <v>0</v>
      </c>
      <c r="EI48" s="362">
        <v>0</v>
      </c>
      <c r="EJ48" s="362">
        <v>0</v>
      </c>
    </row>
    <row r="49" spans="1:140" ht="17.25" x14ac:dyDescent="0.3">
      <c r="A49" s="366" t="s">
        <v>215</v>
      </c>
      <c r="B49" s="365" t="s">
        <v>214</v>
      </c>
      <c r="C49" s="362">
        <v>21.027983750261761</v>
      </c>
      <c r="D49" s="362">
        <v>1.0185091415061704</v>
      </c>
      <c r="E49" s="362">
        <v>11.108133526100824</v>
      </c>
      <c r="F49" s="362">
        <v>0.70283000399305029</v>
      </c>
      <c r="G49" s="362">
        <v>9.8815839595277932</v>
      </c>
      <c r="H49" s="362">
        <v>0</v>
      </c>
      <c r="I49" s="362">
        <v>4.3455045421485003</v>
      </c>
      <c r="J49" s="362">
        <v>0.27050212059223966</v>
      </c>
      <c r="K49" s="362">
        <v>6.6253785901517936</v>
      </c>
      <c r="L49" s="362">
        <v>0</v>
      </c>
      <c r="M49" s="362">
        <v>8.4796924457484835</v>
      </c>
      <c r="N49" s="362">
        <v>0</v>
      </c>
      <c r="O49" s="362">
        <v>3.4971763909762559</v>
      </c>
      <c r="P49" s="362">
        <v>0.66234962068189995</v>
      </c>
      <c r="Q49" s="362">
        <v>4.8063365783203356</v>
      </c>
      <c r="R49" s="362">
        <v>0.74191225978433684</v>
      </c>
      <c r="S49" s="362">
        <v>8.6418250782207497</v>
      </c>
      <c r="T49" s="362">
        <v>0.22207225903057767</v>
      </c>
      <c r="U49" s="362">
        <v>12.059714389813317</v>
      </c>
      <c r="V49" s="362">
        <v>0</v>
      </c>
      <c r="W49" s="362">
        <v>13.256979855873658</v>
      </c>
      <c r="X49" s="362">
        <v>0</v>
      </c>
      <c r="Y49" s="362">
        <v>17.382378475148464</v>
      </c>
      <c r="Z49" s="362">
        <v>0</v>
      </c>
      <c r="AA49" s="362">
        <v>20.057340783011679</v>
      </c>
      <c r="AB49" s="362">
        <v>0</v>
      </c>
      <c r="AC49" s="362">
        <v>14.467755855512761</v>
      </c>
      <c r="AD49" s="362">
        <v>0.17637813958679513</v>
      </c>
      <c r="AE49" s="362">
        <v>22.739310989270667</v>
      </c>
      <c r="AF49" s="362">
        <v>1.327473039011781</v>
      </c>
      <c r="AG49" s="362">
        <v>13.777155157224295</v>
      </c>
      <c r="AH49" s="362">
        <v>0.40860151613395507</v>
      </c>
      <c r="AI49" s="362">
        <v>14.187557095653656</v>
      </c>
      <c r="AJ49" s="362">
        <v>0</v>
      </c>
      <c r="AK49" s="362">
        <v>3.6211568396673623</v>
      </c>
      <c r="AL49" s="362">
        <v>1.7307361416494511</v>
      </c>
      <c r="AM49" s="362">
        <v>7.911869997200963</v>
      </c>
      <c r="AN49" s="362">
        <v>0</v>
      </c>
      <c r="AO49" s="362">
        <v>9.4939474389648613</v>
      </c>
      <c r="AP49" s="362">
        <v>0.12245190738366594</v>
      </c>
      <c r="AQ49" s="362">
        <v>13.332886442823504</v>
      </c>
      <c r="AR49" s="362">
        <v>0</v>
      </c>
      <c r="AS49" s="362">
        <v>17.489005993780115</v>
      </c>
      <c r="AT49" s="362">
        <v>0.18837410318479167</v>
      </c>
      <c r="AU49" s="362">
        <v>7.7110311217445933</v>
      </c>
      <c r="AV49" s="362">
        <v>0.92980134519451751</v>
      </c>
      <c r="AW49" s="362">
        <v>9.0089451189753262</v>
      </c>
      <c r="AX49" s="362">
        <v>1.9242300778615244</v>
      </c>
      <c r="AY49" s="362">
        <v>6.2854017552437007</v>
      </c>
      <c r="AZ49" s="362">
        <v>0.85284647635826905</v>
      </c>
      <c r="BA49" s="362">
        <v>9.1963934095912467</v>
      </c>
      <c r="BB49" s="362">
        <v>2.2244398037078499</v>
      </c>
      <c r="BC49" s="362">
        <v>4.4617792201822759</v>
      </c>
      <c r="BD49" s="362">
        <v>3.0571044242334141E-2</v>
      </c>
      <c r="BE49" s="362">
        <v>3.3216065202767062</v>
      </c>
      <c r="BF49" s="362">
        <v>2.5239721759101452</v>
      </c>
      <c r="BG49" s="362">
        <v>3.6525039450208103</v>
      </c>
      <c r="BH49" s="362">
        <v>2.4600818487929814</v>
      </c>
      <c r="BI49" s="362">
        <v>3.4505965830965817</v>
      </c>
      <c r="BJ49" s="362">
        <v>9.765793448113719</v>
      </c>
      <c r="BK49" s="362">
        <v>1.0119864741592441</v>
      </c>
      <c r="BL49" s="362">
        <v>1.9165683589941431</v>
      </c>
      <c r="BM49" s="362">
        <v>0</v>
      </c>
      <c r="BN49" s="362">
        <v>0.88487870964251836</v>
      </c>
      <c r="BO49" s="362">
        <v>0</v>
      </c>
      <c r="BP49" s="362">
        <v>2.0913897742890373</v>
      </c>
      <c r="BQ49" s="362">
        <v>0</v>
      </c>
      <c r="BR49" s="362">
        <v>4.4575102175068144</v>
      </c>
      <c r="BS49" s="362">
        <v>0</v>
      </c>
      <c r="BT49" s="362">
        <v>1.6185886221937171</v>
      </c>
      <c r="BU49" s="362">
        <v>0</v>
      </c>
      <c r="BV49" s="362">
        <v>7.1615462374549788</v>
      </c>
      <c r="BW49" s="362">
        <v>0</v>
      </c>
      <c r="BX49" s="362">
        <v>0</v>
      </c>
      <c r="BY49" s="362">
        <v>0</v>
      </c>
      <c r="BZ49" s="362">
        <v>1.0138858860183351</v>
      </c>
      <c r="CA49" s="362">
        <v>0</v>
      </c>
      <c r="CB49" s="362">
        <v>5.2755247171087083</v>
      </c>
      <c r="CC49" s="362">
        <v>0</v>
      </c>
      <c r="CD49" s="362">
        <v>2.0274501417016526</v>
      </c>
      <c r="CE49" s="362">
        <v>0</v>
      </c>
      <c r="CF49" s="362">
        <v>0.78351367409338568</v>
      </c>
      <c r="CG49" s="362">
        <v>0.39712405430592912</v>
      </c>
      <c r="CH49" s="362">
        <v>0.995595547926451</v>
      </c>
      <c r="CI49" s="362">
        <v>0.39712405430592912</v>
      </c>
      <c r="CJ49" s="362">
        <v>8.0595382278763221</v>
      </c>
      <c r="CK49" s="362">
        <v>0.39712405430592912</v>
      </c>
      <c r="CL49" s="362">
        <v>0.75847942813234914</v>
      </c>
      <c r="CM49" s="362">
        <v>0.70894173353237544</v>
      </c>
      <c r="CN49" s="362">
        <v>8.0217256950923694</v>
      </c>
      <c r="CO49" s="362">
        <v>2.8203819570246087</v>
      </c>
      <c r="CP49" s="362">
        <v>1.7390396960322547</v>
      </c>
      <c r="CQ49" s="362">
        <v>2.5716676502046987</v>
      </c>
      <c r="CR49" s="362">
        <v>0.57839454320805517</v>
      </c>
      <c r="CS49" s="362">
        <v>6.1798249333586979</v>
      </c>
      <c r="CT49" s="362">
        <v>1.9176421241785873</v>
      </c>
      <c r="CU49" s="362">
        <v>2.1936544419363386</v>
      </c>
      <c r="CV49" s="362">
        <v>1.979417032982097</v>
      </c>
      <c r="CW49" s="362">
        <v>2.5365751614964314</v>
      </c>
      <c r="CX49" s="362">
        <v>8.0874411370803992E-2</v>
      </c>
      <c r="CY49" s="362">
        <v>1.2976086378408103</v>
      </c>
      <c r="CZ49" s="362">
        <v>0</v>
      </c>
      <c r="DA49" s="362">
        <v>5.7633751817342249</v>
      </c>
      <c r="DB49" s="362">
        <v>0.66944487623785021</v>
      </c>
      <c r="DC49" s="362">
        <v>6.262107777046646</v>
      </c>
      <c r="DD49" s="362">
        <v>0.12269980995679164</v>
      </c>
      <c r="DE49" s="362">
        <v>4.1555089950797104</v>
      </c>
      <c r="DF49" s="362">
        <v>0</v>
      </c>
      <c r="DG49" s="362">
        <v>3.4013633858701646</v>
      </c>
      <c r="DH49" s="362">
        <v>0</v>
      </c>
      <c r="DI49" s="362">
        <v>3.2103898396725041</v>
      </c>
      <c r="DJ49" s="362">
        <v>9.1363500943427448E-2</v>
      </c>
      <c r="DK49" s="362">
        <v>7.2209816712297688</v>
      </c>
      <c r="DL49" s="362">
        <v>0</v>
      </c>
      <c r="DM49" s="362">
        <v>8.9581500005569605</v>
      </c>
      <c r="DN49" s="362">
        <v>0</v>
      </c>
      <c r="DO49" s="362">
        <v>23.832859468895446</v>
      </c>
      <c r="DP49" s="362">
        <v>0.11779238640238657</v>
      </c>
      <c r="DQ49" s="362">
        <v>54.622272262397978</v>
      </c>
      <c r="DR49" s="362">
        <v>0</v>
      </c>
      <c r="DS49" s="362">
        <v>19.668324389860569</v>
      </c>
      <c r="DT49" s="362">
        <v>5.4781202990637413E-2</v>
      </c>
      <c r="DU49" s="362">
        <v>16.757865788490449</v>
      </c>
      <c r="DV49" s="362">
        <v>0</v>
      </c>
      <c r="DW49" s="362">
        <v>9.3987849331713242</v>
      </c>
      <c r="DX49" s="362">
        <v>0</v>
      </c>
      <c r="DY49" s="362">
        <v>10.110781352954097</v>
      </c>
      <c r="DZ49" s="362">
        <v>0</v>
      </c>
      <c r="EA49" s="362">
        <v>11.118449781659391</v>
      </c>
      <c r="EB49" s="362">
        <v>0</v>
      </c>
      <c r="EC49" s="362">
        <v>6.7750217391304357</v>
      </c>
      <c r="ED49" s="362">
        <v>0</v>
      </c>
      <c r="EE49" s="362">
        <v>3.9248940629550071</v>
      </c>
      <c r="EF49" s="362">
        <v>0</v>
      </c>
      <c r="EG49" s="362">
        <v>8.306278166922862</v>
      </c>
      <c r="EH49" s="362">
        <v>0</v>
      </c>
      <c r="EI49" s="362">
        <v>11.187232270347454</v>
      </c>
      <c r="EJ49" s="362">
        <v>0</v>
      </c>
    </row>
    <row r="50" spans="1:140" ht="17.25" x14ac:dyDescent="0.3">
      <c r="A50" s="366" t="s">
        <v>213</v>
      </c>
      <c r="B50" s="365" t="s">
        <v>212</v>
      </c>
      <c r="C50" s="362">
        <v>0</v>
      </c>
      <c r="D50" s="362">
        <v>0</v>
      </c>
      <c r="E50" s="362">
        <v>0</v>
      </c>
      <c r="F50" s="362">
        <v>0</v>
      </c>
      <c r="G50" s="362">
        <v>0</v>
      </c>
      <c r="H50" s="362">
        <v>0</v>
      </c>
      <c r="I50" s="362">
        <v>0</v>
      </c>
      <c r="J50" s="362">
        <v>0</v>
      </c>
      <c r="K50" s="362">
        <v>0</v>
      </c>
      <c r="L50" s="362">
        <v>0</v>
      </c>
      <c r="M50" s="362">
        <v>0</v>
      </c>
      <c r="N50" s="362">
        <v>0</v>
      </c>
      <c r="O50" s="362">
        <v>0</v>
      </c>
      <c r="P50" s="362">
        <v>0</v>
      </c>
      <c r="Q50" s="362">
        <v>0</v>
      </c>
      <c r="R50" s="362">
        <v>0</v>
      </c>
      <c r="S50" s="362">
        <v>0</v>
      </c>
      <c r="T50" s="362">
        <v>0</v>
      </c>
      <c r="U50" s="362">
        <v>0</v>
      </c>
      <c r="V50" s="362">
        <v>0</v>
      </c>
      <c r="W50" s="362">
        <v>0</v>
      </c>
      <c r="X50" s="362">
        <v>0</v>
      </c>
      <c r="Y50" s="362">
        <v>0</v>
      </c>
      <c r="Z50" s="362">
        <v>0</v>
      </c>
      <c r="AA50" s="362">
        <v>0</v>
      </c>
      <c r="AB50" s="362">
        <v>0</v>
      </c>
      <c r="AC50" s="362">
        <v>0</v>
      </c>
      <c r="AD50" s="362">
        <v>0</v>
      </c>
      <c r="AE50" s="362">
        <v>0</v>
      </c>
      <c r="AF50" s="362">
        <v>0</v>
      </c>
      <c r="AG50" s="362">
        <v>0</v>
      </c>
      <c r="AH50" s="362">
        <v>0</v>
      </c>
      <c r="AI50" s="362">
        <v>0</v>
      </c>
      <c r="AJ50" s="362">
        <v>0</v>
      </c>
      <c r="AK50" s="362">
        <v>0</v>
      </c>
      <c r="AL50" s="362">
        <v>0</v>
      </c>
      <c r="AM50" s="362">
        <v>0</v>
      </c>
      <c r="AN50" s="362">
        <v>0</v>
      </c>
      <c r="AO50" s="362">
        <v>0</v>
      </c>
      <c r="AP50" s="362">
        <v>0</v>
      </c>
      <c r="AQ50" s="362">
        <v>0</v>
      </c>
      <c r="AR50" s="362">
        <v>0</v>
      </c>
      <c r="AS50" s="362">
        <v>0</v>
      </c>
      <c r="AT50" s="362">
        <v>0</v>
      </c>
      <c r="AU50" s="362">
        <v>0</v>
      </c>
      <c r="AV50" s="362">
        <v>0</v>
      </c>
      <c r="AW50" s="362">
        <v>0</v>
      </c>
      <c r="AX50" s="362">
        <v>0</v>
      </c>
      <c r="AY50" s="362">
        <v>0</v>
      </c>
      <c r="AZ50" s="362">
        <v>0</v>
      </c>
      <c r="BA50" s="362">
        <v>0</v>
      </c>
      <c r="BB50" s="362">
        <v>0</v>
      </c>
      <c r="BC50" s="362">
        <v>0</v>
      </c>
      <c r="BD50" s="362">
        <v>0</v>
      </c>
      <c r="BE50" s="362">
        <v>0</v>
      </c>
      <c r="BF50" s="362">
        <v>0</v>
      </c>
      <c r="BG50" s="362">
        <v>0</v>
      </c>
      <c r="BH50" s="362">
        <v>0</v>
      </c>
      <c r="BI50" s="362">
        <v>0</v>
      </c>
      <c r="BJ50" s="362">
        <v>0</v>
      </c>
      <c r="BK50" s="362">
        <v>0</v>
      </c>
      <c r="BL50" s="362">
        <v>0</v>
      </c>
      <c r="BM50" s="362">
        <v>0</v>
      </c>
      <c r="BN50" s="362">
        <v>0</v>
      </c>
      <c r="BO50" s="362">
        <v>0</v>
      </c>
      <c r="BP50" s="362">
        <v>0</v>
      </c>
      <c r="BQ50" s="362">
        <v>0</v>
      </c>
      <c r="BR50" s="362">
        <v>0</v>
      </c>
      <c r="BS50" s="362">
        <v>0</v>
      </c>
      <c r="BT50" s="362">
        <v>0</v>
      </c>
      <c r="BU50" s="362">
        <v>0</v>
      </c>
      <c r="BV50" s="362">
        <v>0</v>
      </c>
      <c r="BW50" s="362">
        <v>0</v>
      </c>
      <c r="BX50" s="362">
        <v>0</v>
      </c>
      <c r="BY50" s="362">
        <v>0</v>
      </c>
      <c r="BZ50" s="362">
        <v>0</v>
      </c>
      <c r="CA50" s="362">
        <v>0</v>
      </c>
      <c r="CB50" s="362">
        <v>0</v>
      </c>
      <c r="CC50" s="362">
        <v>0</v>
      </c>
      <c r="CD50" s="362">
        <v>0</v>
      </c>
      <c r="CE50" s="362">
        <v>0</v>
      </c>
      <c r="CF50" s="362">
        <v>0</v>
      </c>
      <c r="CG50" s="362">
        <v>0</v>
      </c>
      <c r="CH50" s="362">
        <v>0</v>
      </c>
      <c r="CI50" s="362">
        <v>0</v>
      </c>
      <c r="CJ50" s="362">
        <v>0</v>
      </c>
      <c r="CK50" s="362">
        <v>0</v>
      </c>
      <c r="CL50" s="362">
        <v>0</v>
      </c>
      <c r="CM50" s="362">
        <v>0</v>
      </c>
      <c r="CN50" s="362">
        <v>0</v>
      </c>
      <c r="CO50" s="362">
        <v>0</v>
      </c>
      <c r="CP50" s="362">
        <v>0</v>
      </c>
      <c r="CQ50" s="362">
        <v>0</v>
      </c>
      <c r="CR50" s="362">
        <v>0</v>
      </c>
      <c r="CS50" s="362">
        <v>0</v>
      </c>
      <c r="CT50" s="362">
        <v>0</v>
      </c>
      <c r="CU50" s="362">
        <v>0</v>
      </c>
      <c r="CV50" s="362">
        <v>0</v>
      </c>
      <c r="CW50" s="362">
        <v>0</v>
      </c>
      <c r="CX50" s="362">
        <v>0</v>
      </c>
      <c r="CY50" s="362">
        <v>0</v>
      </c>
      <c r="CZ50" s="362">
        <v>0</v>
      </c>
      <c r="DA50" s="362">
        <v>0</v>
      </c>
      <c r="DB50" s="362">
        <v>0</v>
      </c>
      <c r="DC50" s="362">
        <v>0</v>
      </c>
      <c r="DD50" s="362">
        <v>0</v>
      </c>
      <c r="DE50" s="362">
        <v>0</v>
      </c>
      <c r="DF50" s="362">
        <v>0</v>
      </c>
      <c r="DG50" s="362">
        <v>0</v>
      </c>
      <c r="DH50" s="362">
        <v>0</v>
      </c>
      <c r="DI50" s="362">
        <v>0</v>
      </c>
      <c r="DJ50" s="362">
        <v>0</v>
      </c>
      <c r="DK50" s="362">
        <v>0</v>
      </c>
      <c r="DL50" s="362">
        <v>0</v>
      </c>
      <c r="DM50" s="362">
        <v>0</v>
      </c>
      <c r="DN50" s="362">
        <v>0</v>
      </c>
      <c r="DO50" s="362">
        <v>0</v>
      </c>
      <c r="DP50" s="362">
        <v>0</v>
      </c>
      <c r="DQ50" s="362">
        <v>0</v>
      </c>
      <c r="DR50" s="362">
        <v>0</v>
      </c>
      <c r="DS50" s="362">
        <v>0</v>
      </c>
      <c r="DT50" s="362">
        <v>0</v>
      </c>
      <c r="DU50" s="362">
        <v>0</v>
      </c>
      <c r="DV50" s="362">
        <v>0</v>
      </c>
      <c r="DW50" s="362">
        <v>0</v>
      </c>
      <c r="DX50" s="362">
        <v>0</v>
      </c>
      <c r="DY50" s="362">
        <v>0</v>
      </c>
      <c r="DZ50" s="362">
        <v>0</v>
      </c>
      <c r="EA50" s="362">
        <v>0</v>
      </c>
      <c r="EB50" s="362">
        <v>0</v>
      </c>
      <c r="EC50" s="362">
        <v>0</v>
      </c>
      <c r="ED50" s="362">
        <v>0</v>
      </c>
      <c r="EE50" s="362">
        <v>0</v>
      </c>
      <c r="EF50" s="362">
        <v>0</v>
      </c>
      <c r="EG50" s="362">
        <v>0</v>
      </c>
      <c r="EH50" s="362">
        <v>0</v>
      </c>
      <c r="EI50" s="362">
        <v>0</v>
      </c>
      <c r="EJ50" s="362">
        <v>0</v>
      </c>
    </row>
    <row r="51" spans="1:140" ht="17.25" x14ac:dyDescent="0.3">
      <c r="A51" s="366" t="s">
        <v>211</v>
      </c>
      <c r="B51" s="365" t="s">
        <v>210</v>
      </c>
      <c r="C51" s="362">
        <v>0.28053888477260008</v>
      </c>
      <c r="D51" s="362">
        <v>1.09786749988049</v>
      </c>
      <c r="E51" s="362">
        <v>1.0148952268774658</v>
      </c>
      <c r="F51" s="362">
        <v>0.1040394814044725</v>
      </c>
      <c r="G51" s="362">
        <v>0.23358894522730164</v>
      </c>
      <c r="H51" s="362">
        <v>0</v>
      </c>
      <c r="I51" s="362">
        <v>0</v>
      </c>
      <c r="J51" s="362">
        <v>0</v>
      </c>
      <c r="K51" s="362">
        <v>0.21965798973335787</v>
      </c>
      <c r="L51" s="362">
        <v>0</v>
      </c>
      <c r="M51" s="362">
        <v>0.43265117945681258</v>
      </c>
      <c r="N51" s="362">
        <v>0</v>
      </c>
      <c r="O51" s="362">
        <v>1.5107633830752305</v>
      </c>
      <c r="P51" s="362">
        <v>0</v>
      </c>
      <c r="Q51" s="362">
        <v>0.41077249328785737</v>
      </c>
      <c r="R51" s="362">
        <v>0.52367828707250652</v>
      </c>
      <c r="S51" s="362">
        <v>1.5747492860777788</v>
      </c>
      <c r="T51" s="362">
        <v>0.54442699955257856</v>
      </c>
      <c r="U51" s="362">
        <v>0.24006349797912874</v>
      </c>
      <c r="V51" s="362">
        <v>8.6570815861484505</v>
      </c>
      <c r="W51" s="362">
        <v>1.2878974444222895</v>
      </c>
      <c r="X51" s="362">
        <v>2.6808062259438059</v>
      </c>
      <c r="Y51" s="362">
        <v>0.31491661803224075</v>
      </c>
      <c r="Z51" s="362">
        <v>1.7777074939669515</v>
      </c>
      <c r="AA51" s="362">
        <v>0.53249055392464251</v>
      </c>
      <c r="AB51" s="362">
        <v>0.24372062756961246</v>
      </c>
      <c r="AC51" s="362">
        <v>3.7630865014281242E-2</v>
      </c>
      <c r="AD51" s="362">
        <v>0</v>
      </c>
      <c r="AE51" s="362">
        <v>0.33150631732187957</v>
      </c>
      <c r="AF51" s="362">
        <v>0.33150631732187957</v>
      </c>
      <c r="AG51" s="362">
        <v>0.86797519184427419</v>
      </c>
      <c r="AH51" s="362">
        <v>0.70743093986301253</v>
      </c>
      <c r="AI51" s="362">
        <v>0.23452092322625034</v>
      </c>
      <c r="AJ51" s="362">
        <v>0</v>
      </c>
      <c r="AK51" s="362">
        <v>0.3174076791088038</v>
      </c>
      <c r="AL51" s="362">
        <v>0.3174076791088038</v>
      </c>
      <c r="AM51" s="362">
        <v>0.44908204202831192</v>
      </c>
      <c r="AN51" s="362">
        <v>0.44908204202831192</v>
      </c>
      <c r="AO51" s="362">
        <v>0</v>
      </c>
      <c r="AP51" s="362">
        <v>0</v>
      </c>
      <c r="AQ51" s="362">
        <v>0.32295069765040918</v>
      </c>
      <c r="AR51" s="362">
        <v>0.32295069765040918</v>
      </c>
      <c r="AS51" s="362">
        <v>1.2100043321842375</v>
      </c>
      <c r="AT51" s="362">
        <v>1.2100043321842375</v>
      </c>
      <c r="AU51" s="362">
        <v>0.24114553222467658</v>
      </c>
      <c r="AV51" s="362">
        <v>0.26691581851760637</v>
      </c>
      <c r="AW51" s="362">
        <v>0.32765078323577324</v>
      </c>
      <c r="AX51" s="362">
        <v>0.32765078323577324</v>
      </c>
      <c r="AY51" s="362">
        <v>0.14416034490678564</v>
      </c>
      <c r="AZ51" s="362">
        <v>0.14416034490678564</v>
      </c>
      <c r="BA51" s="362">
        <v>0</v>
      </c>
      <c r="BB51" s="362">
        <v>0</v>
      </c>
      <c r="BC51" s="362">
        <v>0</v>
      </c>
      <c r="BD51" s="362">
        <v>0</v>
      </c>
      <c r="BE51" s="362">
        <v>3.5656177775618789E-2</v>
      </c>
      <c r="BF51" s="362">
        <v>3.5656177775618789E-2</v>
      </c>
      <c r="BG51" s="362">
        <v>0</v>
      </c>
      <c r="BH51" s="362">
        <v>0</v>
      </c>
      <c r="BI51" s="362">
        <v>0</v>
      </c>
      <c r="BJ51" s="362">
        <v>0</v>
      </c>
      <c r="BK51" s="362">
        <v>0</v>
      </c>
      <c r="BL51" s="362">
        <v>0</v>
      </c>
      <c r="BM51" s="362">
        <v>0</v>
      </c>
      <c r="BN51" s="362">
        <v>0</v>
      </c>
      <c r="BO51" s="362">
        <v>0</v>
      </c>
      <c r="BP51" s="362">
        <v>0</v>
      </c>
      <c r="BQ51" s="362">
        <v>0</v>
      </c>
      <c r="BR51" s="362">
        <v>0</v>
      </c>
      <c r="BS51" s="362">
        <v>0</v>
      </c>
      <c r="BT51" s="362">
        <v>0</v>
      </c>
      <c r="BU51" s="362">
        <v>0</v>
      </c>
      <c r="BV51" s="362">
        <v>0</v>
      </c>
      <c r="BW51" s="362">
        <v>0</v>
      </c>
      <c r="BX51" s="362">
        <v>0</v>
      </c>
      <c r="BY51" s="362">
        <v>0</v>
      </c>
      <c r="BZ51" s="362">
        <v>0</v>
      </c>
      <c r="CA51" s="362">
        <v>0</v>
      </c>
      <c r="CB51" s="362">
        <v>0</v>
      </c>
      <c r="CC51" s="362">
        <v>0</v>
      </c>
      <c r="CD51" s="362">
        <v>0</v>
      </c>
      <c r="CE51" s="362">
        <v>0</v>
      </c>
      <c r="CF51" s="362">
        <v>0</v>
      </c>
      <c r="CG51" s="362">
        <v>0</v>
      </c>
      <c r="CH51" s="362">
        <v>0</v>
      </c>
      <c r="CI51" s="362">
        <v>0</v>
      </c>
      <c r="CJ51" s="362">
        <v>0</v>
      </c>
      <c r="CK51" s="362">
        <v>0</v>
      </c>
      <c r="CL51" s="362">
        <v>0</v>
      </c>
      <c r="CM51" s="362">
        <v>8.847849412203769E-2</v>
      </c>
      <c r="CN51" s="362">
        <v>8.847849412203769E-2</v>
      </c>
      <c r="CO51" s="362">
        <v>2.0165616900309356E-2</v>
      </c>
      <c r="CP51" s="362">
        <v>2.0165616900309356E-2</v>
      </c>
      <c r="CQ51" s="362">
        <v>0</v>
      </c>
      <c r="CR51" s="362">
        <v>0</v>
      </c>
      <c r="CS51" s="362">
        <v>1.3317143832900518</v>
      </c>
      <c r="CT51" s="362">
        <v>1.3317143832900518</v>
      </c>
      <c r="CU51" s="362">
        <v>0.26899280772780859</v>
      </c>
      <c r="CV51" s="362">
        <v>0.26899280772780859</v>
      </c>
      <c r="CW51" s="362">
        <v>0.8402280163622432</v>
      </c>
      <c r="CX51" s="362">
        <v>0.4353784621401432</v>
      </c>
      <c r="CY51" s="362">
        <v>0</v>
      </c>
      <c r="CZ51" s="362">
        <v>0</v>
      </c>
      <c r="DA51" s="362">
        <v>0.16575189963698875</v>
      </c>
      <c r="DB51" s="362">
        <v>0.16575189963698875</v>
      </c>
      <c r="DC51" s="362">
        <v>1.4112442998541317</v>
      </c>
      <c r="DD51" s="362">
        <v>0.64785039504139075</v>
      </c>
      <c r="DE51" s="362">
        <v>0.37641696927233165</v>
      </c>
      <c r="DF51" s="362">
        <v>0.37641696927233159</v>
      </c>
      <c r="DG51" s="362">
        <v>0.42016246004629115</v>
      </c>
      <c r="DH51" s="362">
        <v>0.42016246004629121</v>
      </c>
      <c r="DI51" s="362">
        <v>0</v>
      </c>
      <c r="DJ51" s="362">
        <v>0</v>
      </c>
      <c r="DK51" s="362">
        <v>0</v>
      </c>
      <c r="DL51" s="362">
        <v>0</v>
      </c>
      <c r="DM51" s="362">
        <v>0</v>
      </c>
      <c r="DN51" s="362">
        <v>0</v>
      </c>
      <c r="DO51" s="362">
        <v>0</v>
      </c>
      <c r="DP51" s="362">
        <v>0</v>
      </c>
      <c r="DQ51" s="362">
        <v>0</v>
      </c>
      <c r="DR51" s="362">
        <v>0</v>
      </c>
      <c r="DS51" s="362">
        <v>0.11933361772828308</v>
      </c>
      <c r="DT51" s="362">
        <v>0.11933361772828308</v>
      </c>
      <c r="DU51" s="362">
        <v>1.445015510005474</v>
      </c>
      <c r="DV51" s="362">
        <v>0</v>
      </c>
      <c r="DW51" s="362">
        <v>5.2989767858284829</v>
      </c>
      <c r="DX51" s="362">
        <v>4.7575195583125486E-2</v>
      </c>
      <c r="DY51" s="362">
        <v>2.0631627498352731</v>
      </c>
      <c r="DZ51" s="362">
        <v>0.37531298045244893</v>
      </c>
      <c r="EA51" s="362">
        <v>0.16842893013100438</v>
      </c>
      <c r="EB51" s="362">
        <v>0.19373897379912663</v>
      </c>
      <c r="EC51" s="362">
        <v>8.5829782608695643E-2</v>
      </c>
      <c r="ED51" s="362">
        <v>8.5829782608695643E-2</v>
      </c>
      <c r="EE51" s="362">
        <v>1.8977258630033234E-2</v>
      </c>
      <c r="EF51" s="362">
        <v>1.8977258630033234E-2</v>
      </c>
      <c r="EG51" s="362">
        <v>2.5289108609011915E-2</v>
      </c>
      <c r="EH51" s="362">
        <v>2.5289108609011915E-2</v>
      </c>
      <c r="EI51" s="362">
        <v>0.24832839741216706</v>
      </c>
      <c r="EJ51" s="362">
        <v>0.24832839741216708</v>
      </c>
    </row>
    <row r="52" spans="1:140" s="367" customFormat="1" ht="17.25" x14ac:dyDescent="0.3">
      <c r="A52" s="366" t="s">
        <v>209</v>
      </c>
      <c r="B52" s="365" t="s">
        <v>208</v>
      </c>
      <c r="C52" s="362"/>
      <c r="D52" s="362"/>
      <c r="E52" s="362"/>
      <c r="F52" s="362"/>
      <c r="G52" s="362"/>
      <c r="H52" s="362"/>
      <c r="I52" s="362"/>
      <c r="J52" s="362"/>
      <c r="K52" s="362">
        <v>0</v>
      </c>
      <c r="L52" s="362">
        <v>0</v>
      </c>
      <c r="M52" s="362">
        <v>0</v>
      </c>
      <c r="N52" s="362">
        <v>0</v>
      </c>
      <c r="O52" s="362">
        <v>0</v>
      </c>
      <c r="P52" s="362">
        <v>0</v>
      </c>
      <c r="Q52" s="362">
        <v>0</v>
      </c>
      <c r="R52" s="362">
        <v>0</v>
      </c>
      <c r="S52" s="362">
        <v>0</v>
      </c>
      <c r="T52" s="362">
        <v>0</v>
      </c>
      <c r="U52" s="362">
        <v>0</v>
      </c>
      <c r="V52" s="362">
        <v>0</v>
      </c>
      <c r="W52" s="362">
        <v>0</v>
      </c>
      <c r="X52" s="362">
        <v>0</v>
      </c>
      <c r="Y52" s="362">
        <v>0</v>
      </c>
      <c r="Z52" s="362">
        <v>0</v>
      </c>
      <c r="AA52" s="362">
        <v>0</v>
      </c>
      <c r="AB52" s="362">
        <v>0</v>
      </c>
      <c r="AC52" s="362">
        <v>0</v>
      </c>
      <c r="AD52" s="362">
        <v>0</v>
      </c>
      <c r="AE52" s="362">
        <v>0</v>
      </c>
      <c r="AF52" s="362">
        <v>0</v>
      </c>
      <c r="AG52" s="362">
        <v>0</v>
      </c>
      <c r="AH52" s="362">
        <v>0</v>
      </c>
      <c r="AI52" s="362">
        <v>0</v>
      </c>
      <c r="AJ52" s="362">
        <v>0</v>
      </c>
      <c r="AK52" s="362">
        <v>0</v>
      </c>
      <c r="AL52" s="362">
        <v>0</v>
      </c>
      <c r="AM52" s="362">
        <v>0</v>
      </c>
      <c r="AN52" s="362">
        <v>0</v>
      </c>
      <c r="AO52" s="362">
        <v>0</v>
      </c>
      <c r="AP52" s="362">
        <v>0</v>
      </c>
      <c r="AQ52" s="362">
        <v>0</v>
      </c>
      <c r="AR52" s="362">
        <v>0</v>
      </c>
      <c r="AS52" s="362">
        <v>0</v>
      </c>
      <c r="AT52" s="362">
        <v>0</v>
      </c>
      <c r="AU52" s="362">
        <v>0</v>
      </c>
      <c r="AV52" s="362">
        <v>0</v>
      </c>
      <c r="AW52" s="362">
        <v>0</v>
      </c>
      <c r="AX52" s="362">
        <v>0</v>
      </c>
      <c r="AY52" s="362">
        <v>0</v>
      </c>
      <c r="AZ52" s="362">
        <v>0</v>
      </c>
      <c r="BA52" s="362">
        <v>0</v>
      </c>
      <c r="BB52" s="362">
        <v>0</v>
      </c>
      <c r="BC52" s="362">
        <v>0</v>
      </c>
      <c r="BD52" s="362">
        <v>0</v>
      </c>
      <c r="BE52" s="362">
        <v>0</v>
      </c>
      <c r="BF52" s="362">
        <v>0</v>
      </c>
      <c r="BG52" s="362">
        <v>0</v>
      </c>
      <c r="BH52" s="362">
        <v>0</v>
      </c>
      <c r="BI52" s="362">
        <v>0</v>
      </c>
      <c r="BJ52" s="362">
        <v>0</v>
      </c>
      <c r="BK52" s="362">
        <v>0</v>
      </c>
      <c r="BL52" s="362">
        <v>0</v>
      </c>
      <c r="BM52" s="362">
        <v>0</v>
      </c>
      <c r="BN52" s="362">
        <v>0</v>
      </c>
      <c r="BO52" s="362">
        <v>0</v>
      </c>
      <c r="BP52" s="362">
        <v>0</v>
      </c>
      <c r="BQ52" s="362">
        <v>0</v>
      </c>
      <c r="BR52" s="362">
        <v>0</v>
      </c>
      <c r="BS52" s="362">
        <v>0</v>
      </c>
      <c r="BT52" s="362">
        <v>0</v>
      </c>
      <c r="BU52" s="362">
        <v>0</v>
      </c>
      <c r="BV52" s="362">
        <v>0</v>
      </c>
      <c r="BW52" s="362">
        <v>0</v>
      </c>
      <c r="BX52" s="362">
        <v>0</v>
      </c>
      <c r="BY52" s="362">
        <v>0</v>
      </c>
      <c r="BZ52" s="362">
        <v>0</v>
      </c>
      <c r="CA52" s="362">
        <v>0</v>
      </c>
      <c r="CB52" s="362">
        <v>0</v>
      </c>
      <c r="CC52" s="362">
        <v>0</v>
      </c>
      <c r="CD52" s="362">
        <v>0</v>
      </c>
      <c r="CE52" s="362">
        <v>0</v>
      </c>
      <c r="CF52" s="362">
        <v>0</v>
      </c>
      <c r="CG52" s="362">
        <v>0</v>
      </c>
      <c r="CH52" s="362">
        <v>0</v>
      </c>
      <c r="CI52" s="362">
        <v>0</v>
      </c>
      <c r="CJ52" s="362">
        <v>0</v>
      </c>
      <c r="CK52" s="362">
        <v>0</v>
      </c>
      <c r="CL52" s="362">
        <v>0</v>
      </c>
      <c r="CM52" s="362">
        <v>0</v>
      </c>
      <c r="CN52" s="362">
        <v>0</v>
      </c>
      <c r="CO52" s="362">
        <v>0</v>
      </c>
      <c r="CP52" s="362">
        <v>0</v>
      </c>
      <c r="CQ52" s="362">
        <v>0</v>
      </c>
      <c r="CR52" s="362">
        <v>0</v>
      </c>
      <c r="CS52" s="362">
        <v>0</v>
      </c>
      <c r="CT52" s="362">
        <v>0</v>
      </c>
      <c r="CU52" s="362">
        <v>0</v>
      </c>
      <c r="CV52" s="362">
        <v>0</v>
      </c>
      <c r="CW52" s="362">
        <v>0</v>
      </c>
      <c r="CX52" s="362">
        <v>0</v>
      </c>
      <c r="CY52" s="362">
        <v>0</v>
      </c>
      <c r="CZ52" s="362">
        <v>0</v>
      </c>
      <c r="DA52" s="362">
        <v>0</v>
      </c>
      <c r="DB52" s="362">
        <v>0</v>
      </c>
      <c r="DC52" s="362">
        <v>0</v>
      </c>
      <c r="DD52" s="362">
        <v>0</v>
      </c>
      <c r="DE52" s="362">
        <v>0</v>
      </c>
      <c r="DF52" s="362">
        <v>0</v>
      </c>
      <c r="DG52" s="362">
        <v>0</v>
      </c>
      <c r="DH52" s="362">
        <v>0</v>
      </c>
      <c r="DI52" s="362">
        <v>0</v>
      </c>
      <c r="DJ52" s="362">
        <v>0</v>
      </c>
      <c r="DK52" s="362">
        <v>0</v>
      </c>
      <c r="DL52" s="362">
        <v>0</v>
      </c>
      <c r="DM52" s="362">
        <v>0</v>
      </c>
      <c r="DN52" s="362">
        <v>0</v>
      </c>
      <c r="DO52" s="362">
        <v>0</v>
      </c>
      <c r="DP52" s="362">
        <v>0</v>
      </c>
      <c r="DQ52" s="362">
        <v>0</v>
      </c>
      <c r="DR52" s="362">
        <v>0</v>
      </c>
      <c r="DS52" s="362">
        <v>0</v>
      </c>
      <c r="DT52" s="362">
        <v>0</v>
      </c>
      <c r="DU52" s="362">
        <v>0</v>
      </c>
      <c r="DV52" s="362">
        <v>0</v>
      </c>
      <c r="DW52" s="362">
        <v>0</v>
      </c>
      <c r="DX52" s="362">
        <v>0</v>
      </c>
      <c r="DY52" s="362">
        <v>0</v>
      </c>
      <c r="DZ52" s="362">
        <v>0</v>
      </c>
      <c r="EA52" s="362">
        <v>0</v>
      </c>
      <c r="EB52" s="362">
        <v>0</v>
      </c>
      <c r="EC52" s="362">
        <v>0</v>
      </c>
      <c r="ED52" s="362">
        <v>0</v>
      </c>
      <c r="EE52" s="362">
        <v>0</v>
      </c>
      <c r="EF52" s="362">
        <v>0</v>
      </c>
      <c r="EG52" s="362">
        <v>0</v>
      </c>
      <c r="EH52" s="362">
        <v>0</v>
      </c>
      <c r="EI52" s="362">
        <v>0</v>
      </c>
      <c r="EJ52" s="362">
        <v>0</v>
      </c>
    </row>
    <row r="53" spans="1:140" ht="17.25" x14ac:dyDescent="0.3">
      <c r="A53" s="366" t="s">
        <v>207</v>
      </c>
      <c r="B53" s="365" t="s">
        <v>206</v>
      </c>
      <c r="C53" s="362">
        <v>0</v>
      </c>
      <c r="D53" s="362">
        <v>0</v>
      </c>
      <c r="E53" s="362">
        <v>0</v>
      </c>
      <c r="F53" s="362">
        <v>0</v>
      </c>
      <c r="G53" s="362">
        <v>0</v>
      </c>
      <c r="H53" s="362">
        <v>0</v>
      </c>
      <c r="I53" s="362">
        <v>0</v>
      </c>
      <c r="J53" s="362">
        <v>0</v>
      </c>
      <c r="K53" s="362">
        <v>0</v>
      </c>
      <c r="L53" s="362">
        <v>0</v>
      </c>
      <c r="M53" s="362">
        <v>0</v>
      </c>
      <c r="N53" s="362">
        <v>0</v>
      </c>
      <c r="O53" s="362">
        <v>0</v>
      </c>
      <c r="P53" s="362">
        <v>0</v>
      </c>
      <c r="Q53" s="362">
        <v>0</v>
      </c>
      <c r="R53" s="362">
        <v>0</v>
      </c>
      <c r="S53" s="362">
        <v>0</v>
      </c>
      <c r="T53" s="362">
        <v>0</v>
      </c>
      <c r="U53" s="362">
        <v>0</v>
      </c>
      <c r="V53" s="362">
        <v>0</v>
      </c>
      <c r="W53" s="362">
        <v>0</v>
      </c>
      <c r="X53" s="362">
        <v>0</v>
      </c>
      <c r="Y53" s="362">
        <v>0</v>
      </c>
      <c r="Z53" s="362">
        <v>0</v>
      </c>
      <c r="AA53" s="362">
        <v>0</v>
      </c>
      <c r="AB53" s="362">
        <v>0</v>
      </c>
      <c r="AC53" s="362">
        <v>0</v>
      </c>
      <c r="AD53" s="362">
        <v>0</v>
      </c>
      <c r="AE53" s="362">
        <v>0</v>
      </c>
      <c r="AF53" s="362">
        <v>0</v>
      </c>
      <c r="AG53" s="362">
        <v>0</v>
      </c>
      <c r="AH53" s="362">
        <v>0</v>
      </c>
      <c r="AI53" s="362">
        <v>0</v>
      </c>
      <c r="AJ53" s="362">
        <v>0</v>
      </c>
      <c r="AK53" s="362">
        <v>0</v>
      </c>
      <c r="AL53" s="362">
        <v>0</v>
      </c>
      <c r="AM53" s="362">
        <v>0</v>
      </c>
      <c r="AN53" s="362">
        <v>0</v>
      </c>
      <c r="AO53" s="362">
        <v>0</v>
      </c>
      <c r="AP53" s="362">
        <v>0</v>
      </c>
      <c r="AQ53" s="362">
        <v>0</v>
      </c>
      <c r="AR53" s="362">
        <v>0</v>
      </c>
      <c r="AS53" s="362">
        <v>0</v>
      </c>
      <c r="AT53" s="362">
        <v>0</v>
      </c>
      <c r="AU53" s="362">
        <v>0</v>
      </c>
      <c r="AV53" s="362">
        <v>0</v>
      </c>
      <c r="AW53" s="362">
        <v>0</v>
      </c>
      <c r="AX53" s="362">
        <v>0</v>
      </c>
      <c r="AY53" s="362">
        <v>0</v>
      </c>
      <c r="AZ53" s="362">
        <v>0</v>
      </c>
      <c r="BA53" s="362">
        <v>0</v>
      </c>
      <c r="BB53" s="362">
        <v>0</v>
      </c>
      <c r="BC53" s="362">
        <v>0</v>
      </c>
      <c r="BD53" s="362">
        <v>0</v>
      </c>
      <c r="BE53" s="362">
        <v>0</v>
      </c>
      <c r="BF53" s="362">
        <v>0</v>
      </c>
      <c r="BG53" s="362">
        <v>0</v>
      </c>
      <c r="BH53" s="362">
        <v>0</v>
      </c>
      <c r="BI53" s="362">
        <v>0</v>
      </c>
      <c r="BJ53" s="362">
        <v>0</v>
      </c>
      <c r="BK53" s="362">
        <v>0</v>
      </c>
      <c r="BL53" s="362">
        <v>0</v>
      </c>
      <c r="BM53" s="362">
        <v>0</v>
      </c>
      <c r="BN53" s="362">
        <v>0</v>
      </c>
      <c r="BO53" s="362">
        <v>0</v>
      </c>
      <c r="BP53" s="362">
        <v>0</v>
      </c>
      <c r="BQ53" s="362">
        <v>0</v>
      </c>
      <c r="BR53" s="362">
        <v>0</v>
      </c>
      <c r="BS53" s="362">
        <v>0</v>
      </c>
      <c r="BT53" s="362">
        <v>0</v>
      </c>
      <c r="BU53" s="362">
        <v>0</v>
      </c>
      <c r="BV53" s="362">
        <v>0</v>
      </c>
      <c r="BW53" s="362">
        <v>0</v>
      </c>
      <c r="BX53" s="362">
        <v>0</v>
      </c>
      <c r="BY53" s="362">
        <v>0</v>
      </c>
      <c r="BZ53" s="362">
        <v>0</v>
      </c>
      <c r="CA53" s="362">
        <v>0</v>
      </c>
      <c r="CB53" s="362">
        <v>0</v>
      </c>
      <c r="CC53" s="362">
        <v>0.1103232300867832</v>
      </c>
      <c r="CD53" s="362">
        <v>0</v>
      </c>
      <c r="CE53" s="362">
        <v>0</v>
      </c>
      <c r="CF53" s="362">
        <v>0</v>
      </c>
      <c r="CG53" s="362">
        <v>0</v>
      </c>
      <c r="CH53" s="362">
        <v>0</v>
      </c>
      <c r="CI53" s="362">
        <v>0</v>
      </c>
      <c r="CJ53" s="362">
        <v>0</v>
      </c>
      <c r="CK53" s="362">
        <v>0</v>
      </c>
      <c r="CL53" s="362">
        <v>0.29154306470766289</v>
      </c>
      <c r="CM53" s="362">
        <v>0</v>
      </c>
      <c r="CN53" s="362">
        <v>0</v>
      </c>
      <c r="CO53" s="362">
        <v>0</v>
      </c>
      <c r="CP53" s="362">
        <v>0.41312486645671342</v>
      </c>
      <c r="CQ53" s="362">
        <v>0</v>
      </c>
      <c r="CR53" s="362">
        <v>0</v>
      </c>
      <c r="CS53" s="362">
        <v>0</v>
      </c>
      <c r="CT53" s="362">
        <v>0</v>
      </c>
      <c r="CU53" s="362">
        <v>0.12741836725368524</v>
      </c>
      <c r="CV53" s="362">
        <v>0</v>
      </c>
      <c r="CW53" s="362">
        <v>0.10010391252248216</v>
      </c>
      <c r="CX53" s="362">
        <v>0</v>
      </c>
      <c r="CY53" s="362">
        <v>9.2287513352955222E-2</v>
      </c>
      <c r="CZ53" s="362">
        <v>0</v>
      </c>
      <c r="DA53" s="362">
        <v>0</v>
      </c>
      <c r="DB53" s="362">
        <v>0</v>
      </c>
      <c r="DC53" s="362">
        <v>0</v>
      </c>
      <c r="DD53" s="362">
        <v>0</v>
      </c>
      <c r="DE53" s="362">
        <v>5.5075353863359225E-2</v>
      </c>
      <c r="DF53" s="362">
        <v>0</v>
      </c>
      <c r="DG53" s="362">
        <v>0</v>
      </c>
      <c r="DH53" s="362">
        <v>0</v>
      </c>
      <c r="DI53" s="362">
        <v>0</v>
      </c>
      <c r="DJ53" s="362">
        <v>0</v>
      </c>
      <c r="DK53" s="362">
        <v>0</v>
      </c>
      <c r="DL53" s="362">
        <v>0</v>
      </c>
      <c r="DM53" s="362">
        <v>0</v>
      </c>
      <c r="DN53" s="362">
        <v>0</v>
      </c>
      <c r="DO53" s="362">
        <v>5.3069726950202449E-2</v>
      </c>
      <c r="DP53" s="362">
        <v>0</v>
      </c>
      <c r="DQ53" s="362">
        <v>5.7689821964311223E-2</v>
      </c>
      <c r="DR53" s="362">
        <v>0</v>
      </c>
      <c r="DS53" s="362">
        <v>0</v>
      </c>
      <c r="DT53" s="362">
        <v>0</v>
      </c>
      <c r="DU53" s="362">
        <v>0</v>
      </c>
      <c r="DV53" s="362">
        <v>0</v>
      </c>
      <c r="DW53" s="362">
        <v>0</v>
      </c>
      <c r="DX53" s="362">
        <v>0</v>
      </c>
      <c r="DY53" s="362">
        <v>0</v>
      </c>
      <c r="DZ53" s="362">
        <v>0</v>
      </c>
      <c r="EA53" s="362">
        <v>0</v>
      </c>
      <c r="EB53" s="362">
        <v>0</v>
      </c>
      <c r="EC53" s="362">
        <v>0.12456521739130436</v>
      </c>
      <c r="ED53" s="362">
        <v>0</v>
      </c>
      <c r="EE53" s="362">
        <v>0</v>
      </c>
      <c r="EF53" s="362">
        <v>0</v>
      </c>
      <c r="EG53" s="362">
        <v>0</v>
      </c>
      <c r="EH53" s="362">
        <v>0</v>
      </c>
      <c r="EI53" s="362">
        <v>0</v>
      </c>
      <c r="EJ53" s="362">
        <v>0</v>
      </c>
    </row>
    <row r="54" spans="1:140" ht="17.25" x14ac:dyDescent="0.3">
      <c r="A54" s="366" t="s">
        <v>205</v>
      </c>
      <c r="B54" s="365" t="s">
        <v>204</v>
      </c>
      <c r="C54" s="362">
        <v>0</v>
      </c>
      <c r="D54" s="362">
        <v>0</v>
      </c>
      <c r="E54" s="362">
        <v>0</v>
      </c>
      <c r="F54" s="362">
        <v>0</v>
      </c>
      <c r="G54" s="362">
        <v>0</v>
      </c>
      <c r="H54" s="362">
        <v>0</v>
      </c>
      <c r="I54" s="362">
        <v>0</v>
      </c>
      <c r="J54" s="362">
        <v>0</v>
      </c>
      <c r="K54" s="362">
        <v>0</v>
      </c>
      <c r="L54" s="362">
        <v>0</v>
      </c>
      <c r="M54" s="362">
        <v>0</v>
      </c>
      <c r="N54" s="362">
        <v>0</v>
      </c>
      <c r="O54" s="362">
        <v>0</v>
      </c>
      <c r="P54" s="362">
        <v>0</v>
      </c>
      <c r="Q54" s="362">
        <v>0</v>
      </c>
      <c r="R54" s="362">
        <v>0</v>
      </c>
      <c r="S54" s="362">
        <v>0</v>
      </c>
      <c r="T54" s="362">
        <v>0</v>
      </c>
      <c r="U54" s="362">
        <v>0</v>
      </c>
      <c r="V54" s="362">
        <v>0</v>
      </c>
      <c r="W54" s="362">
        <v>0</v>
      </c>
      <c r="X54" s="362">
        <v>0</v>
      </c>
      <c r="Y54" s="362">
        <v>0</v>
      </c>
      <c r="Z54" s="362">
        <v>0</v>
      </c>
      <c r="AA54" s="362">
        <v>0</v>
      </c>
      <c r="AB54" s="362">
        <v>0</v>
      </c>
      <c r="AC54" s="362">
        <v>0</v>
      </c>
      <c r="AD54" s="362">
        <v>0</v>
      </c>
      <c r="AE54" s="362">
        <v>0</v>
      </c>
      <c r="AF54" s="362">
        <v>0</v>
      </c>
      <c r="AG54" s="362">
        <v>0</v>
      </c>
      <c r="AH54" s="362">
        <v>0</v>
      </c>
      <c r="AI54" s="362">
        <v>0</v>
      </c>
      <c r="AJ54" s="362">
        <v>0</v>
      </c>
      <c r="AK54" s="362">
        <v>0</v>
      </c>
      <c r="AL54" s="362">
        <v>0</v>
      </c>
      <c r="AM54" s="362">
        <v>0</v>
      </c>
      <c r="AN54" s="362">
        <v>0</v>
      </c>
      <c r="AO54" s="362">
        <v>0</v>
      </c>
      <c r="AP54" s="362">
        <v>0</v>
      </c>
      <c r="AQ54" s="362">
        <v>0</v>
      </c>
      <c r="AR54" s="362">
        <v>0</v>
      </c>
      <c r="AS54" s="362">
        <v>0</v>
      </c>
      <c r="AT54" s="362">
        <v>0</v>
      </c>
      <c r="AU54" s="362">
        <v>0</v>
      </c>
      <c r="AV54" s="362">
        <v>0</v>
      </c>
      <c r="AW54" s="362">
        <v>0</v>
      </c>
      <c r="AX54" s="362">
        <v>0</v>
      </c>
      <c r="AY54" s="362">
        <v>0</v>
      </c>
      <c r="AZ54" s="362">
        <v>0</v>
      </c>
      <c r="BA54" s="362">
        <v>0</v>
      </c>
      <c r="BB54" s="362">
        <v>0</v>
      </c>
      <c r="BC54" s="362">
        <v>0</v>
      </c>
      <c r="BD54" s="362">
        <v>0</v>
      </c>
      <c r="BE54" s="362">
        <v>0</v>
      </c>
      <c r="BF54" s="362">
        <v>0</v>
      </c>
      <c r="BG54" s="362">
        <v>0</v>
      </c>
      <c r="BH54" s="362">
        <v>0</v>
      </c>
      <c r="BI54" s="362">
        <v>0</v>
      </c>
      <c r="BJ54" s="362">
        <v>0</v>
      </c>
      <c r="BK54" s="362">
        <v>0</v>
      </c>
      <c r="BL54" s="362">
        <v>0</v>
      </c>
      <c r="BM54" s="362">
        <v>0</v>
      </c>
      <c r="BN54" s="362">
        <v>0</v>
      </c>
      <c r="BO54" s="362">
        <v>0</v>
      </c>
      <c r="BP54" s="362">
        <v>0</v>
      </c>
      <c r="BQ54" s="362">
        <v>0</v>
      </c>
      <c r="BR54" s="362">
        <v>0</v>
      </c>
      <c r="BS54" s="362">
        <v>0</v>
      </c>
      <c r="BT54" s="362">
        <v>0</v>
      </c>
      <c r="BU54" s="362">
        <v>0</v>
      </c>
      <c r="BV54" s="362">
        <v>0</v>
      </c>
      <c r="BW54" s="362">
        <v>0</v>
      </c>
      <c r="BX54" s="362">
        <v>0</v>
      </c>
      <c r="BY54" s="362">
        <v>0</v>
      </c>
      <c r="BZ54" s="362">
        <v>0</v>
      </c>
      <c r="CA54" s="362">
        <v>0</v>
      </c>
      <c r="CB54" s="362">
        <v>0</v>
      </c>
      <c r="CC54" s="362">
        <v>0</v>
      </c>
      <c r="CD54" s="362">
        <v>0</v>
      </c>
      <c r="CE54" s="362">
        <v>0</v>
      </c>
      <c r="CF54" s="362">
        <v>0</v>
      </c>
      <c r="CG54" s="362">
        <v>0</v>
      </c>
      <c r="CH54" s="362">
        <v>0</v>
      </c>
      <c r="CI54" s="362">
        <v>0</v>
      </c>
      <c r="CJ54" s="362">
        <v>0</v>
      </c>
      <c r="CK54" s="362">
        <v>0</v>
      </c>
      <c r="CL54" s="362">
        <v>0</v>
      </c>
      <c r="CM54" s="362">
        <v>0</v>
      </c>
      <c r="CN54" s="362">
        <v>0</v>
      </c>
      <c r="CO54" s="362">
        <v>0</v>
      </c>
      <c r="CP54" s="362">
        <v>0</v>
      </c>
      <c r="CQ54" s="362">
        <v>0</v>
      </c>
      <c r="CR54" s="362">
        <v>0</v>
      </c>
      <c r="CS54" s="362">
        <v>0</v>
      </c>
      <c r="CT54" s="362">
        <v>0</v>
      </c>
      <c r="CU54" s="362">
        <v>0</v>
      </c>
      <c r="CV54" s="362">
        <v>0</v>
      </c>
      <c r="CW54" s="362">
        <v>0</v>
      </c>
      <c r="CX54" s="362">
        <v>0</v>
      </c>
      <c r="CY54" s="362">
        <v>0</v>
      </c>
      <c r="CZ54" s="362">
        <v>0</v>
      </c>
      <c r="DA54" s="362">
        <v>0</v>
      </c>
      <c r="DB54" s="362">
        <v>0</v>
      </c>
      <c r="DC54" s="362">
        <v>0</v>
      </c>
      <c r="DD54" s="362">
        <v>0</v>
      </c>
      <c r="DE54" s="362">
        <v>0</v>
      </c>
      <c r="DF54" s="362">
        <v>0</v>
      </c>
      <c r="DG54" s="362">
        <v>0</v>
      </c>
      <c r="DH54" s="362">
        <v>0</v>
      </c>
      <c r="DI54" s="362">
        <v>0</v>
      </c>
      <c r="DJ54" s="362">
        <v>0</v>
      </c>
      <c r="DK54" s="362">
        <v>0</v>
      </c>
      <c r="DL54" s="362">
        <v>0</v>
      </c>
      <c r="DM54" s="362">
        <v>0</v>
      </c>
      <c r="DN54" s="362">
        <v>0</v>
      </c>
      <c r="DO54" s="362">
        <v>0</v>
      </c>
      <c r="DP54" s="362">
        <v>0</v>
      </c>
      <c r="DQ54" s="362">
        <v>0</v>
      </c>
      <c r="DR54" s="362">
        <v>0</v>
      </c>
      <c r="DS54" s="362">
        <v>0</v>
      </c>
      <c r="DT54" s="362">
        <v>0</v>
      </c>
      <c r="DU54" s="362">
        <v>0</v>
      </c>
      <c r="DV54" s="362">
        <v>0</v>
      </c>
      <c r="DW54" s="362">
        <v>0</v>
      </c>
      <c r="DX54" s="362">
        <v>0</v>
      </c>
      <c r="DY54" s="362">
        <v>0</v>
      </c>
      <c r="DZ54" s="362">
        <v>0</v>
      </c>
      <c r="EA54" s="362">
        <v>0</v>
      </c>
      <c r="EB54" s="362">
        <v>0</v>
      </c>
      <c r="EC54" s="362">
        <v>0</v>
      </c>
      <c r="ED54" s="362">
        <v>0</v>
      </c>
      <c r="EE54" s="362">
        <v>0</v>
      </c>
      <c r="EF54" s="362">
        <v>0</v>
      </c>
      <c r="EG54" s="362">
        <v>0</v>
      </c>
      <c r="EH54" s="362">
        <v>0</v>
      </c>
      <c r="EI54" s="362">
        <v>0</v>
      </c>
      <c r="EJ54" s="362">
        <v>0</v>
      </c>
    </row>
    <row r="55" spans="1:140" s="367" customFormat="1" ht="17.25" x14ac:dyDescent="0.3">
      <c r="A55" s="366" t="s">
        <v>203</v>
      </c>
      <c r="B55" s="365" t="s">
        <v>202</v>
      </c>
      <c r="C55" s="371"/>
      <c r="D55" s="371"/>
      <c r="E55" s="371"/>
      <c r="F55" s="371"/>
      <c r="G55" s="371"/>
      <c r="H55" s="371"/>
      <c r="I55" s="371"/>
      <c r="J55" s="371"/>
      <c r="K55" s="372"/>
      <c r="L55" s="371"/>
      <c r="M55" s="371"/>
      <c r="N55" s="371"/>
      <c r="O55" s="372"/>
      <c r="P55" s="371"/>
      <c r="Q55" s="371"/>
      <c r="R55" s="370"/>
      <c r="S55" s="369"/>
      <c r="T55" s="369"/>
      <c r="U55" s="369"/>
      <c r="V55" s="369"/>
      <c r="W55" s="369"/>
      <c r="X55" s="369"/>
      <c r="Y55" s="369"/>
      <c r="Z55" s="369"/>
      <c r="AA55" s="369"/>
      <c r="AB55" s="369"/>
      <c r="AC55" s="369"/>
      <c r="AD55" s="369"/>
      <c r="AE55" s="369"/>
      <c r="AF55" s="369"/>
      <c r="AG55" s="368"/>
      <c r="AH55" s="362"/>
      <c r="AI55" s="362"/>
      <c r="AJ55" s="362"/>
      <c r="AK55" s="362"/>
      <c r="AL55" s="362"/>
      <c r="AM55" s="362"/>
      <c r="AN55" s="362"/>
      <c r="AO55" s="362"/>
      <c r="AP55" s="362"/>
      <c r="AQ55" s="362"/>
      <c r="AR55" s="362"/>
      <c r="AS55" s="362"/>
      <c r="AT55" s="362"/>
      <c r="AU55" s="362"/>
      <c r="AV55" s="362"/>
      <c r="AW55" s="362"/>
      <c r="AX55" s="362"/>
      <c r="AY55" s="362"/>
      <c r="AZ55" s="362"/>
      <c r="BA55" s="362"/>
      <c r="BB55" s="362"/>
      <c r="BC55" s="362"/>
      <c r="BD55" s="362"/>
      <c r="BE55" s="362"/>
      <c r="BF55" s="362"/>
      <c r="BG55" s="362"/>
      <c r="BH55" s="362"/>
      <c r="BI55" s="362"/>
      <c r="BJ55" s="362"/>
      <c r="BK55" s="362"/>
      <c r="BL55" s="362"/>
      <c r="BM55" s="362"/>
      <c r="BN55" s="362"/>
      <c r="BO55" s="362"/>
      <c r="BP55" s="362"/>
      <c r="BQ55" s="362"/>
      <c r="BR55" s="362"/>
      <c r="BS55" s="362"/>
      <c r="BT55" s="362"/>
      <c r="BU55" s="362"/>
      <c r="BV55" s="362"/>
      <c r="BW55" s="362"/>
      <c r="BX55" s="362"/>
      <c r="BY55" s="362"/>
      <c r="BZ55" s="362"/>
      <c r="CA55" s="362"/>
      <c r="CB55" s="362"/>
      <c r="CC55" s="362"/>
      <c r="CD55" s="362"/>
      <c r="CE55" s="362"/>
      <c r="CF55" s="362"/>
      <c r="CG55" s="362"/>
      <c r="CH55" s="362"/>
      <c r="CI55" s="362"/>
      <c r="CJ55" s="362"/>
      <c r="CK55" s="362"/>
      <c r="CL55" s="362"/>
      <c r="CM55" s="362"/>
      <c r="CN55" s="362"/>
      <c r="CO55" s="362"/>
      <c r="CP55" s="362"/>
      <c r="CQ55" s="362"/>
      <c r="CR55" s="362"/>
      <c r="CS55" s="362"/>
      <c r="CT55" s="362"/>
      <c r="CU55" s="362"/>
      <c r="CV55" s="362"/>
      <c r="CW55" s="362"/>
      <c r="CX55" s="362"/>
      <c r="CY55" s="362"/>
      <c r="CZ55" s="362"/>
      <c r="DA55" s="362"/>
      <c r="DB55" s="362"/>
      <c r="DC55" s="362"/>
      <c r="DD55" s="362"/>
      <c r="DE55" s="362"/>
      <c r="DF55" s="362"/>
      <c r="DG55" s="362"/>
      <c r="DH55" s="362"/>
      <c r="DI55" s="362"/>
      <c r="DJ55" s="362"/>
      <c r="DK55" s="362">
        <v>0</v>
      </c>
      <c r="DL55" s="362">
        <v>0</v>
      </c>
      <c r="DM55" s="362">
        <v>0</v>
      </c>
      <c r="DN55" s="362">
        <v>0</v>
      </c>
      <c r="DO55" s="362">
        <v>0</v>
      </c>
      <c r="DP55" s="362">
        <v>0</v>
      </c>
      <c r="DQ55" s="362">
        <v>0</v>
      </c>
      <c r="DR55" s="362">
        <v>0</v>
      </c>
      <c r="DS55" s="362">
        <v>0</v>
      </c>
      <c r="DT55" s="362">
        <v>0</v>
      </c>
      <c r="DU55" s="362">
        <v>0</v>
      </c>
      <c r="DV55" s="362">
        <v>0</v>
      </c>
      <c r="DW55" s="362">
        <v>0</v>
      </c>
      <c r="DX55" s="362">
        <v>0</v>
      </c>
      <c r="DY55" s="362">
        <v>0</v>
      </c>
      <c r="DZ55" s="362">
        <v>0</v>
      </c>
      <c r="EA55" s="362">
        <v>0</v>
      </c>
      <c r="EB55" s="362">
        <v>0</v>
      </c>
      <c r="EC55" s="362">
        <v>0</v>
      </c>
      <c r="ED55" s="362">
        <v>0</v>
      </c>
      <c r="EE55" s="362">
        <v>0</v>
      </c>
      <c r="EF55" s="362">
        <v>0</v>
      </c>
      <c r="EG55" s="362">
        <v>0</v>
      </c>
      <c r="EH55" s="362">
        <v>0</v>
      </c>
      <c r="EI55" s="362">
        <v>0</v>
      </c>
      <c r="EJ55" s="362">
        <v>0</v>
      </c>
    </row>
    <row r="56" spans="1:140" ht="17.25" x14ac:dyDescent="0.3">
      <c r="A56" s="366" t="s">
        <v>195</v>
      </c>
      <c r="B56" s="365" t="s">
        <v>194</v>
      </c>
      <c r="C56" s="362">
        <v>0.58578193400537448</v>
      </c>
      <c r="D56" s="362">
        <v>0</v>
      </c>
      <c r="E56" s="362">
        <v>0.57630709057395302</v>
      </c>
      <c r="F56" s="362">
        <v>0</v>
      </c>
      <c r="G56" s="362">
        <v>0.57710643950769291</v>
      </c>
      <c r="H56" s="362">
        <v>0</v>
      </c>
      <c r="I56" s="362">
        <v>0.55635281805974746</v>
      </c>
      <c r="J56" s="362">
        <v>0</v>
      </c>
      <c r="K56" s="362">
        <v>0.55382732368132648</v>
      </c>
      <c r="L56" s="362">
        <v>0</v>
      </c>
      <c r="M56" s="362">
        <v>0.55159335255450248</v>
      </c>
      <c r="N56" s="362">
        <v>0</v>
      </c>
      <c r="O56" s="362">
        <v>0.55981617523243699</v>
      </c>
      <c r="P56" s="362">
        <v>0</v>
      </c>
      <c r="Q56" s="362">
        <v>0.56231049306204606</v>
      </c>
      <c r="R56" s="362">
        <v>0</v>
      </c>
      <c r="S56" s="362">
        <v>0.56200633394680033</v>
      </c>
      <c r="T56" s="362">
        <v>0</v>
      </c>
      <c r="U56" s="362">
        <v>0.55928618320354262</v>
      </c>
      <c r="V56" s="362">
        <v>0</v>
      </c>
      <c r="W56" s="362">
        <v>0.56120094008919963</v>
      </c>
      <c r="X56" s="362">
        <v>0</v>
      </c>
      <c r="Y56" s="362">
        <v>0</v>
      </c>
      <c r="Z56" s="362">
        <v>0</v>
      </c>
      <c r="AA56" s="362">
        <v>0.56806001471736922</v>
      </c>
      <c r="AB56" s="362">
        <v>0</v>
      </c>
      <c r="AC56" s="362">
        <v>0.57209052675014405</v>
      </c>
      <c r="AD56" s="362">
        <v>0</v>
      </c>
      <c r="AE56" s="362">
        <v>0.56168704157848925</v>
      </c>
      <c r="AF56" s="362">
        <v>0</v>
      </c>
      <c r="AG56" s="362">
        <v>0</v>
      </c>
      <c r="AH56" s="362">
        <v>0</v>
      </c>
      <c r="AI56" s="362">
        <v>0</v>
      </c>
      <c r="AJ56" s="362">
        <v>0</v>
      </c>
      <c r="AK56" s="362">
        <v>0</v>
      </c>
      <c r="AL56" s="362">
        <v>0</v>
      </c>
      <c r="AM56" s="362">
        <v>0</v>
      </c>
      <c r="AN56" s="362">
        <v>0</v>
      </c>
      <c r="AO56" s="362">
        <v>0</v>
      </c>
      <c r="AP56" s="362">
        <v>0</v>
      </c>
      <c r="AQ56" s="362">
        <v>0</v>
      </c>
      <c r="AR56" s="362">
        <v>0</v>
      </c>
      <c r="AS56" s="362">
        <v>0</v>
      </c>
      <c r="AT56" s="362">
        <v>0</v>
      </c>
      <c r="AU56" s="362">
        <v>0</v>
      </c>
      <c r="AV56" s="362">
        <v>0</v>
      </c>
      <c r="AW56" s="362">
        <v>0</v>
      </c>
      <c r="AX56" s="362">
        <v>0</v>
      </c>
      <c r="AY56" s="362">
        <v>0</v>
      </c>
      <c r="AZ56" s="362">
        <v>0</v>
      </c>
      <c r="BA56" s="362">
        <v>0</v>
      </c>
      <c r="BB56" s="362">
        <v>0</v>
      </c>
      <c r="BC56" s="362">
        <v>0</v>
      </c>
      <c r="BD56" s="362">
        <v>0</v>
      </c>
      <c r="BE56" s="362">
        <v>0</v>
      </c>
      <c r="BF56" s="362">
        <v>0</v>
      </c>
      <c r="BG56" s="362">
        <v>0</v>
      </c>
      <c r="BH56" s="362">
        <v>0</v>
      </c>
      <c r="BI56" s="362">
        <v>0</v>
      </c>
      <c r="BJ56" s="362">
        <v>0</v>
      </c>
      <c r="BK56" s="362">
        <v>0</v>
      </c>
      <c r="BL56" s="362">
        <v>0</v>
      </c>
      <c r="BM56" s="362">
        <v>0</v>
      </c>
      <c r="BN56" s="362">
        <v>0</v>
      </c>
      <c r="BO56" s="362">
        <v>0</v>
      </c>
      <c r="BP56" s="362">
        <v>0</v>
      </c>
      <c r="BQ56" s="362">
        <v>0</v>
      </c>
      <c r="BR56" s="362">
        <v>0</v>
      </c>
      <c r="BS56" s="362">
        <v>0</v>
      </c>
      <c r="BT56" s="362">
        <v>0</v>
      </c>
      <c r="BU56" s="362">
        <v>0</v>
      </c>
      <c r="BV56" s="362">
        <v>0</v>
      </c>
      <c r="BW56" s="362">
        <v>0</v>
      </c>
      <c r="BX56" s="362">
        <v>0</v>
      </c>
      <c r="BY56" s="362">
        <v>0</v>
      </c>
      <c r="BZ56" s="362">
        <v>0</v>
      </c>
      <c r="CA56" s="362">
        <v>0</v>
      </c>
      <c r="CB56" s="362">
        <v>0</v>
      </c>
      <c r="CC56" s="362">
        <v>0</v>
      </c>
      <c r="CD56" s="362">
        <v>0</v>
      </c>
      <c r="CE56" s="362">
        <v>0</v>
      </c>
      <c r="CF56" s="362">
        <v>0</v>
      </c>
      <c r="CG56" s="362">
        <v>0</v>
      </c>
      <c r="CH56" s="362">
        <v>0</v>
      </c>
      <c r="CI56" s="362">
        <v>0</v>
      </c>
      <c r="CJ56" s="362">
        <v>0</v>
      </c>
      <c r="CK56" s="362">
        <v>0</v>
      </c>
      <c r="CL56" s="362">
        <v>0</v>
      </c>
      <c r="CM56" s="362">
        <v>0</v>
      </c>
      <c r="CN56" s="362">
        <v>0</v>
      </c>
      <c r="CO56" s="362">
        <v>0</v>
      </c>
      <c r="CP56" s="362">
        <v>0</v>
      </c>
      <c r="CQ56" s="362">
        <v>0</v>
      </c>
      <c r="CR56" s="362">
        <v>0</v>
      </c>
      <c r="CS56" s="362">
        <v>0</v>
      </c>
      <c r="CT56" s="362">
        <v>0</v>
      </c>
      <c r="CU56" s="362">
        <v>0</v>
      </c>
      <c r="CV56" s="362">
        <v>0</v>
      </c>
      <c r="CW56" s="362">
        <v>0</v>
      </c>
      <c r="CX56" s="362">
        <v>0</v>
      </c>
      <c r="CY56" s="362">
        <v>0</v>
      </c>
      <c r="CZ56" s="362">
        <v>0</v>
      </c>
      <c r="DA56" s="362">
        <v>0</v>
      </c>
      <c r="DB56" s="362">
        <v>0</v>
      </c>
      <c r="DC56" s="362">
        <v>0</v>
      </c>
      <c r="DD56" s="362">
        <v>0</v>
      </c>
      <c r="DE56" s="362">
        <v>0</v>
      </c>
      <c r="DF56" s="362">
        <v>0</v>
      </c>
      <c r="DG56" s="362">
        <v>0</v>
      </c>
      <c r="DH56" s="362">
        <v>0</v>
      </c>
      <c r="DI56" s="362">
        <v>0</v>
      </c>
      <c r="DJ56" s="362">
        <v>0</v>
      </c>
      <c r="DK56" s="362">
        <v>0</v>
      </c>
      <c r="DL56" s="362">
        <v>0</v>
      </c>
      <c r="DM56" s="362">
        <v>0</v>
      </c>
      <c r="DN56" s="362">
        <v>0</v>
      </c>
      <c r="DO56" s="362">
        <v>0</v>
      </c>
      <c r="DP56" s="362">
        <v>0</v>
      </c>
      <c r="DQ56" s="362">
        <v>0</v>
      </c>
      <c r="DR56" s="362">
        <v>0</v>
      </c>
      <c r="DS56" s="362">
        <v>0</v>
      </c>
      <c r="DT56" s="362">
        <v>0</v>
      </c>
      <c r="DU56" s="362">
        <v>0</v>
      </c>
      <c r="DV56" s="362">
        <v>0</v>
      </c>
      <c r="DW56" s="362">
        <v>0</v>
      </c>
      <c r="DX56" s="362">
        <v>0</v>
      </c>
      <c r="DY56" s="362">
        <v>0</v>
      </c>
      <c r="DZ56" s="362">
        <v>0</v>
      </c>
      <c r="EA56" s="362">
        <v>0</v>
      </c>
      <c r="EB56" s="362">
        <v>0</v>
      </c>
      <c r="EC56" s="362">
        <v>0</v>
      </c>
      <c r="ED56" s="362">
        <v>0</v>
      </c>
      <c r="EE56" s="362">
        <v>0</v>
      </c>
      <c r="EF56" s="362">
        <v>0</v>
      </c>
      <c r="EG56" s="362">
        <v>0</v>
      </c>
      <c r="EH56" s="362">
        <v>0</v>
      </c>
      <c r="EI56" s="362">
        <v>0</v>
      </c>
      <c r="EJ56" s="362">
        <v>0</v>
      </c>
    </row>
    <row r="57" spans="1:140" ht="18" thickBot="1" x14ac:dyDescent="0.35">
      <c r="A57" s="364"/>
      <c r="B57" s="363" t="s">
        <v>189</v>
      </c>
      <c r="C57" s="362">
        <v>0</v>
      </c>
      <c r="D57" s="362">
        <v>0</v>
      </c>
      <c r="E57" s="362">
        <v>0</v>
      </c>
      <c r="F57" s="362">
        <v>0</v>
      </c>
      <c r="G57" s="362">
        <v>0</v>
      </c>
      <c r="H57" s="362">
        <v>0</v>
      </c>
      <c r="I57" s="362">
        <v>0</v>
      </c>
      <c r="J57" s="362">
        <v>0</v>
      </c>
      <c r="K57" s="362">
        <v>0</v>
      </c>
      <c r="L57" s="362">
        <v>0</v>
      </c>
      <c r="M57" s="362">
        <v>0</v>
      </c>
      <c r="N57" s="362">
        <v>0</v>
      </c>
      <c r="O57" s="362">
        <v>0</v>
      </c>
      <c r="P57" s="362">
        <v>0</v>
      </c>
      <c r="Q57" s="362">
        <v>0</v>
      </c>
      <c r="R57" s="362">
        <v>0</v>
      </c>
      <c r="S57" s="361">
        <v>0</v>
      </c>
      <c r="T57" s="361">
        <v>0</v>
      </c>
      <c r="U57" s="361">
        <v>0</v>
      </c>
      <c r="V57" s="361">
        <v>0</v>
      </c>
      <c r="W57" s="361">
        <v>0</v>
      </c>
      <c r="X57" s="361">
        <v>0</v>
      </c>
      <c r="Y57" s="361">
        <v>0.56676791767978629</v>
      </c>
      <c r="Z57" s="361">
        <v>0</v>
      </c>
      <c r="AA57" s="361">
        <v>0</v>
      </c>
      <c r="AB57" s="361">
        <v>0</v>
      </c>
      <c r="AC57" s="361">
        <v>0</v>
      </c>
      <c r="AD57" s="361">
        <v>0</v>
      </c>
      <c r="AE57" s="361">
        <v>0</v>
      </c>
      <c r="AF57" s="361">
        <v>0</v>
      </c>
      <c r="AG57" s="361">
        <v>0.55980632809692299</v>
      </c>
      <c r="AH57" s="361">
        <v>0</v>
      </c>
      <c r="AI57" s="361">
        <v>0.55525566154546502</v>
      </c>
      <c r="AJ57" s="361">
        <v>0</v>
      </c>
      <c r="AK57" s="361">
        <v>0.55667811282022084</v>
      </c>
      <c r="AL57" s="361">
        <v>0</v>
      </c>
      <c r="AM57" s="361">
        <v>0.54878497963610895</v>
      </c>
      <c r="AN57" s="361">
        <v>0</v>
      </c>
      <c r="AO57" s="361">
        <v>0.55039137475143562</v>
      </c>
      <c r="AP57" s="361">
        <v>0</v>
      </c>
      <c r="AQ57" s="361">
        <v>0</v>
      </c>
      <c r="AR57" s="361">
        <v>0</v>
      </c>
      <c r="AS57" s="361">
        <v>0</v>
      </c>
      <c r="AT57" s="361">
        <v>0</v>
      </c>
      <c r="AU57" s="361">
        <v>0</v>
      </c>
      <c r="AV57" s="361">
        <v>0</v>
      </c>
      <c r="AW57" s="361">
        <v>0</v>
      </c>
      <c r="AX57" s="361">
        <v>0</v>
      </c>
      <c r="AY57" s="361">
        <v>0</v>
      </c>
      <c r="AZ57" s="361">
        <v>0</v>
      </c>
      <c r="BA57" s="361">
        <v>0.50187070803332223</v>
      </c>
      <c r="BB57" s="361">
        <v>0</v>
      </c>
      <c r="BC57" s="361">
        <v>0.47790427822360027</v>
      </c>
      <c r="BD57" s="361">
        <v>0</v>
      </c>
      <c r="BE57" s="361">
        <v>0</v>
      </c>
      <c r="BF57" s="361">
        <v>0</v>
      </c>
      <c r="BG57" s="361">
        <v>0.472619777118227</v>
      </c>
      <c r="BH57" s="361">
        <v>0</v>
      </c>
      <c r="BI57" s="361">
        <v>0</v>
      </c>
      <c r="BJ57" s="361">
        <v>0</v>
      </c>
      <c r="BK57" s="361">
        <v>0.50816199544451024</v>
      </c>
      <c r="BL57" s="361">
        <v>0</v>
      </c>
      <c r="BM57" s="361">
        <v>0</v>
      </c>
      <c r="BN57" s="361">
        <v>0</v>
      </c>
      <c r="BO57" s="361">
        <v>0.50114316447820129</v>
      </c>
      <c r="BP57" s="361">
        <v>0</v>
      </c>
      <c r="BQ57" s="361">
        <v>0</v>
      </c>
      <c r="BR57" s="361">
        <v>0</v>
      </c>
      <c r="BS57" s="361">
        <v>0</v>
      </c>
      <c r="BT57" s="361">
        <v>0</v>
      </c>
      <c r="BU57" s="361">
        <v>0</v>
      </c>
      <c r="BV57" s="361">
        <v>0</v>
      </c>
      <c r="BW57" s="361">
        <v>0</v>
      </c>
      <c r="BX57" s="361">
        <v>0</v>
      </c>
      <c r="BY57" s="361">
        <v>0</v>
      </c>
      <c r="BZ57" s="361">
        <v>0</v>
      </c>
      <c r="CA57" s="361">
        <v>0</v>
      </c>
      <c r="CB57" s="361">
        <v>0</v>
      </c>
      <c r="CC57" s="361">
        <v>0</v>
      </c>
      <c r="CD57" s="361">
        <v>0</v>
      </c>
      <c r="CE57" s="361">
        <v>0</v>
      </c>
      <c r="CF57" s="361">
        <v>0</v>
      </c>
      <c r="CG57" s="361">
        <v>0</v>
      </c>
      <c r="CH57" s="361">
        <v>0</v>
      </c>
      <c r="CI57" s="361">
        <v>0</v>
      </c>
      <c r="CJ57" s="361">
        <v>0</v>
      </c>
      <c r="CK57" s="361">
        <v>0</v>
      </c>
      <c r="CL57" s="361">
        <v>0</v>
      </c>
      <c r="CM57" s="361">
        <v>0</v>
      </c>
      <c r="CN57" s="361">
        <v>0</v>
      </c>
      <c r="CO57" s="361">
        <v>0</v>
      </c>
      <c r="CP57" s="361">
        <v>0</v>
      </c>
      <c r="CQ57" s="361">
        <v>0</v>
      </c>
      <c r="CR57" s="361">
        <v>0</v>
      </c>
      <c r="CS57" s="361">
        <v>0</v>
      </c>
      <c r="CT57" s="361">
        <v>0</v>
      </c>
      <c r="CU57" s="361">
        <v>0</v>
      </c>
      <c r="CV57" s="361">
        <v>0</v>
      </c>
      <c r="CW57" s="361">
        <v>0</v>
      </c>
      <c r="CX57" s="361">
        <v>0</v>
      </c>
      <c r="CY57" s="361">
        <v>0</v>
      </c>
      <c r="CZ57" s="361">
        <v>0</v>
      </c>
      <c r="DA57" s="361">
        <v>0</v>
      </c>
      <c r="DB57" s="361">
        <v>0</v>
      </c>
      <c r="DC57" s="361">
        <v>0</v>
      </c>
      <c r="DD57" s="361">
        <v>0</v>
      </c>
      <c r="DE57" s="361">
        <v>0</v>
      </c>
      <c r="DF57" s="361">
        <v>0</v>
      </c>
      <c r="DG57" s="361">
        <v>0</v>
      </c>
      <c r="DH57" s="361">
        <v>0</v>
      </c>
      <c r="DI57" s="361">
        <v>0</v>
      </c>
      <c r="DJ57" s="361">
        <v>0</v>
      </c>
      <c r="DK57" s="361">
        <v>0</v>
      </c>
      <c r="DL57" s="361">
        <v>0</v>
      </c>
      <c r="DM57" s="361">
        <v>0</v>
      </c>
      <c r="DN57" s="361">
        <v>0</v>
      </c>
      <c r="DO57" s="361">
        <v>0</v>
      </c>
      <c r="DP57" s="361">
        <v>0</v>
      </c>
      <c r="DQ57" s="361">
        <v>0</v>
      </c>
      <c r="DR57" s="361">
        <v>0</v>
      </c>
      <c r="DS57" s="361">
        <v>0</v>
      </c>
      <c r="DT57" s="361">
        <v>0</v>
      </c>
      <c r="DU57" s="361">
        <v>0</v>
      </c>
      <c r="DV57" s="361">
        <v>0</v>
      </c>
      <c r="DW57" s="361">
        <v>0</v>
      </c>
      <c r="DX57" s="361">
        <v>0</v>
      </c>
      <c r="DY57" s="361">
        <v>0</v>
      </c>
      <c r="DZ57" s="361">
        <v>0</v>
      </c>
      <c r="EA57" s="361">
        <v>0</v>
      </c>
      <c r="EB57" s="361">
        <v>0</v>
      </c>
      <c r="EC57" s="361">
        <v>0</v>
      </c>
      <c r="ED57" s="361">
        <v>0</v>
      </c>
      <c r="EE57" s="361">
        <v>0</v>
      </c>
      <c r="EF57" s="361">
        <v>0</v>
      </c>
      <c r="EG57" s="361">
        <v>0</v>
      </c>
      <c r="EH57" s="361">
        <v>0</v>
      </c>
      <c r="EI57" s="361">
        <v>0</v>
      </c>
      <c r="EJ57" s="361">
        <v>0</v>
      </c>
    </row>
    <row r="58" spans="1:140" ht="18" thickBot="1" x14ac:dyDescent="0.35">
      <c r="A58" s="382"/>
      <c r="B58" s="381" t="s">
        <v>249</v>
      </c>
      <c r="C58" s="380">
        <v>22.994970005741756</v>
      </c>
      <c r="D58" s="380">
        <v>4.2069666448451395</v>
      </c>
      <c r="E58" s="380">
        <v>12.699335843552243</v>
      </c>
      <c r="F58" s="380">
        <v>2.7552670057262705</v>
      </c>
      <c r="G58" s="380">
        <v>10.873507856314106</v>
      </c>
      <c r="H58" s="380">
        <v>2.3050972961607714</v>
      </c>
      <c r="I58" s="380">
        <v>4.9912591472741257</v>
      </c>
      <c r="J58" s="380">
        <v>1.768081194878381</v>
      </c>
      <c r="K58" s="380">
        <v>17.997534929849685</v>
      </c>
      <c r="L58" s="380">
        <v>1.4224323589180001</v>
      </c>
      <c r="M58" s="380">
        <v>16.797329625602003</v>
      </c>
      <c r="N58" s="380">
        <v>2.0618153534576735</v>
      </c>
      <c r="O58" s="380">
        <v>8.4005963330203031</v>
      </c>
      <c r="P58" s="380">
        <v>1.5925186204915209</v>
      </c>
      <c r="Q58" s="380">
        <v>7.1422895162740003</v>
      </c>
      <c r="R58" s="380">
        <v>1.2655905468568434</v>
      </c>
      <c r="S58" s="354">
        <v>11.545208607278276</v>
      </c>
      <c r="T58" s="354">
        <v>0.76649925858315626</v>
      </c>
      <c r="U58" s="354">
        <v>14.115188076475567</v>
      </c>
      <c r="V58" s="354">
        <v>8.6570815861484505</v>
      </c>
      <c r="W58" s="354">
        <v>15.717458962830019</v>
      </c>
      <c r="X58" s="354">
        <v>2.6808062259438059</v>
      </c>
      <c r="Y58" s="354">
        <v>18.960323942245559</v>
      </c>
      <c r="Z58" s="354">
        <v>1.8297350124121663</v>
      </c>
      <c r="AA58" s="354">
        <v>21.731573125639883</v>
      </c>
      <c r="AB58" s="354">
        <v>1.4252145762355226</v>
      </c>
      <c r="AC58" s="354">
        <v>15.914219882303824</v>
      </c>
      <c r="AD58" s="354">
        <v>0.17637813958679513</v>
      </c>
      <c r="AE58" s="354">
        <v>23.762664405102115</v>
      </c>
      <c r="AF58" s="354">
        <v>1.743759916820256</v>
      </c>
      <c r="AG58" s="354">
        <v>16.153540996705534</v>
      </c>
      <c r="AH58" s="354">
        <v>1.1160324559969677</v>
      </c>
      <c r="AI58" s="354">
        <v>15.663190678851347</v>
      </c>
      <c r="AJ58" s="354">
        <v>0</v>
      </c>
      <c r="AK58" s="354">
        <v>4.9144869151757478</v>
      </c>
      <c r="AL58" s="354">
        <v>2.3069202445496457</v>
      </c>
      <c r="AM58" s="354">
        <v>9.3752393027398817</v>
      </c>
      <c r="AN58" s="354">
        <v>2.8416483494495237</v>
      </c>
      <c r="AO58" s="354">
        <v>11.096798401226859</v>
      </c>
      <c r="AP58" s="354">
        <v>0.28738886942867048</v>
      </c>
      <c r="AQ58" s="354">
        <v>13.898974644086808</v>
      </c>
      <c r="AR58" s="354">
        <v>0.52977020853029555</v>
      </c>
      <c r="AS58" s="354">
        <v>18.948863733764114</v>
      </c>
      <c r="AT58" s="354">
        <v>3.1794519329169382</v>
      </c>
      <c r="AU58" s="354">
        <v>8.1999380125290475</v>
      </c>
      <c r="AV58" s="354">
        <v>1.1967171637121239</v>
      </c>
      <c r="AW58" s="354">
        <v>9.4672343410526079</v>
      </c>
      <c r="AX58" s="354">
        <v>2.2518808610972978</v>
      </c>
      <c r="AY58" s="354">
        <v>6.7052747087775479</v>
      </c>
      <c r="AZ58" s="354">
        <v>0.99700682126505469</v>
      </c>
      <c r="BA58" s="354">
        <v>9.8590710066912166</v>
      </c>
      <c r="BB58" s="354">
        <v>2.2244398037078503</v>
      </c>
      <c r="BC58" s="354">
        <v>5.5143980191557329</v>
      </c>
      <c r="BD58" s="354">
        <v>3.0571044242334141E-2</v>
      </c>
      <c r="BE58" s="354">
        <v>3.3572626980523248</v>
      </c>
      <c r="BF58" s="354">
        <v>2.5596283536857638</v>
      </c>
      <c r="BG58" s="354">
        <v>4.8627319160661706</v>
      </c>
      <c r="BH58" s="354">
        <v>2.4600818487929814</v>
      </c>
      <c r="BI58" s="354">
        <v>3.5343046321606963</v>
      </c>
      <c r="BJ58" s="354">
        <v>9.765793448113719</v>
      </c>
      <c r="BK58" s="354">
        <v>1.6978990805065397</v>
      </c>
      <c r="BL58" s="354">
        <v>1.9466897554538096</v>
      </c>
      <c r="BM58" s="354">
        <v>0</v>
      </c>
      <c r="BN58" s="354">
        <v>0.88487870964251836</v>
      </c>
      <c r="BO58" s="354">
        <v>0.629069311445976</v>
      </c>
      <c r="BP58" s="354">
        <v>2.0913897742890373</v>
      </c>
      <c r="BQ58" s="354">
        <v>0.1292025346127284</v>
      </c>
      <c r="BR58" s="354">
        <v>5.7583152401947899</v>
      </c>
      <c r="BS58" s="354">
        <v>0</v>
      </c>
      <c r="BT58" s="354">
        <v>2.2719568663203469</v>
      </c>
      <c r="BU58" s="354">
        <v>3.4669918710446231E-2</v>
      </c>
      <c r="BV58" s="354">
        <v>7.1615462374549788</v>
      </c>
      <c r="BW58" s="354">
        <v>0.13533009115929864</v>
      </c>
      <c r="BX58" s="354">
        <v>0</v>
      </c>
      <c r="BY58" s="354">
        <v>1.5059911123235075</v>
      </c>
      <c r="BZ58" s="354">
        <v>1.0138858860183351</v>
      </c>
      <c r="CA58" s="354">
        <v>0</v>
      </c>
      <c r="CB58" s="354">
        <v>5.2755247171087083</v>
      </c>
      <c r="CC58" s="354">
        <v>0.24895822288929997</v>
      </c>
      <c r="CD58" s="354">
        <v>3.3896615609355698</v>
      </c>
      <c r="CE58" s="354">
        <v>4.1620981866531022</v>
      </c>
      <c r="CF58" s="354">
        <v>2.0111243359792996</v>
      </c>
      <c r="CG58" s="354">
        <v>2.270119471267682</v>
      </c>
      <c r="CH58" s="354">
        <v>3.6139472065937328</v>
      </c>
      <c r="CI58" s="353">
        <v>0.53392333897093536</v>
      </c>
      <c r="CJ58" s="353">
        <v>12.230562747037869</v>
      </c>
      <c r="CK58" s="353">
        <v>5.8595323715341401</v>
      </c>
      <c r="CL58" s="353">
        <v>4.7709061401262023</v>
      </c>
      <c r="CM58" s="353">
        <v>0.79742022765441312</v>
      </c>
      <c r="CN58" s="353">
        <v>10.052217624556821</v>
      </c>
      <c r="CO58" s="353">
        <v>2.9769939754559047</v>
      </c>
      <c r="CP58" s="353">
        <v>2.1723301793892773</v>
      </c>
      <c r="CQ58" s="353">
        <v>2.5716676502046987</v>
      </c>
      <c r="CR58" s="353">
        <v>0.57839454320805517</v>
      </c>
      <c r="CS58" s="353">
        <v>8.071472938932958</v>
      </c>
      <c r="CT58" s="353">
        <v>3.2493565074686392</v>
      </c>
      <c r="CU58" s="353">
        <v>2.5900656169178324</v>
      </c>
      <c r="CV58" s="353">
        <v>2.2484098407099058</v>
      </c>
      <c r="CW58" s="353">
        <v>3.6091283853994951</v>
      </c>
      <c r="CX58" s="353">
        <v>0.51625287351094717</v>
      </c>
      <c r="CY58" s="353">
        <v>1.5208339906518045</v>
      </c>
      <c r="CZ58" s="353">
        <v>0.39203661752178165</v>
      </c>
      <c r="DA58" s="353">
        <v>6.0277138977533546</v>
      </c>
      <c r="DB58" s="353">
        <v>0.83519677587483898</v>
      </c>
      <c r="DC58" s="353">
        <v>8.2566535829817003</v>
      </c>
      <c r="DD58" s="353">
        <v>0.77055020499818239</v>
      </c>
      <c r="DE58" s="353">
        <v>5.4705424894284516</v>
      </c>
      <c r="DF58" s="353">
        <v>0.43174069557757822</v>
      </c>
      <c r="DG58" s="353">
        <v>3.9124549763033181</v>
      </c>
      <c r="DH58" s="353">
        <v>0.42016246004629121</v>
      </c>
      <c r="DI58" s="353">
        <v>3.3873017974775732</v>
      </c>
      <c r="DJ58" s="353">
        <v>1.0561183488364394</v>
      </c>
      <c r="DK58" s="353">
        <v>9.400595167930323</v>
      </c>
      <c r="DL58" s="353">
        <v>0.43824020675190883</v>
      </c>
      <c r="DM58" s="353">
        <v>8.9581500005569605</v>
      </c>
      <c r="DN58" s="353">
        <v>1.5217450614327248</v>
      </c>
      <c r="DO58" s="353">
        <v>24.002231111101072</v>
      </c>
      <c r="DP58" s="353">
        <v>1.7504011851503909</v>
      </c>
      <c r="DQ58" s="353">
        <v>54.679962084362288</v>
      </c>
      <c r="DR58" s="353">
        <v>0</v>
      </c>
      <c r="DS58" s="353">
        <v>22.692842228159588</v>
      </c>
      <c r="DT58" s="353">
        <v>0.17411482071892048</v>
      </c>
      <c r="DU58" s="353">
        <v>18.320726928323793</v>
      </c>
      <c r="DV58" s="353">
        <v>0</v>
      </c>
      <c r="DW58" s="353">
        <v>16.137029694527936</v>
      </c>
      <c r="DX58" s="353">
        <v>1.714561616678391</v>
      </c>
      <c r="DY58" s="353">
        <f t="shared" ref="DY58:EF58" si="6">SUM(DY42:DY57)</f>
        <v>14.63825334943993</v>
      </c>
      <c r="DZ58" s="353">
        <f t="shared" si="6"/>
        <v>5.4420623764550839</v>
      </c>
      <c r="EA58" s="353">
        <f t="shared" si="6"/>
        <v>11.410459497816596</v>
      </c>
      <c r="EB58" s="353">
        <f t="shared" si="6"/>
        <v>2.4328939956331874</v>
      </c>
      <c r="EC58" s="353">
        <f>SUM(EC42:EC57)</f>
        <v>6.9854167391304358</v>
      </c>
      <c r="ED58" s="353">
        <f t="shared" ref="ED58" si="7">SUM(ED42:ED57)</f>
        <v>3.2791271739130439</v>
      </c>
      <c r="EE58" s="353">
        <f>SUM(EE42:EE57)</f>
        <v>4.4308313255896454</v>
      </c>
      <c r="EF58" s="353">
        <f t="shared" si="6"/>
        <v>4.4909691797741313</v>
      </c>
      <c r="EG58" s="353">
        <f>SUM(EG42:EG57)</f>
        <v>11.17761648249107</v>
      </c>
      <c r="EH58" s="353">
        <f t="shared" ref="EH58:EJ58" si="8">SUM(EH42:EH57)</f>
        <v>6.7406003421892242</v>
      </c>
      <c r="EI58" s="353">
        <f>SUM(EI42:EI57)</f>
        <v>15.040545948137574</v>
      </c>
      <c r="EJ58" s="353">
        <f t="shared" si="8"/>
        <v>3.4374843548927316</v>
      </c>
    </row>
    <row r="59" spans="1:140" s="367" customFormat="1" ht="18" thickBot="1" x14ac:dyDescent="0.35">
      <c r="A59" s="3469" t="s">
        <v>248</v>
      </c>
      <c r="B59" s="3470"/>
      <c r="C59" s="3470"/>
      <c r="D59" s="3470"/>
      <c r="E59" s="3470"/>
      <c r="F59" s="3470"/>
      <c r="G59" s="3470"/>
      <c r="H59" s="3470"/>
      <c r="I59" s="3470"/>
      <c r="J59" s="3470"/>
      <c r="K59" s="3470"/>
      <c r="L59" s="3470"/>
      <c r="M59" s="3470"/>
      <c r="N59" s="3470"/>
      <c r="O59" s="3470"/>
      <c r="P59" s="3470"/>
      <c r="Q59" s="3470"/>
      <c r="R59" s="3470"/>
      <c r="S59" s="3470"/>
      <c r="T59" s="3470"/>
      <c r="U59" s="3470"/>
      <c r="V59" s="3470"/>
      <c r="W59" s="3470"/>
      <c r="X59" s="3470"/>
      <c r="Y59" s="3470"/>
      <c r="Z59" s="3470"/>
      <c r="AA59" s="3470"/>
      <c r="AB59" s="3470"/>
      <c r="AC59" s="3470"/>
      <c r="AD59" s="3470"/>
      <c r="AE59" s="3470"/>
      <c r="AF59" s="3470"/>
      <c r="AG59" s="3470"/>
      <c r="AH59" s="3470"/>
      <c r="AI59" s="3470"/>
      <c r="AJ59" s="3470"/>
      <c r="AK59" s="3470"/>
      <c r="AL59" s="3470"/>
      <c r="AM59" s="3470"/>
      <c r="AN59" s="3470"/>
      <c r="AO59" s="3470"/>
      <c r="AP59" s="3470"/>
      <c r="AQ59" s="3470"/>
      <c r="AR59" s="3470"/>
      <c r="AS59" s="3470"/>
      <c r="AT59" s="3470"/>
      <c r="AU59" s="3470"/>
      <c r="AV59" s="3470"/>
      <c r="AW59" s="3470"/>
      <c r="AX59" s="3470"/>
      <c r="AY59" s="3470"/>
      <c r="AZ59" s="3470"/>
      <c r="BA59" s="3470"/>
      <c r="BB59" s="3470"/>
      <c r="BC59" s="3470"/>
      <c r="BD59" s="3470"/>
      <c r="BE59" s="3470"/>
      <c r="BF59" s="3470"/>
      <c r="BG59" s="3470"/>
      <c r="BH59" s="3470"/>
      <c r="BI59" s="3470"/>
      <c r="BJ59" s="3470"/>
      <c r="BK59" s="3470"/>
      <c r="BL59" s="3470"/>
      <c r="BM59" s="3470"/>
      <c r="BN59" s="3470"/>
      <c r="BO59" s="3470"/>
      <c r="BP59" s="3470"/>
      <c r="BQ59" s="3470"/>
      <c r="BR59" s="3470"/>
      <c r="BS59" s="3470"/>
      <c r="BT59" s="3470"/>
      <c r="BU59" s="3470"/>
      <c r="BV59" s="3470"/>
      <c r="BW59" s="3470"/>
      <c r="BX59" s="3470"/>
      <c r="BY59" s="3470"/>
      <c r="BZ59" s="3470"/>
      <c r="CA59" s="3470"/>
      <c r="CB59" s="3470"/>
      <c r="CC59" s="3470"/>
      <c r="CD59" s="3470"/>
      <c r="CE59" s="3470"/>
      <c r="CF59" s="3470"/>
      <c r="CG59" s="3470"/>
      <c r="CH59" s="3470"/>
      <c r="CI59" s="3470"/>
      <c r="CJ59" s="3470"/>
      <c r="CK59" s="3470"/>
      <c r="CL59" s="3470"/>
      <c r="CM59" s="3470"/>
      <c r="CN59" s="3470"/>
      <c r="CO59" s="3470"/>
      <c r="CP59" s="3470"/>
      <c r="CQ59" s="3470"/>
      <c r="CR59" s="3470"/>
      <c r="CS59" s="3470"/>
      <c r="CT59" s="3472"/>
      <c r="CU59" s="379"/>
      <c r="CV59" s="379"/>
      <c r="CW59" s="379"/>
      <c r="CX59" s="378"/>
      <c r="CY59" s="379"/>
      <c r="CZ59" s="378"/>
      <c r="DA59" s="379"/>
      <c r="DB59" s="378"/>
      <c r="DC59" s="379"/>
      <c r="DD59" s="378"/>
      <c r="DE59" s="379"/>
      <c r="DF59" s="378"/>
      <c r="DG59" s="379"/>
      <c r="DH59" s="378"/>
      <c r="DI59" s="379"/>
      <c r="DJ59" s="378"/>
      <c r="DK59" s="379"/>
      <c r="DL59" s="378"/>
      <c r="DM59" s="379"/>
      <c r="DN59" s="378"/>
      <c r="DO59" s="379"/>
      <c r="DP59" s="378"/>
      <c r="DQ59" s="379"/>
      <c r="DR59" s="378"/>
      <c r="DS59" s="379"/>
      <c r="DT59" s="378"/>
      <c r="DU59" s="379"/>
      <c r="DV59" s="378"/>
      <c r="DW59" s="379"/>
      <c r="DX59" s="378"/>
      <c r="DY59" s="379"/>
      <c r="DZ59" s="378"/>
      <c r="EA59" s="379"/>
      <c r="EB59" s="378"/>
      <c r="EC59" s="379"/>
      <c r="ED59" s="378"/>
      <c r="EE59" s="379"/>
      <c r="EF59" s="378"/>
      <c r="EG59" s="379"/>
      <c r="EH59" s="378"/>
      <c r="EI59" s="379"/>
      <c r="EJ59" s="378"/>
    </row>
    <row r="60" spans="1:140" ht="17.25" x14ac:dyDescent="0.3">
      <c r="A60" s="375" t="s">
        <v>231</v>
      </c>
      <c r="B60" s="374" t="s">
        <v>230</v>
      </c>
      <c r="C60" s="373">
        <v>0</v>
      </c>
      <c r="D60" s="373">
        <v>0</v>
      </c>
      <c r="E60" s="373">
        <v>0</v>
      </c>
      <c r="F60" s="373">
        <v>0</v>
      </c>
      <c r="G60" s="373">
        <v>0</v>
      </c>
      <c r="H60" s="373">
        <v>0</v>
      </c>
      <c r="I60" s="373">
        <v>0</v>
      </c>
      <c r="J60" s="373">
        <v>0</v>
      </c>
      <c r="K60" s="373">
        <v>0</v>
      </c>
      <c r="L60" s="373">
        <v>0</v>
      </c>
      <c r="M60" s="373">
        <v>0</v>
      </c>
      <c r="N60" s="373">
        <v>0</v>
      </c>
      <c r="O60" s="373">
        <v>0</v>
      </c>
      <c r="P60" s="373">
        <v>0</v>
      </c>
      <c r="Q60" s="373">
        <v>0</v>
      </c>
      <c r="R60" s="373">
        <v>0</v>
      </c>
      <c r="S60" s="373">
        <v>0</v>
      </c>
      <c r="T60" s="373">
        <v>0</v>
      </c>
      <c r="U60" s="373">
        <v>0</v>
      </c>
      <c r="V60" s="373">
        <v>0</v>
      </c>
      <c r="W60" s="373">
        <v>0</v>
      </c>
      <c r="X60" s="373">
        <v>0</v>
      </c>
      <c r="Y60" s="373">
        <v>0</v>
      </c>
      <c r="Z60" s="373">
        <v>0</v>
      </c>
      <c r="AA60" s="373">
        <v>0</v>
      </c>
      <c r="AB60" s="373">
        <v>0</v>
      </c>
      <c r="AC60" s="373">
        <v>0</v>
      </c>
      <c r="AD60" s="373">
        <v>0</v>
      </c>
      <c r="AE60" s="373">
        <v>8.4780560486595533E-2</v>
      </c>
      <c r="AF60" s="373">
        <v>0</v>
      </c>
      <c r="AG60" s="373">
        <v>0</v>
      </c>
      <c r="AH60" s="373">
        <v>0</v>
      </c>
      <c r="AI60" s="373">
        <v>0</v>
      </c>
      <c r="AJ60" s="373">
        <v>0</v>
      </c>
      <c r="AK60" s="373">
        <v>0</v>
      </c>
      <c r="AL60" s="373">
        <v>0</v>
      </c>
      <c r="AM60" s="373">
        <v>0</v>
      </c>
      <c r="AN60" s="373">
        <v>0</v>
      </c>
      <c r="AO60" s="373">
        <v>0</v>
      </c>
      <c r="AP60" s="373">
        <v>0</v>
      </c>
      <c r="AQ60" s="373">
        <v>0</v>
      </c>
      <c r="AR60" s="373">
        <v>0</v>
      </c>
      <c r="AS60" s="373">
        <v>0</v>
      </c>
      <c r="AT60" s="373">
        <v>0</v>
      </c>
      <c r="AU60" s="373">
        <v>0</v>
      </c>
      <c r="AV60" s="373">
        <v>0</v>
      </c>
      <c r="AW60" s="373">
        <v>0</v>
      </c>
      <c r="AX60" s="373">
        <v>0</v>
      </c>
      <c r="AY60" s="373">
        <v>0</v>
      </c>
      <c r="AZ60" s="373">
        <v>0</v>
      </c>
      <c r="BA60" s="373">
        <v>0</v>
      </c>
      <c r="BB60" s="373">
        <v>0</v>
      </c>
      <c r="BC60" s="373">
        <v>0</v>
      </c>
      <c r="BD60" s="373">
        <v>0</v>
      </c>
      <c r="BE60" s="373">
        <v>0</v>
      </c>
      <c r="BF60" s="373">
        <v>0</v>
      </c>
      <c r="BG60" s="373">
        <v>0</v>
      </c>
      <c r="BH60" s="373">
        <v>0</v>
      </c>
      <c r="BI60" s="373">
        <v>0</v>
      </c>
      <c r="BJ60" s="373">
        <v>0</v>
      </c>
      <c r="BK60" s="373">
        <v>0</v>
      </c>
      <c r="BL60" s="373">
        <v>0</v>
      </c>
      <c r="BM60" s="373">
        <v>0</v>
      </c>
      <c r="BN60" s="373">
        <v>0</v>
      </c>
      <c r="BO60" s="373">
        <v>0</v>
      </c>
      <c r="BP60" s="373">
        <v>0</v>
      </c>
      <c r="BQ60" s="373">
        <v>0</v>
      </c>
      <c r="BR60" s="373">
        <v>0</v>
      </c>
      <c r="BS60" s="373">
        <v>0</v>
      </c>
      <c r="BT60" s="373">
        <v>0</v>
      </c>
      <c r="BU60" s="373">
        <v>0</v>
      </c>
      <c r="BV60" s="373">
        <v>0</v>
      </c>
      <c r="BW60" s="373">
        <v>0</v>
      </c>
      <c r="BX60" s="373">
        <v>0</v>
      </c>
      <c r="BY60" s="373">
        <v>0</v>
      </c>
      <c r="BZ60" s="373">
        <v>0</v>
      </c>
      <c r="CA60" s="373">
        <v>0</v>
      </c>
      <c r="CB60" s="373">
        <v>0</v>
      </c>
      <c r="CC60" s="373">
        <v>0</v>
      </c>
      <c r="CD60" s="373">
        <v>0</v>
      </c>
      <c r="CE60" s="373">
        <v>0</v>
      </c>
      <c r="CF60" s="373">
        <v>0</v>
      </c>
      <c r="CG60" s="373">
        <v>0</v>
      </c>
      <c r="CH60" s="373">
        <v>0</v>
      </c>
      <c r="CI60" s="373">
        <v>0</v>
      </c>
      <c r="CJ60" s="373">
        <v>0</v>
      </c>
      <c r="CK60" s="373">
        <v>0</v>
      </c>
      <c r="CL60" s="373">
        <v>0</v>
      </c>
      <c r="CM60" s="373">
        <v>0</v>
      </c>
      <c r="CN60" s="373">
        <v>0</v>
      </c>
      <c r="CO60" s="373">
        <v>0</v>
      </c>
      <c r="CP60" s="373">
        <v>0</v>
      </c>
      <c r="CQ60" s="373">
        <v>0</v>
      </c>
      <c r="CR60" s="373">
        <v>0</v>
      </c>
      <c r="CS60" s="373">
        <v>0</v>
      </c>
      <c r="CT60" s="373">
        <v>0</v>
      </c>
      <c r="CU60" s="373">
        <v>0</v>
      </c>
      <c r="CV60" s="373">
        <v>0</v>
      </c>
      <c r="CW60" s="373">
        <v>0</v>
      </c>
      <c r="CX60" s="373">
        <v>0</v>
      </c>
      <c r="CY60" s="373">
        <v>0</v>
      </c>
      <c r="CZ60" s="373">
        <v>0</v>
      </c>
      <c r="DA60" s="373">
        <v>0</v>
      </c>
      <c r="DB60" s="373">
        <v>0</v>
      </c>
      <c r="DC60" s="373">
        <v>0</v>
      </c>
      <c r="DD60" s="373">
        <v>0</v>
      </c>
      <c r="DE60" s="373">
        <v>0</v>
      </c>
      <c r="DF60" s="373">
        <v>0</v>
      </c>
      <c r="DG60" s="373">
        <v>0</v>
      </c>
      <c r="DH60" s="373">
        <v>0</v>
      </c>
      <c r="DI60" s="373">
        <v>0</v>
      </c>
      <c r="DJ60" s="373">
        <v>0</v>
      </c>
      <c r="DK60" s="373">
        <v>0</v>
      </c>
      <c r="DL60" s="373">
        <v>0</v>
      </c>
      <c r="DM60" s="373">
        <v>0</v>
      </c>
      <c r="DN60" s="373">
        <v>0</v>
      </c>
      <c r="DO60" s="373">
        <v>0</v>
      </c>
      <c r="DP60" s="373">
        <v>0</v>
      </c>
      <c r="DQ60" s="373">
        <v>0</v>
      </c>
      <c r="DR60" s="373">
        <v>0</v>
      </c>
      <c r="DS60" s="373">
        <v>0</v>
      </c>
      <c r="DT60" s="373">
        <v>0</v>
      </c>
      <c r="DU60" s="373">
        <v>0</v>
      </c>
      <c r="DV60" s="373">
        <v>0</v>
      </c>
      <c r="DW60" s="373">
        <v>0</v>
      </c>
      <c r="DX60" s="373">
        <v>0</v>
      </c>
      <c r="DY60" s="373">
        <v>0</v>
      </c>
      <c r="DZ60" s="373">
        <v>0</v>
      </c>
      <c r="EA60" s="373">
        <v>0</v>
      </c>
      <c r="EB60" s="373">
        <v>0</v>
      </c>
      <c r="EC60" s="373">
        <v>0</v>
      </c>
      <c r="ED60" s="373">
        <v>0</v>
      </c>
      <c r="EE60" s="373">
        <v>0</v>
      </c>
      <c r="EF60" s="373">
        <v>0</v>
      </c>
      <c r="EG60" s="373">
        <v>0</v>
      </c>
      <c r="EH60" s="373">
        <v>0</v>
      </c>
      <c r="EI60" s="373">
        <v>0</v>
      </c>
      <c r="EJ60" s="373">
        <v>0</v>
      </c>
    </row>
    <row r="61" spans="1:140" ht="17.25" x14ac:dyDescent="0.3">
      <c r="A61" s="366" t="s">
        <v>227</v>
      </c>
      <c r="B61" s="365" t="s">
        <v>226</v>
      </c>
      <c r="C61" s="362">
        <v>1.1252778824919463</v>
      </c>
      <c r="D61" s="362">
        <v>1.2087537681165013</v>
      </c>
      <c r="E61" s="362">
        <v>3.0837522761784917</v>
      </c>
      <c r="F61" s="362">
        <v>0.12236394050213768</v>
      </c>
      <c r="G61" s="362">
        <v>0</v>
      </c>
      <c r="H61" s="362">
        <v>0</v>
      </c>
      <c r="I61" s="362">
        <v>0.84684240165630342</v>
      </c>
      <c r="J61" s="362">
        <v>0.16575884497415241</v>
      </c>
      <c r="K61" s="362">
        <v>1.7636992378233449</v>
      </c>
      <c r="L61" s="362">
        <v>1.9965172194766651E-2</v>
      </c>
      <c r="M61" s="362">
        <v>0.7744832253096362</v>
      </c>
      <c r="N61" s="362">
        <v>0.73288531296845338</v>
      </c>
      <c r="O61" s="362">
        <v>1.2027677481668602</v>
      </c>
      <c r="P61" s="362">
        <v>0.74656720515566366</v>
      </c>
      <c r="Q61" s="362">
        <v>1.406136292008354</v>
      </c>
      <c r="R61" s="362">
        <v>1.6734230191139154</v>
      </c>
      <c r="S61" s="362">
        <v>1.2322782791207714</v>
      </c>
      <c r="T61" s="362">
        <v>0.77987626832617685</v>
      </c>
      <c r="U61" s="362">
        <v>1.9078650818655567</v>
      </c>
      <c r="V61" s="362">
        <v>1.9073242171779035</v>
      </c>
      <c r="W61" s="362">
        <v>1.5439557660028229</v>
      </c>
      <c r="X61" s="362">
        <v>1.247639171402378</v>
      </c>
      <c r="Y61" s="362">
        <v>1.8096320974614397</v>
      </c>
      <c r="Z61" s="362">
        <v>1.4499373183828825</v>
      </c>
      <c r="AA61" s="362">
        <v>2.5852999285769505</v>
      </c>
      <c r="AB61" s="362">
        <v>0.62751587407398524</v>
      </c>
      <c r="AC61" s="362">
        <v>1.9077733461490611</v>
      </c>
      <c r="AD61" s="362">
        <v>2.2741585198250802</v>
      </c>
      <c r="AE61" s="362">
        <v>0</v>
      </c>
      <c r="AF61" s="362">
        <v>1.575154429054975</v>
      </c>
      <c r="AG61" s="362">
        <v>1.440103175860304</v>
      </c>
      <c r="AH61" s="362">
        <v>4.6453179543218166</v>
      </c>
      <c r="AI61" s="362">
        <v>3.1245675224670642</v>
      </c>
      <c r="AJ61" s="362">
        <v>3.7128175932253211</v>
      </c>
      <c r="AK61" s="362">
        <v>1.1216069151298271</v>
      </c>
      <c r="AL61" s="362">
        <v>10.110768120796029</v>
      </c>
      <c r="AM61" s="362">
        <v>1.2575611069938537</v>
      </c>
      <c r="AN61" s="362">
        <v>13.273667322690278</v>
      </c>
      <c r="AO61" s="362">
        <v>4.2234025899458407</v>
      </c>
      <c r="AP61" s="362">
        <v>7.4832586713449878</v>
      </c>
      <c r="AQ61" s="362">
        <v>0.30483253444726666</v>
      </c>
      <c r="AR61" s="362">
        <v>7.4840310891965016</v>
      </c>
      <c r="AS61" s="362">
        <v>0.23596918801201427</v>
      </c>
      <c r="AT61" s="362">
        <v>4.5689896253129394</v>
      </c>
      <c r="AU61" s="362">
        <v>0</v>
      </c>
      <c r="AV61" s="362">
        <v>7.8820236503379082</v>
      </c>
      <c r="AW61" s="362">
        <v>0.52396161599825497</v>
      </c>
      <c r="AX61" s="362">
        <v>4.0014374279971703</v>
      </c>
      <c r="AY61" s="362">
        <v>0</v>
      </c>
      <c r="AZ61" s="362">
        <v>8.155822587674999</v>
      </c>
      <c r="BA61" s="362">
        <v>1.1856268785985788</v>
      </c>
      <c r="BB61" s="362">
        <v>1.348026269310588</v>
      </c>
      <c r="BC61" s="362">
        <v>0.3058875067297267</v>
      </c>
      <c r="BD61" s="362">
        <v>0.66766782773564448</v>
      </c>
      <c r="BE61" s="362">
        <v>0</v>
      </c>
      <c r="BF61" s="362">
        <v>1.731707096474536</v>
      </c>
      <c r="BG61" s="362">
        <v>0</v>
      </c>
      <c r="BH61" s="362">
        <v>6.4004211723184969</v>
      </c>
      <c r="BI61" s="362">
        <v>0</v>
      </c>
      <c r="BJ61" s="362">
        <v>7.2981171598544581</v>
      </c>
      <c r="BK61" s="362">
        <v>0</v>
      </c>
      <c r="BL61" s="362">
        <v>3.3391858288655039</v>
      </c>
      <c r="BM61" s="362">
        <v>0</v>
      </c>
      <c r="BN61" s="362">
        <v>5.8845636174564699</v>
      </c>
      <c r="BO61" s="362">
        <v>0</v>
      </c>
      <c r="BP61" s="362">
        <v>3.0201656167379873</v>
      </c>
      <c r="BQ61" s="362">
        <v>0</v>
      </c>
      <c r="BR61" s="362">
        <v>4.669614969837891</v>
      </c>
      <c r="BS61" s="362">
        <v>0</v>
      </c>
      <c r="BT61" s="362">
        <v>6.4297255087551797</v>
      </c>
      <c r="BU61" s="362">
        <v>0</v>
      </c>
      <c r="BV61" s="362">
        <v>1.3740744814890122</v>
      </c>
      <c r="BW61" s="362">
        <v>9.750130091400383E-2</v>
      </c>
      <c r="BX61" s="362">
        <v>6.417743266997415</v>
      </c>
      <c r="BY61" s="362">
        <v>0.26642629302332166</v>
      </c>
      <c r="BZ61" s="362">
        <v>5.419602006907251</v>
      </c>
      <c r="CA61" s="362">
        <v>0.79231406693004969</v>
      </c>
      <c r="CB61" s="362">
        <v>5.9038394878330864</v>
      </c>
      <c r="CC61" s="362">
        <v>0.10121159308600172</v>
      </c>
      <c r="CD61" s="362">
        <v>4.8270202967998372</v>
      </c>
      <c r="CE61" s="362">
        <v>0</v>
      </c>
      <c r="CF61" s="362">
        <v>4.1198011373668448</v>
      </c>
      <c r="CG61" s="362">
        <v>7.1953261456762771E-2</v>
      </c>
      <c r="CH61" s="362">
        <v>6.5201411270096639</v>
      </c>
      <c r="CI61" s="362">
        <v>0</v>
      </c>
      <c r="CJ61" s="362">
        <v>5.3922285980521911</v>
      </c>
      <c r="CK61" s="362">
        <v>0</v>
      </c>
      <c r="CL61" s="362">
        <v>6.8950986099145446</v>
      </c>
      <c r="CM61" s="362">
        <v>0</v>
      </c>
      <c r="CN61" s="362">
        <v>5.4442067083411079</v>
      </c>
      <c r="CO61" s="362">
        <v>0</v>
      </c>
      <c r="CP61" s="362">
        <v>3.3</v>
      </c>
      <c r="CQ61" s="362">
        <v>0.45295960424888426</v>
      </c>
      <c r="CR61" s="362">
        <v>1.2955040017703685</v>
      </c>
      <c r="CS61" s="362">
        <v>0</v>
      </c>
      <c r="CT61" s="362">
        <v>2.6767182912322278</v>
      </c>
      <c r="CU61" s="362">
        <v>0.49491423192564632</v>
      </c>
      <c r="CV61" s="362">
        <v>2.8762691573069645</v>
      </c>
      <c r="CW61" s="362">
        <v>0.38193422814824246</v>
      </c>
      <c r="CX61" s="362">
        <v>2.1977430291068756</v>
      </c>
      <c r="CY61" s="362">
        <v>0.81091313930794506</v>
      </c>
      <c r="CZ61" s="362">
        <v>2.1977430291068756</v>
      </c>
      <c r="DA61" s="362">
        <v>0.5174967767892249</v>
      </c>
      <c r="DB61" s="362">
        <v>4.3269432989219387</v>
      </c>
      <c r="DC61" s="362">
        <v>0.47949097869951551</v>
      </c>
      <c r="DD61" s="362">
        <v>5.1108106056074245</v>
      </c>
      <c r="DE61" s="362">
        <v>0.79831753495965641</v>
      </c>
      <c r="DF61" s="362">
        <v>9.8466985104390528</v>
      </c>
      <c r="DG61" s="362">
        <v>0</v>
      </c>
      <c r="DH61" s="362">
        <v>5.413766119254932</v>
      </c>
      <c r="DI61" s="362">
        <v>9.5159279243492559E-2</v>
      </c>
      <c r="DJ61" s="362">
        <v>5.1757092257274318</v>
      </c>
      <c r="DK61" s="362">
        <v>0</v>
      </c>
      <c r="DL61" s="362">
        <v>11.078530584647959</v>
      </c>
      <c r="DM61" s="362">
        <v>5.3913760261994147E-2</v>
      </c>
      <c r="DN61" s="362">
        <v>5.1073975471466939</v>
      </c>
      <c r="DO61" s="362">
        <v>0.30484651534620705</v>
      </c>
      <c r="DP61" s="362">
        <v>3.1583309433101561</v>
      </c>
      <c r="DQ61" s="362">
        <v>0.17075643057832685</v>
      </c>
      <c r="DR61" s="362">
        <v>4.363314352837663</v>
      </c>
      <c r="DS61" s="362">
        <v>0.43683064280742723</v>
      </c>
      <c r="DT61" s="362">
        <v>3.6636374862480072</v>
      </c>
      <c r="DU61" s="362">
        <v>0.52475518520771247</v>
      </c>
      <c r="DV61" s="362">
        <v>4.750862391060676</v>
      </c>
      <c r="DW61" s="362">
        <v>0</v>
      </c>
      <c r="DX61" s="362">
        <v>3.3061542069024319</v>
      </c>
      <c r="DY61" s="362">
        <v>0.32934329013837033</v>
      </c>
      <c r="DZ61" s="362">
        <v>2.138326378212168</v>
      </c>
      <c r="EA61" s="362">
        <v>0</v>
      </c>
      <c r="EB61" s="362">
        <v>1.3076419213973798</v>
      </c>
      <c r="EC61" s="362">
        <v>0.10397826086956521</v>
      </c>
      <c r="ED61" s="362">
        <v>0.99652173913043485</v>
      </c>
      <c r="EE61" s="362">
        <v>0</v>
      </c>
      <c r="EF61" s="362">
        <v>0.41286610036324384</v>
      </c>
      <c r="EG61" s="362">
        <v>0.30774000838457238</v>
      </c>
      <c r="EH61" s="362">
        <v>0.81749580771380648</v>
      </c>
      <c r="EI61" s="362">
        <v>0</v>
      </c>
      <c r="EJ61" s="362">
        <v>0.35664233962663289</v>
      </c>
    </row>
    <row r="62" spans="1:140" s="367" customFormat="1" ht="17.25" x14ac:dyDescent="0.3">
      <c r="A62" s="366" t="s">
        <v>225</v>
      </c>
      <c r="B62" s="365" t="s">
        <v>224</v>
      </c>
      <c r="C62" s="362"/>
      <c r="D62" s="362"/>
      <c r="E62" s="362"/>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c r="AD62" s="362"/>
      <c r="AE62" s="362">
        <v>0</v>
      </c>
      <c r="AF62" s="362">
        <v>0</v>
      </c>
      <c r="AG62" s="362">
        <v>0</v>
      </c>
      <c r="AH62" s="362">
        <v>0</v>
      </c>
      <c r="AI62" s="362">
        <v>0</v>
      </c>
      <c r="AJ62" s="362">
        <v>0</v>
      </c>
      <c r="AK62" s="362">
        <v>0</v>
      </c>
      <c r="AL62" s="362">
        <v>0</v>
      </c>
      <c r="AM62" s="362">
        <v>0</v>
      </c>
      <c r="AN62" s="362">
        <v>0</v>
      </c>
      <c r="AO62" s="362">
        <v>0</v>
      </c>
      <c r="AP62" s="362">
        <v>0</v>
      </c>
      <c r="AQ62" s="362">
        <v>0</v>
      </c>
      <c r="AR62" s="362">
        <v>0</v>
      </c>
      <c r="AS62" s="362">
        <v>0</v>
      </c>
      <c r="AT62" s="362">
        <v>0</v>
      </c>
      <c r="AU62" s="362">
        <v>0</v>
      </c>
      <c r="AV62" s="362">
        <v>0</v>
      </c>
      <c r="AW62" s="362">
        <v>0</v>
      </c>
      <c r="AX62" s="362">
        <v>0</v>
      </c>
      <c r="AY62" s="362">
        <v>0</v>
      </c>
      <c r="AZ62" s="362">
        <v>0</v>
      </c>
      <c r="BA62" s="362">
        <v>0</v>
      </c>
      <c r="BB62" s="362">
        <v>0</v>
      </c>
      <c r="BC62" s="362">
        <v>0</v>
      </c>
      <c r="BD62" s="362">
        <v>0</v>
      </c>
      <c r="BE62" s="362">
        <v>0</v>
      </c>
      <c r="BF62" s="362">
        <v>0</v>
      </c>
      <c r="BG62" s="362">
        <v>0</v>
      </c>
      <c r="BH62" s="362">
        <v>0</v>
      </c>
      <c r="BI62" s="362">
        <v>0</v>
      </c>
      <c r="BJ62" s="362">
        <v>0</v>
      </c>
      <c r="BK62" s="362">
        <v>0</v>
      </c>
      <c r="BL62" s="362">
        <v>0</v>
      </c>
      <c r="BM62" s="362">
        <v>0</v>
      </c>
      <c r="BN62" s="362">
        <v>0</v>
      </c>
      <c r="BO62" s="362">
        <v>0</v>
      </c>
      <c r="BP62" s="362">
        <v>0</v>
      </c>
      <c r="BQ62" s="362">
        <v>0</v>
      </c>
      <c r="BR62" s="362">
        <v>0</v>
      </c>
      <c r="BS62" s="362">
        <v>0</v>
      </c>
      <c r="BT62" s="362">
        <v>0</v>
      </c>
      <c r="BU62" s="362">
        <v>0</v>
      </c>
      <c r="BV62" s="362">
        <v>0</v>
      </c>
      <c r="BW62" s="362">
        <v>0</v>
      </c>
      <c r="BX62" s="362">
        <v>0</v>
      </c>
      <c r="BY62" s="362">
        <v>0</v>
      </c>
      <c r="BZ62" s="362">
        <v>0</v>
      </c>
      <c r="CA62" s="362">
        <v>0</v>
      </c>
      <c r="CB62" s="362">
        <v>0</v>
      </c>
      <c r="CC62" s="362">
        <v>0</v>
      </c>
      <c r="CD62" s="362">
        <v>0</v>
      </c>
      <c r="CE62" s="362">
        <v>0</v>
      </c>
      <c r="CF62" s="362">
        <v>0</v>
      </c>
      <c r="CG62" s="362">
        <v>0</v>
      </c>
      <c r="CH62" s="362">
        <v>0</v>
      </c>
      <c r="CI62" s="362">
        <v>0</v>
      </c>
      <c r="CJ62" s="362">
        <v>0</v>
      </c>
      <c r="CK62" s="362">
        <v>0</v>
      </c>
      <c r="CL62" s="362">
        <v>0</v>
      </c>
      <c r="CM62" s="362">
        <v>0</v>
      </c>
      <c r="CN62" s="362">
        <v>0</v>
      </c>
      <c r="CO62" s="362">
        <v>0</v>
      </c>
      <c r="CP62" s="362">
        <v>0</v>
      </c>
      <c r="CQ62" s="362">
        <v>0</v>
      </c>
      <c r="CR62" s="362">
        <v>0</v>
      </c>
      <c r="CS62" s="362">
        <v>0</v>
      </c>
      <c r="CT62" s="362">
        <v>0</v>
      </c>
      <c r="CU62" s="362">
        <v>0</v>
      </c>
      <c r="CV62" s="362">
        <v>0</v>
      </c>
      <c r="CW62" s="362">
        <v>0</v>
      </c>
      <c r="CX62" s="362">
        <v>0</v>
      </c>
      <c r="CY62" s="362">
        <v>0</v>
      </c>
      <c r="CZ62" s="362">
        <v>0</v>
      </c>
      <c r="DA62" s="362">
        <v>0</v>
      </c>
      <c r="DB62" s="362">
        <v>0</v>
      </c>
      <c r="DC62" s="362">
        <v>0</v>
      </c>
      <c r="DD62" s="362">
        <v>0</v>
      </c>
      <c r="DE62" s="362">
        <v>0</v>
      </c>
      <c r="DF62" s="362">
        <v>0</v>
      </c>
      <c r="DG62" s="362">
        <v>0</v>
      </c>
      <c r="DH62" s="362">
        <v>0</v>
      </c>
      <c r="DI62" s="362">
        <v>0</v>
      </c>
      <c r="DJ62" s="362">
        <v>0</v>
      </c>
      <c r="DK62" s="362">
        <v>0</v>
      </c>
      <c r="DL62" s="362">
        <v>0</v>
      </c>
      <c r="DM62" s="362">
        <v>0</v>
      </c>
      <c r="DN62" s="362">
        <v>0</v>
      </c>
      <c r="DO62" s="362">
        <v>0</v>
      </c>
      <c r="DP62" s="362">
        <v>0</v>
      </c>
      <c r="DQ62" s="362">
        <v>0</v>
      </c>
      <c r="DR62" s="362">
        <v>0</v>
      </c>
      <c r="DS62" s="362">
        <v>0</v>
      </c>
      <c r="DT62" s="362">
        <v>0</v>
      </c>
      <c r="DU62" s="362">
        <v>0</v>
      </c>
      <c r="DV62" s="362">
        <v>0</v>
      </c>
      <c r="DW62" s="362">
        <v>0</v>
      </c>
      <c r="DX62" s="362">
        <v>0</v>
      </c>
      <c r="DY62" s="362">
        <v>0</v>
      </c>
      <c r="DZ62" s="362">
        <v>0</v>
      </c>
      <c r="EA62" s="362">
        <v>0</v>
      </c>
      <c r="EB62" s="362">
        <v>0</v>
      </c>
      <c r="EC62" s="362">
        <v>0</v>
      </c>
      <c r="ED62" s="362">
        <v>0</v>
      </c>
      <c r="EE62" s="362">
        <v>0</v>
      </c>
      <c r="EF62" s="362">
        <v>0</v>
      </c>
      <c r="EG62" s="362">
        <v>0</v>
      </c>
      <c r="EH62" s="362">
        <v>0</v>
      </c>
      <c r="EI62" s="362">
        <v>0</v>
      </c>
      <c r="EJ62" s="362">
        <v>0</v>
      </c>
    </row>
    <row r="63" spans="1:140" s="367" customFormat="1" ht="17.25" x14ac:dyDescent="0.3">
      <c r="A63" s="366" t="s">
        <v>223</v>
      </c>
      <c r="B63" s="365" t="s">
        <v>222</v>
      </c>
      <c r="C63" s="371"/>
      <c r="D63" s="371"/>
      <c r="E63" s="371"/>
      <c r="F63" s="371"/>
      <c r="G63" s="371"/>
      <c r="H63" s="371"/>
      <c r="I63" s="371"/>
      <c r="J63" s="371"/>
      <c r="K63" s="372"/>
      <c r="L63" s="371"/>
      <c r="M63" s="371"/>
      <c r="N63" s="371"/>
      <c r="O63" s="372"/>
      <c r="P63" s="371"/>
      <c r="Q63" s="371"/>
      <c r="R63" s="370"/>
      <c r="S63" s="369"/>
      <c r="T63" s="369"/>
      <c r="U63" s="369"/>
      <c r="V63" s="369"/>
      <c r="W63" s="369"/>
      <c r="X63" s="369"/>
      <c r="Y63" s="369"/>
      <c r="Z63" s="369"/>
      <c r="AA63" s="369"/>
      <c r="AB63" s="369"/>
      <c r="AC63" s="369"/>
      <c r="AD63" s="369"/>
      <c r="AE63" s="369"/>
      <c r="AF63" s="369"/>
      <c r="AG63" s="368"/>
      <c r="AH63" s="362"/>
      <c r="AI63" s="362">
        <v>0</v>
      </c>
      <c r="AJ63" s="362">
        <v>0</v>
      </c>
      <c r="AK63" s="362">
        <v>0</v>
      </c>
      <c r="AL63" s="362">
        <v>0</v>
      </c>
      <c r="AM63" s="362">
        <v>0</v>
      </c>
      <c r="AN63" s="362">
        <v>0</v>
      </c>
      <c r="AO63" s="362">
        <v>0</v>
      </c>
      <c r="AP63" s="362">
        <v>0</v>
      </c>
      <c r="AQ63" s="362">
        <v>0</v>
      </c>
      <c r="AR63" s="362">
        <v>0</v>
      </c>
      <c r="AS63" s="362">
        <v>0</v>
      </c>
      <c r="AT63" s="362">
        <v>0</v>
      </c>
      <c r="AU63" s="362">
        <v>0</v>
      </c>
      <c r="AV63" s="362">
        <v>0</v>
      </c>
      <c r="AW63" s="362">
        <v>0</v>
      </c>
      <c r="AX63" s="362">
        <v>0</v>
      </c>
      <c r="AY63" s="362">
        <v>0</v>
      </c>
      <c r="AZ63" s="362">
        <v>0</v>
      </c>
      <c r="BA63" s="362">
        <v>0</v>
      </c>
      <c r="BB63" s="362">
        <v>0</v>
      </c>
      <c r="BC63" s="362">
        <v>0</v>
      </c>
      <c r="BD63" s="362">
        <v>0</v>
      </c>
      <c r="BE63" s="362">
        <v>0</v>
      </c>
      <c r="BF63" s="362">
        <v>0</v>
      </c>
      <c r="BG63" s="362">
        <v>0</v>
      </c>
      <c r="BH63" s="362">
        <v>0</v>
      </c>
      <c r="BI63" s="362">
        <v>0</v>
      </c>
      <c r="BJ63" s="362">
        <v>0</v>
      </c>
      <c r="BK63" s="362">
        <v>0</v>
      </c>
      <c r="BL63" s="362">
        <v>0</v>
      </c>
      <c r="BM63" s="362">
        <v>0</v>
      </c>
      <c r="BN63" s="362">
        <v>0</v>
      </c>
      <c r="BO63" s="362">
        <v>0</v>
      </c>
      <c r="BP63" s="362">
        <v>0</v>
      </c>
      <c r="BQ63" s="362">
        <v>0</v>
      </c>
      <c r="BR63" s="362">
        <v>0</v>
      </c>
      <c r="BS63" s="362">
        <v>0</v>
      </c>
      <c r="BT63" s="362">
        <v>0</v>
      </c>
      <c r="BU63" s="362">
        <v>0</v>
      </c>
      <c r="BV63" s="362">
        <v>0</v>
      </c>
      <c r="BW63" s="362">
        <v>0</v>
      </c>
      <c r="BX63" s="362">
        <v>0</v>
      </c>
      <c r="BY63" s="362">
        <v>0</v>
      </c>
      <c r="BZ63" s="362">
        <v>0</v>
      </c>
      <c r="CA63" s="362">
        <v>0</v>
      </c>
      <c r="CB63" s="362">
        <v>0</v>
      </c>
      <c r="CC63" s="362">
        <v>0</v>
      </c>
      <c r="CD63" s="362">
        <v>0</v>
      </c>
      <c r="CE63" s="362">
        <v>0</v>
      </c>
      <c r="CF63" s="362">
        <v>0</v>
      </c>
      <c r="CG63" s="362">
        <v>0</v>
      </c>
      <c r="CH63" s="362">
        <v>0</v>
      </c>
      <c r="CI63" s="362">
        <v>0</v>
      </c>
      <c r="CJ63" s="362">
        <v>0</v>
      </c>
      <c r="CK63" s="362">
        <v>0</v>
      </c>
      <c r="CL63" s="362">
        <v>0</v>
      </c>
      <c r="CM63" s="362">
        <v>0</v>
      </c>
      <c r="CN63" s="362">
        <v>0</v>
      </c>
      <c r="CO63" s="362">
        <v>0</v>
      </c>
      <c r="CP63" s="362">
        <v>0</v>
      </c>
      <c r="CQ63" s="362">
        <v>0</v>
      </c>
      <c r="CR63" s="362">
        <v>0</v>
      </c>
      <c r="CS63" s="362">
        <v>0</v>
      </c>
      <c r="CT63" s="362">
        <v>0</v>
      </c>
      <c r="CU63" s="362">
        <v>0</v>
      </c>
      <c r="CV63" s="362">
        <v>0</v>
      </c>
      <c r="CW63" s="362">
        <v>0</v>
      </c>
      <c r="CX63" s="362">
        <v>0</v>
      </c>
      <c r="CY63" s="362">
        <v>0</v>
      </c>
      <c r="CZ63" s="362">
        <v>0</v>
      </c>
      <c r="DA63" s="362">
        <v>0</v>
      </c>
      <c r="DB63" s="362">
        <v>0</v>
      </c>
      <c r="DC63" s="362">
        <v>0</v>
      </c>
      <c r="DD63" s="362">
        <v>0</v>
      </c>
      <c r="DE63" s="362">
        <v>0</v>
      </c>
      <c r="DF63" s="362">
        <v>0</v>
      </c>
      <c r="DG63" s="362">
        <v>0</v>
      </c>
      <c r="DH63" s="362">
        <v>0</v>
      </c>
      <c r="DI63" s="362">
        <v>0</v>
      </c>
      <c r="DJ63" s="362">
        <v>0</v>
      </c>
      <c r="DK63" s="362">
        <v>0</v>
      </c>
      <c r="DL63" s="362">
        <v>0</v>
      </c>
      <c r="DM63" s="362">
        <v>0</v>
      </c>
      <c r="DN63" s="362">
        <v>0</v>
      </c>
      <c r="DO63" s="362">
        <v>0</v>
      </c>
      <c r="DP63" s="362">
        <v>0</v>
      </c>
      <c r="DQ63" s="362">
        <v>0</v>
      </c>
      <c r="DR63" s="362">
        <v>0</v>
      </c>
      <c r="DS63" s="362">
        <v>0</v>
      </c>
      <c r="DT63" s="362">
        <v>0</v>
      </c>
      <c r="DU63" s="362">
        <v>0</v>
      </c>
      <c r="DV63" s="362">
        <v>0</v>
      </c>
      <c r="DW63" s="362">
        <v>0</v>
      </c>
      <c r="DX63" s="362">
        <v>0</v>
      </c>
      <c r="DY63" s="362">
        <v>0</v>
      </c>
      <c r="DZ63" s="362">
        <v>0</v>
      </c>
      <c r="EA63" s="362">
        <v>0</v>
      </c>
      <c r="EB63" s="362">
        <v>0</v>
      </c>
      <c r="EC63" s="362">
        <v>0</v>
      </c>
      <c r="ED63" s="362">
        <v>0</v>
      </c>
      <c r="EE63" s="362">
        <v>0</v>
      </c>
      <c r="EF63" s="362">
        <v>0</v>
      </c>
      <c r="EG63" s="362">
        <v>0</v>
      </c>
      <c r="EH63" s="362">
        <v>0</v>
      </c>
      <c r="EI63" s="362">
        <v>0</v>
      </c>
      <c r="EJ63" s="362">
        <v>0</v>
      </c>
    </row>
    <row r="64" spans="1:140" ht="17.25" x14ac:dyDescent="0.3">
      <c r="A64" s="366" t="s">
        <v>221</v>
      </c>
      <c r="B64" s="365" t="s">
        <v>220</v>
      </c>
      <c r="C64" s="362">
        <v>0</v>
      </c>
      <c r="D64" s="362">
        <v>2.3283064365386962E-16</v>
      </c>
      <c r="E64" s="362">
        <v>0</v>
      </c>
      <c r="F64" s="362">
        <v>0</v>
      </c>
      <c r="G64" s="362">
        <v>0</v>
      </c>
      <c r="H64" s="362">
        <v>0</v>
      </c>
      <c r="I64" s="362">
        <v>0</v>
      </c>
      <c r="J64" s="362">
        <v>0</v>
      </c>
      <c r="K64" s="362">
        <v>0</v>
      </c>
      <c r="L64" s="362">
        <v>0</v>
      </c>
      <c r="M64" s="362">
        <v>0</v>
      </c>
      <c r="N64" s="362">
        <v>0</v>
      </c>
      <c r="O64" s="362">
        <v>0</v>
      </c>
      <c r="P64" s="362">
        <v>0</v>
      </c>
      <c r="Q64" s="362">
        <v>0</v>
      </c>
      <c r="R64" s="362">
        <v>0</v>
      </c>
      <c r="S64" s="362">
        <v>0</v>
      </c>
      <c r="T64" s="362">
        <v>0</v>
      </c>
      <c r="U64" s="362">
        <v>0</v>
      </c>
      <c r="V64" s="362">
        <v>0</v>
      </c>
      <c r="W64" s="362">
        <v>0</v>
      </c>
      <c r="X64" s="362">
        <v>0</v>
      </c>
      <c r="Y64" s="362">
        <v>0</v>
      </c>
      <c r="Z64" s="362">
        <v>0</v>
      </c>
      <c r="AA64" s="362">
        <v>0</v>
      </c>
      <c r="AB64" s="362">
        <v>0</v>
      </c>
      <c r="AC64" s="362">
        <v>0</v>
      </c>
      <c r="AD64" s="362">
        <v>0</v>
      </c>
      <c r="AE64" s="362">
        <v>0</v>
      </c>
      <c r="AF64" s="362">
        <v>0</v>
      </c>
      <c r="AG64" s="362">
        <v>0</v>
      </c>
      <c r="AH64" s="362">
        <v>0</v>
      </c>
      <c r="AI64" s="362">
        <v>0</v>
      </c>
      <c r="AJ64" s="362">
        <v>0</v>
      </c>
      <c r="AK64" s="362">
        <v>0</v>
      </c>
      <c r="AL64" s="362">
        <v>0</v>
      </c>
      <c r="AM64" s="362">
        <v>0</v>
      </c>
      <c r="AN64" s="362">
        <v>0</v>
      </c>
      <c r="AO64" s="362">
        <v>0</v>
      </c>
      <c r="AP64" s="362">
        <v>0</v>
      </c>
      <c r="AQ64" s="362">
        <v>0</v>
      </c>
      <c r="AR64" s="362">
        <v>0</v>
      </c>
      <c r="AS64" s="362">
        <v>0</v>
      </c>
      <c r="AT64" s="362">
        <v>0</v>
      </c>
      <c r="AU64" s="362">
        <v>0</v>
      </c>
      <c r="AV64" s="362">
        <v>0</v>
      </c>
      <c r="AW64" s="362">
        <v>0</v>
      </c>
      <c r="AX64" s="362">
        <v>0</v>
      </c>
      <c r="AY64" s="362">
        <v>0</v>
      </c>
      <c r="AZ64" s="362">
        <v>0</v>
      </c>
      <c r="BA64" s="362">
        <v>0</v>
      </c>
      <c r="BB64" s="362">
        <v>0</v>
      </c>
      <c r="BC64" s="362">
        <v>0</v>
      </c>
      <c r="BD64" s="362">
        <v>0</v>
      </c>
      <c r="BE64" s="362">
        <v>0</v>
      </c>
      <c r="BF64" s="362">
        <v>0</v>
      </c>
      <c r="BG64" s="362">
        <v>0</v>
      </c>
      <c r="BH64" s="362">
        <v>0</v>
      </c>
      <c r="BI64" s="362">
        <v>0</v>
      </c>
      <c r="BJ64" s="362">
        <v>0</v>
      </c>
      <c r="BK64" s="362">
        <v>0</v>
      </c>
      <c r="BL64" s="362">
        <v>0</v>
      </c>
      <c r="BM64" s="362">
        <v>0</v>
      </c>
      <c r="BN64" s="362">
        <v>0</v>
      </c>
      <c r="BO64" s="362">
        <v>0</v>
      </c>
      <c r="BP64" s="362">
        <v>0</v>
      </c>
      <c r="BQ64" s="362">
        <v>0</v>
      </c>
      <c r="BR64" s="362">
        <v>0</v>
      </c>
      <c r="BS64" s="362">
        <v>0</v>
      </c>
      <c r="BT64" s="362">
        <v>0</v>
      </c>
      <c r="BU64" s="362">
        <v>0</v>
      </c>
      <c r="BV64" s="362">
        <v>0</v>
      </c>
      <c r="BW64" s="362">
        <v>0</v>
      </c>
      <c r="BX64" s="362">
        <v>0</v>
      </c>
      <c r="BY64" s="362">
        <v>0</v>
      </c>
      <c r="BZ64" s="362">
        <v>0</v>
      </c>
      <c r="CA64" s="362">
        <v>0</v>
      </c>
      <c r="CB64" s="362">
        <v>0</v>
      </c>
      <c r="CC64" s="362">
        <v>0</v>
      </c>
      <c r="CD64" s="362">
        <v>0</v>
      </c>
      <c r="CE64" s="362">
        <v>0</v>
      </c>
      <c r="CF64" s="362">
        <v>0</v>
      </c>
      <c r="CG64" s="362">
        <v>0</v>
      </c>
      <c r="CH64" s="362">
        <v>0</v>
      </c>
      <c r="CI64" s="362">
        <v>0</v>
      </c>
      <c r="CJ64" s="362">
        <v>0</v>
      </c>
      <c r="CK64" s="362">
        <v>0</v>
      </c>
      <c r="CL64" s="362">
        <v>0</v>
      </c>
      <c r="CM64" s="362">
        <v>0</v>
      </c>
      <c r="CN64" s="362">
        <v>0</v>
      </c>
      <c r="CO64" s="362">
        <v>0</v>
      </c>
      <c r="CP64" s="362">
        <v>0</v>
      </c>
      <c r="CQ64" s="362">
        <v>0</v>
      </c>
      <c r="CR64" s="362">
        <v>0</v>
      </c>
      <c r="CS64" s="362">
        <v>0</v>
      </c>
      <c r="CT64" s="362">
        <v>0</v>
      </c>
      <c r="CU64" s="362">
        <v>0</v>
      </c>
      <c r="CV64" s="362">
        <v>0</v>
      </c>
      <c r="CW64" s="362">
        <v>0</v>
      </c>
      <c r="CX64" s="362">
        <v>0</v>
      </c>
      <c r="CY64" s="362">
        <v>0</v>
      </c>
      <c r="CZ64" s="362">
        <v>0</v>
      </c>
      <c r="DA64" s="362">
        <v>0</v>
      </c>
      <c r="DB64" s="362">
        <v>0</v>
      </c>
      <c r="DC64" s="362">
        <v>0</v>
      </c>
      <c r="DD64" s="362">
        <v>0</v>
      </c>
      <c r="DE64" s="362">
        <v>0</v>
      </c>
      <c r="DF64" s="362">
        <v>0</v>
      </c>
      <c r="DG64" s="362">
        <v>0</v>
      </c>
      <c r="DH64" s="362">
        <v>0</v>
      </c>
      <c r="DI64" s="362">
        <v>0</v>
      </c>
      <c r="DJ64" s="362">
        <v>0</v>
      </c>
      <c r="DK64" s="362">
        <v>0</v>
      </c>
      <c r="DL64" s="362">
        <v>0</v>
      </c>
      <c r="DM64" s="362">
        <v>0</v>
      </c>
      <c r="DN64" s="362">
        <v>0</v>
      </c>
      <c r="DO64" s="362">
        <v>0</v>
      </c>
      <c r="DP64" s="362">
        <v>0</v>
      </c>
      <c r="DQ64" s="362">
        <v>0</v>
      </c>
      <c r="DR64" s="362">
        <v>0</v>
      </c>
      <c r="DS64" s="362">
        <v>0</v>
      </c>
      <c r="DT64" s="362">
        <v>0</v>
      </c>
      <c r="DU64" s="362">
        <v>0</v>
      </c>
      <c r="DV64" s="362">
        <v>0</v>
      </c>
      <c r="DW64" s="362">
        <v>0</v>
      </c>
      <c r="DX64" s="362">
        <v>0</v>
      </c>
      <c r="DY64" s="362">
        <v>0</v>
      </c>
      <c r="DZ64" s="362">
        <v>0</v>
      </c>
      <c r="EA64" s="362">
        <v>0</v>
      </c>
      <c r="EB64" s="362">
        <v>0</v>
      </c>
      <c r="EC64" s="362">
        <v>0</v>
      </c>
      <c r="ED64" s="362">
        <v>0</v>
      </c>
      <c r="EE64" s="362">
        <v>0</v>
      </c>
      <c r="EF64" s="362">
        <v>0</v>
      </c>
      <c r="EG64" s="362">
        <v>0</v>
      </c>
      <c r="EH64" s="362">
        <v>0</v>
      </c>
      <c r="EI64" s="362">
        <v>0</v>
      </c>
      <c r="EJ64" s="362">
        <v>0</v>
      </c>
    </row>
    <row r="65" spans="1:142" ht="17.25" x14ac:dyDescent="0.3">
      <c r="A65" s="366" t="s">
        <v>219</v>
      </c>
      <c r="B65" s="365" t="s">
        <v>218</v>
      </c>
      <c r="C65" s="362">
        <v>0</v>
      </c>
      <c r="D65" s="362">
        <v>0</v>
      </c>
      <c r="E65" s="362">
        <v>0</v>
      </c>
      <c r="F65" s="362">
        <v>0</v>
      </c>
      <c r="G65" s="362">
        <v>0</v>
      </c>
      <c r="H65" s="362">
        <v>0</v>
      </c>
      <c r="I65" s="362">
        <v>6.9353833438234883E-2</v>
      </c>
      <c r="J65" s="362">
        <v>0</v>
      </c>
      <c r="K65" s="362">
        <v>0</v>
      </c>
      <c r="L65" s="362">
        <v>0</v>
      </c>
      <c r="M65" s="362">
        <v>7.5381100686365721E-2</v>
      </c>
      <c r="N65" s="362">
        <v>0</v>
      </c>
      <c r="O65" s="362">
        <v>0</v>
      </c>
      <c r="P65" s="362">
        <v>0</v>
      </c>
      <c r="Q65" s="362">
        <v>2.6097582064531166E-2</v>
      </c>
      <c r="R65" s="362">
        <v>0</v>
      </c>
      <c r="S65" s="362">
        <v>0</v>
      </c>
      <c r="T65" s="362">
        <v>0</v>
      </c>
      <c r="U65" s="362">
        <v>0</v>
      </c>
      <c r="V65" s="362">
        <v>0</v>
      </c>
      <c r="W65" s="362">
        <v>0</v>
      </c>
      <c r="X65" s="362">
        <v>0</v>
      </c>
      <c r="Y65" s="362">
        <v>0</v>
      </c>
      <c r="Z65" s="362">
        <v>0</v>
      </c>
      <c r="AA65" s="362">
        <v>0</v>
      </c>
      <c r="AB65" s="362">
        <v>0</v>
      </c>
      <c r="AC65" s="362">
        <v>0</v>
      </c>
      <c r="AD65" s="362">
        <v>0</v>
      </c>
      <c r="AE65" s="362">
        <v>0</v>
      </c>
      <c r="AF65" s="362">
        <v>0</v>
      </c>
      <c r="AG65" s="362">
        <v>0</v>
      </c>
      <c r="AH65" s="362">
        <v>0</v>
      </c>
      <c r="AI65" s="362">
        <v>0</v>
      </c>
      <c r="AJ65" s="362">
        <v>0</v>
      </c>
      <c r="AK65" s="362">
        <v>0</v>
      </c>
      <c r="AL65" s="362">
        <v>0</v>
      </c>
      <c r="AM65" s="362">
        <v>0</v>
      </c>
      <c r="AN65" s="362">
        <v>0</v>
      </c>
      <c r="AO65" s="362">
        <v>0.51502989341648253</v>
      </c>
      <c r="AP65" s="362">
        <v>0</v>
      </c>
      <c r="AQ65" s="362">
        <v>0</v>
      </c>
      <c r="AR65" s="362">
        <v>0</v>
      </c>
      <c r="AS65" s="362">
        <v>0</v>
      </c>
      <c r="AT65" s="362">
        <v>0</v>
      </c>
      <c r="AU65" s="362">
        <v>0</v>
      </c>
      <c r="AV65" s="362">
        <v>0</v>
      </c>
      <c r="AW65" s="362">
        <v>0</v>
      </c>
      <c r="AX65" s="362">
        <v>0</v>
      </c>
      <c r="AY65" s="362">
        <v>0</v>
      </c>
      <c r="AZ65" s="362">
        <v>0</v>
      </c>
      <c r="BA65" s="362">
        <v>0.83378859478420353</v>
      </c>
      <c r="BB65" s="362">
        <v>0</v>
      </c>
      <c r="BC65" s="362">
        <v>0</v>
      </c>
      <c r="BD65" s="362">
        <v>0</v>
      </c>
      <c r="BE65" s="362">
        <v>0</v>
      </c>
      <c r="BF65" s="362">
        <v>0</v>
      </c>
      <c r="BG65" s="362">
        <v>3.502035951531935E-3</v>
      </c>
      <c r="BH65" s="362">
        <v>0</v>
      </c>
      <c r="BI65" s="362">
        <v>0</v>
      </c>
      <c r="BJ65" s="362">
        <v>4.4900631227853038E-2</v>
      </c>
      <c r="BK65" s="362">
        <v>0</v>
      </c>
      <c r="BL65" s="362">
        <v>0.37477031324922028</v>
      </c>
      <c r="BM65" s="362">
        <v>0</v>
      </c>
      <c r="BN65" s="362">
        <v>0</v>
      </c>
      <c r="BO65" s="362">
        <v>0</v>
      </c>
      <c r="BP65" s="362">
        <v>0</v>
      </c>
      <c r="BQ65" s="362">
        <v>0</v>
      </c>
      <c r="BR65" s="362">
        <v>0</v>
      </c>
      <c r="BS65" s="362">
        <v>0</v>
      </c>
      <c r="BT65" s="362">
        <v>0</v>
      </c>
      <c r="BU65" s="362">
        <v>0</v>
      </c>
      <c r="BV65" s="362">
        <v>0</v>
      </c>
      <c r="BW65" s="362">
        <v>0</v>
      </c>
      <c r="BX65" s="362">
        <v>0</v>
      </c>
      <c r="BY65" s="362">
        <v>2.4272341801557549E-2</v>
      </c>
      <c r="BZ65" s="362">
        <v>0</v>
      </c>
      <c r="CA65" s="362">
        <v>0.13946386400123853</v>
      </c>
      <c r="CB65" s="362">
        <v>0</v>
      </c>
      <c r="CC65" s="362">
        <v>0</v>
      </c>
      <c r="CD65" s="362">
        <v>0</v>
      </c>
      <c r="CE65" s="362">
        <v>0</v>
      </c>
      <c r="CF65" s="362">
        <v>0</v>
      </c>
      <c r="CG65" s="362">
        <v>0</v>
      </c>
      <c r="CH65" s="362">
        <v>0</v>
      </c>
      <c r="CI65" s="362">
        <v>0</v>
      </c>
      <c r="CJ65" s="362">
        <v>0</v>
      </c>
      <c r="CK65" s="362">
        <v>0</v>
      </c>
      <c r="CL65" s="362">
        <v>0</v>
      </c>
      <c r="CM65" s="362">
        <v>6.3242523960860247E-2</v>
      </c>
      <c r="CN65" s="362">
        <v>0</v>
      </c>
      <c r="CO65" s="362">
        <v>0</v>
      </c>
      <c r="CP65" s="362">
        <v>0</v>
      </c>
      <c r="CQ65" s="362">
        <v>0</v>
      </c>
      <c r="CR65" s="362">
        <v>0</v>
      </c>
      <c r="CS65" s="362">
        <v>0</v>
      </c>
      <c r="CT65" s="362">
        <v>0</v>
      </c>
      <c r="CU65" s="362">
        <v>0</v>
      </c>
      <c r="CV65" s="362">
        <v>0</v>
      </c>
      <c r="CW65" s="362">
        <v>0</v>
      </c>
      <c r="CX65" s="362">
        <v>0.15427712582965167</v>
      </c>
      <c r="CY65" s="362">
        <v>0</v>
      </c>
      <c r="CZ65" s="362">
        <v>0.20981605599902642</v>
      </c>
      <c r="DA65" s="362">
        <v>0</v>
      </c>
      <c r="DB65" s="362">
        <v>0</v>
      </c>
      <c r="DC65" s="362">
        <v>0</v>
      </c>
      <c r="DD65" s="362">
        <v>0</v>
      </c>
      <c r="DE65" s="362">
        <v>0</v>
      </c>
      <c r="DF65" s="362">
        <v>0</v>
      </c>
      <c r="DG65" s="362">
        <v>0</v>
      </c>
      <c r="DH65" s="362">
        <v>0</v>
      </c>
      <c r="DI65" s="362">
        <v>0</v>
      </c>
      <c r="DJ65" s="362">
        <v>0</v>
      </c>
      <c r="DK65" s="362">
        <v>0</v>
      </c>
      <c r="DL65" s="362">
        <v>0.4</v>
      </c>
      <c r="DM65" s="362">
        <v>0</v>
      </c>
      <c r="DN65" s="362">
        <v>0.41437848796408722</v>
      </c>
      <c r="DO65" s="362">
        <v>0</v>
      </c>
      <c r="DP65" s="362">
        <v>0</v>
      </c>
      <c r="DQ65" s="362">
        <v>0</v>
      </c>
      <c r="DR65" s="362">
        <v>0</v>
      </c>
      <c r="DS65" s="362">
        <v>0</v>
      </c>
      <c r="DT65" s="362">
        <v>0</v>
      </c>
      <c r="DU65" s="362">
        <v>0.82030333573731173</v>
      </c>
      <c r="DV65" s="362">
        <v>0</v>
      </c>
      <c r="DW65" s="362">
        <v>0.97069877001129812</v>
      </c>
      <c r="DX65" s="362">
        <v>0</v>
      </c>
      <c r="DY65" s="362">
        <v>0.16604436635185593</v>
      </c>
      <c r="DZ65" s="362">
        <v>0</v>
      </c>
      <c r="EA65" s="362">
        <v>1.2749781659388699</v>
      </c>
      <c r="EB65" s="362">
        <v>0</v>
      </c>
      <c r="EC65" s="362">
        <v>0.15704347826086956</v>
      </c>
      <c r="ED65" s="362">
        <v>8.8649458695652175E-2</v>
      </c>
      <c r="EE65" s="362">
        <v>0</v>
      </c>
      <c r="EF65" s="362">
        <v>0</v>
      </c>
      <c r="EG65" s="362">
        <v>0</v>
      </c>
      <c r="EH65" s="362">
        <v>0</v>
      </c>
      <c r="EI65" s="362">
        <v>0</v>
      </c>
      <c r="EJ65" s="362">
        <v>0</v>
      </c>
    </row>
    <row r="66" spans="1:142" ht="17.25" x14ac:dyDescent="0.3">
      <c r="A66" s="366" t="s">
        <v>217</v>
      </c>
      <c r="B66" s="365" t="s">
        <v>216</v>
      </c>
      <c r="C66" s="362">
        <v>0</v>
      </c>
      <c r="D66" s="362">
        <v>0</v>
      </c>
      <c r="E66" s="362">
        <v>0</v>
      </c>
      <c r="F66" s="362">
        <v>0</v>
      </c>
      <c r="G66" s="362">
        <v>0</v>
      </c>
      <c r="H66" s="362">
        <v>0</v>
      </c>
      <c r="I66" s="362">
        <v>0</v>
      </c>
      <c r="J66" s="362">
        <v>0</v>
      </c>
      <c r="K66" s="362">
        <v>0</v>
      </c>
      <c r="L66" s="362">
        <v>0</v>
      </c>
      <c r="M66" s="362">
        <v>0</v>
      </c>
      <c r="N66" s="362">
        <v>0</v>
      </c>
      <c r="O66" s="362">
        <v>0</v>
      </c>
      <c r="P66" s="362">
        <v>0</v>
      </c>
      <c r="Q66" s="362">
        <v>0</v>
      </c>
      <c r="R66" s="362">
        <v>0</v>
      </c>
      <c r="S66" s="362">
        <v>0</v>
      </c>
      <c r="T66" s="362">
        <v>0</v>
      </c>
      <c r="U66" s="362">
        <v>0</v>
      </c>
      <c r="V66" s="362">
        <v>0</v>
      </c>
      <c r="W66" s="362">
        <v>0</v>
      </c>
      <c r="X66" s="362">
        <v>0</v>
      </c>
      <c r="Y66" s="362">
        <v>0</v>
      </c>
      <c r="Z66" s="362">
        <v>0</v>
      </c>
      <c r="AA66" s="362">
        <v>0</v>
      </c>
      <c r="AB66" s="362">
        <v>0</v>
      </c>
      <c r="AC66" s="362">
        <v>0</v>
      </c>
      <c r="AD66" s="362">
        <v>0</v>
      </c>
      <c r="AE66" s="362">
        <v>0</v>
      </c>
      <c r="AF66" s="362">
        <v>0</v>
      </c>
      <c r="AG66" s="362">
        <v>0</v>
      </c>
      <c r="AH66" s="362">
        <v>0</v>
      </c>
      <c r="AI66" s="362">
        <v>0</v>
      </c>
      <c r="AJ66" s="362">
        <v>0</v>
      </c>
      <c r="AK66" s="362">
        <v>0</v>
      </c>
      <c r="AL66" s="362">
        <v>0</v>
      </c>
      <c r="AM66" s="362">
        <v>0</v>
      </c>
      <c r="AN66" s="362">
        <v>0</v>
      </c>
      <c r="AO66" s="362">
        <v>0</v>
      </c>
      <c r="AP66" s="362">
        <v>0</v>
      </c>
      <c r="AQ66" s="362">
        <v>0</v>
      </c>
      <c r="AR66" s="362">
        <v>0</v>
      </c>
      <c r="AS66" s="362">
        <v>0</v>
      </c>
      <c r="AT66" s="362">
        <v>0</v>
      </c>
      <c r="AU66" s="362">
        <v>0</v>
      </c>
      <c r="AV66" s="362">
        <v>0</v>
      </c>
      <c r="AW66" s="362">
        <v>0</v>
      </c>
      <c r="AX66" s="362">
        <v>0</v>
      </c>
      <c r="AY66" s="362">
        <v>0</v>
      </c>
      <c r="AZ66" s="362">
        <v>0</v>
      </c>
      <c r="BA66" s="362">
        <v>0</v>
      </c>
      <c r="BB66" s="362">
        <v>0</v>
      </c>
      <c r="BC66" s="362">
        <v>0</v>
      </c>
      <c r="BD66" s="362">
        <v>0</v>
      </c>
      <c r="BE66" s="362">
        <v>0</v>
      </c>
      <c r="BF66" s="362">
        <v>0</v>
      </c>
      <c r="BG66" s="362">
        <v>0</v>
      </c>
      <c r="BH66" s="362">
        <v>0</v>
      </c>
      <c r="BI66" s="362">
        <v>0</v>
      </c>
      <c r="BJ66" s="362">
        <v>0</v>
      </c>
      <c r="BK66" s="362">
        <v>0</v>
      </c>
      <c r="BL66" s="362">
        <v>0</v>
      </c>
      <c r="BM66" s="362">
        <v>0</v>
      </c>
      <c r="BN66" s="362">
        <v>0</v>
      </c>
      <c r="BO66" s="362">
        <v>0</v>
      </c>
      <c r="BP66" s="362">
        <v>0</v>
      </c>
      <c r="BQ66" s="362">
        <v>0</v>
      </c>
      <c r="BR66" s="362">
        <v>0</v>
      </c>
      <c r="BS66" s="362">
        <v>0</v>
      </c>
      <c r="BT66" s="362">
        <v>0</v>
      </c>
      <c r="BU66" s="362">
        <v>0</v>
      </c>
      <c r="BV66" s="362">
        <v>0</v>
      </c>
      <c r="BW66" s="362">
        <v>0</v>
      </c>
      <c r="BX66" s="362">
        <v>0</v>
      </c>
      <c r="BY66" s="362">
        <v>0</v>
      </c>
      <c r="BZ66" s="362">
        <v>0</v>
      </c>
      <c r="CA66" s="362">
        <v>0</v>
      </c>
      <c r="CB66" s="362">
        <v>0</v>
      </c>
      <c r="CC66" s="362">
        <v>0</v>
      </c>
      <c r="CD66" s="362">
        <v>0</v>
      </c>
      <c r="CE66" s="362">
        <v>0</v>
      </c>
      <c r="CF66" s="362">
        <v>0</v>
      </c>
      <c r="CG66" s="362">
        <v>0</v>
      </c>
      <c r="CH66" s="362">
        <v>0</v>
      </c>
      <c r="CI66" s="362">
        <v>0</v>
      </c>
      <c r="CJ66" s="362">
        <v>0</v>
      </c>
      <c r="CK66" s="362">
        <v>0</v>
      </c>
      <c r="CL66" s="362">
        <v>0</v>
      </c>
      <c r="CM66" s="362">
        <v>0</v>
      </c>
      <c r="CN66" s="362">
        <v>0</v>
      </c>
      <c r="CO66" s="362">
        <v>0</v>
      </c>
      <c r="CP66" s="362">
        <v>0</v>
      </c>
      <c r="CQ66" s="362">
        <v>0</v>
      </c>
      <c r="CR66" s="362">
        <v>0</v>
      </c>
      <c r="CS66" s="362">
        <v>0</v>
      </c>
      <c r="CT66" s="362">
        <v>0</v>
      </c>
      <c r="CU66" s="362">
        <v>0</v>
      </c>
      <c r="CV66" s="362">
        <v>0</v>
      </c>
      <c r="CW66" s="362">
        <v>0</v>
      </c>
      <c r="CX66" s="362">
        <v>0</v>
      </c>
      <c r="CY66" s="362">
        <v>0</v>
      </c>
      <c r="CZ66" s="362">
        <v>0</v>
      </c>
      <c r="DA66" s="362">
        <v>0</v>
      </c>
      <c r="DB66" s="362">
        <v>0</v>
      </c>
      <c r="DC66" s="362">
        <v>0</v>
      </c>
      <c r="DD66" s="362">
        <v>0</v>
      </c>
      <c r="DE66" s="362">
        <v>0</v>
      </c>
      <c r="DF66" s="362">
        <v>0</v>
      </c>
      <c r="DG66" s="362">
        <v>0</v>
      </c>
      <c r="DH66" s="362">
        <v>0</v>
      </c>
      <c r="DI66" s="362">
        <v>0</v>
      </c>
      <c r="DJ66" s="362">
        <v>0</v>
      </c>
      <c r="DK66" s="362">
        <v>0</v>
      </c>
      <c r="DL66" s="362">
        <v>0</v>
      </c>
      <c r="DM66" s="362">
        <v>0</v>
      </c>
      <c r="DN66" s="362">
        <v>0</v>
      </c>
      <c r="DO66" s="362">
        <v>0</v>
      </c>
      <c r="DP66" s="362">
        <v>0</v>
      </c>
      <c r="DQ66" s="362">
        <v>0</v>
      </c>
      <c r="DR66" s="362">
        <v>0</v>
      </c>
      <c r="DS66" s="362">
        <v>0</v>
      </c>
      <c r="DT66" s="362">
        <v>0</v>
      </c>
      <c r="DU66" s="362">
        <v>0</v>
      </c>
      <c r="DV66" s="362">
        <v>0</v>
      </c>
      <c r="DW66" s="362">
        <v>0</v>
      </c>
      <c r="DX66" s="362">
        <v>0</v>
      </c>
      <c r="DY66" s="362">
        <v>0</v>
      </c>
      <c r="DZ66" s="362">
        <v>0</v>
      </c>
      <c r="EA66" s="362">
        <v>0</v>
      </c>
      <c r="EB66" s="362">
        <v>0</v>
      </c>
      <c r="EC66" s="362">
        <v>0</v>
      </c>
      <c r="ED66" s="362">
        <v>0</v>
      </c>
      <c r="EE66" s="362">
        <v>0</v>
      </c>
      <c r="EF66" s="362">
        <v>0</v>
      </c>
      <c r="EG66" s="362">
        <v>0</v>
      </c>
      <c r="EH66" s="362">
        <v>0</v>
      </c>
      <c r="EI66" s="362">
        <v>0</v>
      </c>
      <c r="EJ66" s="362">
        <v>0</v>
      </c>
    </row>
    <row r="67" spans="1:142" ht="17.25" x14ac:dyDescent="0.3">
      <c r="A67" s="366" t="s">
        <v>215</v>
      </c>
      <c r="B67" s="365" t="s">
        <v>214</v>
      </c>
      <c r="C67" s="362">
        <v>0.25132892010789365</v>
      </c>
      <c r="D67" s="362">
        <v>0.3318170715557146</v>
      </c>
      <c r="E67" s="362">
        <v>8.3715056108756333E-2</v>
      </c>
      <c r="F67" s="362">
        <v>0</v>
      </c>
      <c r="G67" s="362">
        <v>0</v>
      </c>
      <c r="H67" s="362">
        <v>0</v>
      </c>
      <c r="I67" s="362">
        <v>0.73389396138582164</v>
      </c>
      <c r="J67" s="362">
        <v>0</v>
      </c>
      <c r="K67" s="362">
        <v>0</v>
      </c>
      <c r="L67" s="362">
        <v>0</v>
      </c>
      <c r="M67" s="362">
        <v>0</v>
      </c>
      <c r="N67" s="362">
        <v>0</v>
      </c>
      <c r="O67" s="362">
        <v>0.54229450628886045</v>
      </c>
      <c r="P67" s="362">
        <v>0</v>
      </c>
      <c r="Q67" s="362">
        <v>5.783189507943752E-2</v>
      </c>
      <c r="R67" s="362">
        <v>0</v>
      </c>
      <c r="S67" s="362">
        <v>1.0744178550393617</v>
      </c>
      <c r="T67" s="362">
        <v>0</v>
      </c>
      <c r="U67" s="362">
        <v>0.41916540687236525</v>
      </c>
      <c r="V67" s="362">
        <v>0</v>
      </c>
      <c r="W67" s="362">
        <v>0</v>
      </c>
      <c r="X67" s="362">
        <v>0</v>
      </c>
      <c r="Y67" s="362">
        <v>1.3999513994455153</v>
      </c>
      <c r="Z67" s="362">
        <v>0</v>
      </c>
      <c r="AA67" s="362">
        <v>0</v>
      </c>
      <c r="AB67" s="362">
        <v>0</v>
      </c>
      <c r="AC67" s="362">
        <v>0.17545968931481642</v>
      </c>
      <c r="AD67" s="362">
        <v>0.10796266958471533</v>
      </c>
      <c r="AE67" s="362">
        <v>1.327473039011781</v>
      </c>
      <c r="AF67" s="362">
        <v>0.39470009076652146</v>
      </c>
      <c r="AG67" s="362">
        <v>0.66043010387089973</v>
      </c>
      <c r="AH67" s="362">
        <v>0</v>
      </c>
      <c r="AI67" s="362">
        <v>0.62784515663268159</v>
      </c>
      <c r="AJ67" s="362">
        <v>0</v>
      </c>
      <c r="AK67" s="362">
        <v>0</v>
      </c>
      <c r="AL67" s="362">
        <v>0</v>
      </c>
      <c r="AM67" s="362">
        <v>0.28377512442628444</v>
      </c>
      <c r="AN67" s="362">
        <v>0</v>
      </c>
      <c r="AO67" s="362">
        <v>1.5891572004293497</v>
      </c>
      <c r="AP67" s="362">
        <v>0.18662419417014522</v>
      </c>
      <c r="AQ67" s="362">
        <v>0.39168488064471846</v>
      </c>
      <c r="AR67" s="362">
        <v>0</v>
      </c>
      <c r="AS67" s="362">
        <v>0.2018687748030896</v>
      </c>
      <c r="AT67" s="362">
        <v>0</v>
      </c>
      <c r="AU67" s="362">
        <v>0</v>
      </c>
      <c r="AV67" s="362">
        <v>0</v>
      </c>
      <c r="AW67" s="362">
        <v>0</v>
      </c>
      <c r="AX67" s="362">
        <v>0</v>
      </c>
      <c r="AY67" s="362">
        <v>0</v>
      </c>
      <c r="AZ67" s="362">
        <v>0</v>
      </c>
      <c r="BA67" s="362">
        <v>0.39669633835110607</v>
      </c>
      <c r="BB67" s="362">
        <v>0</v>
      </c>
      <c r="BC67" s="362">
        <v>0</v>
      </c>
      <c r="BD67" s="362">
        <v>0</v>
      </c>
      <c r="BE67" s="362">
        <v>0</v>
      </c>
      <c r="BF67" s="362">
        <v>0</v>
      </c>
      <c r="BG67" s="362">
        <v>0</v>
      </c>
      <c r="BH67" s="362">
        <v>0</v>
      </c>
      <c r="BI67" s="362">
        <v>0</v>
      </c>
      <c r="BJ67" s="362">
        <v>0</v>
      </c>
      <c r="BK67" s="362">
        <v>0</v>
      </c>
      <c r="BL67" s="362">
        <v>0</v>
      </c>
      <c r="BM67" s="362">
        <v>0</v>
      </c>
      <c r="BN67" s="362">
        <v>0</v>
      </c>
      <c r="BO67" s="362">
        <v>0</v>
      </c>
      <c r="BP67" s="362">
        <v>0</v>
      </c>
      <c r="BQ67" s="362">
        <v>0</v>
      </c>
      <c r="BR67" s="362">
        <v>0</v>
      </c>
      <c r="BS67" s="362">
        <v>0</v>
      </c>
      <c r="BT67" s="362">
        <v>0</v>
      </c>
      <c r="BU67" s="362">
        <v>0</v>
      </c>
      <c r="BV67" s="362">
        <v>0</v>
      </c>
      <c r="BW67" s="362">
        <v>0</v>
      </c>
      <c r="BX67" s="362">
        <v>0</v>
      </c>
      <c r="BY67" s="362">
        <v>0</v>
      </c>
      <c r="BZ67" s="362">
        <v>0</v>
      </c>
      <c r="CA67" s="362">
        <v>0</v>
      </c>
      <c r="CB67" s="362">
        <v>0</v>
      </c>
      <c r="CC67" s="362">
        <v>0</v>
      </c>
      <c r="CD67" s="362">
        <v>0</v>
      </c>
      <c r="CE67" s="362">
        <v>0</v>
      </c>
      <c r="CF67" s="362">
        <v>0</v>
      </c>
      <c r="CG67" s="362">
        <v>0</v>
      </c>
      <c r="CH67" s="362">
        <v>0</v>
      </c>
      <c r="CI67" s="362">
        <v>0</v>
      </c>
      <c r="CJ67" s="362">
        <v>0</v>
      </c>
      <c r="CK67" s="362">
        <v>0</v>
      </c>
      <c r="CL67" s="362">
        <v>0</v>
      </c>
      <c r="CM67" s="362">
        <v>0</v>
      </c>
      <c r="CN67" s="362">
        <v>0</v>
      </c>
      <c r="CO67" s="362">
        <v>0</v>
      </c>
      <c r="CP67" s="362">
        <v>0</v>
      </c>
      <c r="CQ67" s="362">
        <v>0</v>
      </c>
      <c r="CR67" s="362">
        <v>0</v>
      </c>
      <c r="CS67" s="362">
        <v>0</v>
      </c>
      <c r="CT67" s="362">
        <v>0</v>
      </c>
      <c r="CU67" s="362">
        <v>0</v>
      </c>
      <c r="CV67" s="362">
        <v>0</v>
      </c>
      <c r="CW67" s="362">
        <v>0</v>
      </c>
      <c r="CX67" s="362">
        <v>0</v>
      </c>
      <c r="CY67" s="362">
        <v>0</v>
      </c>
      <c r="CZ67" s="362">
        <v>0</v>
      </c>
      <c r="DA67" s="362">
        <v>0</v>
      </c>
      <c r="DB67" s="362">
        <v>0</v>
      </c>
      <c r="DC67" s="362">
        <v>0</v>
      </c>
      <c r="DD67" s="362">
        <v>0</v>
      </c>
      <c r="DE67" s="362">
        <v>0</v>
      </c>
      <c r="DF67" s="362">
        <v>0</v>
      </c>
      <c r="DG67" s="362">
        <v>0</v>
      </c>
      <c r="DH67" s="362">
        <v>0</v>
      </c>
      <c r="DI67" s="362">
        <v>0</v>
      </c>
      <c r="DJ67" s="362">
        <v>0</v>
      </c>
      <c r="DK67" s="362">
        <v>0</v>
      </c>
      <c r="DL67" s="362">
        <v>0</v>
      </c>
      <c r="DM67" s="362">
        <v>0</v>
      </c>
      <c r="DN67" s="362">
        <v>0</v>
      </c>
      <c r="DO67" s="362">
        <v>0</v>
      </c>
      <c r="DP67" s="362">
        <v>0</v>
      </c>
      <c r="DQ67" s="362">
        <v>0</v>
      </c>
      <c r="DR67" s="362">
        <v>0</v>
      </c>
      <c r="DS67" s="362">
        <v>0</v>
      </c>
      <c r="DT67" s="362">
        <v>0</v>
      </c>
      <c r="DU67" s="362">
        <v>0</v>
      </c>
      <c r="DV67" s="362">
        <v>0</v>
      </c>
      <c r="DW67" s="362">
        <v>0</v>
      </c>
      <c r="DX67" s="362">
        <v>0</v>
      </c>
      <c r="DY67" s="362">
        <v>0</v>
      </c>
      <c r="DZ67" s="362">
        <v>0</v>
      </c>
      <c r="EA67" s="362">
        <v>0</v>
      </c>
      <c r="EB67" s="362">
        <v>0</v>
      </c>
      <c r="EC67" s="362">
        <v>0</v>
      </c>
      <c r="ED67" s="362">
        <v>0</v>
      </c>
      <c r="EE67" s="362">
        <v>0</v>
      </c>
      <c r="EF67" s="362">
        <v>0</v>
      </c>
      <c r="EG67" s="362">
        <v>1.6236375069871436</v>
      </c>
      <c r="EH67" s="362">
        <v>0</v>
      </c>
      <c r="EI67" s="362">
        <v>1.4990657006363812</v>
      </c>
      <c r="EJ67" s="362">
        <v>0</v>
      </c>
    </row>
    <row r="68" spans="1:142" ht="17.25" x14ac:dyDescent="0.3">
      <c r="A68" s="366" t="s">
        <v>213</v>
      </c>
      <c r="B68" s="365" t="s">
        <v>212</v>
      </c>
      <c r="C68" s="362">
        <v>0</v>
      </c>
      <c r="D68" s="362">
        <v>0</v>
      </c>
      <c r="E68" s="362">
        <v>0</v>
      </c>
      <c r="F68" s="362">
        <v>0</v>
      </c>
      <c r="G68" s="362">
        <v>0</v>
      </c>
      <c r="H68" s="362">
        <v>0</v>
      </c>
      <c r="I68" s="362">
        <v>0</v>
      </c>
      <c r="J68" s="362">
        <v>0</v>
      </c>
      <c r="K68" s="362">
        <v>0</v>
      </c>
      <c r="L68" s="362">
        <v>0</v>
      </c>
      <c r="M68" s="362">
        <v>0</v>
      </c>
      <c r="N68" s="362">
        <v>0</v>
      </c>
      <c r="O68" s="362">
        <v>0</v>
      </c>
      <c r="P68" s="362">
        <v>0</v>
      </c>
      <c r="Q68" s="362">
        <v>0</v>
      </c>
      <c r="R68" s="362">
        <v>0</v>
      </c>
      <c r="S68" s="362">
        <v>0</v>
      </c>
      <c r="T68" s="362">
        <v>0</v>
      </c>
      <c r="U68" s="362">
        <v>0</v>
      </c>
      <c r="V68" s="362">
        <v>0</v>
      </c>
      <c r="W68" s="362">
        <v>0</v>
      </c>
      <c r="X68" s="362">
        <v>0</v>
      </c>
      <c r="Y68" s="362">
        <v>0</v>
      </c>
      <c r="Z68" s="362">
        <v>0</v>
      </c>
      <c r="AA68" s="362">
        <v>0</v>
      </c>
      <c r="AB68" s="362">
        <v>0</v>
      </c>
      <c r="AC68" s="362">
        <v>0</v>
      </c>
      <c r="AD68" s="362">
        <v>0</v>
      </c>
      <c r="AE68" s="362">
        <v>0</v>
      </c>
      <c r="AF68" s="362">
        <v>0</v>
      </c>
      <c r="AG68" s="362">
        <v>0</v>
      </c>
      <c r="AH68" s="362">
        <v>0</v>
      </c>
      <c r="AI68" s="362">
        <v>0</v>
      </c>
      <c r="AJ68" s="362">
        <v>0</v>
      </c>
      <c r="AK68" s="362">
        <v>0</v>
      </c>
      <c r="AL68" s="362">
        <v>0</v>
      </c>
      <c r="AM68" s="362">
        <v>0</v>
      </c>
      <c r="AN68" s="362">
        <v>0</v>
      </c>
      <c r="AO68" s="362">
        <v>0</v>
      </c>
      <c r="AP68" s="362">
        <v>0</v>
      </c>
      <c r="AQ68" s="362">
        <v>0</v>
      </c>
      <c r="AR68" s="362">
        <v>0</v>
      </c>
      <c r="AS68" s="362">
        <v>0</v>
      </c>
      <c r="AT68" s="362">
        <v>0</v>
      </c>
      <c r="AU68" s="362">
        <v>0</v>
      </c>
      <c r="AV68" s="362">
        <v>0</v>
      </c>
      <c r="AW68" s="362">
        <v>0</v>
      </c>
      <c r="AX68" s="362">
        <v>0</v>
      </c>
      <c r="AY68" s="362">
        <v>0</v>
      </c>
      <c r="AZ68" s="362">
        <v>0</v>
      </c>
      <c r="BA68" s="362">
        <v>0</v>
      </c>
      <c r="BB68" s="362">
        <v>0</v>
      </c>
      <c r="BC68" s="362">
        <v>0</v>
      </c>
      <c r="BD68" s="362">
        <v>0</v>
      </c>
      <c r="BE68" s="362">
        <v>0</v>
      </c>
      <c r="BF68" s="362">
        <v>0</v>
      </c>
      <c r="BG68" s="362">
        <v>0</v>
      </c>
      <c r="BH68" s="362">
        <v>0</v>
      </c>
      <c r="BI68" s="362">
        <v>0</v>
      </c>
      <c r="BJ68" s="362">
        <v>0</v>
      </c>
      <c r="BK68" s="362">
        <v>0</v>
      </c>
      <c r="BL68" s="362">
        <v>0</v>
      </c>
      <c r="BM68" s="362">
        <v>0</v>
      </c>
      <c r="BN68" s="362">
        <v>0</v>
      </c>
      <c r="BO68" s="362">
        <v>0</v>
      </c>
      <c r="BP68" s="362">
        <v>0</v>
      </c>
      <c r="BQ68" s="362">
        <v>0</v>
      </c>
      <c r="BR68" s="362">
        <v>0</v>
      </c>
      <c r="BS68" s="362">
        <v>0</v>
      </c>
      <c r="BT68" s="362">
        <v>0</v>
      </c>
      <c r="BU68" s="362">
        <v>0</v>
      </c>
      <c r="BV68" s="362">
        <v>0</v>
      </c>
      <c r="BW68" s="362">
        <v>0</v>
      </c>
      <c r="BX68" s="362">
        <v>0</v>
      </c>
      <c r="BY68" s="362">
        <v>0</v>
      </c>
      <c r="BZ68" s="362">
        <v>0</v>
      </c>
      <c r="CA68" s="362">
        <v>0</v>
      </c>
      <c r="CB68" s="362">
        <v>0</v>
      </c>
      <c r="CC68" s="362">
        <v>0</v>
      </c>
      <c r="CD68" s="362">
        <v>0</v>
      </c>
      <c r="CE68" s="362">
        <v>0</v>
      </c>
      <c r="CF68" s="362">
        <v>0</v>
      </c>
      <c r="CG68" s="362">
        <v>0</v>
      </c>
      <c r="CH68" s="362">
        <v>0</v>
      </c>
      <c r="CI68" s="362">
        <v>0</v>
      </c>
      <c r="CJ68" s="362">
        <v>0</v>
      </c>
      <c r="CK68" s="362">
        <v>0</v>
      </c>
      <c r="CL68" s="362">
        <v>0</v>
      </c>
      <c r="CM68" s="362">
        <v>0</v>
      </c>
      <c r="CN68" s="362">
        <v>0</v>
      </c>
      <c r="CO68" s="362">
        <v>0</v>
      </c>
      <c r="CP68" s="362">
        <v>0</v>
      </c>
      <c r="CQ68" s="362">
        <v>0</v>
      </c>
      <c r="CR68" s="362">
        <v>0</v>
      </c>
      <c r="CS68" s="362">
        <v>0</v>
      </c>
      <c r="CT68" s="362">
        <v>0</v>
      </c>
      <c r="CU68" s="362">
        <v>0</v>
      </c>
      <c r="CV68" s="362">
        <v>0</v>
      </c>
      <c r="CW68" s="362">
        <v>0</v>
      </c>
      <c r="CX68" s="362">
        <v>0</v>
      </c>
      <c r="CY68" s="362">
        <v>0</v>
      </c>
      <c r="CZ68" s="362">
        <v>0</v>
      </c>
      <c r="DA68" s="362">
        <v>0</v>
      </c>
      <c r="DB68" s="362">
        <v>0</v>
      </c>
      <c r="DC68" s="362">
        <v>0</v>
      </c>
      <c r="DD68" s="362">
        <v>0</v>
      </c>
      <c r="DE68" s="362">
        <v>0</v>
      </c>
      <c r="DF68" s="362">
        <v>0</v>
      </c>
      <c r="DG68" s="362">
        <v>0</v>
      </c>
      <c r="DH68" s="362">
        <v>0</v>
      </c>
      <c r="DI68" s="362">
        <v>0</v>
      </c>
      <c r="DJ68" s="362">
        <v>0</v>
      </c>
      <c r="DK68" s="362">
        <v>0</v>
      </c>
      <c r="DL68" s="362">
        <v>0</v>
      </c>
      <c r="DM68" s="362">
        <v>0</v>
      </c>
      <c r="DN68" s="362">
        <v>0</v>
      </c>
      <c r="DO68" s="362">
        <v>0</v>
      </c>
      <c r="DP68" s="362">
        <v>0</v>
      </c>
      <c r="DQ68" s="362">
        <v>0</v>
      </c>
      <c r="DR68" s="362">
        <v>0</v>
      </c>
      <c r="DS68" s="362">
        <v>0</v>
      </c>
      <c r="DT68" s="362">
        <v>0</v>
      </c>
      <c r="DU68" s="362">
        <v>0</v>
      </c>
      <c r="DV68" s="362">
        <v>0</v>
      </c>
      <c r="DW68" s="362">
        <v>0</v>
      </c>
      <c r="DX68" s="362">
        <v>0</v>
      </c>
      <c r="DY68" s="362">
        <v>0</v>
      </c>
      <c r="DZ68" s="362">
        <v>0</v>
      </c>
      <c r="EA68" s="362">
        <v>0</v>
      </c>
      <c r="EB68" s="362">
        <v>0</v>
      </c>
      <c r="EC68" s="362">
        <v>0</v>
      </c>
      <c r="ED68" s="362">
        <v>0</v>
      </c>
      <c r="EE68" s="362">
        <v>0</v>
      </c>
      <c r="EF68" s="362">
        <v>0</v>
      </c>
      <c r="EG68" s="362">
        <v>0</v>
      </c>
      <c r="EH68" s="362">
        <v>0</v>
      </c>
      <c r="EI68" s="362">
        <v>0</v>
      </c>
      <c r="EJ68" s="362">
        <v>0</v>
      </c>
    </row>
    <row r="69" spans="1:142" ht="17.25" x14ac:dyDescent="0.3">
      <c r="A69" s="366" t="s">
        <v>211</v>
      </c>
      <c r="B69" s="365" t="s">
        <v>210</v>
      </c>
      <c r="C69" s="362">
        <v>0</v>
      </c>
      <c r="D69" s="362">
        <v>1.2416939020485058</v>
      </c>
      <c r="E69" s="362">
        <v>0</v>
      </c>
      <c r="F69" s="362">
        <v>0.94589583130149013</v>
      </c>
      <c r="G69" s="362">
        <v>0</v>
      </c>
      <c r="H69" s="362">
        <v>0</v>
      </c>
      <c r="I69" s="362">
        <v>0</v>
      </c>
      <c r="J69" s="362">
        <v>1.5471568729083469</v>
      </c>
      <c r="K69" s="362">
        <v>0.19808539415577883</v>
      </c>
      <c r="L69" s="362">
        <v>3.9437555027405757</v>
      </c>
      <c r="M69" s="362">
        <v>0.15837003500687868</v>
      </c>
      <c r="N69" s="362">
        <v>3.1383519147690855</v>
      </c>
      <c r="O69" s="362">
        <v>0</v>
      </c>
      <c r="P69" s="362">
        <v>4.5023739286481996</v>
      </c>
      <c r="Q69" s="362">
        <v>0</v>
      </c>
      <c r="R69" s="362">
        <v>1.2872063858920986</v>
      </c>
      <c r="S69" s="362">
        <v>0</v>
      </c>
      <c r="T69" s="362">
        <v>3.0498269636957871</v>
      </c>
      <c r="U69" s="362">
        <v>0</v>
      </c>
      <c r="V69" s="362">
        <v>1.4144145280284914</v>
      </c>
      <c r="W69" s="362">
        <v>0</v>
      </c>
      <c r="X69" s="362">
        <v>1.0496675968510172</v>
      </c>
      <c r="Y69" s="362">
        <v>7.0623204622805483E-2</v>
      </c>
      <c r="Z69" s="362">
        <v>2.2739058271683277</v>
      </c>
      <c r="AA69" s="362">
        <v>0</v>
      </c>
      <c r="AB69" s="362">
        <v>2.7409808531159818</v>
      </c>
      <c r="AC69" s="362">
        <v>0.18059225281647256</v>
      </c>
      <c r="AD69" s="362">
        <v>7.1010314299027655E-2</v>
      </c>
      <c r="AE69" s="362">
        <v>0.33150631732187957</v>
      </c>
      <c r="AF69" s="362">
        <v>0</v>
      </c>
      <c r="AG69" s="362">
        <v>0.25861589013083081</v>
      </c>
      <c r="AH69" s="362">
        <v>2.0359510863671346</v>
      </c>
      <c r="AI69" s="362">
        <v>0.28801151270889952</v>
      </c>
      <c r="AJ69" s="362">
        <v>0.98250211248826702</v>
      </c>
      <c r="AK69" s="362">
        <v>0.1348400704628254</v>
      </c>
      <c r="AL69" s="362">
        <v>0</v>
      </c>
      <c r="AM69" s="362">
        <v>0</v>
      </c>
      <c r="AN69" s="362">
        <v>0</v>
      </c>
      <c r="AO69" s="362">
        <v>0</v>
      </c>
      <c r="AP69" s="362">
        <v>0</v>
      </c>
      <c r="AQ69" s="362">
        <v>0</v>
      </c>
      <c r="AR69" s="362">
        <v>0</v>
      </c>
      <c r="AS69" s="362">
        <v>0</v>
      </c>
      <c r="AT69" s="362">
        <v>0</v>
      </c>
      <c r="AU69" s="362">
        <v>0</v>
      </c>
      <c r="AV69" s="362">
        <v>0</v>
      </c>
      <c r="AW69" s="362">
        <v>0</v>
      </c>
      <c r="AX69" s="362">
        <v>0</v>
      </c>
      <c r="AY69" s="362">
        <v>0</v>
      </c>
      <c r="AZ69" s="362">
        <v>0</v>
      </c>
      <c r="BA69" s="362">
        <v>0</v>
      </c>
      <c r="BB69" s="362">
        <v>0</v>
      </c>
      <c r="BC69" s="362">
        <v>0</v>
      </c>
      <c r="BD69" s="362">
        <v>1.5057412742074447</v>
      </c>
      <c r="BE69" s="362">
        <v>0</v>
      </c>
      <c r="BF69" s="362">
        <v>0</v>
      </c>
      <c r="BG69" s="362">
        <v>0</v>
      </c>
      <c r="BH69" s="362">
        <v>0</v>
      </c>
      <c r="BI69" s="362">
        <v>0</v>
      </c>
      <c r="BJ69" s="362">
        <v>0</v>
      </c>
      <c r="BK69" s="362">
        <v>0</v>
      </c>
      <c r="BL69" s="362">
        <v>0</v>
      </c>
      <c r="BM69" s="362">
        <v>0</v>
      </c>
      <c r="BN69" s="362">
        <v>0</v>
      </c>
      <c r="BO69" s="362">
        <v>0</v>
      </c>
      <c r="BP69" s="362">
        <v>0</v>
      </c>
      <c r="BQ69" s="362">
        <v>0</v>
      </c>
      <c r="BR69" s="362">
        <v>0</v>
      </c>
      <c r="BS69" s="362">
        <v>0</v>
      </c>
      <c r="BT69" s="362">
        <v>0</v>
      </c>
      <c r="BU69" s="362">
        <v>0</v>
      </c>
      <c r="BV69" s="362">
        <v>0</v>
      </c>
      <c r="BW69" s="362">
        <v>0</v>
      </c>
      <c r="BX69" s="362">
        <v>0</v>
      </c>
      <c r="BY69" s="362">
        <v>0</v>
      </c>
      <c r="BZ69" s="362">
        <v>0</v>
      </c>
      <c r="CA69" s="362">
        <v>0</v>
      </c>
      <c r="CB69" s="362">
        <v>0</v>
      </c>
      <c r="CC69" s="362">
        <v>0</v>
      </c>
      <c r="CD69" s="362">
        <v>0</v>
      </c>
      <c r="CE69" s="362">
        <v>4.9346557500633111E-2</v>
      </c>
      <c r="CF69" s="362">
        <v>4.9346557500633111E-2</v>
      </c>
      <c r="CG69" s="362">
        <v>3.7980698077680485E-3</v>
      </c>
      <c r="CH69" s="362">
        <v>0</v>
      </c>
      <c r="CI69" s="362">
        <v>3.7980698077680485E-3</v>
      </c>
      <c r="CJ69" s="362">
        <v>0</v>
      </c>
      <c r="CK69" s="362">
        <v>3.7980698077680485E-3</v>
      </c>
      <c r="CL69" s="362">
        <v>0</v>
      </c>
      <c r="CM69" s="362">
        <v>0</v>
      </c>
      <c r="CN69" s="362">
        <v>0</v>
      </c>
      <c r="CO69" s="362">
        <v>0</v>
      </c>
      <c r="CP69" s="362">
        <v>0</v>
      </c>
      <c r="CQ69" s="362">
        <v>0</v>
      </c>
      <c r="CR69" s="362">
        <v>0</v>
      </c>
      <c r="CS69" s="362">
        <v>0</v>
      </c>
      <c r="CT69" s="362">
        <v>0</v>
      </c>
      <c r="CU69" s="362">
        <v>0</v>
      </c>
      <c r="CV69" s="362">
        <v>0</v>
      </c>
      <c r="CW69" s="362">
        <v>0</v>
      </c>
      <c r="CX69" s="362">
        <v>0</v>
      </c>
      <c r="CY69" s="362">
        <v>0</v>
      </c>
      <c r="CZ69" s="362">
        <v>0</v>
      </c>
      <c r="DA69" s="362">
        <v>0</v>
      </c>
      <c r="DB69" s="362">
        <v>0</v>
      </c>
      <c r="DC69" s="362">
        <v>0</v>
      </c>
      <c r="DD69" s="362">
        <v>0</v>
      </c>
      <c r="DE69" s="362">
        <v>0</v>
      </c>
      <c r="DF69" s="362">
        <v>0</v>
      </c>
      <c r="DG69" s="362">
        <v>0</v>
      </c>
      <c r="DH69" s="362">
        <v>0</v>
      </c>
      <c r="DI69" s="362">
        <v>0</v>
      </c>
      <c r="DJ69" s="362">
        <v>0</v>
      </c>
      <c r="DK69" s="362">
        <v>0</v>
      </c>
      <c r="DL69" s="362">
        <v>0</v>
      </c>
      <c r="DM69" s="362">
        <v>0</v>
      </c>
      <c r="DN69" s="362">
        <v>0</v>
      </c>
      <c r="DO69" s="362">
        <v>0</v>
      </c>
      <c r="DP69" s="362">
        <v>0</v>
      </c>
      <c r="DQ69" s="362">
        <v>0</v>
      </c>
      <c r="DR69" s="362">
        <v>0</v>
      </c>
      <c r="DS69" s="362">
        <v>0</v>
      </c>
      <c r="DT69" s="362">
        <v>0</v>
      </c>
      <c r="DU69" s="362">
        <v>0</v>
      </c>
      <c r="DV69" s="362">
        <v>0</v>
      </c>
      <c r="DW69" s="362">
        <v>0</v>
      </c>
      <c r="DX69" s="362">
        <v>0</v>
      </c>
      <c r="DY69" s="362">
        <v>0</v>
      </c>
      <c r="DZ69" s="362">
        <v>0</v>
      </c>
      <c r="EA69" s="362">
        <v>2.2876746724890831E-2</v>
      </c>
      <c r="EB69" s="362">
        <v>2.2876746724890831E-2</v>
      </c>
      <c r="EC69" s="362">
        <v>0</v>
      </c>
      <c r="ED69" s="362">
        <v>0</v>
      </c>
      <c r="EE69" s="362">
        <v>0</v>
      </c>
      <c r="EF69" s="362">
        <v>0</v>
      </c>
      <c r="EG69" s="362">
        <v>0</v>
      </c>
      <c r="EH69" s="362">
        <v>1.2224444522079374</v>
      </c>
      <c r="EI69" s="362">
        <v>0</v>
      </c>
      <c r="EJ69" s="362">
        <v>0</v>
      </c>
    </row>
    <row r="70" spans="1:142" s="367" customFormat="1" ht="17.25" x14ac:dyDescent="0.3">
      <c r="A70" s="366" t="s">
        <v>209</v>
      </c>
      <c r="B70" s="365" t="s">
        <v>208</v>
      </c>
      <c r="C70" s="362"/>
      <c r="D70" s="362"/>
      <c r="E70" s="362"/>
      <c r="F70" s="362"/>
      <c r="G70" s="362"/>
      <c r="H70" s="362"/>
      <c r="I70" s="362"/>
      <c r="J70" s="362"/>
      <c r="K70" s="362">
        <v>0</v>
      </c>
      <c r="L70" s="362">
        <v>0</v>
      </c>
      <c r="M70" s="362">
        <v>0</v>
      </c>
      <c r="N70" s="362">
        <v>0</v>
      </c>
      <c r="O70" s="362">
        <v>0</v>
      </c>
      <c r="P70" s="362">
        <v>0</v>
      </c>
      <c r="Q70" s="362">
        <v>0</v>
      </c>
      <c r="R70" s="362">
        <v>0</v>
      </c>
      <c r="S70" s="362">
        <v>0</v>
      </c>
      <c r="T70" s="362">
        <v>0</v>
      </c>
      <c r="U70" s="362">
        <v>0</v>
      </c>
      <c r="V70" s="362">
        <v>0</v>
      </c>
      <c r="W70" s="362">
        <v>0</v>
      </c>
      <c r="X70" s="362">
        <v>0</v>
      </c>
      <c r="Y70" s="362">
        <v>0</v>
      </c>
      <c r="Z70" s="362">
        <v>0</v>
      </c>
      <c r="AA70" s="362">
        <v>0</v>
      </c>
      <c r="AB70" s="362">
        <v>0</v>
      </c>
      <c r="AC70" s="362">
        <v>0</v>
      </c>
      <c r="AD70" s="362">
        <v>0</v>
      </c>
      <c r="AE70" s="362">
        <v>0</v>
      </c>
      <c r="AF70" s="362">
        <v>0</v>
      </c>
      <c r="AG70" s="362">
        <v>0</v>
      </c>
      <c r="AH70" s="362">
        <v>0</v>
      </c>
      <c r="AI70" s="362">
        <v>0</v>
      </c>
      <c r="AJ70" s="362">
        <v>0</v>
      </c>
      <c r="AK70" s="362">
        <v>0</v>
      </c>
      <c r="AL70" s="362">
        <v>0</v>
      </c>
      <c r="AM70" s="362">
        <v>0</v>
      </c>
      <c r="AN70" s="362">
        <v>0</v>
      </c>
      <c r="AO70" s="362">
        <v>0</v>
      </c>
      <c r="AP70" s="362">
        <v>0</v>
      </c>
      <c r="AQ70" s="362">
        <v>0</v>
      </c>
      <c r="AR70" s="362">
        <v>0</v>
      </c>
      <c r="AS70" s="362">
        <v>0</v>
      </c>
      <c r="AT70" s="362">
        <v>0</v>
      </c>
      <c r="AU70" s="362">
        <v>0</v>
      </c>
      <c r="AV70" s="362">
        <v>0</v>
      </c>
      <c r="AW70" s="362">
        <v>0</v>
      </c>
      <c r="AX70" s="362">
        <v>0</v>
      </c>
      <c r="AY70" s="362">
        <v>0</v>
      </c>
      <c r="AZ70" s="362">
        <v>0</v>
      </c>
      <c r="BA70" s="362">
        <v>0</v>
      </c>
      <c r="BB70" s="362">
        <v>0</v>
      </c>
      <c r="BC70" s="362">
        <v>0</v>
      </c>
      <c r="BD70" s="362">
        <v>0</v>
      </c>
      <c r="BE70" s="362">
        <v>0</v>
      </c>
      <c r="BF70" s="362">
        <v>0</v>
      </c>
      <c r="BG70" s="362">
        <v>0</v>
      </c>
      <c r="BH70" s="362">
        <v>0</v>
      </c>
      <c r="BI70" s="362">
        <v>0</v>
      </c>
      <c r="BJ70" s="362">
        <v>0</v>
      </c>
      <c r="BK70" s="362">
        <v>0</v>
      </c>
      <c r="BL70" s="362">
        <v>0</v>
      </c>
      <c r="BM70" s="362">
        <v>0</v>
      </c>
      <c r="BN70" s="362">
        <v>0</v>
      </c>
      <c r="BO70" s="362">
        <v>0</v>
      </c>
      <c r="BP70" s="362">
        <v>0</v>
      </c>
      <c r="BQ70" s="362">
        <v>0</v>
      </c>
      <c r="BR70" s="362">
        <v>0</v>
      </c>
      <c r="BS70" s="362">
        <v>0</v>
      </c>
      <c r="BT70" s="362">
        <v>0</v>
      </c>
      <c r="BU70" s="362">
        <v>0</v>
      </c>
      <c r="BV70" s="362">
        <v>0</v>
      </c>
      <c r="BW70" s="362">
        <v>0</v>
      </c>
      <c r="BX70" s="362">
        <v>0</v>
      </c>
      <c r="BY70" s="362">
        <v>0</v>
      </c>
      <c r="BZ70" s="362">
        <v>0</v>
      </c>
      <c r="CA70" s="362">
        <v>0</v>
      </c>
      <c r="CB70" s="362">
        <v>0</v>
      </c>
      <c r="CC70" s="362">
        <v>0</v>
      </c>
      <c r="CD70" s="362">
        <v>0</v>
      </c>
      <c r="CE70" s="362">
        <v>0</v>
      </c>
      <c r="CF70" s="362">
        <v>0</v>
      </c>
      <c r="CG70" s="362">
        <v>0</v>
      </c>
      <c r="CH70" s="362">
        <v>0</v>
      </c>
      <c r="CI70" s="362">
        <v>0</v>
      </c>
      <c r="CJ70" s="362">
        <v>0</v>
      </c>
      <c r="CK70" s="362">
        <v>0</v>
      </c>
      <c r="CL70" s="362">
        <v>0</v>
      </c>
      <c r="CM70" s="362">
        <v>0</v>
      </c>
      <c r="CN70" s="362">
        <v>0</v>
      </c>
      <c r="CO70" s="362">
        <v>0</v>
      </c>
      <c r="CP70" s="362">
        <v>0</v>
      </c>
      <c r="CQ70" s="362">
        <v>0</v>
      </c>
      <c r="CR70" s="362">
        <v>0</v>
      </c>
      <c r="CS70" s="362">
        <v>0</v>
      </c>
      <c r="CT70" s="362">
        <v>0</v>
      </c>
      <c r="CU70" s="362">
        <v>0</v>
      </c>
      <c r="CV70" s="362">
        <v>0</v>
      </c>
      <c r="CW70" s="362">
        <v>0</v>
      </c>
      <c r="CX70" s="362">
        <v>0</v>
      </c>
      <c r="CY70" s="362">
        <v>0</v>
      </c>
      <c r="CZ70" s="362">
        <v>0</v>
      </c>
      <c r="DA70" s="362">
        <v>0</v>
      </c>
      <c r="DB70" s="362">
        <v>0</v>
      </c>
      <c r="DC70" s="362">
        <v>0</v>
      </c>
      <c r="DD70" s="362">
        <v>0</v>
      </c>
      <c r="DE70" s="362">
        <v>0</v>
      </c>
      <c r="DF70" s="362">
        <v>0</v>
      </c>
      <c r="DG70" s="362">
        <v>0</v>
      </c>
      <c r="DH70" s="362">
        <v>0</v>
      </c>
      <c r="DI70" s="362">
        <v>0</v>
      </c>
      <c r="DJ70" s="362">
        <v>0</v>
      </c>
      <c r="DK70" s="362">
        <v>0</v>
      </c>
      <c r="DL70" s="362">
        <v>0</v>
      </c>
      <c r="DM70" s="362">
        <v>0</v>
      </c>
      <c r="DN70" s="362">
        <v>0</v>
      </c>
      <c r="DO70" s="362">
        <v>0</v>
      </c>
      <c r="DP70" s="362">
        <v>0</v>
      </c>
      <c r="DQ70" s="362">
        <v>0</v>
      </c>
      <c r="DR70" s="362">
        <v>0</v>
      </c>
      <c r="DS70" s="362">
        <v>0</v>
      </c>
      <c r="DT70" s="362">
        <v>0</v>
      </c>
      <c r="DU70" s="362">
        <v>0</v>
      </c>
      <c r="DV70" s="362">
        <v>0</v>
      </c>
      <c r="DW70" s="362">
        <v>0</v>
      </c>
      <c r="DX70" s="362">
        <v>0</v>
      </c>
      <c r="DY70" s="362">
        <v>0</v>
      </c>
      <c r="DZ70" s="362">
        <v>0</v>
      </c>
      <c r="EA70" s="362">
        <v>0</v>
      </c>
      <c r="EB70" s="362">
        <v>0</v>
      </c>
      <c r="EC70" s="362">
        <v>0</v>
      </c>
      <c r="ED70" s="362">
        <v>0</v>
      </c>
      <c r="EE70" s="362">
        <v>0</v>
      </c>
      <c r="EF70" s="362">
        <v>0</v>
      </c>
      <c r="EG70" s="362">
        <v>0</v>
      </c>
      <c r="EH70" s="362">
        <v>0</v>
      </c>
      <c r="EI70" s="362">
        <v>0</v>
      </c>
      <c r="EJ70" s="362">
        <v>0</v>
      </c>
    </row>
    <row r="71" spans="1:142" ht="17.25" x14ac:dyDescent="0.3">
      <c r="A71" s="366" t="s">
        <v>207</v>
      </c>
      <c r="B71" s="365" t="s">
        <v>206</v>
      </c>
      <c r="C71" s="362">
        <v>0</v>
      </c>
      <c r="D71" s="362">
        <v>0.42076662043700075</v>
      </c>
      <c r="E71" s="362">
        <v>0</v>
      </c>
      <c r="F71" s="362">
        <v>0</v>
      </c>
      <c r="G71" s="362">
        <v>0</v>
      </c>
      <c r="H71" s="362">
        <v>0</v>
      </c>
      <c r="I71" s="362">
        <v>0</v>
      </c>
      <c r="J71" s="362">
        <v>0</v>
      </c>
      <c r="K71" s="362">
        <v>0</v>
      </c>
      <c r="L71" s="362">
        <v>0</v>
      </c>
      <c r="M71" s="362">
        <v>0</v>
      </c>
      <c r="N71" s="362">
        <v>0</v>
      </c>
      <c r="O71" s="362">
        <v>0</v>
      </c>
      <c r="P71" s="362">
        <v>0</v>
      </c>
      <c r="Q71" s="362">
        <v>0</v>
      </c>
      <c r="R71" s="362">
        <v>0</v>
      </c>
      <c r="S71" s="362">
        <v>0</v>
      </c>
      <c r="T71" s="362">
        <v>0</v>
      </c>
      <c r="U71" s="362">
        <v>0</v>
      </c>
      <c r="V71" s="362">
        <v>0.23601882598601465</v>
      </c>
      <c r="W71" s="362">
        <v>0</v>
      </c>
      <c r="X71" s="362">
        <v>0</v>
      </c>
      <c r="Y71" s="362">
        <v>0</v>
      </c>
      <c r="Z71" s="362">
        <v>0</v>
      </c>
      <c r="AA71" s="362">
        <v>0</v>
      </c>
      <c r="AB71" s="362">
        <v>0</v>
      </c>
      <c r="AC71" s="362">
        <v>0</v>
      </c>
      <c r="AD71" s="362">
        <v>0</v>
      </c>
      <c r="AE71" s="362">
        <v>0</v>
      </c>
      <c r="AF71" s="362">
        <v>0</v>
      </c>
      <c r="AG71" s="362">
        <v>0</v>
      </c>
      <c r="AH71" s="362">
        <v>0</v>
      </c>
      <c r="AI71" s="362">
        <v>0</v>
      </c>
      <c r="AJ71" s="362">
        <v>0</v>
      </c>
      <c r="AK71" s="362">
        <v>0</v>
      </c>
      <c r="AL71" s="362">
        <v>0</v>
      </c>
      <c r="AM71" s="362">
        <v>0</v>
      </c>
      <c r="AN71" s="362">
        <v>0</v>
      </c>
      <c r="AO71" s="362">
        <v>0</v>
      </c>
      <c r="AP71" s="362">
        <v>0</v>
      </c>
      <c r="AQ71" s="362">
        <v>0</v>
      </c>
      <c r="AR71" s="362">
        <v>0</v>
      </c>
      <c r="AS71" s="362">
        <v>0</v>
      </c>
      <c r="AT71" s="362">
        <v>0</v>
      </c>
      <c r="AU71" s="362">
        <v>0</v>
      </c>
      <c r="AV71" s="362">
        <v>0</v>
      </c>
      <c r="AW71" s="362">
        <v>0</v>
      </c>
      <c r="AX71" s="362">
        <v>0</v>
      </c>
      <c r="AY71" s="362">
        <v>0</v>
      </c>
      <c r="AZ71" s="362">
        <v>0</v>
      </c>
      <c r="BA71" s="362">
        <v>0</v>
      </c>
      <c r="BB71" s="362">
        <v>0</v>
      </c>
      <c r="BC71" s="362">
        <v>0</v>
      </c>
      <c r="BD71" s="362">
        <v>0</v>
      </c>
      <c r="BE71" s="362">
        <v>0</v>
      </c>
      <c r="BF71" s="362">
        <v>0</v>
      </c>
      <c r="BG71" s="362">
        <v>0</v>
      </c>
      <c r="BH71" s="362">
        <v>0</v>
      </c>
      <c r="BI71" s="362">
        <v>0</v>
      </c>
      <c r="BJ71" s="362">
        <v>0</v>
      </c>
      <c r="BK71" s="362">
        <v>0</v>
      </c>
      <c r="BL71" s="362">
        <v>0</v>
      </c>
      <c r="BM71" s="362">
        <v>0</v>
      </c>
      <c r="BN71" s="362">
        <v>0</v>
      </c>
      <c r="BO71" s="362">
        <v>0</v>
      </c>
      <c r="BP71" s="362">
        <v>0</v>
      </c>
      <c r="BQ71" s="362">
        <v>0</v>
      </c>
      <c r="BR71" s="362">
        <v>0</v>
      </c>
      <c r="BS71" s="362">
        <v>0</v>
      </c>
      <c r="BT71" s="362">
        <v>0</v>
      </c>
      <c r="BU71" s="362">
        <v>0</v>
      </c>
      <c r="BV71" s="362">
        <v>0</v>
      </c>
      <c r="BW71" s="362">
        <v>0</v>
      </c>
      <c r="BX71" s="362">
        <v>0</v>
      </c>
      <c r="BY71" s="362">
        <v>0</v>
      </c>
      <c r="BZ71" s="362">
        <v>0</v>
      </c>
      <c r="CA71" s="362">
        <v>0</v>
      </c>
      <c r="CB71" s="362">
        <v>0</v>
      </c>
      <c r="CC71" s="362">
        <v>0</v>
      </c>
      <c r="CD71" s="362">
        <v>0</v>
      </c>
      <c r="CE71" s="362">
        <v>0</v>
      </c>
      <c r="CF71" s="362">
        <v>0</v>
      </c>
      <c r="CG71" s="362">
        <v>0</v>
      </c>
      <c r="CH71" s="362">
        <v>0</v>
      </c>
      <c r="CI71" s="362">
        <v>0</v>
      </c>
      <c r="CJ71" s="362">
        <v>0</v>
      </c>
      <c r="CK71" s="362">
        <v>0</v>
      </c>
      <c r="CL71" s="362">
        <v>0</v>
      </c>
      <c r="CM71" s="362">
        <v>0</v>
      </c>
      <c r="CN71" s="362">
        <v>0</v>
      </c>
      <c r="CO71" s="362">
        <v>0</v>
      </c>
      <c r="CP71" s="362">
        <v>0</v>
      </c>
      <c r="CQ71" s="362">
        <v>0</v>
      </c>
      <c r="CR71" s="362">
        <v>0</v>
      </c>
      <c r="CS71" s="362">
        <v>0</v>
      </c>
      <c r="CT71" s="362">
        <v>0</v>
      </c>
      <c r="CU71" s="362">
        <v>0</v>
      </c>
      <c r="CV71" s="362">
        <v>0</v>
      </c>
      <c r="CW71" s="362">
        <v>0</v>
      </c>
      <c r="CX71" s="362">
        <v>0</v>
      </c>
      <c r="CY71" s="362">
        <v>0</v>
      </c>
      <c r="CZ71" s="362">
        <v>0</v>
      </c>
      <c r="DA71" s="362">
        <v>0</v>
      </c>
      <c r="DB71" s="362">
        <v>0</v>
      </c>
      <c r="DC71" s="362">
        <v>0</v>
      </c>
      <c r="DD71" s="362">
        <v>0</v>
      </c>
      <c r="DE71" s="362">
        <v>0</v>
      </c>
      <c r="DF71" s="362">
        <v>0</v>
      </c>
      <c r="DG71" s="362">
        <v>0</v>
      </c>
      <c r="DH71" s="362">
        <v>0</v>
      </c>
      <c r="DI71" s="362">
        <v>0</v>
      </c>
      <c r="DJ71" s="362">
        <v>0</v>
      </c>
      <c r="DK71" s="362">
        <v>0</v>
      </c>
      <c r="DL71" s="362">
        <v>0</v>
      </c>
      <c r="DM71" s="362">
        <v>0</v>
      </c>
      <c r="DN71" s="362">
        <v>0</v>
      </c>
      <c r="DO71" s="362">
        <v>0</v>
      </c>
      <c r="DP71" s="362">
        <v>0</v>
      </c>
      <c r="DQ71" s="362">
        <v>0</v>
      </c>
      <c r="DR71" s="362">
        <v>0</v>
      </c>
      <c r="DS71" s="362">
        <v>0</v>
      </c>
      <c r="DT71" s="362">
        <v>0</v>
      </c>
      <c r="DU71" s="362">
        <v>0</v>
      </c>
      <c r="DV71" s="362">
        <v>0</v>
      </c>
      <c r="DW71" s="362">
        <v>0</v>
      </c>
      <c r="DX71" s="362">
        <v>0</v>
      </c>
      <c r="DY71" s="362">
        <v>0</v>
      </c>
      <c r="DZ71" s="362">
        <v>0</v>
      </c>
      <c r="EA71" s="362">
        <v>0</v>
      </c>
      <c r="EB71" s="362">
        <v>0</v>
      </c>
      <c r="EC71" s="362">
        <v>0</v>
      </c>
      <c r="ED71" s="362">
        <v>0</v>
      </c>
      <c r="EE71" s="362">
        <v>0</v>
      </c>
      <c r="EF71" s="362">
        <v>0</v>
      </c>
      <c r="EG71" s="362">
        <v>0</v>
      </c>
      <c r="EH71" s="362">
        <v>0</v>
      </c>
      <c r="EI71" s="362">
        <v>0</v>
      </c>
      <c r="EJ71" s="362">
        <v>0</v>
      </c>
    </row>
    <row r="72" spans="1:142" ht="17.25" x14ac:dyDescent="0.3">
      <c r="A72" s="366" t="s">
        <v>205</v>
      </c>
      <c r="B72" s="365" t="s">
        <v>204</v>
      </c>
      <c r="C72" s="362">
        <v>0</v>
      </c>
      <c r="D72" s="362">
        <v>0</v>
      </c>
      <c r="E72" s="362">
        <v>0</v>
      </c>
      <c r="F72" s="362">
        <v>0</v>
      </c>
      <c r="G72" s="362">
        <v>0</v>
      </c>
      <c r="H72" s="362">
        <v>0</v>
      </c>
      <c r="I72" s="362">
        <v>0</v>
      </c>
      <c r="J72" s="362">
        <v>0</v>
      </c>
      <c r="K72" s="362">
        <v>0</v>
      </c>
      <c r="L72" s="362">
        <v>0</v>
      </c>
      <c r="M72" s="362">
        <v>0</v>
      </c>
      <c r="N72" s="362">
        <v>0</v>
      </c>
      <c r="O72" s="362">
        <v>0</v>
      </c>
      <c r="P72" s="362">
        <v>0</v>
      </c>
      <c r="Q72" s="362">
        <v>0</v>
      </c>
      <c r="R72" s="362">
        <v>0</v>
      </c>
      <c r="S72" s="362">
        <v>0</v>
      </c>
      <c r="T72" s="362">
        <v>0</v>
      </c>
      <c r="U72" s="362">
        <v>0</v>
      </c>
      <c r="V72" s="362">
        <v>0</v>
      </c>
      <c r="W72" s="362">
        <v>0</v>
      </c>
      <c r="X72" s="362">
        <v>0</v>
      </c>
      <c r="Y72" s="362">
        <v>0</v>
      </c>
      <c r="Z72" s="362">
        <v>0</v>
      </c>
      <c r="AA72" s="362">
        <v>0</v>
      </c>
      <c r="AB72" s="362">
        <v>0</v>
      </c>
      <c r="AC72" s="362">
        <v>0</v>
      </c>
      <c r="AD72" s="362">
        <v>0</v>
      </c>
      <c r="AE72" s="362">
        <v>0</v>
      </c>
      <c r="AF72" s="362">
        <v>0</v>
      </c>
      <c r="AG72" s="362">
        <v>0</v>
      </c>
      <c r="AH72" s="362">
        <v>0</v>
      </c>
      <c r="AI72" s="362">
        <v>0</v>
      </c>
      <c r="AJ72" s="362">
        <v>0</v>
      </c>
      <c r="AK72" s="362">
        <v>0</v>
      </c>
      <c r="AL72" s="362">
        <v>0</v>
      </c>
      <c r="AM72" s="362">
        <v>0</v>
      </c>
      <c r="AN72" s="362">
        <v>0</v>
      </c>
      <c r="AO72" s="362">
        <v>0</v>
      </c>
      <c r="AP72" s="362">
        <v>0</v>
      </c>
      <c r="AQ72" s="362">
        <v>0</v>
      </c>
      <c r="AR72" s="362">
        <v>0</v>
      </c>
      <c r="AS72" s="362">
        <v>0</v>
      </c>
      <c r="AT72" s="362">
        <v>0</v>
      </c>
      <c r="AU72" s="362">
        <v>0</v>
      </c>
      <c r="AV72" s="362">
        <v>0</v>
      </c>
      <c r="AW72" s="362">
        <v>0</v>
      </c>
      <c r="AX72" s="362">
        <v>0</v>
      </c>
      <c r="AY72" s="362">
        <v>0</v>
      </c>
      <c r="AZ72" s="362">
        <v>0</v>
      </c>
      <c r="BA72" s="362">
        <v>0</v>
      </c>
      <c r="BB72" s="362">
        <v>0</v>
      </c>
      <c r="BC72" s="362">
        <v>0</v>
      </c>
      <c r="BD72" s="362">
        <v>0</v>
      </c>
      <c r="BE72" s="362">
        <v>0</v>
      </c>
      <c r="BF72" s="362">
        <v>0</v>
      </c>
      <c r="BG72" s="362">
        <v>0</v>
      </c>
      <c r="BH72" s="362">
        <v>0</v>
      </c>
      <c r="BI72" s="362">
        <v>0</v>
      </c>
      <c r="BJ72" s="362">
        <v>0</v>
      </c>
      <c r="BK72" s="362">
        <v>0</v>
      </c>
      <c r="BL72" s="362">
        <v>0</v>
      </c>
      <c r="BM72" s="362">
        <v>0</v>
      </c>
      <c r="BN72" s="362">
        <v>0</v>
      </c>
      <c r="BO72" s="362">
        <v>0</v>
      </c>
      <c r="BP72" s="362">
        <v>0</v>
      </c>
      <c r="BQ72" s="362">
        <v>0</v>
      </c>
      <c r="BR72" s="362">
        <v>0</v>
      </c>
      <c r="BS72" s="362">
        <v>0</v>
      </c>
      <c r="BT72" s="362">
        <v>0</v>
      </c>
      <c r="BU72" s="362">
        <v>0</v>
      </c>
      <c r="BV72" s="362">
        <v>0</v>
      </c>
      <c r="BW72" s="362">
        <v>0</v>
      </c>
      <c r="BX72" s="362">
        <v>0</v>
      </c>
      <c r="BY72" s="362">
        <v>0</v>
      </c>
      <c r="BZ72" s="362">
        <v>0</v>
      </c>
      <c r="CA72" s="362">
        <v>0</v>
      </c>
      <c r="CB72" s="362">
        <v>0</v>
      </c>
      <c r="CC72" s="362">
        <v>0.13235609751000157</v>
      </c>
      <c r="CD72" s="362">
        <v>0</v>
      </c>
      <c r="CE72" s="362">
        <v>0</v>
      </c>
      <c r="CF72" s="362">
        <v>0</v>
      </c>
      <c r="CG72" s="362">
        <v>0</v>
      </c>
      <c r="CH72" s="362">
        <v>0</v>
      </c>
      <c r="CI72" s="362">
        <v>0</v>
      </c>
      <c r="CJ72" s="362">
        <v>0</v>
      </c>
      <c r="CK72" s="362">
        <v>0</v>
      </c>
      <c r="CL72" s="362">
        <v>0</v>
      </c>
      <c r="CM72" s="362">
        <v>0</v>
      </c>
      <c r="CN72" s="362">
        <v>0</v>
      </c>
      <c r="CO72" s="362">
        <v>0</v>
      </c>
      <c r="CP72" s="362">
        <v>0</v>
      </c>
      <c r="CQ72" s="362">
        <v>0</v>
      </c>
      <c r="CR72" s="362">
        <v>0</v>
      </c>
      <c r="CS72" s="362">
        <v>0</v>
      </c>
      <c r="CT72" s="362">
        <v>0</v>
      </c>
      <c r="CU72" s="362">
        <v>0</v>
      </c>
      <c r="CV72" s="362">
        <v>0</v>
      </c>
      <c r="CW72" s="362">
        <v>0</v>
      </c>
      <c r="CX72" s="362">
        <v>0</v>
      </c>
      <c r="CY72" s="362">
        <v>0</v>
      </c>
      <c r="CZ72" s="362">
        <v>0</v>
      </c>
      <c r="DA72" s="362">
        <v>0</v>
      </c>
      <c r="DB72" s="362">
        <v>0</v>
      </c>
      <c r="DC72" s="362">
        <v>0</v>
      </c>
      <c r="DD72" s="362">
        <v>0</v>
      </c>
      <c r="DE72" s="362">
        <v>0</v>
      </c>
      <c r="DF72" s="362">
        <v>0</v>
      </c>
      <c r="DG72" s="362">
        <v>0</v>
      </c>
      <c r="DH72" s="362">
        <v>0</v>
      </c>
      <c r="DI72" s="362">
        <v>8.6067066106127313E-2</v>
      </c>
      <c r="DJ72" s="362">
        <v>0</v>
      </c>
      <c r="DK72" s="362">
        <v>0.16513908380613895</v>
      </c>
      <c r="DL72" s="362">
        <v>0</v>
      </c>
      <c r="DM72" s="362">
        <v>0.29496619250776962</v>
      </c>
      <c r="DN72" s="362">
        <v>0</v>
      </c>
      <c r="DO72" s="362">
        <v>6.2599788172433959E-2</v>
      </c>
      <c r="DP72" s="362">
        <v>0</v>
      </c>
      <c r="DQ72" s="362">
        <v>0</v>
      </c>
      <c r="DR72" s="362">
        <v>0</v>
      </c>
      <c r="DS72" s="362">
        <v>0</v>
      </c>
      <c r="DT72" s="362">
        <v>0</v>
      </c>
      <c r="DU72" s="362">
        <v>0</v>
      </c>
      <c r="DV72" s="362">
        <v>0</v>
      </c>
      <c r="DW72" s="362">
        <v>0</v>
      </c>
      <c r="DX72" s="362">
        <v>0</v>
      </c>
      <c r="DY72" s="362">
        <v>0</v>
      </c>
      <c r="DZ72" s="362">
        <v>0</v>
      </c>
      <c r="EA72" s="362">
        <v>0</v>
      </c>
      <c r="EB72" s="362">
        <v>0</v>
      </c>
      <c r="EC72" s="362">
        <v>0</v>
      </c>
      <c r="ED72" s="362">
        <v>0</v>
      </c>
      <c r="EE72" s="362">
        <v>0</v>
      </c>
      <c r="EF72" s="362">
        <v>0</v>
      </c>
      <c r="EG72" s="362">
        <v>0</v>
      </c>
      <c r="EH72" s="362">
        <v>0</v>
      </c>
      <c r="EI72" s="362">
        <v>0</v>
      </c>
      <c r="EJ72" s="362">
        <v>0</v>
      </c>
    </row>
    <row r="73" spans="1:142" s="367" customFormat="1" ht="17.25" x14ac:dyDescent="0.3">
      <c r="A73" s="366" t="s">
        <v>203</v>
      </c>
      <c r="B73" s="365" t="s">
        <v>202</v>
      </c>
      <c r="C73" s="371"/>
      <c r="D73" s="371"/>
      <c r="E73" s="371"/>
      <c r="F73" s="371"/>
      <c r="G73" s="371"/>
      <c r="H73" s="371"/>
      <c r="I73" s="371"/>
      <c r="J73" s="371"/>
      <c r="K73" s="372"/>
      <c r="L73" s="371"/>
      <c r="M73" s="371"/>
      <c r="N73" s="371"/>
      <c r="O73" s="372"/>
      <c r="P73" s="371"/>
      <c r="Q73" s="371"/>
      <c r="R73" s="370"/>
      <c r="S73" s="369"/>
      <c r="T73" s="369"/>
      <c r="U73" s="369"/>
      <c r="V73" s="369"/>
      <c r="W73" s="369"/>
      <c r="X73" s="369"/>
      <c r="Y73" s="369"/>
      <c r="Z73" s="369"/>
      <c r="AA73" s="369"/>
      <c r="AB73" s="369"/>
      <c r="AC73" s="369"/>
      <c r="AD73" s="369"/>
      <c r="AE73" s="369"/>
      <c r="AF73" s="369"/>
      <c r="AG73" s="368"/>
      <c r="AH73" s="362"/>
      <c r="AI73" s="362"/>
      <c r="AJ73" s="362"/>
      <c r="AK73" s="362"/>
      <c r="AL73" s="362"/>
      <c r="AM73" s="362"/>
      <c r="AN73" s="362"/>
      <c r="AO73" s="362"/>
      <c r="AP73" s="362"/>
      <c r="AQ73" s="362"/>
      <c r="AR73" s="362"/>
      <c r="AS73" s="362"/>
      <c r="AT73" s="362"/>
      <c r="AU73" s="362"/>
      <c r="AV73" s="362"/>
      <c r="AW73" s="362"/>
      <c r="AX73" s="362"/>
      <c r="AY73" s="362"/>
      <c r="AZ73" s="362"/>
      <c r="BA73" s="362"/>
      <c r="BB73" s="362"/>
      <c r="BC73" s="362"/>
      <c r="BD73" s="362"/>
      <c r="BE73" s="362"/>
      <c r="BF73" s="362"/>
      <c r="BG73" s="362"/>
      <c r="BH73" s="362"/>
      <c r="BI73" s="362"/>
      <c r="BJ73" s="362"/>
      <c r="BK73" s="362"/>
      <c r="BL73" s="362"/>
      <c r="BM73" s="362"/>
      <c r="BN73" s="362"/>
      <c r="BO73" s="362"/>
      <c r="BP73" s="362"/>
      <c r="BQ73" s="362"/>
      <c r="BR73" s="362"/>
      <c r="BS73" s="362"/>
      <c r="BT73" s="362"/>
      <c r="BU73" s="362"/>
      <c r="BV73" s="362"/>
      <c r="BW73" s="362"/>
      <c r="BX73" s="362"/>
      <c r="BY73" s="362"/>
      <c r="BZ73" s="362"/>
      <c r="CA73" s="362"/>
      <c r="CB73" s="362"/>
      <c r="CC73" s="362"/>
      <c r="CD73" s="362"/>
      <c r="CE73" s="362"/>
      <c r="CF73" s="362"/>
      <c r="CG73" s="362"/>
      <c r="CH73" s="362"/>
      <c r="CI73" s="362"/>
      <c r="CJ73" s="362"/>
      <c r="CK73" s="362"/>
      <c r="CL73" s="362"/>
      <c r="CM73" s="362"/>
      <c r="CN73" s="362"/>
      <c r="CO73" s="362"/>
      <c r="CP73" s="362"/>
      <c r="CQ73" s="362"/>
      <c r="CR73" s="362"/>
      <c r="CS73" s="362"/>
      <c r="CT73" s="362"/>
      <c r="CU73" s="362"/>
      <c r="CV73" s="362"/>
      <c r="CW73" s="362"/>
      <c r="CX73" s="362"/>
      <c r="CY73" s="362"/>
      <c r="CZ73" s="362"/>
      <c r="DA73" s="362"/>
      <c r="DB73" s="362"/>
      <c r="DC73" s="362"/>
      <c r="DD73" s="362"/>
      <c r="DE73" s="362"/>
      <c r="DF73" s="362"/>
      <c r="DG73" s="362"/>
      <c r="DH73" s="362"/>
      <c r="DI73" s="362"/>
      <c r="DJ73" s="362"/>
      <c r="DK73" s="362">
        <v>0</v>
      </c>
      <c r="DL73" s="362">
        <v>0</v>
      </c>
      <c r="DM73" s="362">
        <v>0</v>
      </c>
      <c r="DN73" s="362">
        <v>0</v>
      </c>
      <c r="DO73" s="362">
        <v>0</v>
      </c>
      <c r="DP73" s="362">
        <v>0</v>
      </c>
      <c r="DQ73" s="362">
        <v>0</v>
      </c>
      <c r="DR73" s="362">
        <v>0</v>
      </c>
      <c r="DS73" s="362">
        <v>0</v>
      </c>
      <c r="DT73" s="362">
        <v>0</v>
      </c>
      <c r="DU73" s="362">
        <v>0</v>
      </c>
      <c r="DV73" s="362">
        <v>0</v>
      </c>
      <c r="DW73" s="362">
        <v>0</v>
      </c>
      <c r="DX73" s="362">
        <v>0</v>
      </c>
      <c r="DY73" s="362">
        <v>0</v>
      </c>
      <c r="DZ73" s="362">
        <v>0</v>
      </c>
      <c r="EA73" s="362">
        <v>0</v>
      </c>
      <c r="EB73" s="362">
        <v>0</v>
      </c>
      <c r="EC73" s="362">
        <v>0</v>
      </c>
      <c r="ED73" s="362">
        <v>0</v>
      </c>
      <c r="EE73" s="362">
        <v>0</v>
      </c>
      <c r="EF73" s="362">
        <v>0</v>
      </c>
      <c r="EG73" s="362">
        <v>0</v>
      </c>
      <c r="EH73" s="362">
        <v>0</v>
      </c>
      <c r="EI73" s="362">
        <v>0</v>
      </c>
      <c r="EJ73" s="362">
        <v>0</v>
      </c>
    </row>
    <row r="74" spans="1:142" ht="17.25" x14ac:dyDescent="0.3">
      <c r="A74" s="366" t="s">
        <v>195</v>
      </c>
      <c r="B74" s="365" t="s">
        <v>194</v>
      </c>
      <c r="C74" s="362">
        <v>1.9364175000674864</v>
      </c>
      <c r="D74" s="362">
        <v>0</v>
      </c>
      <c r="E74" s="362">
        <v>1.9724418005250695</v>
      </c>
      <c r="F74" s="362">
        <v>1.9724418005250695</v>
      </c>
      <c r="G74" s="362">
        <v>0.97209320145402389</v>
      </c>
      <c r="H74" s="362">
        <v>0</v>
      </c>
      <c r="I74" s="362">
        <v>0.94822393784650372</v>
      </c>
      <c r="J74" s="362">
        <v>0</v>
      </c>
      <c r="K74" s="362">
        <v>0.93578970642096426</v>
      </c>
      <c r="L74" s="362">
        <v>0</v>
      </c>
      <c r="M74" s="362">
        <v>0.92380462019899734</v>
      </c>
      <c r="N74" s="362">
        <v>0</v>
      </c>
      <c r="O74" s="362">
        <v>0.94002446261739692</v>
      </c>
      <c r="P74" s="362">
        <v>0</v>
      </c>
      <c r="Q74" s="362">
        <v>0.93844838720762447</v>
      </c>
      <c r="R74" s="362">
        <v>0</v>
      </c>
      <c r="S74" s="362">
        <v>0.94574744875931172</v>
      </c>
      <c r="T74" s="362">
        <v>0</v>
      </c>
      <c r="U74" s="362">
        <v>0.94493537668373329</v>
      </c>
      <c r="V74" s="362">
        <v>0</v>
      </c>
      <c r="W74" s="362">
        <v>0</v>
      </c>
      <c r="X74" s="362">
        <v>0</v>
      </c>
      <c r="Y74" s="362">
        <v>0</v>
      </c>
      <c r="Z74" s="362">
        <v>0</v>
      </c>
      <c r="AA74" s="362">
        <v>0.95623899265461698</v>
      </c>
      <c r="AB74" s="362">
        <v>0</v>
      </c>
      <c r="AC74" s="362">
        <v>0.95805594416299666</v>
      </c>
      <c r="AD74" s="362">
        <v>0</v>
      </c>
      <c r="AE74" s="362">
        <v>0</v>
      </c>
      <c r="AF74" s="362">
        <v>0</v>
      </c>
      <c r="AG74" s="362">
        <v>0</v>
      </c>
      <c r="AH74" s="362">
        <v>0</v>
      </c>
      <c r="AI74" s="362">
        <v>0</v>
      </c>
      <c r="AJ74" s="362">
        <v>0</v>
      </c>
      <c r="AK74" s="362">
        <v>0</v>
      </c>
      <c r="AL74" s="362">
        <v>0</v>
      </c>
      <c r="AM74" s="362">
        <v>0</v>
      </c>
      <c r="AN74" s="362">
        <v>0</v>
      </c>
      <c r="AO74" s="362">
        <v>0</v>
      </c>
      <c r="AP74" s="362">
        <v>0</v>
      </c>
      <c r="AQ74" s="362">
        <v>0</v>
      </c>
      <c r="AR74" s="362">
        <v>0</v>
      </c>
      <c r="AS74" s="362">
        <v>0</v>
      </c>
      <c r="AT74" s="362">
        <v>0</v>
      </c>
      <c r="AU74" s="362">
        <v>0</v>
      </c>
      <c r="AV74" s="362">
        <v>0</v>
      </c>
      <c r="AW74" s="362">
        <v>0</v>
      </c>
      <c r="AX74" s="362">
        <v>0</v>
      </c>
      <c r="AY74" s="362">
        <v>0</v>
      </c>
      <c r="AZ74" s="362">
        <v>0</v>
      </c>
      <c r="BA74" s="362">
        <v>0</v>
      </c>
      <c r="BB74" s="362">
        <v>0</v>
      </c>
      <c r="BC74" s="362">
        <v>0</v>
      </c>
      <c r="BD74" s="362">
        <v>0</v>
      </c>
      <c r="BE74" s="362">
        <v>0</v>
      </c>
      <c r="BF74" s="362">
        <v>0</v>
      </c>
      <c r="BG74" s="362">
        <v>0</v>
      </c>
      <c r="BH74" s="362">
        <v>0</v>
      </c>
      <c r="BI74" s="362">
        <v>0</v>
      </c>
      <c r="BJ74" s="362">
        <v>0</v>
      </c>
      <c r="BK74" s="362">
        <v>0</v>
      </c>
      <c r="BL74" s="362">
        <v>0</v>
      </c>
      <c r="BM74" s="362">
        <v>0</v>
      </c>
      <c r="BN74" s="362">
        <v>0</v>
      </c>
      <c r="BO74" s="362">
        <v>0</v>
      </c>
      <c r="BP74" s="362">
        <v>0</v>
      </c>
      <c r="BQ74" s="362">
        <v>0</v>
      </c>
      <c r="BR74" s="362">
        <v>0</v>
      </c>
      <c r="BS74" s="362">
        <v>0</v>
      </c>
      <c r="BT74" s="362">
        <v>0</v>
      </c>
      <c r="BU74" s="362">
        <v>0</v>
      </c>
      <c r="BV74" s="362">
        <v>0</v>
      </c>
      <c r="BW74" s="362">
        <v>0</v>
      </c>
      <c r="BX74" s="362">
        <v>0</v>
      </c>
      <c r="BY74" s="362">
        <v>0</v>
      </c>
      <c r="BZ74" s="362">
        <v>0</v>
      </c>
      <c r="CA74" s="362">
        <v>0</v>
      </c>
      <c r="CB74" s="362">
        <v>0</v>
      </c>
      <c r="CC74" s="362">
        <v>0</v>
      </c>
      <c r="CD74" s="362">
        <v>0</v>
      </c>
      <c r="CE74" s="362">
        <v>0</v>
      </c>
      <c r="CF74" s="362">
        <v>0</v>
      </c>
      <c r="CG74" s="362">
        <v>0</v>
      </c>
      <c r="CH74" s="362">
        <v>0</v>
      </c>
      <c r="CI74" s="362">
        <v>0</v>
      </c>
      <c r="CJ74" s="362">
        <v>0</v>
      </c>
      <c r="CK74" s="362">
        <v>0</v>
      </c>
      <c r="CL74" s="362">
        <v>0</v>
      </c>
      <c r="CM74" s="362">
        <v>0</v>
      </c>
      <c r="CN74" s="362">
        <v>0</v>
      </c>
      <c r="CO74" s="362">
        <v>0</v>
      </c>
      <c r="CP74" s="362">
        <v>0</v>
      </c>
      <c r="CQ74" s="362">
        <v>0</v>
      </c>
      <c r="CR74" s="362">
        <v>0</v>
      </c>
      <c r="CS74" s="362">
        <v>0</v>
      </c>
      <c r="CT74" s="362">
        <v>0</v>
      </c>
      <c r="CU74" s="362">
        <v>0</v>
      </c>
      <c r="CV74" s="362">
        <v>0</v>
      </c>
      <c r="CW74" s="362">
        <v>0</v>
      </c>
      <c r="CX74" s="362">
        <v>0</v>
      </c>
      <c r="CY74" s="362">
        <v>0</v>
      </c>
      <c r="CZ74" s="362">
        <v>0</v>
      </c>
      <c r="DA74" s="362">
        <v>0</v>
      </c>
      <c r="DB74" s="362">
        <v>0</v>
      </c>
      <c r="DC74" s="362">
        <v>0</v>
      </c>
      <c r="DD74" s="362">
        <v>0</v>
      </c>
      <c r="DE74" s="362">
        <v>0</v>
      </c>
      <c r="DF74" s="362">
        <v>0</v>
      </c>
      <c r="DG74" s="362">
        <v>0</v>
      </c>
      <c r="DH74" s="362">
        <v>0</v>
      </c>
      <c r="DI74" s="362">
        <v>0</v>
      </c>
      <c r="DJ74" s="362">
        <v>0</v>
      </c>
      <c r="DK74" s="362">
        <v>0</v>
      </c>
      <c r="DL74" s="362">
        <v>0</v>
      </c>
      <c r="DM74" s="362">
        <v>0</v>
      </c>
      <c r="DN74" s="362">
        <v>0</v>
      </c>
      <c r="DO74" s="362">
        <v>0</v>
      </c>
      <c r="DP74" s="362">
        <v>0</v>
      </c>
      <c r="DQ74" s="362">
        <v>0</v>
      </c>
      <c r="DR74" s="362">
        <v>0</v>
      </c>
      <c r="DS74" s="362">
        <v>0</v>
      </c>
      <c r="DT74" s="362">
        <v>0</v>
      </c>
      <c r="DU74" s="362">
        <v>0</v>
      </c>
      <c r="DV74" s="362">
        <v>0</v>
      </c>
      <c r="DW74" s="362">
        <v>0</v>
      </c>
      <c r="DX74" s="362">
        <v>0</v>
      </c>
      <c r="DY74" s="362">
        <v>0</v>
      </c>
      <c r="DZ74" s="362">
        <v>0</v>
      </c>
      <c r="EA74" s="362">
        <v>0</v>
      </c>
      <c r="EB74" s="362">
        <v>0</v>
      </c>
      <c r="EC74" s="362">
        <v>0</v>
      </c>
      <c r="ED74" s="362">
        <v>0</v>
      </c>
      <c r="EE74" s="362">
        <v>0</v>
      </c>
      <c r="EF74" s="362">
        <v>0</v>
      </c>
      <c r="EG74" s="362">
        <v>0</v>
      </c>
      <c r="EH74" s="362">
        <v>0</v>
      </c>
      <c r="EI74" s="362">
        <v>0</v>
      </c>
      <c r="EJ74" s="362">
        <v>0</v>
      </c>
    </row>
    <row r="75" spans="1:142" ht="18" thickBot="1" x14ac:dyDescent="0.35">
      <c r="A75" s="364"/>
      <c r="B75" s="363" t="s">
        <v>189</v>
      </c>
      <c r="C75" s="362">
        <v>0</v>
      </c>
      <c r="D75" s="362">
        <v>0</v>
      </c>
      <c r="E75" s="362">
        <v>0</v>
      </c>
      <c r="F75" s="362">
        <v>0</v>
      </c>
      <c r="G75" s="362">
        <v>0</v>
      </c>
      <c r="H75" s="362">
        <v>0</v>
      </c>
      <c r="I75" s="362">
        <v>0</v>
      </c>
      <c r="J75" s="362">
        <v>0</v>
      </c>
      <c r="K75" s="362">
        <v>0</v>
      </c>
      <c r="L75" s="362">
        <v>0</v>
      </c>
      <c r="M75" s="362">
        <v>0</v>
      </c>
      <c r="N75" s="362">
        <v>0</v>
      </c>
      <c r="O75" s="362">
        <v>0</v>
      </c>
      <c r="P75" s="362">
        <v>0</v>
      </c>
      <c r="Q75" s="362">
        <v>0</v>
      </c>
      <c r="R75" s="362">
        <v>0</v>
      </c>
      <c r="S75" s="361">
        <v>0</v>
      </c>
      <c r="T75" s="361">
        <v>0</v>
      </c>
      <c r="U75" s="361">
        <v>0</v>
      </c>
      <c r="V75" s="361">
        <v>0</v>
      </c>
      <c r="W75" s="361">
        <v>0.94824216092415103</v>
      </c>
      <c r="X75" s="361">
        <v>0</v>
      </c>
      <c r="Y75" s="361">
        <v>0.95464748869030414</v>
      </c>
      <c r="Z75" s="361">
        <v>0</v>
      </c>
      <c r="AA75" s="361">
        <v>0</v>
      </c>
      <c r="AB75" s="361">
        <v>0</v>
      </c>
      <c r="AC75" s="361">
        <v>0</v>
      </c>
      <c r="AD75" s="361">
        <v>0</v>
      </c>
      <c r="AE75" s="361">
        <v>0</v>
      </c>
      <c r="AF75" s="361">
        <v>0.95029348683373172</v>
      </c>
      <c r="AG75" s="361">
        <v>0.94496081756186645</v>
      </c>
      <c r="AH75" s="361">
        <v>0</v>
      </c>
      <c r="AI75" s="361">
        <v>0.93596988126702807</v>
      </c>
      <c r="AJ75" s="361">
        <v>0</v>
      </c>
      <c r="AK75" s="361">
        <v>0.92701700085506678</v>
      </c>
      <c r="AL75" s="361">
        <v>0</v>
      </c>
      <c r="AM75" s="361">
        <v>0.92589632472987116</v>
      </c>
      <c r="AN75" s="361">
        <v>0</v>
      </c>
      <c r="AO75" s="361">
        <v>0.92386980020881626</v>
      </c>
      <c r="AP75" s="361">
        <v>0</v>
      </c>
      <c r="AQ75" s="361">
        <v>0</v>
      </c>
      <c r="AR75" s="361">
        <v>0</v>
      </c>
      <c r="AS75" s="361">
        <v>0</v>
      </c>
      <c r="AT75" s="361">
        <v>0</v>
      </c>
      <c r="AU75" s="361">
        <v>0</v>
      </c>
      <c r="AV75" s="361">
        <v>0</v>
      </c>
      <c r="AW75" s="361">
        <v>0</v>
      </c>
      <c r="AX75" s="361">
        <v>0</v>
      </c>
      <c r="AY75" s="361">
        <v>0</v>
      </c>
      <c r="AZ75" s="361">
        <v>0</v>
      </c>
      <c r="BA75" s="361">
        <v>0.73938660602453554</v>
      </c>
      <c r="BB75" s="361">
        <v>0</v>
      </c>
      <c r="BC75" s="361">
        <v>0.70375562008933512</v>
      </c>
      <c r="BD75" s="361">
        <v>0</v>
      </c>
      <c r="BE75" s="361">
        <v>0</v>
      </c>
      <c r="BF75" s="361">
        <v>0</v>
      </c>
      <c r="BG75" s="361">
        <v>0.72680243946251821</v>
      </c>
      <c r="BH75" s="361">
        <v>0</v>
      </c>
      <c r="BI75" s="361">
        <v>0</v>
      </c>
      <c r="BJ75" s="361">
        <v>0</v>
      </c>
      <c r="BK75" s="361">
        <v>0.80852915649907664</v>
      </c>
      <c r="BL75" s="361">
        <v>0</v>
      </c>
      <c r="BM75" s="361">
        <v>0</v>
      </c>
      <c r="BN75" s="361">
        <v>0</v>
      </c>
      <c r="BO75" s="361">
        <v>0.7984127949186558</v>
      </c>
      <c r="BP75" s="361">
        <v>0</v>
      </c>
      <c r="BQ75" s="361">
        <v>0</v>
      </c>
      <c r="BR75" s="361">
        <v>0</v>
      </c>
      <c r="BS75" s="361">
        <v>0</v>
      </c>
      <c r="BT75" s="361">
        <v>0</v>
      </c>
      <c r="BU75" s="361">
        <v>0</v>
      </c>
      <c r="BV75" s="361">
        <v>0</v>
      </c>
      <c r="BW75" s="361">
        <v>0</v>
      </c>
      <c r="BX75" s="361">
        <v>0</v>
      </c>
      <c r="BY75" s="361">
        <v>0</v>
      </c>
      <c r="BZ75" s="361">
        <v>0</v>
      </c>
      <c r="CA75" s="361">
        <v>0</v>
      </c>
      <c r="CB75" s="361">
        <v>0</v>
      </c>
      <c r="CC75" s="361">
        <v>0</v>
      </c>
      <c r="CD75" s="361">
        <v>0</v>
      </c>
      <c r="CE75" s="361">
        <v>0</v>
      </c>
      <c r="CF75" s="361">
        <v>0</v>
      </c>
      <c r="CG75" s="361">
        <v>0</v>
      </c>
      <c r="CH75" s="361">
        <v>0</v>
      </c>
      <c r="CI75" s="361">
        <v>0</v>
      </c>
      <c r="CJ75" s="361">
        <v>0</v>
      </c>
      <c r="CK75" s="361">
        <v>0</v>
      </c>
      <c r="CL75" s="361">
        <v>0</v>
      </c>
      <c r="CM75" s="361">
        <v>0</v>
      </c>
      <c r="CN75" s="361">
        <v>0</v>
      </c>
      <c r="CO75" s="361">
        <v>0</v>
      </c>
      <c r="CP75" s="361">
        <v>0</v>
      </c>
      <c r="CQ75" s="361">
        <v>0</v>
      </c>
      <c r="CR75" s="361">
        <v>0</v>
      </c>
      <c r="CS75" s="361">
        <v>0</v>
      </c>
      <c r="CT75" s="361">
        <v>0</v>
      </c>
      <c r="CU75" s="361">
        <v>0</v>
      </c>
      <c r="CV75" s="361">
        <v>0</v>
      </c>
      <c r="CW75" s="361">
        <v>0</v>
      </c>
      <c r="CX75" s="361">
        <v>0</v>
      </c>
      <c r="CY75" s="361">
        <v>0</v>
      </c>
      <c r="CZ75" s="361">
        <v>0</v>
      </c>
      <c r="DA75" s="361">
        <v>0</v>
      </c>
      <c r="DB75" s="361">
        <v>0</v>
      </c>
      <c r="DC75" s="361">
        <v>0</v>
      </c>
      <c r="DD75" s="361">
        <v>0</v>
      </c>
      <c r="DE75" s="361">
        <v>0</v>
      </c>
      <c r="DF75" s="361">
        <v>0</v>
      </c>
      <c r="DG75" s="361">
        <v>0</v>
      </c>
      <c r="DH75" s="361">
        <v>0</v>
      </c>
      <c r="DI75" s="361">
        <v>0</v>
      </c>
      <c r="DJ75" s="361">
        <v>0</v>
      </c>
      <c r="DK75" s="361">
        <v>0</v>
      </c>
      <c r="DL75" s="361">
        <v>0</v>
      </c>
      <c r="DM75" s="361">
        <v>0</v>
      </c>
      <c r="DN75" s="361">
        <v>0</v>
      </c>
      <c r="DO75" s="361">
        <v>0</v>
      </c>
      <c r="DP75" s="361">
        <v>0</v>
      </c>
      <c r="DQ75" s="361">
        <v>0</v>
      </c>
      <c r="DR75" s="361">
        <v>0</v>
      </c>
      <c r="DS75" s="361">
        <v>0</v>
      </c>
      <c r="DT75" s="361">
        <v>0</v>
      </c>
      <c r="DU75" s="361">
        <v>0</v>
      </c>
      <c r="DV75" s="361">
        <v>0</v>
      </c>
      <c r="DW75" s="361">
        <v>0</v>
      </c>
      <c r="DX75" s="361">
        <v>0</v>
      </c>
      <c r="DY75" s="361">
        <v>0</v>
      </c>
      <c r="DZ75" s="361">
        <v>0</v>
      </c>
      <c r="EA75" s="361">
        <v>0</v>
      </c>
      <c r="EB75" s="361">
        <v>0</v>
      </c>
      <c r="EC75" s="361">
        <v>0</v>
      </c>
      <c r="ED75" s="361">
        <v>0</v>
      </c>
      <c r="EE75" s="361">
        <v>0</v>
      </c>
      <c r="EF75" s="361">
        <v>0</v>
      </c>
      <c r="EG75" s="361">
        <v>0</v>
      </c>
      <c r="EH75" s="361">
        <v>0</v>
      </c>
      <c r="EI75" s="361">
        <v>0</v>
      </c>
      <c r="EJ75" s="361">
        <v>0</v>
      </c>
    </row>
    <row r="76" spans="1:142" ht="18" thickBot="1" x14ac:dyDescent="0.35">
      <c r="A76" s="382"/>
      <c r="B76" s="381" t="s">
        <v>247</v>
      </c>
      <c r="C76" s="380">
        <v>3.3130243026673263</v>
      </c>
      <c r="D76" s="380">
        <v>3.2030313621577227</v>
      </c>
      <c r="E76" s="380">
        <v>5.1399091328123179</v>
      </c>
      <c r="F76" s="380">
        <v>3.0407015723286972</v>
      </c>
      <c r="G76" s="380">
        <v>0.97209320145402389</v>
      </c>
      <c r="H76" s="380">
        <v>0</v>
      </c>
      <c r="I76" s="380">
        <v>2.5983141343268636</v>
      </c>
      <c r="J76" s="380">
        <v>1.7129157178824994</v>
      </c>
      <c r="K76" s="380">
        <v>2.897574338400088</v>
      </c>
      <c r="L76" s="380">
        <v>3.9637206749353422</v>
      </c>
      <c r="M76" s="380">
        <v>1.9320389812018779</v>
      </c>
      <c r="N76" s="380">
        <v>3.8712372277375389</v>
      </c>
      <c r="O76" s="380">
        <v>2.6850867170731174</v>
      </c>
      <c r="P76" s="380">
        <v>5.2489411338038634</v>
      </c>
      <c r="Q76" s="380">
        <v>2.4285141563599471</v>
      </c>
      <c r="R76" s="380">
        <v>2.960629405006014</v>
      </c>
      <c r="S76" s="354">
        <v>3.2524435829194451</v>
      </c>
      <c r="T76" s="354">
        <v>3.8297032320219637</v>
      </c>
      <c r="U76" s="354">
        <v>3.271965865421655</v>
      </c>
      <c r="V76" s="354">
        <v>3.5577575711924099</v>
      </c>
      <c r="W76" s="354">
        <v>2.4921979269269738</v>
      </c>
      <c r="X76" s="354">
        <v>2.297306768253395</v>
      </c>
      <c r="Y76" s="354">
        <v>4.2348541902200649</v>
      </c>
      <c r="Z76" s="354">
        <v>3.7238431455512102</v>
      </c>
      <c r="AA76" s="354">
        <v>3.5415389212315675</v>
      </c>
      <c r="AB76" s="354">
        <v>3.3684967271899673</v>
      </c>
      <c r="AC76" s="354">
        <v>3.2218812324433466</v>
      </c>
      <c r="AD76" s="354">
        <v>2.453131503708823</v>
      </c>
      <c r="AE76" s="354">
        <v>1.743759916820256</v>
      </c>
      <c r="AF76" s="354">
        <v>2.9201480066552281</v>
      </c>
      <c r="AG76" s="354">
        <v>3.3041099874239013</v>
      </c>
      <c r="AH76" s="354">
        <v>6.6812690406889512</v>
      </c>
      <c r="AI76" s="354">
        <v>4.9763940730756735</v>
      </c>
      <c r="AJ76" s="354">
        <v>4.6953197057135885</v>
      </c>
      <c r="AK76" s="354">
        <v>2.1834639864477192</v>
      </c>
      <c r="AL76" s="354">
        <v>10.110768120796029</v>
      </c>
      <c r="AM76" s="354">
        <v>2.4672325561500092</v>
      </c>
      <c r="AN76" s="354">
        <v>13.273667322690278</v>
      </c>
      <c r="AO76" s="354">
        <v>7.2514594840004891</v>
      </c>
      <c r="AP76" s="354">
        <v>7.6698828655151328</v>
      </c>
      <c r="AQ76" s="354">
        <v>0.69651741509198506</v>
      </c>
      <c r="AR76" s="354">
        <v>7.4840131680710211</v>
      </c>
      <c r="AS76" s="354">
        <v>0.4378379628151039</v>
      </c>
      <c r="AT76" s="354">
        <v>4.5689896253129394</v>
      </c>
      <c r="AU76" s="354">
        <v>0</v>
      </c>
      <c r="AV76" s="354">
        <v>7.8820236503379082</v>
      </c>
      <c r="AW76" s="354">
        <v>0.52396161599825497</v>
      </c>
      <c r="AX76" s="354">
        <v>4.0014374279971703</v>
      </c>
      <c r="AY76" s="354">
        <v>0</v>
      </c>
      <c r="AZ76" s="354">
        <v>8.155822587674999</v>
      </c>
      <c r="BA76" s="354">
        <v>3.1554984177584235</v>
      </c>
      <c r="BB76" s="354">
        <v>1.348026269310588</v>
      </c>
      <c r="BC76" s="354">
        <v>1.0096431268190618</v>
      </c>
      <c r="BD76" s="354">
        <v>2.173409101943089</v>
      </c>
      <c r="BE76" s="354">
        <v>0</v>
      </c>
      <c r="BF76" s="354">
        <v>1.731707096474536</v>
      </c>
      <c r="BG76" s="354">
        <v>0.73030447541405019</v>
      </c>
      <c r="BH76" s="354">
        <v>6.4004211723184969</v>
      </c>
      <c r="BI76" s="354">
        <v>0</v>
      </c>
      <c r="BJ76" s="354">
        <v>7.3430177910823113</v>
      </c>
      <c r="BK76" s="354">
        <v>0.80852915649907664</v>
      </c>
      <c r="BL76" s="354">
        <v>3.713956142114724</v>
      </c>
      <c r="BM76" s="354">
        <v>0</v>
      </c>
      <c r="BN76" s="354">
        <v>5.8845636174564699</v>
      </c>
      <c r="BO76" s="354">
        <v>0.7984127949186558</v>
      </c>
      <c r="BP76" s="354">
        <v>3.0201656167379873</v>
      </c>
      <c r="BQ76" s="354">
        <v>0</v>
      </c>
      <c r="BR76" s="354">
        <v>4.669614969837891</v>
      </c>
      <c r="BS76" s="354">
        <v>0</v>
      </c>
      <c r="BT76" s="354">
        <v>6.4297255087551797</v>
      </c>
      <c r="BU76" s="354">
        <v>0</v>
      </c>
      <c r="BV76" s="354">
        <v>1.3740744814890122</v>
      </c>
      <c r="BW76" s="354">
        <v>9.750130091400383E-2</v>
      </c>
      <c r="BX76" s="354">
        <v>6.417743266997415</v>
      </c>
      <c r="BY76" s="354">
        <v>0.29069863482487923</v>
      </c>
      <c r="BZ76" s="354">
        <v>5.419602006907251</v>
      </c>
      <c r="CA76" s="354">
        <v>0.93177793093128825</v>
      </c>
      <c r="CB76" s="354">
        <v>5.9038394878330864</v>
      </c>
      <c r="CC76" s="354">
        <v>0.2335676905960033</v>
      </c>
      <c r="CD76" s="354">
        <v>4.8270202967998372</v>
      </c>
      <c r="CE76" s="354">
        <v>4.9346557500633111E-2</v>
      </c>
      <c r="CF76" s="354">
        <v>4.1691476948674779</v>
      </c>
      <c r="CG76" s="354">
        <v>7.5751331264530819E-2</v>
      </c>
      <c r="CH76" s="354">
        <v>6.5201411270096639</v>
      </c>
      <c r="CI76" s="353">
        <v>3.7980698077680485E-3</v>
      </c>
      <c r="CJ76" s="353">
        <v>5.3922285980521911</v>
      </c>
      <c r="CK76" s="353">
        <v>3.7980698077680485E-3</v>
      </c>
      <c r="CL76" s="353">
        <v>6.8950986099145446</v>
      </c>
      <c r="CM76" s="353">
        <v>6.3242523960860247E-2</v>
      </c>
      <c r="CN76" s="353">
        <v>5.4442067083411079</v>
      </c>
      <c r="CO76" s="353">
        <v>0</v>
      </c>
      <c r="CP76" s="353">
        <v>3.3</v>
      </c>
      <c r="CQ76" s="353">
        <v>0.45295960424888426</v>
      </c>
      <c r="CR76" s="353">
        <v>1.2955040017703685</v>
      </c>
      <c r="CS76" s="353">
        <v>0</v>
      </c>
      <c r="CT76" s="353">
        <v>2.6767182912322278</v>
      </c>
      <c r="CU76" s="353">
        <v>0.49491423192564632</v>
      </c>
      <c r="CV76" s="353">
        <v>2.8762691573069645</v>
      </c>
      <c r="CW76" s="353">
        <v>0.38193422814824246</v>
      </c>
      <c r="CX76" s="353">
        <v>2.3520201549365272</v>
      </c>
      <c r="CY76" s="353">
        <v>0.81091313930794506</v>
      </c>
      <c r="CZ76" s="353">
        <v>2.4075590851059019</v>
      </c>
      <c r="DA76" s="353">
        <v>0.5174967767892249</v>
      </c>
      <c r="DB76" s="353">
        <v>4.3269432989219387</v>
      </c>
      <c r="DC76" s="353">
        <v>0.47949097869951551</v>
      </c>
      <c r="DD76" s="353">
        <v>5.1108106056074245</v>
      </c>
      <c r="DE76" s="353">
        <v>0.79831753495965641</v>
      </c>
      <c r="DF76" s="353">
        <v>9.8466985104390528</v>
      </c>
      <c r="DG76" s="353">
        <v>0</v>
      </c>
      <c r="DH76" s="353">
        <v>5.413766119254932</v>
      </c>
      <c r="DI76" s="353">
        <v>0.18122634534961987</v>
      </c>
      <c r="DJ76" s="353">
        <v>5.1757092257274318</v>
      </c>
      <c r="DK76" s="353">
        <v>0.16513908380613895</v>
      </c>
      <c r="DL76" s="353">
        <v>11.47853058464796</v>
      </c>
      <c r="DM76" s="353">
        <v>0.34887995276976375</v>
      </c>
      <c r="DN76" s="353">
        <v>5.521776035110781</v>
      </c>
      <c r="DO76" s="353">
        <v>0.36744630351864099</v>
      </c>
      <c r="DP76" s="353">
        <v>3.1583309433101561</v>
      </c>
      <c r="DQ76" s="353">
        <v>0.17075643057832685</v>
      </c>
      <c r="DR76" s="353">
        <v>4.363314352837663</v>
      </c>
      <c r="DS76" s="353">
        <v>0.43683064280742723</v>
      </c>
      <c r="DT76" s="353">
        <v>3.6636374862480072</v>
      </c>
      <c r="DU76" s="353">
        <v>1.3450585209450243</v>
      </c>
      <c r="DV76" s="353">
        <v>4.750862391060676</v>
      </c>
      <c r="DW76" s="353">
        <v>0.97069877001129812</v>
      </c>
      <c r="DX76" s="353">
        <v>3.3061542069024319</v>
      </c>
      <c r="DY76" s="353">
        <f t="shared" ref="DY76:EJ76" si="9">SUM(DY60:DY75)</f>
        <v>0.49538765649022626</v>
      </c>
      <c r="DZ76" s="353">
        <f t="shared" si="9"/>
        <v>2.138326378212168</v>
      </c>
      <c r="EA76" s="353">
        <f t="shared" si="9"/>
        <v>1.2978549126637609</v>
      </c>
      <c r="EB76" s="353">
        <f t="shared" si="9"/>
        <v>1.3305186681222707</v>
      </c>
      <c r="EC76" s="353">
        <f t="shared" si="9"/>
        <v>0.2610217391304348</v>
      </c>
      <c r="ED76" s="353">
        <f t="shared" si="9"/>
        <v>1.085171197826087</v>
      </c>
      <c r="EE76" s="353">
        <f t="shared" si="9"/>
        <v>0</v>
      </c>
      <c r="EF76" s="353">
        <f t="shared" si="9"/>
        <v>0.41286610036324384</v>
      </c>
      <c r="EG76" s="353">
        <f t="shared" si="9"/>
        <v>1.9313775153717159</v>
      </c>
      <c r="EH76" s="353">
        <f t="shared" si="9"/>
        <v>2.0399402599217438</v>
      </c>
      <c r="EI76" s="353">
        <f t="shared" si="9"/>
        <v>1.4990657006363812</v>
      </c>
      <c r="EJ76" s="353">
        <f t="shared" si="9"/>
        <v>0.35664233962663289</v>
      </c>
    </row>
    <row r="77" spans="1:142" s="367" customFormat="1" ht="18" thickBot="1" x14ac:dyDescent="0.35">
      <c r="A77" s="3469" t="s">
        <v>246</v>
      </c>
      <c r="B77" s="3470"/>
      <c r="C77" s="3470"/>
      <c r="D77" s="3470"/>
      <c r="E77" s="3470"/>
      <c r="F77" s="3470"/>
      <c r="G77" s="3470"/>
      <c r="H77" s="3470"/>
      <c r="I77" s="3470"/>
      <c r="J77" s="3470"/>
      <c r="K77" s="3470"/>
      <c r="L77" s="3470"/>
      <c r="M77" s="3470"/>
      <c r="N77" s="3470"/>
      <c r="O77" s="3470"/>
      <c r="P77" s="3470"/>
      <c r="Q77" s="3470"/>
      <c r="R77" s="3470"/>
      <c r="S77" s="3470"/>
      <c r="T77" s="3470"/>
      <c r="U77" s="3470"/>
      <c r="V77" s="3470"/>
      <c r="W77" s="3470"/>
      <c r="X77" s="3470"/>
      <c r="Y77" s="3470"/>
      <c r="Z77" s="3470"/>
      <c r="AA77" s="3470"/>
      <c r="AB77" s="3470"/>
      <c r="AC77" s="3470"/>
      <c r="AD77" s="3470"/>
      <c r="AE77" s="3470"/>
      <c r="AF77" s="3470"/>
      <c r="AG77" s="3470"/>
      <c r="AH77" s="3470"/>
      <c r="AI77" s="3470"/>
      <c r="AJ77" s="3470"/>
      <c r="AK77" s="3470"/>
      <c r="AL77" s="3470"/>
      <c r="AM77" s="3470"/>
      <c r="AN77" s="3470"/>
      <c r="AO77" s="3470"/>
      <c r="AP77" s="3470"/>
      <c r="AQ77" s="3470"/>
      <c r="AR77" s="3470"/>
      <c r="AS77" s="3470"/>
      <c r="AT77" s="3470"/>
      <c r="AU77" s="3470"/>
      <c r="AV77" s="3470"/>
      <c r="AW77" s="3470"/>
      <c r="AX77" s="3470"/>
      <c r="AY77" s="3470"/>
      <c r="AZ77" s="3470"/>
      <c r="BA77" s="3470"/>
      <c r="BB77" s="3470"/>
      <c r="BC77" s="3470"/>
      <c r="BD77" s="3470"/>
      <c r="BE77" s="3470"/>
      <c r="BF77" s="3470"/>
      <c r="BG77" s="3470"/>
      <c r="BH77" s="3470"/>
      <c r="BI77" s="3470"/>
      <c r="BJ77" s="3470"/>
      <c r="BK77" s="3470"/>
      <c r="BL77" s="3470"/>
      <c r="BM77" s="3470"/>
      <c r="BN77" s="3470"/>
      <c r="BO77" s="3470"/>
      <c r="BP77" s="3470"/>
      <c r="BQ77" s="3470"/>
      <c r="BR77" s="3470"/>
      <c r="BS77" s="3470"/>
      <c r="BT77" s="3470"/>
      <c r="BU77" s="3470"/>
      <c r="BV77" s="3470"/>
      <c r="BW77" s="3470"/>
      <c r="BX77" s="3470"/>
      <c r="BY77" s="3470"/>
      <c r="BZ77" s="3470"/>
      <c r="CA77" s="3470"/>
      <c r="CB77" s="3470"/>
      <c r="CC77" s="3470"/>
      <c r="CD77" s="3470"/>
      <c r="CE77" s="3470"/>
      <c r="CF77" s="3470"/>
      <c r="CG77" s="3470"/>
      <c r="CH77" s="3470"/>
      <c r="CI77" s="3470"/>
      <c r="CJ77" s="3470"/>
      <c r="CK77" s="3470"/>
      <c r="CL77" s="3470"/>
      <c r="CM77" s="3470"/>
      <c r="CN77" s="3470"/>
      <c r="CO77" s="3470"/>
      <c r="CP77" s="3470"/>
      <c r="CQ77" s="3470"/>
      <c r="CR77" s="3470"/>
      <c r="CS77" s="3470"/>
      <c r="CT77" s="3472"/>
      <c r="CU77" s="377"/>
      <c r="CV77" s="377"/>
      <c r="CW77" s="377"/>
      <c r="CX77" s="376"/>
      <c r="CY77" s="377"/>
      <c r="CZ77" s="376"/>
      <c r="DA77" s="377"/>
      <c r="DB77" s="376"/>
      <c r="DC77" s="377"/>
      <c r="DD77" s="376"/>
      <c r="DE77" s="377"/>
      <c r="DF77" s="376"/>
      <c r="DG77" s="377"/>
      <c r="DH77" s="376"/>
      <c r="DI77" s="377"/>
      <c r="DJ77" s="376"/>
      <c r="DK77" s="377"/>
      <c r="DL77" s="376"/>
      <c r="DM77" s="377"/>
      <c r="DN77" s="376"/>
      <c r="DO77" s="377"/>
      <c r="DP77" s="376"/>
      <c r="DQ77" s="377"/>
      <c r="DR77" s="376"/>
      <c r="DS77" s="379"/>
      <c r="DT77" s="378"/>
      <c r="DU77" s="379"/>
      <c r="DV77" s="378"/>
      <c r="DW77" s="379"/>
      <c r="DX77" s="378"/>
      <c r="DY77" s="379"/>
      <c r="DZ77" s="378"/>
      <c r="EA77" s="379"/>
      <c r="EB77" s="378"/>
      <c r="EC77" s="379"/>
      <c r="ED77" s="378"/>
      <c r="EE77" s="379"/>
      <c r="EF77" s="378"/>
      <c r="EG77" s="379"/>
      <c r="EH77" s="378"/>
      <c r="EI77" s="379"/>
      <c r="EJ77" s="378"/>
    </row>
    <row r="78" spans="1:142" ht="17.25" x14ac:dyDescent="0.3">
      <c r="A78" s="375" t="s">
        <v>231</v>
      </c>
      <c r="B78" s="374" t="s">
        <v>230</v>
      </c>
      <c r="C78" s="362">
        <v>26.812130435694034</v>
      </c>
      <c r="D78" s="362">
        <v>0</v>
      </c>
      <c r="E78" s="362">
        <v>110.13855520657732</v>
      </c>
      <c r="F78" s="362">
        <v>1.1740976197785775</v>
      </c>
      <c r="G78" s="362">
        <v>95.262277025469984</v>
      </c>
      <c r="H78" s="362">
        <v>0.9446048168175748</v>
      </c>
      <c r="I78" s="362">
        <v>25.5</v>
      </c>
      <c r="J78" s="362">
        <v>0.80295426400957282</v>
      </c>
      <c r="K78" s="362">
        <v>59.152123050011966</v>
      </c>
      <c r="L78" s="362">
        <v>0.40766431022960353</v>
      </c>
      <c r="M78" s="362">
        <v>7.9009611884094966</v>
      </c>
      <c r="N78" s="362">
        <v>6.9288391572327077</v>
      </c>
      <c r="O78" s="362">
        <v>6.3441618824114476</v>
      </c>
      <c r="P78" s="362">
        <v>1.2358745511387368</v>
      </c>
      <c r="Q78" s="362">
        <v>10.9988825807837</v>
      </c>
      <c r="R78" s="362">
        <v>0</v>
      </c>
      <c r="S78" s="373">
        <v>5.9511269472005246</v>
      </c>
      <c r="T78" s="373">
        <v>0</v>
      </c>
      <c r="U78" s="373">
        <v>5.3387053899323647</v>
      </c>
      <c r="V78" s="373">
        <v>2.4</v>
      </c>
      <c r="W78" s="373">
        <v>1.4828842877514412</v>
      </c>
      <c r="X78" s="373">
        <v>1.7350000000000001</v>
      </c>
      <c r="Y78" s="373">
        <v>7.4735710604394159</v>
      </c>
      <c r="Z78" s="373">
        <v>4.3770275184452148</v>
      </c>
      <c r="AA78" s="373">
        <v>13.333681773986195</v>
      </c>
      <c r="AB78" s="373">
        <v>1.1814939486659102</v>
      </c>
      <c r="AC78" s="373">
        <v>10.050506919790262</v>
      </c>
      <c r="AD78" s="373">
        <v>2.5936225699387756</v>
      </c>
      <c r="AE78" s="373">
        <v>1.973704864631586</v>
      </c>
      <c r="AF78" s="373">
        <v>1.0513119685717336</v>
      </c>
      <c r="AG78" s="373">
        <v>11.569282780440172</v>
      </c>
      <c r="AH78" s="373">
        <v>0</v>
      </c>
      <c r="AI78" s="373">
        <v>7.457198629764342</v>
      </c>
      <c r="AJ78" s="373">
        <v>1.7262970117991752</v>
      </c>
      <c r="AK78" s="373">
        <v>13.971569199940618</v>
      </c>
      <c r="AL78" s="373">
        <v>41.498907057243819</v>
      </c>
      <c r="AM78" s="373">
        <v>15.495259771664896</v>
      </c>
      <c r="AN78" s="373">
        <v>5.337691919422423</v>
      </c>
      <c r="AO78" s="373">
        <v>5.4755339329965809</v>
      </c>
      <c r="AP78" s="373">
        <v>8.8109999999999999</v>
      </c>
      <c r="AQ78" s="373">
        <v>0.73351081516434158</v>
      </c>
      <c r="AR78" s="373">
        <v>18.875819510879886</v>
      </c>
      <c r="AS78" s="373">
        <v>4.4115310897319802</v>
      </c>
      <c r="AT78" s="373">
        <v>9.2094748494932066</v>
      </c>
      <c r="AU78" s="373">
        <v>2.6310453058672443</v>
      </c>
      <c r="AV78" s="373">
        <v>6.9418045343586754E-2</v>
      </c>
      <c r="AW78" s="373">
        <v>3.215717992127439</v>
      </c>
      <c r="AX78" s="373">
        <v>2.897862089534638E-2</v>
      </c>
      <c r="AY78" s="373">
        <v>5.233032481001989</v>
      </c>
      <c r="AZ78" s="373">
        <v>3.1008058944319621</v>
      </c>
      <c r="BA78" s="373">
        <v>3.1006444721401865</v>
      </c>
      <c r="BB78" s="373">
        <v>0</v>
      </c>
      <c r="BC78" s="373">
        <v>4.1936515596919044</v>
      </c>
      <c r="BD78" s="373">
        <v>0</v>
      </c>
      <c r="BE78" s="373">
        <v>11.294280390311755</v>
      </c>
      <c r="BF78" s="373">
        <v>1.0023882759690894</v>
      </c>
      <c r="BG78" s="373">
        <v>2.2076081939271326</v>
      </c>
      <c r="BH78" s="373">
        <v>5.7642664647705635</v>
      </c>
      <c r="BI78" s="373">
        <v>2.9837080490641146</v>
      </c>
      <c r="BJ78" s="373">
        <v>8.1658461885902494</v>
      </c>
      <c r="BK78" s="373">
        <v>2.5594064129517324</v>
      </c>
      <c r="BL78" s="373">
        <v>2.0301213964596663</v>
      </c>
      <c r="BM78" s="373">
        <v>13.425691655785725</v>
      </c>
      <c r="BN78" s="373">
        <v>12.180105576726785</v>
      </c>
      <c r="BO78" s="373">
        <v>9.5055963788726459</v>
      </c>
      <c r="BP78" s="373">
        <v>12.52439304613589</v>
      </c>
      <c r="BQ78" s="373">
        <v>6.2000325527056805</v>
      </c>
      <c r="BR78" s="373">
        <v>13.501422456859189</v>
      </c>
      <c r="BS78" s="373">
        <v>10.704502143860346</v>
      </c>
      <c r="BT78" s="373">
        <v>14.163785113191903</v>
      </c>
      <c r="BU78" s="373">
        <v>17.527194344342288</v>
      </c>
      <c r="BV78" s="373">
        <v>5.7987749686443362</v>
      </c>
      <c r="BW78" s="373">
        <v>5.0717221585835333</v>
      </c>
      <c r="BX78" s="373">
        <v>6.3875276680306028</v>
      </c>
      <c r="BY78" s="373">
        <v>3.9769642496900621</v>
      </c>
      <c r="BZ78" s="373">
        <v>1.5380680992990381</v>
      </c>
      <c r="CA78" s="373">
        <v>0.21697845023557005</v>
      </c>
      <c r="CB78" s="373">
        <v>2.6664221785096318</v>
      </c>
      <c r="CC78" s="373">
        <v>9.9816963830743948</v>
      </c>
      <c r="CD78" s="373">
        <v>0.12946451458849584</v>
      </c>
      <c r="CE78" s="373">
        <v>9.7298248074146958</v>
      </c>
      <c r="CF78" s="373">
        <v>0.541912585885859</v>
      </c>
      <c r="CG78" s="373">
        <v>8.3290127594414258</v>
      </c>
      <c r="CH78" s="373">
        <v>0.1</v>
      </c>
      <c r="CI78" s="373">
        <v>6.5950105526681231</v>
      </c>
      <c r="CJ78" s="373">
        <v>0.5</v>
      </c>
      <c r="CK78" s="373">
        <v>8.0116186695228997</v>
      </c>
      <c r="CL78" s="373">
        <v>0.2</v>
      </c>
      <c r="CM78" s="373">
        <v>5.0680518753498793</v>
      </c>
      <c r="CN78" s="373">
        <v>9.9000000000000005E-2</v>
      </c>
      <c r="CO78" s="373">
        <v>4.3729050472394864</v>
      </c>
      <c r="CP78" s="373">
        <v>0.13600000000000001</v>
      </c>
      <c r="CQ78" s="373">
        <v>4.3627995057721387</v>
      </c>
      <c r="CR78" s="373">
        <v>3.629365820823959</v>
      </c>
      <c r="CS78" s="373">
        <v>1.5388353186290802</v>
      </c>
      <c r="CT78" s="373">
        <v>0</v>
      </c>
      <c r="CU78" s="373">
        <v>1.2317131681639142</v>
      </c>
      <c r="CV78" s="373">
        <v>0</v>
      </c>
      <c r="CW78" s="373">
        <v>4.9696821004427072</v>
      </c>
      <c r="CX78" s="373">
        <v>6.5590316278567418</v>
      </c>
      <c r="CY78" s="373">
        <v>0.92592749514335548</v>
      </c>
      <c r="CZ78" s="373">
        <v>4.3073352955228721</v>
      </c>
      <c r="DA78" s="373">
        <v>2.184096284849538</v>
      </c>
      <c r="DB78" s="373">
        <v>3.4846403783729416</v>
      </c>
      <c r="DC78" s="373">
        <v>0.27</v>
      </c>
      <c r="DD78" s="373">
        <v>8.0529984400811703</v>
      </c>
      <c r="DE78" s="373">
        <v>0.1730783383748897</v>
      </c>
      <c r="DF78" s="373">
        <v>3.0055218381357243</v>
      </c>
      <c r="DG78" s="373">
        <v>5.0199096219552519</v>
      </c>
      <c r="DH78" s="373">
        <v>3.2048937506888571</v>
      </c>
      <c r="DI78" s="373">
        <v>3.610374491045715</v>
      </c>
      <c r="DJ78" s="373">
        <v>3.9422252639941742</v>
      </c>
      <c r="DK78" s="373">
        <v>3.7651673654033102</v>
      </c>
      <c r="DL78" s="373">
        <v>3.113</v>
      </c>
      <c r="DM78" s="373">
        <v>0.37</v>
      </c>
      <c r="DN78" s="373">
        <v>2.9670000000000001</v>
      </c>
      <c r="DO78" s="373">
        <v>3.7474010293284072</v>
      </c>
      <c r="DP78" s="373">
        <v>2.6179999999999999</v>
      </c>
      <c r="DQ78" s="373">
        <v>3.6190000000000002</v>
      </c>
      <c r="DR78" s="373">
        <v>0.155</v>
      </c>
      <c r="DS78" s="370">
        <v>5.6474595298502432</v>
      </c>
      <c r="DT78" s="373">
        <v>2.7358761983879298</v>
      </c>
      <c r="DU78" s="370">
        <v>0.83492140728318576</v>
      </c>
      <c r="DV78" s="373">
        <v>0</v>
      </c>
      <c r="DW78" s="370">
        <v>5.2952313956214949</v>
      </c>
      <c r="DX78" s="373">
        <v>0.3</v>
      </c>
      <c r="DY78" s="370">
        <v>5.1481243136393582</v>
      </c>
      <c r="DZ78" s="373">
        <v>1.3774763891939381</v>
      </c>
      <c r="EA78" s="370">
        <v>1.6594705240174674</v>
      </c>
      <c r="EB78" s="373">
        <v>0.45043668122270741</v>
      </c>
      <c r="EC78" s="373">
        <v>4.6688695652173919</v>
      </c>
      <c r="ED78" s="373">
        <v>0.53</v>
      </c>
      <c r="EE78" s="373">
        <v>1.7931969047012759</v>
      </c>
      <c r="EF78" s="373">
        <v>1.5481675666146504</v>
      </c>
      <c r="EG78" s="373">
        <f>EG6+EG24+EG42+EG60</f>
        <v>3.2150176690888763</v>
      </c>
      <c r="EH78" s="373">
        <f>EH6+EH24+EH42+EH60</f>
        <v>9.4020000000000006E-2</v>
      </c>
      <c r="EI78" s="373">
        <v>7.5958573518782941</v>
      </c>
      <c r="EJ78" s="373">
        <v>0.18804000000000001</v>
      </c>
      <c r="EL78" s="360"/>
    </row>
    <row r="79" spans="1:142" ht="17.25" x14ac:dyDescent="0.3">
      <c r="A79" s="366" t="s">
        <v>227</v>
      </c>
      <c r="B79" s="365" t="s">
        <v>226</v>
      </c>
      <c r="C79" s="362">
        <v>63.760965408627989</v>
      </c>
      <c r="D79" s="362">
        <v>7.1609188820823508</v>
      </c>
      <c r="E79" s="362">
        <v>67.354194633686646</v>
      </c>
      <c r="F79" s="362">
        <v>5.1792757510480749</v>
      </c>
      <c r="G79" s="362">
        <v>43.230344396656797</v>
      </c>
      <c r="H79" s="362">
        <v>7.4630580968422819</v>
      </c>
      <c r="I79" s="362">
        <v>61.063358818892929</v>
      </c>
      <c r="J79" s="362">
        <v>2.6170583474670344</v>
      </c>
      <c r="K79" s="362">
        <v>74.285919090880711</v>
      </c>
      <c r="L79" s="362">
        <v>1.3964077695532346</v>
      </c>
      <c r="M79" s="362">
        <v>21.710090778151521</v>
      </c>
      <c r="N79" s="362">
        <v>4.7785324255188248</v>
      </c>
      <c r="O79" s="362">
        <v>61.695676099039488</v>
      </c>
      <c r="P79" s="362">
        <v>10.219284570305939</v>
      </c>
      <c r="Q79" s="362">
        <v>56.601154975393825</v>
      </c>
      <c r="R79" s="362">
        <v>2.4020924426215582</v>
      </c>
      <c r="S79" s="362">
        <v>15.153813579706195</v>
      </c>
      <c r="T79" s="362">
        <v>2.659876268326177</v>
      </c>
      <c r="U79" s="362">
        <v>28.807878804874864</v>
      </c>
      <c r="V79" s="362">
        <v>3.0373242171779031</v>
      </c>
      <c r="W79" s="362">
        <v>25.211508193109182</v>
      </c>
      <c r="X79" s="362">
        <v>1.3604133760227353</v>
      </c>
      <c r="Y79" s="362">
        <v>28.485934097778223</v>
      </c>
      <c r="Z79" s="362">
        <v>1.7499373183828826</v>
      </c>
      <c r="AA79" s="362">
        <v>28.240661609524459</v>
      </c>
      <c r="AB79" s="362">
        <v>1.2583959775845612</v>
      </c>
      <c r="AC79" s="362">
        <v>21.096484927180001</v>
      </c>
      <c r="AD79" s="362">
        <v>3.2041585198250804</v>
      </c>
      <c r="AE79" s="362">
        <v>17.281778560863394</v>
      </c>
      <c r="AF79" s="362">
        <v>2.2865641960178671</v>
      </c>
      <c r="AG79" s="362">
        <v>22.356897751240268</v>
      </c>
      <c r="AH79" s="362">
        <v>7.0398687876820976</v>
      </c>
      <c r="AI79" s="362">
        <v>21.530015454435578</v>
      </c>
      <c r="AJ79" s="362">
        <v>10.11381759322532</v>
      </c>
      <c r="AK79" s="362">
        <v>25.073060044741304</v>
      </c>
      <c r="AL79" s="362">
        <v>27.960660197484501</v>
      </c>
      <c r="AM79" s="362">
        <v>19.223795383207662</v>
      </c>
      <c r="AN79" s="362">
        <v>32.441233630111483</v>
      </c>
      <c r="AO79" s="362">
        <v>15.221052823378411</v>
      </c>
      <c r="AP79" s="362">
        <v>19.876195633389994</v>
      </c>
      <c r="AQ79" s="362">
        <v>12.925468243670853</v>
      </c>
      <c r="AR79" s="362">
        <v>19.486889144254778</v>
      </c>
      <c r="AS79" s="362">
        <v>17.708196275916773</v>
      </c>
      <c r="AT79" s="362">
        <v>21.225980247817262</v>
      </c>
      <c r="AU79" s="362">
        <v>13.206641001155139</v>
      </c>
      <c r="AV79" s="362">
        <v>19.13269504336596</v>
      </c>
      <c r="AW79" s="362">
        <v>17.309180866999355</v>
      </c>
      <c r="AX79" s="362">
        <v>12.162270045586727</v>
      </c>
      <c r="AY79" s="362">
        <v>15.940881907930091</v>
      </c>
      <c r="AZ79" s="362">
        <v>18.682365116965926</v>
      </c>
      <c r="BA79" s="362">
        <v>14.613483608477125</v>
      </c>
      <c r="BB79" s="362">
        <v>5.9477164112027348</v>
      </c>
      <c r="BC79" s="362">
        <v>26.545385010775661</v>
      </c>
      <c r="BD79" s="362">
        <v>7.3066678277356445</v>
      </c>
      <c r="BE79" s="362">
        <v>9.9327648436780542</v>
      </c>
      <c r="BF79" s="362">
        <v>8.6517070964745351</v>
      </c>
      <c r="BG79" s="362">
        <v>7.8703023041988125</v>
      </c>
      <c r="BH79" s="362">
        <v>17.309421172318498</v>
      </c>
      <c r="BI79" s="362">
        <v>14.705623887354404</v>
      </c>
      <c r="BJ79" s="362">
        <v>20.962068474708374</v>
      </c>
      <c r="BK79" s="362">
        <v>28.062490300795552</v>
      </c>
      <c r="BL79" s="362">
        <v>29.590246684512397</v>
      </c>
      <c r="BM79" s="362">
        <v>20.034541396206428</v>
      </c>
      <c r="BN79" s="362">
        <v>33.121313029487169</v>
      </c>
      <c r="BO79" s="362">
        <v>24.143757589005283</v>
      </c>
      <c r="BP79" s="362">
        <v>27.005444905799596</v>
      </c>
      <c r="BQ79" s="362">
        <v>24.862791121787886</v>
      </c>
      <c r="BR79" s="362">
        <v>28.50810324644447</v>
      </c>
      <c r="BS79" s="362">
        <v>50.531685476371571</v>
      </c>
      <c r="BT79" s="362">
        <v>26.428381487035946</v>
      </c>
      <c r="BU79" s="362">
        <v>24.386172799942539</v>
      </c>
      <c r="BV79" s="362">
        <v>19.790503244468692</v>
      </c>
      <c r="BW79" s="362">
        <v>27.555340086162104</v>
      </c>
      <c r="BX79" s="362">
        <v>18.944743266997413</v>
      </c>
      <c r="BY79" s="362">
        <v>19.399449940918974</v>
      </c>
      <c r="BZ79" s="362">
        <v>13.326602006907251</v>
      </c>
      <c r="CA79" s="362">
        <v>36.377213895158583</v>
      </c>
      <c r="CB79" s="362">
        <v>10.190839487833086</v>
      </c>
      <c r="CC79" s="362">
        <v>36.174900164742724</v>
      </c>
      <c r="CD79" s="362">
        <v>10.644231716033755</v>
      </c>
      <c r="CE79" s="362">
        <v>27.107175757304361</v>
      </c>
      <c r="CF79" s="362">
        <v>12.277411799252757</v>
      </c>
      <c r="CG79" s="362">
        <v>39.023694966047806</v>
      </c>
      <c r="CH79" s="362">
        <v>20.926353186946553</v>
      </c>
      <c r="CI79" s="362">
        <v>31.348419909800697</v>
      </c>
      <c r="CJ79" s="362">
        <v>25.376762123724461</v>
      </c>
      <c r="CK79" s="362">
        <v>40.187681537709267</v>
      </c>
      <c r="CL79" s="362">
        <v>27.475240086618388</v>
      </c>
      <c r="CM79" s="362">
        <v>37.765636487684269</v>
      </c>
      <c r="CN79" s="362">
        <v>17.210786794178016</v>
      </c>
      <c r="CO79" s="362">
        <v>31.578737632730412</v>
      </c>
      <c r="CP79" s="362">
        <v>7.5254014321414306</v>
      </c>
      <c r="CQ79" s="362">
        <v>31.513533037657211</v>
      </c>
      <c r="CR79" s="362">
        <v>5.3500240017703691</v>
      </c>
      <c r="CS79" s="362">
        <v>33.41330347405745</v>
      </c>
      <c r="CT79" s="362">
        <v>10.085850291232228</v>
      </c>
      <c r="CU79" s="362">
        <v>30.521377470915624</v>
      </c>
      <c r="CV79" s="362">
        <v>7.7738291573069649</v>
      </c>
      <c r="CW79" s="362">
        <v>26.83341283967685</v>
      </c>
      <c r="CX79" s="362">
        <v>10.981743029106877</v>
      </c>
      <c r="CY79" s="362">
        <v>37.46475969638648</v>
      </c>
      <c r="CZ79" s="362">
        <v>9.3849161051288874</v>
      </c>
      <c r="DA79" s="362">
        <v>25.740116383054598</v>
      </c>
      <c r="DB79" s="362">
        <v>15.518143298921938</v>
      </c>
      <c r="DC79" s="362">
        <v>48.475020936963631</v>
      </c>
      <c r="DD79" s="362">
        <v>17.328861236247175</v>
      </c>
      <c r="DE79" s="362">
        <v>33.566145207377517</v>
      </c>
      <c r="DF79" s="362">
        <v>31.656801709503053</v>
      </c>
      <c r="DG79" s="362">
        <v>32.594472059958115</v>
      </c>
      <c r="DH79" s="362">
        <v>31.041648182735585</v>
      </c>
      <c r="DI79" s="362">
        <v>47.850069725357784</v>
      </c>
      <c r="DJ79" s="362">
        <v>27.843393668553521</v>
      </c>
      <c r="DK79" s="362">
        <v>59.646316350882188</v>
      </c>
      <c r="DL79" s="362">
        <v>35.892989922332788</v>
      </c>
      <c r="DM79" s="362">
        <v>53.552089503525565</v>
      </c>
      <c r="DN79" s="362">
        <v>24.741007419870897</v>
      </c>
      <c r="DO79" s="362">
        <v>62.866285549430572</v>
      </c>
      <c r="DP79" s="362">
        <v>19.761229363117163</v>
      </c>
      <c r="DQ79" s="362">
        <v>68.750216212109862</v>
      </c>
      <c r="DR79" s="362">
        <v>13.892996033679609</v>
      </c>
      <c r="DS79" s="362">
        <v>50.151827050450159</v>
      </c>
      <c r="DT79" s="362">
        <v>15.763637486248006</v>
      </c>
      <c r="DU79" s="362">
        <v>52.746822360475115</v>
      </c>
      <c r="DV79" s="362">
        <v>21.766132066141267</v>
      </c>
      <c r="DW79" s="362">
        <v>55.844275521732641</v>
      </c>
      <c r="DX79" s="362">
        <v>14.746140627997697</v>
      </c>
      <c r="DY79" s="362">
        <v>70.199546452888185</v>
      </c>
      <c r="DZ79" s="362">
        <v>17.860523830441469</v>
      </c>
      <c r="EA79" s="362">
        <v>80.928120087336239</v>
      </c>
      <c r="EB79" s="362">
        <v>14.510731441048037</v>
      </c>
      <c r="EC79" s="362">
        <v>66.482608695652175</v>
      </c>
      <c r="ED79" s="362">
        <v>22.626318045630434</v>
      </c>
      <c r="EE79" s="362">
        <v>60.502981723090244</v>
      </c>
      <c r="EF79" s="362">
        <v>24.979325432943536</v>
      </c>
      <c r="EG79" s="362">
        <f t="shared" ref="EG79:EH93" si="10">EG7+EG25+EG43+EG61</f>
        <v>71.446370397219113</v>
      </c>
      <c r="EH79" s="362">
        <f t="shared" si="10"/>
        <v>20.459773188583007</v>
      </c>
      <c r="EI79" s="362">
        <v>51.458169125813107</v>
      </c>
      <c r="EJ79" s="362">
        <v>13.69439092495637</v>
      </c>
      <c r="EL79" s="360"/>
    </row>
    <row r="80" spans="1:142" s="367" customFormat="1" ht="17.25" x14ac:dyDescent="0.3">
      <c r="A80" s="366" t="s">
        <v>225</v>
      </c>
      <c r="B80" s="365" t="s">
        <v>224</v>
      </c>
      <c r="C80" s="362"/>
      <c r="D80" s="362"/>
      <c r="E80" s="362"/>
      <c r="F80" s="362"/>
      <c r="G80" s="362"/>
      <c r="H80" s="362"/>
      <c r="I80" s="362"/>
      <c r="J80" s="362"/>
      <c r="K80" s="362"/>
      <c r="L80" s="362"/>
      <c r="M80" s="362"/>
      <c r="N80" s="362"/>
      <c r="O80" s="362"/>
      <c r="P80" s="362"/>
      <c r="Q80" s="362"/>
      <c r="R80" s="362"/>
      <c r="S80" s="362"/>
      <c r="T80" s="362"/>
      <c r="U80" s="362"/>
      <c r="V80" s="362"/>
      <c r="W80" s="362"/>
      <c r="X80" s="362"/>
      <c r="Y80" s="362"/>
      <c r="Z80" s="362"/>
      <c r="AA80" s="362"/>
      <c r="AB80" s="362"/>
      <c r="AC80" s="362"/>
      <c r="AD80" s="362"/>
      <c r="AE80" s="362">
        <v>0</v>
      </c>
      <c r="AF80" s="362">
        <v>0</v>
      </c>
      <c r="AG80" s="362">
        <v>0</v>
      </c>
      <c r="AH80" s="362">
        <v>0</v>
      </c>
      <c r="AI80" s="362">
        <v>0</v>
      </c>
      <c r="AJ80" s="362">
        <v>0.16761059888091145</v>
      </c>
      <c r="AK80" s="362">
        <v>0</v>
      </c>
      <c r="AL80" s="362">
        <v>0</v>
      </c>
      <c r="AM80" s="362">
        <v>0</v>
      </c>
      <c r="AN80" s="362">
        <v>0.09</v>
      </c>
      <c r="AO80" s="362">
        <v>0</v>
      </c>
      <c r="AP80" s="362">
        <v>0</v>
      </c>
      <c r="AQ80" s="362">
        <v>0</v>
      </c>
      <c r="AR80" s="362">
        <v>0</v>
      </c>
      <c r="AS80" s="362">
        <v>0</v>
      </c>
      <c r="AT80" s="362">
        <v>2.5789999999999997</v>
      </c>
      <c r="AU80" s="362">
        <v>0</v>
      </c>
      <c r="AV80" s="362">
        <v>5.2084999999999999</v>
      </c>
      <c r="AW80" s="362">
        <v>0</v>
      </c>
      <c r="AX80" s="362">
        <v>8.3224682557558154</v>
      </c>
      <c r="AY80" s="362">
        <v>0</v>
      </c>
      <c r="AZ80" s="362">
        <v>0</v>
      </c>
      <c r="BA80" s="362">
        <v>0</v>
      </c>
      <c r="BB80" s="362">
        <v>8.68</v>
      </c>
      <c r="BC80" s="362">
        <v>0</v>
      </c>
      <c r="BD80" s="362">
        <v>13.858563831958481</v>
      </c>
      <c r="BE80" s="362">
        <v>0</v>
      </c>
      <c r="BF80" s="362">
        <v>6.1037340000000002</v>
      </c>
      <c r="BG80" s="362">
        <v>0</v>
      </c>
      <c r="BH80" s="362">
        <v>5.2847430000000006</v>
      </c>
      <c r="BI80" s="362">
        <v>0.621</v>
      </c>
      <c r="BJ80" s="362">
        <v>9.6509999999999998</v>
      </c>
      <c r="BK80" s="362">
        <v>0.872</v>
      </c>
      <c r="BL80" s="362">
        <v>8.3958437131783779</v>
      </c>
      <c r="BM80" s="362">
        <v>0.12</v>
      </c>
      <c r="BN80" s="362">
        <v>0.59</v>
      </c>
      <c r="BO80" s="362">
        <v>0</v>
      </c>
      <c r="BP80" s="362">
        <v>0.16986724743849077</v>
      </c>
      <c r="BQ80" s="362">
        <v>0</v>
      </c>
      <c r="BR80" s="362">
        <v>0.13113139530776741</v>
      </c>
      <c r="BS80" s="362">
        <v>0</v>
      </c>
      <c r="BT80" s="362">
        <v>0</v>
      </c>
      <c r="BU80" s="362">
        <v>0</v>
      </c>
      <c r="BV80" s="362">
        <v>0</v>
      </c>
      <c r="BW80" s="362">
        <v>0</v>
      </c>
      <c r="BX80" s="362">
        <v>0</v>
      </c>
      <c r="BY80" s="362">
        <v>0</v>
      </c>
      <c r="BZ80" s="362">
        <v>0</v>
      </c>
      <c r="CA80" s="362">
        <v>0</v>
      </c>
      <c r="CB80" s="362">
        <v>0</v>
      </c>
      <c r="CC80" s="362">
        <v>0</v>
      </c>
      <c r="CD80" s="362">
        <v>0</v>
      </c>
      <c r="CE80" s="362">
        <v>0</v>
      </c>
      <c r="CF80" s="362">
        <v>0</v>
      </c>
      <c r="CG80" s="362">
        <v>0</v>
      </c>
      <c r="CH80" s="362">
        <v>0.104</v>
      </c>
      <c r="CI80" s="362">
        <v>0</v>
      </c>
      <c r="CJ80" s="362">
        <v>11.216152549221787</v>
      </c>
      <c r="CK80" s="362">
        <v>0</v>
      </c>
      <c r="CL80" s="362">
        <v>0.755</v>
      </c>
      <c r="CM80" s="362">
        <v>0</v>
      </c>
      <c r="CN80" s="362">
        <v>16.320698311252098</v>
      </c>
      <c r="CO80" s="362">
        <v>0.50197179565786909</v>
      </c>
      <c r="CP80" s="362">
        <v>20.986539403398272</v>
      </c>
      <c r="CQ80" s="362">
        <v>3.8623495924464279</v>
      </c>
      <c r="CR80" s="362">
        <v>6.9609056541142635</v>
      </c>
      <c r="CS80" s="362">
        <v>0</v>
      </c>
      <c r="CT80" s="362">
        <v>7.65</v>
      </c>
      <c r="CU80" s="362">
        <v>0</v>
      </c>
      <c r="CV80" s="362">
        <v>18.206</v>
      </c>
      <c r="CW80" s="362">
        <v>0</v>
      </c>
      <c r="CX80" s="362">
        <v>19.762</v>
      </c>
      <c r="CY80" s="362">
        <v>0.41363736754093777</v>
      </c>
      <c r="CZ80" s="362">
        <v>51.234528461514188</v>
      </c>
      <c r="DA80" s="362">
        <v>0</v>
      </c>
      <c r="DB80" s="362">
        <v>53.514757996763073</v>
      </c>
      <c r="DC80" s="362">
        <v>0</v>
      </c>
      <c r="DD80" s="362">
        <v>71.51754469236468</v>
      </c>
      <c r="DE80" s="362">
        <v>4.3245660219313313</v>
      </c>
      <c r="DF80" s="362">
        <v>44.241041666385954</v>
      </c>
      <c r="DG80" s="362">
        <v>0</v>
      </c>
      <c r="DH80" s="362">
        <v>72.444000000000003</v>
      </c>
      <c r="DI80" s="362">
        <v>0</v>
      </c>
      <c r="DJ80" s="362">
        <v>86.221999999999994</v>
      </c>
      <c r="DK80" s="362">
        <v>3.4228828279817884</v>
      </c>
      <c r="DL80" s="362">
        <v>102.14252423037286</v>
      </c>
      <c r="DM80" s="362">
        <v>0.82234469161106361</v>
      </c>
      <c r="DN80" s="362">
        <v>98.301300744321793</v>
      </c>
      <c r="DO80" s="362">
        <v>0</v>
      </c>
      <c r="DP80" s="362">
        <v>89.55523559832254</v>
      </c>
      <c r="DQ80" s="362">
        <v>3.1317003598810826</v>
      </c>
      <c r="DR80" s="362">
        <v>80.101939445268542</v>
      </c>
      <c r="DS80" s="362">
        <v>0</v>
      </c>
      <c r="DT80" s="362">
        <v>80.509997571207251</v>
      </c>
      <c r="DU80" s="362">
        <v>6.6275919999999999</v>
      </c>
      <c r="DV80" s="362">
        <v>69.556489525246107</v>
      </c>
      <c r="DW80" s="362">
        <v>0</v>
      </c>
      <c r="DX80" s="362">
        <v>95.355431999999993</v>
      </c>
      <c r="DY80" s="362">
        <v>0</v>
      </c>
      <c r="DZ80" s="362">
        <v>55.783064000000003</v>
      </c>
      <c r="EA80" s="362">
        <v>1.2</v>
      </c>
      <c r="EB80" s="362">
        <v>62.880569000000001</v>
      </c>
      <c r="EC80" s="362">
        <v>0</v>
      </c>
      <c r="ED80" s="362">
        <v>85.794284782608699</v>
      </c>
      <c r="EE80" s="362">
        <v>0</v>
      </c>
      <c r="EF80" s="362">
        <v>91.260496256899032</v>
      </c>
      <c r="EG80" s="362">
        <f t="shared" si="10"/>
        <v>0</v>
      </c>
      <c r="EH80" s="362">
        <f t="shared" si="10"/>
        <v>134.13369529999997</v>
      </c>
      <c r="EI80" s="362">
        <v>0</v>
      </c>
      <c r="EJ80" s="362">
        <v>136.1881243</v>
      </c>
      <c r="EL80" s="360"/>
    </row>
    <row r="81" spans="1:142" s="367" customFormat="1" ht="17.25" x14ac:dyDescent="0.3">
      <c r="A81" s="366" t="s">
        <v>223</v>
      </c>
      <c r="B81" s="365" t="s">
        <v>222</v>
      </c>
      <c r="C81" s="371"/>
      <c r="D81" s="371"/>
      <c r="E81" s="371"/>
      <c r="F81" s="371"/>
      <c r="G81" s="371"/>
      <c r="H81" s="371"/>
      <c r="I81" s="371"/>
      <c r="J81" s="371"/>
      <c r="K81" s="372"/>
      <c r="L81" s="371"/>
      <c r="M81" s="371"/>
      <c r="N81" s="371"/>
      <c r="O81" s="372"/>
      <c r="P81" s="371"/>
      <c r="Q81" s="371"/>
      <c r="R81" s="370"/>
      <c r="S81" s="369"/>
      <c r="T81" s="369"/>
      <c r="U81" s="369"/>
      <c r="V81" s="369"/>
      <c r="W81" s="369"/>
      <c r="X81" s="369"/>
      <c r="Y81" s="369"/>
      <c r="Z81" s="369"/>
      <c r="AA81" s="369"/>
      <c r="AB81" s="369"/>
      <c r="AC81" s="369"/>
      <c r="AD81" s="369"/>
      <c r="AE81" s="369"/>
      <c r="AF81" s="369"/>
      <c r="AG81" s="368"/>
      <c r="AH81" s="362"/>
      <c r="AI81" s="362">
        <v>0</v>
      </c>
      <c r="AJ81" s="362">
        <v>0</v>
      </c>
      <c r="AK81" s="362">
        <v>0</v>
      </c>
      <c r="AL81" s="362">
        <v>0</v>
      </c>
      <c r="AM81" s="362">
        <v>0.105</v>
      </c>
      <c r="AN81" s="362">
        <v>0</v>
      </c>
      <c r="AO81" s="362">
        <v>4.2000000000000003E-2</v>
      </c>
      <c r="AP81" s="362">
        <v>0</v>
      </c>
      <c r="AQ81" s="362">
        <v>0</v>
      </c>
      <c r="AR81" s="362">
        <v>0</v>
      </c>
      <c r="AS81" s="362">
        <v>5.5E-2</v>
      </c>
      <c r="AT81" s="362">
        <v>0</v>
      </c>
      <c r="AU81" s="362">
        <v>0.03</v>
      </c>
      <c r="AV81" s="362">
        <v>0</v>
      </c>
      <c r="AW81" s="362">
        <v>8.3000000000000004E-2</v>
      </c>
      <c r="AX81" s="362">
        <v>0</v>
      </c>
      <c r="AY81" s="362">
        <v>0</v>
      </c>
      <c r="AZ81" s="362">
        <v>0</v>
      </c>
      <c r="BA81" s="362">
        <v>0.128</v>
      </c>
      <c r="BB81" s="362">
        <v>0</v>
      </c>
      <c r="BC81" s="362">
        <v>0.38</v>
      </c>
      <c r="BD81" s="362">
        <v>0</v>
      </c>
      <c r="BE81" s="362">
        <v>0.42000000000000004</v>
      </c>
      <c r="BF81" s="362">
        <v>0</v>
      </c>
      <c r="BG81" s="362">
        <v>0.32</v>
      </c>
      <c r="BH81" s="362">
        <v>0</v>
      </c>
      <c r="BI81" s="362">
        <v>0.36696907909616122</v>
      </c>
      <c r="BJ81" s="362">
        <v>0</v>
      </c>
      <c r="BK81" s="362">
        <v>0.3686669153556385</v>
      </c>
      <c r="BL81" s="362">
        <v>0</v>
      </c>
      <c r="BM81" s="362">
        <v>0.45764660050006212</v>
      </c>
      <c r="BN81" s="362">
        <v>0</v>
      </c>
      <c r="BO81" s="362">
        <v>0.95201349469983132</v>
      </c>
      <c r="BP81" s="362">
        <v>0</v>
      </c>
      <c r="BQ81" s="362">
        <v>1.0583866178330532</v>
      </c>
      <c r="BR81" s="362">
        <v>0</v>
      </c>
      <c r="BS81" s="362">
        <v>1.169738692565117</v>
      </c>
      <c r="BT81" s="362">
        <v>0</v>
      </c>
      <c r="BU81" s="362">
        <v>1.2981009539215813</v>
      </c>
      <c r="BV81" s="362">
        <v>0</v>
      </c>
      <c r="BW81" s="362">
        <v>1.3961765451749366</v>
      </c>
      <c r="BX81" s="362">
        <v>0</v>
      </c>
      <c r="BY81" s="362">
        <v>1.3967588005074667</v>
      </c>
      <c r="BZ81" s="362">
        <v>0</v>
      </c>
      <c r="CA81" s="362">
        <v>0.88296650124955445</v>
      </c>
      <c r="CB81" s="362">
        <v>0</v>
      </c>
      <c r="CC81" s="362">
        <v>1.5030167498792948</v>
      </c>
      <c r="CD81" s="362">
        <v>0</v>
      </c>
      <c r="CE81" s="362">
        <v>1.7476737820341715</v>
      </c>
      <c r="CF81" s="362">
        <v>0</v>
      </c>
      <c r="CG81" s="362">
        <v>2.1781847987969378</v>
      </c>
      <c r="CH81" s="362">
        <v>0</v>
      </c>
      <c r="CI81" s="362">
        <v>2.1475921663159947</v>
      </c>
      <c r="CJ81" s="362">
        <v>0</v>
      </c>
      <c r="CK81" s="362">
        <v>1.8021074813141778</v>
      </c>
      <c r="CL81" s="362">
        <v>0</v>
      </c>
      <c r="CM81" s="362">
        <v>1.272689634260123</v>
      </c>
      <c r="CN81" s="362">
        <v>0</v>
      </c>
      <c r="CO81" s="362">
        <v>0.9846643534646935</v>
      </c>
      <c r="CP81" s="362">
        <v>0</v>
      </c>
      <c r="CQ81" s="362">
        <v>0.48070851620993621</v>
      </c>
      <c r="CR81" s="362">
        <v>0</v>
      </c>
      <c r="CS81" s="362">
        <v>0.33297730184670321</v>
      </c>
      <c r="CT81" s="362">
        <v>0</v>
      </c>
      <c r="CU81" s="362">
        <v>0.69499999999999995</v>
      </c>
      <c r="CV81" s="362">
        <v>0</v>
      </c>
      <c r="CW81" s="362">
        <v>2.0249999999999999</v>
      </c>
      <c r="CX81" s="362">
        <v>0</v>
      </c>
      <c r="CY81" s="362">
        <v>1.97</v>
      </c>
      <c r="CZ81" s="362">
        <v>0</v>
      </c>
      <c r="DA81" s="362">
        <v>3.375</v>
      </c>
      <c r="DB81" s="362">
        <v>0</v>
      </c>
      <c r="DC81" s="362">
        <v>2.7</v>
      </c>
      <c r="DD81" s="362">
        <v>0</v>
      </c>
      <c r="DE81" s="362">
        <v>0</v>
      </c>
      <c r="DF81" s="362">
        <v>0</v>
      </c>
      <c r="DG81" s="362">
        <v>0.78</v>
      </c>
      <c r="DH81" s="362">
        <v>0</v>
      </c>
      <c r="DI81" s="362">
        <v>0.2</v>
      </c>
      <c r="DJ81" s="362">
        <v>0</v>
      </c>
      <c r="DK81" s="362">
        <v>0</v>
      </c>
      <c r="DL81" s="362">
        <v>0</v>
      </c>
      <c r="DM81" s="362">
        <v>0</v>
      </c>
      <c r="DN81" s="362">
        <v>0</v>
      </c>
      <c r="DO81" s="362">
        <v>0.8</v>
      </c>
      <c r="DP81" s="362">
        <v>0</v>
      </c>
      <c r="DQ81" s="362">
        <v>0.94</v>
      </c>
      <c r="DR81" s="362">
        <v>0</v>
      </c>
      <c r="DS81" s="362">
        <v>0.54</v>
      </c>
      <c r="DT81" s="362">
        <v>0</v>
      </c>
      <c r="DU81" s="362">
        <v>0.625</v>
      </c>
      <c r="DV81" s="362">
        <v>0</v>
      </c>
      <c r="DW81" s="362">
        <v>0.6</v>
      </c>
      <c r="DX81" s="362">
        <v>0</v>
      </c>
      <c r="DY81" s="362">
        <v>0.41499999999999998</v>
      </c>
      <c r="DZ81" s="362">
        <v>0</v>
      </c>
      <c r="EA81" s="362">
        <v>0.4</v>
      </c>
      <c r="EB81" s="362">
        <v>0</v>
      </c>
      <c r="EC81" s="362">
        <v>0.57663043478260867</v>
      </c>
      <c r="ED81" s="362">
        <v>0</v>
      </c>
      <c r="EE81" s="362">
        <v>2.2050000000000001</v>
      </c>
      <c r="EF81" s="362">
        <v>0</v>
      </c>
      <c r="EG81" s="362">
        <f t="shared" si="10"/>
        <v>0.88500000000000001</v>
      </c>
      <c r="EH81" s="362">
        <f t="shared" si="10"/>
        <v>0</v>
      </c>
      <c r="EI81" s="362">
        <v>0.35</v>
      </c>
      <c r="EJ81" s="362">
        <v>0</v>
      </c>
      <c r="EL81" s="360"/>
    </row>
    <row r="82" spans="1:142" ht="17.25" x14ac:dyDescent="0.3">
      <c r="A82" s="366" t="s">
        <v>221</v>
      </c>
      <c r="B82" s="365" t="s">
        <v>220</v>
      </c>
      <c r="C82" s="362">
        <v>7.0731160773080637</v>
      </c>
      <c r="D82" s="362">
        <v>2.7022560815398005</v>
      </c>
      <c r="E82" s="362">
        <v>7.0773739781390157</v>
      </c>
      <c r="F82" s="362">
        <v>3.1743972697059801</v>
      </c>
      <c r="G82" s="362">
        <v>7.6392927382777573</v>
      </c>
      <c r="H82" s="362">
        <v>3.2675753611812053</v>
      </c>
      <c r="I82" s="362">
        <v>6.9930700622147359</v>
      </c>
      <c r="J82" s="362">
        <v>3.9231535626542247</v>
      </c>
      <c r="K82" s="362">
        <v>0.35699999999999998</v>
      </c>
      <c r="L82" s="362">
        <v>4.0024530750532383</v>
      </c>
      <c r="M82" s="362">
        <v>1.0499740966177304</v>
      </c>
      <c r="N82" s="362">
        <v>4.1145781457863464</v>
      </c>
      <c r="O82" s="362">
        <v>12.935850210109617</v>
      </c>
      <c r="P82" s="362">
        <v>0.93822382346834099</v>
      </c>
      <c r="Q82" s="362">
        <v>4.5281940182162508</v>
      </c>
      <c r="R82" s="362">
        <v>0</v>
      </c>
      <c r="S82" s="362">
        <v>3.2296866753936246</v>
      </c>
      <c r="T82" s="362">
        <v>0.27403554462084279</v>
      </c>
      <c r="U82" s="362">
        <v>5.6969322096521875</v>
      </c>
      <c r="V82" s="362">
        <v>0.26504080774744054</v>
      </c>
      <c r="W82" s="362">
        <v>7.7124269787078283</v>
      </c>
      <c r="X82" s="362">
        <v>0</v>
      </c>
      <c r="Y82" s="362">
        <v>8.8708628795798354</v>
      </c>
      <c r="Z82" s="362">
        <v>0</v>
      </c>
      <c r="AA82" s="362">
        <v>8.7116559992740612</v>
      </c>
      <c r="AB82" s="362">
        <v>1.27</v>
      </c>
      <c r="AC82" s="362">
        <v>2.8852235587734971</v>
      </c>
      <c r="AD82" s="362">
        <v>0</v>
      </c>
      <c r="AE82" s="362">
        <v>3.3576032336325983</v>
      </c>
      <c r="AF82" s="362">
        <v>0</v>
      </c>
      <c r="AG82" s="362">
        <v>1.8884728814944565</v>
      </c>
      <c r="AH82" s="362">
        <v>1.2</v>
      </c>
      <c r="AI82" s="362">
        <v>3.1557623911020873</v>
      </c>
      <c r="AJ82" s="362">
        <v>0</v>
      </c>
      <c r="AK82" s="362">
        <v>0.62653803052950929</v>
      </c>
      <c r="AL82" s="362">
        <v>0</v>
      </c>
      <c r="AM82" s="362">
        <v>0.3</v>
      </c>
      <c r="AN82" s="362">
        <v>1.56</v>
      </c>
      <c r="AO82" s="362">
        <v>0.73</v>
      </c>
      <c r="AP82" s="362">
        <v>0.45933650729821279</v>
      </c>
      <c r="AQ82" s="362">
        <v>1.3068304330953384</v>
      </c>
      <c r="AR82" s="362">
        <v>0.48552833387594885</v>
      </c>
      <c r="AS82" s="362">
        <v>1.8345518804449645</v>
      </c>
      <c r="AT82" s="362">
        <v>6.7078355820143681E-2</v>
      </c>
      <c r="AU82" s="362">
        <v>1.6850365632153337</v>
      </c>
      <c r="AV82" s="362">
        <v>0</v>
      </c>
      <c r="AW82" s="362">
        <v>1.2510083376628902</v>
      </c>
      <c r="AX82" s="362">
        <v>0</v>
      </c>
      <c r="AY82" s="362">
        <v>3.0028395171693223</v>
      </c>
      <c r="AZ82" s="362">
        <v>0</v>
      </c>
      <c r="BA82" s="362">
        <v>2.1887055722818145</v>
      </c>
      <c r="BB82" s="362">
        <v>0</v>
      </c>
      <c r="BC82" s="362">
        <v>2.4668253096452659</v>
      </c>
      <c r="BD82" s="362">
        <v>0</v>
      </c>
      <c r="BE82" s="362">
        <v>2.460845901481397</v>
      </c>
      <c r="BF82" s="362">
        <v>1.4</v>
      </c>
      <c r="BG82" s="362">
        <v>3.1053697190381895</v>
      </c>
      <c r="BH82" s="362">
        <v>1.6719999999999999</v>
      </c>
      <c r="BI82" s="362">
        <v>1.8072885773606795</v>
      </c>
      <c r="BJ82" s="362">
        <v>0.15842863168040983</v>
      </c>
      <c r="BK82" s="362">
        <v>7.4394036754053996</v>
      </c>
      <c r="BL82" s="362">
        <v>0</v>
      </c>
      <c r="BM82" s="362">
        <v>0.36</v>
      </c>
      <c r="BN82" s="362">
        <v>0</v>
      </c>
      <c r="BO82" s="362">
        <v>2.7089261469677752</v>
      </c>
      <c r="BP82" s="362">
        <v>0</v>
      </c>
      <c r="BQ82" s="362">
        <v>0.86920253461272834</v>
      </c>
      <c r="BR82" s="362">
        <v>2.0999999999999996</v>
      </c>
      <c r="BS82" s="362">
        <v>3.5799655534618804</v>
      </c>
      <c r="BT82" s="362">
        <v>0</v>
      </c>
      <c r="BU82" s="362">
        <v>3.8591460669112738</v>
      </c>
      <c r="BV82" s="362">
        <v>0</v>
      </c>
      <c r="BW82" s="362">
        <v>7.0782479828309999</v>
      </c>
      <c r="BX82" s="362">
        <v>0</v>
      </c>
      <c r="BY82" s="362">
        <v>1.3602023388064755</v>
      </c>
      <c r="BZ82" s="362">
        <v>1.033444720035634</v>
      </c>
      <c r="CA82" s="362">
        <v>1.8213405552668949</v>
      </c>
      <c r="CB82" s="362">
        <v>2.7675000000000001</v>
      </c>
      <c r="CC82" s="362">
        <v>1.1119371584142002</v>
      </c>
      <c r="CD82" s="362">
        <v>0</v>
      </c>
      <c r="CE82" s="362">
        <v>0.69265558947156802</v>
      </c>
      <c r="CF82" s="362">
        <v>0.12123685481182334</v>
      </c>
      <c r="CG82" s="362">
        <v>0.92400814924038577</v>
      </c>
      <c r="CH82" s="362">
        <v>0.51723790597833263</v>
      </c>
      <c r="CI82" s="362">
        <v>1.2130972080947138</v>
      </c>
      <c r="CJ82" s="362">
        <v>0.02</v>
      </c>
      <c r="CK82" s="362">
        <v>0.78265806691969164</v>
      </c>
      <c r="CL82" s="362">
        <v>2.6777190544112508</v>
      </c>
      <c r="CM82" s="362">
        <v>3.1217593300988997</v>
      </c>
      <c r="CN82" s="362">
        <v>0</v>
      </c>
      <c r="CO82" s="362">
        <v>5.8427519207008354</v>
      </c>
      <c r="CP82" s="362">
        <v>0</v>
      </c>
      <c r="CQ82" s="362">
        <v>1.5945936451148894</v>
      </c>
      <c r="CR82" s="362">
        <v>0.15015899999999999</v>
      </c>
      <c r="CS82" s="362">
        <v>1.2599608495247439</v>
      </c>
      <c r="CT82" s="362">
        <v>0.65498741697628426</v>
      </c>
      <c r="CU82" s="362">
        <v>3.6011060654524187</v>
      </c>
      <c r="CV82" s="362">
        <v>0.59853999999999996</v>
      </c>
      <c r="CW82" s="362">
        <v>2.4081721946461174</v>
      </c>
      <c r="CX82" s="362">
        <v>2.6148665398721667</v>
      </c>
      <c r="CY82" s="362">
        <v>2.2376532017794921</v>
      </c>
      <c r="CZ82" s="362">
        <v>0</v>
      </c>
      <c r="DA82" s="362">
        <v>1.8653491034444922</v>
      </c>
      <c r="DB82" s="362">
        <v>0</v>
      </c>
      <c r="DC82" s="362">
        <v>2.2268023182510506</v>
      </c>
      <c r="DD82" s="362">
        <v>0</v>
      </c>
      <c r="DE82" s="362">
        <v>0</v>
      </c>
      <c r="DF82" s="362">
        <v>0</v>
      </c>
      <c r="DG82" s="362">
        <v>0.42799999999999999</v>
      </c>
      <c r="DH82" s="362">
        <v>0</v>
      </c>
      <c r="DI82" s="362">
        <v>0.83916978383925322</v>
      </c>
      <c r="DJ82" s="362">
        <v>0</v>
      </c>
      <c r="DK82" s="362">
        <v>0.49535614217307467</v>
      </c>
      <c r="DL82" s="362">
        <v>0.80992935999999993</v>
      </c>
      <c r="DM82" s="362">
        <v>1.4036616577367358</v>
      </c>
      <c r="DN82" s="362">
        <v>0.80992935999999993</v>
      </c>
      <c r="DO82" s="362">
        <v>2.1704044732200725</v>
      </c>
      <c r="DP82" s="362">
        <v>1.6433921200000001</v>
      </c>
      <c r="DQ82" s="362">
        <v>1.6656452620192799</v>
      </c>
      <c r="DR82" s="362">
        <v>1.6433921200000001</v>
      </c>
      <c r="DS82" s="362">
        <v>1.2950559734165561</v>
      </c>
      <c r="DT82" s="362">
        <v>1.0099293599999999</v>
      </c>
      <c r="DU82" s="362">
        <v>2.7458656929105807</v>
      </c>
      <c r="DV82" s="362">
        <v>0.60992935999999998</v>
      </c>
      <c r="DW82" s="362">
        <v>1.1620792564643687</v>
      </c>
      <c r="DX82" s="362">
        <v>1.4921873287246061</v>
      </c>
      <c r="DY82" s="362">
        <v>1.3070107621348561</v>
      </c>
      <c r="DZ82" s="362">
        <v>0</v>
      </c>
      <c r="EA82" s="362">
        <v>1.6264497816593886</v>
      </c>
      <c r="EB82" s="362">
        <v>0</v>
      </c>
      <c r="EC82" s="362">
        <v>1.7895217391304348</v>
      </c>
      <c r="ED82" s="362">
        <v>0</v>
      </c>
      <c r="EE82" s="362">
        <v>1.346182100720176</v>
      </c>
      <c r="EF82" s="362">
        <v>0</v>
      </c>
      <c r="EG82" s="362">
        <f t="shared" si="10"/>
        <v>1.4232682801145891</v>
      </c>
      <c r="EH82" s="362">
        <f t="shared" si="10"/>
        <v>0</v>
      </c>
      <c r="EI82" s="362">
        <v>1.5372643185784547</v>
      </c>
      <c r="EJ82" s="362">
        <v>1.52</v>
      </c>
      <c r="EL82" s="360"/>
    </row>
    <row r="83" spans="1:142" ht="17.25" x14ac:dyDescent="0.3">
      <c r="A83" s="366" t="s">
        <v>219</v>
      </c>
      <c r="B83" s="365" t="s">
        <v>218</v>
      </c>
      <c r="C83" s="362">
        <v>40.121766791927762</v>
      </c>
      <c r="D83" s="362">
        <v>0.2</v>
      </c>
      <c r="E83" s="362">
        <v>41.66468454378689</v>
      </c>
      <c r="F83" s="362">
        <v>0</v>
      </c>
      <c r="G83" s="362">
        <v>19.68461751754241</v>
      </c>
      <c r="H83" s="362">
        <v>0</v>
      </c>
      <c r="I83" s="362">
        <v>62.745934830807023</v>
      </c>
      <c r="J83" s="362">
        <v>1.0149999999999999</v>
      </c>
      <c r="K83" s="362">
        <v>28.925083421982372</v>
      </c>
      <c r="L83" s="362">
        <v>0.34699999999999998</v>
      </c>
      <c r="M83" s="362">
        <v>26.071735923555337</v>
      </c>
      <c r="N83" s="362">
        <v>0.35499999999999998</v>
      </c>
      <c r="O83" s="362">
        <v>15.795967694579268</v>
      </c>
      <c r="P83" s="362">
        <v>0.05</v>
      </c>
      <c r="Q83" s="362">
        <v>22.113108239944754</v>
      </c>
      <c r="R83" s="362">
        <v>0</v>
      </c>
      <c r="S83" s="362">
        <v>20.133237675443358</v>
      </c>
      <c r="T83" s="362">
        <v>6.2804294664107543E-2</v>
      </c>
      <c r="U83" s="362">
        <v>35.07352507445237</v>
      </c>
      <c r="V83" s="362">
        <v>0</v>
      </c>
      <c r="W83" s="362">
        <v>34.366563689239591</v>
      </c>
      <c r="X83" s="362">
        <v>0</v>
      </c>
      <c r="Y83" s="362">
        <v>39.405105733137695</v>
      </c>
      <c r="Z83" s="362">
        <v>0</v>
      </c>
      <c r="AA83" s="362">
        <v>40.663339165997833</v>
      </c>
      <c r="AB83" s="362">
        <v>0</v>
      </c>
      <c r="AC83" s="362">
        <v>47.493009360645608</v>
      </c>
      <c r="AD83" s="362">
        <v>7.0000000000000007E-2</v>
      </c>
      <c r="AE83" s="362">
        <v>41.947540519005905</v>
      </c>
      <c r="AF83" s="362">
        <v>0.14000000000000001</v>
      </c>
      <c r="AG83" s="362">
        <v>53.74139076328872</v>
      </c>
      <c r="AH83" s="362">
        <v>1.87</v>
      </c>
      <c r="AI83" s="362">
        <v>51.367963274323429</v>
      </c>
      <c r="AJ83" s="362">
        <v>0.05</v>
      </c>
      <c r="AK83" s="362">
        <v>35.890256787182658</v>
      </c>
      <c r="AL83" s="362">
        <v>0</v>
      </c>
      <c r="AM83" s="362">
        <v>58.091412105283347</v>
      </c>
      <c r="AN83" s="362">
        <v>0</v>
      </c>
      <c r="AO83" s="362">
        <v>39.817077174358282</v>
      </c>
      <c r="AP83" s="362">
        <v>0.25</v>
      </c>
      <c r="AQ83" s="362">
        <v>48.598213280139035</v>
      </c>
      <c r="AR83" s="362">
        <v>0.93500000000000005</v>
      </c>
      <c r="AS83" s="362">
        <v>39.171864515488181</v>
      </c>
      <c r="AT83" s="362">
        <v>0</v>
      </c>
      <c r="AU83" s="362">
        <v>44.086623049023558</v>
      </c>
      <c r="AV83" s="362">
        <v>7.0000000000000007E-2</v>
      </c>
      <c r="AW83" s="362">
        <v>58.613925758949719</v>
      </c>
      <c r="AX83" s="362">
        <v>0</v>
      </c>
      <c r="AY83" s="362">
        <v>47.69896371961913</v>
      </c>
      <c r="AZ83" s="362">
        <v>0</v>
      </c>
      <c r="BA83" s="362">
        <v>51.624270780179359</v>
      </c>
      <c r="BB83" s="362">
        <v>0</v>
      </c>
      <c r="BC83" s="362">
        <v>46.574734900309203</v>
      </c>
      <c r="BD83" s="362">
        <v>0</v>
      </c>
      <c r="BE83" s="362">
        <v>18.058226894653988</v>
      </c>
      <c r="BF83" s="362">
        <v>3</v>
      </c>
      <c r="BG83" s="362">
        <v>22.197790956186182</v>
      </c>
      <c r="BH83" s="362">
        <v>1</v>
      </c>
      <c r="BI83" s="362">
        <v>35.163030910665796</v>
      </c>
      <c r="BJ83" s="362">
        <v>1.044900631227853</v>
      </c>
      <c r="BK83" s="362">
        <v>80.265208541735689</v>
      </c>
      <c r="BL83" s="362">
        <v>0.37477031324922028</v>
      </c>
      <c r="BM83" s="362">
        <v>81.938083884861726</v>
      </c>
      <c r="BN83" s="362">
        <v>0</v>
      </c>
      <c r="BO83" s="362">
        <v>67.730022739516187</v>
      </c>
      <c r="BP83" s="362">
        <v>0</v>
      </c>
      <c r="BQ83" s="362">
        <v>78.584746241573924</v>
      </c>
      <c r="BR83" s="362">
        <v>0</v>
      </c>
      <c r="BS83" s="362">
        <v>83.244075050161584</v>
      </c>
      <c r="BT83" s="362">
        <v>0</v>
      </c>
      <c r="BU83" s="362">
        <v>77.409829642764677</v>
      </c>
      <c r="BV83" s="362">
        <v>0</v>
      </c>
      <c r="BW83" s="362">
        <v>65.917421777555376</v>
      </c>
      <c r="BX83" s="362">
        <v>0.15</v>
      </c>
      <c r="BY83" s="362">
        <v>54.930188131868746</v>
      </c>
      <c r="BZ83" s="362">
        <v>0</v>
      </c>
      <c r="CA83" s="362">
        <v>73.645737817090179</v>
      </c>
      <c r="CB83" s="362">
        <v>7.5000000000000011E-2</v>
      </c>
      <c r="CC83" s="362">
        <v>80.05355387884191</v>
      </c>
      <c r="CD83" s="362">
        <v>0</v>
      </c>
      <c r="CE83" s="362">
        <v>77.863688314550842</v>
      </c>
      <c r="CF83" s="362">
        <v>0.269870629513981</v>
      </c>
      <c r="CG83" s="362">
        <v>92.588727998046267</v>
      </c>
      <c r="CH83" s="362">
        <v>2.6675000000000004</v>
      </c>
      <c r="CI83" s="362">
        <v>66.658543736443406</v>
      </c>
      <c r="CJ83" s="362">
        <v>1</v>
      </c>
      <c r="CK83" s="362">
        <v>65.467141011013581</v>
      </c>
      <c r="CL83" s="362">
        <v>0</v>
      </c>
      <c r="CM83" s="362">
        <v>49.306986679762247</v>
      </c>
      <c r="CN83" s="362">
        <v>0.9</v>
      </c>
      <c r="CO83" s="362">
        <v>43.253591362187976</v>
      </c>
      <c r="CP83" s="362">
        <v>1.805822584088143</v>
      </c>
      <c r="CQ83" s="362">
        <v>51.457598292332094</v>
      </c>
      <c r="CR83" s="362">
        <v>2.6</v>
      </c>
      <c r="CS83" s="362">
        <v>50.231469191434158</v>
      </c>
      <c r="CT83" s="362">
        <v>2.4068069599999999</v>
      </c>
      <c r="CU83" s="362">
        <v>42.035550981055174</v>
      </c>
      <c r="CV83" s="362">
        <v>5.2510573893710646</v>
      </c>
      <c r="CW83" s="362">
        <v>44.484877358211705</v>
      </c>
      <c r="CX83" s="362">
        <v>5.4155741258296519</v>
      </c>
      <c r="CY83" s="362">
        <v>53.064982128449799</v>
      </c>
      <c r="CZ83" s="362">
        <v>11.808422067870017</v>
      </c>
      <c r="DA83" s="362">
        <v>55.15341523184258</v>
      </c>
      <c r="DB83" s="362">
        <v>5.1043070597929834</v>
      </c>
      <c r="DC83" s="362">
        <v>68.111863343748141</v>
      </c>
      <c r="DD83" s="362">
        <v>2.97015962336648</v>
      </c>
      <c r="DE83" s="362">
        <v>52.954228102915124</v>
      </c>
      <c r="DF83" s="362">
        <v>5.8140501426582585</v>
      </c>
      <c r="DG83" s="362">
        <v>54.90177587920202</v>
      </c>
      <c r="DH83" s="362">
        <v>8.4161041806822432</v>
      </c>
      <c r="DI83" s="362">
        <v>32.2444704433778</v>
      </c>
      <c r="DJ83" s="362">
        <v>14.229574123651451</v>
      </c>
      <c r="DK83" s="362">
        <v>18.90315723132149</v>
      </c>
      <c r="DL83" s="362">
        <v>28.443738498333641</v>
      </c>
      <c r="DM83" s="362">
        <v>21.577503529479909</v>
      </c>
      <c r="DN83" s="362">
        <v>35.30146787397814</v>
      </c>
      <c r="DO83" s="362">
        <v>25.183177326121861</v>
      </c>
      <c r="DP83" s="362">
        <v>20.555878823486776</v>
      </c>
      <c r="DQ83" s="362">
        <v>26.870186666249413</v>
      </c>
      <c r="DR83" s="362">
        <v>2.1704673211037262</v>
      </c>
      <c r="DS83" s="362">
        <v>27.067335152024068</v>
      </c>
      <c r="DT83" s="362">
        <v>6.3380000000000001</v>
      </c>
      <c r="DU83" s="362">
        <v>29.53855803251453</v>
      </c>
      <c r="DV83" s="362">
        <v>3.54</v>
      </c>
      <c r="DW83" s="362">
        <v>42.33218876664322</v>
      </c>
      <c r="DX83" s="362">
        <v>0.6</v>
      </c>
      <c r="DY83" s="362">
        <v>55.758119717109608</v>
      </c>
      <c r="DZ83" s="362">
        <v>0.54891533277838778</v>
      </c>
      <c r="EA83" s="362">
        <v>75.315831423580789</v>
      </c>
      <c r="EB83" s="362">
        <v>0</v>
      </c>
      <c r="EC83" s="362">
        <v>60.454643565217388</v>
      </c>
      <c r="ED83" s="362">
        <v>1.1253125021739132</v>
      </c>
      <c r="EE83" s="362">
        <v>36.245291167346799</v>
      </c>
      <c r="EF83" s="362">
        <v>5.8000000000000003E-2</v>
      </c>
      <c r="EG83" s="362">
        <f t="shared" si="10"/>
        <v>36.163596385480716</v>
      </c>
      <c r="EH83" s="362">
        <f t="shared" si="10"/>
        <v>2.6425976441360395</v>
      </c>
      <c r="EI83" s="362">
        <v>34.063169915983572</v>
      </c>
      <c r="EJ83" s="362">
        <v>6.5164660883001044</v>
      </c>
      <c r="EL83" s="360"/>
    </row>
    <row r="84" spans="1:142" ht="17.25" x14ac:dyDescent="0.3">
      <c r="A84" s="366" t="s">
        <v>217</v>
      </c>
      <c r="B84" s="365" t="s">
        <v>216</v>
      </c>
      <c r="C84" s="362">
        <v>7.7549999999999999</v>
      </c>
      <c r="D84" s="362">
        <v>0</v>
      </c>
      <c r="E84" s="362">
        <v>9.01</v>
      </c>
      <c r="F84" s="362">
        <v>0</v>
      </c>
      <c r="G84" s="362">
        <v>8.9312859299999996</v>
      </c>
      <c r="H84" s="362">
        <v>0</v>
      </c>
      <c r="I84" s="362">
        <v>7.6</v>
      </c>
      <c r="J84" s="362">
        <v>0</v>
      </c>
      <c r="K84" s="362">
        <v>11.96</v>
      </c>
      <c r="L84" s="362">
        <v>0</v>
      </c>
      <c r="M84" s="362">
        <v>9.36</v>
      </c>
      <c r="N84" s="362">
        <v>0</v>
      </c>
      <c r="O84" s="362">
        <v>4.9400000000000004</v>
      </c>
      <c r="P84" s="362">
        <v>0</v>
      </c>
      <c r="Q84" s="362">
        <v>3.9849999999999999</v>
      </c>
      <c r="R84" s="362">
        <v>0</v>
      </c>
      <c r="S84" s="362">
        <v>4.375</v>
      </c>
      <c r="T84" s="362">
        <v>0</v>
      </c>
      <c r="U84" s="362">
        <v>7.1550000000000002</v>
      </c>
      <c r="V84" s="362">
        <v>0</v>
      </c>
      <c r="W84" s="362">
        <v>7.13</v>
      </c>
      <c r="X84" s="362">
        <v>0</v>
      </c>
      <c r="Y84" s="362">
        <v>4.7549999999999999</v>
      </c>
      <c r="Z84" s="362">
        <v>0</v>
      </c>
      <c r="AA84" s="362">
        <v>4.5750000000000002</v>
      </c>
      <c r="AB84" s="362">
        <v>0</v>
      </c>
      <c r="AC84" s="362">
        <v>4.3460000000000001</v>
      </c>
      <c r="AD84" s="362">
        <v>0</v>
      </c>
      <c r="AE84" s="362">
        <v>6.9</v>
      </c>
      <c r="AF84" s="362">
        <v>0</v>
      </c>
      <c r="AG84" s="362">
        <v>6.65</v>
      </c>
      <c r="AH84" s="362">
        <v>0.52500000000000002</v>
      </c>
      <c r="AI84" s="362">
        <v>5.2939999999999996</v>
      </c>
      <c r="AJ84" s="362">
        <v>0</v>
      </c>
      <c r="AK84" s="362">
        <v>1.3</v>
      </c>
      <c r="AL84" s="362">
        <v>0</v>
      </c>
      <c r="AM84" s="362">
        <v>1.7</v>
      </c>
      <c r="AN84" s="362">
        <v>0</v>
      </c>
      <c r="AO84" s="362">
        <v>1.4</v>
      </c>
      <c r="AP84" s="362">
        <v>0</v>
      </c>
      <c r="AQ84" s="362">
        <v>1.75</v>
      </c>
      <c r="AR84" s="362">
        <v>0</v>
      </c>
      <c r="AS84" s="362">
        <v>2.7749999999999999</v>
      </c>
      <c r="AT84" s="362">
        <v>0</v>
      </c>
      <c r="AU84" s="362">
        <v>1.53</v>
      </c>
      <c r="AV84" s="362">
        <v>0</v>
      </c>
      <c r="AW84" s="362">
        <v>0.27</v>
      </c>
      <c r="AX84" s="362">
        <v>0</v>
      </c>
      <c r="AY84" s="362">
        <v>1.0900000000000001</v>
      </c>
      <c r="AZ84" s="362">
        <v>0</v>
      </c>
      <c r="BA84" s="362">
        <v>2.4899999999999998</v>
      </c>
      <c r="BB84" s="362">
        <v>0</v>
      </c>
      <c r="BC84" s="362">
        <v>1.895</v>
      </c>
      <c r="BD84" s="362">
        <v>0</v>
      </c>
      <c r="BE84" s="362">
        <v>3.2299999999999995</v>
      </c>
      <c r="BF84" s="362">
        <v>0</v>
      </c>
      <c r="BG84" s="362">
        <v>5.1000000000000005</v>
      </c>
      <c r="BH84" s="362">
        <v>0</v>
      </c>
      <c r="BI84" s="362">
        <v>0.30000000000000004</v>
      </c>
      <c r="BJ84" s="362">
        <v>0</v>
      </c>
      <c r="BK84" s="362">
        <v>0.2</v>
      </c>
      <c r="BL84" s="362">
        <v>0</v>
      </c>
      <c r="BM84" s="362">
        <v>1.2749999999999999</v>
      </c>
      <c r="BN84" s="362">
        <v>0</v>
      </c>
      <c r="BO84" s="362">
        <v>6</v>
      </c>
      <c r="BP84" s="362">
        <v>0</v>
      </c>
      <c r="BQ84" s="362">
        <v>1</v>
      </c>
      <c r="BR84" s="362">
        <v>0</v>
      </c>
      <c r="BS84" s="362">
        <v>2</v>
      </c>
      <c r="BT84" s="362">
        <v>0</v>
      </c>
      <c r="BU84" s="362">
        <v>1</v>
      </c>
      <c r="BV84" s="362">
        <v>0</v>
      </c>
      <c r="BW84" s="362">
        <v>3</v>
      </c>
      <c r="BX84" s="362">
        <v>0</v>
      </c>
      <c r="BY84" s="362">
        <v>4</v>
      </c>
      <c r="BZ84" s="362">
        <v>0</v>
      </c>
      <c r="CA84" s="362">
        <v>5</v>
      </c>
      <c r="CB84" s="362">
        <v>0</v>
      </c>
      <c r="CC84" s="362">
        <v>3.5</v>
      </c>
      <c r="CD84" s="362">
        <v>0</v>
      </c>
      <c r="CE84" s="362">
        <v>5</v>
      </c>
      <c r="CF84" s="362">
        <v>0</v>
      </c>
      <c r="CG84" s="362">
        <v>2</v>
      </c>
      <c r="CH84" s="362">
        <v>0</v>
      </c>
      <c r="CI84" s="362">
        <v>0</v>
      </c>
      <c r="CJ84" s="362">
        <v>0</v>
      </c>
      <c r="CK84" s="362">
        <v>0</v>
      </c>
      <c r="CL84" s="362">
        <v>0</v>
      </c>
      <c r="CM84" s="362">
        <v>0</v>
      </c>
      <c r="CN84" s="362">
        <v>0</v>
      </c>
      <c r="CO84" s="362">
        <v>0</v>
      </c>
      <c r="CP84" s="362">
        <v>0</v>
      </c>
      <c r="CQ84" s="362">
        <v>0</v>
      </c>
      <c r="CR84" s="362">
        <v>0</v>
      </c>
      <c r="CS84" s="362">
        <v>0</v>
      </c>
      <c r="CT84" s="362">
        <v>0</v>
      </c>
      <c r="CU84" s="362">
        <v>0</v>
      </c>
      <c r="CV84" s="362">
        <v>0</v>
      </c>
      <c r="CW84" s="362">
        <v>0.25</v>
      </c>
      <c r="CX84" s="362">
        <v>0.125</v>
      </c>
      <c r="CY84" s="362">
        <v>1.3</v>
      </c>
      <c r="CZ84" s="362">
        <v>0</v>
      </c>
      <c r="DA84" s="362">
        <v>1.05</v>
      </c>
      <c r="DB84" s="362">
        <v>0</v>
      </c>
      <c r="DC84" s="362">
        <v>1.85</v>
      </c>
      <c r="DD84" s="362">
        <v>0</v>
      </c>
      <c r="DE84" s="362">
        <v>2.5</v>
      </c>
      <c r="DF84" s="362">
        <v>0</v>
      </c>
      <c r="DG84" s="362">
        <v>4.8999999999999995</v>
      </c>
      <c r="DH84" s="362">
        <v>0</v>
      </c>
      <c r="DI84" s="362">
        <v>3.7</v>
      </c>
      <c r="DJ84" s="362">
        <v>1.663181</v>
      </c>
      <c r="DK84" s="362">
        <v>3.2</v>
      </c>
      <c r="DL84" s="362">
        <v>0.38772699999999999</v>
      </c>
      <c r="DM84" s="362">
        <v>2</v>
      </c>
      <c r="DN84" s="362">
        <v>0</v>
      </c>
      <c r="DO84" s="362">
        <v>2.5</v>
      </c>
      <c r="DP84" s="362">
        <v>0</v>
      </c>
      <c r="DQ84" s="362">
        <v>1</v>
      </c>
      <c r="DR84" s="362">
        <v>0</v>
      </c>
      <c r="DS84" s="362">
        <v>0.5</v>
      </c>
      <c r="DT84" s="362">
        <v>0</v>
      </c>
      <c r="DU84" s="362">
        <v>0</v>
      </c>
      <c r="DV84" s="362">
        <v>0</v>
      </c>
      <c r="DW84" s="362">
        <v>0.5</v>
      </c>
      <c r="DX84" s="362">
        <v>0</v>
      </c>
      <c r="DY84" s="362">
        <v>1</v>
      </c>
      <c r="DZ84" s="362">
        <v>0</v>
      </c>
      <c r="EA84" s="362">
        <v>0.5</v>
      </c>
      <c r="EB84" s="362">
        <v>0</v>
      </c>
      <c r="EC84" s="362">
        <v>0.5</v>
      </c>
      <c r="ED84" s="362">
        <v>0</v>
      </c>
      <c r="EE84" s="362">
        <v>0.5</v>
      </c>
      <c r="EF84" s="362">
        <v>0</v>
      </c>
      <c r="EG84" s="362">
        <f t="shared" si="10"/>
        <v>1</v>
      </c>
      <c r="EH84" s="362">
        <f t="shared" si="10"/>
        <v>0</v>
      </c>
      <c r="EI84" s="362">
        <v>0.5</v>
      </c>
      <c r="EJ84" s="362">
        <v>0</v>
      </c>
      <c r="EL84" s="360"/>
    </row>
    <row r="85" spans="1:142" ht="17.25" x14ac:dyDescent="0.3">
      <c r="A85" s="366" t="s">
        <v>215</v>
      </c>
      <c r="B85" s="365" t="s">
        <v>214</v>
      </c>
      <c r="C85" s="362">
        <v>281.53012604570262</v>
      </c>
      <c r="D85" s="362">
        <v>4.801716869642159</v>
      </c>
      <c r="E85" s="362">
        <v>226.77722402746375</v>
      </c>
      <c r="F85" s="362">
        <v>0.70283000399305029</v>
      </c>
      <c r="G85" s="362">
        <v>259.78627489219446</v>
      </c>
      <c r="H85" s="362">
        <v>0.5</v>
      </c>
      <c r="I85" s="362">
        <v>205.58063962273019</v>
      </c>
      <c r="J85" s="362">
        <v>4.9558212747346895</v>
      </c>
      <c r="K85" s="362">
        <v>190.09347814290047</v>
      </c>
      <c r="L85" s="362">
        <v>3.1065038248165973</v>
      </c>
      <c r="M85" s="362">
        <v>210.29541403059773</v>
      </c>
      <c r="N85" s="362">
        <v>6.8548</v>
      </c>
      <c r="O85" s="362">
        <v>192.13042483116618</v>
      </c>
      <c r="P85" s="362">
        <v>0.9623496206819</v>
      </c>
      <c r="Q85" s="362">
        <v>188.37542321372146</v>
      </c>
      <c r="R85" s="362">
        <v>2.3512850156692293</v>
      </c>
      <c r="S85" s="362">
        <v>179.75433853854142</v>
      </c>
      <c r="T85" s="362">
        <v>1.2720722590305777</v>
      </c>
      <c r="U85" s="362">
        <v>214.15625141313021</v>
      </c>
      <c r="V85" s="362">
        <v>0.71326593125145765</v>
      </c>
      <c r="W85" s="362">
        <v>115.73880638179062</v>
      </c>
      <c r="X85" s="362">
        <v>0.51420475495529216</v>
      </c>
      <c r="Y85" s="362">
        <v>130.85525548814923</v>
      </c>
      <c r="Z85" s="362">
        <v>1.56836594140744</v>
      </c>
      <c r="AA85" s="362">
        <v>143.7727172624123</v>
      </c>
      <c r="AB85" s="362">
        <v>1.1050147965259189</v>
      </c>
      <c r="AC85" s="362">
        <v>170.34108111614898</v>
      </c>
      <c r="AD85" s="362">
        <v>1.9343408091715104</v>
      </c>
      <c r="AE85" s="362">
        <v>267.63477342555331</v>
      </c>
      <c r="AF85" s="362">
        <v>5.9717497711878957</v>
      </c>
      <c r="AG85" s="362">
        <v>284.71126655447569</v>
      </c>
      <c r="AH85" s="362">
        <v>1.7189292865716335</v>
      </c>
      <c r="AI85" s="362">
        <v>274.65085483445</v>
      </c>
      <c r="AJ85" s="362">
        <v>0.215</v>
      </c>
      <c r="AK85" s="362">
        <v>19.77341671152481</v>
      </c>
      <c r="AL85" s="362">
        <v>12.061079620482358</v>
      </c>
      <c r="AM85" s="362">
        <v>324.04914840496821</v>
      </c>
      <c r="AN85" s="362">
        <v>3.1037490913641705</v>
      </c>
      <c r="AO85" s="362">
        <v>251.16516311931247</v>
      </c>
      <c r="AP85" s="362">
        <v>9.3897300237639172</v>
      </c>
      <c r="AQ85" s="362">
        <v>127.16222470363826</v>
      </c>
      <c r="AR85" s="362">
        <v>2.4954625191677957</v>
      </c>
      <c r="AS85" s="362">
        <v>77.961095352578454</v>
      </c>
      <c r="AT85" s="362">
        <v>7.5563929074372229</v>
      </c>
      <c r="AU85" s="362">
        <v>40.721182110547993</v>
      </c>
      <c r="AV85" s="362">
        <v>8.8406387933804815</v>
      </c>
      <c r="AW85" s="362">
        <v>93.305268229567616</v>
      </c>
      <c r="AX85" s="362">
        <v>2.9710283341143446</v>
      </c>
      <c r="AY85" s="362">
        <v>75.013992465604687</v>
      </c>
      <c r="AZ85" s="362">
        <v>11.55726300406171</v>
      </c>
      <c r="BA85" s="362">
        <v>86.13219621836086</v>
      </c>
      <c r="BB85" s="362">
        <v>3.3498990473500365</v>
      </c>
      <c r="BC85" s="362">
        <v>65.991785925652479</v>
      </c>
      <c r="BD85" s="362">
        <v>0.95954060531207241</v>
      </c>
      <c r="BE85" s="362">
        <v>45.438517337334417</v>
      </c>
      <c r="BF85" s="362">
        <v>4.0242440943163764</v>
      </c>
      <c r="BG85" s="362">
        <v>50.804154262397198</v>
      </c>
      <c r="BH85" s="362">
        <v>8.2892963823568699</v>
      </c>
      <c r="BI85" s="362">
        <v>63.185233270560246</v>
      </c>
      <c r="BJ85" s="362">
        <v>29.161383211282391</v>
      </c>
      <c r="BK85" s="362">
        <v>23.2471978811657</v>
      </c>
      <c r="BL85" s="362">
        <v>16.176167639937759</v>
      </c>
      <c r="BM85" s="362">
        <v>7.3288648877126992</v>
      </c>
      <c r="BN85" s="362">
        <v>12.117889844418444</v>
      </c>
      <c r="BO85" s="362">
        <v>6.9038444468502114</v>
      </c>
      <c r="BP85" s="362">
        <v>19.241757357106771</v>
      </c>
      <c r="BQ85" s="362">
        <v>7.5039450142881368</v>
      </c>
      <c r="BR85" s="362">
        <v>24.299117267329432</v>
      </c>
      <c r="BS85" s="362">
        <v>18.65947026449502</v>
      </c>
      <c r="BT85" s="362">
        <v>67.517795659306486</v>
      </c>
      <c r="BU85" s="362">
        <v>23.476984271908993</v>
      </c>
      <c r="BV85" s="362">
        <v>57.92694312681558</v>
      </c>
      <c r="BW85" s="362">
        <v>9.0028872597799001</v>
      </c>
      <c r="BX85" s="362">
        <v>18.853994037739803</v>
      </c>
      <c r="BY85" s="362">
        <v>13.073655972810471</v>
      </c>
      <c r="BZ85" s="362">
        <v>19.936621003024925</v>
      </c>
      <c r="CA85" s="362">
        <v>5.1754086430647259</v>
      </c>
      <c r="CB85" s="362">
        <v>9.1588990054771937</v>
      </c>
      <c r="CC85" s="362">
        <v>6.836882436608013</v>
      </c>
      <c r="CD85" s="362">
        <v>4.2690323573150319</v>
      </c>
      <c r="CE85" s="362">
        <v>11.797694822187159</v>
      </c>
      <c r="CF85" s="362">
        <v>3.1414096832772089</v>
      </c>
      <c r="CG85" s="362">
        <v>19.47457599782458</v>
      </c>
      <c r="CH85" s="362">
        <v>3.741102986094734</v>
      </c>
      <c r="CI85" s="362">
        <v>16.278610428906507</v>
      </c>
      <c r="CJ85" s="362">
        <v>17.57901061769337</v>
      </c>
      <c r="CK85" s="362">
        <v>14.693396504086431</v>
      </c>
      <c r="CL85" s="362">
        <v>10.289344214962627</v>
      </c>
      <c r="CM85" s="362">
        <v>13.717898623577161</v>
      </c>
      <c r="CN85" s="362">
        <v>15.26935899888039</v>
      </c>
      <c r="CO85" s="362">
        <v>14.763458601023752</v>
      </c>
      <c r="CP85" s="362">
        <v>3.2637615776223252</v>
      </c>
      <c r="CQ85" s="362">
        <v>20.535001886502783</v>
      </c>
      <c r="CR85" s="362">
        <v>21.457410951388635</v>
      </c>
      <c r="CS85" s="362">
        <v>21.336684692991604</v>
      </c>
      <c r="CT85" s="362">
        <v>18.901948470172432</v>
      </c>
      <c r="CU85" s="362">
        <v>7.4863888273763282</v>
      </c>
      <c r="CV85" s="362">
        <v>10.858596455955331</v>
      </c>
      <c r="CW85" s="362">
        <v>11.10397822427824</v>
      </c>
      <c r="CX85" s="362">
        <v>5.6592323076083524</v>
      </c>
      <c r="CY85" s="362">
        <v>10.340162305069391</v>
      </c>
      <c r="CZ85" s="362">
        <v>3.5171580158004336</v>
      </c>
      <c r="DA85" s="362">
        <v>29.510609164571203</v>
      </c>
      <c r="DB85" s="362">
        <v>2.831872566087251</v>
      </c>
      <c r="DC85" s="362">
        <v>30.124728628801439</v>
      </c>
      <c r="DD85" s="362">
        <v>2.2629521578877134</v>
      </c>
      <c r="DE85" s="362">
        <v>15.891110241062746</v>
      </c>
      <c r="DF85" s="362">
        <v>3.2507477653666412</v>
      </c>
      <c r="DG85" s="362">
        <v>22.392030193695582</v>
      </c>
      <c r="DH85" s="362">
        <v>5.5447910821117601</v>
      </c>
      <c r="DI85" s="362">
        <v>22.748801690441042</v>
      </c>
      <c r="DJ85" s="362">
        <v>8.2159893960894674</v>
      </c>
      <c r="DK85" s="362">
        <v>28.786919336885955</v>
      </c>
      <c r="DL85" s="362">
        <v>3.3096886257536906</v>
      </c>
      <c r="DM85" s="362">
        <v>41.255397494146344</v>
      </c>
      <c r="DN85" s="362">
        <v>0.55217002885054534</v>
      </c>
      <c r="DO85" s="362">
        <v>114.3678379996861</v>
      </c>
      <c r="DP85" s="362">
        <v>2.2177923864023867</v>
      </c>
      <c r="DQ85" s="362">
        <v>289.12001240739357</v>
      </c>
      <c r="DR85" s="362">
        <v>0.53324534728411099</v>
      </c>
      <c r="DS85" s="362">
        <v>127.49366229636948</v>
      </c>
      <c r="DT85" s="362">
        <v>1.7336693648891979</v>
      </c>
      <c r="DU85" s="362">
        <v>195.48211353358801</v>
      </c>
      <c r="DV85" s="362">
        <v>2.1722695371762236E-2</v>
      </c>
      <c r="DW85" s="362">
        <v>232.64673317641916</v>
      </c>
      <c r="DX85" s="362">
        <v>7.1235957502931075</v>
      </c>
      <c r="DY85" s="362">
        <v>234.12165879623322</v>
      </c>
      <c r="DZ85" s="362">
        <v>14.117515923566877</v>
      </c>
      <c r="EA85" s="362">
        <v>180.05693231240176</v>
      </c>
      <c r="EB85" s="362">
        <v>16.39382096069869</v>
      </c>
      <c r="EC85" s="362">
        <v>53.81084239457391</v>
      </c>
      <c r="ED85" s="362">
        <v>14.154586956521699</v>
      </c>
      <c r="EE85" s="362">
        <v>41.546530241451585</v>
      </c>
      <c r="EF85" s="362">
        <v>0</v>
      </c>
      <c r="EG85" s="362">
        <f t="shared" si="10"/>
        <v>69.480647365012743</v>
      </c>
      <c r="EH85" s="362">
        <f t="shared" si="10"/>
        <v>0</v>
      </c>
      <c r="EI85" s="362">
        <v>65.640865466345389</v>
      </c>
      <c r="EJ85" s="362">
        <v>0.80732058807975027</v>
      </c>
      <c r="EL85" s="360"/>
    </row>
    <row r="86" spans="1:142" ht="17.25" x14ac:dyDescent="0.3">
      <c r="A86" s="366" t="s">
        <v>213</v>
      </c>
      <c r="B86" s="365" t="s">
        <v>212</v>
      </c>
      <c r="C86" s="362">
        <v>1.905</v>
      </c>
      <c r="D86" s="362">
        <v>0</v>
      </c>
      <c r="E86" s="362">
        <v>0.745</v>
      </c>
      <c r="F86" s="362">
        <v>0</v>
      </c>
      <c r="G86" s="362">
        <v>1.875</v>
      </c>
      <c r="H86" s="362">
        <v>0</v>
      </c>
      <c r="I86" s="362">
        <v>1.23</v>
      </c>
      <c r="J86" s="362">
        <v>0</v>
      </c>
      <c r="K86" s="362">
        <v>2.62</v>
      </c>
      <c r="L86" s="362">
        <v>0</v>
      </c>
      <c r="M86" s="362">
        <v>3.03</v>
      </c>
      <c r="N86" s="362">
        <v>0</v>
      </c>
      <c r="O86" s="362">
        <v>2.65</v>
      </c>
      <c r="P86" s="362">
        <v>0</v>
      </c>
      <c r="Q86" s="362">
        <v>2.46</v>
      </c>
      <c r="R86" s="362">
        <v>0</v>
      </c>
      <c r="S86" s="362">
        <v>1.056</v>
      </c>
      <c r="T86" s="362">
        <v>0</v>
      </c>
      <c r="U86" s="362">
        <v>0</v>
      </c>
      <c r="V86" s="362">
        <v>0</v>
      </c>
      <c r="W86" s="362">
        <v>2.25</v>
      </c>
      <c r="X86" s="362">
        <v>0.42908053753684017</v>
      </c>
      <c r="Y86" s="362">
        <v>1.123574724279129</v>
      </c>
      <c r="Z86" s="362">
        <v>0.21485506256634881</v>
      </c>
      <c r="AA86" s="362">
        <v>0</v>
      </c>
      <c r="AB86" s="362">
        <v>0.37640873659446245</v>
      </c>
      <c r="AC86" s="362">
        <v>2.4444196774732778</v>
      </c>
      <c r="AD86" s="362">
        <v>0.3872591715454039</v>
      </c>
      <c r="AE86" s="362">
        <v>2.4550000000000001</v>
      </c>
      <c r="AF86" s="362">
        <v>0.37696324505833162</v>
      </c>
      <c r="AG86" s="362">
        <v>3.5594193545414816</v>
      </c>
      <c r="AH86" s="362">
        <v>0.46226854415395358</v>
      </c>
      <c r="AI86" s="362">
        <v>0.255</v>
      </c>
      <c r="AJ86" s="362">
        <v>0</v>
      </c>
      <c r="AK86" s="362">
        <v>5.4240000000000004</v>
      </c>
      <c r="AL86" s="362">
        <v>0.36744663443198256</v>
      </c>
      <c r="AM86" s="362">
        <v>2.2000000000000002</v>
      </c>
      <c r="AN86" s="362">
        <v>8.3834222804141628E-2</v>
      </c>
      <c r="AO86" s="362">
        <v>5.5</v>
      </c>
      <c r="AP86" s="362">
        <v>0.36310495633743983</v>
      </c>
      <c r="AQ86" s="362">
        <v>5.0200000000000005</v>
      </c>
      <c r="AR86" s="362">
        <v>0</v>
      </c>
      <c r="AS86" s="362">
        <v>3.52</v>
      </c>
      <c r="AT86" s="362">
        <v>0.44890198445704399</v>
      </c>
      <c r="AU86" s="362">
        <v>4.98001</v>
      </c>
      <c r="AV86" s="362">
        <v>0.15823710543315048</v>
      </c>
      <c r="AW86" s="362">
        <v>2.7250000000000001</v>
      </c>
      <c r="AX86" s="362">
        <v>0</v>
      </c>
      <c r="AY86" s="362">
        <v>4.3850000000000007</v>
      </c>
      <c r="AZ86" s="362">
        <v>0</v>
      </c>
      <c r="BA86" s="362">
        <v>2.3748017091120959</v>
      </c>
      <c r="BB86" s="362">
        <v>0</v>
      </c>
      <c r="BC86" s="362">
        <v>4.8100000000000005</v>
      </c>
      <c r="BD86" s="362">
        <v>0</v>
      </c>
      <c r="BE86" s="362">
        <v>3.44824083</v>
      </c>
      <c r="BF86" s="362">
        <v>0</v>
      </c>
      <c r="BG86" s="362">
        <v>3.6503758300000002</v>
      </c>
      <c r="BH86" s="362">
        <v>0</v>
      </c>
      <c r="BI86" s="362">
        <v>6.0088961700000008</v>
      </c>
      <c r="BJ86" s="362">
        <v>0.48599999999999999</v>
      </c>
      <c r="BK86" s="362">
        <v>5.5942408300000004</v>
      </c>
      <c r="BL86" s="362">
        <v>0</v>
      </c>
      <c r="BM86" s="362">
        <v>5.9854344140871181</v>
      </c>
      <c r="BN86" s="362">
        <v>1</v>
      </c>
      <c r="BO86" s="362">
        <v>0.32</v>
      </c>
      <c r="BP86" s="362">
        <v>0</v>
      </c>
      <c r="BQ86" s="362">
        <v>0</v>
      </c>
      <c r="BR86" s="362">
        <v>0</v>
      </c>
      <c r="BS86" s="362">
        <v>1.8699999999999999</v>
      </c>
      <c r="BT86" s="362">
        <v>0</v>
      </c>
      <c r="BU86" s="362">
        <v>0</v>
      </c>
      <c r="BV86" s="362">
        <v>1.4</v>
      </c>
      <c r="BW86" s="362">
        <v>0.21531260019605783</v>
      </c>
      <c r="BX86" s="362">
        <v>0</v>
      </c>
      <c r="BY86" s="362">
        <v>0.4</v>
      </c>
      <c r="BZ86" s="362">
        <v>0</v>
      </c>
      <c r="CA86" s="362">
        <v>0.1265970120398964</v>
      </c>
      <c r="CB86" s="362">
        <v>0.25</v>
      </c>
      <c r="CC86" s="362">
        <v>0</v>
      </c>
      <c r="CD86" s="362">
        <v>0</v>
      </c>
      <c r="CE86" s="362">
        <v>0</v>
      </c>
      <c r="CF86" s="362">
        <v>0.2</v>
      </c>
      <c r="CG86" s="362">
        <v>0.2</v>
      </c>
      <c r="CH86" s="362">
        <v>0</v>
      </c>
      <c r="CI86" s="362">
        <v>0</v>
      </c>
      <c r="CJ86" s="362">
        <v>0.3</v>
      </c>
      <c r="CK86" s="362">
        <v>0.20170209793466365</v>
      </c>
      <c r="CL86" s="362">
        <v>0</v>
      </c>
      <c r="CM86" s="362">
        <v>0.17318996081358462</v>
      </c>
      <c r="CN86" s="362">
        <v>0</v>
      </c>
      <c r="CO86" s="362">
        <v>0</v>
      </c>
      <c r="CP86" s="362">
        <v>0</v>
      </c>
      <c r="CQ86" s="362">
        <v>0.1612752646332018</v>
      </c>
      <c r="CR86" s="362">
        <v>0</v>
      </c>
      <c r="CS86" s="362">
        <v>0</v>
      </c>
      <c r="CT86" s="362">
        <v>0</v>
      </c>
      <c r="CU86" s="362">
        <v>0.13922461456914909</v>
      </c>
      <c r="CV86" s="362">
        <v>0.2</v>
      </c>
      <c r="CW86" s="362">
        <v>0</v>
      </c>
      <c r="CX86" s="362">
        <v>1.609</v>
      </c>
      <c r="CY86" s="362">
        <v>0.13662833936563884</v>
      </c>
      <c r="CZ86" s="362">
        <v>2.7</v>
      </c>
      <c r="DA86" s="362">
        <v>0.95699999999999996</v>
      </c>
      <c r="DB86" s="362">
        <v>2.3279999999999998</v>
      </c>
      <c r="DC86" s="362">
        <v>1.0020228500000001</v>
      </c>
      <c r="DD86" s="362">
        <v>0</v>
      </c>
      <c r="DE86" s="362">
        <v>3.33</v>
      </c>
      <c r="DF86" s="362">
        <v>0.505</v>
      </c>
      <c r="DG86" s="362">
        <v>0.38589286</v>
      </c>
      <c r="DH86" s="362">
        <v>0.04</v>
      </c>
      <c r="DI86" s="362">
        <v>9.7653017312721385E-2</v>
      </c>
      <c r="DJ86" s="362">
        <v>0.59</v>
      </c>
      <c r="DK86" s="362">
        <v>0</v>
      </c>
      <c r="DL86" s="362">
        <v>0.28499999999999998</v>
      </c>
      <c r="DM86" s="362">
        <v>0</v>
      </c>
      <c r="DN86" s="362">
        <v>0.66500000000000004</v>
      </c>
      <c r="DO86" s="362">
        <v>0</v>
      </c>
      <c r="DP86" s="362">
        <v>0</v>
      </c>
      <c r="DQ86" s="362">
        <v>0.15</v>
      </c>
      <c r="DR86" s="362">
        <v>0</v>
      </c>
      <c r="DS86" s="362">
        <v>0</v>
      </c>
      <c r="DT86" s="362">
        <v>0</v>
      </c>
      <c r="DU86" s="362">
        <v>0</v>
      </c>
      <c r="DV86" s="362">
        <v>0</v>
      </c>
      <c r="DW86" s="362">
        <v>0.30509262219948413</v>
      </c>
      <c r="DX86" s="362">
        <v>0</v>
      </c>
      <c r="DY86" s="362">
        <v>0.3</v>
      </c>
      <c r="DZ86" s="362">
        <v>0</v>
      </c>
      <c r="EA86" s="362">
        <v>0.45472707423580788</v>
      </c>
      <c r="EB86" s="362">
        <v>0</v>
      </c>
      <c r="EC86" s="362">
        <v>0.26391304347826089</v>
      </c>
      <c r="ED86" s="362">
        <v>0</v>
      </c>
      <c r="EE86" s="362">
        <v>0</v>
      </c>
      <c r="EF86" s="362">
        <v>0</v>
      </c>
      <c r="EG86" s="362">
        <f t="shared" si="10"/>
        <v>7.9997336151481274E-2</v>
      </c>
      <c r="EH86" s="362">
        <f t="shared" si="10"/>
        <v>0.2</v>
      </c>
      <c r="EI86" s="362">
        <v>0</v>
      </c>
      <c r="EJ86" s="362">
        <v>0.2</v>
      </c>
      <c r="EL86" s="360"/>
    </row>
    <row r="87" spans="1:142" ht="17.25" x14ac:dyDescent="0.3">
      <c r="A87" s="366" t="s">
        <v>211</v>
      </c>
      <c r="B87" s="365" t="s">
        <v>210</v>
      </c>
      <c r="C87" s="362">
        <v>365.74857977401854</v>
      </c>
      <c r="D87" s="362">
        <v>68.821591462352728</v>
      </c>
      <c r="E87" s="362">
        <v>377.33296952802931</v>
      </c>
      <c r="F87" s="362">
        <v>224.07827610636937</v>
      </c>
      <c r="G87" s="362">
        <v>377.68693622487439</v>
      </c>
      <c r="H87" s="362">
        <v>263.33037604689827</v>
      </c>
      <c r="I87" s="362">
        <v>353.68750065687237</v>
      </c>
      <c r="J87" s="362">
        <v>93.98531301373913</v>
      </c>
      <c r="K87" s="362">
        <v>456.28807740753058</v>
      </c>
      <c r="L87" s="362">
        <v>104.82743583078535</v>
      </c>
      <c r="M87" s="362">
        <v>424.04450019465969</v>
      </c>
      <c r="N87" s="362">
        <v>74.564206845406744</v>
      </c>
      <c r="O87" s="362">
        <v>320.05561032551742</v>
      </c>
      <c r="P87" s="362">
        <v>146.43459287712594</v>
      </c>
      <c r="Q87" s="362">
        <v>256.99264209550466</v>
      </c>
      <c r="R87" s="362">
        <v>82.494220078589976</v>
      </c>
      <c r="S87" s="362">
        <v>362.45744320915753</v>
      </c>
      <c r="T87" s="362">
        <v>53.80280626774055</v>
      </c>
      <c r="U87" s="362">
        <v>215.07819220343671</v>
      </c>
      <c r="V87" s="362">
        <v>92.286991883483665</v>
      </c>
      <c r="W87" s="362">
        <v>271.80704860085365</v>
      </c>
      <c r="X87" s="362">
        <v>65.760307302324463</v>
      </c>
      <c r="Y87" s="362">
        <v>353.57964506388737</v>
      </c>
      <c r="Z87" s="362">
        <v>54.396287788800556</v>
      </c>
      <c r="AA87" s="362">
        <v>361.03979651418621</v>
      </c>
      <c r="AB87" s="362">
        <v>31.533842734605777</v>
      </c>
      <c r="AC87" s="362">
        <v>428.39208027620674</v>
      </c>
      <c r="AD87" s="362">
        <v>55.480549634299024</v>
      </c>
      <c r="AE87" s="362">
        <v>653.32403537799223</v>
      </c>
      <c r="AF87" s="362">
        <v>40.806187980341896</v>
      </c>
      <c r="AG87" s="362">
        <v>629.77532351352443</v>
      </c>
      <c r="AH87" s="362">
        <v>28.212006022282601</v>
      </c>
      <c r="AI87" s="362">
        <v>578.56072765713827</v>
      </c>
      <c r="AJ87" s="362">
        <v>38.334775112488266</v>
      </c>
      <c r="AK87" s="362">
        <v>761.75266044316913</v>
      </c>
      <c r="AL87" s="362">
        <v>128.50342466280003</v>
      </c>
      <c r="AM87" s="362">
        <v>429.30746423958288</v>
      </c>
      <c r="AN87" s="362">
        <v>27.332924842028312</v>
      </c>
      <c r="AO87" s="362">
        <v>638.66902161003713</v>
      </c>
      <c r="AP87" s="362">
        <v>53.843150153622943</v>
      </c>
      <c r="AQ87" s="362">
        <v>479.27523847657011</v>
      </c>
      <c r="AR87" s="362">
        <v>86.844764580006924</v>
      </c>
      <c r="AS87" s="362">
        <v>779.78400790484693</v>
      </c>
      <c r="AT87" s="362">
        <v>187.40908305218426</v>
      </c>
      <c r="AU87" s="362">
        <v>476.21411429527541</v>
      </c>
      <c r="AV87" s="362">
        <v>175.6512458585176</v>
      </c>
      <c r="AW87" s="362">
        <v>593.71230070162881</v>
      </c>
      <c r="AX87" s="362">
        <v>98.326137063235748</v>
      </c>
      <c r="AY87" s="362">
        <v>573.50746938098814</v>
      </c>
      <c r="AZ87" s="362">
        <v>94.883838979811841</v>
      </c>
      <c r="BA87" s="362">
        <v>360.28222142170029</v>
      </c>
      <c r="BB87" s="362">
        <v>94.878434180000028</v>
      </c>
      <c r="BC87" s="362">
        <v>124.6900807311378</v>
      </c>
      <c r="BD87" s="362">
        <v>66.555364872692138</v>
      </c>
      <c r="BE87" s="362">
        <v>72.914123363687139</v>
      </c>
      <c r="BF87" s="362">
        <v>26.021776827668752</v>
      </c>
      <c r="BG87" s="362">
        <v>151.4112473431845</v>
      </c>
      <c r="BH87" s="362">
        <v>8.2172561921141067</v>
      </c>
      <c r="BI87" s="362">
        <v>187.57952111359444</v>
      </c>
      <c r="BJ87" s="362">
        <v>60.856498142110887</v>
      </c>
      <c r="BK87" s="362">
        <v>152.7929118298706</v>
      </c>
      <c r="BL87" s="362">
        <v>105.57003172667225</v>
      </c>
      <c r="BM87" s="362">
        <v>127.21769612539698</v>
      </c>
      <c r="BN87" s="362">
        <v>66.276597395017617</v>
      </c>
      <c r="BO87" s="362">
        <v>145.23498964378868</v>
      </c>
      <c r="BP87" s="362">
        <v>78.381990832115889</v>
      </c>
      <c r="BQ87" s="362">
        <v>207.74496392017576</v>
      </c>
      <c r="BR87" s="362">
        <v>7.9118603297876806</v>
      </c>
      <c r="BS87" s="362">
        <v>180.61629505064309</v>
      </c>
      <c r="BT87" s="362">
        <v>8.0435193760905612</v>
      </c>
      <c r="BU87" s="362">
        <v>126.88289651750245</v>
      </c>
      <c r="BV87" s="362">
        <v>33.562620610864982</v>
      </c>
      <c r="BW87" s="362">
        <v>75.601664046321076</v>
      </c>
      <c r="BX87" s="362">
        <v>56.937787192809431</v>
      </c>
      <c r="BY87" s="362">
        <v>142.49826439998216</v>
      </c>
      <c r="BZ87" s="362">
        <v>12.47077064</v>
      </c>
      <c r="CA87" s="362">
        <v>257.31167249408793</v>
      </c>
      <c r="CB87" s="362">
        <v>19.103857511585645</v>
      </c>
      <c r="CC87" s="362">
        <v>400.35300479866532</v>
      </c>
      <c r="CD87" s="362">
        <v>18.573791619323249</v>
      </c>
      <c r="CE87" s="362">
        <v>463.5150156517816</v>
      </c>
      <c r="CF87" s="362">
        <v>40.354482123252154</v>
      </c>
      <c r="CG87" s="362">
        <v>336.22699325250312</v>
      </c>
      <c r="CH87" s="362">
        <v>73.288149239492554</v>
      </c>
      <c r="CI87" s="362">
        <v>412.02335167185083</v>
      </c>
      <c r="CJ87" s="362">
        <v>199.91579111376961</v>
      </c>
      <c r="CK87" s="362">
        <v>604.20415791797325</v>
      </c>
      <c r="CL87" s="362">
        <v>195.42615674948675</v>
      </c>
      <c r="CM87" s="362">
        <v>514.72742459264214</v>
      </c>
      <c r="CN87" s="362">
        <v>137.36245846409591</v>
      </c>
      <c r="CO87" s="362">
        <v>174.10776595570883</v>
      </c>
      <c r="CP87" s="362">
        <v>99.333164134377895</v>
      </c>
      <c r="CQ87" s="362">
        <v>298.38857200140967</v>
      </c>
      <c r="CR87" s="362">
        <v>51.177290473809236</v>
      </c>
      <c r="CS87" s="362">
        <v>631.4273857072194</v>
      </c>
      <c r="CT87" s="362">
        <v>27.109461107131207</v>
      </c>
      <c r="CU87" s="362">
        <v>480.77584342869818</v>
      </c>
      <c r="CV87" s="362">
        <v>30.876351208859198</v>
      </c>
      <c r="CW87" s="362">
        <v>557.05797108034085</v>
      </c>
      <c r="CX87" s="362">
        <v>17.659784273510493</v>
      </c>
      <c r="CY87" s="362">
        <v>834.77274006723246</v>
      </c>
      <c r="CZ87" s="362">
        <v>169.60950334272258</v>
      </c>
      <c r="DA87" s="362">
        <v>579.79061143397098</v>
      </c>
      <c r="DB87" s="362">
        <v>121.02771141410807</v>
      </c>
      <c r="DC87" s="362">
        <v>487.44689205374237</v>
      </c>
      <c r="DD87" s="362">
        <v>338.53984580421354</v>
      </c>
      <c r="DE87" s="362">
        <v>343.0300594903876</v>
      </c>
      <c r="DF87" s="362">
        <v>273.64158665116076</v>
      </c>
      <c r="DG87" s="362">
        <v>501.85342469621526</v>
      </c>
      <c r="DH87" s="362">
        <v>200.7882377495867</v>
      </c>
      <c r="DI87" s="362">
        <v>304.71863640197142</v>
      </c>
      <c r="DJ87" s="362">
        <v>90.401983610000002</v>
      </c>
      <c r="DK87" s="362">
        <v>84.248217853312966</v>
      </c>
      <c r="DL87" s="362">
        <v>249.36585638219114</v>
      </c>
      <c r="DM87" s="362">
        <v>111.28308931932196</v>
      </c>
      <c r="DN87" s="362">
        <v>215.13952784131988</v>
      </c>
      <c r="DO87" s="362">
        <v>129.1976160428722</v>
      </c>
      <c r="DP87" s="362">
        <v>306.54337976959152</v>
      </c>
      <c r="DQ87" s="362">
        <v>128.22421300662702</v>
      </c>
      <c r="DR87" s="362">
        <v>152.38995390902124</v>
      </c>
      <c r="DS87" s="362">
        <v>146.52065311215514</v>
      </c>
      <c r="DT87" s="362">
        <v>137.51176467321088</v>
      </c>
      <c r="DU87" s="362">
        <v>139.428934879509</v>
      </c>
      <c r="DV87" s="362">
        <v>102.16149690127251</v>
      </c>
      <c r="DW87" s="362">
        <v>274.77407922436811</v>
      </c>
      <c r="DX87" s="362">
        <v>154.9653107335678</v>
      </c>
      <c r="DY87" s="362">
        <v>267.68289735586649</v>
      </c>
      <c r="DZ87" s="362">
        <v>245.10571152784539</v>
      </c>
      <c r="EA87" s="362">
        <v>233.06378048755462</v>
      </c>
      <c r="EB87" s="362">
        <v>74.233488969475971</v>
      </c>
      <c r="EC87" s="362">
        <v>155.98755406391305</v>
      </c>
      <c r="ED87" s="362">
        <v>37.386400630434778</v>
      </c>
      <c r="EE87" s="362">
        <v>231.69785818099268</v>
      </c>
      <c r="EF87" s="362">
        <v>12.444886637874861</v>
      </c>
      <c r="EG87" s="362">
        <f t="shared" si="10"/>
        <v>236.44916421296625</v>
      </c>
      <c r="EH87" s="362">
        <f t="shared" si="10"/>
        <v>37.214088295130807</v>
      </c>
      <c r="EI87" s="362">
        <v>144.33279797950956</v>
      </c>
      <c r="EJ87" s="362">
        <v>28.20778989645601</v>
      </c>
      <c r="EL87" s="360"/>
    </row>
    <row r="88" spans="1:142" s="367" customFormat="1" ht="17.25" x14ac:dyDescent="0.3">
      <c r="A88" s="366" t="s">
        <v>209</v>
      </c>
      <c r="B88" s="365" t="s">
        <v>208</v>
      </c>
      <c r="C88" s="362"/>
      <c r="D88" s="362"/>
      <c r="E88" s="362"/>
      <c r="F88" s="362"/>
      <c r="G88" s="362"/>
      <c r="H88" s="362"/>
      <c r="I88" s="362"/>
      <c r="J88" s="362"/>
      <c r="K88" s="362">
        <v>0</v>
      </c>
      <c r="L88" s="362">
        <v>0</v>
      </c>
      <c r="M88" s="362">
        <v>0</v>
      </c>
      <c r="N88" s="362">
        <v>0</v>
      </c>
      <c r="O88" s="362">
        <v>0.72709426967004509</v>
      </c>
      <c r="P88" s="362">
        <v>0</v>
      </c>
      <c r="Q88" s="362">
        <v>0.40929959241272296</v>
      </c>
      <c r="R88" s="362">
        <v>0</v>
      </c>
      <c r="S88" s="362">
        <v>1.7130392838007538</v>
      </c>
      <c r="T88" s="362">
        <v>0</v>
      </c>
      <c r="U88" s="362">
        <v>0.56741526206523463</v>
      </c>
      <c r="V88" s="362">
        <v>0</v>
      </c>
      <c r="W88" s="362">
        <v>1.4940023513631042</v>
      </c>
      <c r="X88" s="362">
        <v>0</v>
      </c>
      <c r="Y88" s="362">
        <v>1.7013210999898702</v>
      </c>
      <c r="Z88" s="362">
        <v>0</v>
      </c>
      <c r="AA88" s="362">
        <v>1.9679250700080972</v>
      </c>
      <c r="AB88" s="362">
        <v>0</v>
      </c>
      <c r="AC88" s="362">
        <v>3.300148523462779</v>
      </c>
      <c r="AD88" s="362">
        <v>0</v>
      </c>
      <c r="AE88" s="362">
        <v>0.67022254337977905</v>
      </c>
      <c r="AF88" s="362">
        <v>0</v>
      </c>
      <c r="AG88" s="362">
        <v>2.9268076551360944</v>
      </c>
      <c r="AH88" s="362">
        <v>0</v>
      </c>
      <c r="AI88" s="362">
        <v>1.5556866918125962</v>
      </c>
      <c r="AJ88" s="362">
        <v>0</v>
      </c>
      <c r="AK88" s="362">
        <v>0</v>
      </c>
      <c r="AL88" s="362">
        <v>0</v>
      </c>
      <c r="AM88" s="362">
        <v>0</v>
      </c>
      <c r="AN88" s="362">
        <v>0</v>
      </c>
      <c r="AO88" s="362">
        <v>0</v>
      </c>
      <c r="AP88" s="362">
        <v>0</v>
      </c>
      <c r="AQ88" s="362">
        <v>0</v>
      </c>
      <c r="AR88" s="362">
        <v>0</v>
      </c>
      <c r="AS88" s="362">
        <v>0</v>
      </c>
      <c r="AT88" s="362">
        <v>0</v>
      </c>
      <c r="AU88" s="362">
        <v>0</v>
      </c>
      <c r="AV88" s="362">
        <v>0</v>
      </c>
      <c r="AW88" s="362">
        <v>0</v>
      </c>
      <c r="AX88" s="362">
        <v>0</v>
      </c>
      <c r="AY88" s="362">
        <v>0</v>
      </c>
      <c r="AZ88" s="362">
        <v>0</v>
      </c>
      <c r="BA88" s="362">
        <v>0</v>
      </c>
      <c r="BB88" s="362">
        <v>0</v>
      </c>
      <c r="BC88" s="362">
        <v>0</v>
      </c>
      <c r="BD88" s="362">
        <v>0</v>
      </c>
      <c r="BE88" s="362">
        <v>0</v>
      </c>
      <c r="BF88" s="362">
        <v>0</v>
      </c>
      <c r="BG88" s="362">
        <v>0</v>
      </c>
      <c r="BH88" s="362">
        <v>0</v>
      </c>
      <c r="BI88" s="362">
        <v>0</v>
      </c>
      <c r="BJ88" s="362">
        <v>0</v>
      </c>
      <c r="BK88" s="362">
        <v>0</v>
      </c>
      <c r="BL88" s="362">
        <v>0</v>
      </c>
      <c r="BM88" s="362">
        <v>0</v>
      </c>
      <c r="BN88" s="362">
        <v>0</v>
      </c>
      <c r="BO88" s="362">
        <v>0</v>
      </c>
      <c r="BP88" s="362">
        <v>2.9331967878825091</v>
      </c>
      <c r="BQ88" s="362">
        <v>0</v>
      </c>
      <c r="BR88" s="362">
        <v>0</v>
      </c>
      <c r="BS88" s="362">
        <v>0</v>
      </c>
      <c r="BT88" s="362">
        <v>0</v>
      </c>
      <c r="BU88" s="362">
        <v>0</v>
      </c>
      <c r="BV88" s="362">
        <v>0</v>
      </c>
      <c r="BW88" s="362">
        <v>0</v>
      </c>
      <c r="BX88" s="362">
        <v>0</v>
      </c>
      <c r="BY88" s="362">
        <v>0</v>
      </c>
      <c r="BZ88" s="362">
        <v>0</v>
      </c>
      <c r="CA88" s="362">
        <v>0</v>
      </c>
      <c r="CB88" s="362">
        <v>2.9670958197829496</v>
      </c>
      <c r="CC88" s="362">
        <v>0</v>
      </c>
      <c r="CD88" s="362">
        <v>0</v>
      </c>
      <c r="CE88" s="362">
        <v>0</v>
      </c>
      <c r="CF88" s="362">
        <v>0</v>
      </c>
      <c r="CG88" s="362">
        <v>0</v>
      </c>
      <c r="CH88" s="362">
        <v>0</v>
      </c>
      <c r="CI88" s="362">
        <v>0</v>
      </c>
      <c r="CJ88" s="362">
        <v>0</v>
      </c>
      <c r="CK88" s="362">
        <v>0</v>
      </c>
      <c r="CL88" s="362">
        <v>0</v>
      </c>
      <c r="CM88" s="362">
        <v>0</v>
      </c>
      <c r="CN88" s="362">
        <v>2.9103272952043291</v>
      </c>
      <c r="CO88" s="362">
        <v>0</v>
      </c>
      <c r="CP88" s="362">
        <v>0</v>
      </c>
      <c r="CQ88" s="362">
        <v>0</v>
      </c>
      <c r="CR88" s="362">
        <v>0</v>
      </c>
      <c r="CS88" s="362">
        <v>0</v>
      </c>
      <c r="CT88" s="362">
        <v>2.8547259061406263</v>
      </c>
      <c r="CU88" s="362">
        <v>0</v>
      </c>
      <c r="CV88" s="362">
        <v>0</v>
      </c>
      <c r="CW88" s="362">
        <v>0</v>
      </c>
      <c r="CX88" s="362">
        <v>0</v>
      </c>
      <c r="CY88" s="362">
        <v>0.37410180247993113</v>
      </c>
      <c r="CZ88" s="362">
        <v>0</v>
      </c>
      <c r="DA88" s="362">
        <v>0</v>
      </c>
      <c r="DB88" s="362">
        <v>0</v>
      </c>
      <c r="DC88" s="362">
        <v>0</v>
      </c>
      <c r="DD88" s="362">
        <v>0</v>
      </c>
      <c r="DE88" s="362">
        <v>0.35937628424945939</v>
      </c>
      <c r="DF88" s="362">
        <v>2.6538681663780967</v>
      </c>
      <c r="DG88" s="362">
        <v>0</v>
      </c>
      <c r="DH88" s="362">
        <v>0</v>
      </c>
      <c r="DI88" s="362">
        <v>0</v>
      </c>
      <c r="DJ88" s="362">
        <v>0</v>
      </c>
      <c r="DK88" s="362">
        <v>0.34520651837881233</v>
      </c>
      <c r="DL88" s="362">
        <v>5.6369785800000001</v>
      </c>
      <c r="DM88" s="362">
        <v>0.38764439196640416</v>
      </c>
      <c r="DN88" s="362">
        <v>1.4812078752037918</v>
      </c>
      <c r="DO88" s="362">
        <v>0</v>
      </c>
      <c r="DP88" s="362">
        <v>0</v>
      </c>
      <c r="DQ88" s="362">
        <v>0.36057363275802246</v>
      </c>
      <c r="DR88" s="362">
        <v>2.6786709500452401</v>
      </c>
      <c r="DS88" s="362">
        <v>0</v>
      </c>
      <c r="DT88" s="362">
        <v>5.5369785800000004</v>
      </c>
      <c r="DU88" s="362">
        <v>0</v>
      </c>
      <c r="DV88" s="362">
        <v>0</v>
      </c>
      <c r="DW88" s="362">
        <v>0.36166570740338089</v>
      </c>
      <c r="DX88" s="362">
        <v>0</v>
      </c>
      <c r="DY88" s="362">
        <v>0</v>
      </c>
      <c r="DZ88" s="362">
        <v>5.392842628319789</v>
      </c>
      <c r="EA88" s="362">
        <v>0</v>
      </c>
      <c r="EB88" s="362">
        <v>2.1389785800000003</v>
      </c>
      <c r="EC88" s="362">
        <v>0</v>
      </c>
      <c r="ED88" s="362">
        <v>0.93897858000000001</v>
      </c>
      <c r="EE88" s="362">
        <v>0</v>
      </c>
      <c r="EF88" s="362">
        <v>0</v>
      </c>
      <c r="EG88" s="362">
        <f t="shared" si="10"/>
        <v>0</v>
      </c>
      <c r="EH88" s="362">
        <f t="shared" si="10"/>
        <v>0</v>
      </c>
      <c r="EI88" s="362">
        <v>0.36056815978281948</v>
      </c>
      <c r="EJ88" s="362">
        <v>0</v>
      </c>
      <c r="EL88" s="360"/>
    </row>
    <row r="89" spans="1:142" ht="17.25" x14ac:dyDescent="0.3">
      <c r="A89" s="366" t="s">
        <v>207</v>
      </c>
      <c r="B89" s="365" t="s">
        <v>206</v>
      </c>
      <c r="C89" s="362">
        <v>6.5140206464881487</v>
      </c>
      <c r="D89" s="362">
        <v>0.42076662043700075</v>
      </c>
      <c r="E89" s="362">
        <v>20.10223516549728</v>
      </c>
      <c r="F89" s="362">
        <v>0</v>
      </c>
      <c r="G89" s="362">
        <v>5.1016787868205524</v>
      </c>
      <c r="H89" s="362">
        <v>0</v>
      </c>
      <c r="I89" s="362">
        <v>0</v>
      </c>
      <c r="J89" s="362">
        <v>0.5</v>
      </c>
      <c r="K89" s="362">
        <v>4.7421232562140005</v>
      </c>
      <c r="L89" s="362">
        <v>1.49</v>
      </c>
      <c r="M89" s="362">
        <v>8.6622203431744964</v>
      </c>
      <c r="N89" s="362">
        <v>2.2821905622274565</v>
      </c>
      <c r="O89" s="362">
        <v>0</v>
      </c>
      <c r="P89" s="362">
        <v>0.15</v>
      </c>
      <c r="Q89" s="362">
        <v>11.04628252593236</v>
      </c>
      <c r="R89" s="362">
        <v>0</v>
      </c>
      <c r="S89" s="362">
        <v>0.5</v>
      </c>
      <c r="T89" s="362">
        <v>0</v>
      </c>
      <c r="U89" s="362">
        <v>0</v>
      </c>
      <c r="V89" s="362">
        <v>0.23601882598601465</v>
      </c>
      <c r="W89" s="362">
        <v>4.5253896802497549</v>
      </c>
      <c r="X89" s="362">
        <v>0</v>
      </c>
      <c r="Y89" s="362">
        <v>0</v>
      </c>
      <c r="Z89" s="362">
        <v>0</v>
      </c>
      <c r="AA89" s="362">
        <v>0</v>
      </c>
      <c r="AB89" s="362">
        <v>4.5813989976318625</v>
      </c>
      <c r="AC89" s="362">
        <v>0</v>
      </c>
      <c r="AD89" s="362">
        <v>0</v>
      </c>
      <c r="AE89" s="362">
        <v>0.5</v>
      </c>
      <c r="AF89" s="362">
        <v>0</v>
      </c>
      <c r="AG89" s="362">
        <v>0</v>
      </c>
      <c r="AH89" s="362">
        <v>0</v>
      </c>
      <c r="AI89" s="362">
        <v>0.47499999999999998</v>
      </c>
      <c r="AJ89" s="362">
        <v>0</v>
      </c>
      <c r="AK89" s="362">
        <v>0</v>
      </c>
      <c r="AL89" s="362">
        <v>0</v>
      </c>
      <c r="AM89" s="362">
        <v>6.2176721663258858</v>
      </c>
      <c r="AN89" s="362">
        <v>0</v>
      </c>
      <c r="AO89" s="362">
        <v>5.1572210036771322</v>
      </c>
      <c r="AP89" s="362">
        <v>0</v>
      </c>
      <c r="AQ89" s="362">
        <v>3.4824082388021953</v>
      </c>
      <c r="AR89" s="362">
        <v>0</v>
      </c>
      <c r="AS89" s="362">
        <v>0</v>
      </c>
      <c r="AT89" s="362">
        <v>0</v>
      </c>
      <c r="AU89" s="362">
        <v>0.30172239096774134</v>
      </c>
      <c r="AV89" s="362">
        <v>0</v>
      </c>
      <c r="AW89" s="362">
        <v>0.90978423010795062</v>
      </c>
      <c r="AX89" s="362">
        <v>0</v>
      </c>
      <c r="AY89" s="362">
        <v>0.90163481345793484</v>
      </c>
      <c r="AZ89" s="362">
        <v>0</v>
      </c>
      <c r="BA89" s="362">
        <v>1.0074754592546853</v>
      </c>
      <c r="BB89" s="362">
        <v>0</v>
      </c>
      <c r="BC89" s="362">
        <v>0</v>
      </c>
      <c r="BD89" s="362">
        <v>0</v>
      </c>
      <c r="BE89" s="362">
        <v>0</v>
      </c>
      <c r="BF89" s="362">
        <v>0</v>
      </c>
      <c r="BG89" s="362">
        <v>0.48</v>
      </c>
      <c r="BH89" s="362">
        <v>0</v>
      </c>
      <c r="BI89" s="362">
        <v>0</v>
      </c>
      <c r="BJ89" s="362">
        <v>0</v>
      </c>
      <c r="BK89" s="362">
        <v>0</v>
      </c>
      <c r="BL89" s="362">
        <v>0</v>
      </c>
      <c r="BM89" s="362">
        <v>0.11711022405395669</v>
      </c>
      <c r="BN89" s="362">
        <v>0</v>
      </c>
      <c r="BO89" s="362">
        <v>0.48</v>
      </c>
      <c r="BP89" s="362">
        <v>0</v>
      </c>
      <c r="BQ89" s="362">
        <v>2.8600000000000003</v>
      </c>
      <c r="BR89" s="362">
        <v>0</v>
      </c>
      <c r="BS89" s="362">
        <v>2.84</v>
      </c>
      <c r="BT89" s="362">
        <v>0</v>
      </c>
      <c r="BU89" s="362">
        <v>1.4550000000000001</v>
      </c>
      <c r="BV89" s="362">
        <v>0</v>
      </c>
      <c r="BW89" s="362">
        <v>1.4550000000000001</v>
      </c>
      <c r="BX89" s="362">
        <v>0</v>
      </c>
      <c r="BY89" s="362">
        <v>0.76</v>
      </c>
      <c r="BZ89" s="362">
        <v>0</v>
      </c>
      <c r="CA89" s="362">
        <v>1.4550000000000001</v>
      </c>
      <c r="CB89" s="362">
        <v>0</v>
      </c>
      <c r="CC89" s="362">
        <v>1.4870659631839427</v>
      </c>
      <c r="CD89" s="362">
        <v>0</v>
      </c>
      <c r="CE89" s="362">
        <v>2.8414081970253671</v>
      </c>
      <c r="CF89" s="362">
        <v>0</v>
      </c>
      <c r="CG89" s="362">
        <v>6.2955319547837956</v>
      </c>
      <c r="CH89" s="362">
        <v>0</v>
      </c>
      <c r="CI89" s="362">
        <v>2.9408157649058762</v>
      </c>
      <c r="CJ89" s="362">
        <v>0</v>
      </c>
      <c r="CK89" s="362">
        <v>0.52183796307076169</v>
      </c>
      <c r="CL89" s="362">
        <v>0.29154306470766289</v>
      </c>
      <c r="CM89" s="362">
        <v>2.9098245941406978E-2</v>
      </c>
      <c r="CN89" s="362">
        <v>0</v>
      </c>
      <c r="CO89" s="362">
        <v>0.28944055814126324</v>
      </c>
      <c r="CP89" s="362">
        <v>0.41312486645671342</v>
      </c>
      <c r="CQ89" s="362">
        <v>1.8100173348578172</v>
      </c>
      <c r="CR89" s="362">
        <v>0</v>
      </c>
      <c r="CS89" s="362">
        <v>2.4567595939407414</v>
      </c>
      <c r="CT89" s="362">
        <v>0</v>
      </c>
      <c r="CU89" s="362">
        <v>1.2827526205642323</v>
      </c>
      <c r="CV89" s="362">
        <v>0</v>
      </c>
      <c r="CW89" s="362">
        <v>0.55467003794967173</v>
      </c>
      <c r="CX89" s="362">
        <v>0</v>
      </c>
      <c r="CY89" s="362">
        <v>0.88426988069106338</v>
      </c>
      <c r="CZ89" s="362">
        <v>0</v>
      </c>
      <c r="DA89" s="362">
        <v>0.15</v>
      </c>
      <c r="DB89" s="362">
        <v>0</v>
      </c>
      <c r="DC89" s="362">
        <v>0.22</v>
      </c>
      <c r="DD89" s="362">
        <v>0</v>
      </c>
      <c r="DE89" s="362">
        <v>0.93507535386335916</v>
      </c>
      <c r="DF89" s="362">
        <v>0</v>
      </c>
      <c r="DG89" s="362">
        <v>0.88</v>
      </c>
      <c r="DH89" s="362">
        <v>0</v>
      </c>
      <c r="DI89" s="362">
        <v>0.42</v>
      </c>
      <c r="DJ89" s="362">
        <v>0</v>
      </c>
      <c r="DK89" s="362">
        <v>0.56111885343433698</v>
      </c>
      <c r="DL89" s="362">
        <v>0</v>
      </c>
      <c r="DM89" s="362">
        <v>0.29218139084134431</v>
      </c>
      <c r="DN89" s="362">
        <v>0</v>
      </c>
      <c r="DO89" s="362">
        <v>0.46633672678986388</v>
      </c>
      <c r="DP89" s="362">
        <v>0</v>
      </c>
      <c r="DQ89" s="362">
        <v>0.15668982196431125</v>
      </c>
      <c r="DR89" s="362">
        <v>0</v>
      </c>
      <c r="DS89" s="362">
        <v>0</v>
      </c>
      <c r="DT89" s="362">
        <v>0.43726846134848113</v>
      </c>
      <c r="DU89" s="362">
        <v>0.42446149434775426</v>
      </c>
      <c r="DV89" s="362">
        <v>1.3381507033809208</v>
      </c>
      <c r="DW89" s="362">
        <v>0.21316961906589074</v>
      </c>
      <c r="DX89" s="362">
        <v>0.80498177399756987</v>
      </c>
      <c r="DY89" s="362">
        <v>0</v>
      </c>
      <c r="DZ89" s="362">
        <v>0.54755106523171537</v>
      </c>
      <c r="EA89" s="362">
        <v>1.4061135371179041</v>
      </c>
      <c r="EB89" s="362">
        <v>0</v>
      </c>
      <c r="EC89" s="362">
        <v>0.82456521739130428</v>
      </c>
      <c r="ED89" s="362">
        <v>0.49275000000000002</v>
      </c>
      <c r="EE89" s="362">
        <v>0</v>
      </c>
      <c r="EF89" s="362">
        <v>1.5049807278370126</v>
      </c>
      <c r="EG89" s="362">
        <f t="shared" si="10"/>
        <v>0.6492803242034656</v>
      </c>
      <c r="EH89" s="362">
        <f t="shared" si="10"/>
        <v>0.66135498183342656</v>
      </c>
      <c r="EI89" s="362">
        <v>2.3315612494931863</v>
      </c>
      <c r="EJ89" s="362">
        <v>0</v>
      </c>
      <c r="EL89" s="360"/>
    </row>
    <row r="90" spans="1:142" ht="17.25" x14ac:dyDescent="0.3">
      <c r="A90" s="366" t="s">
        <v>205</v>
      </c>
      <c r="B90" s="365" t="s">
        <v>204</v>
      </c>
      <c r="C90" s="362">
        <v>0.69584757983596568</v>
      </c>
      <c r="D90" s="362">
        <v>0</v>
      </c>
      <c r="E90" s="362">
        <v>0</v>
      </c>
      <c r="F90" s="362">
        <v>0</v>
      </c>
      <c r="G90" s="362">
        <v>0</v>
      </c>
      <c r="H90" s="362">
        <v>0</v>
      </c>
      <c r="I90" s="362">
        <v>0</v>
      </c>
      <c r="J90" s="362">
        <v>0</v>
      </c>
      <c r="K90" s="362">
        <v>0.64500000000000002</v>
      </c>
      <c r="L90" s="362">
        <v>0</v>
      </c>
      <c r="M90" s="362">
        <v>0</v>
      </c>
      <c r="N90" s="362">
        <v>0</v>
      </c>
      <c r="O90" s="362">
        <v>0</v>
      </c>
      <c r="P90" s="362">
        <v>0</v>
      </c>
      <c r="Q90" s="362">
        <v>0</v>
      </c>
      <c r="R90" s="362">
        <v>0</v>
      </c>
      <c r="S90" s="362">
        <v>0</v>
      </c>
      <c r="T90" s="362">
        <v>0</v>
      </c>
      <c r="U90" s="362">
        <v>0</v>
      </c>
      <c r="V90" s="362">
        <v>0</v>
      </c>
      <c r="W90" s="362">
        <v>0</v>
      </c>
      <c r="X90" s="362">
        <v>0</v>
      </c>
      <c r="Y90" s="362">
        <v>0</v>
      </c>
      <c r="Z90" s="362">
        <v>0</v>
      </c>
      <c r="AA90" s="362">
        <v>0</v>
      </c>
      <c r="AB90" s="362">
        <v>0</v>
      </c>
      <c r="AC90" s="362">
        <v>0</v>
      </c>
      <c r="AD90" s="362">
        <v>0</v>
      </c>
      <c r="AE90" s="362">
        <v>0</v>
      </c>
      <c r="AF90" s="362">
        <v>0</v>
      </c>
      <c r="AG90" s="362">
        <v>0</v>
      </c>
      <c r="AH90" s="362">
        <v>0</v>
      </c>
      <c r="AI90" s="362">
        <v>0</v>
      </c>
      <c r="AJ90" s="362">
        <v>0</v>
      </c>
      <c r="AK90" s="362">
        <v>0</v>
      </c>
      <c r="AL90" s="362">
        <v>0</v>
      </c>
      <c r="AM90" s="362">
        <v>0</v>
      </c>
      <c r="AN90" s="362">
        <v>0</v>
      </c>
      <c r="AO90" s="362">
        <v>0</v>
      </c>
      <c r="AP90" s="362">
        <v>0</v>
      </c>
      <c r="AQ90" s="362">
        <v>0</v>
      </c>
      <c r="AR90" s="362">
        <v>0</v>
      </c>
      <c r="AS90" s="362">
        <v>0</v>
      </c>
      <c r="AT90" s="362">
        <v>0</v>
      </c>
      <c r="AU90" s="362">
        <v>0</v>
      </c>
      <c r="AV90" s="362">
        <v>0</v>
      </c>
      <c r="AW90" s="362">
        <v>0</v>
      </c>
      <c r="AX90" s="362">
        <v>0</v>
      </c>
      <c r="AY90" s="362">
        <v>0</v>
      </c>
      <c r="AZ90" s="362">
        <v>0</v>
      </c>
      <c r="BA90" s="362">
        <v>0</v>
      </c>
      <c r="BB90" s="362">
        <v>0</v>
      </c>
      <c r="BC90" s="362">
        <v>0</v>
      </c>
      <c r="BD90" s="362">
        <v>0</v>
      </c>
      <c r="BE90" s="362">
        <v>0</v>
      </c>
      <c r="BF90" s="362">
        <v>0</v>
      </c>
      <c r="BG90" s="362">
        <v>0</v>
      </c>
      <c r="BH90" s="362">
        <v>0</v>
      </c>
      <c r="BI90" s="362">
        <v>0</v>
      </c>
      <c r="BJ90" s="362">
        <v>0</v>
      </c>
      <c r="BK90" s="362">
        <v>0</v>
      </c>
      <c r="BL90" s="362">
        <v>0</v>
      </c>
      <c r="BM90" s="362">
        <v>0</v>
      </c>
      <c r="BN90" s="362">
        <v>0</v>
      </c>
      <c r="BO90" s="362">
        <v>0.36281278378163884</v>
      </c>
      <c r="BP90" s="362">
        <v>0</v>
      </c>
      <c r="BQ90" s="362">
        <v>0</v>
      </c>
      <c r="BR90" s="362">
        <v>0</v>
      </c>
      <c r="BS90" s="362">
        <v>0.12995889812847708</v>
      </c>
      <c r="BT90" s="362">
        <v>0</v>
      </c>
      <c r="BU90" s="362">
        <v>0.18292203580018818</v>
      </c>
      <c r="BV90" s="362">
        <v>0</v>
      </c>
      <c r="BW90" s="362">
        <v>0</v>
      </c>
      <c r="BX90" s="362">
        <v>0</v>
      </c>
      <c r="BY90" s="362">
        <v>0.13426107323750916</v>
      </c>
      <c r="BZ90" s="362">
        <v>0</v>
      </c>
      <c r="CA90" s="362">
        <v>0.17575647950717391</v>
      </c>
      <c r="CB90" s="362">
        <v>0</v>
      </c>
      <c r="CC90" s="362">
        <v>0.13235609751000157</v>
      </c>
      <c r="CD90" s="362">
        <v>0</v>
      </c>
      <c r="CE90" s="362">
        <v>0.33387211918772952</v>
      </c>
      <c r="CF90" s="362">
        <v>0</v>
      </c>
      <c r="CG90" s="362">
        <v>0.18290132736073089</v>
      </c>
      <c r="CH90" s="362">
        <v>0</v>
      </c>
      <c r="CI90" s="362">
        <v>0.2</v>
      </c>
      <c r="CJ90" s="362">
        <v>0</v>
      </c>
      <c r="CK90" s="362">
        <v>0.13321652269075837</v>
      </c>
      <c r="CL90" s="362">
        <v>0</v>
      </c>
      <c r="CM90" s="362">
        <v>0</v>
      </c>
      <c r="CN90" s="362">
        <v>0</v>
      </c>
      <c r="CO90" s="362">
        <v>0.17157409213790026</v>
      </c>
      <c r="CP90" s="362">
        <v>0</v>
      </c>
      <c r="CQ90" s="362">
        <v>0.13042636373695277</v>
      </c>
      <c r="CR90" s="362">
        <v>0</v>
      </c>
      <c r="CS90" s="362">
        <v>0</v>
      </c>
      <c r="CT90" s="362">
        <v>0</v>
      </c>
      <c r="CU90" s="362">
        <v>0.16844036445719821</v>
      </c>
      <c r="CV90" s="362">
        <v>0</v>
      </c>
      <c r="CW90" s="362">
        <v>0.61359321317074167</v>
      </c>
      <c r="CX90" s="362">
        <v>0</v>
      </c>
      <c r="CY90" s="362">
        <v>0</v>
      </c>
      <c r="CZ90" s="362">
        <v>0</v>
      </c>
      <c r="DA90" s="362">
        <v>0.16236067042784125</v>
      </c>
      <c r="DB90" s="362">
        <v>0</v>
      </c>
      <c r="DC90" s="362">
        <v>0.11821791927995252</v>
      </c>
      <c r="DD90" s="362">
        <v>0</v>
      </c>
      <c r="DE90" s="362">
        <v>35.818259281965595</v>
      </c>
      <c r="DF90" s="362">
        <v>0</v>
      </c>
      <c r="DG90" s="362">
        <v>27.070889452220875</v>
      </c>
      <c r="DH90" s="362">
        <v>0</v>
      </c>
      <c r="DI90" s="362">
        <v>4.1086848290244626</v>
      </c>
      <c r="DJ90" s="362">
        <v>0</v>
      </c>
      <c r="DK90" s="362">
        <v>2.903664530793713</v>
      </c>
      <c r="DL90" s="362">
        <v>0</v>
      </c>
      <c r="DM90" s="362">
        <v>3.7793998355853096</v>
      </c>
      <c r="DN90" s="362">
        <v>0.78846692702705712</v>
      </c>
      <c r="DO90" s="362">
        <v>1.945521247117858</v>
      </c>
      <c r="DP90" s="362">
        <v>0</v>
      </c>
      <c r="DQ90" s="362">
        <v>1.9061095879849153</v>
      </c>
      <c r="DR90" s="362">
        <v>0</v>
      </c>
      <c r="DS90" s="362">
        <v>1.8904510653584499</v>
      </c>
      <c r="DT90" s="362">
        <v>0.43</v>
      </c>
      <c r="DU90" s="362">
        <v>3.7774209945519477</v>
      </c>
      <c r="DV90" s="362">
        <v>0</v>
      </c>
      <c r="DW90" s="362">
        <v>1.9115708469228965</v>
      </c>
      <c r="DX90" s="362">
        <v>0</v>
      </c>
      <c r="DY90" s="362">
        <v>2.0366703272567537</v>
      </c>
      <c r="DZ90" s="362">
        <v>0</v>
      </c>
      <c r="EA90" s="362">
        <v>2.0599563318777294</v>
      </c>
      <c r="EB90" s="362">
        <v>0</v>
      </c>
      <c r="EC90" s="362">
        <v>3.1452445652173902</v>
      </c>
      <c r="ED90" s="362">
        <v>0</v>
      </c>
      <c r="EE90" s="362">
        <v>2.044273904120173</v>
      </c>
      <c r="EF90" s="362">
        <v>0</v>
      </c>
      <c r="EG90" s="362">
        <f t="shared" si="10"/>
        <v>2.0333799434041362</v>
      </c>
      <c r="EH90" s="362">
        <f t="shared" si="10"/>
        <v>0</v>
      </c>
      <c r="EI90" s="362">
        <v>1.8547781479718652</v>
      </c>
      <c r="EJ90" s="362">
        <v>0</v>
      </c>
      <c r="EL90" s="360"/>
    </row>
    <row r="91" spans="1:142" s="367" customFormat="1" ht="17.25" x14ac:dyDescent="0.3">
      <c r="A91" s="366" t="s">
        <v>203</v>
      </c>
      <c r="B91" s="365" t="s">
        <v>202</v>
      </c>
      <c r="C91" s="371"/>
      <c r="D91" s="371"/>
      <c r="E91" s="371"/>
      <c r="F91" s="371"/>
      <c r="G91" s="371"/>
      <c r="H91" s="371"/>
      <c r="I91" s="371"/>
      <c r="J91" s="371"/>
      <c r="K91" s="372"/>
      <c r="L91" s="371"/>
      <c r="M91" s="371"/>
      <c r="N91" s="371"/>
      <c r="O91" s="372"/>
      <c r="P91" s="371"/>
      <c r="Q91" s="371"/>
      <c r="R91" s="370"/>
      <c r="S91" s="369"/>
      <c r="T91" s="369"/>
      <c r="U91" s="369"/>
      <c r="V91" s="369"/>
      <c r="W91" s="369"/>
      <c r="X91" s="369"/>
      <c r="Y91" s="369"/>
      <c r="Z91" s="369"/>
      <c r="AA91" s="369"/>
      <c r="AB91" s="369"/>
      <c r="AC91" s="369"/>
      <c r="AD91" s="369"/>
      <c r="AE91" s="369"/>
      <c r="AF91" s="369"/>
      <c r="AG91" s="368"/>
      <c r="AH91" s="362"/>
      <c r="AI91" s="362"/>
      <c r="AJ91" s="362"/>
      <c r="AK91" s="362"/>
      <c r="AL91" s="362"/>
      <c r="AM91" s="362"/>
      <c r="AN91" s="362"/>
      <c r="AO91" s="362"/>
      <c r="AP91" s="362"/>
      <c r="AQ91" s="362"/>
      <c r="AR91" s="362"/>
      <c r="AS91" s="362"/>
      <c r="AT91" s="362"/>
      <c r="AU91" s="362"/>
      <c r="AV91" s="362"/>
      <c r="AW91" s="362"/>
      <c r="AX91" s="362"/>
      <c r="AY91" s="362"/>
      <c r="AZ91" s="362"/>
      <c r="BA91" s="362"/>
      <c r="BB91" s="362"/>
      <c r="BC91" s="362"/>
      <c r="BD91" s="362"/>
      <c r="BE91" s="362"/>
      <c r="BF91" s="362"/>
      <c r="BG91" s="362"/>
      <c r="BH91" s="362"/>
      <c r="BI91" s="362"/>
      <c r="BJ91" s="362"/>
      <c r="BK91" s="362"/>
      <c r="BL91" s="362"/>
      <c r="BM91" s="362"/>
      <c r="BN91" s="362"/>
      <c r="BO91" s="362"/>
      <c r="BP91" s="362"/>
      <c r="BQ91" s="362"/>
      <c r="BR91" s="362"/>
      <c r="BS91" s="362"/>
      <c r="BT91" s="362"/>
      <c r="BU91" s="362"/>
      <c r="BV91" s="362"/>
      <c r="BW91" s="362"/>
      <c r="BX91" s="362"/>
      <c r="BY91" s="362"/>
      <c r="BZ91" s="362"/>
      <c r="CA91" s="362"/>
      <c r="CB91" s="362"/>
      <c r="CC91" s="362"/>
      <c r="CD91" s="362"/>
      <c r="CE91" s="362"/>
      <c r="CF91" s="362"/>
      <c r="CG91" s="362"/>
      <c r="CH91" s="362"/>
      <c r="CI91" s="362"/>
      <c r="CJ91" s="362"/>
      <c r="CK91" s="362"/>
      <c r="CL91" s="362"/>
      <c r="CM91" s="362"/>
      <c r="CN91" s="362"/>
      <c r="CO91" s="362"/>
      <c r="CP91" s="362"/>
      <c r="CQ91" s="362"/>
      <c r="CR91" s="362"/>
      <c r="CS91" s="362"/>
      <c r="CT91" s="362"/>
      <c r="CU91" s="362"/>
      <c r="CV91" s="362"/>
      <c r="CW91" s="362"/>
      <c r="CX91" s="362"/>
      <c r="CY91" s="362"/>
      <c r="CZ91" s="362"/>
      <c r="DA91" s="362"/>
      <c r="DB91" s="362"/>
      <c r="DC91" s="362"/>
      <c r="DD91" s="362"/>
      <c r="DE91" s="362"/>
      <c r="DF91" s="362"/>
      <c r="DG91" s="362"/>
      <c r="DH91" s="362"/>
      <c r="DI91" s="362"/>
      <c r="DJ91" s="362"/>
      <c r="DK91" s="362">
        <v>0</v>
      </c>
      <c r="DL91" s="362">
        <v>0</v>
      </c>
      <c r="DM91" s="362">
        <v>0</v>
      </c>
      <c r="DN91" s="362">
        <v>0</v>
      </c>
      <c r="DO91" s="362">
        <v>0</v>
      </c>
      <c r="DP91" s="362">
        <v>4.7</v>
      </c>
      <c r="DQ91" s="362">
        <v>0</v>
      </c>
      <c r="DR91" s="362">
        <v>0</v>
      </c>
      <c r="DS91" s="362">
        <v>0</v>
      </c>
      <c r="DT91" s="362">
        <v>0</v>
      </c>
      <c r="DU91" s="362">
        <v>0</v>
      </c>
      <c r="DV91" s="362">
        <v>0</v>
      </c>
      <c r="DW91" s="362">
        <v>0</v>
      </c>
      <c r="DX91" s="362">
        <v>0</v>
      </c>
      <c r="DY91" s="362">
        <v>0</v>
      </c>
      <c r="DZ91" s="362">
        <v>0</v>
      </c>
      <c r="EA91" s="362">
        <v>0</v>
      </c>
      <c r="EB91" s="362">
        <v>0</v>
      </c>
      <c r="EC91" s="362">
        <v>0</v>
      </c>
      <c r="ED91" s="362">
        <v>0</v>
      </c>
      <c r="EE91" s="362">
        <v>0</v>
      </c>
      <c r="EF91" s="362">
        <v>0</v>
      </c>
      <c r="EG91" s="362">
        <f t="shared" si="10"/>
        <v>0</v>
      </c>
      <c r="EH91" s="362">
        <f t="shared" si="10"/>
        <v>0</v>
      </c>
      <c r="EI91" s="362">
        <v>0</v>
      </c>
      <c r="EJ91" s="362">
        <v>0</v>
      </c>
      <c r="EL91" s="360"/>
    </row>
    <row r="92" spans="1:142" ht="17.25" x14ac:dyDescent="0.3">
      <c r="A92" s="366" t="s">
        <v>195</v>
      </c>
      <c r="B92" s="365" t="s">
        <v>194</v>
      </c>
      <c r="C92" s="362">
        <v>3.6005669340728605</v>
      </c>
      <c r="D92" s="362">
        <v>0</v>
      </c>
      <c r="E92" s="362">
        <v>30.63061921109902</v>
      </c>
      <c r="F92" s="362">
        <v>1.9724418005250695</v>
      </c>
      <c r="G92" s="362">
        <v>16.540567140961716</v>
      </c>
      <c r="H92" s="362">
        <v>0</v>
      </c>
      <c r="I92" s="362">
        <v>4.3959442559062509</v>
      </c>
      <c r="J92" s="362">
        <v>1</v>
      </c>
      <c r="K92" s="362">
        <v>15.083773480983879</v>
      </c>
      <c r="L92" s="362">
        <v>0</v>
      </c>
      <c r="M92" s="362">
        <v>13.6987654727535</v>
      </c>
      <c r="N92" s="362">
        <v>0</v>
      </c>
      <c r="O92" s="362">
        <v>1.6748406378498337</v>
      </c>
      <c r="P92" s="362">
        <v>0</v>
      </c>
      <c r="Q92" s="362">
        <v>1.7241263802696705</v>
      </c>
      <c r="R92" s="362">
        <v>0</v>
      </c>
      <c r="S92" s="362">
        <v>13.906121282706113</v>
      </c>
      <c r="T92" s="362">
        <v>0</v>
      </c>
      <c r="U92" s="362">
        <v>1.5042215598872761</v>
      </c>
      <c r="V92" s="362">
        <v>0</v>
      </c>
      <c r="W92" s="362">
        <v>7.4845684400892001</v>
      </c>
      <c r="X92" s="362">
        <v>0</v>
      </c>
      <c r="Y92" s="362">
        <v>3.3233674999999998</v>
      </c>
      <c r="Z92" s="362">
        <v>0</v>
      </c>
      <c r="AA92" s="362">
        <v>1.5242990073719862</v>
      </c>
      <c r="AB92" s="362">
        <v>0</v>
      </c>
      <c r="AC92" s="362">
        <v>2.2535139709131409</v>
      </c>
      <c r="AD92" s="362">
        <v>0</v>
      </c>
      <c r="AE92" s="362">
        <v>1.1816870415784893</v>
      </c>
      <c r="AF92" s="362">
        <v>0.12</v>
      </c>
      <c r="AG92" s="362">
        <v>0.5</v>
      </c>
      <c r="AH92" s="362">
        <v>0</v>
      </c>
      <c r="AI92" s="362">
        <v>0.5</v>
      </c>
      <c r="AJ92" s="362">
        <v>0</v>
      </c>
      <c r="AK92" s="362">
        <v>0</v>
      </c>
      <c r="AL92" s="362">
        <v>0</v>
      </c>
      <c r="AM92" s="362">
        <v>0</v>
      </c>
      <c r="AN92" s="362">
        <v>0</v>
      </c>
      <c r="AO92" s="362">
        <v>0.15429783293287083</v>
      </c>
      <c r="AP92" s="362">
        <v>0</v>
      </c>
      <c r="AQ92" s="362">
        <v>0</v>
      </c>
      <c r="AR92" s="362">
        <v>5.4748756349471281E-2</v>
      </c>
      <c r="AS92" s="362">
        <v>0</v>
      </c>
      <c r="AT92" s="362">
        <v>0</v>
      </c>
      <c r="AU92" s="362">
        <v>0.67</v>
      </c>
      <c r="AV92" s="362">
        <v>0</v>
      </c>
      <c r="AW92" s="362">
        <v>1.34</v>
      </c>
      <c r="AX92" s="362">
        <v>5.0000000000000001E-3</v>
      </c>
      <c r="AY92" s="362">
        <v>1.5060251372126907</v>
      </c>
      <c r="AZ92" s="362">
        <v>0</v>
      </c>
      <c r="BA92" s="362">
        <v>1.692907312918162</v>
      </c>
      <c r="BB92" s="362">
        <v>0</v>
      </c>
      <c r="BC92" s="362">
        <v>1.94</v>
      </c>
      <c r="BD92" s="362">
        <v>0</v>
      </c>
      <c r="BE92" s="362">
        <v>0.5</v>
      </c>
      <c r="BF92" s="362">
        <v>0.30215010459680247</v>
      </c>
      <c r="BG92" s="362">
        <v>3.2420000000000004</v>
      </c>
      <c r="BH92" s="362">
        <v>0.13207962137624377</v>
      </c>
      <c r="BI92" s="362">
        <v>0.63400000000000001</v>
      </c>
      <c r="BJ92" s="362">
        <v>0</v>
      </c>
      <c r="BK92" s="362">
        <v>1.0009999999999999</v>
      </c>
      <c r="BL92" s="362">
        <v>0</v>
      </c>
      <c r="BM92" s="362">
        <v>1.268</v>
      </c>
      <c r="BN92" s="362">
        <v>0</v>
      </c>
      <c r="BO92" s="362">
        <v>0.63400000000000001</v>
      </c>
      <c r="BP92" s="362">
        <v>0</v>
      </c>
      <c r="BQ92" s="362">
        <v>1.4439738736403072</v>
      </c>
      <c r="BR92" s="362">
        <v>0</v>
      </c>
      <c r="BS92" s="362">
        <v>0.36834544000000002</v>
      </c>
      <c r="BT92" s="362">
        <v>0.37352699426211178</v>
      </c>
      <c r="BU92" s="362">
        <v>0.3</v>
      </c>
      <c r="BV92" s="362">
        <v>0.31641550552740194</v>
      </c>
      <c r="BW92" s="362">
        <v>0.89999999999999991</v>
      </c>
      <c r="BX92" s="362">
        <v>0.26246532310684584</v>
      </c>
      <c r="BY92" s="362">
        <v>1.2</v>
      </c>
      <c r="BZ92" s="362">
        <v>0</v>
      </c>
      <c r="CA92" s="362">
        <v>2.2000000000000002</v>
      </c>
      <c r="CB92" s="362">
        <v>0</v>
      </c>
      <c r="CC92" s="362">
        <v>2</v>
      </c>
      <c r="CD92" s="362">
        <v>0</v>
      </c>
      <c r="CE92" s="362">
        <v>2.02</v>
      </c>
      <c r="CF92" s="362">
        <v>0</v>
      </c>
      <c r="CG92" s="362">
        <v>0.68</v>
      </c>
      <c r="CH92" s="362">
        <v>0</v>
      </c>
      <c r="CI92" s="362">
        <v>0</v>
      </c>
      <c r="CJ92" s="362">
        <v>0</v>
      </c>
      <c r="CK92" s="362">
        <v>0</v>
      </c>
      <c r="CL92" s="362">
        <v>0</v>
      </c>
      <c r="CM92" s="362">
        <v>0</v>
      </c>
      <c r="CN92" s="362">
        <v>0</v>
      </c>
      <c r="CO92" s="362">
        <v>0</v>
      </c>
      <c r="CP92" s="362">
        <v>0</v>
      </c>
      <c r="CQ92" s="362">
        <v>0</v>
      </c>
      <c r="CR92" s="362">
        <v>0</v>
      </c>
      <c r="CS92" s="362">
        <v>0</v>
      </c>
      <c r="CT92" s="362">
        <v>0</v>
      </c>
      <c r="CU92" s="362">
        <v>0</v>
      </c>
      <c r="CV92" s="362">
        <v>0</v>
      </c>
      <c r="CW92" s="362">
        <v>0</v>
      </c>
      <c r="CX92" s="362">
        <v>0</v>
      </c>
      <c r="CY92" s="362">
        <v>0</v>
      </c>
      <c r="CZ92" s="362">
        <v>0</v>
      </c>
      <c r="DA92" s="362">
        <v>2</v>
      </c>
      <c r="DB92" s="362">
        <v>0</v>
      </c>
      <c r="DC92" s="362">
        <v>2</v>
      </c>
      <c r="DD92" s="362">
        <v>0</v>
      </c>
      <c r="DE92" s="362">
        <v>2.5</v>
      </c>
      <c r="DF92" s="362">
        <v>0</v>
      </c>
      <c r="DG92" s="362">
        <v>2</v>
      </c>
      <c r="DH92" s="362">
        <v>0</v>
      </c>
      <c r="DI92" s="362">
        <v>2.5</v>
      </c>
      <c r="DJ92" s="362">
        <v>0</v>
      </c>
      <c r="DK92" s="362">
        <v>1.5</v>
      </c>
      <c r="DL92" s="362">
        <v>0</v>
      </c>
      <c r="DM92" s="362">
        <v>0</v>
      </c>
      <c r="DN92" s="362">
        <v>0</v>
      </c>
      <c r="DO92" s="362">
        <v>1</v>
      </c>
      <c r="DP92" s="362">
        <v>0</v>
      </c>
      <c r="DQ92" s="362">
        <v>1</v>
      </c>
      <c r="DR92" s="362">
        <v>0</v>
      </c>
      <c r="DS92" s="362">
        <v>0.5</v>
      </c>
      <c r="DT92" s="362">
        <v>0</v>
      </c>
      <c r="DU92" s="362">
        <v>0</v>
      </c>
      <c r="DV92" s="362">
        <v>0</v>
      </c>
      <c r="DW92" s="362">
        <v>0</v>
      </c>
      <c r="DX92" s="362">
        <v>0</v>
      </c>
      <c r="DY92" s="362">
        <v>0</v>
      </c>
      <c r="DZ92" s="362">
        <v>0</v>
      </c>
      <c r="EA92" s="362">
        <v>0</v>
      </c>
      <c r="EB92" s="362">
        <v>0</v>
      </c>
      <c r="EC92" s="362">
        <v>0</v>
      </c>
      <c r="ED92" s="362">
        <v>0</v>
      </c>
      <c r="EE92" s="362">
        <v>0</v>
      </c>
      <c r="EF92" s="362">
        <v>0</v>
      </c>
      <c r="EG92" s="362">
        <f t="shared" si="10"/>
        <v>0</v>
      </c>
      <c r="EH92" s="362">
        <f t="shared" si="10"/>
        <v>0</v>
      </c>
      <c r="EI92" s="362">
        <v>0</v>
      </c>
      <c r="EJ92" s="362">
        <v>0</v>
      </c>
      <c r="EL92" s="360"/>
    </row>
    <row r="93" spans="1:142" ht="18" thickBot="1" x14ac:dyDescent="0.35">
      <c r="A93" s="364"/>
      <c r="B93" s="363" t="s">
        <v>189</v>
      </c>
      <c r="C93" s="362">
        <v>0</v>
      </c>
      <c r="D93" s="362">
        <v>0</v>
      </c>
      <c r="E93" s="362">
        <v>0</v>
      </c>
      <c r="F93" s="362">
        <v>0</v>
      </c>
      <c r="G93" s="362">
        <v>0</v>
      </c>
      <c r="H93" s="362">
        <v>0</v>
      </c>
      <c r="I93" s="362">
        <v>0</v>
      </c>
      <c r="J93" s="362">
        <v>0</v>
      </c>
      <c r="K93" s="362">
        <v>0</v>
      </c>
      <c r="L93" s="362">
        <v>0</v>
      </c>
      <c r="M93" s="362">
        <v>0.2233675</v>
      </c>
      <c r="N93" s="362">
        <v>0</v>
      </c>
      <c r="O93" s="362">
        <v>0.72336750000000005</v>
      </c>
      <c r="P93" s="362">
        <v>0</v>
      </c>
      <c r="Q93" s="362">
        <v>0.2233675</v>
      </c>
      <c r="R93" s="362">
        <v>0</v>
      </c>
      <c r="S93" s="361">
        <v>0.89836749999999999</v>
      </c>
      <c r="T93" s="361">
        <v>0</v>
      </c>
      <c r="U93" s="361">
        <v>0.2233675</v>
      </c>
      <c r="V93" s="361">
        <v>0</v>
      </c>
      <c r="W93" s="361">
        <v>1.6716096609241511</v>
      </c>
      <c r="X93" s="361">
        <v>0</v>
      </c>
      <c r="Y93" s="361">
        <v>2.2447829063700904</v>
      </c>
      <c r="Z93" s="361">
        <v>0</v>
      </c>
      <c r="AA93" s="361">
        <v>0.72336750000000005</v>
      </c>
      <c r="AB93" s="361">
        <v>0</v>
      </c>
      <c r="AC93" s="361">
        <v>0.72336750000000005</v>
      </c>
      <c r="AD93" s="361">
        <v>0</v>
      </c>
      <c r="AE93" s="361">
        <v>0.62</v>
      </c>
      <c r="AF93" s="361">
        <v>0.95029348683373172</v>
      </c>
      <c r="AG93" s="361">
        <v>2.0047671456587892</v>
      </c>
      <c r="AH93" s="361">
        <v>0</v>
      </c>
      <c r="AI93" s="361">
        <v>1.991225542812493</v>
      </c>
      <c r="AJ93" s="361">
        <v>0</v>
      </c>
      <c r="AK93" s="361">
        <v>1.9836951136752876</v>
      </c>
      <c r="AL93" s="361">
        <v>0</v>
      </c>
      <c r="AM93" s="361">
        <v>1.9746813043659803</v>
      </c>
      <c r="AN93" s="361">
        <v>0</v>
      </c>
      <c r="AO93" s="361">
        <v>1.9742611749602519</v>
      </c>
      <c r="AP93" s="361">
        <v>0</v>
      </c>
      <c r="AQ93" s="361">
        <v>0.5</v>
      </c>
      <c r="AR93" s="361">
        <v>0</v>
      </c>
      <c r="AS93" s="361">
        <v>0.5</v>
      </c>
      <c r="AT93" s="361">
        <v>0</v>
      </c>
      <c r="AU93" s="361">
        <v>0.5</v>
      </c>
      <c r="AV93" s="361">
        <v>0</v>
      </c>
      <c r="AW93" s="361">
        <v>0</v>
      </c>
      <c r="AX93" s="361">
        <v>0</v>
      </c>
      <c r="AY93" s="361">
        <v>0.5</v>
      </c>
      <c r="AZ93" s="361">
        <v>0</v>
      </c>
      <c r="BA93" s="361">
        <v>1.8412573140578576</v>
      </c>
      <c r="BB93" s="361">
        <v>0</v>
      </c>
      <c r="BC93" s="361">
        <v>1.1816598983129354</v>
      </c>
      <c r="BD93" s="361">
        <v>0</v>
      </c>
      <c r="BE93" s="361">
        <v>0.5</v>
      </c>
      <c r="BF93" s="361">
        <v>0</v>
      </c>
      <c r="BG93" s="361">
        <v>1.7994222165807452</v>
      </c>
      <c r="BH93" s="361">
        <v>0.213672450974492</v>
      </c>
      <c r="BI93" s="361">
        <v>0.5</v>
      </c>
      <c r="BJ93" s="361">
        <v>0</v>
      </c>
      <c r="BK93" s="361">
        <v>1.916691151943587</v>
      </c>
      <c r="BL93" s="361">
        <v>0</v>
      </c>
      <c r="BM93" s="361">
        <v>0.7</v>
      </c>
      <c r="BN93" s="361">
        <v>0</v>
      </c>
      <c r="BO93" s="361">
        <v>2.2995559593968569</v>
      </c>
      <c r="BP93" s="361">
        <v>0</v>
      </c>
      <c r="BQ93" s="361">
        <v>0.5</v>
      </c>
      <c r="BR93" s="361">
        <v>0</v>
      </c>
      <c r="BS93" s="361">
        <v>0.5</v>
      </c>
      <c r="BT93" s="361">
        <v>0</v>
      </c>
      <c r="BU93" s="361">
        <v>0.54699748999999998</v>
      </c>
      <c r="BV93" s="361">
        <v>0</v>
      </c>
      <c r="BW93" s="361">
        <v>0</v>
      </c>
      <c r="BX93" s="361">
        <v>0.5</v>
      </c>
      <c r="BY93" s="361">
        <v>0.25</v>
      </c>
      <c r="BZ93" s="361">
        <v>0</v>
      </c>
      <c r="CA93" s="361">
        <v>0.25</v>
      </c>
      <c r="CB93" s="361">
        <v>0</v>
      </c>
      <c r="CC93" s="361">
        <v>0.125</v>
      </c>
      <c r="CD93" s="361">
        <v>0</v>
      </c>
      <c r="CE93" s="361">
        <v>0.125</v>
      </c>
      <c r="CF93" s="361">
        <v>0</v>
      </c>
      <c r="CG93" s="361">
        <v>0.125</v>
      </c>
      <c r="CH93" s="361">
        <v>0</v>
      </c>
      <c r="CI93" s="361">
        <v>0.59677857975578374</v>
      </c>
      <c r="CJ93" s="361">
        <v>0</v>
      </c>
      <c r="CK93" s="361">
        <v>0.125</v>
      </c>
      <c r="CL93" s="361">
        <v>0</v>
      </c>
      <c r="CM93" s="361">
        <v>0.125</v>
      </c>
      <c r="CN93" s="361">
        <v>0</v>
      </c>
      <c r="CO93" s="361">
        <v>0.125</v>
      </c>
      <c r="CP93" s="361">
        <v>0</v>
      </c>
      <c r="CQ93" s="361">
        <v>0.125</v>
      </c>
      <c r="CR93" s="361">
        <v>0</v>
      </c>
      <c r="CS93" s="361">
        <v>0.125</v>
      </c>
      <c r="CT93" s="361">
        <v>0</v>
      </c>
      <c r="CU93" s="361">
        <v>0.125</v>
      </c>
      <c r="CV93" s="361">
        <v>0</v>
      </c>
      <c r="CW93" s="361">
        <v>0.125</v>
      </c>
      <c r="CX93" s="361">
        <v>0</v>
      </c>
      <c r="CY93" s="361">
        <v>0.125</v>
      </c>
      <c r="CZ93" s="361">
        <v>0</v>
      </c>
      <c r="DA93" s="361">
        <v>0.125</v>
      </c>
      <c r="DB93" s="361">
        <v>0</v>
      </c>
      <c r="DC93" s="361">
        <v>0.125</v>
      </c>
      <c r="DD93" s="361">
        <v>0</v>
      </c>
      <c r="DE93" s="361">
        <v>0.125</v>
      </c>
      <c r="DF93" s="361">
        <v>0</v>
      </c>
      <c r="DG93" s="361">
        <v>0.125</v>
      </c>
      <c r="DH93" s="361">
        <v>0</v>
      </c>
      <c r="DI93" s="361">
        <v>0.32500000000000001</v>
      </c>
      <c r="DJ93" s="361">
        <v>0</v>
      </c>
      <c r="DK93" s="361">
        <v>0.125</v>
      </c>
      <c r="DL93" s="361">
        <v>0</v>
      </c>
      <c r="DM93" s="361">
        <v>0</v>
      </c>
      <c r="DN93" s="361">
        <v>0</v>
      </c>
      <c r="DO93" s="361">
        <v>0</v>
      </c>
      <c r="DP93" s="361">
        <v>0.91842832075842396</v>
      </c>
      <c r="DQ93" s="361">
        <v>0.13606090554645456</v>
      </c>
      <c r="DR93" s="361">
        <v>0</v>
      </c>
      <c r="DS93" s="361">
        <v>0.2</v>
      </c>
      <c r="DT93" s="361">
        <v>0</v>
      </c>
      <c r="DU93" s="361">
        <v>0</v>
      </c>
      <c r="DV93" s="361">
        <v>0</v>
      </c>
      <c r="DW93" s="361">
        <v>0.1279017672579992</v>
      </c>
      <c r="DX93" s="361">
        <v>0</v>
      </c>
      <c r="DY93" s="361">
        <v>0</v>
      </c>
      <c r="DZ93" s="361">
        <v>0</v>
      </c>
      <c r="EA93" s="361">
        <v>0</v>
      </c>
      <c r="EB93" s="361">
        <v>0</v>
      </c>
      <c r="EC93" s="361">
        <v>0.42943477965217391</v>
      </c>
      <c r="ED93" s="361">
        <v>0</v>
      </c>
      <c r="EE93" s="361">
        <v>0</v>
      </c>
      <c r="EF93" s="361">
        <v>0</v>
      </c>
      <c r="EG93" s="361">
        <f t="shared" si="10"/>
        <v>0</v>
      </c>
      <c r="EH93" s="361">
        <f t="shared" si="10"/>
        <v>0</v>
      </c>
      <c r="EI93" s="361">
        <v>0.23221217766671953</v>
      </c>
      <c r="EJ93" s="361">
        <v>0</v>
      </c>
      <c r="EL93" s="360"/>
    </row>
    <row r="94" spans="1:142" ht="18" thickBot="1" x14ac:dyDescent="0.35">
      <c r="A94" s="359"/>
      <c r="B94" s="358" t="s">
        <v>245</v>
      </c>
      <c r="C94" s="357">
        <v>805.51711969367591</v>
      </c>
      <c r="D94" s="357">
        <v>84.10724991605403</v>
      </c>
      <c r="E94" s="357">
        <v>890.83285629427928</v>
      </c>
      <c r="F94" s="357">
        <v>236.2813185514201</v>
      </c>
      <c r="G94" s="357">
        <v>835.73827465279805</v>
      </c>
      <c r="H94" s="357">
        <v>275.5056143217393</v>
      </c>
      <c r="I94" s="357">
        <v>728.79644824742354</v>
      </c>
      <c r="J94" s="357">
        <v>108.79930046260465</v>
      </c>
      <c r="K94" s="357">
        <v>844.1525778505038</v>
      </c>
      <c r="L94" s="357">
        <v>115.57746481043802</v>
      </c>
      <c r="M94" s="357">
        <v>726.04702952791945</v>
      </c>
      <c r="N94" s="357">
        <v>99.878147136172075</v>
      </c>
      <c r="O94" s="357">
        <v>619.67299345034314</v>
      </c>
      <c r="P94" s="357">
        <v>159.99032544272086</v>
      </c>
      <c r="Q94" s="357">
        <v>559.45748112217939</v>
      </c>
      <c r="R94" s="357">
        <v>87.247597536880761</v>
      </c>
      <c r="S94" s="356">
        <v>609.12817469194943</v>
      </c>
      <c r="T94" s="356">
        <v>58.071594634382258</v>
      </c>
      <c r="U94" s="356">
        <v>513.60148941743125</v>
      </c>
      <c r="V94" s="356">
        <v>98.938641665646472</v>
      </c>
      <c r="W94" s="356">
        <v>480.87480826407858</v>
      </c>
      <c r="X94" s="356">
        <v>69.799005970839332</v>
      </c>
      <c r="Y94" s="356">
        <v>593.75706701905938</v>
      </c>
      <c r="Z94" s="356">
        <v>63.715336599602438</v>
      </c>
      <c r="AA94" s="356">
        <v>604.55244390276107</v>
      </c>
      <c r="AB94" s="356">
        <v>41.306555191608496</v>
      </c>
      <c r="AC94" s="356">
        <v>693.32583583059431</v>
      </c>
      <c r="AD94" s="356">
        <v>63.669930704779794</v>
      </c>
      <c r="AE94" s="356">
        <v>997.84634556663718</v>
      </c>
      <c r="AF94" s="356">
        <v>51.703070648011455</v>
      </c>
      <c r="AG94" s="356">
        <v>1019.6836283998001</v>
      </c>
      <c r="AH94" s="356">
        <v>41.028072640690283</v>
      </c>
      <c r="AI94" s="356">
        <v>946.79343447583881</v>
      </c>
      <c r="AJ94" s="356">
        <v>50.607500316393676</v>
      </c>
      <c r="AK94" s="356">
        <v>865.79519633076325</v>
      </c>
      <c r="AL94" s="356">
        <v>210.39151817244269</v>
      </c>
      <c r="AM94" s="356">
        <v>858.66443337539886</v>
      </c>
      <c r="AN94" s="356">
        <v>69.949433705730542</v>
      </c>
      <c r="AO94" s="356">
        <v>965.30562867165315</v>
      </c>
      <c r="AP94" s="356">
        <v>92.992517274412506</v>
      </c>
      <c r="AQ94" s="356">
        <v>680.75374552768744</v>
      </c>
      <c r="AR94" s="356">
        <v>129.17819492340934</v>
      </c>
      <c r="AS94" s="356">
        <v>927.72124701900725</v>
      </c>
      <c r="AT94" s="356">
        <v>228.49591139720914</v>
      </c>
      <c r="AU94" s="356">
        <v>586.55637471605235</v>
      </c>
      <c r="AV94" s="356">
        <v>209.13073484604078</v>
      </c>
      <c r="AW94" s="356">
        <v>772.73518611704378</v>
      </c>
      <c r="AX94" s="356">
        <v>121.81588231958798</v>
      </c>
      <c r="AY94" s="356">
        <v>728.77983942298431</v>
      </c>
      <c r="AZ94" s="356">
        <v>128.22427299527143</v>
      </c>
      <c r="BA94" s="356">
        <v>527.47596386848261</v>
      </c>
      <c r="BB94" s="356">
        <v>112.89936849300935</v>
      </c>
      <c r="BC94" s="356">
        <v>280.66912333552528</v>
      </c>
      <c r="BD94" s="355">
        <v>88.680137137698338</v>
      </c>
      <c r="BE94" s="355">
        <v>168.19699956114675</v>
      </c>
      <c r="BF94" s="355">
        <v>50.506000399025552</v>
      </c>
      <c r="BG94" s="355">
        <v>252.188270825513</v>
      </c>
      <c r="BH94" s="355">
        <v>47.882735283910769</v>
      </c>
      <c r="BI94" s="355">
        <v>313.85527105769586</v>
      </c>
      <c r="BJ94" s="355">
        <v>130.48612527960017</v>
      </c>
      <c r="BK94" s="355">
        <v>304.31921753922393</v>
      </c>
      <c r="BL94" s="355">
        <v>162.13718147400968</v>
      </c>
      <c r="BM94" s="355">
        <v>260.22806918860465</v>
      </c>
      <c r="BN94" s="355">
        <v>125.28590584565002</v>
      </c>
      <c r="BO94" s="355">
        <v>267.27551918287912</v>
      </c>
      <c r="BP94" s="355">
        <v>140.25665017647916</v>
      </c>
      <c r="BQ94" s="355">
        <v>332.62804187661749</v>
      </c>
      <c r="BR94" s="355">
        <v>76.451634695728544</v>
      </c>
      <c r="BS94" s="355">
        <v>356.21403656968698</v>
      </c>
      <c r="BT94" s="355">
        <v>116.52700862988701</v>
      </c>
      <c r="BU94" s="355">
        <v>278.32524412309402</v>
      </c>
      <c r="BV94" s="355">
        <v>118.79525745632101</v>
      </c>
      <c r="BW94" s="354">
        <v>197.19377245660399</v>
      </c>
      <c r="BX94" s="354">
        <v>102.0365174886841</v>
      </c>
      <c r="BY94" s="354">
        <v>243.37974490782182</v>
      </c>
      <c r="BZ94" s="354">
        <v>48.305506469266845</v>
      </c>
      <c r="CA94" s="354">
        <v>384.63867184770049</v>
      </c>
      <c r="CB94" s="354">
        <v>47.179614003188505</v>
      </c>
      <c r="CC94" s="354">
        <v>543.25941363091977</v>
      </c>
      <c r="CD94" s="354">
        <v>33.616520207260528</v>
      </c>
      <c r="CE94" s="354">
        <v>602.77400904095748</v>
      </c>
      <c r="CF94" s="354">
        <v>56.906323675993782</v>
      </c>
      <c r="CG94" s="354">
        <v>508.22863120404509</v>
      </c>
      <c r="CH94" s="354">
        <v>101.34434331851217</v>
      </c>
      <c r="CI94" s="353">
        <v>540.00222001874204</v>
      </c>
      <c r="CJ94" s="353">
        <v>255.90771640440923</v>
      </c>
      <c r="CK94" s="353">
        <v>736.13051777223552</v>
      </c>
      <c r="CL94" s="353">
        <v>237.11500317018667</v>
      </c>
      <c r="CM94" s="353">
        <v>625.3077354301297</v>
      </c>
      <c r="CN94" s="353">
        <v>190.07262986361073</v>
      </c>
      <c r="CO94" s="353">
        <v>275.99186131899302</v>
      </c>
      <c r="CP94" s="353">
        <v>133.46381399808479</v>
      </c>
      <c r="CQ94" s="353">
        <v>414.42187544067315</v>
      </c>
      <c r="CR94" s="353">
        <v>91.32515590190647</v>
      </c>
      <c r="CS94" s="353">
        <v>742.12237612964395</v>
      </c>
      <c r="CT94" s="353">
        <v>69.663780151652787</v>
      </c>
      <c r="CU94" s="353">
        <v>568.06239754125215</v>
      </c>
      <c r="CV94" s="353">
        <v>73.764374211492566</v>
      </c>
      <c r="CW94" s="353">
        <v>650.4263570487168</v>
      </c>
      <c r="CX94" s="353">
        <v>70.386231903784278</v>
      </c>
      <c r="CY94" s="353">
        <v>944.00986228413853</v>
      </c>
      <c r="CZ94" s="353">
        <v>252.56186328855898</v>
      </c>
      <c r="DA94" s="353">
        <v>702.06355827216112</v>
      </c>
      <c r="DB94" s="353">
        <v>203.80943271404627</v>
      </c>
      <c r="DC94" s="353">
        <v>644.67054805078658</v>
      </c>
      <c r="DD94" s="353">
        <v>440.67236195416075</v>
      </c>
      <c r="DE94" s="353">
        <v>495.5068983221276</v>
      </c>
      <c r="DF94" s="353">
        <v>364.76861793958852</v>
      </c>
      <c r="DG94" s="353">
        <v>653.33139476324709</v>
      </c>
      <c r="DH94" s="353">
        <v>321.47967494580513</v>
      </c>
      <c r="DI94" s="353">
        <v>423.36286038237023</v>
      </c>
      <c r="DJ94" s="353">
        <v>233.10834706228863</v>
      </c>
      <c r="DK94" s="353">
        <v>207.90300701056765</v>
      </c>
      <c r="DL94" s="353">
        <v>429.38743259898411</v>
      </c>
      <c r="DM94" s="353">
        <v>236.72331181421461</v>
      </c>
      <c r="DN94" s="353">
        <v>380.74707807057212</v>
      </c>
      <c r="DO94" s="353">
        <v>344.24458039456692</v>
      </c>
      <c r="DP94" s="353">
        <v>448.51333638167881</v>
      </c>
      <c r="DQ94" s="353">
        <v>527.03040786253382</v>
      </c>
      <c r="DR94" s="353">
        <v>253.56566512640248</v>
      </c>
      <c r="DS94" s="353">
        <v>361.80644417962407</v>
      </c>
      <c r="DT94" s="353">
        <v>252.00712169529177</v>
      </c>
      <c r="DU94" s="353">
        <v>432.23169039518018</v>
      </c>
      <c r="DV94" s="353">
        <v>198.99392125141259</v>
      </c>
      <c r="DW94" s="353">
        <v>616.07398790409866</v>
      </c>
      <c r="DX94" s="353">
        <v>275.38764821458079</v>
      </c>
      <c r="DY94" s="353">
        <f t="shared" ref="DY94:EF94" si="11">SUM(DY78:DY93)</f>
        <v>637.96902772512851</v>
      </c>
      <c r="DZ94" s="353">
        <f t="shared" si="11"/>
        <v>340.73360069737754</v>
      </c>
      <c r="EA94" s="353">
        <f t="shared" si="11"/>
        <v>578.67138155978171</v>
      </c>
      <c r="EB94" s="353">
        <f t="shared" si="11"/>
        <v>170.60802563244542</v>
      </c>
      <c r="EC94" s="353">
        <f>SUM(EC78:EC93)</f>
        <v>348.93382806422613</v>
      </c>
      <c r="ED94" s="353">
        <f t="shared" ref="ED94" si="12">SUM(ED78:ED93)</f>
        <v>163.04863149736954</v>
      </c>
      <c r="EE94" s="353">
        <f>SUM(EE78:EE93)</f>
        <v>377.88131422242299</v>
      </c>
      <c r="EF94" s="353">
        <f t="shared" si="11"/>
        <v>131.79585662216911</v>
      </c>
      <c r="EG94" s="353">
        <f>SUM(EG78:EG93)</f>
        <v>422.82572191364136</v>
      </c>
      <c r="EH94" s="353">
        <f t="shared" ref="EH94:EJ94" si="13">SUM(EH78:EH93)</f>
        <v>195.40552940968323</v>
      </c>
      <c r="EI94" s="353">
        <f>SUM(EI78:EI93)</f>
        <v>310.25724389302292</v>
      </c>
      <c r="EJ94" s="353">
        <f t="shared" si="13"/>
        <v>187.32213179779222</v>
      </c>
    </row>
    <row r="95" spans="1:142" s="352" customFormat="1" ht="18" thickTop="1" x14ac:dyDescent="0.25">
      <c r="A95" s="351" t="s">
        <v>188</v>
      </c>
      <c r="B95" s="351"/>
      <c r="C95" s="351"/>
      <c r="D95" s="351"/>
      <c r="E95" s="351"/>
      <c r="F95" s="351"/>
      <c r="G95" s="351"/>
      <c r="H95" s="351"/>
      <c r="I95" s="351"/>
      <c r="J95" s="351"/>
      <c r="K95" s="351"/>
      <c r="L95" s="351"/>
      <c r="M95" s="351"/>
      <c r="N95" s="351"/>
      <c r="O95" s="351"/>
      <c r="P95" s="351"/>
      <c r="Q95" s="351"/>
      <c r="R95" s="351"/>
      <c r="S95" s="351"/>
      <c r="T95" s="351"/>
      <c r="U95" s="351"/>
      <c r="V95" s="351"/>
      <c r="W95" s="351"/>
      <c r="X95" s="351"/>
      <c r="Y95" s="351"/>
      <c r="Z95" s="351"/>
      <c r="AA95" s="351"/>
      <c r="AB95" s="351"/>
      <c r="AC95" s="351"/>
      <c r="AD95" s="351"/>
      <c r="AE95" s="351"/>
      <c r="AF95" s="344"/>
      <c r="AG95" s="344"/>
      <c r="AH95" s="344"/>
      <c r="AI95" s="344"/>
      <c r="AJ95" s="344"/>
      <c r="AK95" s="344"/>
      <c r="AL95" s="344"/>
      <c r="AM95" s="344"/>
      <c r="AN95" s="344"/>
      <c r="AO95" s="344"/>
      <c r="AP95" s="344"/>
      <c r="AQ95" s="344"/>
      <c r="AR95" s="344"/>
      <c r="AS95" s="344"/>
      <c r="AT95" s="344"/>
      <c r="AU95" s="344"/>
      <c r="AV95" s="344"/>
      <c r="AW95" s="344"/>
      <c r="AX95" s="344"/>
      <c r="AY95" s="344"/>
      <c r="AZ95" s="344"/>
      <c r="BA95" s="344"/>
      <c r="BB95" s="344"/>
      <c r="BC95" s="344"/>
      <c r="BD95" s="344"/>
      <c r="BE95" s="344"/>
      <c r="BF95" s="344"/>
      <c r="BG95" s="344"/>
      <c r="BH95" s="344"/>
      <c r="BI95" s="344"/>
      <c r="BJ95" s="344"/>
      <c r="BK95" s="344"/>
      <c r="BL95" s="344"/>
      <c r="BM95" s="344"/>
      <c r="BN95" s="344"/>
      <c r="BO95" s="344"/>
      <c r="BP95" s="344"/>
      <c r="BQ95" s="344"/>
      <c r="BR95" s="344"/>
      <c r="BS95" s="344"/>
      <c r="BT95" s="344"/>
      <c r="BU95" s="344"/>
      <c r="BV95" s="344"/>
      <c r="BW95" s="344"/>
      <c r="BX95" s="344"/>
      <c r="BY95" s="344"/>
      <c r="BZ95" s="344"/>
      <c r="CA95" s="344"/>
      <c r="CB95" s="344"/>
      <c r="CC95" s="344"/>
      <c r="CD95" s="344"/>
      <c r="CE95" s="344"/>
      <c r="CF95" s="344"/>
      <c r="CG95" s="344"/>
      <c r="CH95" s="344"/>
      <c r="CI95" s="344"/>
      <c r="CJ95" s="344"/>
      <c r="CK95" s="344"/>
      <c r="CL95" s="344"/>
      <c r="CM95" s="344"/>
      <c r="CN95" s="344"/>
      <c r="CO95" s="344"/>
      <c r="CP95" s="344"/>
      <c r="CQ95" s="344"/>
      <c r="CR95" s="344"/>
      <c r="CS95" s="344"/>
      <c r="CT95" s="344"/>
      <c r="CU95" s="344"/>
      <c r="CV95" s="344"/>
      <c r="CW95" s="344"/>
      <c r="CX95" s="344"/>
      <c r="CY95" s="344"/>
      <c r="CZ95" s="344"/>
      <c r="DA95" s="344"/>
      <c r="DB95" s="344"/>
      <c r="DC95" s="344"/>
      <c r="DD95" s="344"/>
      <c r="DE95" s="344"/>
      <c r="DF95" s="344"/>
      <c r="DG95" s="344"/>
      <c r="DH95" s="344"/>
      <c r="DI95" s="344"/>
      <c r="DJ95" s="344"/>
      <c r="DK95" s="344"/>
      <c r="DL95" s="344"/>
      <c r="DM95" s="344"/>
      <c r="DN95" s="344"/>
      <c r="DO95" s="344"/>
      <c r="DP95" s="344"/>
      <c r="DQ95" s="344"/>
      <c r="DR95" s="344"/>
      <c r="DS95" s="344"/>
      <c r="DT95" s="344"/>
      <c r="DU95" s="344"/>
      <c r="DV95" s="344"/>
      <c r="DW95" s="344"/>
      <c r="DX95" s="344"/>
      <c r="DY95" s="344"/>
      <c r="DZ95" s="344"/>
      <c r="EA95" s="344"/>
      <c r="EB95" s="344"/>
      <c r="EC95" s="344"/>
      <c r="ED95" s="344"/>
      <c r="EE95" s="344"/>
      <c r="EF95" s="344"/>
      <c r="EG95" s="344"/>
      <c r="EH95" s="344"/>
      <c r="EI95" s="344"/>
      <c r="EJ95" s="344"/>
    </row>
    <row r="96" spans="1:142" s="348" customFormat="1" ht="18.75" x14ac:dyDescent="0.25">
      <c r="A96" s="351" t="s">
        <v>187</v>
      </c>
      <c r="B96" s="349"/>
      <c r="C96" s="349"/>
      <c r="D96" s="349"/>
      <c r="E96" s="349"/>
      <c r="F96" s="349"/>
      <c r="G96" s="349"/>
      <c r="H96" s="349"/>
      <c r="I96" s="349"/>
      <c r="J96" s="349"/>
      <c r="K96" s="349"/>
      <c r="L96" s="349"/>
      <c r="M96" s="349"/>
      <c r="N96" s="349"/>
      <c r="O96" s="350"/>
      <c r="P96" s="349"/>
      <c r="Q96" s="349"/>
      <c r="R96" s="349"/>
      <c r="S96" s="349"/>
      <c r="T96" s="349"/>
      <c r="U96" s="350"/>
      <c r="V96" s="349"/>
      <c r="W96" s="349"/>
      <c r="X96" s="349"/>
      <c r="Y96" s="349"/>
      <c r="Z96" s="349"/>
      <c r="AA96" s="349"/>
      <c r="AB96" s="349"/>
      <c r="AC96" s="349"/>
      <c r="AD96" s="349"/>
      <c r="AE96" s="349"/>
      <c r="AF96" s="344"/>
      <c r="AG96" s="344"/>
      <c r="AH96" s="344"/>
      <c r="AI96" s="344"/>
      <c r="AJ96" s="344"/>
      <c r="AK96" s="344"/>
      <c r="AL96" s="344"/>
      <c r="AM96" s="344"/>
      <c r="AN96" s="344"/>
      <c r="AO96" s="344"/>
      <c r="AP96" s="344"/>
      <c r="AQ96" s="344"/>
      <c r="AR96" s="344"/>
      <c r="AS96" s="344"/>
      <c r="AT96" s="344"/>
      <c r="AU96" s="344"/>
      <c r="AV96" s="344"/>
      <c r="AW96" s="344"/>
      <c r="AX96" s="344"/>
      <c r="AY96" s="344"/>
      <c r="AZ96" s="344"/>
      <c r="BA96" s="344"/>
      <c r="BB96" s="344"/>
      <c r="BC96" s="344"/>
      <c r="BD96" s="344"/>
      <c r="BE96" s="344"/>
      <c r="BF96" s="344"/>
      <c r="BG96" s="344"/>
      <c r="BH96" s="344"/>
      <c r="BI96" s="344"/>
      <c r="BJ96" s="344"/>
      <c r="BK96" s="344"/>
      <c r="BL96" s="344"/>
      <c r="BM96" s="344"/>
      <c r="BN96" s="344"/>
      <c r="BO96" s="344"/>
      <c r="BP96" s="344"/>
      <c r="BQ96" s="344"/>
      <c r="BR96" s="344"/>
      <c r="BS96" s="344"/>
      <c r="BT96" s="344"/>
      <c r="BU96" s="344"/>
      <c r="BV96" s="344"/>
      <c r="BW96" s="344"/>
      <c r="BX96" s="344"/>
      <c r="BY96" s="344"/>
      <c r="BZ96" s="344"/>
      <c r="CA96" s="344"/>
      <c r="CB96" s="344"/>
      <c r="CC96" s="344"/>
      <c r="CD96" s="344"/>
      <c r="CE96" s="344"/>
      <c r="CF96" s="344"/>
      <c r="CG96" s="344"/>
      <c r="CH96" s="344"/>
      <c r="CI96" s="344"/>
      <c r="CJ96" s="344"/>
      <c r="CK96" s="344"/>
      <c r="CL96" s="344"/>
      <c r="CM96" s="344"/>
      <c r="CN96" s="344"/>
      <c r="CO96" s="344"/>
      <c r="CP96" s="344"/>
      <c r="CQ96" s="344"/>
      <c r="CR96" s="344"/>
      <c r="CS96" s="344"/>
      <c r="CT96" s="344"/>
      <c r="CU96" s="344"/>
      <c r="CV96" s="344"/>
      <c r="CW96" s="344"/>
      <c r="CX96" s="344"/>
      <c r="CY96" s="344"/>
      <c r="CZ96" s="344"/>
      <c r="DA96" s="344"/>
      <c r="DB96" s="344"/>
      <c r="DC96" s="344"/>
      <c r="DD96" s="344"/>
      <c r="DE96" s="344"/>
      <c r="DF96" s="344"/>
      <c r="DG96" s="344"/>
      <c r="DH96" s="344"/>
      <c r="DI96" s="344"/>
      <c r="DJ96" s="344"/>
      <c r="DK96" s="344"/>
      <c r="DL96" s="344"/>
      <c r="DM96" s="344"/>
      <c r="DN96" s="344"/>
      <c r="DO96" s="344"/>
      <c r="DP96" s="344"/>
      <c r="DQ96" s="344"/>
      <c r="DR96" s="344"/>
      <c r="DS96" s="344"/>
      <c r="DT96" s="344"/>
      <c r="DU96" s="344"/>
      <c r="DV96" s="344"/>
      <c r="DW96" s="344"/>
      <c r="DX96" s="344"/>
      <c r="DY96" s="344"/>
      <c r="DZ96" s="344"/>
      <c r="EA96" s="344"/>
      <c r="EB96" s="344"/>
      <c r="EC96" s="344"/>
      <c r="ED96" s="344"/>
      <c r="EE96" s="344"/>
      <c r="EF96" s="344"/>
      <c r="EG96" s="344"/>
      <c r="EH96" s="344"/>
      <c r="EI96" s="344"/>
      <c r="EJ96" s="344"/>
    </row>
    <row r="97" spans="1:140" ht="18.75" x14ac:dyDescent="0.3">
      <c r="A97" s="347" t="s">
        <v>244</v>
      </c>
      <c r="B97" s="346"/>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c r="AA97" s="345"/>
      <c r="AB97" s="345"/>
      <c r="AC97" s="345"/>
      <c r="AD97" s="345"/>
      <c r="AE97" s="345"/>
      <c r="AF97" s="344"/>
      <c r="AG97" s="344"/>
      <c r="AH97" s="344"/>
      <c r="AI97" s="344"/>
      <c r="AJ97" s="344"/>
      <c r="AK97" s="344"/>
      <c r="AL97" s="344"/>
      <c r="AM97" s="344"/>
      <c r="AN97" s="344"/>
      <c r="AO97" s="344"/>
      <c r="AP97" s="344"/>
      <c r="AQ97" s="344"/>
      <c r="AR97" s="344"/>
      <c r="AS97" s="344"/>
      <c r="AT97" s="344"/>
      <c r="AU97" s="344"/>
      <c r="AV97" s="344"/>
      <c r="AW97" s="344"/>
      <c r="AX97" s="344"/>
      <c r="AY97" s="344"/>
      <c r="AZ97" s="344"/>
      <c r="BA97" s="344"/>
      <c r="BB97" s="344"/>
      <c r="BC97" s="344"/>
      <c r="BD97" s="344"/>
      <c r="BE97" s="344"/>
      <c r="BF97" s="344"/>
      <c r="BG97" s="344"/>
      <c r="BH97" s="344"/>
      <c r="BI97" s="344"/>
      <c r="BJ97" s="344"/>
      <c r="BK97" s="344"/>
      <c r="BL97" s="344"/>
      <c r="BM97" s="344"/>
      <c r="BN97" s="344"/>
      <c r="BO97" s="344"/>
      <c r="BP97" s="344"/>
      <c r="BQ97" s="344"/>
      <c r="BR97" s="344"/>
      <c r="BS97" s="344"/>
      <c r="BT97" s="344"/>
      <c r="BU97" s="344"/>
      <c r="BV97" s="344"/>
      <c r="BW97" s="344"/>
      <c r="BX97" s="344"/>
      <c r="BY97" s="344"/>
      <c r="BZ97" s="344"/>
      <c r="CA97" s="344"/>
      <c r="CB97" s="344"/>
      <c r="CC97" s="344"/>
      <c r="CD97" s="344"/>
      <c r="CE97" s="344"/>
      <c r="CF97" s="344"/>
      <c r="CG97" s="344"/>
      <c r="CH97" s="344"/>
      <c r="CI97" s="344"/>
      <c r="CJ97" s="344"/>
      <c r="CK97" s="344"/>
      <c r="CL97" s="344"/>
      <c r="CM97" s="344"/>
      <c r="CN97" s="344"/>
      <c r="CO97" s="344"/>
      <c r="CP97" s="344"/>
      <c r="CQ97" s="344"/>
      <c r="CR97" s="344"/>
      <c r="CS97" s="344"/>
      <c r="CT97" s="344"/>
      <c r="CU97" s="344"/>
      <c r="CV97" s="344"/>
      <c r="CW97" s="344"/>
      <c r="CX97" s="344"/>
      <c r="CY97" s="344"/>
      <c r="CZ97" s="344"/>
      <c r="DA97" s="344"/>
      <c r="DB97" s="344"/>
      <c r="DC97" s="344"/>
      <c r="DD97" s="344"/>
      <c r="DE97" s="344"/>
      <c r="DF97" s="344"/>
      <c r="DG97" s="344"/>
      <c r="DH97" s="344"/>
      <c r="DI97" s="344"/>
      <c r="DJ97" s="344"/>
      <c r="DK97" s="344"/>
      <c r="DL97" s="344"/>
      <c r="DM97" s="344"/>
      <c r="DN97" s="344"/>
      <c r="DO97" s="344"/>
      <c r="DP97" s="344"/>
      <c r="DQ97" s="344"/>
      <c r="DR97" s="344"/>
      <c r="DS97" s="344"/>
      <c r="DT97" s="344"/>
      <c r="DU97" s="344"/>
      <c r="DV97" s="344"/>
      <c r="DW97" s="344"/>
      <c r="DX97" s="344"/>
      <c r="DY97" s="344"/>
      <c r="DZ97" s="344"/>
      <c r="EA97" s="344"/>
      <c r="EB97" s="344"/>
      <c r="EC97" s="344"/>
      <c r="ED97" s="344"/>
      <c r="EE97" s="344"/>
      <c r="EF97" s="344"/>
      <c r="EG97" s="344"/>
      <c r="EH97" s="344"/>
      <c r="EI97" s="344"/>
      <c r="EJ97" s="344"/>
    </row>
    <row r="98" spans="1:140" ht="17.25" x14ac:dyDescent="0.3">
      <c r="A98" s="347" t="s">
        <v>173</v>
      </c>
      <c r="B98" s="346"/>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c r="AA98" s="345"/>
      <c r="AB98" s="345"/>
      <c r="AC98" s="345"/>
      <c r="AD98" s="345"/>
      <c r="AE98" s="345"/>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3"/>
      <c r="BL98" s="343"/>
      <c r="BM98" s="343"/>
      <c r="BN98" s="343"/>
      <c r="BO98" s="343"/>
      <c r="BP98" s="343"/>
      <c r="BQ98" s="343"/>
      <c r="BR98" s="343"/>
      <c r="BS98" s="343"/>
      <c r="BT98" s="343"/>
      <c r="BU98" s="343"/>
      <c r="BV98" s="343"/>
      <c r="BW98" s="343"/>
      <c r="BX98" s="343"/>
      <c r="BY98" s="343"/>
      <c r="BZ98" s="343"/>
      <c r="CA98" s="343"/>
      <c r="CB98" s="343"/>
      <c r="CC98" s="343"/>
      <c r="CD98" s="343"/>
      <c r="CE98" s="343"/>
      <c r="CF98" s="343"/>
      <c r="CG98" s="343"/>
      <c r="CH98" s="343"/>
      <c r="CI98" s="343"/>
      <c r="CJ98" s="343"/>
      <c r="CK98" s="343"/>
      <c r="CL98" s="343"/>
      <c r="CM98" s="343"/>
      <c r="CN98" s="343"/>
      <c r="CO98" s="343"/>
      <c r="CP98" s="343"/>
      <c r="CQ98" s="343"/>
      <c r="CR98" s="343"/>
      <c r="CS98" s="343"/>
      <c r="CT98" s="343"/>
      <c r="CU98" s="343"/>
      <c r="CV98" s="343"/>
      <c r="CW98" s="343"/>
      <c r="CX98" s="343"/>
      <c r="CY98" s="343"/>
      <c r="CZ98" s="343"/>
      <c r="DA98" s="343"/>
      <c r="DB98" s="343"/>
      <c r="DC98" s="343"/>
      <c r="DD98" s="343"/>
      <c r="DE98" s="343"/>
      <c r="DF98" s="343"/>
      <c r="DG98" s="343"/>
      <c r="DH98" s="343"/>
      <c r="DI98" s="343"/>
      <c r="DJ98" s="343"/>
      <c r="DK98" s="343"/>
      <c r="DL98" s="343"/>
      <c r="DM98" s="343"/>
      <c r="DN98" s="343"/>
      <c r="DO98" s="343"/>
      <c r="DP98" s="343"/>
      <c r="DQ98" s="343"/>
      <c r="DR98" s="343"/>
      <c r="DS98" s="343"/>
      <c r="DT98" s="343"/>
      <c r="DU98" s="343"/>
      <c r="DV98" s="343"/>
      <c r="DW98" s="343"/>
      <c r="DX98" s="343"/>
      <c r="DY98" s="343"/>
      <c r="DZ98" s="343"/>
      <c r="EA98" s="343"/>
      <c r="EB98" s="343"/>
      <c r="EC98" s="343"/>
      <c r="ED98" s="343"/>
      <c r="EE98" s="343"/>
      <c r="EF98" s="343"/>
      <c r="EG98" s="343"/>
      <c r="EH98" s="343"/>
      <c r="EI98" s="343"/>
      <c r="EJ98" s="343"/>
    </row>
    <row r="99" spans="1:140" s="337" customFormat="1" ht="18.75" customHeight="1" x14ac:dyDescent="0.25">
      <c r="A99" s="342" t="s">
        <v>0</v>
      </c>
      <c r="B99" s="341"/>
      <c r="C99" s="340"/>
      <c r="D99" s="340"/>
      <c r="E99" s="340"/>
      <c r="F99" s="340"/>
      <c r="G99" s="340"/>
      <c r="H99" s="340"/>
      <c r="I99" s="340"/>
      <c r="J99" s="340"/>
      <c r="K99" s="340"/>
      <c r="L99" s="340"/>
      <c r="M99" s="340"/>
      <c r="N99" s="340"/>
      <c r="O99" s="340"/>
      <c r="P99" s="340"/>
      <c r="Q99" s="340"/>
      <c r="R99" s="340"/>
      <c r="S99" s="340"/>
      <c r="T99" s="340"/>
      <c r="U99" s="340"/>
      <c r="V99" s="340"/>
      <c r="W99" s="340"/>
      <c r="X99" s="340"/>
      <c r="Y99" s="340"/>
      <c r="Z99" s="340"/>
      <c r="AA99" s="340"/>
      <c r="AB99" s="340"/>
      <c r="AC99" s="340"/>
      <c r="AD99" s="340"/>
      <c r="AE99" s="340"/>
      <c r="AF99" s="339"/>
      <c r="AG99" s="339"/>
      <c r="AH99" s="339"/>
      <c r="AI99" s="339"/>
      <c r="AJ99" s="339"/>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8"/>
      <c r="BL99" s="338"/>
      <c r="BM99" s="338"/>
      <c r="BN99" s="338"/>
      <c r="BO99" s="338"/>
      <c r="BP99" s="338"/>
      <c r="BQ99" s="338"/>
      <c r="BR99" s="338"/>
      <c r="BS99" s="338"/>
      <c r="BT99" s="338"/>
      <c r="BU99" s="338"/>
      <c r="BV99" s="338"/>
      <c r="BW99" s="338"/>
      <c r="BX99" s="338"/>
      <c r="BY99" s="338"/>
      <c r="BZ99" s="338"/>
      <c r="CA99" s="338"/>
      <c r="CB99" s="338"/>
      <c r="CC99" s="338"/>
      <c r="CD99" s="338"/>
      <c r="CE99" s="338"/>
      <c r="CF99" s="338"/>
      <c r="CG99" s="338"/>
      <c r="CH99" s="338"/>
      <c r="CI99" s="338"/>
      <c r="CJ99" s="338"/>
      <c r="CK99" s="338"/>
      <c r="CL99" s="338"/>
      <c r="CM99" s="338"/>
      <c r="CN99" s="338"/>
      <c r="CO99" s="338"/>
      <c r="CP99" s="338"/>
      <c r="CQ99" s="338"/>
      <c r="CR99" s="338"/>
      <c r="CS99" s="338"/>
      <c r="CT99" s="338"/>
      <c r="CU99" s="338"/>
      <c r="CV99" s="338"/>
      <c r="CW99" s="338"/>
      <c r="CX99" s="338"/>
      <c r="CY99" s="338"/>
      <c r="CZ99" s="338"/>
      <c r="DA99" s="338"/>
      <c r="DB99" s="338"/>
      <c r="DC99" s="338"/>
      <c r="DD99" s="338"/>
      <c r="DE99" s="338"/>
      <c r="DF99" s="338"/>
      <c r="DG99" s="338"/>
      <c r="DH99" s="338"/>
      <c r="DI99" s="338"/>
      <c r="DJ99" s="338"/>
      <c r="DK99" s="338"/>
      <c r="DL99" s="338"/>
      <c r="DM99" s="338"/>
      <c r="DN99" s="338"/>
      <c r="DO99" s="338"/>
      <c r="DP99" s="338"/>
      <c r="DQ99" s="338"/>
      <c r="DR99" s="338"/>
      <c r="DS99" s="338"/>
      <c r="DT99" s="338"/>
      <c r="DU99" s="338"/>
      <c r="DV99" s="338"/>
      <c r="DW99" s="338"/>
      <c r="DX99" s="338"/>
      <c r="DY99" s="338"/>
      <c r="DZ99" s="338"/>
      <c r="EA99" s="338"/>
      <c r="EB99" s="338"/>
      <c r="EC99" s="338"/>
      <c r="ED99" s="338"/>
      <c r="EE99" s="338"/>
      <c r="EF99" s="338"/>
      <c r="EG99" s="338"/>
      <c r="EH99" s="338"/>
      <c r="EI99" s="338"/>
      <c r="EJ99" s="338"/>
    </row>
    <row r="100" spans="1:140" s="166" customFormat="1" ht="16.5" x14ac:dyDescent="0.3">
      <c r="A100" s="165"/>
      <c r="B100" s="167"/>
      <c r="C100" s="336"/>
      <c r="BK100" s="335"/>
      <c r="BL100" s="335"/>
      <c r="BM100" s="335"/>
      <c r="BN100" s="335"/>
      <c r="BO100" s="335"/>
      <c r="BP100" s="335"/>
      <c r="BQ100" s="335"/>
      <c r="BR100" s="335"/>
      <c r="BS100" s="335"/>
      <c r="BT100" s="335"/>
      <c r="BU100" s="335"/>
      <c r="BV100" s="335"/>
      <c r="BW100" s="335"/>
      <c r="BX100" s="335"/>
      <c r="BY100" s="335"/>
      <c r="BZ100" s="335"/>
      <c r="CA100" s="335"/>
      <c r="CB100" s="335"/>
      <c r="CC100" s="335"/>
      <c r="CD100" s="335"/>
      <c r="CE100" s="335"/>
      <c r="CF100" s="335"/>
      <c r="CG100" s="335"/>
      <c r="CH100" s="335"/>
      <c r="CI100" s="335"/>
      <c r="CJ100" s="335"/>
      <c r="CK100" s="335"/>
      <c r="CL100" s="335"/>
      <c r="CM100" s="335"/>
      <c r="CN100" s="335"/>
      <c r="CO100" s="335"/>
      <c r="CP100" s="335"/>
      <c r="CQ100" s="335"/>
      <c r="CR100" s="335"/>
      <c r="CS100" s="335"/>
      <c r="CT100" s="335"/>
      <c r="CU100" s="335"/>
      <c r="CV100" s="335"/>
      <c r="CW100" s="335"/>
      <c r="CX100" s="335"/>
      <c r="CY100" s="335"/>
      <c r="CZ100" s="335"/>
      <c r="DA100" s="335"/>
      <c r="DB100" s="335"/>
      <c r="DC100" s="335"/>
      <c r="DD100" s="335"/>
      <c r="DE100" s="335"/>
      <c r="DF100" s="335"/>
      <c r="DG100" s="335"/>
      <c r="DH100" s="335"/>
      <c r="DI100" s="335"/>
      <c r="DJ100" s="335"/>
      <c r="DK100" s="335"/>
      <c r="DL100" s="335"/>
      <c r="DM100" s="335"/>
      <c r="DN100" s="335"/>
      <c r="DO100" s="335"/>
      <c r="DP100" s="335"/>
      <c r="DQ100" s="335"/>
      <c r="DR100" s="335"/>
      <c r="DS100" s="335"/>
      <c r="DT100" s="335"/>
      <c r="DU100" s="335"/>
      <c r="DV100" s="335"/>
      <c r="DW100" s="335"/>
      <c r="DX100" s="335"/>
      <c r="DY100" s="335"/>
      <c r="DZ100" s="335"/>
      <c r="EA100" s="335"/>
      <c r="EB100" s="335"/>
      <c r="EC100" s="335"/>
      <c r="ED100" s="335"/>
      <c r="EE100" s="335"/>
      <c r="EF100" s="335"/>
      <c r="EG100" s="335"/>
      <c r="EH100" s="335"/>
      <c r="EI100" s="335"/>
      <c r="EJ100" s="335"/>
    </row>
    <row r="101" spans="1:140" s="166" customFormat="1" ht="16.5" x14ac:dyDescent="0.3">
      <c r="A101" s="165"/>
      <c r="B101" s="164"/>
      <c r="C101" s="334"/>
      <c r="BK101" s="335"/>
      <c r="BL101" s="335"/>
      <c r="BM101" s="335"/>
      <c r="BN101" s="335"/>
      <c r="BO101" s="335"/>
      <c r="BP101" s="335"/>
      <c r="BQ101" s="335"/>
      <c r="BR101" s="335"/>
      <c r="BS101" s="335"/>
      <c r="BT101" s="335"/>
      <c r="BU101" s="335"/>
      <c r="BV101" s="335"/>
      <c r="BW101" s="335"/>
      <c r="BX101" s="335"/>
      <c r="BY101" s="335"/>
      <c r="BZ101" s="335"/>
      <c r="CA101" s="335"/>
      <c r="CB101" s="335"/>
      <c r="CC101" s="335"/>
      <c r="CD101" s="335"/>
      <c r="CE101" s="335"/>
      <c r="CF101" s="335"/>
      <c r="CG101" s="335"/>
      <c r="CH101" s="335"/>
      <c r="CI101" s="335"/>
      <c r="CJ101" s="335"/>
      <c r="CK101" s="335"/>
      <c r="CL101" s="335"/>
      <c r="CM101" s="335"/>
      <c r="CN101" s="335"/>
      <c r="CO101" s="335"/>
      <c r="CP101" s="335"/>
      <c r="CQ101" s="335"/>
      <c r="CR101" s="335"/>
      <c r="CS101" s="335"/>
      <c r="CT101" s="335"/>
      <c r="CU101" s="335"/>
      <c r="CV101" s="335"/>
      <c r="CW101" s="335"/>
      <c r="CX101" s="335"/>
      <c r="CY101" s="335"/>
      <c r="CZ101" s="335"/>
      <c r="DA101" s="335"/>
      <c r="DB101" s="335"/>
      <c r="DC101" s="335"/>
      <c r="DD101" s="335"/>
      <c r="DE101" s="335"/>
      <c r="DF101" s="335"/>
      <c r="DG101" s="335"/>
      <c r="DH101" s="335"/>
      <c r="DI101" s="335"/>
      <c r="DJ101" s="335"/>
      <c r="DK101" s="335"/>
      <c r="DL101" s="335"/>
      <c r="DM101" s="335"/>
      <c r="DN101" s="335"/>
      <c r="DO101" s="335"/>
      <c r="DP101" s="335"/>
      <c r="DQ101" s="335"/>
      <c r="DR101" s="335"/>
      <c r="DS101" s="335"/>
      <c r="DT101" s="335"/>
      <c r="DU101" s="335"/>
      <c r="DV101" s="335"/>
      <c r="DW101" s="335"/>
      <c r="DX101" s="335"/>
      <c r="DY101" s="335"/>
      <c r="DZ101" s="335"/>
      <c r="EA101" s="335"/>
      <c r="EB101" s="335"/>
      <c r="EC101" s="335"/>
      <c r="ED101" s="335"/>
      <c r="EE101" s="335"/>
      <c r="EF101" s="335"/>
      <c r="EG101" s="335"/>
      <c r="EH101" s="335"/>
      <c r="EI101" s="335"/>
      <c r="EJ101" s="335"/>
    </row>
    <row r="102" spans="1:140" ht="16.5" x14ac:dyDescent="0.25">
      <c r="A102" s="165"/>
      <c r="B102" s="164"/>
      <c r="C102" s="334"/>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c r="AE102" s="330"/>
      <c r="AF102" s="330"/>
      <c r="AG102" s="330"/>
      <c r="AH102" s="330"/>
      <c r="AI102" s="330"/>
      <c r="AJ102" s="330"/>
      <c r="AK102" s="330"/>
      <c r="AL102" s="330"/>
      <c r="AM102" s="330"/>
      <c r="AN102" s="330"/>
      <c r="AO102" s="330"/>
      <c r="AP102" s="330"/>
      <c r="AQ102" s="330"/>
      <c r="AR102" s="330"/>
      <c r="AS102" s="330"/>
      <c r="AT102" s="330"/>
      <c r="AU102" s="330"/>
      <c r="AV102" s="330"/>
      <c r="AW102" s="330"/>
      <c r="AX102" s="330"/>
      <c r="AY102" s="330"/>
      <c r="AZ102" s="330"/>
      <c r="BA102" s="330"/>
      <c r="BB102" s="330"/>
      <c r="BC102" s="330"/>
      <c r="BD102" s="330"/>
      <c r="BE102" s="330"/>
      <c r="BF102" s="330"/>
      <c r="BG102" s="330"/>
      <c r="BH102" s="330"/>
      <c r="BI102" s="330"/>
      <c r="BJ102" s="330"/>
      <c r="BK102" s="333"/>
      <c r="BL102" s="333"/>
      <c r="BM102" s="333"/>
      <c r="BN102" s="333"/>
      <c r="BO102" s="333"/>
      <c r="BP102" s="333"/>
      <c r="BQ102" s="333"/>
      <c r="BR102" s="333"/>
      <c r="BS102" s="333"/>
      <c r="BT102" s="333"/>
      <c r="BU102" s="333"/>
      <c r="BV102" s="333"/>
      <c r="BW102" s="333"/>
      <c r="BX102" s="333"/>
      <c r="BY102" s="333"/>
      <c r="BZ102" s="333"/>
      <c r="CA102" s="333"/>
      <c r="CB102" s="333"/>
      <c r="CC102" s="333"/>
      <c r="CD102" s="333"/>
      <c r="CE102" s="333"/>
      <c r="CF102" s="333"/>
      <c r="CG102" s="333"/>
      <c r="CH102" s="333"/>
      <c r="CI102" s="333"/>
      <c r="CJ102" s="333"/>
      <c r="CK102" s="333"/>
      <c r="CL102" s="333"/>
      <c r="CM102" s="333"/>
      <c r="CN102" s="333"/>
      <c r="CO102" s="333"/>
      <c r="CP102" s="333"/>
      <c r="CQ102" s="333"/>
      <c r="CR102" s="333"/>
      <c r="CS102" s="333"/>
      <c r="CT102" s="333"/>
      <c r="CU102" s="333"/>
      <c r="CV102" s="333"/>
      <c r="CW102" s="333"/>
      <c r="CX102" s="333"/>
      <c r="CY102" s="333"/>
      <c r="CZ102" s="333"/>
      <c r="DA102" s="333"/>
      <c r="DB102" s="333"/>
      <c r="DC102" s="333"/>
      <c r="DD102" s="333"/>
      <c r="DE102" s="333"/>
      <c r="DF102" s="333"/>
      <c r="DG102" s="333"/>
      <c r="DH102" s="333"/>
      <c r="DI102" s="333"/>
      <c r="DJ102" s="333"/>
      <c r="DK102" s="333"/>
      <c r="DL102" s="333"/>
      <c r="DM102" s="333"/>
      <c r="DN102" s="333"/>
      <c r="DO102" s="333"/>
      <c r="DP102" s="333"/>
      <c r="DQ102" s="333"/>
      <c r="DR102" s="333"/>
      <c r="DS102" s="333"/>
      <c r="DT102" s="333"/>
      <c r="DU102" s="333"/>
      <c r="DV102" s="333"/>
      <c r="DW102" s="333"/>
      <c r="DX102" s="333"/>
      <c r="DY102" s="333"/>
      <c r="DZ102" s="333"/>
      <c r="EA102" s="333"/>
      <c r="EB102" s="333"/>
      <c r="EC102" s="333"/>
      <c r="ED102" s="333"/>
      <c r="EE102" s="333"/>
      <c r="EF102" s="333"/>
      <c r="EG102" s="333"/>
      <c r="EH102" s="333"/>
      <c r="EI102" s="333"/>
      <c r="EJ102" s="333"/>
    </row>
    <row r="103" spans="1:140" ht="16.5" x14ac:dyDescent="0.25">
      <c r="A103" s="165"/>
      <c r="B103" s="164"/>
      <c r="C103" s="334"/>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c r="AF103" s="330"/>
      <c r="AG103" s="330"/>
      <c r="AH103" s="330"/>
      <c r="AI103" s="330"/>
      <c r="AJ103" s="330"/>
      <c r="AK103" s="330"/>
      <c r="AL103" s="330"/>
      <c r="AM103" s="330"/>
      <c r="AN103" s="330"/>
      <c r="AO103" s="330"/>
      <c r="AP103" s="330"/>
      <c r="AQ103" s="330"/>
      <c r="AR103" s="330"/>
      <c r="AS103" s="330"/>
      <c r="AT103" s="330"/>
      <c r="AU103" s="330"/>
      <c r="AV103" s="330"/>
      <c r="AW103" s="330"/>
      <c r="AX103" s="330"/>
      <c r="AY103" s="330"/>
      <c r="AZ103" s="330"/>
      <c r="BA103" s="330"/>
      <c r="BB103" s="330"/>
      <c r="BC103" s="330"/>
      <c r="BD103" s="330"/>
      <c r="BE103" s="330"/>
      <c r="BF103" s="330"/>
      <c r="BG103" s="330"/>
      <c r="BH103" s="330"/>
      <c r="BI103" s="330"/>
      <c r="BJ103" s="330"/>
      <c r="BK103" s="333"/>
      <c r="BL103" s="333"/>
      <c r="BM103" s="333"/>
      <c r="BN103" s="333"/>
      <c r="BO103" s="333"/>
      <c r="BP103" s="333"/>
      <c r="BQ103" s="333"/>
      <c r="BR103" s="333"/>
      <c r="BS103" s="333"/>
      <c r="BT103" s="333"/>
      <c r="BU103" s="333"/>
      <c r="BV103" s="333"/>
      <c r="BW103" s="333"/>
      <c r="BX103" s="333"/>
      <c r="BY103" s="333"/>
      <c r="BZ103" s="333"/>
      <c r="CA103" s="333"/>
      <c r="CB103" s="333"/>
      <c r="CC103" s="333"/>
      <c r="CD103" s="333"/>
      <c r="CE103" s="333"/>
      <c r="CF103" s="333"/>
      <c r="CG103" s="333"/>
      <c r="CH103" s="333"/>
      <c r="CI103" s="333"/>
      <c r="CJ103" s="333"/>
      <c r="CK103" s="333"/>
      <c r="CL103" s="333"/>
      <c r="CM103" s="333"/>
      <c r="CN103" s="333"/>
      <c r="CO103" s="333"/>
      <c r="CP103" s="333"/>
      <c r="CQ103" s="333"/>
      <c r="CR103" s="333"/>
      <c r="CS103" s="333"/>
      <c r="CT103" s="333"/>
      <c r="CU103" s="333"/>
      <c r="CV103" s="333"/>
      <c r="CW103" s="333"/>
      <c r="CX103" s="333"/>
      <c r="CY103" s="333"/>
      <c r="CZ103" s="333"/>
      <c r="DA103" s="333"/>
      <c r="DB103" s="333"/>
      <c r="DC103" s="333"/>
      <c r="DD103" s="333"/>
      <c r="DE103" s="333"/>
      <c r="DF103" s="333"/>
      <c r="DG103" s="333"/>
      <c r="DH103" s="333"/>
      <c r="DI103" s="333"/>
      <c r="DJ103" s="333"/>
      <c r="DK103" s="333"/>
      <c r="DL103" s="333"/>
      <c r="DM103" s="333"/>
      <c r="DN103" s="333"/>
      <c r="DO103" s="333"/>
      <c r="DP103" s="333"/>
      <c r="DQ103" s="333"/>
      <c r="DR103" s="333"/>
      <c r="DS103" s="333"/>
      <c r="DT103" s="333"/>
      <c r="DU103" s="333"/>
      <c r="DV103" s="333"/>
      <c r="DW103" s="333"/>
      <c r="DX103" s="333"/>
      <c r="DY103" s="333"/>
      <c r="DZ103" s="333"/>
      <c r="EA103" s="333"/>
      <c r="EB103" s="333"/>
      <c r="EC103" s="333"/>
      <c r="ED103" s="333"/>
      <c r="EE103" s="333"/>
      <c r="EF103" s="333"/>
      <c r="EG103" s="333"/>
      <c r="EH103" s="333"/>
      <c r="EI103" s="333"/>
      <c r="EJ103" s="333"/>
    </row>
    <row r="104" spans="1:140" x14ac:dyDescent="0.25">
      <c r="A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330"/>
      <c r="AG104" s="330"/>
      <c r="AH104" s="330"/>
      <c r="AI104" s="330"/>
      <c r="AJ104" s="330"/>
      <c r="AK104" s="330"/>
      <c r="AL104" s="330"/>
      <c r="AM104" s="330"/>
      <c r="AN104" s="330"/>
      <c r="AO104" s="330"/>
      <c r="AP104" s="330"/>
      <c r="AQ104" s="330"/>
      <c r="AR104" s="330"/>
      <c r="AS104" s="330"/>
      <c r="AT104" s="330"/>
      <c r="AU104" s="330"/>
      <c r="AV104" s="330"/>
      <c r="AW104" s="330"/>
      <c r="AX104" s="330"/>
      <c r="AY104" s="330"/>
      <c r="AZ104" s="330"/>
      <c r="BA104" s="330"/>
      <c r="BB104" s="330"/>
      <c r="BC104" s="330"/>
      <c r="BD104" s="330"/>
      <c r="BE104" s="330"/>
      <c r="BF104" s="330"/>
      <c r="BG104" s="330"/>
      <c r="BH104" s="330"/>
      <c r="BI104" s="330"/>
      <c r="BJ104" s="330"/>
      <c r="BK104" s="333"/>
      <c r="BL104" s="333"/>
      <c r="BM104" s="333"/>
      <c r="BN104" s="333"/>
      <c r="BO104" s="333"/>
      <c r="BP104" s="333"/>
      <c r="BQ104" s="333"/>
      <c r="BR104" s="333"/>
      <c r="BS104" s="333"/>
      <c r="BT104" s="333"/>
      <c r="BU104" s="333"/>
      <c r="BV104" s="333"/>
      <c r="BW104" s="333"/>
      <c r="BX104" s="333"/>
      <c r="BY104" s="333"/>
      <c r="BZ104" s="333"/>
      <c r="CA104" s="333"/>
      <c r="CB104" s="333"/>
      <c r="CC104" s="333"/>
      <c r="CD104" s="333"/>
      <c r="CE104" s="333"/>
      <c r="CF104" s="333"/>
      <c r="CG104" s="333"/>
      <c r="CH104" s="333"/>
      <c r="CI104" s="333"/>
      <c r="CJ104" s="333"/>
      <c r="CK104" s="333"/>
      <c r="CL104" s="333"/>
      <c r="CM104" s="333"/>
      <c r="CN104" s="333"/>
      <c r="CO104" s="333"/>
      <c r="CP104" s="333"/>
      <c r="CQ104" s="333"/>
      <c r="CR104" s="333"/>
      <c r="CS104" s="333"/>
      <c r="CT104" s="333"/>
      <c r="CU104" s="333"/>
      <c r="CV104" s="333"/>
      <c r="CW104" s="333"/>
      <c r="CX104" s="333"/>
      <c r="CY104" s="333"/>
      <c r="CZ104" s="333"/>
      <c r="DA104" s="333"/>
      <c r="DB104" s="333"/>
      <c r="DC104" s="333"/>
      <c r="DD104" s="333"/>
      <c r="DE104" s="333"/>
      <c r="DF104" s="333"/>
      <c r="DG104" s="333"/>
      <c r="DH104" s="333"/>
      <c r="DI104" s="333"/>
      <c r="DJ104" s="333"/>
      <c r="DK104" s="333"/>
      <c r="DL104" s="333"/>
      <c r="DM104" s="333"/>
      <c r="DN104" s="333"/>
      <c r="DO104" s="333"/>
      <c r="DP104" s="333"/>
      <c r="DQ104" s="333"/>
      <c r="DR104" s="333"/>
      <c r="DS104" s="333"/>
      <c r="DT104" s="333"/>
      <c r="DU104" s="333"/>
      <c r="DV104" s="333"/>
      <c r="DW104" s="333"/>
      <c r="DX104" s="333"/>
      <c r="DY104" s="333"/>
      <c r="DZ104" s="333"/>
      <c r="EA104" s="333"/>
      <c r="EB104" s="333"/>
      <c r="EC104" s="333"/>
      <c r="ED104" s="333"/>
      <c r="EE104" s="333"/>
      <c r="EF104" s="333"/>
      <c r="EG104" s="333"/>
      <c r="EH104" s="333"/>
      <c r="EI104" s="333"/>
      <c r="EJ104" s="333"/>
    </row>
  </sheetData>
  <mergeCells count="106">
    <mergeCell ref="CI2:CJ2"/>
    <mergeCell ref="CK2:CL2"/>
    <mergeCell ref="CM2:CN2"/>
    <mergeCell ref="EE2:EF2"/>
    <mergeCell ref="EG2:EH2"/>
    <mergeCell ref="EI2:EJ2"/>
    <mergeCell ref="DM2:DN2"/>
    <mergeCell ref="DO2:DP2"/>
    <mergeCell ref="DQ2:DR2"/>
    <mergeCell ref="DS2:DT2"/>
    <mergeCell ref="DU2:DV2"/>
    <mergeCell ref="DW2:DX2"/>
    <mergeCell ref="A3:A4"/>
    <mergeCell ref="B3:B4"/>
    <mergeCell ref="C3:D3"/>
    <mergeCell ref="E3:F3"/>
    <mergeCell ref="G3:H3"/>
    <mergeCell ref="I3:J3"/>
    <mergeCell ref="DY2:DZ2"/>
    <mergeCell ref="EA2:EB2"/>
    <mergeCell ref="EC2:ED2"/>
    <mergeCell ref="DA2:DB2"/>
    <mergeCell ref="DC2:DD2"/>
    <mergeCell ref="DE2:DF2"/>
    <mergeCell ref="DG2:DH2"/>
    <mergeCell ref="DI2:DJ2"/>
    <mergeCell ref="DK2:DL2"/>
    <mergeCell ref="CO2:CP2"/>
    <mergeCell ref="CQ2:CR2"/>
    <mergeCell ref="CS2:CT2"/>
    <mergeCell ref="CU2:CV2"/>
    <mergeCell ref="CW2:CX2"/>
    <mergeCell ref="CY2:CZ2"/>
    <mergeCell ref="O2:P2"/>
    <mergeCell ref="U2:V2"/>
    <mergeCell ref="CG2:CH2"/>
    <mergeCell ref="W3:X3"/>
    <mergeCell ref="Y3:Z3"/>
    <mergeCell ref="AA3:AB3"/>
    <mergeCell ref="AC3:AD3"/>
    <mergeCell ref="AE3:AF3"/>
    <mergeCell ref="AG3:AH3"/>
    <mergeCell ref="K3:L3"/>
    <mergeCell ref="M3:N3"/>
    <mergeCell ref="O3:P3"/>
    <mergeCell ref="Q3:R3"/>
    <mergeCell ref="S3:T3"/>
    <mergeCell ref="U3:V3"/>
    <mergeCell ref="AU3:AV3"/>
    <mergeCell ref="AW3:AX3"/>
    <mergeCell ref="AY3:AZ3"/>
    <mergeCell ref="BA3:BB3"/>
    <mergeCell ref="BC3:BD3"/>
    <mergeCell ref="BE3:BF3"/>
    <mergeCell ref="AI3:AJ3"/>
    <mergeCell ref="AK3:AL3"/>
    <mergeCell ref="AM3:AN3"/>
    <mergeCell ref="AO3:AP3"/>
    <mergeCell ref="AQ3:AR3"/>
    <mergeCell ref="AS3:AT3"/>
    <mergeCell ref="BS3:BT3"/>
    <mergeCell ref="BU3:BV3"/>
    <mergeCell ref="BW3:BX3"/>
    <mergeCell ref="BY3:BZ3"/>
    <mergeCell ref="CA3:CB3"/>
    <mergeCell ref="CC3:CD3"/>
    <mergeCell ref="BG3:BH3"/>
    <mergeCell ref="BI3:BJ3"/>
    <mergeCell ref="BK3:BL3"/>
    <mergeCell ref="BM3:BN3"/>
    <mergeCell ref="BO3:BP3"/>
    <mergeCell ref="BQ3:BR3"/>
    <mergeCell ref="CU3:CV3"/>
    <mergeCell ref="CW3:CX3"/>
    <mergeCell ref="CY3:CZ3"/>
    <mergeCell ref="DA3:DB3"/>
    <mergeCell ref="CE3:CF3"/>
    <mergeCell ref="CG3:CH3"/>
    <mergeCell ref="CI3:CJ3"/>
    <mergeCell ref="CK3:CL3"/>
    <mergeCell ref="CM3:CN3"/>
    <mergeCell ref="CO3:CP3"/>
    <mergeCell ref="A23:CT23"/>
    <mergeCell ref="A41:CT41"/>
    <mergeCell ref="A59:CT59"/>
    <mergeCell ref="A77:CT77"/>
    <mergeCell ref="EA3:EB3"/>
    <mergeCell ref="EC3:ED3"/>
    <mergeCell ref="EE3:EF3"/>
    <mergeCell ref="EG3:EH3"/>
    <mergeCell ref="EI3:EJ3"/>
    <mergeCell ref="A5:CT5"/>
    <mergeCell ref="DO3:DP3"/>
    <mergeCell ref="DQ3:DR3"/>
    <mergeCell ref="DS3:DT3"/>
    <mergeCell ref="DU3:DV3"/>
    <mergeCell ref="DW3:DX3"/>
    <mergeCell ref="DY3:DZ3"/>
    <mergeCell ref="DC3:DD3"/>
    <mergeCell ref="DE3:DF3"/>
    <mergeCell ref="DG3:DH3"/>
    <mergeCell ref="DI3:DJ3"/>
    <mergeCell ref="DK3:DL3"/>
    <mergeCell ref="DM3:DN3"/>
    <mergeCell ref="CQ3:CR3"/>
    <mergeCell ref="CS3:CT3"/>
  </mergeCells>
  <printOptions verticalCentered="1"/>
  <pageMargins left="0.7" right="0.7" top="0.5" bottom="0.5" header="0" footer="0"/>
  <pageSetup paperSize="9" scale="45" orientation="portrait" r:id="rId1"/>
  <rowBreaks count="1" manualBreakCount="1">
    <brk id="58" max="13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45"/>
  <sheetViews>
    <sheetView showGridLines="0" topLeftCell="B1" zoomScaleNormal="100" zoomScaleSheetLayoutView="85" workbookViewId="0">
      <selection activeCell="A38" sqref="A38"/>
    </sheetView>
  </sheetViews>
  <sheetFormatPr defaultRowHeight="14.25" x14ac:dyDescent="0.25"/>
  <cols>
    <col min="1" max="1" width="0" style="2601" hidden="1" customWidth="1"/>
    <col min="2" max="2" width="61.5703125" style="2602" customWidth="1"/>
    <col min="3" max="3" width="18.85546875" style="2601" customWidth="1"/>
    <col min="4" max="4" width="3" style="2601" customWidth="1"/>
    <col min="5" max="5" width="19.140625" style="2601" customWidth="1"/>
    <col min="6" max="6" width="3.7109375" style="2601" customWidth="1"/>
    <col min="7" max="214" width="9.140625" style="2601"/>
    <col min="215" max="215" width="61.5703125" style="2601" customWidth="1"/>
    <col min="216" max="216" width="18.85546875" style="2601" customWidth="1"/>
    <col min="217" max="217" width="3" style="2601" customWidth="1"/>
    <col min="218" max="218" width="19.140625" style="2601" customWidth="1"/>
    <col min="219" max="219" width="3.7109375" style="2601" customWidth="1"/>
    <col min="220" max="256" width="9.140625" style="2601"/>
    <col min="257" max="257" width="0" style="2601" hidden="1" customWidth="1"/>
    <col min="258" max="258" width="61.5703125" style="2601" customWidth="1"/>
    <col min="259" max="259" width="18.85546875" style="2601" customWidth="1"/>
    <col min="260" max="260" width="3" style="2601" customWidth="1"/>
    <col min="261" max="261" width="19.140625" style="2601" customWidth="1"/>
    <col min="262" max="262" width="3.7109375" style="2601" customWidth="1"/>
    <col min="263" max="470" width="9.140625" style="2601"/>
    <col min="471" max="471" width="61.5703125" style="2601" customWidth="1"/>
    <col min="472" max="472" width="18.85546875" style="2601" customWidth="1"/>
    <col min="473" max="473" width="3" style="2601" customWidth="1"/>
    <col min="474" max="474" width="19.140625" style="2601" customWidth="1"/>
    <col min="475" max="475" width="3.7109375" style="2601" customWidth="1"/>
    <col min="476" max="512" width="9.140625" style="2601"/>
    <col min="513" max="513" width="0" style="2601" hidden="1" customWidth="1"/>
    <col min="514" max="514" width="61.5703125" style="2601" customWidth="1"/>
    <col min="515" max="515" width="18.85546875" style="2601" customWidth="1"/>
    <col min="516" max="516" width="3" style="2601" customWidth="1"/>
    <col min="517" max="517" width="19.140625" style="2601" customWidth="1"/>
    <col min="518" max="518" width="3.7109375" style="2601" customWidth="1"/>
    <col min="519" max="726" width="9.140625" style="2601"/>
    <col min="727" max="727" width="61.5703125" style="2601" customWidth="1"/>
    <col min="728" max="728" width="18.85546875" style="2601" customWidth="1"/>
    <col min="729" max="729" width="3" style="2601" customWidth="1"/>
    <col min="730" max="730" width="19.140625" style="2601" customWidth="1"/>
    <col min="731" max="731" width="3.7109375" style="2601" customWidth="1"/>
    <col min="732" max="768" width="9.140625" style="2601"/>
    <col min="769" max="769" width="0" style="2601" hidden="1" customWidth="1"/>
    <col min="770" max="770" width="61.5703125" style="2601" customWidth="1"/>
    <col min="771" max="771" width="18.85546875" style="2601" customWidth="1"/>
    <col min="772" max="772" width="3" style="2601" customWidth="1"/>
    <col min="773" max="773" width="19.140625" style="2601" customWidth="1"/>
    <col min="774" max="774" width="3.7109375" style="2601" customWidth="1"/>
    <col min="775" max="982" width="9.140625" style="2601"/>
    <col min="983" max="983" width="61.5703125" style="2601" customWidth="1"/>
    <col min="984" max="984" width="18.85546875" style="2601" customWidth="1"/>
    <col min="985" max="985" width="3" style="2601" customWidth="1"/>
    <col min="986" max="986" width="19.140625" style="2601" customWidth="1"/>
    <col min="987" max="987" width="3.7109375" style="2601" customWidth="1"/>
    <col min="988" max="1024" width="9.140625" style="2601"/>
    <col min="1025" max="1025" width="0" style="2601" hidden="1" customWidth="1"/>
    <col min="1026" max="1026" width="61.5703125" style="2601" customWidth="1"/>
    <col min="1027" max="1027" width="18.85546875" style="2601" customWidth="1"/>
    <col min="1028" max="1028" width="3" style="2601" customWidth="1"/>
    <col min="1029" max="1029" width="19.140625" style="2601" customWidth="1"/>
    <col min="1030" max="1030" width="3.7109375" style="2601" customWidth="1"/>
    <col min="1031" max="1238" width="9.140625" style="2601"/>
    <col min="1239" max="1239" width="61.5703125" style="2601" customWidth="1"/>
    <col min="1240" max="1240" width="18.85546875" style="2601" customWidth="1"/>
    <col min="1241" max="1241" width="3" style="2601" customWidth="1"/>
    <col min="1242" max="1242" width="19.140625" style="2601" customWidth="1"/>
    <col min="1243" max="1243" width="3.7109375" style="2601" customWidth="1"/>
    <col min="1244" max="1280" width="9.140625" style="2601"/>
    <col min="1281" max="1281" width="0" style="2601" hidden="1" customWidth="1"/>
    <col min="1282" max="1282" width="61.5703125" style="2601" customWidth="1"/>
    <col min="1283" max="1283" width="18.85546875" style="2601" customWidth="1"/>
    <col min="1284" max="1284" width="3" style="2601" customWidth="1"/>
    <col min="1285" max="1285" width="19.140625" style="2601" customWidth="1"/>
    <col min="1286" max="1286" width="3.7109375" style="2601" customWidth="1"/>
    <col min="1287" max="1494" width="9.140625" style="2601"/>
    <col min="1495" max="1495" width="61.5703125" style="2601" customWidth="1"/>
    <col min="1496" max="1496" width="18.85546875" style="2601" customWidth="1"/>
    <col min="1497" max="1497" width="3" style="2601" customWidth="1"/>
    <col min="1498" max="1498" width="19.140625" style="2601" customWidth="1"/>
    <col min="1499" max="1499" width="3.7109375" style="2601" customWidth="1"/>
    <col min="1500" max="1536" width="9.140625" style="2601"/>
    <col min="1537" max="1537" width="0" style="2601" hidden="1" customWidth="1"/>
    <col min="1538" max="1538" width="61.5703125" style="2601" customWidth="1"/>
    <col min="1539" max="1539" width="18.85546875" style="2601" customWidth="1"/>
    <col min="1540" max="1540" width="3" style="2601" customWidth="1"/>
    <col min="1541" max="1541" width="19.140625" style="2601" customWidth="1"/>
    <col min="1542" max="1542" width="3.7109375" style="2601" customWidth="1"/>
    <col min="1543" max="1750" width="9.140625" style="2601"/>
    <col min="1751" max="1751" width="61.5703125" style="2601" customWidth="1"/>
    <col min="1752" max="1752" width="18.85546875" style="2601" customWidth="1"/>
    <col min="1753" max="1753" width="3" style="2601" customWidth="1"/>
    <col min="1754" max="1754" width="19.140625" style="2601" customWidth="1"/>
    <col min="1755" max="1755" width="3.7109375" style="2601" customWidth="1"/>
    <col min="1756" max="1792" width="9.140625" style="2601"/>
    <col min="1793" max="1793" width="0" style="2601" hidden="1" customWidth="1"/>
    <col min="1794" max="1794" width="61.5703125" style="2601" customWidth="1"/>
    <col min="1795" max="1795" width="18.85546875" style="2601" customWidth="1"/>
    <col min="1796" max="1796" width="3" style="2601" customWidth="1"/>
    <col min="1797" max="1797" width="19.140625" style="2601" customWidth="1"/>
    <col min="1798" max="1798" width="3.7109375" style="2601" customWidth="1"/>
    <col min="1799" max="2006" width="9.140625" style="2601"/>
    <col min="2007" max="2007" width="61.5703125" style="2601" customWidth="1"/>
    <col min="2008" max="2008" width="18.85546875" style="2601" customWidth="1"/>
    <col min="2009" max="2009" width="3" style="2601" customWidth="1"/>
    <col min="2010" max="2010" width="19.140625" style="2601" customWidth="1"/>
    <col min="2011" max="2011" width="3.7109375" style="2601" customWidth="1"/>
    <col min="2012" max="2048" width="9.140625" style="2601"/>
    <col min="2049" max="2049" width="0" style="2601" hidden="1" customWidth="1"/>
    <col min="2050" max="2050" width="61.5703125" style="2601" customWidth="1"/>
    <col min="2051" max="2051" width="18.85546875" style="2601" customWidth="1"/>
    <col min="2052" max="2052" width="3" style="2601" customWidth="1"/>
    <col min="2053" max="2053" width="19.140625" style="2601" customWidth="1"/>
    <col min="2054" max="2054" width="3.7109375" style="2601" customWidth="1"/>
    <col min="2055" max="2262" width="9.140625" style="2601"/>
    <col min="2263" max="2263" width="61.5703125" style="2601" customWidth="1"/>
    <col min="2264" max="2264" width="18.85546875" style="2601" customWidth="1"/>
    <col min="2265" max="2265" width="3" style="2601" customWidth="1"/>
    <col min="2266" max="2266" width="19.140625" style="2601" customWidth="1"/>
    <col min="2267" max="2267" width="3.7109375" style="2601" customWidth="1"/>
    <col min="2268" max="2304" width="9.140625" style="2601"/>
    <col min="2305" max="2305" width="0" style="2601" hidden="1" customWidth="1"/>
    <col min="2306" max="2306" width="61.5703125" style="2601" customWidth="1"/>
    <col min="2307" max="2307" width="18.85546875" style="2601" customWidth="1"/>
    <col min="2308" max="2308" width="3" style="2601" customWidth="1"/>
    <col min="2309" max="2309" width="19.140625" style="2601" customWidth="1"/>
    <col min="2310" max="2310" width="3.7109375" style="2601" customWidth="1"/>
    <col min="2311" max="2518" width="9.140625" style="2601"/>
    <col min="2519" max="2519" width="61.5703125" style="2601" customWidth="1"/>
    <col min="2520" max="2520" width="18.85546875" style="2601" customWidth="1"/>
    <col min="2521" max="2521" width="3" style="2601" customWidth="1"/>
    <col min="2522" max="2522" width="19.140625" style="2601" customWidth="1"/>
    <col min="2523" max="2523" width="3.7109375" style="2601" customWidth="1"/>
    <col min="2524" max="2560" width="9.140625" style="2601"/>
    <col min="2561" max="2561" width="0" style="2601" hidden="1" customWidth="1"/>
    <col min="2562" max="2562" width="61.5703125" style="2601" customWidth="1"/>
    <col min="2563" max="2563" width="18.85546875" style="2601" customWidth="1"/>
    <col min="2564" max="2564" width="3" style="2601" customWidth="1"/>
    <col min="2565" max="2565" width="19.140625" style="2601" customWidth="1"/>
    <col min="2566" max="2566" width="3.7109375" style="2601" customWidth="1"/>
    <col min="2567" max="2774" width="9.140625" style="2601"/>
    <col min="2775" max="2775" width="61.5703125" style="2601" customWidth="1"/>
    <col min="2776" max="2776" width="18.85546875" style="2601" customWidth="1"/>
    <col min="2777" max="2777" width="3" style="2601" customWidth="1"/>
    <col min="2778" max="2778" width="19.140625" style="2601" customWidth="1"/>
    <col min="2779" max="2779" width="3.7109375" style="2601" customWidth="1"/>
    <col min="2780" max="2816" width="9.140625" style="2601"/>
    <col min="2817" max="2817" width="0" style="2601" hidden="1" customWidth="1"/>
    <col min="2818" max="2818" width="61.5703125" style="2601" customWidth="1"/>
    <col min="2819" max="2819" width="18.85546875" style="2601" customWidth="1"/>
    <col min="2820" max="2820" width="3" style="2601" customWidth="1"/>
    <col min="2821" max="2821" width="19.140625" style="2601" customWidth="1"/>
    <col min="2822" max="2822" width="3.7109375" style="2601" customWidth="1"/>
    <col min="2823" max="3030" width="9.140625" style="2601"/>
    <col min="3031" max="3031" width="61.5703125" style="2601" customWidth="1"/>
    <col min="3032" max="3032" width="18.85546875" style="2601" customWidth="1"/>
    <col min="3033" max="3033" width="3" style="2601" customWidth="1"/>
    <col min="3034" max="3034" width="19.140625" style="2601" customWidth="1"/>
    <col min="3035" max="3035" width="3.7109375" style="2601" customWidth="1"/>
    <col min="3036" max="3072" width="9.140625" style="2601"/>
    <col min="3073" max="3073" width="0" style="2601" hidden="1" customWidth="1"/>
    <col min="3074" max="3074" width="61.5703125" style="2601" customWidth="1"/>
    <col min="3075" max="3075" width="18.85546875" style="2601" customWidth="1"/>
    <col min="3076" max="3076" width="3" style="2601" customWidth="1"/>
    <col min="3077" max="3077" width="19.140625" style="2601" customWidth="1"/>
    <col min="3078" max="3078" width="3.7109375" style="2601" customWidth="1"/>
    <col min="3079" max="3286" width="9.140625" style="2601"/>
    <col min="3287" max="3287" width="61.5703125" style="2601" customWidth="1"/>
    <col min="3288" max="3288" width="18.85546875" style="2601" customWidth="1"/>
    <col min="3289" max="3289" width="3" style="2601" customWidth="1"/>
    <col min="3290" max="3290" width="19.140625" style="2601" customWidth="1"/>
    <col min="3291" max="3291" width="3.7109375" style="2601" customWidth="1"/>
    <col min="3292" max="3328" width="9.140625" style="2601"/>
    <col min="3329" max="3329" width="0" style="2601" hidden="1" customWidth="1"/>
    <col min="3330" max="3330" width="61.5703125" style="2601" customWidth="1"/>
    <col min="3331" max="3331" width="18.85546875" style="2601" customWidth="1"/>
    <col min="3332" max="3332" width="3" style="2601" customWidth="1"/>
    <col min="3333" max="3333" width="19.140625" style="2601" customWidth="1"/>
    <col min="3334" max="3334" width="3.7109375" style="2601" customWidth="1"/>
    <col min="3335" max="3542" width="9.140625" style="2601"/>
    <col min="3543" max="3543" width="61.5703125" style="2601" customWidth="1"/>
    <col min="3544" max="3544" width="18.85546875" style="2601" customWidth="1"/>
    <col min="3545" max="3545" width="3" style="2601" customWidth="1"/>
    <col min="3546" max="3546" width="19.140625" style="2601" customWidth="1"/>
    <col min="3547" max="3547" width="3.7109375" style="2601" customWidth="1"/>
    <col min="3548" max="3584" width="9.140625" style="2601"/>
    <col min="3585" max="3585" width="0" style="2601" hidden="1" customWidth="1"/>
    <col min="3586" max="3586" width="61.5703125" style="2601" customWidth="1"/>
    <col min="3587" max="3587" width="18.85546875" style="2601" customWidth="1"/>
    <col min="3588" max="3588" width="3" style="2601" customWidth="1"/>
    <col min="3589" max="3589" width="19.140625" style="2601" customWidth="1"/>
    <col min="3590" max="3590" width="3.7109375" style="2601" customWidth="1"/>
    <col min="3591" max="3798" width="9.140625" style="2601"/>
    <col min="3799" max="3799" width="61.5703125" style="2601" customWidth="1"/>
    <col min="3800" max="3800" width="18.85546875" style="2601" customWidth="1"/>
    <col min="3801" max="3801" width="3" style="2601" customWidth="1"/>
    <col min="3802" max="3802" width="19.140625" style="2601" customWidth="1"/>
    <col min="3803" max="3803" width="3.7109375" style="2601" customWidth="1"/>
    <col min="3804" max="3840" width="9.140625" style="2601"/>
    <col min="3841" max="3841" width="0" style="2601" hidden="1" customWidth="1"/>
    <col min="3842" max="3842" width="61.5703125" style="2601" customWidth="1"/>
    <col min="3843" max="3843" width="18.85546875" style="2601" customWidth="1"/>
    <col min="3844" max="3844" width="3" style="2601" customWidth="1"/>
    <col min="3845" max="3845" width="19.140625" style="2601" customWidth="1"/>
    <col min="3846" max="3846" width="3.7109375" style="2601" customWidth="1"/>
    <col min="3847" max="4054" width="9.140625" style="2601"/>
    <col min="4055" max="4055" width="61.5703125" style="2601" customWidth="1"/>
    <col min="4056" max="4056" width="18.85546875" style="2601" customWidth="1"/>
    <col min="4057" max="4057" width="3" style="2601" customWidth="1"/>
    <col min="4058" max="4058" width="19.140625" style="2601" customWidth="1"/>
    <col min="4059" max="4059" width="3.7109375" style="2601" customWidth="1"/>
    <col min="4060" max="4096" width="9.140625" style="2601"/>
    <col min="4097" max="4097" width="0" style="2601" hidden="1" customWidth="1"/>
    <col min="4098" max="4098" width="61.5703125" style="2601" customWidth="1"/>
    <col min="4099" max="4099" width="18.85546875" style="2601" customWidth="1"/>
    <col min="4100" max="4100" width="3" style="2601" customWidth="1"/>
    <col min="4101" max="4101" width="19.140625" style="2601" customWidth="1"/>
    <col min="4102" max="4102" width="3.7109375" style="2601" customWidth="1"/>
    <col min="4103" max="4310" width="9.140625" style="2601"/>
    <col min="4311" max="4311" width="61.5703125" style="2601" customWidth="1"/>
    <col min="4312" max="4312" width="18.85546875" style="2601" customWidth="1"/>
    <col min="4313" max="4313" width="3" style="2601" customWidth="1"/>
    <col min="4314" max="4314" width="19.140625" style="2601" customWidth="1"/>
    <col min="4315" max="4315" width="3.7109375" style="2601" customWidth="1"/>
    <col min="4316" max="4352" width="9.140625" style="2601"/>
    <col min="4353" max="4353" width="0" style="2601" hidden="1" customWidth="1"/>
    <col min="4354" max="4354" width="61.5703125" style="2601" customWidth="1"/>
    <col min="4355" max="4355" width="18.85546875" style="2601" customWidth="1"/>
    <col min="4356" max="4356" width="3" style="2601" customWidth="1"/>
    <col min="4357" max="4357" width="19.140625" style="2601" customWidth="1"/>
    <col min="4358" max="4358" width="3.7109375" style="2601" customWidth="1"/>
    <col min="4359" max="4566" width="9.140625" style="2601"/>
    <col min="4567" max="4567" width="61.5703125" style="2601" customWidth="1"/>
    <col min="4568" max="4568" width="18.85546875" style="2601" customWidth="1"/>
    <col min="4569" max="4569" width="3" style="2601" customWidth="1"/>
    <col min="4570" max="4570" width="19.140625" style="2601" customWidth="1"/>
    <col min="4571" max="4571" width="3.7109375" style="2601" customWidth="1"/>
    <col min="4572" max="4608" width="9.140625" style="2601"/>
    <col min="4609" max="4609" width="0" style="2601" hidden="1" customWidth="1"/>
    <col min="4610" max="4610" width="61.5703125" style="2601" customWidth="1"/>
    <col min="4611" max="4611" width="18.85546875" style="2601" customWidth="1"/>
    <col min="4612" max="4612" width="3" style="2601" customWidth="1"/>
    <col min="4613" max="4613" width="19.140625" style="2601" customWidth="1"/>
    <col min="4614" max="4614" width="3.7109375" style="2601" customWidth="1"/>
    <col min="4615" max="4822" width="9.140625" style="2601"/>
    <col min="4823" max="4823" width="61.5703125" style="2601" customWidth="1"/>
    <col min="4824" max="4824" width="18.85546875" style="2601" customWidth="1"/>
    <col min="4825" max="4825" width="3" style="2601" customWidth="1"/>
    <col min="4826" max="4826" width="19.140625" style="2601" customWidth="1"/>
    <col min="4827" max="4827" width="3.7109375" style="2601" customWidth="1"/>
    <col min="4828" max="4864" width="9.140625" style="2601"/>
    <col min="4865" max="4865" width="0" style="2601" hidden="1" customWidth="1"/>
    <col min="4866" max="4866" width="61.5703125" style="2601" customWidth="1"/>
    <col min="4867" max="4867" width="18.85546875" style="2601" customWidth="1"/>
    <col min="4868" max="4868" width="3" style="2601" customWidth="1"/>
    <col min="4869" max="4869" width="19.140625" style="2601" customWidth="1"/>
    <col min="4870" max="4870" width="3.7109375" style="2601" customWidth="1"/>
    <col min="4871" max="5078" width="9.140625" style="2601"/>
    <col min="5079" max="5079" width="61.5703125" style="2601" customWidth="1"/>
    <col min="5080" max="5080" width="18.85546875" style="2601" customWidth="1"/>
    <col min="5081" max="5081" width="3" style="2601" customWidth="1"/>
    <col min="5082" max="5082" width="19.140625" style="2601" customWidth="1"/>
    <col min="5083" max="5083" width="3.7109375" style="2601" customWidth="1"/>
    <col min="5084" max="5120" width="9.140625" style="2601"/>
    <col min="5121" max="5121" width="0" style="2601" hidden="1" customWidth="1"/>
    <col min="5122" max="5122" width="61.5703125" style="2601" customWidth="1"/>
    <col min="5123" max="5123" width="18.85546875" style="2601" customWidth="1"/>
    <col min="5124" max="5124" width="3" style="2601" customWidth="1"/>
    <col min="5125" max="5125" width="19.140625" style="2601" customWidth="1"/>
    <col min="5126" max="5126" width="3.7109375" style="2601" customWidth="1"/>
    <col min="5127" max="5334" width="9.140625" style="2601"/>
    <col min="5335" max="5335" width="61.5703125" style="2601" customWidth="1"/>
    <col min="5336" max="5336" width="18.85546875" style="2601" customWidth="1"/>
    <col min="5337" max="5337" width="3" style="2601" customWidth="1"/>
    <col min="5338" max="5338" width="19.140625" style="2601" customWidth="1"/>
    <col min="5339" max="5339" width="3.7109375" style="2601" customWidth="1"/>
    <col min="5340" max="5376" width="9.140625" style="2601"/>
    <col min="5377" max="5377" width="0" style="2601" hidden="1" customWidth="1"/>
    <col min="5378" max="5378" width="61.5703125" style="2601" customWidth="1"/>
    <col min="5379" max="5379" width="18.85546875" style="2601" customWidth="1"/>
    <col min="5380" max="5380" width="3" style="2601" customWidth="1"/>
    <col min="5381" max="5381" width="19.140625" style="2601" customWidth="1"/>
    <col min="5382" max="5382" width="3.7109375" style="2601" customWidth="1"/>
    <col min="5383" max="5590" width="9.140625" style="2601"/>
    <col min="5591" max="5591" width="61.5703125" style="2601" customWidth="1"/>
    <col min="5592" max="5592" width="18.85546875" style="2601" customWidth="1"/>
    <col min="5593" max="5593" width="3" style="2601" customWidth="1"/>
    <col min="5594" max="5594" width="19.140625" style="2601" customWidth="1"/>
    <col min="5595" max="5595" width="3.7109375" style="2601" customWidth="1"/>
    <col min="5596" max="5632" width="9.140625" style="2601"/>
    <col min="5633" max="5633" width="0" style="2601" hidden="1" customWidth="1"/>
    <col min="5634" max="5634" width="61.5703125" style="2601" customWidth="1"/>
    <col min="5635" max="5635" width="18.85546875" style="2601" customWidth="1"/>
    <col min="5636" max="5636" width="3" style="2601" customWidth="1"/>
    <col min="5637" max="5637" width="19.140625" style="2601" customWidth="1"/>
    <col min="5638" max="5638" width="3.7109375" style="2601" customWidth="1"/>
    <col min="5639" max="5846" width="9.140625" style="2601"/>
    <col min="5847" max="5847" width="61.5703125" style="2601" customWidth="1"/>
    <col min="5848" max="5848" width="18.85546875" style="2601" customWidth="1"/>
    <col min="5849" max="5849" width="3" style="2601" customWidth="1"/>
    <col min="5850" max="5850" width="19.140625" style="2601" customWidth="1"/>
    <col min="5851" max="5851" width="3.7109375" style="2601" customWidth="1"/>
    <col min="5852" max="5888" width="9.140625" style="2601"/>
    <col min="5889" max="5889" width="0" style="2601" hidden="1" customWidth="1"/>
    <col min="5890" max="5890" width="61.5703125" style="2601" customWidth="1"/>
    <col min="5891" max="5891" width="18.85546875" style="2601" customWidth="1"/>
    <col min="5892" max="5892" width="3" style="2601" customWidth="1"/>
    <col min="5893" max="5893" width="19.140625" style="2601" customWidth="1"/>
    <col min="5894" max="5894" width="3.7109375" style="2601" customWidth="1"/>
    <col min="5895" max="6102" width="9.140625" style="2601"/>
    <col min="6103" max="6103" width="61.5703125" style="2601" customWidth="1"/>
    <col min="6104" max="6104" width="18.85546875" style="2601" customWidth="1"/>
    <col min="6105" max="6105" width="3" style="2601" customWidth="1"/>
    <col min="6106" max="6106" width="19.140625" style="2601" customWidth="1"/>
    <col min="6107" max="6107" width="3.7109375" style="2601" customWidth="1"/>
    <col min="6108" max="6144" width="9.140625" style="2601"/>
    <col min="6145" max="6145" width="0" style="2601" hidden="1" customWidth="1"/>
    <col min="6146" max="6146" width="61.5703125" style="2601" customWidth="1"/>
    <col min="6147" max="6147" width="18.85546875" style="2601" customWidth="1"/>
    <col min="6148" max="6148" width="3" style="2601" customWidth="1"/>
    <col min="6149" max="6149" width="19.140625" style="2601" customWidth="1"/>
    <col min="6150" max="6150" width="3.7109375" style="2601" customWidth="1"/>
    <col min="6151" max="6358" width="9.140625" style="2601"/>
    <col min="6359" max="6359" width="61.5703125" style="2601" customWidth="1"/>
    <col min="6360" max="6360" width="18.85546875" style="2601" customWidth="1"/>
    <col min="6361" max="6361" width="3" style="2601" customWidth="1"/>
    <col min="6362" max="6362" width="19.140625" style="2601" customWidth="1"/>
    <col min="6363" max="6363" width="3.7109375" style="2601" customWidth="1"/>
    <col min="6364" max="6400" width="9.140625" style="2601"/>
    <col min="6401" max="6401" width="0" style="2601" hidden="1" customWidth="1"/>
    <col min="6402" max="6402" width="61.5703125" style="2601" customWidth="1"/>
    <col min="6403" max="6403" width="18.85546875" style="2601" customWidth="1"/>
    <col min="6404" max="6404" width="3" style="2601" customWidth="1"/>
    <col min="6405" max="6405" width="19.140625" style="2601" customWidth="1"/>
    <col min="6406" max="6406" width="3.7109375" style="2601" customWidth="1"/>
    <col min="6407" max="6614" width="9.140625" style="2601"/>
    <col min="6615" max="6615" width="61.5703125" style="2601" customWidth="1"/>
    <col min="6616" max="6616" width="18.85546875" style="2601" customWidth="1"/>
    <col min="6617" max="6617" width="3" style="2601" customWidth="1"/>
    <col min="6618" max="6618" width="19.140625" style="2601" customWidth="1"/>
    <col min="6619" max="6619" width="3.7109375" style="2601" customWidth="1"/>
    <col min="6620" max="6656" width="9.140625" style="2601"/>
    <col min="6657" max="6657" width="0" style="2601" hidden="1" customWidth="1"/>
    <col min="6658" max="6658" width="61.5703125" style="2601" customWidth="1"/>
    <col min="6659" max="6659" width="18.85546875" style="2601" customWidth="1"/>
    <col min="6660" max="6660" width="3" style="2601" customWidth="1"/>
    <col min="6661" max="6661" width="19.140625" style="2601" customWidth="1"/>
    <col min="6662" max="6662" width="3.7109375" style="2601" customWidth="1"/>
    <col min="6663" max="6870" width="9.140625" style="2601"/>
    <col min="6871" max="6871" width="61.5703125" style="2601" customWidth="1"/>
    <col min="6872" max="6872" width="18.85546875" style="2601" customWidth="1"/>
    <col min="6873" max="6873" width="3" style="2601" customWidth="1"/>
    <col min="6874" max="6874" width="19.140625" style="2601" customWidth="1"/>
    <col min="6875" max="6875" width="3.7109375" style="2601" customWidth="1"/>
    <col min="6876" max="6912" width="9.140625" style="2601"/>
    <col min="6913" max="6913" width="0" style="2601" hidden="1" customWidth="1"/>
    <col min="6914" max="6914" width="61.5703125" style="2601" customWidth="1"/>
    <col min="6915" max="6915" width="18.85546875" style="2601" customWidth="1"/>
    <col min="6916" max="6916" width="3" style="2601" customWidth="1"/>
    <col min="6917" max="6917" width="19.140625" style="2601" customWidth="1"/>
    <col min="6918" max="6918" width="3.7109375" style="2601" customWidth="1"/>
    <col min="6919" max="7126" width="9.140625" style="2601"/>
    <col min="7127" max="7127" width="61.5703125" style="2601" customWidth="1"/>
    <col min="7128" max="7128" width="18.85546875" style="2601" customWidth="1"/>
    <col min="7129" max="7129" width="3" style="2601" customWidth="1"/>
    <col min="7130" max="7130" width="19.140625" style="2601" customWidth="1"/>
    <col min="7131" max="7131" width="3.7109375" style="2601" customWidth="1"/>
    <col min="7132" max="7168" width="9.140625" style="2601"/>
    <col min="7169" max="7169" width="0" style="2601" hidden="1" customWidth="1"/>
    <col min="7170" max="7170" width="61.5703125" style="2601" customWidth="1"/>
    <col min="7171" max="7171" width="18.85546875" style="2601" customWidth="1"/>
    <col min="7172" max="7172" width="3" style="2601" customWidth="1"/>
    <col min="7173" max="7173" width="19.140625" style="2601" customWidth="1"/>
    <col min="7174" max="7174" width="3.7109375" style="2601" customWidth="1"/>
    <col min="7175" max="7382" width="9.140625" style="2601"/>
    <col min="7383" max="7383" width="61.5703125" style="2601" customWidth="1"/>
    <col min="7384" max="7384" width="18.85546875" style="2601" customWidth="1"/>
    <col min="7385" max="7385" width="3" style="2601" customWidth="1"/>
    <col min="7386" max="7386" width="19.140625" style="2601" customWidth="1"/>
    <col min="7387" max="7387" width="3.7109375" style="2601" customWidth="1"/>
    <col min="7388" max="7424" width="9.140625" style="2601"/>
    <col min="7425" max="7425" width="0" style="2601" hidden="1" customWidth="1"/>
    <col min="7426" max="7426" width="61.5703125" style="2601" customWidth="1"/>
    <col min="7427" max="7427" width="18.85546875" style="2601" customWidth="1"/>
    <col min="7428" max="7428" width="3" style="2601" customWidth="1"/>
    <col min="7429" max="7429" width="19.140625" style="2601" customWidth="1"/>
    <col min="7430" max="7430" width="3.7109375" style="2601" customWidth="1"/>
    <col min="7431" max="7638" width="9.140625" style="2601"/>
    <col min="7639" max="7639" width="61.5703125" style="2601" customWidth="1"/>
    <col min="7640" max="7640" width="18.85546875" style="2601" customWidth="1"/>
    <col min="7641" max="7641" width="3" style="2601" customWidth="1"/>
    <col min="7642" max="7642" width="19.140625" style="2601" customWidth="1"/>
    <col min="7643" max="7643" width="3.7109375" style="2601" customWidth="1"/>
    <col min="7644" max="7680" width="9.140625" style="2601"/>
    <col min="7681" max="7681" width="0" style="2601" hidden="1" customWidth="1"/>
    <col min="7682" max="7682" width="61.5703125" style="2601" customWidth="1"/>
    <col min="7683" max="7683" width="18.85546875" style="2601" customWidth="1"/>
    <col min="7684" max="7684" width="3" style="2601" customWidth="1"/>
    <col min="7685" max="7685" width="19.140625" style="2601" customWidth="1"/>
    <col min="7686" max="7686" width="3.7109375" style="2601" customWidth="1"/>
    <col min="7687" max="7894" width="9.140625" style="2601"/>
    <col min="7895" max="7895" width="61.5703125" style="2601" customWidth="1"/>
    <col min="7896" max="7896" width="18.85546875" style="2601" customWidth="1"/>
    <col min="7897" max="7897" width="3" style="2601" customWidth="1"/>
    <col min="7898" max="7898" width="19.140625" style="2601" customWidth="1"/>
    <col min="7899" max="7899" width="3.7109375" style="2601" customWidth="1"/>
    <col min="7900" max="7936" width="9.140625" style="2601"/>
    <col min="7937" max="7937" width="0" style="2601" hidden="1" customWidth="1"/>
    <col min="7938" max="7938" width="61.5703125" style="2601" customWidth="1"/>
    <col min="7939" max="7939" width="18.85546875" style="2601" customWidth="1"/>
    <col min="7940" max="7940" width="3" style="2601" customWidth="1"/>
    <col min="7941" max="7941" width="19.140625" style="2601" customWidth="1"/>
    <col min="7942" max="7942" width="3.7109375" style="2601" customWidth="1"/>
    <col min="7943" max="8150" width="9.140625" style="2601"/>
    <col min="8151" max="8151" width="61.5703125" style="2601" customWidth="1"/>
    <col min="8152" max="8152" width="18.85546875" style="2601" customWidth="1"/>
    <col min="8153" max="8153" width="3" style="2601" customWidth="1"/>
    <col min="8154" max="8154" width="19.140625" style="2601" customWidth="1"/>
    <col min="8155" max="8155" width="3.7109375" style="2601" customWidth="1"/>
    <col min="8156" max="8192" width="9.140625" style="2601"/>
    <col min="8193" max="8193" width="0" style="2601" hidden="1" customWidth="1"/>
    <col min="8194" max="8194" width="61.5703125" style="2601" customWidth="1"/>
    <col min="8195" max="8195" width="18.85546875" style="2601" customWidth="1"/>
    <col min="8196" max="8196" width="3" style="2601" customWidth="1"/>
    <col min="8197" max="8197" width="19.140625" style="2601" customWidth="1"/>
    <col min="8198" max="8198" width="3.7109375" style="2601" customWidth="1"/>
    <col min="8199" max="8406" width="9.140625" style="2601"/>
    <col min="8407" max="8407" width="61.5703125" style="2601" customWidth="1"/>
    <col min="8408" max="8408" width="18.85546875" style="2601" customWidth="1"/>
    <col min="8409" max="8409" width="3" style="2601" customWidth="1"/>
    <col min="8410" max="8410" width="19.140625" style="2601" customWidth="1"/>
    <col min="8411" max="8411" width="3.7109375" style="2601" customWidth="1"/>
    <col min="8412" max="8448" width="9.140625" style="2601"/>
    <col min="8449" max="8449" width="0" style="2601" hidden="1" customWidth="1"/>
    <col min="8450" max="8450" width="61.5703125" style="2601" customWidth="1"/>
    <col min="8451" max="8451" width="18.85546875" style="2601" customWidth="1"/>
    <col min="8452" max="8452" width="3" style="2601" customWidth="1"/>
    <col min="8453" max="8453" width="19.140625" style="2601" customWidth="1"/>
    <col min="8454" max="8454" width="3.7109375" style="2601" customWidth="1"/>
    <col min="8455" max="8662" width="9.140625" style="2601"/>
    <col min="8663" max="8663" width="61.5703125" style="2601" customWidth="1"/>
    <col min="8664" max="8664" width="18.85546875" style="2601" customWidth="1"/>
    <col min="8665" max="8665" width="3" style="2601" customWidth="1"/>
    <col min="8666" max="8666" width="19.140625" style="2601" customWidth="1"/>
    <col min="8667" max="8667" width="3.7109375" style="2601" customWidth="1"/>
    <col min="8668" max="8704" width="9.140625" style="2601"/>
    <col min="8705" max="8705" width="0" style="2601" hidden="1" customWidth="1"/>
    <col min="8706" max="8706" width="61.5703125" style="2601" customWidth="1"/>
    <col min="8707" max="8707" width="18.85546875" style="2601" customWidth="1"/>
    <col min="8708" max="8708" width="3" style="2601" customWidth="1"/>
    <col min="8709" max="8709" width="19.140625" style="2601" customWidth="1"/>
    <col min="8710" max="8710" width="3.7109375" style="2601" customWidth="1"/>
    <col min="8711" max="8918" width="9.140625" style="2601"/>
    <col min="8919" max="8919" width="61.5703125" style="2601" customWidth="1"/>
    <col min="8920" max="8920" width="18.85546875" style="2601" customWidth="1"/>
    <col min="8921" max="8921" width="3" style="2601" customWidth="1"/>
    <col min="8922" max="8922" width="19.140625" style="2601" customWidth="1"/>
    <col min="8923" max="8923" width="3.7109375" style="2601" customWidth="1"/>
    <col min="8924" max="8960" width="9.140625" style="2601"/>
    <col min="8961" max="8961" width="0" style="2601" hidden="1" customWidth="1"/>
    <col min="8962" max="8962" width="61.5703125" style="2601" customWidth="1"/>
    <col min="8963" max="8963" width="18.85546875" style="2601" customWidth="1"/>
    <col min="8964" max="8964" width="3" style="2601" customWidth="1"/>
    <col min="8965" max="8965" width="19.140625" style="2601" customWidth="1"/>
    <col min="8966" max="8966" width="3.7109375" style="2601" customWidth="1"/>
    <col min="8967" max="9174" width="9.140625" style="2601"/>
    <col min="9175" max="9175" width="61.5703125" style="2601" customWidth="1"/>
    <col min="9176" max="9176" width="18.85546875" style="2601" customWidth="1"/>
    <col min="9177" max="9177" width="3" style="2601" customWidth="1"/>
    <col min="9178" max="9178" width="19.140625" style="2601" customWidth="1"/>
    <col min="9179" max="9179" width="3.7109375" style="2601" customWidth="1"/>
    <col min="9180" max="9216" width="9.140625" style="2601"/>
    <col min="9217" max="9217" width="0" style="2601" hidden="1" customWidth="1"/>
    <col min="9218" max="9218" width="61.5703125" style="2601" customWidth="1"/>
    <col min="9219" max="9219" width="18.85546875" style="2601" customWidth="1"/>
    <col min="9220" max="9220" width="3" style="2601" customWidth="1"/>
    <col min="9221" max="9221" width="19.140625" style="2601" customWidth="1"/>
    <col min="9222" max="9222" width="3.7109375" style="2601" customWidth="1"/>
    <col min="9223" max="9430" width="9.140625" style="2601"/>
    <col min="9431" max="9431" width="61.5703125" style="2601" customWidth="1"/>
    <col min="9432" max="9432" width="18.85546875" style="2601" customWidth="1"/>
    <col min="9433" max="9433" width="3" style="2601" customWidth="1"/>
    <col min="9434" max="9434" width="19.140625" style="2601" customWidth="1"/>
    <col min="9435" max="9435" width="3.7109375" style="2601" customWidth="1"/>
    <col min="9436" max="9472" width="9.140625" style="2601"/>
    <col min="9473" max="9473" width="0" style="2601" hidden="1" customWidth="1"/>
    <col min="9474" max="9474" width="61.5703125" style="2601" customWidth="1"/>
    <col min="9475" max="9475" width="18.85546875" style="2601" customWidth="1"/>
    <col min="9476" max="9476" width="3" style="2601" customWidth="1"/>
    <col min="9477" max="9477" width="19.140625" style="2601" customWidth="1"/>
    <col min="9478" max="9478" width="3.7109375" style="2601" customWidth="1"/>
    <col min="9479" max="9686" width="9.140625" style="2601"/>
    <col min="9687" max="9687" width="61.5703125" style="2601" customWidth="1"/>
    <col min="9688" max="9688" width="18.85546875" style="2601" customWidth="1"/>
    <col min="9689" max="9689" width="3" style="2601" customWidth="1"/>
    <col min="9690" max="9690" width="19.140625" style="2601" customWidth="1"/>
    <col min="9691" max="9691" width="3.7109375" style="2601" customWidth="1"/>
    <col min="9692" max="9728" width="9.140625" style="2601"/>
    <col min="9729" max="9729" width="0" style="2601" hidden="1" customWidth="1"/>
    <col min="9730" max="9730" width="61.5703125" style="2601" customWidth="1"/>
    <col min="9731" max="9731" width="18.85546875" style="2601" customWidth="1"/>
    <col min="9732" max="9732" width="3" style="2601" customWidth="1"/>
    <col min="9733" max="9733" width="19.140625" style="2601" customWidth="1"/>
    <col min="9734" max="9734" width="3.7109375" style="2601" customWidth="1"/>
    <col min="9735" max="9942" width="9.140625" style="2601"/>
    <col min="9943" max="9943" width="61.5703125" style="2601" customWidth="1"/>
    <col min="9944" max="9944" width="18.85546875" style="2601" customWidth="1"/>
    <col min="9945" max="9945" width="3" style="2601" customWidth="1"/>
    <col min="9946" max="9946" width="19.140625" style="2601" customWidth="1"/>
    <col min="9947" max="9947" width="3.7109375" style="2601" customWidth="1"/>
    <col min="9948" max="9984" width="9.140625" style="2601"/>
    <col min="9985" max="9985" width="0" style="2601" hidden="1" customWidth="1"/>
    <col min="9986" max="9986" width="61.5703125" style="2601" customWidth="1"/>
    <col min="9987" max="9987" width="18.85546875" style="2601" customWidth="1"/>
    <col min="9988" max="9988" width="3" style="2601" customWidth="1"/>
    <col min="9989" max="9989" width="19.140625" style="2601" customWidth="1"/>
    <col min="9990" max="9990" width="3.7109375" style="2601" customWidth="1"/>
    <col min="9991" max="10198" width="9.140625" style="2601"/>
    <col min="10199" max="10199" width="61.5703125" style="2601" customWidth="1"/>
    <col min="10200" max="10200" width="18.85546875" style="2601" customWidth="1"/>
    <col min="10201" max="10201" width="3" style="2601" customWidth="1"/>
    <col min="10202" max="10202" width="19.140625" style="2601" customWidth="1"/>
    <col min="10203" max="10203" width="3.7109375" style="2601" customWidth="1"/>
    <col min="10204" max="10240" width="9.140625" style="2601"/>
    <col min="10241" max="10241" width="0" style="2601" hidden="1" customWidth="1"/>
    <col min="10242" max="10242" width="61.5703125" style="2601" customWidth="1"/>
    <col min="10243" max="10243" width="18.85546875" style="2601" customWidth="1"/>
    <col min="10244" max="10244" width="3" style="2601" customWidth="1"/>
    <col min="10245" max="10245" width="19.140625" style="2601" customWidth="1"/>
    <col min="10246" max="10246" width="3.7109375" style="2601" customWidth="1"/>
    <col min="10247" max="10454" width="9.140625" style="2601"/>
    <col min="10455" max="10455" width="61.5703125" style="2601" customWidth="1"/>
    <col min="10456" max="10456" width="18.85546875" style="2601" customWidth="1"/>
    <col min="10457" max="10457" width="3" style="2601" customWidth="1"/>
    <col min="10458" max="10458" width="19.140625" style="2601" customWidth="1"/>
    <col min="10459" max="10459" width="3.7109375" style="2601" customWidth="1"/>
    <col min="10460" max="10496" width="9.140625" style="2601"/>
    <col min="10497" max="10497" width="0" style="2601" hidden="1" customWidth="1"/>
    <col min="10498" max="10498" width="61.5703125" style="2601" customWidth="1"/>
    <col min="10499" max="10499" width="18.85546875" style="2601" customWidth="1"/>
    <col min="10500" max="10500" width="3" style="2601" customWidth="1"/>
    <col min="10501" max="10501" width="19.140625" style="2601" customWidth="1"/>
    <col min="10502" max="10502" width="3.7109375" style="2601" customWidth="1"/>
    <col min="10503" max="10710" width="9.140625" style="2601"/>
    <col min="10711" max="10711" width="61.5703125" style="2601" customWidth="1"/>
    <col min="10712" max="10712" width="18.85546875" style="2601" customWidth="1"/>
    <col min="10713" max="10713" width="3" style="2601" customWidth="1"/>
    <col min="10714" max="10714" width="19.140625" style="2601" customWidth="1"/>
    <col min="10715" max="10715" width="3.7109375" style="2601" customWidth="1"/>
    <col min="10716" max="10752" width="9.140625" style="2601"/>
    <col min="10753" max="10753" width="0" style="2601" hidden="1" customWidth="1"/>
    <col min="10754" max="10754" width="61.5703125" style="2601" customWidth="1"/>
    <col min="10755" max="10755" width="18.85546875" style="2601" customWidth="1"/>
    <col min="10756" max="10756" width="3" style="2601" customWidth="1"/>
    <col min="10757" max="10757" width="19.140625" style="2601" customWidth="1"/>
    <col min="10758" max="10758" width="3.7109375" style="2601" customWidth="1"/>
    <col min="10759" max="10966" width="9.140625" style="2601"/>
    <col min="10967" max="10967" width="61.5703125" style="2601" customWidth="1"/>
    <col min="10968" max="10968" width="18.85546875" style="2601" customWidth="1"/>
    <col min="10969" max="10969" width="3" style="2601" customWidth="1"/>
    <col min="10970" max="10970" width="19.140625" style="2601" customWidth="1"/>
    <col min="10971" max="10971" width="3.7109375" style="2601" customWidth="1"/>
    <col min="10972" max="11008" width="9.140625" style="2601"/>
    <col min="11009" max="11009" width="0" style="2601" hidden="1" customWidth="1"/>
    <col min="11010" max="11010" width="61.5703125" style="2601" customWidth="1"/>
    <col min="11011" max="11011" width="18.85546875" style="2601" customWidth="1"/>
    <col min="11012" max="11012" width="3" style="2601" customWidth="1"/>
    <col min="11013" max="11013" width="19.140625" style="2601" customWidth="1"/>
    <col min="11014" max="11014" width="3.7109375" style="2601" customWidth="1"/>
    <col min="11015" max="11222" width="9.140625" style="2601"/>
    <col min="11223" max="11223" width="61.5703125" style="2601" customWidth="1"/>
    <col min="11224" max="11224" width="18.85546875" style="2601" customWidth="1"/>
    <col min="11225" max="11225" width="3" style="2601" customWidth="1"/>
    <col min="11226" max="11226" width="19.140625" style="2601" customWidth="1"/>
    <col min="11227" max="11227" width="3.7109375" style="2601" customWidth="1"/>
    <col min="11228" max="11264" width="9.140625" style="2601"/>
    <col min="11265" max="11265" width="0" style="2601" hidden="1" customWidth="1"/>
    <col min="11266" max="11266" width="61.5703125" style="2601" customWidth="1"/>
    <col min="11267" max="11267" width="18.85546875" style="2601" customWidth="1"/>
    <col min="11268" max="11268" width="3" style="2601" customWidth="1"/>
    <col min="11269" max="11269" width="19.140625" style="2601" customWidth="1"/>
    <col min="11270" max="11270" width="3.7109375" style="2601" customWidth="1"/>
    <col min="11271" max="11478" width="9.140625" style="2601"/>
    <col min="11479" max="11479" width="61.5703125" style="2601" customWidth="1"/>
    <col min="11480" max="11480" width="18.85546875" style="2601" customWidth="1"/>
    <col min="11481" max="11481" width="3" style="2601" customWidth="1"/>
    <col min="11482" max="11482" width="19.140625" style="2601" customWidth="1"/>
    <col min="11483" max="11483" width="3.7109375" style="2601" customWidth="1"/>
    <col min="11484" max="11520" width="9.140625" style="2601"/>
    <col min="11521" max="11521" width="0" style="2601" hidden="1" customWidth="1"/>
    <col min="11522" max="11522" width="61.5703125" style="2601" customWidth="1"/>
    <col min="11523" max="11523" width="18.85546875" style="2601" customWidth="1"/>
    <col min="11524" max="11524" width="3" style="2601" customWidth="1"/>
    <col min="11525" max="11525" width="19.140625" style="2601" customWidth="1"/>
    <col min="11526" max="11526" width="3.7109375" style="2601" customWidth="1"/>
    <col min="11527" max="11734" width="9.140625" style="2601"/>
    <col min="11735" max="11735" width="61.5703125" style="2601" customWidth="1"/>
    <col min="11736" max="11736" width="18.85546875" style="2601" customWidth="1"/>
    <col min="11737" max="11737" width="3" style="2601" customWidth="1"/>
    <col min="11738" max="11738" width="19.140625" style="2601" customWidth="1"/>
    <col min="11739" max="11739" width="3.7109375" style="2601" customWidth="1"/>
    <col min="11740" max="11776" width="9.140625" style="2601"/>
    <col min="11777" max="11777" width="0" style="2601" hidden="1" customWidth="1"/>
    <col min="11778" max="11778" width="61.5703125" style="2601" customWidth="1"/>
    <col min="11779" max="11779" width="18.85546875" style="2601" customWidth="1"/>
    <col min="11780" max="11780" width="3" style="2601" customWidth="1"/>
    <col min="11781" max="11781" width="19.140625" style="2601" customWidth="1"/>
    <col min="11782" max="11782" width="3.7109375" style="2601" customWidth="1"/>
    <col min="11783" max="11990" width="9.140625" style="2601"/>
    <col min="11991" max="11991" width="61.5703125" style="2601" customWidth="1"/>
    <col min="11992" max="11992" width="18.85546875" style="2601" customWidth="1"/>
    <col min="11993" max="11993" width="3" style="2601" customWidth="1"/>
    <col min="11994" max="11994" width="19.140625" style="2601" customWidth="1"/>
    <col min="11995" max="11995" width="3.7109375" style="2601" customWidth="1"/>
    <col min="11996" max="12032" width="9.140625" style="2601"/>
    <col min="12033" max="12033" width="0" style="2601" hidden="1" customWidth="1"/>
    <col min="12034" max="12034" width="61.5703125" style="2601" customWidth="1"/>
    <col min="12035" max="12035" width="18.85546875" style="2601" customWidth="1"/>
    <col min="12036" max="12036" width="3" style="2601" customWidth="1"/>
    <col min="12037" max="12037" width="19.140625" style="2601" customWidth="1"/>
    <col min="12038" max="12038" width="3.7109375" style="2601" customWidth="1"/>
    <col min="12039" max="12246" width="9.140625" style="2601"/>
    <col min="12247" max="12247" width="61.5703125" style="2601" customWidth="1"/>
    <col min="12248" max="12248" width="18.85546875" style="2601" customWidth="1"/>
    <col min="12249" max="12249" width="3" style="2601" customWidth="1"/>
    <col min="12250" max="12250" width="19.140625" style="2601" customWidth="1"/>
    <col min="12251" max="12251" width="3.7109375" style="2601" customWidth="1"/>
    <col min="12252" max="12288" width="9.140625" style="2601"/>
    <col min="12289" max="12289" width="0" style="2601" hidden="1" customWidth="1"/>
    <col min="12290" max="12290" width="61.5703125" style="2601" customWidth="1"/>
    <col min="12291" max="12291" width="18.85546875" style="2601" customWidth="1"/>
    <col min="12292" max="12292" width="3" style="2601" customWidth="1"/>
    <col min="12293" max="12293" width="19.140625" style="2601" customWidth="1"/>
    <col min="12294" max="12294" width="3.7109375" style="2601" customWidth="1"/>
    <col min="12295" max="12502" width="9.140625" style="2601"/>
    <col min="12503" max="12503" width="61.5703125" style="2601" customWidth="1"/>
    <col min="12504" max="12504" width="18.85546875" style="2601" customWidth="1"/>
    <col min="12505" max="12505" width="3" style="2601" customWidth="1"/>
    <col min="12506" max="12506" width="19.140625" style="2601" customWidth="1"/>
    <col min="12507" max="12507" width="3.7109375" style="2601" customWidth="1"/>
    <col min="12508" max="12544" width="9.140625" style="2601"/>
    <col min="12545" max="12545" width="0" style="2601" hidden="1" customWidth="1"/>
    <col min="12546" max="12546" width="61.5703125" style="2601" customWidth="1"/>
    <col min="12547" max="12547" width="18.85546875" style="2601" customWidth="1"/>
    <col min="12548" max="12548" width="3" style="2601" customWidth="1"/>
    <col min="12549" max="12549" width="19.140625" style="2601" customWidth="1"/>
    <col min="12550" max="12550" width="3.7109375" style="2601" customWidth="1"/>
    <col min="12551" max="12758" width="9.140625" style="2601"/>
    <col min="12759" max="12759" width="61.5703125" style="2601" customWidth="1"/>
    <col min="12760" max="12760" width="18.85546875" style="2601" customWidth="1"/>
    <col min="12761" max="12761" width="3" style="2601" customWidth="1"/>
    <col min="12762" max="12762" width="19.140625" style="2601" customWidth="1"/>
    <col min="12763" max="12763" width="3.7109375" style="2601" customWidth="1"/>
    <col min="12764" max="12800" width="9.140625" style="2601"/>
    <col min="12801" max="12801" width="0" style="2601" hidden="1" customWidth="1"/>
    <col min="12802" max="12802" width="61.5703125" style="2601" customWidth="1"/>
    <col min="12803" max="12803" width="18.85546875" style="2601" customWidth="1"/>
    <col min="12804" max="12804" width="3" style="2601" customWidth="1"/>
    <col min="12805" max="12805" width="19.140625" style="2601" customWidth="1"/>
    <col min="12806" max="12806" width="3.7109375" style="2601" customWidth="1"/>
    <col min="12807" max="13014" width="9.140625" style="2601"/>
    <col min="13015" max="13015" width="61.5703125" style="2601" customWidth="1"/>
    <col min="13016" max="13016" width="18.85546875" style="2601" customWidth="1"/>
    <col min="13017" max="13017" width="3" style="2601" customWidth="1"/>
    <col min="13018" max="13018" width="19.140625" style="2601" customWidth="1"/>
    <col min="13019" max="13019" width="3.7109375" style="2601" customWidth="1"/>
    <col min="13020" max="13056" width="9.140625" style="2601"/>
    <col min="13057" max="13057" width="0" style="2601" hidden="1" customWidth="1"/>
    <col min="13058" max="13058" width="61.5703125" style="2601" customWidth="1"/>
    <col min="13059" max="13059" width="18.85546875" style="2601" customWidth="1"/>
    <col min="13060" max="13060" width="3" style="2601" customWidth="1"/>
    <col min="13061" max="13061" width="19.140625" style="2601" customWidth="1"/>
    <col min="13062" max="13062" width="3.7109375" style="2601" customWidth="1"/>
    <col min="13063" max="13270" width="9.140625" style="2601"/>
    <col min="13271" max="13271" width="61.5703125" style="2601" customWidth="1"/>
    <col min="13272" max="13272" width="18.85546875" style="2601" customWidth="1"/>
    <col min="13273" max="13273" width="3" style="2601" customWidth="1"/>
    <col min="13274" max="13274" width="19.140625" style="2601" customWidth="1"/>
    <col min="13275" max="13275" width="3.7109375" style="2601" customWidth="1"/>
    <col min="13276" max="13312" width="9.140625" style="2601"/>
    <col min="13313" max="13313" width="0" style="2601" hidden="1" customWidth="1"/>
    <col min="13314" max="13314" width="61.5703125" style="2601" customWidth="1"/>
    <col min="13315" max="13315" width="18.85546875" style="2601" customWidth="1"/>
    <col min="13316" max="13316" width="3" style="2601" customWidth="1"/>
    <col min="13317" max="13317" width="19.140625" style="2601" customWidth="1"/>
    <col min="13318" max="13318" width="3.7109375" style="2601" customWidth="1"/>
    <col min="13319" max="13526" width="9.140625" style="2601"/>
    <col min="13527" max="13527" width="61.5703125" style="2601" customWidth="1"/>
    <col min="13528" max="13528" width="18.85546875" style="2601" customWidth="1"/>
    <col min="13529" max="13529" width="3" style="2601" customWidth="1"/>
    <col min="13530" max="13530" width="19.140625" style="2601" customWidth="1"/>
    <col min="13531" max="13531" width="3.7109375" style="2601" customWidth="1"/>
    <col min="13532" max="13568" width="9.140625" style="2601"/>
    <col min="13569" max="13569" width="0" style="2601" hidden="1" customWidth="1"/>
    <col min="13570" max="13570" width="61.5703125" style="2601" customWidth="1"/>
    <col min="13571" max="13571" width="18.85546875" style="2601" customWidth="1"/>
    <col min="13572" max="13572" width="3" style="2601" customWidth="1"/>
    <col min="13573" max="13573" width="19.140625" style="2601" customWidth="1"/>
    <col min="13574" max="13574" width="3.7109375" style="2601" customWidth="1"/>
    <col min="13575" max="13782" width="9.140625" style="2601"/>
    <col min="13783" max="13783" width="61.5703125" style="2601" customWidth="1"/>
    <col min="13784" max="13784" width="18.85546875" style="2601" customWidth="1"/>
    <col min="13785" max="13785" width="3" style="2601" customWidth="1"/>
    <col min="13786" max="13786" width="19.140625" style="2601" customWidth="1"/>
    <col min="13787" max="13787" width="3.7109375" style="2601" customWidth="1"/>
    <col min="13788" max="13824" width="9.140625" style="2601"/>
    <col min="13825" max="13825" width="0" style="2601" hidden="1" customWidth="1"/>
    <col min="13826" max="13826" width="61.5703125" style="2601" customWidth="1"/>
    <col min="13827" max="13827" width="18.85546875" style="2601" customWidth="1"/>
    <col min="13828" max="13828" width="3" style="2601" customWidth="1"/>
    <col min="13829" max="13829" width="19.140625" style="2601" customWidth="1"/>
    <col min="13830" max="13830" width="3.7109375" style="2601" customWidth="1"/>
    <col min="13831" max="14038" width="9.140625" style="2601"/>
    <col min="14039" max="14039" width="61.5703125" style="2601" customWidth="1"/>
    <col min="14040" max="14040" width="18.85546875" style="2601" customWidth="1"/>
    <col min="14041" max="14041" width="3" style="2601" customWidth="1"/>
    <col min="14042" max="14042" width="19.140625" style="2601" customWidth="1"/>
    <col min="14043" max="14043" width="3.7109375" style="2601" customWidth="1"/>
    <col min="14044" max="14080" width="9.140625" style="2601"/>
    <col min="14081" max="14081" width="0" style="2601" hidden="1" customWidth="1"/>
    <col min="14082" max="14082" width="61.5703125" style="2601" customWidth="1"/>
    <col min="14083" max="14083" width="18.85546875" style="2601" customWidth="1"/>
    <col min="14084" max="14084" width="3" style="2601" customWidth="1"/>
    <col min="14085" max="14085" width="19.140625" style="2601" customWidth="1"/>
    <col min="14086" max="14086" width="3.7109375" style="2601" customWidth="1"/>
    <col min="14087" max="14294" width="9.140625" style="2601"/>
    <col min="14295" max="14295" width="61.5703125" style="2601" customWidth="1"/>
    <col min="14296" max="14296" width="18.85546875" style="2601" customWidth="1"/>
    <col min="14297" max="14297" width="3" style="2601" customWidth="1"/>
    <col min="14298" max="14298" width="19.140625" style="2601" customWidth="1"/>
    <col min="14299" max="14299" width="3.7109375" style="2601" customWidth="1"/>
    <col min="14300" max="14336" width="9.140625" style="2601"/>
    <col min="14337" max="14337" width="0" style="2601" hidden="1" customWidth="1"/>
    <col min="14338" max="14338" width="61.5703125" style="2601" customWidth="1"/>
    <col min="14339" max="14339" width="18.85546875" style="2601" customWidth="1"/>
    <col min="14340" max="14340" width="3" style="2601" customWidth="1"/>
    <col min="14341" max="14341" width="19.140625" style="2601" customWidth="1"/>
    <col min="14342" max="14342" width="3.7109375" style="2601" customWidth="1"/>
    <col min="14343" max="14550" width="9.140625" style="2601"/>
    <col min="14551" max="14551" width="61.5703125" style="2601" customWidth="1"/>
    <col min="14552" max="14552" width="18.85546875" style="2601" customWidth="1"/>
    <col min="14553" max="14553" width="3" style="2601" customWidth="1"/>
    <col min="14554" max="14554" width="19.140625" style="2601" customWidth="1"/>
    <col min="14555" max="14555" width="3.7109375" style="2601" customWidth="1"/>
    <col min="14556" max="14592" width="9.140625" style="2601"/>
    <col min="14593" max="14593" width="0" style="2601" hidden="1" customWidth="1"/>
    <col min="14594" max="14594" width="61.5703125" style="2601" customWidth="1"/>
    <col min="14595" max="14595" width="18.85546875" style="2601" customWidth="1"/>
    <col min="14596" max="14596" width="3" style="2601" customWidth="1"/>
    <col min="14597" max="14597" width="19.140625" style="2601" customWidth="1"/>
    <col min="14598" max="14598" width="3.7109375" style="2601" customWidth="1"/>
    <col min="14599" max="14806" width="9.140625" style="2601"/>
    <col min="14807" max="14807" width="61.5703125" style="2601" customWidth="1"/>
    <col min="14808" max="14808" width="18.85546875" style="2601" customWidth="1"/>
    <col min="14809" max="14809" width="3" style="2601" customWidth="1"/>
    <col min="14810" max="14810" width="19.140625" style="2601" customWidth="1"/>
    <col min="14811" max="14811" width="3.7109375" style="2601" customWidth="1"/>
    <col min="14812" max="14848" width="9.140625" style="2601"/>
    <col min="14849" max="14849" width="0" style="2601" hidden="1" customWidth="1"/>
    <col min="14850" max="14850" width="61.5703125" style="2601" customWidth="1"/>
    <col min="14851" max="14851" width="18.85546875" style="2601" customWidth="1"/>
    <col min="14852" max="14852" width="3" style="2601" customWidth="1"/>
    <col min="14853" max="14853" width="19.140625" style="2601" customWidth="1"/>
    <col min="14854" max="14854" width="3.7109375" style="2601" customWidth="1"/>
    <col min="14855" max="15062" width="9.140625" style="2601"/>
    <col min="15063" max="15063" width="61.5703125" style="2601" customWidth="1"/>
    <col min="15064" max="15064" width="18.85546875" style="2601" customWidth="1"/>
    <col min="15065" max="15065" width="3" style="2601" customWidth="1"/>
    <col min="15066" max="15066" width="19.140625" style="2601" customWidth="1"/>
    <col min="15067" max="15067" width="3.7109375" style="2601" customWidth="1"/>
    <col min="15068" max="15104" width="9.140625" style="2601"/>
    <col min="15105" max="15105" width="0" style="2601" hidden="1" customWidth="1"/>
    <col min="15106" max="15106" width="61.5703125" style="2601" customWidth="1"/>
    <col min="15107" max="15107" width="18.85546875" style="2601" customWidth="1"/>
    <col min="15108" max="15108" width="3" style="2601" customWidth="1"/>
    <col min="15109" max="15109" width="19.140625" style="2601" customWidth="1"/>
    <col min="15110" max="15110" width="3.7109375" style="2601" customWidth="1"/>
    <col min="15111" max="15318" width="9.140625" style="2601"/>
    <col min="15319" max="15319" width="61.5703125" style="2601" customWidth="1"/>
    <col min="15320" max="15320" width="18.85546875" style="2601" customWidth="1"/>
    <col min="15321" max="15321" width="3" style="2601" customWidth="1"/>
    <col min="15322" max="15322" width="19.140625" style="2601" customWidth="1"/>
    <col min="15323" max="15323" width="3.7109375" style="2601" customWidth="1"/>
    <col min="15324" max="15360" width="9.140625" style="2601"/>
    <col min="15361" max="15361" width="0" style="2601" hidden="1" customWidth="1"/>
    <col min="15362" max="15362" width="61.5703125" style="2601" customWidth="1"/>
    <col min="15363" max="15363" width="18.85546875" style="2601" customWidth="1"/>
    <col min="15364" max="15364" width="3" style="2601" customWidth="1"/>
    <col min="15365" max="15365" width="19.140625" style="2601" customWidth="1"/>
    <col min="15366" max="15366" width="3.7109375" style="2601" customWidth="1"/>
    <col min="15367" max="15574" width="9.140625" style="2601"/>
    <col min="15575" max="15575" width="61.5703125" style="2601" customWidth="1"/>
    <col min="15576" max="15576" width="18.85546875" style="2601" customWidth="1"/>
    <col min="15577" max="15577" width="3" style="2601" customWidth="1"/>
    <col min="15578" max="15578" width="19.140625" style="2601" customWidth="1"/>
    <col min="15579" max="15579" width="3.7109375" style="2601" customWidth="1"/>
    <col min="15580" max="15616" width="9.140625" style="2601"/>
    <col min="15617" max="15617" width="0" style="2601" hidden="1" customWidth="1"/>
    <col min="15618" max="15618" width="61.5703125" style="2601" customWidth="1"/>
    <col min="15619" max="15619" width="18.85546875" style="2601" customWidth="1"/>
    <col min="15620" max="15620" width="3" style="2601" customWidth="1"/>
    <col min="15621" max="15621" width="19.140625" style="2601" customWidth="1"/>
    <col min="15622" max="15622" width="3.7109375" style="2601" customWidth="1"/>
    <col min="15623" max="15830" width="9.140625" style="2601"/>
    <col min="15831" max="15831" width="61.5703125" style="2601" customWidth="1"/>
    <col min="15832" max="15832" width="18.85546875" style="2601" customWidth="1"/>
    <col min="15833" max="15833" width="3" style="2601" customWidth="1"/>
    <col min="15834" max="15834" width="19.140625" style="2601" customWidth="1"/>
    <col min="15835" max="15835" width="3.7109375" style="2601" customWidth="1"/>
    <col min="15836" max="15872" width="9.140625" style="2601"/>
    <col min="15873" max="15873" width="0" style="2601" hidden="1" customWidth="1"/>
    <col min="15874" max="15874" width="61.5703125" style="2601" customWidth="1"/>
    <col min="15875" max="15875" width="18.85546875" style="2601" customWidth="1"/>
    <col min="15876" max="15876" width="3" style="2601" customWidth="1"/>
    <col min="15877" max="15877" width="19.140625" style="2601" customWidth="1"/>
    <col min="15878" max="15878" width="3.7109375" style="2601" customWidth="1"/>
    <col min="15879" max="16086" width="9.140625" style="2601"/>
    <col min="16087" max="16087" width="61.5703125" style="2601" customWidth="1"/>
    <col min="16088" max="16088" width="18.85546875" style="2601" customWidth="1"/>
    <col min="16089" max="16089" width="3" style="2601" customWidth="1"/>
    <col min="16090" max="16090" width="19.140625" style="2601" customWidth="1"/>
    <col min="16091" max="16091" width="3.7109375" style="2601" customWidth="1"/>
    <col min="16092" max="16128" width="9.140625" style="2601"/>
    <col min="16129" max="16129" width="0" style="2601" hidden="1" customWidth="1"/>
    <col min="16130" max="16130" width="61.5703125" style="2601" customWidth="1"/>
    <col min="16131" max="16131" width="18.85546875" style="2601" customWidth="1"/>
    <col min="16132" max="16132" width="3" style="2601" customWidth="1"/>
    <col min="16133" max="16133" width="19.140625" style="2601" customWidth="1"/>
    <col min="16134" max="16134" width="3.7109375" style="2601" customWidth="1"/>
    <col min="16135" max="16342" width="9.140625" style="2601"/>
    <col min="16343" max="16343" width="61.5703125" style="2601" customWidth="1"/>
    <col min="16344" max="16344" width="18.85546875" style="2601" customWidth="1"/>
    <col min="16345" max="16345" width="3" style="2601" customWidth="1"/>
    <col min="16346" max="16346" width="19.140625" style="2601" customWidth="1"/>
    <col min="16347" max="16347" width="3.7109375" style="2601" customWidth="1"/>
    <col min="16348" max="16384" width="9.140625" style="2601"/>
  </cols>
  <sheetData>
    <row r="1" spans="2:6" ht="16.5" customHeight="1" x14ac:dyDescent="0.35">
      <c r="B1" s="2596" t="s">
        <v>2476</v>
      </c>
      <c r="C1" s="2597"/>
      <c r="D1" s="2598"/>
      <c r="E1" s="2599"/>
      <c r="F1" s="2600"/>
    </row>
    <row r="2" spans="2:6" ht="16.5" customHeight="1" thickBot="1" x14ac:dyDescent="0.35">
      <c r="C2" s="2597"/>
      <c r="D2" s="2597"/>
      <c r="E2" s="2603"/>
      <c r="F2" s="2604"/>
    </row>
    <row r="3" spans="2:6" ht="18" customHeight="1" x14ac:dyDescent="0.3">
      <c r="B3" s="2605"/>
      <c r="C3" s="2606"/>
      <c r="D3" s="2607"/>
      <c r="E3" s="2606"/>
      <c r="F3" s="2608"/>
    </row>
    <row r="4" spans="2:6" ht="18" customHeight="1" x14ac:dyDescent="0.3">
      <c r="B4" s="2609"/>
      <c r="C4" s="2610">
        <v>45139</v>
      </c>
      <c r="D4" s="2611"/>
      <c r="E4" s="2610">
        <v>45108</v>
      </c>
      <c r="F4" s="2612"/>
    </row>
    <row r="5" spans="2:6" ht="18" customHeight="1" x14ac:dyDescent="0.3">
      <c r="B5" s="2609"/>
      <c r="C5" s="2613" t="s">
        <v>2477</v>
      </c>
      <c r="D5" s="2611"/>
      <c r="E5" s="2613" t="s">
        <v>2477</v>
      </c>
      <c r="F5" s="2612"/>
    </row>
    <row r="6" spans="2:6" ht="18" customHeight="1" x14ac:dyDescent="0.3">
      <c r="B6" s="2609" t="s">
        <v>1052</v>
      </c>
      <c r="C6" s="2614"/>
      <c r="D6" s="2615"/>
      <c r="E6" s="2614"/>
      <c r="F6" s="2616"/>
    </row>
    <row r="7" spans="2:6" ht="18" customHeight="1" x14ac:dyDescent="0.3">
      <c r="B7" s="2617" t="s">
        <v>2478</v>
      </c>
      <c r="C7" s="2614"/>
      <c r="D7" s="2615"/>
      <c r="E7" s="2614"/>
      <c r="F7" s="2616"/>
    </row>
    <row r="8" spans="2:6" ht="18" customHeight="1" x14ac:dyDescent="0.3">
      <c r="B8" s="2618" t="s">
        <v>2479</v>
      </c>
      <c r="C8" s="2619">
        <f>40108409664/1000</f>
        <v>40108409.663999997</v>
      </c>
      <c r="D8" s="2620"/>
      <c r="E8" s="2619">
        <v>39649189</v>
      </c>
      <c r="F8" s="2616"/>
    </row>
    <row r="9" spans="2:6" ht="18" customHeight="1" x14ac:dyDescent="0.3">
      <c r="B9" s="2618" t="s">
        <v>2480</v>
      </c>
      <c r="C9" s="2621">
        <f>35491540370/1000</f>
        <v>35491540.369999997</v>
      </c>
      <c r="D9" s="2620"/>
      <c r="E9" s="2621">
        <v>35997575</v>
      </c>
      <c r="F9" s="2616"/>
    </row>
    <row r="10" spans="2:6" ht="18" customHeight="1" x14ac:dyDescent="0.3">
      <c r="B10" s="2618" t="s">
        <v>2481</v>
      </c>
      <c r="C10" s="2621">
        <f>114564863763/1000</f>
        <v>114564863.763</v>
      </c>
      <c r="D10" s="2620"/>
      <c r="E10" s="2621">
        <v>107817725</v>
      </c>
      <c r="F10" s="2616"/>
    </row>
    <row r="11" spans="2:6" ht="33" customHeight="1" x14ac:dyDescent="0.3">
      <c r="B11" s="2622" t="s">
        <v>2482</v>
      </c>
      <c r="C11" s="2621">
        <f>1407830127/1000</f>
        <v>1407830.1270000001</v>
      </c>
      <c r="D11" s="2620"/>
      <c r="E11" s="2621">
        <v>1687400</v>
      </c>
      <c r="F11" s="2616"/>
    </row>
    <row r="12" spans="2:6" ht="18" customHeight="1" x14ac:dyDescent="0.3">
      <c r="B12" s="2623" t="s">
        <v>2483</v>
      </c>
      <c r="C12" s="2624">
        <f>118777220063/1000</f>
        <v>118777220.06299999</v>
      </c>
      <c r="D12" s="2620"/>
      <c r="E12" s="2624">
        <v>120374686</v>
      </c>
      <c r="F12" s="2616"/>
    </row>
    <row r="13" spans="2:6" ht="18" customHeight="1" x14ac:dyDescent="0.3">
      <c r="B13" s="2625"/>
      <c r="C13" s="2626">
        <f>SUM(C8:C12)</f>
        <v>310349863.98699999</v>
      </c>
      <c r="D13" s="2620"/>
      <c r="E13" s="2626">
        <v>305526575</v>
      </c>
      <c r="F13" s="2616"/>
    </row>
    <row r="14" spans="2:6" ht="18" customHeight="1" x14ac:dyDescent="0.3">
      <c r="B14" s="2617" t="s">
        <v>2484</v>
      </c>
      <c r="C14" s="2614"/>
      <c r="D14" s="2620"/>
      <c r="E14" s="2614"/>
      <c r="F14" s="2616"/>
    </row>
    <row r="15" spans="2:6" ht="18" customHeight="1" x14ac:dyDescent="0.3">
      <c r="B15" s="2618" t="s">
        <v>2481</v>
      </c>
      <c r="C15" s="2619">
        <f>25230556104/1000</f>
        <v>25230556.103999998</v>
      </c>
      <c r="D15" s="2620"/>
      <c r="E15" s="2619">
        <v>25267271</v>
      </c>
      <c r="F15" s="2616"/>
    </row>
    <row r="16" spans="2:6" ht="18" customHeight="1" x14ac:dyDescent="0.3">
      <c r="B16" s="2618" t="s">
        <v>2485</v>
      </c>
      <c r="C16" s="2621">
        <v>81000000</v>
      </c>
      <c r="D16" s="2620"/>
      <c r="E16" s="2621">
        <v>81000000</v>
      </c>
      <c r="F16" s="2616"/>
    </row>
    <row r="17" spans="2:6" ht="18" customHeight="1" x14ac:dyDescent="0.3">
      <c r="B17" s="2618" t="s">
        <v>2486</v>
      </c>
      <c r="C17" s="2621">
        <f>166864940/1000</f>
        <v>166864.94</v>
      </c>
      <c r="D17" s="2620"/>
      <c r="E17" s="2621">
        <v>166865</v>
      </c>
      <c r="F17" s="2616"/>
    </row>
    <row r="18" spans="2:6" ht="18" customHeight="1" x14ac:dyDescent="0.3">
      <c r="B18" s="2618" t="s">
        <v>2487</v>
      </c>
      <c r="C18" s="2621">
        <f>1934061118/1000</f>
        <v>1934061.118</v>
      </c>
      <c r="D18" s="2620"/>
      <c r="E18" s="2621">
        <v>1920678</v>
      </c>
      <c r="F18" s="2616"/>
    </row>
    <row r="19" spans="2:6" ht="18" customHeight="1" x14ac:dyDescent="0.3">
      <c r="B19" s="2618" t="s">
        <v>1059</v>
      </c>
      <c r="C19" s="2624">
        <f>645821362/1000</f>
        <v>645821.36199999996</v>
      </c>
      <c r="D19" s="2620"/>
      <c r="E19" s="2624">
        <v>636765</v>
      </c>
      <c r="F19" s="2616"/>
    </row>
    <row r="20" spans="2:6" ht="18" customHeight="1" x14ac:dyDescent="0.3">
      <c r="B20" s="2609"/>
      <c r="C20" s="2626">
        <f>SUM(C15:C19)-1</f>
        <v>108977302.524</v>
      </c>
      <c r="D20" s="2620"/>
      <c r="E20" s="2626">
        <v>108991579</v>
      </c>
      <c r="F20" s="2616"/>
    </row>
    <row r="21" spans="2:6" ht="18" customHeight="1" x14ac:dyDescent="0.3">
      <c r="B21" s="2609"/>
      <c r="C21" s="2614"/>
      <c r="D21" s="2620"/>
      <c r="E21" s="2614"/>
      <c r="F21" s="2616"/>
    </row>
    <row r="22" spans="2:6" ht="18" customHeight="1" thickBot="1" x14ac:dyDescent="0.35">
      <c r="B22" s="2609" t="s">
        <v>1060</v>
      </c>
      <c r="C22" s="2627">
        <f>C20+C13</f>
        <v>419327166.51099998</v>
      </c>
      <c r="D22" s="2620"/>
      <c r="E22" s="2627">
        <v>414518154</v>
      </c>
      <c r="F22" s="2616"/>
    </row>
    <row r="23" spans="2:6" ht="18" customHeight="1" thickTop="1" x14ac:dyDescent="0.3">
      <c r="B23" s="2628"/>
      <c r="C23" s="2614"/>
      <c r="D23" s="2620"/>
      <c r="E23" s="2614"/>
      <c r="F23" s="2616"/>
    </row>
    <row r="24" spans="2:6" ht="18" customHeight="1" x14ac:dyDescent="0.3">
      <c r="B24" s="2609" t="s">
        <v>1061</v>
      </c>
      <c r="C24" s="2614"/>
      <c r="D24" s="2620"/>
      <c r="E24" s="2614"/>
      <c r="F24" s="2616"/>
    </row>
    <row r="25" spans="2:6" ht="18" customHeight="1" x14ac:dyDescent="0.3">
      <c r="B25" s="2618" t="s">
        <v>2488</v>
      </c>
      <c r="C25" s="2626">
        <f>53225601291/1000</f>
        <v>53225601.291000001</v>
      </c>
      <c r="D25" s="2620"/>
      <c r="E25" s="2626">
        <v>52792690</v>
      </c>
      <c r="F25" s="2616"/>
    </row>
    <row r="26" spans="2:6" ht="18" customHeight="1" x14ac:dyDescent="0.3">
      <c r="B26" s="2617" t="s">
        <v>2489</v>
      </c>
      <c r="C26" s="2629"/>
      <c r="D26" s="2620"/>
      <c r="E26" s="2629"/>
      <c r="F26" s="2616"/>
    </row>
    <row r="27" spans="2:6" ht="18" customHeight="1" x14ac:dyDescent="0.3">
      <c r="B27" s="2618" t="s">
        <v>2490</v>
      </c>
      <c r="C27" s="2619">
        <f>11179121929/1000</f>
        <v>11179121.929</v>
      </c>
      <c r="D27" s="2620"/>
      <c r="E27" s="2619">
        <v>14246868</v>
      </c>
      <c r="F27" s="2616"/>
    </row>
    <row r="28" spans="2:6" ht="18" customHeight="1" x14ac:dyDescent="0.3">
      <c r="B28" s="2630" t="s">
        <v>1232</v>
      </c>
      <c r="C28" s="2621">
        <f>78240908420/1000</f>
        <v>78240908.420000002</v>
      </c>
      <c r="D28" s="2620"/>
      <c r="E28" s="2621">
        <v>78708849</v>
      </c>
      <c r="F28" s="2616"/>
    </row>
    <row r="29" spans="2:6" ht="18" customHeight="1" x14ac:dyDescent="0.3">
      <c r="B29" s="2630" t="s">
        <v>2491</v>
      </c>
      <c r="C29" s="2621">
        <f>31194330118/1000</f>
        <v>31194330.118000001</v>
      </c>
      <c r="D29" s="2620"/>
      <c r="E29" s="2621">
        <v>31473638</v>
      </c>
      <c r="F29" s="2616"/>
    </row>
    <row r="30" spans="2:6" ht="18" customHeight="1" x14ac:dyDescent="0.3">
      <c r="B30" s="2630" t="s">
        <v>238</v>
      </c>
      <c r="C30" s="2624">
        <f>1575161265/1000</f>
        <v>1575161.2649999999</v>
      </c>
      <c r="D30" s="2620"/>
      <c r="E30" s="2624">
        <v>1823898</v>
      </c>
      <c r="F30" s="2616"/>
    </row>
    <row r="31" spans="2:6" ht="18" customHeight="1" x14ac:dyDescent="0.3">
      <c r="B31" s="2631"/>
      <c r="C31" s="2626">
        <f>SUM(C27:C30)-1</f>
        <v>122189520.73200001</v>
      </c>
      <c r="D31" s="2626"/>
      <c r="E31" s="2626">
        <v>126253253</v>
      </c>
      <c r="F31" s="2616"/>
    </row>
    <row r="32" spans="2:6" ht="18" customHeight="1" x14ac:dyDescent="0.3">
      <c r="B32" s="2618" t="s">
        <v>2492</v>
      </c>
      <c r="C32" s="2626">
        <f>142921853954/1000</f>
        <v>142921853.954</v>
      </c>
      <c r="D32" s="2626"/>
      <c r="E32" s="2626">
        <v>137787768</v>
      </c>
      <c r="F32" s="2616"/>
    </row>
    <row r="33" spans="1:6" ht="18" customHeight="1" x14ac:dyDescent="0.3">
      <c r="B33" s="2618" t="s">
        <v>2493</v>
      </c>
      <c r="C33" s="2626">
        <f>100000000/1000</f>
        <v>100000</v>
      </c>
      <c r="D33" s="2626"/>
      <c r="E33" s="2626">
        <v>100000</v>
      </c>
      <c r="F33" s="2616"/>
    </row>
    <row r="34" spans="1:6" ht="18" customHeight="1" x14ac:dyDescent="0.3">
      <c r="B34" s="2632" t="s">
        <v>2494</v>
      </c>
      <c r="C34" s="2626">
        <f>1036400164/1000</f>
        <v>1036400.164</v>
      </c>
      <c r="D34" s="2626"/>
      <c r="E34" s="2626">
        <v>1088045</v>
      </c>
      <c r="F34" s="2616"/>
    </row>
    <row r="35" spans="1:6" ht="18" customHeight="1" x14ac:dyDescent="0.3">
      <c r="B35" s="2618" t="s">
        <v>2495</v>
      </c>
      <c r="C35" s="2626">
        <f>(84292995053/1000)+1</f>
        <v>84292996.053000003</v>
      </c>
      <c r="D35" s="2626"/>
      <c r="E35" s="2626">
        <v>78695047</v>
      </c>
      <c r="F35" s="2616"/>
    </row>
    <row r="36" spans="1:6" ht="18" customHeight="1" x14ac:dyDescent="0.3">
      <c r="B36" s="2609" t="s">
        <v>1071</v>
      </c>
      <c r="C36" s="2633">
        <f>SUM(C31:C35)+C25</f>
        <v>403766372.19400001</v>
      </c>
      <c r="D36" s="2620"/>
      <c r="E36" s="2633">
        <v>396716803</v>
      </c>
      <c r="F36" s="2634"/>
    </row>
    <row r="37" spans="1:6" ht="18" customHeight="1" x14ac:dyDescent="0.3">
      <c r="B37" s="2609"/>
      <c r="C37" s="2626"/>
      <c r="D37" s="2620"/>
      <c r="E37" s="2626"/>
      <c r="F37" s="2634"/>
    </row>
    <row r="38" spans="1:6" ht="18" customHeight="1" x14ac:dyDescent="0.3">
      <c r="B38" s="2609" t="s">
        <v>2496</v>
      </c>
      <c r="C38" s="2635"/>
      <c r="D38" s="2636"/>
      <c r="E38" s="2635"/>
      <c r="F38" s="2634"/>
    </row>
    <row r="39" spans="1:6" ht="18" customHeight="1" x14ac:dyDescent="0.3">
      <c r="B39" s="2618" t="s">
        <v>2497</v>
      </c>
      <c r="C39" s="2619">
        <f>10000000000/1000</f>
        <v>10000000</v>
      </c>
      <c r="D39" s="2620"/>
      <c r="E39" s="2619">
        <v>10000000</v>
      </c>
      <c r="F39" s="2634"/>
    </row>
    <row r="40" spans="1:6" ht="18" customHeight="1" x14ac:dyDescent="0.3">
      <c r="B40" s="2618" t="s">
        <v>2498</v>
      </c>
      <c r="C40" s="2624">
        <f>5516381315/1000</f>
        <v>5516381.3150000004</v>
      </c>
      <c r="D40" s="2620"/>
      <c r="E40" s="2624">
        <v>5319604</v>
      </c>
      <c r="F40" s="2634"/>
    </row>
    <row r="41" spans="1:6" ht="18" customHeight="1" x14ac:dyDescent="0.3">
      <c r="B41" s="2609"/>
      <c r="C41" s="2626">
        <f>SUM(C39:C40)</f>
        <v>15516381.315000001</v>
      </c>
      <c r="D41" s="2620"/>
      <c r="E41" s="2626">
        <v>15319604</v>
      </c>
      <c r="F41" s="2634"/>
    </row>
    <row r="42" spans="1:6" ht="18" customHeight="1" x14ac:dyDescent="0.3">
      <c r="B42" s="2618" t="s">
        <v>2499</v>
      </c>
      <c r="C42" s="2637">
        <f>44414004/1000</f>
        <v>44414.004000000001</v>
      </c>
      <c r="D42" s="2638"/>
      <c r="E42" s="2637">
        <v>2481747</v>
      </c>
      <c r="F42" s="2634"/>
    </row>
    <row r="43" spans="1:6" ht="18" customHeight="1" thickBot="1" x14ac:dyDescent="0.35">
      <c r="A43" s="2639"/>
      <c r="B43" s="2609" t="s">
        <v>2500</v>
      </c>
      <c r="C43" s="2627">
        <f>SUM(C41:C42)+C36-1</f>
        <v>419327166.51300001</v>
      </c>
      <c r="D43" s="2620"/>
      <c r="E43" s="2627">
        <v>414518154</v>
      </c>
      <c r="F43" s="2634"/>
    </row>
    <row r="44" spans="1:6" s="2640" customFormat="1" ht="18.75" thickTop="1" thickBot="1" x14ac:dyDescent="0.35">
      <c r="B44" s="2641"/>
      <c r="C44" s="2642"/>
      <c r="D44" s="2642"/>
      <c r="E44" s="2642"/>
      <c r="F44" s="2643"/>
    </row>
    <row r="45" spans="1:6" ht="16.5" x14ac:dyDescent="0.3">
      <c r="B45" s="2644" t="s">
        <v>1204</v>
      </c>
      <c r="C45" s="2645"/>
      <c r="D45" s="2646"/>
      <c r="E45" s="2647"/>
    </row>
  </sheetData>
  <printOptions horizontalCentered="1"/>
  <pageMargins left="0.2" right="0.2" top="0.25" bottom="0" header="0" footer="0"/>
  <pageSetup paperSize="9" scale="9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I434"/>
  <sheetViews>
    <sheetView zoomScale="85" zoomScaleNormal="85" zoomScaleSheetLayoutView="85" workbookViewId="0">
      <pane xSplit="1" ySplit="181" topLeftCell="B265" activePane="bottomRight" state="frozen"/>
      <selection activeCell="A38" sqref="A38"/>
      <selection pane="topRight" activeCell="A38" sqref="A38"/>
      <selection pane="bottomLeft" activeCell="A38" sqref="A38"/>
      <selection pane="bottomRight" activeCell="H441" sqref="H441"/>
    </sheetView>
  </sheetViews>
  <sheetFormatPr defaultColWidth="9.140625" defaultRowHeight="14.25" x14ac:dyDescent="0.25"/>
  <cols>
    <col min="1" max="1" width="16.7109375" style="481" customWidth="1"/>
    <col min="2" max="2" width="12.7109375" style="481" customWidth="1"/>
    <col min="3" max="3" width="16.7109375" style="482" customWidth="1"/>
    <col min="4" max="4" width="16.42578125" style="482" customWidth="1"/>
    <col min="5" max="5" width="13.7109375" style="481" customWidth="1"/>
    <col min="6" max="6" width="12.42578125" style="481" customWidth="1"/>
    <col min="7" max="7" width="16.5703125" style="481" bestFit="1" customWidth="1"/>
    <col min="8" max="8" width="16.5703125" style="481" customWidth="1"/>
    <col min="9" max="9" width="14" style="481" customWidth="1"/>
    <col min="10" max="16384" width="9.140625" style="481"/>
  </cols>
  <sheetData>
    <row r="1" spans="1:8" s="479" customFormat="1" ht="18.75" customHeight="1" x14ac:dyDescent="0.25">
      <c r="A1" s="478" t="s">
        <v>291</v>
      </c>
      <c r="C1" s="480"/>
      <c r="D1" s="480"/>
    </row>
    <row r="2" spans="1:8" ht="14.25" customHeight="1" thickBot="1" x14ac:dyDescent="0.3">
      <c r="F2" s="483"/>
    </row>
    <row r="3" spans="1:8" s="484" customFormat="1" ht="18" thickTop="1" thickBot="1" x14ac:dyDescent="0.3">
      <c r="A3" s="3490" t="s">
        <v>5</v>
      </c>
      <c r="B3" s="3493" t="s">
        <v>292</v>
      </c>
      <c r="C3" s="3493"/>
      <c r="D3" s="3493"/>
      <c r="E3" s="3493"/>
      <c r="F3" s="3493"/>
      <c r="G3" s="3493"/>
      <c r="H3" s="3494"/>
    </row>
    <row r="4" spans="1:8" s="484" customFormat="1" ht="16.5" customHeight="1" thickBot="1" x14ac:dyDescent="0.3">
      <c r="A4" s="3491"/>
      <c r="B4" s="485" t="s">
        <v>293</v>
      </c>
      <c r="C4" s="3495" t="s">
        <v>294</v>
      </c>
      <c r="D4" s="3496"/>
      <c r="E4" s="3496"/>
      <c r="F4" s="3496"/>
      <c r="G4" s="3496"/>
      <c r="H4" s="3497"/>
    </row>
    <row r="5" spans="1:8" s="484" customFormat="1" ht="18.75" customHeight="1" x14ac:dyDescent="0.25">
      <c r="A5" s="3491"/>
      <c r="B5" s="486" t="s">
        <v>295</v>
      </c>
      <c r="C5" s="485" t="s">
        <v>296</v>
      </c>
      <c r="D5" s="485" t="s">
        <v>296</v>
      </c>
      <c r="E5" s="487" t="s">
        <v>297</v>
      </c>
      <c r="F5" s="487" t="s">
        <v>298</v>
      </c>
      <c r="G5" s="485" t="s">
        <v>299</v>
      </c>
      <c r="H5" s="488" t="s">
        <v>300</v>
      </c>
    </row>
    <row r="6" spans="1:8" s="484" customFormat="1" ht="15" customHeight="1" x14ac:dyDescent="0.25">
      <c r="A6" s="3491"/>
      <c r="B6" s="486" t="s">
        <v>301</v>
      </c>
      <c r="C6" s="489" t="s">
        <v>302</v>
      </c>
      <c r="D6" s="489" t="s">
        <v>303</v>
      </c>
      <c r="E6" s="486" t="s">
        <v>304</v>
      </c>
      <c r="F6" s="490"/>
      <c r="G6" s="486" t="s">
        <v>305</v>
      </c>
      <c r="H6" s="488" t="s">
        <v>305</v>
      </c>
    </row>
    <row r="7" spans="1:8" s="484" customFormat="1" ht="17.25" customHeight="1" thickBot="1" x14ac:dyDescent="0.3">
      <c r="A7" s="3492"/>
      <c r="B7" s="491"/>
      <c r="C7" s="491"/>
      <c r="D7" s="491"/>
      <c r="E7" s="491"/>
      <c r="F7" s="492" t="s">
        <v>306</v>
      </c>
      <c r="G7" s="493" t="s">
        <v>307</v>
      </c>
      <c r="H7" s="494" t="s">
        <v>308</v>
      </c>
    </row>
    <row r="8" spans="1:8" ht="12.75" hidden="1" customHeight="1" x14ac:dyDescent="0.25">
      <c r="A8" s="495">
        <v>37438</v>
      </c>
      <c r="B8" s="496">
        <v>23</v>
      </c>
      <c r="C8" s="497">
        <v>703.38</v>
      </c>
      <c r="D8" s="497">
        <v>375.02</v>
      </c>
      <c r="E8" s="498">
        <v>79.459999999999994</v>
      </c>
      <c r="F8" s="499">
        <v>359.86</v>
      </c>
      <c r="G8" s="500">
        <v>5462</v>
      </c>
      <c r="H8" s="501">
        <v>390</v>
      </c>
    </row>
    <row r="9" spans="1:8" ht="12.75" hidden="1" customHeight="1" x14ac:dyDescent="0.25">
      <c r="A9" s="495">
        <v>37469</v>
      </c>
      <c r="B9" s="496">
        <v>21</v>
      </c>
      <c r="C9" s="497">
        <v>724.61</v>
      </c>
      <c r="D9" s="497">
        <v>383.5</v>
      </c>
      <c r="E9" s="498">
        <v>81.349999999999994</v>
      </c>
      <c r="F9" s="499">
        <v>369.27</v>
      </c>
      <c r="G9" s="500">
        <v>4237</v>
      </c>
      <c r="H9" s="501">
        <v>334</v>
      </c>
    </row>
    <row r="10" spans="1:8" ht="12.75" hidden="1" customHeight="1" x14ac:dyDescent="0.25">
      <c r="A10" s="495">
        <v>37500</v>
      </c>
      <c r="B10" s="496">
        <v>20</v>
      </c>
      <c r="C10" s="497">
        <v>748.41</v>
      </c>
      <c r="D10" s="497">
        <v>393.72</v>
      </c>
      <c r="E10" s="498">
        <v>82.34</v>
      </c>
      <c r="F10" s="499">
        <v>381.25</v>
      </c>
      <c r="G10" s="500">
        <v>6328</v>
      </c>
      <c r="H10" s="501">
        <v>488</v>
      </c>
    </row>
    <row r="11" spans="1:8" ht="12.75" hidden="1" customHeight="1" x14ac:dyDescent="0.25">
      <c r="A11" s="495">
        <v>37530</v>
      </c>
      <c r="B11" s="496">
        <v>23</v>
      </c>
      <c r="C11" s="497">
        <v>751.53</v>
      </c>
      <c r="D11" s="497">
        <v>395.52</v>
      </c>
      <c r="E11" s="498">
        <v>82.38</v>
      </c>
      <c r="F11" s="499">
        <v>379.09</v>
      </c>
      <c r="G11" s="500">
        <v>4380</v>
      </c>
      <c r="H11" s="501">
        <v>399</v>
      </c>
    </row>
    <row r="12" spans="1:8" ht="12.75" hidden="1" customHeight="1" x14ac:dyDescent="0.25">
      <c r="A12" s="495">
        <v>37562</v>
      </c>
      <c r="B12" s="496">
        <v>20</v>
      </c>
      <c r="C12" s="497">
        <v>757.45</v>
      </c>
      <c r="D12" s="497">
        <v>400.61</v>
      </c>
      <c r="E12" s="498">
        <v>82.79</v>
      </c>
      <c r="F12" s="499">
        <v>380.92</v>
      </c>
      <c r="G12" s="500">
        <v>5790</v>
      </c>
      <c r="H12" s="501">
        <v>455</v>
      </c>
    </row>
    <row r="13" spans="1:8" ht="12.75" hidden="1" customHeight="1" x14ac:dyDescent="0.25">
      <c r="A13" s="495">
        <v>37592</v>
      </c>
      <c r="B13" s="496">
        <v>20</v>
      </c>
      <c r="C13" s="497">
        <v>792.91</v>
      </c>
      <c r="D13" s="497">
        <v>420.66</v>
      </c>
      <c r="E13" s="498">
        <v>86.5</v>
      </c>
      <c r="F13" s="499">
        <v>394.26</v>
      </c>
      <c r="G13" s="500">
        <v>5671</v>
      </c>
      <c r="H13" s="501">
        <v>421</v>
      </c>
    </row>
    <row r="14" spans="1:8" ht="12.75" hidden="1" customHeight="1" x14ac:dyDescent="0.25">
      <c r="A14" s="495">
        <v>37624</v>
      </c>
      <c r="B14" s="496">
        <v>21</v>
      </c>
      <c r="C14" s="497">
        <v>855</v>
      </c>
      <c r="D14" s="502">
        <v>463.05</v>
      </c>
      <c r="E14" s="503">
        <v>94.07</v>
      </c>
      <c r="F14" s="499">
        <v>419.4</v>
      </c>
      <c r="G14" s="500">
        <v>7066</v>
      </c>
      <c r="H14" s="501">
        <v>370</v>
      </c>
    </row>
    <row r="15" spans="1:8" ht="12.75" hidden="1" customHeight="1" x14ac:dyDescent="0.25">
      <c r="A15" s="495">
        <v>37655</v>
      </c>
      <c r="B15" s="496">
        <v>19</v>
      </c>
      <c r="C15" s="497">
        <v>879.71</v>
      </c>
      <c r="D15" s="502">
        <v>491.9</v>
      </c>
      <c r="E15" s="503">
        <v>96.74</v>
      </c>
      <c r="F15" s="499">
        <v>430.16</v>
      </c>
      <c r="G15" s="500">
        <v>8543</v>
      </c>
      <c r="H15" s="501">
        <v>419.83</v>
      </c>
    </row>
    <row r="16" spans="1:8" ht="12.75" hidden="1" customHeight="1" x14ac:dyDescent="0.25">
      <c r="A16" s="495">
        <v>37683</v>
      </c>
      <c r="B16" s="496">
        <v>20</v>
      </c>
      <c r="C16" s="497">
        <v>870.27</v>
      </c>
      <c r="D16" s="502">
        <v>492.47</v>
      </c>
      <c r="E16" s="503">
        <v>95.12</v>
      </c>
      <c r="F16" s="499">
        <v>425.16</v>
      </c>
      <c r="G16" s="500">
        <v>6958</v>
      </c>
      <c r="H16" s="501">
        <v>440</v>
      </c>
    </row>
    <row r="17" spans="1:8" ht="12.75" hidden="1" customHeight="1" x14ac:dyDescent="0.25">
      <c r="A17" s="495">
        <v>37714</v>
      </c>
      <c r="B17" s="496">
        <v>21</v>
      </c>
      <c r="C17" s="497">
        <v>910.33</v>
      </c>
      <c r="D17" s="502">
        <v>518.30999999999995</v>
      </c>
      <c r="E17" s="503">
        <v>98.54</v>
      </c>
      <c r="F17" s="499">
        <v>440</v>
      </c>
      <c r="G17" s="500">
        <v>7399</v>
      </c>
      <c r="H17" s="501">
        <v>814</v>
      </c>
    </row>
    <row r="18" spans="1:8" ht="12.75" hidden="1" customHeight="1" x14ac:dyDescent="0.25">
      <c r="A18" s="495">
        <v>37742</v>
      </c>
      <c r="B18" s="496">
        <v>21</v>
      </c>
      <c r="C18" s="497">
        <v>968.13</v>
      </c>
      <c r="D18" s="502">
        <v>548.11</v>
      </c>
      <c r="E18" s="503">
        <v>104.06</v>
      </c>
      <c r="F18" s="499">
        <v>465.27</v>
      </c>
      <c r="G18" s="500">
        <v>10253</v>
      </c>
      <c r="H18" s="501">
        <v>659</v>
      </c>
    </row>
    <row r="19" spans="1:8" ht="12.75" hidden="1" customHeight="1" x14ac:dyDescent="0.25">
      <c r="A19" s="495">
        <v>37773</v>
      </c>
      <c r="B19" s="496">
        <v>21</v>
      </c>
      <c r="C19" s="497">
        <v>1004.17</v>
      </c>
      <c r="D19" s="502">
        <v>551.09</v>
      </c>
      <c r="E19" s="503">
        <v>105.98</v>
      </c>
      <c r="F19" s="499">
        <v>481.03</v>
      </c>
      <c r="G19" s="500">
        <v>10462</v>
      </c>
      <c r="H19" s="501">
        <v>970</v>
      </c>
    </row>
    <row r="20" spans="1:8" ht="12.75" hidden="1" customHeight="1" x14ac:dyDescent="0.25">
      <c r="A20" s="495">
        <v>37805</v>
      </c>
      <c r="B20" s="496">
        <v>20</v>
      </c>
      <c r="C20" s="497">
        <v>1013.62</v>
      </c>
      <c r="D20" s="502">
        <v>537.32000000000005</v>
      </c>
      <c r="E20" s="503">
        <v>105.19</v>
      </c>
      <c r="F20" s="499">
        <v>480.96</v>
      </c>
      <c r="G20" s="500">
        <v>20172</v>
      </c>
      <c r="H20" s="501">
        <v>1026</v>
      </c>
    </row>
    <row r="21" spans="1:8" ht="13.5" hidden="1" customHeight="1" x14ac:dyDescent="0.25">
      <c r="A21" s="495">
        <v>37836</v>
      </c>
      <c r="B21" s="496">
        <v>21</v>
      </c>
      <c r="C21" s="502">
        <v>995.12</v>
      </c>
      <c r="D21" s="502">
        <v>531.36</v>
      </c>
      <c r="E21" s="503">
        <v>102.27</v>
      </c>
      <c r="F21" s="499">
        <v>472.29</v>
      </c>
      <c r="G21" s="500">
        <v>11623</v>
      </c>
      <c r="H21" s="501">
        <v>855</v>
      </c>
    </row>
    <row r="22" spans="1:8" ht="12.75" hidden="1" customHeight="1" x14ac:dyDescent="0.25">
      <c r="A22" s="495">
        <v>37867</v>
      </c>
      <c r="B22" s="504">
        <v>21</v>
      </c>
      <c r="C22" s="502">
        <v>1018.06</v>
      </c>
      <c r="D22" s="502">
        <v>544.78</v>
      </c>
      <c r="E22" s="503">
        <v>105.32</v>
      </c>
      <c r="F22" s="499">
        <v>483.08</v>
      </c>
      <c r="G22" s="500">
        <v>6792</v>
      </c>
      <c r="H22" s="501">
        <v>464</v>
      </c>
    </row>
    <row r="23" spans="1:8" ht="12.75" hidden="1" customHeight="1" x14ac:dyDescent="0.25">
      <c r="A23" s="495">
        <v>37897</v>
      </c>
      <c r="B23" s="504">
        <v>23</v>
      </c>
      <c r="C23" s="502">
        <v>1089.51</v>
      </c>
      <c r="D23" s="502">
        <v>591.4</v>
      </c>
      <c r="E23" s="503">
        <v>113.54</v>
      </c>
      <c r="F23" s="499">
        <v>512.29</v>
      </c>
      <c r="G23" s="500">
        <v>19436</v>
      </c>
      <c r="H23" s="501">
        <v>995</v>
      </c>
    </row>
    <row r="24" spans="1:8" ht="12.75" hidden="1" customHeight="1" x14ac:dyDescent="0.25">
      <c r="A24" s="495">
        <v>37928</v>
      </c>
      <c r="B24" s="496">
        <v>19</v>
      </c>
      <c r="C24" s="502">
        <v>1163.97</v>
      </c>
      <c r="D24" s="502">
        <v>639.53</v>
      </c>
      <c r="E24" s="503">
        <v>120.18</v>
      </c>
      <c r="F24" s="499">
        <v>545.24</v>
      </c>
      <c r="G24" s="500">
        <v>7775</v>
      </c>
      <c r="H24" s="501">
        <v>545</v>
      </c>
    </row>
    <row r="25" spans="1:8" ht="12.75" hidden="1" customHeight="1" x14ac:dyDescent="0.25">
      <c r="A25" s="495">
        <v>37958</v>
      </c>
      <c r="B25" s="496">
        <v>22</v>
      </c>
      <c r="C25" s="502">
        <v>1194.27</v>
      </c>
      <c r="D25" s="502">
        <v>691.95</v>
      </c>
      <c r="E25" s="503">
        <v>121.5</v>
      </c>
      <c r="F25" s="499">
        <v>554.84</v>
      </c>
      <c r="G25" s="500">
        <v>9682.2000000000007</v>
      </c>
      <c r="H25" s="501">
        <v>408</v>
      </c>
    </row>
    <row r="26" spans="1:8" ht="12.75" hidden="1" customHeight="1" x14ac:dyDescent="0.25">
      <c r="A26" s="495">
        <v>37989</v>
      </c>
      <c r="B26" s="505">
        <v>19</v>
      </c>
      <c r="C26" s="502">
        <v>1231.02</v>
      </c>
      <c r="D26" s="502">
        <v>732.75</v>
      </c>
      <c r="E26" s="502">
        <v>123.2</v>
      </c>
      <c r="F26" s="502">
        <v>565.4</v>
      </c>
      <c r="G26" s="506">
        <v>13223</v>
      </c>
      <c r="H26" s="507">
        <v>703</v>
      </c>
    </row>
    <row r="27" spans="1:8" ht="12.75" hidden="1" customHeight="1" x14ac:dyDescent="0.25">
      <c r="A27" s="495">
        <v>38021</v>
      </c>
      <c r="B27" s="505">
        <v>18</v>
      </c>
      <c r="C27" s="502">
        <v>1306.7</v>
      </c>
      <c r="D27" s="502">
        <v>787.86</v>
      </c>
      <c r="E27" s="502">
        <v>130.58000000000001</v>
      </c>
      <c r="F27" s="502">
        <v>599.33000000000004</v>
      </c>
      <c r="G27" s="506">
        <v>15372</v>
      </c>
      <c r="H27" s="507">
        <v>825</v>
      </c>
    </row>
    <row r="28" spans="1:8" ht="12.75" hidden="1" customHeight="1" x14ac:dyDescent="0.25">
      <c r="A28" s="495">
        <v>38047</v>
      </c>
      <c r="B28" s="505">
        <v>22</v>
      </c>
      <c r="C28" s="502">
        <v>1322.36</v>
      </c>
      <c r="D28" s="502">
        <v>785.43</v>
      </c>
      <c r="E28" s="502">
        <v>130.88999999999999</v>
      </c>
      <c r="F28" s="502">
        <v>605.41</v>
      </c>
      <c r="G28" s="506">
        <v>10015</v>
      </c>
      <c r="H28" s="507">
        <v>369</v>
      </c>
    </row>
    <row r="29" spans="1:8" ht="12.75" hidden="1" customHeight="1" x14ac:dyDescent="0.25">
      <c r="A29" s="495">
        <v>38078</v>
      </c>
      <c r="B29" s="505">
        <v>22</v>
      </c>
      <c r="C29" s="502">
        <v>1376.95</v>
      </c>
      <c r="D29" s="502">
        <v>788.88</v>
      </c>
      <c r="E29" s="502">
        <v>132.37</v>
      </c>
      <c r="F29" s="502">
        <v>623.96</v>
      </c>
      <c r="G29" s="506">
        <v>8819</v>
      </c>
      <c r="H29" s="507">
        <v>321</v>
      </c>
    </row>
    <row r="30" spans="1:8" ht="12.75" hidden="1" customHeight="1" x14ac:dyDescent="0.25">
      <c r="A30" s="495">
        <v>38108</v>
      </c>
      <c r="B30" s="505">
        <v>21</v>
      </c>
      <c r="C30" s="502">
        <v>1441.08</v>
      </c>
      <c r="D30" s="502">
        <v>802.63</v>
      </c>
      <c r="E30" s="502">
        <v>137.75</v>
      </c>
      <c r="F30" s="502">
        <v>650.94000000000005</v>
      </c>
      <c r="G30" s="506">
        <v>14037</v>
      </c>
      <c r="H30" s="507">
        <v>624</v>
      </c>
    </row>
    <row r="31" spans="1:8" ht="12.75" hidden="1" customHeight="1" x14ac:dyDescent="0.25">
      <c r="A31" s="495">
        <v>38139</v>
      </c>
      <c r="B31" s="505">
        <v>22</v>
      </c>
      <c r="C31" s="502">
        <v>1457.2</v>
      </c>
      <c r="D31" s="502">
        <v>805.75</v>
      </c>
      <c r="E31" s="502">
        <v>138.49</v>
      </c>
      <c r="F31" s="502">
        <v>656.8</v>
      </c>
      <c r="G31" s="506">
        <v>12794</v>
      </c>
      <c r="H31" s="507">
        <v>670</v>
      </c>
    </row>
    <row r="32" spans="1:8" ht="12.75" hidden="1" customHeight="1" x14ac:dyDescent="0.25">
      <c r="A32" s="495">
        <v>38169</v>
      </c>
      <c r="B32" s="505">
        <v>22</v>
      </c>
      <c r="C32" s="502">
        <v>1453.15</v>
      </c>
      <c r="D32" s="502">
        <v>801.78</v>
      </c>
      <c r="E32" s="502">
        <v>136.01</v>
      </c>
      <c r="F32" s="502">
        <v>651.09</v>
      </c>
      <c r="G32" s="506">
        <v>7884</v>
      </c>
      <c r="H32" s="507">
        <v>459</v>
      </c>
    </row>
    <row r="33" spans="1:8" ht="12.75" hidden="1" customHeight="1" x14ac:dyDescent="0.25">
      <c r="A33" s="495">
        <v>38200</v>
      </c>
      <c r="B33" s="505">
        <v>22</v>
      </c>
      <c r="C33" s="502">
        <v>1444.65</v>
      </c>
      <c r="D33" s="502">
        <v>793.9</v>
      </c>
      <c r="E33" s="502">
        <v>134.07</v>
      </c>
      <c r="F33" s="502">
        <v>646.79</v>
      </c>
      <c r="G33" s="506">
        <v>7304</v>
      </c>
      <c r="H33" s="507">
        <v>482</v>
      </c>
    </row>
    <row r="34" spans="1:8" ht="12.75" hidden="1" customHeight="1" x14ac:dyDescent="0.25">
      <c r="A34" s="495">
        <v>38231</v>
      </c>
      <c r="B34" s="505">
        <v>22</v>
      </c>
      <c r="C34" s="502">
        <v>1455.79</v>
      </c>
      <c r="D34" s="502">
        <v>794.7</v>
      </c>
      <c r="E34" s="502">
        <v>135.30000000000001</v>
      </c>
      <c r="F34" s="502">
        <v>651.04</v>
      </c>
      <c r="G34" s="506">
        <v>9027</v>
      </c>
      <c r="H34" s="507">
        <v>558</v>
      </c>
    </row>
    <row r="35" spans="1:8" ht="12.75" hidden="1" customHeight="1" x14ac:dyDescent="0.25">
      <c r="A35" s="495">
        <v>38261</v>
      </c>
      <c r="B35" s="505">
        <v>21</v>
      </c>
      <c r="C35" s="502">
        <v>1499.44</v>
      </c>
      <c r="D35" s="502">
        <v>817.72</v>
      </c>
      <c r="E35" s="502">
        <v>138.04</v>
      </c>
      <c r="F35" s="502">
        <v>666.32</v>
      </c>
      <c r="G35" s="506">
        <v>12770</v>
      </c>
      <c r="H35" s="507">
        <v>573.98400000000004</v>
      </c>
    </row>
    <row r="36" spans="1:8" ht="12.75" hidden="1" customHeight="1" x14ac:dyDescent="0.25">
      <c r="A36" s="495">
        <v>38292</v>
      </c>
      <c r="B36" s="505">
        <v>20</v>
      </c>
      <c r="C36" s="502">
        <v>1529.97</v>
      </c>
      <c r="D36" s="502">
        <v>836.12</v>
      </c>
      <c r="E36" s="502">
        <v>141.09</v>
      </c>
      <c r="F36" s="502">
        <v>677.77</v>
      </c>
      <c r="G36" s="506">
        <v>12281</v>
      </c>
      <c r="H36" s="507">
        <v>640</v>
      </c>
    </row>
    <row r="37" spans="1:8" ht="12.75" hidden="1" customHeight="1" x14ac:dyDescent="0.25">
      <c r="A37" s="495">
        <v>38322</v>
      </c>
      <c r="B37" s="505">
        <v>23</v>
      </c>
      <c r="C37" s="502">
        <v>1585.78</v>
      </c>
      <c r="D37" s="502">
        <v>873.31</v>
      </c>
      <c r="E37" s="502">
        <v>146.06</v>
      </c>
      <c r="F37" s="502">
        <v>697.01</v>
      </c>
      <c r="G37" s="506">
        <v>11043</v>
      </c>
      <c r="H37" s="507">
        <v>753</v>
      </c>
    </row>
    <row r="38" spans="1:8" ht="12.75" hidden="1" customHeight="1" x14ac:dyDescent="0.25">
      <c r="A38" s="495">
        <v>38353</v>
      </c>
      <c r="B38" s="505">
        <v>19</v>
      </c>
      <c r="C38" s="502">
        <v>1656.32</v>
      </c>
      <c r="D38" s="502">
        <v>909.02</v>
      </c>
      <c r="E38" s="502">
        <v>151.65</v>
      </c>
      <c r="F38" s="502">
        <v>722.2</v>
      </c>
      <c r="G38" s="506">
        <v>11864</v>
      </c>
      <c r="H38" s="507">
        <v>1010.5</v>
      </c>
    </row>
    <row r="39" spans="1:8" ht="12.75" hidden="1" customHeight="1" x14ac:dyDescent="0.25">
      <c r="A39" s="495">
        <v>38384</v>
      </c>
      <c r="B39" s="505">
        <v>18</v>
      </c>
      <c r="C39" s="502">
        <v>1684.81</v>
      </c>
      <c r="D39" s="502">
        <v>913.47</v>
      </c>
      <c r="E39" s="502">
        <v>153.96</v>
      </c>
      <c r="F39" s="502">
        <v>731.03</v>
      </c>
      <c r="G39" s="506">
        <v>10978</v>
      </c>
      <c r="H39" s="507">
        <v>400</v>
      </c>
    </row>
    <row r="40" spans="1:8" ht="12.75" hidden="1" customHeight="1" x14ac:dyDescent="0.25">
      <c r="A40" s="495">
        <v>38412</v>
      </c>
      <c r="B40" s="505">
        <v>20</v>
      </c>
      <c r="C40" s="502">
        <v>1713.2</v>
      </c>
      <c r="D40" s="502">
        <v>922.99</v>
      </c>
      <c r="E40" s="502">
        <v>158.25</v>
      </c>
      <c r="F40" s="502">
        <v>742.65</v>
      </c>
      <c r="G40" s="506">
        <v>18126</v>
      </c>
      <c r="H40" s="507">
        <v>805</v>
      </c>
    </row>
    <row r="41" spans="1:8" ht="12.75" hidden="1" customHeight="1" x14ac:dyDescent="0.25">
      <c r="A41" s="495">
        <v>38443</v>
      </c>
      <c r="B41" s="505">
        <v>21</v>
      </c>
      <c r="C41" s="502">
        <v>1705.97</v>
      </c>
      <c r="D41" s="502">
        <v>915.09</v>
      </c>
      <c r="E41" s="502">
        <v>155.06</v>
      </c>
      <c r="F41" s="502">
        <v>730.93</v>
      </c>
      <c r="G41" s="506">
        <v>12972</v>
      </c>
      <c r="H41" s="507">
        <v>463</v>
      </c>
    </row>
    <row r="42" spans="1:8" ht="12.75" hidden="1" customHeight="1" x14ac:dyDescent="0.25">
      <c r="A42" s="495">
        <v>38473</v>
      </c>
      <c r="B42" s="505">
        <v>22</v>
      </c>
      <c r="C42" s="502">
        <v>1649.42</v>
      </c>
      <c r="D42" s="502">
        <v>883.36</v>
      </c>
      <c r="E42" s="502">
        <v>148.54</v>
      </c>
      <c r="F42" s="502">
        <v>705.22</v>
      </c>
      <c r="G42" s="506">
        <v>9013</v>
      </c>
      <c r="H42" s="507">
        <v>272</v>
      </c>
    </row>
    <row r="43" spans="1:8" ht="12.75" hidden="1" customHeight="1" x14ac:dyDescent="0.25">
      <c r="A43" s="495">
        <v>38504</v>
      </c>
      <c r="B43" s="505">
        <v>22</v>
      </c>
      <c r="C43" s="502">
        <v>1681.86</v>
      </c>
      <c r="D43" s="502">
        <v>895.08</v>
      </c>
      <c r="E43" s="502">
        <v>152.52000000000001</v>
      </c>
      <c r="F43" s="502">
        <v>717.54</v>
      </c>
      <c r="G43" s="506">
        <v>29856</v>
      </c>
      <c r="H43" s="507">
        <v>804</v>
      </c>
    </row>
    <row r="44" spans="1:8" ht="12.75" hidden="1" customHeight="1" x14ac:dyDescent="0.25">
      <c r="A44" s="495">
        <v>38534</v>
      </c>
      <c r="B44" s="505">
        <v>21</v>
      </c>
      <c r="C44" s="502">
        <v>1724.38</v>
      </c>
      <c r="D44" s="502">
        <v>911.56</v>
      </c>
      <c r="E44" s="502">
        <v>155.41999999999999</v>
      </c>
      <c r="F44" s="502">
        <v>726.77</v>
      </c>
      <c r="G44" s="506">
        <v>8071</v>
      </c>
      <c r="H44" s="507">
        <v>520</v>
      </c>
    </row>
    <row r="45" spans="1:8" ht="12.75" hidden="1" customHeight="1" x14ac:dyDescent="0.25">
      <c r="A45" s="495">
        <v>38565</v>
      </c>
      <c r="B45" s="505">
        <v>23</v>
      </c>
      <c r="C45" s="502">
        <v>1812.43</v>
      </c>
      <c r="D45" s="502">
        <v>952.76</v>
      </c>
      <c r="E45" s="499">
        <v>164.74</v>
      </c>
      <c r="F45" s="499">
        <v>759.86</v>
      </c>
      <c r="G45" s="500">
        <v>11593</v>
      </c>
      <c r="H45" s="501">
        <v>612</v>
      </c>
    </row>
    <row r="46" spans="1:8" ht="12.75" hidden="1" customHeight="1" x14ac:dyDescent="0.25">
      <c r="A46" s="495">
        <v>38596</v>
      </c>
      <c r="B46" s="505">
        <v>21</v>
      </c>
      <c r="C46" s="502">
        <v>1922.12</v>
      </c>
      <c r="D46" s="502">
        <v>1003.55</v>
      </c>
      <c r="E46" s="503">
        <v>176.47</v>
      </c>
      <c r="F46" s="499">
        <v>805.72</v>
      </c>
      <c r="G46" s="500">
        <v>17669</v>
      </c>
      <c r="H46" s="501">
        <v>1026</v>
      </c>
    </row>
    <row r="47" spans="1:8" ht="12.75" hidden="1" customHeight="1" x14ac:dyDescent="0.25">
      <c r="A47" s="495">
        <v>38626</v>
      </c>
      <c r="B47" s="505">
        <v>21</v>
      </c>
      <c r="C47" s="502">
        <v>1957.01</v>
      </c>
      <c r="D47" s="502">
        <v>1007.65</v>
      </c>
      <c r="E47" s="503">
        <v>178.24</v>
      </c>
      <c r="F47" s="499">
        <v>815.68</v>
      </c>
      <c r="G47" s="500">
        <v>15882</v>
      </c>
      <c r="H47" s="501">
        <v>762</v>
      </c>
    </row>
    <row r="48" spans="1:8" ht="12.75" hidden="1" customHeight="1" x14ac:dyDescent="0.25">
      <c r="A48" s="495">
        <v>38657</v>
      </c>
      <c r="B48" s="505">
        <v>19</v>
      </c>
      <c r="C48" s="502">
        <v>1965.17</v>
      </c>
      <c r="D48" s="502">
        <v>1007.33</v>
      </c>
      <c r="E48" s="503">
        <v>177.89</v>
      </c>
      <c r="F48" s="499">
        <v>816.57</v>
      </c>
      <c r="G48" s="500">
        <v>25540</v>
      </c>
      <c r="H48" s="501">
        <v>935</v>
      </c>
    </row>
    <row r="49" spans="1:8" ht="12.75" hidden="1" customHeight="1" x14ac:dyDescent="0.25">
      <c r="A49" s="495">
        <v>38687</v>
      </c>
      <c r="B49" s="505">
        <v>22</v>
      </c>
      <c r="C49" s="502">
        <v>1958.47</v>
      </c>
      <c r="D49" s="502">
        <v>1000.5</v>
      </c>
      <c r="E49" s="503">
        <v>176.76</v>
      </c>
      <c r="F49" s="499">
        <v>807.72</v>
      </c>
      <c r="G49" s="500">
        <v>45862</v>
      </c>
      <c r="H49" s="501">
        <v>5243</v>
      </c>
    </row>
    <row r="50" spans="1:8" ht="12.75" hidden="1" customHeight="1" x14ac:dyDescent="0.25">
      <c r="A50" s="495">
        <v>38718</v>
      </c>
      <c r="B50" s="505">
        <v>21</v>
      </c>
      <c r="C50" s="502">
        <v>1982.3</v>
      </c>
      <c r="D50" s="502">
        <v>1012.04</v>
      </c>
      <c r="E50" s="503">
        <v>178.52</v>
      </c>
      <c r="F50" s="499">
        <v>816.24</v>
      </c>
      <c r="G50" s="500">
        <v>19067</v>
      </c>
      <c r="H50" s="501">
        <v>700</v>
      </c>
    </row>
    <row r="51" spans="1:8" ht="12.75" hidden="1" customHeight="1" x14ac:dyDescent="0.25">
      <c r="A51" s="495">
        <v>38749</v>
      </c>
      <c r="B51" s="505">
        <v>19</v>
      </c>
      <c r="C51" s="502">
        <v>2028.15</v>
      </c>
      <c r="D51" s="502">
        <v>1033.42</v>
      </c>
      <c r="E51" s="503">
        <v>183.78</v>
      </c>
      <c r="F51" s="499">
        <v>834.57</v>
      </c>
      <c r="G51" s="500">
        <v>21168</v>
      </c>
      <c r="H51" s="501">
        <v>865</v>
      </c>
    </row>
    <row r="52" spans="1:8" ht="12.75" hidden="1" customHeight="1" x14ac:dyDescent="0.25">
      <c r="A52" s="495">
        <v>38777</v>
      </c>
      <c r="B52" s="505">
        <v>22</v>
      </c>
      <c r="C52" s="502">
        <v>2059.31</v>
      </c>
      <c r="D52" s="502">
        <v>1047.3599999999999</v>
      </c>
      <c r="E52" s="503">
        <v>184.86</v>
      </c>
      <c r="F52" s="499">
        <v>845.69</v>
      </c>
      <c r="G52" s="500">
        <v>12508</v>
      </c>
      <c r="H52" s="501">
        <v>684</v>
      </c>
    </row>
    <row r="53" spans="1:8" ht="12.75" hidden="1" customHeight="1" x14ac:dyDescent="0.25">
      <c r="A53" s="495">
        <v>38808</v>
      </c>
      <c r="B53" s="505">
        <v>20</v>
      </c>
      <c r="C53" s="502">
        <v>2044.66</v>
      </c>
      <c r="D53" s="502">
        <v>1037.69</v>
      </c>
      <c r="E53" s="503">
        <v>181.23</v>
      </c>
      <c r="F53" s="499">
        <v>833.78</v>
      </c>
      <c r="G53" s="500">
        <v>10726</v>
      </c>
      <c r="H53" s="501">
        <v>631</v>
      </c>
    </row>
    <row r="54" spans="1:8" ht="12.75" hidden="1" customHeight="1" x14ac:dyDescent="0.25">
      <c r="A54" s="495">
        <v>38838</v>
      </c>
      <c r="B54" s="505">
        <v>22</v>
      </c>
      <c r="C54" s="502">
        <v>2038.16</v>
      </c>
      <c r="D54" s="502">
        <v>1034.25</v>
      </c>
      <c r="E54" s="503">
        <v>180.08</v>
      </c>
      <c r="F54" s="499">
        <v>828.41</v>
      </c>
      <c r="G54" s="500">
        <v>13755.8</v>
      </c>
      <c r="H54" s="501">
        <v>386</v>
      </c>
    </row>
    <row r="55" spans="1:8" ht="12.75" hidden="1" customHeight="1" x14ac:dyDescent="0.25">
      <c r="A55" s="495">
        <v>38869</v>
      </c>
      <c r="B55" s="505">
        <v>22</v>
      </c>
      <c r="C55" s="502">
        <v>2023.92</v>
      </c>
      <c r="D55" s="502">
        <v>1026.75</v>
      </c>
      <c r="E55" s="503">
        <v>178.23</v>
      </c>
      <c r="F55" s="499">
        <v>818.95</v>
      </c>
      <c r="G55" s="500">
        <v>15269</v>
      </c>
      <c r="H55" s="501">
        <v>1054</v>
      </c>
    </row>
    <row r="56" spans="1:8" ht="12.75" hidden="1" customHeight="1" x14ac:dyDescent="0.25">
      <c r="A56" s="495">
        <v>38899</v>
      </c>
      <c r="B56" s="505">
        <v>21</v>
      </c>
      <c r="C56" s="502">
        <v>2110.1</v>
      </c>
      <c r="D56" s="502">
        <v>1060.6300000000001</v>
      </c>
      <c r="E56" s="503">
        <v>187</v>
      </c>
      <c r="F56" s="499">
        <v>852.36</v>
      </c>
      <c r="G56" s="500">
        <v>18819</v>
      </c>
      <c r="H56" s="501">
        <v>425.6</v>
      </c>
    </row>
    <row r="57" spans="1:8" ht="12.75" hidden="1" customHeight="1" x14ac:dyDescent="0.25">
      <c r="A57" s="495">
        <v>38930</v>
      </c>
      <c r="B57" s="505">
        <v>21</v>
      </c>
      <c r="C57" s="502">
        <v>2223.5500000000002</v>
      </c>
      <c r="D57" s="502">
        <v>1089.49</v>
      </c>
      <c r="E57" s="503">
        <v>195.58</v>
      </c>
      <c r="F57" s="499">
        <v>890.52</v>
      </c>
      <c r="G57" s="500">
        <v>14331</v>
      </c>
      <c r="H57" s="501">
        <v>794</v>
      </c>
    </row>
    <row r="58" spans="1:8" ht="12.75" hidden="1" customHeight="1" x14ac:dyDescent="0.25">
      <c r="A58" s="495">
        <v>38961</v>
      </c>
      <c r="B58" s="505">
        <v>21</v>
      </c>
      <c r="C58" s="502">
        <v>2394.35</v>
      </c>
      <c r="D58" s="502">
        <v>1154.33</v>
      </c>
      <c r="E58" s="503">
        <v>207.36</v>
      </c>
      <c r="F58" s="499">
        <v>957.06</v>
      </c>
      <c r="G58" s="500">
        <v>16903.900000000001</v>
      </c>
      <c r="H58" s="501">
        <v>622.79999999999995</v>
      </c>
    </row>
    <row r="59" spans="1:8" ht="12.75" hidden="1" customHeight="1" x14ac:dyDescent="0.25">
      <c r="A59" s="495">
        <v>38991</v>
      </c>
      <c r="B59" s="505">
        <v>21</v>
      </c>
      <c r="C59" s="502">
        <v>2631.06</v>
      </c>
      <c r="D59" s="502">
        <v>1259.0899999999999</v>
      </c>
      <c r="E59" s="503">
        <v>228.19</v>
      </c>
      <c r="F59" s="499">
        <v>1046.08</v>
      </c>
      <c r="G59" s="500">
        <v>17704</v>
      </c>
      <c r="H59" s="501">
        <v>551.31799999999998</v>
      </c>
    </row>
    <row r="60" spans="1:8" ht="12.75" hidden="1" customHeight="1" x14ac:dyDescent="0.25">
      <c r="A60" s="495">
        <v>39022</v>
      </c>
      <c r="B60" s="505">
        <v>21</v>
      </c>
      <c r="C60" s="502">
        <v>2979.76</v>
      </c>
      <c r="D60" s="502">
        <v>1412.8</v>
      </c>
      <c r="E60" s="503">
        <v>255.29</v>
      </c>
      <c r="F60" s="499">
        <v>1181.17</v>
      </c>
      <c r="G60" s="500">
        <v>24762</v>
      </c>
      <c r="H60" s="501">
        <v>771</v>
      </c>
    </row>
    <row r="61" spans="1:8" ht="12.75" hidden="1" customHeight="1" x14ac:dyDescent="0.25">
      <c r="A61" s="495">
        <v>39052</v>
      </c>
      <c r="B61" s="505">
        <v>20</v>
      </c>
      <c r="C61" s="502">
        <v>3028.73</v>
      </c>
      <c r="D61" s="502">
        <v>1426.82</v>
      </c>
      <c r="E61" s="503">
        <v>259.47000000000003</v>
      </c>
      <c r="F61" s="499">
        <v>1193.69</v>
      </c>
      <c r="G61" s="500">
        <v>105922</v>
      </c>
      <c r="H61" s="501">
        <v>3221</v>
      </c>
    </row>
    <row r="62" spans="1:8" ht="12.75" hidden="1" customHeight="1" x14ac:dyDescent="0.25">
      <c r="A62" s="495">
        <v>39083</v>
      </c>
      <c r="B62" s="505">
        <v>21</v>
      </c>
      <c r="C62" s="502">
        <v>3244.01</v>
      </c>
      <c r="D62" s="502">
        <v>1515.07</v>
      </c>
      <c r="E62" s="503">
        <v>281.14999999999998</v>
      </c>
      <c r="F62" s="499">
        <v>1276.51</v>
      </c>
      <c r="G62" s="500">
        <v>25890</v>
      </c>
      <c r="H62" s="501">
        <v>686.3</v>
      </c>
    </row>
    <row r="63" spans="1:8" ht="12.75" hidden="1" customHeight="1" x14ac:dyDescent="0.25">
      <c r="A63" s="495">
        <v>39114</v>
      </c>
      <c r="B63" s="505">
        <v>18</v>
      </c>
      <c r="C63" s="502">
        <v>3265.93</v>
      </c>
      <c r="D63" s="502">
        <v>1534.24</v>
      </c>
      <c r="E63" s="503">
        <v>286.47000000000003</v>
      </c>
      <c r="F63" s="499">
        <v>1284.03</v>
      </c>
      <c r="G63" s="500">
        <v>215289.557</v>
      </c>
      <c r="H63" s="501">
        <v>4616.0870000000004</v>
      </c>
    </row>
    <row r="64" spans="1:8" ht="12.75" hidden="1" customHeight="1" x14ac:dyDescent="0.25">
      <c r="A64" s="495">
        <v>39142</v>
      </c>
      <c r="B64" s="505">
        <v>20</v>
      </c>
      <c r="C64" s="502">
        <v>3327.8</v>
      </c>
      <c r="D64" s="502">
        <v>1591.49</v>
      </c>
      <c r="E64" s="503">
        <v>294.11</v>
      </c>
      <c r="F64" s="499">
        <v>1305.58</v>
      </c>
      <c r="G64" s="500">
        <v>20607.429</v>
      </c>
      <c r="H64" s="501">
        <v>529.08500000000004</v>
      </c>
    </row>
    <row r="65" spans="1:8" ht="12.75" hidden="1" customHeight="1" x14ac:dyDescent="0.25">
      <c r="A65" s="495">
        <v>39173</v>
      </c>
      <c r="B65" s="505">
        <v>21</v>
      </c>
      <c r="C65" s="502">
        <v>3444.42</v>
      </c>
      <c r="D65" s="502">
        <v>1669.21</v>
      </c>
      <c r="E65" s="503">
        <v>304.26</v>
      </c>
      <c r="F65" s="499">
        <v>1345.27</v>
      </c>
      <c r="G65" s="500">
        <v>27817</v>
      </c>
      <c r="H65" s="501">
        <v>684</v>
      </c>
    </row>
    <row r="66" spans="1:8" ht="12.75" hidden="1" customHeight="1" x14ac:dyDescent="0.25">
      <c r="A66" s="495">
        <v>39203</v>
      </c>
      <c r="B66" s="505">
        <v>22</v>
      </c>
      <c r="C66" s="502">
        <v>3513.32</v>
      </c>
      <c r="D66" s="502">
        <v>1730.77</v>
      </c>
      <c r="E66" s="503">
        <v>317.95</v>
      </c>
      <c r="F66" s="499">
        <v>1369.27</v>
      </c>
      <c r="G66" s="500">
        <v>31129.279999999999</v>
      </c>
      <c r="H66" s="501">
        <v>636.38300000000004</v>
      </c>
    </row>
    <row r="67" spans="1:8" ht="12.75" hidden="1" customHeight="1" x14ac:dyDescent="0.25">
      <c r="A67" s="495">
        <v>39234</v>
      </c>
      <c r="B67" s="505">
        <v>21</v>
      </c>
      <c r="C67" s="502">
        <v>3698.34</v>
      </c>
      <c r="D67" s="502">
        <v>1811.6</v>
      </c>
      <c r="E67" s="503">
        <v>327.11</v>
      </c>
      <c r="F67" s="499">
        <v>1386.03</v>
      </c>
      <c r="G67" s="500">
        <v>28688</v>
      </c>
      <c r="H67" s="501">
        <v>641.274</v>
      </c>
    </row>
    <row r="68" spans="1:8" ht="12.75" hidden="1" customHeight="1" x14ac:dyDescent="0.25">
      <c r="A68" s="495">
        <v>39264</v>
      </c>
      <c r="B68" s="505">
        <v>22</v>
      </c>
      <c r="C68" s="502">
        <v>3758.4</v>
      </c>
      <c r="D68" s="502">
        <v>1851.74</v>
      </c>
      <c r="E68" s="503">
        <v>347.12</v>
      </c>
      <c r="F68" s="499">
        <v>1457.49</v>
      </c>
      <c r="G68" s="500">
        <v>19415.598000000002</v>
      </c>
      <c r="H68" s="501">
        <v>436.88600000000002</v>
      </c>
    </row>
    <row r="69" spans="1:8" ht="12.75" hidden="1" customHeight="1" x14ac:dyDescent="0.25">
      <c r="A69" s="495">
        <v>39295</v>
      </c>
      <c r="B69" s="505">
        <v>23</v>
      </c>
      <c r="C69" s="502">
        <v>3823.44</v>
      </c>
      <c r="D69" s="502">
        <v>1909.21</v>
      </c>
      <c r="E69" s="503">
        <v>356.91</v>
      </c>
      <c r="F69" s="499">
        <v>1480.6</v>
      </c>
      <c r="G69" s="500">
        <v>21702</v>
      </c>
      <c r="H69" s="501">
        <v>625</v>
      </c>
    </row>
    <row r="70" spans="1:8" ht="12.75" hidden="1" customHeight="1" x14ac:dyDescent="0.25">
      <c r="A70" s="495">
        <v>39326</v>
      </c>
      <c r="B70" s="505">
        <v>20</v>
      </c>
      <c r="C70" s="502">
        <v>3848.39</v>
      </c>
      <c r="D70" s="502">
        <v>1928.04</v>
      </c>
      <c r="E70" s="503">
        <v>362</v>
      </c>
      <c r="F70" s="499">
        <v>1484.38</v>
      </c>
      <c r="G70" s="500">
        <v>26549.976999999999</v>
      </c>
      <c r="H70" s="501">
        <v>566.15899999999999</v>
      </c>
    </row>
    <row r="71" spans="1:8" ht="12.75" hidden="1" customHeight="1" x14ac:dyDescent="0.25">
      <c r="A71" s="495">
        <v>39356</v>
      </c>
      <c r="B71" s="505">
        <v>23</v>
      </c>
      <c r="C71" s="502">
        <v>4289.03</v>
      </c>
      <c r="D71" s="502">
        <v>2182.33</v>
      </c>
      <c r="E71" s="503">
        <v>409.25</v>
      </c>
      <c r="F71" s="499">
        <v>1644.98</v>
      </c>
      <c r="G71" s="500">
        <v>49955.307999999997</v>
      </c>
      <c r="H71" s="501">
        <v>806.62400000000002</v>
      </c>
    </row>
    <row r="72" spans="1:8" ht="12.75" hidden="1" customHeight="1" x14ac:dyDescent="0.25">
      <c r="A72" s="495">
        <v>39387</v>
      </c>
      <c r="B72" s="505">
        <v>19</v>
      </c>
      <c r="C72" s="502">
        <v>4729.45</v>
      </c>
      <c r="D72" s="502">
        <v>2423.71</v>
      </c>
      <c r="E72" s="503">
        <v>464.41</v>
      </c>
      <c r="F72" s="499">
        <v>1809.61</v>
      </c>
      <c r="G72" s="500">
        <v>66924.271999999997</v>
      </c>
      <c r="H72" s="501">
        <v>1736.2529999999999</v>
      </c>
    </row>
    <row r="73" spans="1:8" ht="12.75" hidden="1" customHeight="1" x14ac:dyDescent="0.25">
      <c r="A73" s="495">
        <v>39417</v>
      </c>
      <c r="B73" s="505">
        <v>20</v>
      </c>
      <c r="C73" s="502">
        <v>4779.3615000000009</v>
      </c>
      <c r="D73" s="502">
        <v>2506.6840000000002</v>
      </c>
      <c r="E73" s="503">
        <v>468.03199999999998</v>
      </c>
      <c r="F73" s="499">
        <v>1819.6895</v>
      </c>
      <c r="G73" s="500">
        <v>62188</v>
      </c>
      <c r="H73" s="501">
        <v>1041</v>
      </c>
    </row>
    <row r="74" spans="1:8" ht="12.75" hidden="1" customHeight="1" x14ac:dyDescent="0.25">
      <c r="A74" s="495">
        <v>39448</v>
      </c>
      <c r="B74" s="505">
        <v>20</v>
      </c>
      <c r="C74" s="502">
        <v>5097.03</v>
      </c>
      <c r="D74" s="502">
        <v>2739.86</v>
      </c>
      <c r="E74" s="503">
        <v>505.55</v>
      </c>
      <c r="F74" s="499">
        <v>1938.86</v>
      </c>
      <c r="G74" s="500">
        <v>52533</v>
      </c>
      <c r="H74" s="501">
        <v>1097</v>
      </c>
    </row>
    <row r="75" spans="1:8" ht="12.75" hidden="1" customHeight="1" x14ac:dyDescent="0.25">
      <c r="A75" s="495">
        <v>39479</v>
      </c>
      <c r="B75" s="505">
        <v>19</v>
      </c>
      <c r="C75" s="502">
        <v>5334.6215789473672</v>
      </c>
      <c r="D75" s="502">
        <v>2906.4263157894734</v>
      </c>
      <c r="E75" s="503">
        <v>523.21421052631592</v>
      </c>
      <c r="F75" s="499">
        <v>2028.65</v>
      </c>
      <c r="G75" s="500">
        <v>65724</v>
      </c>
      <c r="H75" s="501">
        <v>870</v>
      </c>
    </row>
    <row r="76" spans="1:8" ht="12.75" hidden="1" customHeight="1" x14ac:dyDescent="0.25">
      <c r="A76" s="495">
        <v>39508</v>
      </c>
      <c r="B76" s="505">
        <v>19</v>
      </c>
      <c r="C76" s="502">
        <v>5047.18</v>
      </c>
      <c r="D76" s="502">
        <v>2897.84</v>
      </c>
      <c r="E76" s="503">
        <v>486.33</v>
      </c>
      <c r="F76" s="499">
        <v>1916.63</v>
      </c>
      <c r="G76" s="500">
        <v>50776</v>
      </c>
      <c r="H76" s="501">
        <v>854</v>
      </c>
    </row>
    <row r="77" spans="1:8" ht="12.75" hidden="1" customHeight="1" x14ac:dyDescent="0.25">
      <c r="A77" s="495">
        <v>39539</v>
      </c>
      <c r="B77" s="505">
        <v>21</v>
      </c>
      <c r="C77" s="502">
        <v>4752.76</v>
      </c>
      <c r="D77" s="502">
        <v>2815.46</v>
      </c>
      <c r="E77" s="503">
        <v>446.57</v>
      </c>
      <c r="F77" s="499">
        <v>1796.01</v>
      </c>
      <c r="G77" s="500">
        <v>36358</v>
      </c>
      <c r="H77" s="501">
        <v>1091</v>
      </c>
    </row>
    <row r="78" spans="1:8" ht="12.75" hidden="1" customHeight="1" x14ac:dyDescent="0.25">
      <c r="A78" s="495">
        <v>39569</v>
      </c>
      <c r="B78" s="505">
        <v>21</v>
      </c>
      <c r="C78" s="502">
        <v>4960.6499999999996</v>
      </c>
      <c r="D78" s="502">
        <v>2800.19</v>
      </c>
      <c r="E78" s="503">
        <v>471.43</v>
      </c>
      <c r="F78" s="499">
        <v>1870.7</v>
      </c>
      <c r="G78" s="500">
        <v>56054</v>
      </c>
      <c r="H78" s="501">
        <v>1132</v>
      </c>
    </row>
    <row r="79" spans="1:8" ht="12.75" hidden="1" customHeight="1" x14ac:dyDescent="0.25">
      <c r="A79" s="495">
        <v>39600</v>
      </c>
      <c r="B79" s="505">
        <v>21</v>
      </c>
      <c r="C79" s="502">
        <v>4966.8900000000003</v>
      </c>
      <c r="D79" s="502">
        <v>2797.4</v>
      </c>
      <c r="E79" s="503">
        <v>469.24</v>
      </c>
      <c r="F79" s="499">
        <v>1871.83</v>
      </c>
      <c r="G79" s="500">
        <v>70459</v>
      </c>
      <c r="H79" s="501">
        <v>1700</v>
      </c>
    </row>
    <row r="80" spans="1:8" ht="12.75" hidden="1" customHeight="1" x14ac:dyDescent="0.25">
      <c r="A80" s="495">
        <v>39630</v>
      </c>
      <c r="B80" s="505">
        <v>23</v>
      </c>
      <c r="C80" s="502">
        <v>4557.3900000000003</v>
      </c>
      <c r="D80" s="502">
        <v>2626.4</v>
      </c>
      <c r="E80" s="503">
        <v>420.36</v>
      </c>
      <c r="F80" s="499">
        <v>1709.9</v>
      </c>
      <c r="G80" s="500">
        <v>25202</v>
      </c>
      <c r="H80" s="501">
        <v>876</v>
      </c>
    </row>
    <row r="81" spans="1:8" ht="12.75" hidden="1" customHeight="1" x14ac:dyDescent="0.25">
      <c r="A81" s="495">
        <v>39661</v>
      </c>
      <c r="B81" s="505">
        <v>20</v>
      </c>
      <c r="C81" s="502">
        <v>4564.1099999999997</v>
      </c>
      <c r="D81" s="502">
        <v>2550.79</v>
      </c>
      <c r="E81" s="503">
        <v>418.64</v>
      </c>
      <c r="F81" s="499">
        <v>1708.4</v>
      </c>
      <c r="G81" s="500">
        <v>43094</v>
      </c>
      <c r="H81" s="501">
        <v>705</v>
      </c>
    </row>
    <row r="82" spans="1:8" ht="12.75" hidden="1" customHeight="1" x14ac:dyDescent="0.25">
      <c r="A82" s="495">
        <v>39699</v>
      </c>
      <c r="B82" s="505">
        <v>21</v>
      </c>
      <c r="C82" s="502">
        <v>4369.83</v>
      </c>
      <c r="D82" s="502">
        <v>2326.5700000000002</v>
      </c>
      <c r="E82" s="503">
        <v>393.49</v>
      </c>
      <c r="F82" s="499">
        <v>1630.66</v>
      </c>
      <c r="G82" s="500">
        <v>37203</v>
      </c>
      <c r="H82" s="501">
        <v>504</v>
      </c>
    </row>
    <row r="83" spans="1:8" ht="12.75" hidden="1" customHeight="1" x14ac:dyDescent="0.25">
      <c r="A83" s="495">
        <v>39729</v>
      </c>
      <c r="B83" s="505">
        <v>21</v>
      </c>
      <c r="C83" s="502">
        <v>3873.6</v>
      </c>
      <c r="D83" s="502">
        <v>1976.09</v>
      </c>
      <c r="E83" s="503">
        <v>339.74</v>
      </c>
      <c r="F83" s="499">
        <v>1434.25</v>
      </c>
      <c r="G83" s="500">
        <v>45100</v>
      </c>
      <c r="H83" s="501">
        <v>902</v>
      </c>
    </row>
    <row r="84" spans="1:8" ht="12.75" hidden="1" customHeight="1" x14ac:dyDescent="0.25">
      <c r="A84" s="495">
        <v>39760</v>
      </c>
      <c r="B84" s="505">
        <v>20</v>
      </c>
      <c r="C84" s="502">
        <v>3431.06</v>
      </c>
      <c r="D84" s="502">
        <v>1653.51</v>
      </c>
      <c r="E84" s="503">
        <v>289.25450000000001</v>
      </c>
      <c r="F84" s="499">
        <v>1266.8094999999998</v>
      </c>
      <c r="G84" s="500">
        <v>40288</v>
      </c>
      <c r="H84" s="501">
        <v>766</v>
      </c>
    </row>
    <row r="85" spans="1:8" ht="12.75" hidden="1" customHeight="1" x14ac:dyDescent="0.25">
      <c r="A85" s="495">
        <v>39790</v>
      </c>
      <c r="B85" s="505">
        <v>22</v>
      </c>
      <c r="C85" s="502">
        <v>3220.7404545454551</v>
      </c>
      <c r="D85" s="502">
        <v>1551.9959090909092</v>
      </c>
      <c r="E85" s="503">
        <v>266.05318181818183</v>
      </c>
      <c r="F85" s="499">
        <v>1179.2677272727271</v>
      </c>
      <c r="G85" s="500">
        <v>38757</v>
      </c>
      <c r="H85" s="501">
        <v>674</v>
      </c>
    </row>
    <row r="86" spans="1:8" ht="12.75" hidden="1" customHeight="1" x14ac:dyDescent="0.25">
      <c r="A86" s="495">
        <v>39821</v>
      </c>
      <c r="B86" s="505">
        <v>19</v>
      </c>
      <c r="C86" s="502">
        <v>3205.9642105263156</v>
      </c>
      <c r="D86" s="502">
        <v>1528.0031578947367</v>
      </c>
      <c r="E86" s="503">
        <v>265.43842105263167</v>
      </c>
      <c r="F86" s="499">
        <v>1171.0794736842101</v>
      </c>
      <c r="G86" s="500">
        <v>14198</v>
      </c>
      <c r="H86" s="501">
        <v>370</v>
      </c>
    </row>
    <row r="87" spans="1:8" ht="12.75" hidden="1" customHeight="1" x14ac:dyDescent="0.25">
      <c r="A87" s="495">
        <v>39852</v>
      </c>
      <c r="B87" s="505">
        <v>19</v>
      </c>
      <c r="C87" s="502">
        <v>2771.1478947368423</v>
      </c>
      <c r="D87" s="502">
        <v>1286.3705263157894</v>
      </c>
      <c r="E87" s="503">
        <v>219.57157894736847</v>
      </c>
      <c r="F87" s="499">
        <v>1011.6305263157897</v>
      </c>
      <c r="G87" s="500">
        <v>30908</v>
      </c>
      <c r="H87" s="501">
        <v>664</v>
      </c>
    </row>
    <row r="88" spans="1:8" ht="12.75" hidden="1" customHeight="1" x14ac:dyDescent="0.25">
      <c r="A88" s="495">
        <v>39880</v>
      </c>
      <c r="B88" s="505">
        <v>20</v>
      </c>
      <c r="C88" s="502">
        <v>2673.8294999999994</v>
      </c>
      <c r="D88" s="502">
        <v>1220.9910000000002</v>
      </c>
      <c r="E88" s="503">
        <v>210.45700000000005</v>
      </c>
      <c r="F88" s="499">
        <v>974.81600000000003</v>
      </c>
      <c r="G88" s="500">
        <v>22700</v>
      </c>
      <c r="H88" s="501">
        <v>594</v>
      </c>
    </row>
    <row r="89" spans="1:8" ht="12.75" hidden="1" customHeight="1" x14ac:dyDescent="0.25">
      <c r="A89" s="495">
        <v>39911</v>
      </c>
      <c r="B89" s="505">
        <v>22</v>
      </c>
      <c r="C89" s="502">
        <v>3146.7736363636359</v>
      </c>
      <c r="D89" s="502">
        <v>1446.2295454545456</v>
      </c>
      <c r="E89" s="503">
        <v>250.3868181818182</v>
      </c>
      <c r="F89" s="499">
        <v>1141.6222727272725</v>
      </c>
      <c r="G89" s="500">
        <v>61733</v>
      </c>
      <c r="H89" s="501">
        <v>1170</v>
      </c>
    </row>
    <row r="90" spans="1:8" ht="12.75" hidden="1" customHeight="1" x14ac:dyDescent="0.25">
      <c r="A90" s="495">
        <v>39941</v>
      </c>
      <c r="B90" s="505">
        <v>20</v>
      </c>
      <c r="C90" s="502">
        <v>3297.8479999999995</v>
      </c>
      <c r="D90" s="502">
        <v>1537.1479999999999</v>
      </c>
      <c r="E90" s="503">
        <v>263.45</v>
      </c>
      <c r="F90" s="499">
        <v>1194.3605</v>
      </c>
      <c r="G90" s="500">
        <v>64090</v>
      </c>
      <c r="H90" s="501">
        <v>1116</v>
      </c>
    </row>
    <row r="91" spans="1:8" ht="12.75" hidden="1" customHeight="1" x14ac:dyDescent="0.25">
      <c r="A91" s="495">
        <v>39972</v>
      </c>
      <c r="B91" s="505">
        <v>22</v>
      </c>
      <c r="C91" s="502">
        <v>3903.7250000000004</v>
      </c>
      <c r="D91" s="502">
        <v>1846.6913636363633</v>
      </c>
      <c r="E91" s="503">
        <v>319.95227272727271</v>
      </c>
      <c r="F91" s="499">
        <v>1412.1186363636361</v>
      </c>
      <c r="G91" s="500">
        <v>54702</v>
      </c>
      <c r="H91" s="501">
        <v>918</v>
      </c>
    </row>
    <row r="92" spans="1:8" ht="12.75" hidden="1" customHeight="1" x14ac:dyDescent="0.25">
      <c r="A92" s="495">
        <v>40002</v>
      </c>
      <c r="B92" s="505">
        <v>23</v>
      </c>
      <c r="C92" s="502">
        <v>3914.88</v>
      </c>
      <c r="D92" s="502">
        <v>1869.76</v>
      </c>
      <c r="E92" s="503">
        <v>318.86</v>
      </c>
      <c r="F92" s="499">
        <v>1408.19</v>
      </c>
      <c r="G92" s="500">
        <v>29655</v>
      </c>
      <c r="H92" s="501">
        <v>919</v>
      </c>
    </row>
    <row r="93" spans="1:8" ht="12.75" hidden="1" customHeight="1" x14ac:dyDescent="0.25">
      <c r="A93" s="495">
        <v>40033</v>
      </c>
      <c r="B93" s="505">
        <v>20</v>
      </c>
      <c r="C93" s="502">
        <v>4160.22</v>
      </c>
      <c r="D93" s="502">
        <v>2008.75</v>
      </c>
      <c r="E93" s="503">
        <v>335.63</v>
      </c>
      <c r="F93" s="499">
        <v>1493.15</v>
      </c>
      <c r="G93" s="500">
        <v>36738</v>
      </c>
      <c r="H93" s="501">
        <v>822</v>
      </c>
    </row>
    <row r="94" spans="1:8" ht="12.75" hidden="1" customHeight="1" x14ac:dyDescent="0.25">
      <c r="A94" s="495">
        <v>40064</v>
      </c>
      <c r="B94" s="505">
        <v>21</v>
      </c>
      <c r="C94" s="502">
        <v>4464.2119047619053</v>
      </c>
      <c r="D94" s="502">
        <v>2197.2742857142857</v>
      </c>
      <c r="E94" s="503">
        <v>362.01428571428568</v>
      </c>
      <c r="F94" s="499">
        <v>1597.3671428571431</v>
      </c>
      <c r="G94" s="500">
        <v>42226</v>
      </c>
      <c r="H94" s="501">
        <v>863</v>
      </c>
    </row>
    <row r="95" spans="1:8" ht="12.75" hidden="1" customHeight="1" x14ac:dyDescent="0.25">
      <c r="A95" s="495">
        <v>40094</v>
      </c>
      <c r="B95" s="505">
        <v>22</v>
      </c>
      <c r="C95" s="502">
        <v>4767.124545454546</v>
      </c>
      <c r="D95" s="502">
        <v>2403.7390909090905</v>
      </c>
      <c r="E95" s="503">
        <v>381.49681818181813</v>
      </c>
      <c r="F95" s="499">
        <v>1696.5281818181816</v>
      </c>
      <c r="G95" s="500">
        <v>43510</v>
      </c>
      <c r="H95" s="501">
        <v>769</v>
      </c>
    </row>
    <row r="96" spans="1:8" ht="12.75" hidden="1" customHeight="1" x14ac:dyDescent="0.25">
      <c r="A96" s="495">
        <v>40125</v>
      </c>
      <c r="B96" s="505">
        <v>20</v>
      </c>
      <c r="C96" s="502">
        <v>4721.5674129955196</v>
      </c>
      <c r="D96" s="502">
        <v>2406.3637595919799</v>
      </c>
      <c r="E96" s="503">
        <v>372.11362115828592</v>
      </c>
      <c r="F96" s="499">
        <v>1677.3474031503495</v>
      </c>
      <c r="G96" s="500">
        <v>40743</v>
      </c>
      <c r="H96" s="501">
        <v>877</v>
      </c>
    </row>
    <row r="97" spans="1:8" ht="12.75" hidden="1" customHeight="1" x14ac:dyDescent="0.25">
      <c r="A97" s="495">
        <v>40155</v>
      </c>
      <c r="B97" s="505">
        <v>22</v>
      </c>
      <c r="C97" s="502">
        <v>4701.4132797052725</v>
      </c>
      <c r="D97" s="502">
        <v>2446.8369212574939</v>
      </c>
      <c r="E97" s="503">
        <v>362.67871098361297</v>
      </c>
      <c r="F97" s="499">
        <v>1657.6934882367291</v>
      </c>
      <c r="G97" s="500">
        <v>56531</v>
      </c>
      <c r="H97" s="501">
        <v>1654</v>
      </c>
    </row>
    <row r="98" spans="1:8" ht="12.75" hidden="1" customHeight="1" x14ac:dyDescent="0.25">
      <c r="A98" s="495">
        <v>40186</v>
      </c>
      <c r="B98" s="505">
        <v>20</v>
      </c>
      <c r="C98" s="502">
        <v>4827.1281697691684</v>
      </c>
      <c r="D98" s="502">
        <v>2475.0554744435585</v>
      </c>
      <c r="E98" s="503">
        <v>365.83203606426071</v>
      </c>
      <c r="F98" s="499">
        <v>1700.434026533318</v>
      </c>
      <c r="G98" s="500">
        <v>38064</v>
      </c>
      <c r="H98" s="501">
        <v>1413</v>
      </c>
    </row>
    <row r="99" spans="1:8" ht="12.75" hidden="1" customHeight="1" x14ac:dyDescent="0.25">
      <c r="A99" s="495">
        <v>40217</v>
      </c>
      <c r="B99" s="505">
        <v>18</v>
      </c>
      <c r="C99" s="502">
        <v>4805.5193926340053</v>
      </c>
      <c r="D99" s="502">
        <v>2430.7307198612152</v>
      </c>
      <c r="E99" s="503">
        <v>353.9740535310724</v>
      </c>
      <c r="F99" s="499">
        <v>1692.2094895967871</v>
      </c>
      <c r="G99" s="500">
        <v>40847</v>
      </c>
      <c r="H99" s="501">
        <v>785</v>
      </c>
    </row>
    <row r="100" spans="1:8" ht="12.75" hidden="1" customHeight="1" x14ac:dyDescent="0.25">
      <c r="A100" s="495">
        <v>40245</v>
      </c>
      <c r="B100" s="505">
        <v>21</v>
      </c>
      <c r="C100" s="502">
        <v>4674.8081776468707</v>
      </c>
      <c r="D100" s="502">
        <v>2350.0572374430562</v>
      </c>
      <c r="E100" s="503">
        <v>341.97600536861296</v>
      </c>
      <c r="F100" s="499">
        <v>1643.7926014056338</v>
      </c>
      <c r="G100" s="500">
        <v>82793</v>
      </c>
      <c r="H100" s="501">
        <v>4025</v>
      </c>
    </row>
    <row r="101" spans="1:8" ht="12.75" hidden="1" customHeight="1" x14ac:dyDescent="0.25">
      <c r="A101" s="495">
        <v>40276</v>
      </c>
      <c r="B101" s="505">
        <v>22</v>
      </c>
      <c r="C101" s="502">
        <v>4760.5342160712489</v>
      </c>
      <c r="D101" s="502">
        <v>2382.7889710460195</v>
      </c>
      <c r="E101" s="503">
        <v>345.60349215515083</v>
      </c>
      <c r="F101" s="499">
        <v>1668.8078676625278</v>
      </c>
      <c r="G101" s="500">
        <v>54778</v>
      </c>
      <c r="H101" s="501">
        <v>1748</v>
      </c>
    </row>
    <row r="102" spans="1:8" ht="12.75" hidden="1" customHeight="1" x14ac:dyDescent="0.25">
      <c r="A102" s="495">
        <v>40306</v>
      </c>
      <c r="B102" s="505">
        <v>20</v>
      </c>
      <c r="C102" s="502">
        <v>4662.6628687485299</v>
      </c>
      <c r="D102" s="502">
        <v>2210.6989462763413</v>
      </c>
      <c r="E102" s="503">
        <v>332.38117521174797</v>
      </c>
      <c r="F102" s="499">
        <v>1631.7926129041973</v>
      </c>
      <c r="G102" s="500">
        <v>67156</v>
      </c>
      <c r="H102" s="501">
        <v>868</v>
      </c>
    </row>
    <row r="103" spans="1:8" ht="12.75" hidden="1" customHeight="1" x14ac:dyDescent="0.25">
      <c r="A103" s="495">
        <v>40337</v>
      </c>
      <c r="B103" s="505">
        <v>22</v>
      </c>
      <c r="C103" s="502">
        <v>4672.8805318184213</v>
      </c>
      <c r="D103" s="502">
        <v>2190.7194830182489</v>
      </c>
      <c r="E103" s="503">
        <v>331.08397814321273</v>
      </c>
      <c r="F103" s="499">
        <v>1632.9807664416192</v>
      </c>
      <c r="G103" s="500">
        <v>32840</v>
      </c>
      <c r="H103" s="501">
        <v>564</v>
      </c>
    </row>
    <row r="104" spans="1:8" ht="21.75" hidden="1" customHeight="1" x14ac:dyDescent="0.25">
      <c r="A104" s="508">
        <v>40367</v>
      </c>
      <c r="B104" s="505">
        <v>22</v>
      </c>
      <c r="C104" s="502">
        <v>4838.2017363038049</v>
      </c>
      <c r="D104" s="502">
        <v>2387.9606222700363</v>
      </c>
      <c r="E104" s="503">
        <v>335.74937648069584</v>
      </c>
      <c r="F104" s="499">
        <v>1682.4248521466639</v>
      </c>
      <c r="G104" s="500">
        <v>54326</v>
      </c>
      <c r="H104" s="501">
        <v>2003</v>
      </c>
    </row>
    <row r="105" spans="1:8" ht="21.75" hidden="1" customHeight="1" x14ac:dyDescent="0.25">
      <c r="A105" s="508">
        <v>40398</v>
      </c>
      <c r="B105" s="505">
        <v>22</v>
      </c>
      <c r="C105" s="502">
        <v>4988.2433227794754</v>
      </c>
      <c r="D105" s="502">
        <v>2514.5728062364096</v>
      </c>
      <c r="E105" s="503">
        <v>342.64115513215557</v>
      </c>
      <c r="F105" s="499">
        <v>1732.0934897286488</v>
      </c>
      <c r="G105" s="500">
        <v>27448</v>
      </c>
      <c r="H105" s="501">
        <v>980</v>
      </c>
    </row>
    <row r="106" spans="1:8" ht="21.75" hidden="1" customHeight="1" x14ac:dyDescent="0.25">
      <c r="A106" s="508">
        <v>40429</v>
      </c>
      <c r="B106" s="505">
        <v>21</v>
      </c>
      <c r="C106" s="502">
        <v>5022.4022225149456</v>
      </c>
      <c r="D106" s="502">
        <v>2518.2450421749295</v>
      </c>
      <c r="E106" s="503">
        <v>334.51944034010921</v>
      </c>
      <c r="F106" s="499">
        <v>1738.0269440402251</v>
      </c>
      <c r="G106" s="500">
        <v>43286</v>
      </c>
      <c r="H106" s="501">
        <v>1176</v>
      </c>
    </row>
    <row r="107" spans="1:8" ht="21.75" hidden="1" customHeight="1" x14ac:dyDescent="0.25">
      <c r="A107" s="508">
        <v>40459</v>
      </c>
      <c r="B107" s="505">
        <v>21</v>
      </c>
      <c r="C107" s="502">
        <v>5285.4285551968696</v>
      </c>
      <c r="D107" s="502">
        <v>2713.2079883741744</v>
      </c>
      <c r="E107" s="503">
        <v>348.07677117991886</v>
      </c>
      <c r="F107" s="499">
        <v>1823.9338179872177</v>
      </c>
      <c r="G107" s="500">
        <v>51066</v>
      </c>
      <c r="H107" s="501">
        <v>895</v>
      </c>
    </row>
    <row r="108" spans="1:8" ht="21.75" hidden="1" customHeight="1" x14ac:dyDescent="0.25">
      <c r="A108" s="508">
        <v>40490</v>
      </c>
      <c r="B108" s="505">
        <v>20</v>
      </c>
      <c r="C108" s="502">
        <v>5501.1338542679714</v>
      </c>
      <c r="D108" s="502">
        <v>2807.6990289142145</v>
      </c>
      <c r="E108" s="503">
        <v>361.86941521596083</v>
      </c>
      <c r="F108" s="499">
        <v>1896.7225727265977</v>
      </c>
      <c r="G108" s="500">
        <v>45840</v>
      </c>
      <c r="H108" s="501">
        <v>970</v>
      </c>
    </row>
    <row r="109" spans="1:8" ht="21.75" hidden="1" customHeight="1" x14ac:dyDescent="0.25">
      <c r="A109" s="508">
        <v>40520</v>
      </c>
      <c r="B109" s="505">
        <v>23</v>
      </c>
      <c r="C109" s="502">
        <v>5618.3541600930466</v>
      </c>
      <c r="D109" s="502">
        <v>2822.6191139903472</v>
      </c>
      <c r="E109" s="503">
        <v>366.39261578827808</v>
      </c>
      <c r="F109" s="499">
        <v>1924.7444906555879</v>
      </c>
      <c r="G109" s="500">
        <v>24223</v>
      </c>
      <c r="H109" s="501">
        <v>687</v>
      </c>
    </row>
    <row r="110" spans="1:8" ht="21.75" hidden="1" customHeight="1" x14ac:dyDescent="0.25">
      <c r="A110" s="508">
        <v>40551</v>
      </c>
      <c r="B110" s="505">
        <v>19</v>
      </c>
      <c r="C110" s="502">
        <v>5913.2862330420758</v>
      </c>
      <c r="D110" s="502">
        <v>3006.7265101479898</v>
      </c>
      <c r="E110" s="503">
        <v>385.70946088370619</v>
      </c>
      <c r="F110" s="499">
        <v>2023.8537404096467</v>
      </c>
      <c r="G110" s="500">
        <v>63052</v>
      </c>
      <c r="H110" s="501">
        <v>1131</v>
      </c>
    </row>
    <row r="111" spans="1:8" ht="21.75" hidden="1" customHeight="1" x14ac:dyDescent="0.25">
      <c r="A111" s="508">
        <v>40582</v>
      </c>
      <c r="B111" s="505">
        <v>18</v>
      </c>
      <c r="C111" s="502">
        <v>5971.5883042516125</v>
      </c>
      <c r="D111" s="502">
        <v>3100.530430433852</v>
      </c>
      <c r="E111" s="503">
        <v>388.02398015466383</v>
      </c>
      <c r="F111" s="499">
        <v>2042.9682051176185</v>
      </c>
      <c r="G111" s="500">
        <v>36863</v>
      </c>
      <c r="H111" s="501">
        <v>798</v>
      </c>
    </row>
    <row r="112" spans="1:8" ht="21.75" hidden="1" customHeight="1" x14ac:dyDescent="0.25">
      <c r="A112" s="508">
        <v>40610</v>
      </c>
      <c r="B112" s="505">
        <v>22</v>
      </c>
      <c r="C112" s="502">
        <v>5831.1306084196221</v>
      </c>
      <c r="D112" s="502">
        <v>3076.7769249677276</v>
      </c>
      <c r="E112" s="503">
        <v>375.53189619666387</v>
      </c>
      <c r="F112" s="499">
        <v>1992.36040584489</v>
      </c>
      <c r="G112" s="500">
        <v>32668.889211363639</v>
      </c>
      <c r="H112" s="501">
        <v>598</v>
      </c>
    </row>
    <row r="113" spans="1:8" ht="21.75" hidden="1" customHeight="1" x14ac:dyDescent="0.25">
      <c r="A113" s="508">
        <v>40641</v>
      </c>
      <c r="B113" s="505">
        <v>20</v>
      </c>
      <c r="C113" s="502">
        <v>5989.9702859358367</v>
      </c>
      <c r="D113" s="502">
        <v>3269.5195610526985</v>
      </c>
      <c r="E113" s="503">
        <v>382.92513075988165</v>
      </c>
      <c r="F113" s="499">
        <v>2041.4989029438213</v>
      </c>
      <c r="G113" s="500">
        <v>30257</v>
      </c>
      <c r="H113" s="501">
        <v>623</v>
      </c>
    </row>
    <row r="114" spans="1:8" ht="21.75" hidden="1" customHeight="1" x14ac:dyDescent="0.25">
      <c r="A114" s="508">
        <v>40671</v>
      </c>
      <c r="B114" s="505">
        <v>22</v>
      </c>
      <c r="C114" s="502">
        <v>6123.3196184820754</v>
      </c>
      <c r="D114" s="502">
        <v>3355.5446732187688</v>
      </c>
      <c r="E114" s="503">
        <v>391.50420544999781</v>
      </c>
      <c r="F114" s="499">
        <v>2084.7833272037842</v>
      </c>
      <c r="G114" s="500">
        <v>52608</v>
      </c>
      <c r="H114" s="501">
        <v>931</v>
      </c>
    </row>
    <row r="115" spans="1:8" ht="21.75" hidden="1" customHeight="1" x14ac:dyDescent="0.25">
      <c r="A115" s="508">
        <v>40702</v>
      </c>
      <c r="B115" s="505">
        <v>22</v>
      </c>
      <c r="C115" s="502">
        <v>6134.9756152538139</v>
      </c>
      <c r="D115" s="502">
        <v>3330.8548858048957</v>
      </c>
      <c r="E115" s="503">
        <v>393.56788981559907</v>
      </c>
      <c r="F115" s="499">
        <v>2085.3614012646781</v>
      </c>
      <c r="G115" s="500">
        <v>34508</v>
      </c>
      <c r="H115" s="501">
        <v>655</v>
      </c>
    </row>
    <row r="116" spans="1:8" ht="21.75" hidden="1" customHeight="1" x14ac:dyDescent="0.25">
      <c r="A116" s="508">
        <v>40732</v>
      </c>
      <c r="B116" s="505">
        <v>21</v>
      </c>
      <c r="C116" s="502">
        <v>6100.5340312545441</v>
      </c>
      <c r="D116" s="502">
        <v>3311.6270853551978</v>
      </c>
      <c r="E116" s="503">
        <v>385.70675885352853</v>
      </c>
      <c r="F116" s="499">
        <v>2064.2108597424194</v>
      </c>
      <c r="G116" s="500">
        <v>34925</v>
      </c>
      <c r="H116" s="501">
        <v>747</v>
      </c>
    </row>
    <row r="117" spans="1:8" ht="21.75" hidden="1" customHeight="1" x14ac:dyDescent="0.25">
      <c r="A117" s="508">
        <v>40763</v>
      </c>
      <c r="B117" s="505">
        <v>22</v>
      </c>
      <c r="C117" s="502">
        <v>5808.8463405194743</v>
      </c>
      <c r="D117" s="502">
        <v>3183.1998574103122</v>
      </c>
      <c r="E117" s="503">
        <v>364.34880298524291</v>
      </c>
      <c r="F117" s="499">
        <v>1958.5331262179209</v>
      </c>
      <c r="G117" s="500">
        <v>53001</v>
      </c>
      <c r="H117" s="501">
        <v>881</v>
      </c>
    </row>
    <row r="118" spans="1:8" ht="21.75" hidden="1" customHeight="1" x14ac:dyDescent="0.25">
      <c r="A118" s="508">
        <v>40794</v>
      </c>
      <c r="B118" s="505">
        <v>21</v>
      </c>
      <c r="C118" s="502">
        <v>5670.9189604148805</v>
      </c>
      <c r="D118" s="502">
        <v>3059.7972168683987</v>
      </c>
      <c r="E118" s="503">
        <v>353.40800894684475</v>
      </c>
      <c r="F118" s="499">
        <v>1905.4120639045841</v>
      </c>
      <c r="G118" s="500">
        <v>28224</v>
      </c>
      <c r="H118" s="501">
        <v>561</v>
      </c>
    </row>
    <row r="119" spans="1:8" ht="21.75" hidden="1" customHeight="1" x14ac:dyDescent="0.25">
      <c r="A119" s="508">
        <v>40824</v>
      </c>
      <c r="B119" s="505">
        <v>20</v>
      </c>
      <c r="C119" s="502">
        <v>5637.5744888979953</v>
      </c>
      <c r="D119" s="502">
        <v>2995.3269299796339</v>
      </c>
      <c r="E119" s="503">
        <v>349.34833664543714</v>
      </c>
      <c r="F119" s="499">
        <v>1889.8135130994874</v>
      </c>
      <c r="G119" s="500">
        <v>134903</v>
      </c>
      <c r="H119" s="501">
        <v>2876</v>
      </c>
    </row>
    <row r="120" spans="1:8" ht="21.75" hidden="1" customHeight="1" x14ac:dyDescent="0.25">
      <c r="A120" s="508">
        <v>40855</v>
      </c>
      <c r="B120" s="505">
        <v>20</v>
      </c>
      <c r="C120" s="502">
        <v>5670.6592734865053</v>
      </c>
      <c r="D120" s="502">
        <v>3004.8248623912759</v>
      </c>
      <c r="E120" s="503">
        <v>351.42636680825899</v>
      </c>
      <c r="F120" s="499">
        <v>1899.078404469974</v>
      </c>
      <c r="G120" s="500">
        <v>203815</v>
      </c>
      <c r="H120" s="501">
        <v>1755</v>
      </c>
    </row>
    <row r="121" spans="1:8" ht="21.75" hidden="1" customHeight="1" x14ac:dyDescent="0.25">
      <c r="A121" s="508">
        <v>40885</v>
      </c>
      <c r="B121" s="505">
        <v>22</v>
      </c>
      <c r="C121" s="502">
        <v>5594.3785752621407</v>
      </c>
      <c r="D121" s="502">
        <v>2944.5615894899115</v>
      </c>
      <c r="E121" s="503">
        <v>344.85004846409981</v>
      </c>
      <c r="F121" s="499">
        <v>1864.2220738195088</v>
      </c>
      <c r="G121" s="500">
        <v>26850</v>
      </c>
      <c r="H121" s="501">
        <v>367</v>
      </c>
    </row>
    <row r="122" spans="1:8" ht="21.75" hidden="1" customHeight="1" x14ac:dyDescent="0.25">
      <c r="A122" s="508">
        <v>40916</v>
      </c>
      <c r="B122" s="505">
        <v>20</v>
      </c>
      <c r="C122" s="502">
        <v>5610.8151320798479</v>
      </c>
      <c r="D122" s="502">
        <v>2953.8328536620202</v>
      </c>
      <c r="E122" s="503">
        <v>346.98399905645067</v>
      </c>
      <c r="F122" s="499">
        <v>1865.3933302329146</v>
      </c>
      <c r="G122" s="500">
        <v>23760</v>
      </c>
      <c r="H122" s="501">
        <v>463</v>
      </c>
    </row>
    <row r="123" spans="1:8" ht="21.75" hidden="1" customHeight="1" x14ac:dyDescent="0.25">
      <c r="A123" s="508">
        <v>40947</v>
      </c>
      <c r="B123" s="505">
        <v>18</v>
      </c>
      <c r="C123" s="502">
        <v>5470.1114168408585</v>
      </c>
      <c r="D123" s="502">
        <v>2913.2561118098797</v>
      </c>
      <c r="E123" s="503">
        <v>340.90402923250309</v>
      </c>
      <c r="F123" s="499">
        <v>1816.4284835109709</v>
      </c>
      <c r="G123" s="500">
        <v>29830</v>
      </c>
      <c r="H123" s="501">
        <v>569</v>
      </c>
    </row>
    <row r="124" spans="1:8" ht="21.75" hidden="1" customHeight="1" x14ac:dyDescent="0.25">
      <c r="A124" s="508">
        <v>40976</v>
      </c>
      <c r="B124" s="505">
        <v>20</v>
      </c>
      <c r="C124" s="502">
        <v>5344.216449809076</v>
      </c>
      <c r="D124" s="502">
        <v>2843.40224746678</v>
      </c>
      <c r="E124" s="503">
        <v>331.90113355150743</v>
      </c>
      <c r="F124" s="499">
        <v>1772.0401656764675</v>
      </c>
      <c r="G124" s="500">
        <v>22808</v>
      </c>
      <c r="H124" s="501">
        <v>587</v>
      </c>
    </row>
    <row r="125" spans="1:8" ht="21.75" hidden="1" customHeight="1" x14ac:dyDescent="0.25">
      <c r="A125" s="508">
        <v>41007</v>
      </c>
      <c r="B125" s="505">
        <v>21</v>
      </c>
      <c r="C125" s="502">
        <v>5432.8290132240727</v>
      </c>
      <c r="D125" s="502">
        <v>2876.0336849063874</v>
      </c>
      <c r="E125" s="503">
        <v>338.76382206302799</v>
      </c>
      <c r="F125" s="499">
        <v>1797.9146441970308</v>
      </c>
      <c r="G125" s="500">
        <v>27694</v>
      </c>
      <c r="H125" s="501">
        <v>444</v>
      </c>
    </row>
    <row r="126" spans="1:8" ht="21.75" hidden="1" customHeight="1" x14ac:dyDescent="0.25">
      <c r="A126" s="508">
        <v>41030</v>
      </c>
      <c r="B126" s="505">
        <v>22</v>
      </c>
      <c r="C126" s="502">
        <v>5473.6417947698528</v>
      </c>
      <c r="D126" s="502">
        <v>2864.68</v>
      </c>
      <c r="E126" s="503">
        <v>342.88817332746271</v>
      </c>
      <c r="F126" s="499">
        <v>1809.4602287430114</v>
      </c>
      <c r="G126" s="500">
        <v>49260.276581363636</v>
      </c>
      <c r="H126" s="501">
        <v>1218</v>
      </c>
    </row>
    <row r="127" spans="1:8" ht="21.75" hidden="1" customHeight="1" x14ac:dyDescent="0.25">
      <c r="A127" s="508">
        <v>41061</v>
      </c>
      <c r="B127" s="505">
        <v>21</v>
      </c>
      <c r="C127" s="502">
        <v>5420.0854013313028</v>
      </c>
      <c r="D127" s="502">
        <v>2758.76320559943</v>
      </c>
      <c r="E127" s="503">
        <v>340.89007235984388</v>
      </c>
      <c r="F127" s="499">
        <v>1788.7070911958654</v>
      </c>
      <c r="G127" s="500">
        <v>27132.0045942857</v>
      </c>
      <c r="H127" s="501">
        <v>528.29661904761906</v>
      </c>
    </row>
    <row r="128" spans="1:8" ht="21.75" hidden="1" customHeight="1" x14ac:dyDescent="0.25">
      <c r="A128" s="508">
        <v>41091</v>
      </c>
      <c r="B128" s="505">
        <v>22</v>
      </c>
      <c r="C128" s="502">
        <v>5349.9797180510968</v>
      </c>
      <c r="D128" s="502">
        <v>2662.3849025838758</v>
      </c>
      <c r="E128" s="503">
        <v>337.62030270935105</v>
      </c>
      <c r="F128" s="499">
        <v>1757.0258603567993</v>
      </c>
      <c r="G128" s="500">
        <v>55150</v>
      </c>
      <c r="H128" s="501">
        <v>835</v>
      </c>
    </row>
    <row r="129" spans="1:8" ht="21.75" hidden="1" customHeight="1" x14ac:dyDescent="0.25">
      <c r="A129" s="508">
        <v>41122</v>
      </c>
      <c r="B129" s="505">
        <v>21</v>
      </c>
      <c r="C129" s="502">
        <v>5245.0794021110551</v>
      </c>
      <c r="D129" s="503">
        <v>2639.3387503780659</v>
      </c>
      <c r="E129" s="503">
        <v>333.33846830889098</v>
      </c>
      <c r="F129" s="499">
        <v>1719.9610192639136</v>
      </c>
      <c r="G129" s="500">
        <v>44271</v>
      </c>
      <c r="H129" s="501">
        <v>897</v>
      </c>
    </row>
    <row r="130" spans="1:8" ht="21.75" hidden="1" customHeight="1" x14ac:dyDescent="0.25">
      <c r="A130" s="508">
        <v>41153</v>
      </c>
      <c r="B130" s="505">
        <v>19</v>
      </c>
      <c r="C130" s="502">
        <v>5192.6105554554606</v>
      </c>
      <c r="D130" s="502">
        <v>2641.6586168231688</v>
      </c>
      <c r="E130" s="503">
        <v>330.92570796411428</v>
      </c>
      <c r="F130" s="499">
        <v>1702.112424445781</v>
      </c>
      <c r="G130" s="500">
        <v>48290</v>
      </c>
      <c r="H130" s="501">
        <v>1046</v>
      </c>
    </row>
    <row r="131" spans="1:8" ht="21.75" hidden="1" customHeight="1" x14ac:dyDescent="0.25">
      <c r="A131" s="508">
        <v>41183</v>
      </c>
      <c r="B131" s="505">
        <v>23</v>
      </c>
      <c r="C131" s="502">
        <v>5167.6407259096486</v>
      </c>
      <c r="D131" s="502">
        <v>2596.9531537295984</v>
      </c>
      <c r="E131" s="503">
        <v>326.87429115643334</v>
      </c>
      <c r="F131" s="499">
        <v>1692.5891542268419</v>
      </c>
      <c r="G131" s="500">
        <v>42041</v>
      </c>
      <c r="H131" s="501">
        <v>1208</v>
      </c>
    </row>
    <row r="132" spans="1:8" ht="21.75" hidden="1" customHeight="1" x14ac:dyDescent="0.25">
      <c r="A132" s="508">
        <v>41214</v>
      </c>
      <c r="B132" s="505">
        <v>20</v>
      </c>
      <c r="C132" s="502">
        <v>5111.2919006366801</v>
      </c>
      <c r="D132" s="502">
        <v>2552.5462217573104</v>
      </c>
      <c r="E132" s="503">
        <v>320.88367861160424</v>
      </c>
      <c r="F132" s="499">
        <v>1663.6266381723792</v>
      </c>
      <c r="G132" s="500">
        <v>43271</v>
      </c>
      <c r="H132" s="501">
        <v>2242</v>
      </c>
    </row>
    <row r="133" spans="1:8" ht="21.75" hidden="1" customHeight="1" x14ac:dyDescent="0.25">
      <c r="A133" s="508">
        <v>41244</v>
      </c>
      <c r="B133" s="505">
        <v>20</v>
      </c>
      <c r="C133" s="502">
        <v>5289.9115873023793</v>
      </c>
      <c r="D133" s="502">
        <v>2678.9063357086279</v>
      </c>
      <c r="E133" s="503">
        <v>333.15411350648162</v>
      </c>
      <c r="F133" s="499">
        <v>1710.9982147528208</v>
      </c>
      <c r="G133" s="500">
        <v>43266</v>
      </c>
      <c r="H133" s="501">
        <v>976</v>
      </c>
    </row>
    <row r="134" spans="1:8" ht="21.75" hidden="1" customHeight="1" x14ac:dyDescent="0.25">
      <c r="A134" s="508">
        <v>41275</v>
      </c>
      <c r="B134" s="505">
        <v>21</v>
      </c>
      <c r="C134" s="502">
        <v>5491.2625203959324</v>
      </c>
      <c r="D134" s="502">
        <v>2797.8274260708181</v>
      </c>
      <c r="E134" s="503">
        <v>347.03893506091526</v>
      </c>
      <c r="F134" s="499">
        <v>1771.9293336032008</v>
      </c>
      <c r="G134" s="500">
        <v>50325</v>
      </c>
      <c r="H134" s="501">
        <v>1480</v>
      </c>
    </row>
    <row r="135" spans="1:8" ht="21.75" hidden="1" customHeight="1" x14ac:dyDescent="0.25">
      <c r="A135" s="508">
        <v>41306</v>
      </c>
      <c r="B135" s="505">
        <v>19</v>
      </c>
      <c r="C135" s="502">
        <v>5711.7698208890888</v>
      </c>
      <c r="D135" s="502">
        <v>2913.3728545294202</v>
      </c>
      <c r="E135" s="503">
        <v>361.36561988269057</v>
      </c>
      <c r="F135" s="499">
        <v>1842.5341962184448</v>
      </c>
      <c r="G135" s="500">
        <v>56805</v>
      </c>
      <c r="H135" s="501">
        <v>1454</v>
      </c>
    </row>
    <row r="136" spans="1:8" ht="21.75" hidden="1" customHeight="1" x14ac:dyDescent="0.25">
      <c r="A136" s="508">
        <v>41334</v>
      </c>
      <c r="B136" s="505">
        <v>20</v>
      </c>
      <c r="C136" s="502">
        <v>5905.6085627081156</v>
      </c>
      <c r="D136" s="502">
        <v>2970.1544057385718</v>
      </c>
      <c r="E136" s="503">
        <v>378.60650682257977</v>
      </c>
      <c r="F136" s="499">
        <v>1903.5645159361095</v>
      </c>
      <c r="G136" s="500">
        <v>44332</v>
      </c>
      <c r="H136" s="501">
        <v>6979</v>
      </c>
    </row>
    <row r="137" spans="1:8" ht="21.75" hidden="1" customHeight="1" x14ac:dyDescent="0.25">
      <c r="A137" s="508">
        <v>41365</v>
      </c>
      <c r="B137" s="505">
        <v>20</v>
      </c>
      <c r="C137" s="502">
        <v>5925.8694118838303</v>
      </c>
      <c r="D137" s="502">
        <v>2977.7162584739845</v>
      </c>
      <c r="E137" s="503">
        <v>379.77221068014592</v>
      </c>
      <c r="F137" s="499">
        <v>1909.18382824572</v>
      </c>
      <c r="G137" s="500">
        <v>23747</v>
      </c>
      <c r="H137" s="501">
        <v>7035</v>
      </c>
    </row>
    <row r="138" spans="1:8" ht="21.75" hidden="1" customHeight="1" x14ac:dyDescent="0.25">
      <c r="A138" s="509">
        <v>41395</v>
      </c>
      <c r="B138" s="505">
        <v>22</v>
      </c>
      <c r="C138" s="502">
        <v>6035.6893429399342</v>
      </c>
      <c r="D138" s="502">
        <v>3022.7819214621345</v>
      </c>
      <c r="E138" s="503">
        <v>384.92912600965792</v>
      </c>
      <c r="F138" s="499">
        <v>1943.3664041456955</v>
      </c>
      <c r="G138" s="500">
        <v>34240</v>
      </c>
      <c r="H138" s="501">
        <v>5315</v>
      </c>
    </row>
    <row r="139" spans="1:8" ht="21.75" hidden="1" customHeight="1" x14ac:dyDescent="0.25">
      <c r="A139" s="509">
        <v>41426</v>
      </c>
      <c r="B139" s="505">
        <v>20</v>
      </c>
      <c r="C139" s="502">
        <v>6003.8818344144211</v>
      </c>
      <c r="D139" s="502">
        <v>3019.4429969149505</v>
      </c>
      <c r="E139" s="503">
        <v>379.205154828746</v>
      </c>
      <c r="F139" s="499">
        <v>1929.9368160751917</v>
      </c>
      <c r="G139" s="500">
        <v>49521</v>
      </c>
      <c r="H139" s="501">
        <v>13235</v>
      </c>
    </row>
    <row r="140" spans="1:8" ht="21.75" hidden="1" customHeight="1" x14ac:dyDescent="0.25">
      <c r="A140" s="509">
        <v>41456</v>
      </c>
      <c r="B140" s="505">
        <v>23</v>
      </c>
      <c r="C140" s="502">
        <v>5861.2335306335744</v>
      </c>
      <c r="D140" s="502">
        <v>2932.1836157815283</v>
      </c>
      <c r="E140" s="503">
        <v>365.89100458220588</v>
      </c>
      <c r="F140" s="499">
        <v>1873.6728068604425</v>
      </c>
      <c r="G140" s="500">
        <v>20939</v>
      </c>
      <c r="H140" s="501">
        <v>2425</v>
      </c>
    </row>
    <row r="141" spans="1:8" ht="21.75" hidden="1" customHeight="1" x14ac:dyDescent="0.25">
      <c r="A141" s="510">
        <v>41487</v>
      </c>
      <c r="B141" s="511">
        <v>21</v>
      </c>
      <c r="C141" s="512">
        <v>5938.6437072263843</v>
      </c>
      <c r="D141" s="512">
        <v>2987.154768060127</v>
      </c>
      <c r="E141" s="513">
        <v>371.43416315744048</v>
      </c>
      <c r="F141" s="514">
        <v>1894.1986776730573</v>
      </c>
      <c r="G141" s="515">
        <v>35688.769018571402</v>
      </c>
      <c r="H141" s="516">
        <v>11766.444761904801</v>
      </c>
    </row>
    <row r="142" spans="1:8" ht="21" hidden="1" customHeight="1" x14ac:dyDescent="0.25">
      <c r="A142" s="509">
        <v>41518</v>
      </c>
      <c r="B142" s="505">
        <v>20</v>
      </c>
      <c r="C142" s="502">
        <v>6135.9122365628855</v>
      </c>
      <c r="D142" s="502">
        <v>3089.75435174942</v>
      </c>
      <c r="E142" s="503">
        <v>378.95210710928052</v>
      </c>
      <c r="F142" s="499">
        <v>1949.1574629356851</v>
      </c>
      <c r="G142" s="500">
        <v>45673.182169500004</v>
      </c>
      <c r="H142" s="501">
        <v>15597.3014</v>
      </c>
    </row>
    <row r="143" spans="1:8" ht="21" hidden="1" customHeight="1" x14ac:dyDescent="0.25">
      <c r="A143" s="509">
        <v>41548</v>
      </c>
      <c r="B143" s="505">
        <v>23</v>
      </c>
      <c r="C143" s="502">
        <v>6263.9843439559036</v>
      </c>
      <c r="D143" s="502">
        <v>3209.972628184551</v>
      </c>
      <c r="E143" s="503">
        <v>388.04733826287656</v>
      </c>
      <c r="F143" s="499">
        <v>1984.2677177535472</v>
      </c>
      <c r="G143" s="515">
        <v>71113.644136521732</v>
      </c>
      <c r="H143" s="516">
        <v>8909.6984347826092</v>
      </c>
    </row>
    <row r="144" spans="1:8" ht="21" hidden="1" customHeight="1" x14ac:dyDescent="0.25">
      <c r="A144" s="509">
        <v>41579</v>
      </c>
      <c r="B144" s="505">
        <v>23</v>
      </c>
      <c r="C144" s="502">
        <v>6435.1746965896145</v>
      </c>
      <c r="D144" s="502">
        <v>3276.4817615889151</v>
      </c>
      <c r="E144" s="503">
        <v>397.34544073953288</v>
      </c>
      <c r="F144" s="499">
        <v>2036.8240879558823</v>
      </c>
      <c r="G144" s="515">
        <v>32633.431793500007</v>
      </c>
      <c r="H144" s="516">
        <v>3966.7009500000004</v>
      </c>
    </row>
    <row r="145" spans="1:8" ht="21" hidden="1" customHeight="1" x14ac:dyDescent="0.25">
      <c r="A145" s="509">
        <v>41609</v>
      </c>
      <c r="B145" s="505">
        <v>21</v>
      </c>
      <c r="C145" s="502">
        <v>6565.9314861770808</v>
      </c>
      <c r="D145" s="502">
        <v>3365.3160475398963</v>
      </c>
      <c r="E145" s="503">
        <v>401.65649020014359</v>
      </c>
      <c r="F145" s="499">
        <v>2064.8483022954238</v>
      </c>
      <c r="G145" s="515">
        <v>41835.919750952402</v>
      </c>
      <c r="H145" s="516">
        <v>5609.1432380952401</v>
      </c>
    </row>
    <row r="146" spans="1:8" ht="21" hidden="1" customHeight="1" x14ac:dyDescent="0.25">
      <c r="A146" s="509">
        <v>41640</v>
      </c>
      <c r="B146" s="505">
        <v>19</v>
      </c>
      <c r="C146" s="502">
        <v>6752.2293580895366</v>
      </c>
      <c r="D146" s="502">
        <v>3464.2036812287797</v>
      </c>
      <c r="E146" s="503">
        <v>407.15387740249116</v>
      </c>
      <c r="F146" s="499">
        <v>2119.8054832397761</v>
      </c>
      <c r="G146" s="515">
        <v>58767.026706315803</v>
      </c>
      <c r="H146" s="516">
        <v>9147.1905789473713</v>
      </c>
    </row>
    <row r="147" spans="1:8" ht="21" hidden="1" customHeight="1" x14ac:dyDescent="0.25">
      <c r="A147" s="509">
        <v>41671</v>
      </c>
      <c r="B147" s="505">
        <v>18</v>
      </c>
      <c r="C147" s="502">
        <v>6622.5085866794834</v>
      </c>
      <c r="D147" s="502">
        <v>3395.5105736274477</v>
      </c>
      <c r="E147" s="503">
        <v>399.92717494601004</v>
      </c>
      <c r="F147" s="499">
        <v>2078.3765063013252</v>
      </c>
      <c r="G147" s="515">
        <v>51213.340688333301</v>
      </c>
      <c r="H147" s="516">
        <v>6046.6841111111098</v>
      </c>
    </row>
    <row r="148" spans="1:8" ht="21" hidden="1" customHeight="1" x14ac:dyDescent="0.25">
      <c r="A148" s="509">
        <v>41699</v>
      </c>
      <c r="B148" s="505">
        <v>19</v>
      </c>
      <c r="C148" s="502">
        <v>6610.4170439451073</v>
      </c>
      <c r="D148" s="502">
        <v>3406.4342368498687</v>
      </c>
      <c r="E148" s="503">
        <v>402.2470838394197</v>
      </c>
      <c r="F148" s="499">
        <v>2073.2155678745858</v>
      </c>
      <c r="G148" s="515">
        <v>82767.679326315789</v>
      </c>
      <c r="H148" s="516">
        <v>8674.0475263157896</v>
      </c>
    </row>
    <row r="149" spans="1:8" ht="21" hidden="1" customHeight="1" x14ac:dyDescent="0.25">
      <c r="A149" s="509">
        <v>41730</v>
      </c>
      <c r="B149" s="505">
        <v>22</v>
      </c>
      <c r="C149" s="502">
        <v>6677.2</v>
      </c>
      <c r="D149" s="502">
        <v>3445.81</v>
      </c>
      <c r="E149" s="503">
        <v>406.44</v>
      </c>
      <c r="F149" s="499">
        <v>2089.04</v>
      </c>
      <c r="G149" s="515">
        <v>47264.600630000001</v>
      </c>
      <c r="H149" s="516">
        <v>8115.54864</v>
      </c>
    </row>
    <row r="150" spans="1:8" ht="21" hidden="1" customHeight="1" x14ac:dyDescent="0.25">
      <c r="A150" s="509">
        <v>41760</v>
      </c>
      <c r="B150" s="505">
        <v>21</v>
      </c>
      <c r="C150" s="502">
        <v>6583.58</v>
      </c>
      <c r="D150" s="502">
        <v>3395.9570834660444</v>
      </c>
      <c r="E150" s="503">
        <v>402.65869764358536</v>
      </c>
      <c r="F150" s="499">
        <v>2056.1273025810301</v>
      </c>
      <c r="G150" s="515">
        <v>69349.756773333298</v>
      </c>
      <c r="H150" s="516">
        <v>19624.936047619001</v>
      </c>
    </row>
    <row r="151" spans="1:8" ht="21" hidden="1" customHeight="1" x14ac:dyDescent="0.25">
      <c r="A151" s="509">
        <v>41791</v>
      </c>
      <c r="B151" s="505">
        <v>21</v>
      </c>
      <c r="C151" s="502">
        <v>6680.5379999999996</v>
      </c>
      <c r="D151" s="502">
        <v>3422.55</v>
      </c>
      <c r="E151" s="503">
        <v>403.45600000000002</v>
      </c>
      <c r="F151" s="499">
        <v>2078.529</v>
      </c>
      <c r="G151" s="515">
        <v>117258.61</v>
      </c>
      <c r="H151" s="516">
        <v>12715.77</v>
      </c>
    </row>
    <row r="152" spans="1:8" ht="21" hidden="1" customHeight="1" x14ac:dyDescent="0.25">
      <c r="A152" s="509">
        <v>41821</v>
      </c>
      <c r="B152" s="505">
        <v>22</v>
      </c>
      <c r="C152" s="502">
        <v>6721.4557813452557</v>
      </c>
      <c r="D152" s="502">
        <v>3438.4133489568339</v>
      </c>
      <c r="E152" s="503">
        <v>401.17550313104226</v>
      </c>
      <c r="F152" s="499">
        <v>2081.9618208644174</v>
      </c>
      <c r="G152" s="515">
        <v>41509</v>
      </c>
      <c r="H152" s="516">
        <v>9324.2000000000007</v>
      </c>
    </row>
    <row r="153" spans="1:8" ht="21" hidden="1" customHeight="1" x14ac:dyDescent="0.25">
      <c r="A153" s="509">
        <v>41852</v>
      </c>
      <c r="B153" s="505">
        <v>20</v>
      </c>
      <c r="C153" s="502">
        <v>6815.1202922883949</v>
      </c>
      <c r="D153" s="502">
        <v>3462.3438620628026</v>
      </c>
      <c r="E153" s="503">
        <v>402.96856859730644</v>
      </c>
      <c r="F153" s="499">
        <v>2106.1361546997364</v>
      </c>
      <c r="G153" s="515">
        <v>59273.479044</v>
      </c>
      <c r="H153" s="516">
        <v>13539.874400000001</v>
      </c>
    </row>
    <row r="154" spans="1:8" ht="21" hidden="1" customHeight="1" x14ac:dyDescent="0.25">
      <c r="A154" s="509">
        <v>41883</v>
      </c>
      <c r="B154" s="505">
        <v>22</v>
      </c>
      <c r="C154" s="502">
        <v>6890.44</v>
      </c>
      <c r="D154" s="502">
        <v>3444.61</v>
      </c>
      <c r="E154" s="503">
        <v>401.94</v>
      </c>
      <c r="F154" s="499">
        <v>2124.36</v>
      </c>
      <c r="G154" s="515">
        <v>62786.5</v>
      </c>
      <c r="H154" s="516">
        <v>10950.7</v>
      </c>
    </row>
    <row r="155" spans="1:8" ht="21" hidden="1" customHeight="1" x14ac:dyDescent="0.25">
      <c r="A155" s="509">
        <v>41913</v>
      </c>
      <c r="B155" s="505">
        <v>22</v>
      </c>
      <c r="C155" s="502">
        <v>6964.3925702940796</v>
      </c>
      <c r="D155" s="502">
        <v>3453.8254306361519</v>
      </c>
      <c r="E155" s="503">
        <v>405.4765654159288</v>
      </c>
      <c r="F155" s="499">
        <v>2145.0724929504572</v>
      </c>
      <c r="G155" s="515">
        <v>69451.899999999994</v>
      </c>
      <c r="H155" s="516">
        <v>8562</v>
      </c>
    </row>
    <row r="156" spans="1:8" ht="21" hidden="1" customHeight="1" x14ac:dyDescent="0.25">
      <c r="A156" s="509">
        <v>41944</v>
      </c>
      <c r="B156" s="505">
        <v>20</v>
      </c>
      <c r="C156" s="502">
        <v>6838.1</v>
      </c>
      <c r="D156" s="502">
        <v>3373.62</v>
      </c>
      <c r="E156" s="503">
        <v>397.18</v>
      </c>
      <c r="F156" s="499">
        <v>2105.4699999999998</v>
      </c>
      <c r="G156" s="515">
        <v>98178.6</v>
      </c>
      <c r="H156" s="516">
        <v>14092.4</v>
      </c>
    </row>
    <row r="157" spans="1:8" ht="21" hidden="1" customHeight="1" x14ac:dyDescent="0.25">
      <c r="A157" s="509">
        <v>41974</v>
      </c>
      <c r="B157" s="505">
        <v>21</v>
      </c>
      <c r="C157" s="502">
        <v>6805.1104826814344</v>
      </c>
      <c r="D157" s="502">
        <v>3344.9890173461076</v>
      </c>
      <c r="E157" s="503">
        <v>389.40542403285434</v>
      </c>
      <c r="F157" s="499">
        <v>2081.5829036052701</v>
      </c>
      <c r="G157" s="515">
        <v>47971.6</v>
      </c>
      <c r="H157" s="516">
        <v>5928.4</v>
      </c>
    </row>
    <row r="158" spans="1:8" ht="21" hidden="1" customHeight="1" x14ac:dyDescent="0.25">
      <c r="A158" s="509">
        <v>42005</v>
      </c>
      <c r="B158" s="505">
        <v>20</v>
      </c>
      <c r="C158" s="502">
        <v>6681.657434461149</v>
      </c>
      <c r="D158" s="502">
        <v>3214.8859725586567</v>
      </c>
      <c r="E158" s="503">
        <v>378.71998498982123</v>
      </c>
      <c r="F158" s="499">
        <v>2038.2797993041488</v>
      </c>
      <c r="G158" s="515">
        <v>48166</v>
      </c>
      <c r="H158" s="516">
        <v>6767</v>
      </c>
    </row>
    <row r="159" spans="1:8" ht="21" hidden="1" customHeight="1" x14ac:dyDescent="0.25">
      <c r="A159" s="509">
        <v>42036</v>
      </c>
      <c r="B159" s="505">
        <v>17</v>
      </c>
      <c r="C159" s="502">
        <v>6564.078402524935</v>
      </c>
      <c r="D159" s="502">
        <v>3094.8093036255532</v>
      </c>
      <c r="E159" s="503">
        <v>374.60187170787367</v>
      </c>
      <c r="F159" s="499">
        <v>2001.8371655006936</v>
      </c>
      <c r="G159" s="515">
        <v>130776.954814706</v>
      </c>
      <c r="H159" s="516">
        <v>13270.4126470588</v>
      </c>
    </row>
    <row r="160" spans="1:8" ht="21" hidden="1" customHeight="1" x14ac:dyDescent="0.25">
      <c r="A160" s="509">
        <v>42064</v>
      </c>
      <c r="B160" s="505">
        <v>21</v>
      </c>
      <c r="C160" s="502">
        <v>6510.4605770226863</v>
      </c>
      <c r="D160" s="502">
        <v>2860.4329038230271</v>
      </c>
      <c r="E160" s="503">
        <v>375.28144438807476</v>
      </c>
      <c r="F160" s="499">
        <v>1983.7651045301907</v>
      </c>
      <c r="G160" s="515">
        <v>79890.772992857092</v>
      </c>
      <c r="H160" s="516">
        <v>7958.0534285714302</v>
      </c>
    </row>
    <row r="161" spans="1:8" ht="21" hidden="1" customHeight="1" x14ac:dyDescent="0.25">
      <c r="A161" s="509">
        <v>42095</v>
      </c>
      <c r="B161" s="505">
        <v>22</v>
      </c>
      <c r="C161" s="502">
        <v>6419.0132062999264</v>
      </c>
      <c r="D161" s="502">
        <v>2755.1640692944438</v>
      </c>
      <c r="E161" s="503">
        <v>370.31480636977938</v>
      </c>
      <c r="F161" s="499">
        <v>1953.2978949349672</v>
      </c>
      <c r="G161" s="515">
        <v>108403.788288636</v>
      </c>
      <c r="H161" s="516">
        <v>36459.9070454545</v>
      </c>
    </row>
    <row r="162" spans="1:8" ht="21" hidden="1" customHeight="1" x14ac:dyDescent="0.25">
      <c r="A162" s="509">
        <v>42125</v>
      </c>
      <c r="B162" s="505">
        <v>20</v>
      </c>
      <c r="C162" s="502">
        <v>6450.478482469548</v>
      </c>
      <c r="D162" s="502">
        <v>2851.1677596533727</v>
      </c>
      <c r="E162" s="503">
        <v>372.54924064363382</v>
      </c>
      <c r="F162" s="499">
        <v>1960.1243177372751</v>
      </c>
      <c r="G162" s="515">
        <v>139535.71224700002</v>
      </c>
      <c r="H162" s="516">
        <v>48918.567750000002</v>
      </c>
    </row>
    <row r="163" spans="1:8" ht="21" hidden="1" customHeight="1" x14ac:dyDescent="0.25">
      <c r="A163" s="509">
        <v>42156</v>
      </c>
      <c r="B163" s="505">
        <v>22</v>
      </c>
      <c r="C163" s="502">
        <v>6525.6866478424863</v>
      </c>
      <c r="D163" s="502">
        <v>2870.9921802035224</v>
      </c>
      <c r="E163" s="503">
        <v>376.4666297962583</v>
      </c>
      <c r="F163" s="499">
        <v>1975.572525682066</v>
      </c>
      <c r="G163" s="515">
        <v>57802.550962727299</v>
      </c>
      <c r="H163" s="516">
        <v>21735.266</v>
      </c>
    </row>
    <row r="164" spans="1:8" ht="21" hidden="1" customHeight="1" x14ac:dyDescent="0.25">
      <c r="A164" s="509">
        <v>42186</v>
      </c>
      <c r="B164" s="505">
        <v>23</v>
      </c>
      <c r="C164" s="502">
        <v>6516.2301700960934</v>
      </c>
      <c r="D164" s="502">
        <v>2845.1468618665826</v>
      </c>
      <c r="E164" s="503">
        <v>373.69061981631603</v>
      </c>
      <c r="F164" s="499">
        <v>1960.7232310253328</v>
      </c>
      <c r="G164" s="515">
        <v>41150.161211739098</v>
      </c>
      <c r="H164" s="516">
        <v>11376.320644347799</v>
      </c>
    </row>
    <row r="165" spans="1:8" ht="21" hidden="1" customHeight="1" x14ac:dyDescent="0.25">
      <c r="A165" s="517">
        <v>42217</v>
      </c>
      <c r="B165" s="518">
        <v>21</v>
      </c>
      <c r="C165" s="519">
        <v>6533.5810239087223</v>
      </c>
      <c r="D165" s="519">
        <v>2866.0495855963864</v>
      </c>
      <c r="E165" s="520">
        <v>375.33617422018608</v>
      </c>
      <c r="F165" s="521">
        <v>1960.9326536251258</v>
      </c>
      <c r="G165" s="522">
        <v>53471.605172857206</v>
      </c>
      <c r="H165" s="523">
        <v>14573.8962380952</v>
      </c>
    </row>
    <row r="166" spans="1:8" ht="21" hidden="1" customHeight="1" x14ac:dyDescent="0.25">
      <c r="A166" s="517">
        <v>42248</v>
      </c>
      <c r="B166" s="518">
        <v>21</v>
      </c>
      <c r="C166" s="519">
        <v>6425.36</v>
      </c>
      <c r="D166" s="519">
        <v>2815.07</v>
      </c>
      <c r="E166" s="520">
        <v>367.18</v>
      </c>
      <c r="F166" s="521">
        <v>1925.62</v>
      </c>
      <c r="G166" s="522">
        <v>55953</v>
      </c>
      <c r="H166" s="523">
        <v>8508.7999999999993</v>
      </c>
    </row>
    <row r="167" spans="1:8" ht="21" hidden="1" customHeight="1" x14ac:dyDescent="0.25">
      <c r="A167" s="517">
        <v>42278</v>
      </c>
      <c r="B167" s="518">
        <v>22</v>
      </c>
      <c r="C167" s="519">
        <v>6295.1396327107741</v>
      </c>
      <c r="D167" s="519">
        <v>2738.7714621928135</v>
      </c>
      <c r="E167" s="520">
        <v>360.6477508563475</v>
      </c>
      <c r="F167" s="521">
        <v>1885.5750136794466</v>
      </c>
      <c r="G167" s="522">
        <v>54226.515322272702</v>
      </c>
      <c r="H167" s="523">
        <v>8573.1904545454599</v>
      </c>
    </row>
    <row r="168" spans="1:8" ht="21" hidden="1" customHeight="1" x14ac:dyDescent="0.25">
      <c r="A168" s="517">
        <v>42309</v>
      </c>
      <c r="B168" s="518">
        <v>19</v>
      </c>
      <c r="C168" s="519">
        <v>6184.9426333006541</v>
      </c>
      <c r="D168" s="519">
        <v>2642.8544555248682</v>
      </c>
      <c r="E168" s="520">
        <v>354.53902304180872</v>
      </c>
      <c r="F168" s="521">
        <v>1845.4210097033026</v>
      </c>
      <c r="G168" s="522">
        <v>36971.379974736803</v>
      </c>
      <c r="H168" s="523">
        <v>6275.5189473684195</v>
      </c>
    </row>
    <row r="169" spans="1:8" ht="21" hidden="1" customHeight="1" x14ac:dyDescent="0.25">
      <c r="A169" s="517">
        <v>42339</v>
      </c>
      <c r="B169" s="518">
        <v>22</v>
      </c>
      <c r="C169" s="519">
        <v>6083.09</v>
      </c>
      <c r="D169" s="519">
        <v>2614.83</v>
      </c>
      <c r="E169" s="520">
        <v>346.23</v>
      </c>
      <c r="F169" s="521">
        <v>1806.85</v>
      </c>
      <c r="G169" s="522">
        <v>67301</v>
      </c>
      <c r="H169" s="523">
        <v>8244.4</v>
      </c>
    </row>
    <row r="170" spans="1:8" ht="21" hidden="1" customHeight="1" x14ac:dyDescent="0.25">
      <c r="A170" s="517">
        <v>42370</v>
      </c>
      <c r="B170" s="518">
        <v>20</v>
      </c>
      <c r="C170" s="519">
        <v>6117.64</v>
      </c>
      <c r="D170" s="519">
        <v>2624.64</v>
      </c>
      <c r="E170" s="520">
        <v>346.55</v>
      </c>
      <c r="F170" s="521">
        <v>1811.16</v>
      </c>
      <c r="G170" s="522">
        <v>29713.19</v>
      </c>
      <c r="H170" s="523">
        <v>9980</v>
      </c>
    </row>
    <row r="171" spans="1:8" ht="21" hidden="1" customHeight="1" x14ac:dyDescent="0.25">
      <c r="A171" s="517">
        <v>42401</v>
      </c>
      <c r="B171" s="518">
        <v>19</v>
      </c>
      <c r="C171" s="519">
        <v>6214.43</v>
      </c>
      <c r="D171" s="519">
        <v>2691.21</v>
      </c>
      <c r="E171" s="520">
        <v>352.31</v>
      </c>
      <c r="F171" s="521">
        <v>1836.75</v>
      </c>
      <c r="G171" s="522">
        <v>140425</v>
      </c>
      <c r="H171" s="523">
        <v>12493.58</v>
      </c>
    </row>
    <row r="172" spans="1:8" ht="21" hidden="1" customHeight="1" x14ac:dyDescent="0.25">
      <c r="A172" s="517">
        <v>42430</v>
      </c>
      <c r="B172" s="518">
        <v>22</v>
      </c>
      <c r="C172" s="519">
        <v>6103.72</v>
      </c>
      <c r="D172" s="519">
        <v>2646.85</v>
      </c>
      <c r="E172" s="520">
        <v>346.47</v>
      </c>
      <c r="F172" s="521">
        <v>1802.4680000000001</v>
      </c>
      <c r="G172" s="522">
        <v>39994.080000000002</v>
      </c>
      <c r="H172" s="523">
        <v>7685.95</v>
      </c>
    </row>
    <row r="173" spans="1:8" ht="21" hidden="1" customHeight="1" x14ac:dyDescent="0.25">
      <c r="A173" s="517">
        <v>42461</v>
      </c>
      <c r="B173" s="518">
        <v>20</v>
      </c>
      <c r="C173" s="519">
        <v>6038.81</v>
      </c>
      <c r="D173" s="519">
        <v>2640.2080000000001</v>
      </c>
      <c r="E173" s="520">
        <v>341.59</v>
      </c>
      <c r="F173" s="521">
        <v>1781.14</v>
      </c>
      <c r="G173" s="522">
        <v>45744.063000000002</v>
      </c>
      <c r="H173" s="523">
        <v>6072.5820000000003</v>
      </c>
    </row>
    <row r="174" spans="1:8" ht="21" hidden="1" customHeight="1" x14ac:dyDescent="0.25">
      <c r="A174" s="517">
        <v>42491</v>
      </c>
      <c r="B174" s="518">
        <v>22</v>
      </c>
      <c r="C174" s="519">
        <v>5998.88</v>
      </c>
      <c r="D174" s="519">
        <v>2609.19</v>
      </c>
      <c r="E174" s="520">
        <v>340.07</v>
      </c>
      <c r="F174" s="521">
        <v>1767.24</v>
      </c>
      <c r="G174" s="522">
        <v>25520.799999999999</v>
      </c>
      <c r="H174" s="523">
        <v>6134.76</v>
      </c>
    </row>
    <row r="175" spans="1:8" ht="21" hidden="1" customHeight="1" x14ac:dyDescent="0.25">
      <c r="A175" s="517">
        <v>42522</v>
      </c>
      <c r="B175" s="518">
        <v>22</v>
      </c>
      <c r="C175" s="519">
        <v>5973.3557385919557</v>
      </c>
      <c r="D175" s="519">
        <v>2580.4849517961161</v>
      </c>
      <c r="E175" s="520">
        <v>338.41860565395456</v>
      </c>
      <c r="F175" s="521">
        <v>1752.6125805593824</v>
      </c>
      <c r="G175" s="522">
        <v>37633.819876363596</v>
      </c>
      <c r="H175" s="523">
        <v>6851.3916818181797</v>
      </c>
    </row>
    <row r="176" spans="1:8" ht="21" hidden="1" customHeight="1" x14ac:dyDescent="0.25">
      <c r="A176" s="517">
        <v>42552</v>
      </c>
      <c r="B176" s="518">
        <v>20</v>
      </c>
      <c r="C176" s="519">
        <v>6020.0669872535145</v>
      </c>
      <c r="D176" s="519">
        <v>2593.7581454693714</v>
      </c>
      <c r="E176" s="520">
        <v>338.80969407279861</v>
      </c>
      <c r="F176" s="521">
        <v>1755.8751983445011</v>
      </c>
      <c r="G176" s="522">
        <v>48983.685571999995</v>
      </c>
      <c r="H176" s="523">
        <v>10644.153400000001</v>
      </c>
    </row>
    <row r="177" spans="1:8" ht="21" hidden="1" customHeight="1" x14ac:dyDescent="0.25">
      <c r="A177" s="517">
        <v>42583</v>
      </c>
      <c r="B177" s="518">
        <v>22</v>
      </c>
      <c r="C177" s="519">
        <v>6259.26</v>
      </c>
      <c r="D177" s="519">
        <v>2718.5</v>
      </c>
      <c r="E177" s="520">
        <v>348.74</v>
      </c>
      <c r="F177" s="521">
        <v>1820.27</v>
      </c>
      <c r="G177" s="522">
        <v>46549</v>
      </c>
      <c r="H177" s="523">
        <v>10273</v>
      </c>
    </row>
    <row r="178" spans="1:8" ht="21" hidden="1" customHeight="1" x14ac:dyDescent="0.25">
      <c r="A178" s="517">
        <v>42614</v>
      </c>
      <c r="B178" s="518">
        <v>21</v>
      </c>
      <c r="C178" s="519">
        <v>6230.13</v>
      </c>
      <c r="D178" s="519">
        <v>2714.59</v>
      </c>
      <c r="E178" s="520">
        <v>345.23</v>
      </c>
      <c r="F178" s="521">
        <v>1809.04</v>
      </c>
      <c r="G178" s="522">
        <v>45542</v>
      </c>
      <c r="H178" s="523">
        <v>9325</v>
      </c>
    </row>
    <row r="179" spans="1:8" ht="21" hidden="1" customHeight="1" x14ac:dyDescent="0.25">
      <c r="A179" s="517">
        <v>42644</v>
      </c>
      <c r="B179" s="518">
        <v>21</v>
      </c>
      <c r="C179" s="519">
        <v>6292.5568537147537</v>
      </c>
      <c r="D179" s="519">
        <v>2724.5055904065857</v>
      </c>
      <c r="E179" s="520">
        <v>349.11056742217175</v>
      </c>
      <c r="F179" s="521">
        <v>1826.0801454619159</v>
      </c>
      <c r="G179" s="522">
        <v>55723.158409000003</v>
      </c>
      <c r="H179" s="523">
        <v>9670.2466000000004</v>
      </c>
    </row>
    <row r="180" spans="1:8" ht="21" hidden="1" customHeight="1" x14ac:dyDescent="0.25">
      <c r="A180" s="517">
        <v>42675</v>
      </c>
      <c r="B180" s="518">
        <v>21</v>
      </c>
      <c r="C180" s="519">
        <v>6253.0515849216363</v>
      </c>
      <c r="D180" s="519">
        <v>2700.0318947355927</v>
      </c>
      <c r="E180" s="520">
        <v>344.91212950065221</v>
      </c>
      <c r="F180" s="521">
        <v>1806.8684141915842</v>
      </c>
      <c r="G180" s="522">
        <v>113716.523</v>
      </c>
      <c r="H180" s="523">
        <v>4877.335</v>
      </c>
    </row>
    <row r="181" spans="1:8" ht="21" hidden="1" customHeight="1" x14ac:dyDescent="0.25">
      <c r="A181" s="517">
        <v>42705</v>
      </c>
      <c r="B181" s="518">
        <v>22</v>
      </c>
      <c r="C181" s="519">
        <v>6306.9942924715524</v>
      </c>
      <c r="D181" s="519">
        <v>2738.9175018973888</v>
      </c>
      <c r="E181" s="520">
        <v>346.02369430134854</v>
      </c>
      <c r="F181" s="521">
        <v>1811.2938834121496</v>
      </c>
      <c r="G181" s="522">
        <v>32743.431</v>
      </c>
      <c r="H181" s="523">
        <v>976.14499999999998</v>
      </c>
    </row>
    <row r="182" spans="1:8" ht="16.5" hidden="1" customHeight="1" x14ac:dyDescent="0.25">
      <c r="A182" s="524">
        <v>42736</v>
      </c>
      <c r="B182" s="525">
        <v>21</v>
      </c>
      <c r="C182" s="526">
        <v>6397.67</v>
      </c>
      <c r="D182" s="526">
        <v>2795.72</v>
      </c>
      <c r="E182" s="527">
        <v>350.09</v>
      </c>
      <c r="F182" s="528">
        <v>1833.61</v>
      </c>
      <c r="G182" s="529">
        <v>27990.6</v>
      </c>
      <c r="H182" s="530">
        <v>1368</v>
      </c>
    </row>
    <row r="183" spans="1:8" ht="16.5" hidden="1" customHeight="1" x14ac:dyDescent="0.25">
      <c r="A183" s="524">
        <v>42767</v>
      </c>
      <c r="B183" s="525">
        <v>17</v>
      </c>
      <c r="C183" s="526">
        <v>6667.15</v>
      </c>
      <c r="D183" s="526">
        <v>2924.22</v>
      </c>
      <c r="E183" s="527">
        <v>366.048</v>
      </c>
      <c r="F183" s="528">
        <v>1910.37</v>
      </c>
      <c r="G183" s="529">
        <v>44890.96</v>
      </c>
      <c r="H183" s="530">
        <v>2891.35</v>
      </c>
    </row>
    <row r="184" spans="1:8" ht="16.5" hidden="1" customHeight="1" x14ac:dyDescent="0.25">
      <c r="A184" s="524">
        <v>42795</v>
      </c>
      <c r="B184" s="525">
        <v>22</v>
      </c>
      <c r="C184" s="526">
        <v>6709.981350396919</v>
      </c>
      <c r="D184" s="526">
        <v>2958.8216457865224</v>
      </c>
      <c r="E184" s="527">
        <v>368.85298032736949</v>
      </c>
      <c r="F184" s="528">
        <v>1921.4244655111024</v>
      </c>
      <c r="G184" s="529">
        <v>68156.401759999993</v>
      </c>
      <c r="H184" s="530">
        <v>3531.6267272727268</v>
      </c>
    </row>
    <row r="185" spans="1:8" ht="16.5" hidden="1" customHeight="1" x14ac:dyDescent="0.25">
      <c r="A185" s="524">
        <v>42826</v>
      </c>
      <c r="B185" s="525">
        <v>20</v>
      </c>
      <c r="C185" s="526">
        <v>6925.5829364964329</v>
      </c>
      <c r="D185" s="526">
        <v>3064.2921367724348</v>
      </c>
      <c r="E185" s="527">
        <v>383.38461338109101</v>
      </c>
      <c r="F185" s="528">
        <v>1980.8641382118785</v>
      </c>
      <c r="G185" s="529">
        <v>51450.113136500004</v>
      </c>
      <c r="H185" s="530">
        <v>2534.6242000000002</v>
      </c>
    </row>
    <row r="186" spans="1:8" ht="16.5" hidden="1" customHeight="1" x14ac:dyDescent="0.25">
      <c r="A186" s="524">
        <v>42856</v>
      </c>
      <c r="B186" s="525">
        <v>22</v>
      </c>
      <c r="C186" s="526">
        <v>7187.2261353653603</v>
      </c>
      <c r="D186" s="526">
        <v>3232.7678135408974</v>
      </c>
      <c r="E186" s="527">
        <v>397.90801194361575</v>
      </c>
      <c r="F186" s="528">
        <v>2049.7800000000002</v>
      </c>
      <c r="G186" s="529">
        <v>41993.599999999999</v>
      </c>
      <c r="H186" s="530">
        <v>2233.85</v>
      </c>
    </row>
    <row r="187" spans="1:8" ht="16.5" hidden="1" customHeight="1" x14ac:dyDescent="0.25">
      <c r="A187" s="524">
        <v>42887</v>
      </c>
      <c r="B187" s="525">
        <v>21</v>
      </c>
      <c r="C187" s="526">
        <v>7365.5669487321811</v>
      </c>
      <c r="D187" s="526">
        <v>3328.9077329541005</v>
      </c>
      <c r="E187" s="527">
        <v>406.4241667212973</v>
      </c>
      <c r="F187" s="528">
        <v>2093.495685391094</v>
      </c>
      <c r="G187" s="529">
        <v>76346.507413809522</v>
      </c>
      <c r="H187" s="530">
        <v>2606.4156666666663</v>
      </c>
    </row>
    <row r="188" spans="1:8" ht="16.5" hidden="1" customHeight="1" x14ac:dyDescent="0.25">
      <c r="A188" s="524">
        <v>42917</v>
      </c>
      <c r="B188" s="525">
        <v>21</v>
      </c>
      <c r="C188" s="526">
        <v>7643.276972949534</v>
      </c>
      <c r="D188" s="526">
        <v>3500.4388037676968</v>
      </c>
      <c r="E188" s="527">
        <v>420.88875893736474</v>
      </c>
      <c r="F188" s="528">
        <v>2161.7209856701934</v>
      </c>
      <c r="G188" s="529">
        <v>42148.446304761899</v>
      </c>
      <c r="H188" s="530">
        <v>1695.1332380952381</v>
      </c>
    </row>
    <row r="189" spans="1:8" ht="16.5" hidden="1" customHeight="1" x14ac:dyDescent="0.25">
      <c r="A189" s="524">
        <v>42948</v>
      </c>
      <c r="B189" s="525">
        <v>23</v>
      </c>
      <c r="C189" s="526">
        <v>7754.4908676778041</v>
      </c>
      <c r="D189" s="526">
        <v>3648.9691796829966</v>
      </c>
      <c r="E189" s="527">
        <v>423.65448870085004</v>
      </c>
      <c r="F189" s="528">
        <v>2188.0819788916428</v>
      </c>
      <c r="G189" s="529">
        <v>75411.543366521742</v>
      </c>
      <c r="H189" s="530">
        <v>3968.121434782609</v>
      </c>
    </row>
    <row r="190" spans="1:8" ht="16.5" hidden="1" customHeight="1" x14ac:dyDescent="0.25">
      <c r="A190" s="524">
        <v>42979</v>
      </c>
      <c r="B190" s="525">
        <v>21</v>
      </c>
      <c r="C190" s="526">
        <v>7774.86</v>
      </c>
      <c r="D190" s="526">
        <v>3661.22</v>
      </c>
      <c r="E190" s="527">
        <v>422.04</v>
      </c>
      <c r="F190" s="528">
        <v>2190.7600000000002</v>
      </c>
      <c r="G190" s="529">
        <v>63946.81</v>
      </c>
      <c r="H190" s="530">
        <v>2851.59</v>
      </c>
    </row>
    <row r="191" spans="1:8" ht="16.5" hidden="1" customHeight="1" x14ac:dyDescent="0.25">
      <c r="A191" s="524">
        <v>43009</v>
      </c>
      <c r="B191" s="525">
        <v>21</v>
      </c>
      <c r="C191" s="526">
        <v>7855.4886204188915</v>
      </c>
      <c r="D191" s="526">
        <v>3626.3425714458958</v>
      </c>
      <c r="E191" s="527">
        <v>425.00559417053012</v>
      </c>
      <c r="F191" s="528">
        <v>2211.2571925651901</v>
      </c>
      <c r="G191" s="529">
        <v>77776.123371428563</v>
      </c>
      <c r="H191" s="530">
        <v>2799.1814761904761</v>
      </c>
    </row>
    <row r="192" spans="1:8" ht="16.5" hidden="1" customHeight="1" x14ac:dyDescent="0.25">
      <c r="A192" s="524">
        <v>43040</v>
      </c>
      <c r="B192" s="525">
        <v>20</v>
      </c>
      <c r="C192" s="526">
        <v>7884.5366750411486</v>
      </c>
      <c r="D192" s="526">
        <v>3628.7131718112673</v>
      </c>
      <c r="E192" s="527">
        <v>421.56370858145067</v>
      </c>
      <c r="F192" s="528">
        <v>2209.4381714327601</v>
      </c>
      <c r="G192" s="529">
        <v>61658.254908000003</v>
      </c>
      <c r="H192" s="530">
        <v>2228.2662</v>
      </c>
    </row>
    <row r="193" spans="1:8" ht="16.5" hidden="1" customHeight="1" x14ac:dyDescent="0.25">
      <c r="A193" s="524">
        <v>43070</v>
      </c>
      <c r="B193" s="525">
        <v>20</v>
      </c>
      <c r="C193" s="526">
        <v>7816.4637124327955</v>
      </c>
      <c r="D193" s="526">
        <v>3623.2758516676658</v>
      </c>
      <c r="E193" s="527">
        <v>415.19405433045205</v>
      </c>
      <c r="F193" s="528">
        <v>2178.5774946978067</v>
      </c>
      <c r="G193" s="529">
        <v>108649.45821849999</v>
      </c>
      <c r="H193" s="530">
        <v>2549.0104000000001</v>
      </c>
    </row>
    <row r="194" spans="1:8" ht="16.5" hidden="1" customHeight="1" x14ac:dyDescent="0.25">
      <c r="A194" s="524">
        <v>43101</v>
      </c>
      <c r="B194" s="525">
        <v>18</v>
      </c>
      <c r="C194" s="526">
        <v>8077.1135668799752</v>
      </c>
      <c r="D194" s="526">
        <v>3818.5408908109498</v>
      </c>
      <c r="E194" s="527">
        <v>430.47003950241947</v>
      </c>
      <c r="F194" s="528">
        <v>2247.8399664401995</v>
      </c>
      <c r="G194" s="529">
        <v>76911.576256666667</v>
      </c>
      <c r="H194" s="530">
        <v>2031.7311666666667</v>
      </c>
    </row>
    <row r="195" spans="1:8" ht="16.5" hidden="1" customHeight="1" x14ac:dyDescent="0.25">
      <c r="A195" s="524">
        <v>43132</v>
      </c>
      <c r="B195" s="525">
        <v>17</v>
      </c>
      <c r="C195" s="526">
        <v>8186.04</v>
      </c>
      <c r="D195" s="526">
        <v>3927.6</v>
      </c>
      <c r="E195" s="527">
        <v>435.37</v>
      </c>
      <c r="F195" s="528">
        <v>2277.3200000000002</v>
      </c>
      <c r="G195" s="529">
        <v>56202</v>
      </c>
      <c r="H195" s="530">
        <v>3016</v>
      </c>
    </row>
    <row r="196" spans="1:8" ht="16.5" hidden="1" customHeight="1" x14ac:dyDescent="0.25">
      <c r="A196" s="524">
        <v>43160</v>
      </c>
      <c r="B196" s="525">
        <v>21</v>
      </c>
      <c r="C196" s="526">
        <v>8240.6512237020452</v>
      </c>
      <c r="D196" s="526">
        <v>3909.0552742882551</v>
      </c>
      <c r="E196" s="527">
        <v>436.10592577808103</v>
      </c>
      <c r="F196" s="528">
        <v>2291.4171669313159</v>
      </c>
      <c r="G196" s="529">
        <v>52966.440029999983</v>
      </c>
      <c r="H196" s="530">
        <v>2029.0967142857144</v>
      </c>
    </row>
    <row r="197" spans="1:8" ht="16.5" hidden="1" customHeight="1" x14ac:dyDescent="0.25">
      <c r="A197" s="524">
        <v>43191</v>
      </c>
      <c r="B197" s="525">
        <v>21</v>
      </c>
      <c r="C197" s="526">
        <v>8219.1758249230952</v>
      </c>
      <c r="D197" s="526">
        <v>3820.2642775674335</v>
      </c>
      <c r="E197" s="527">
        <v>436.22433846571835</v>
      </c>
      <c r="F197" s="528">
        <v>2283.375129049572</v>
      </c>
      <c r="G197" s="529">
        <v>40727.056949047619</v>
      </c>
      <c r="H197" s="530">
        <v>1400.855619047619</v>
      </c>
    </row>
    <row r="198" spans="1:8" ht="16.5" hidden="1" customHeight="1" x14ac:dyDescent="0.25">
      <c r="A198" s="524">
        <v>43221</v>
      </c>
      <c r="B198" s="525">
        <v>22</v>
      </c>
      <c r="C198" s="526">
        <v>8190.6087581384609</v>
      </c>
      <c r="D198" s="526">
        <v>3714.1558548813559</v>
      </c>
      <c r="E198" s="527">
        <v>436.49940158753691</v>
      </c>
      <c r="F198" s="528">
        <v>2272.5310711459665</v>
      </c>
      <c r="G198" s="529">
        <v>62213.442359999994</v>
      </c>
      <c r="H198" s="530">
        <v>6959.4808636363632</v>
      </c>
    </row>
    <row r="199" spans="1:8" ht="16.5" hidden="1" customHeight="1" x14ac:dyDescent="0.25">
      <c r="A199" s="524">
        <v>43252</v>
      </c>
      <c r="B199" s="525">
        <v>21</v>
      </c>
      <c r="C199" s="526">
        <v>8091.2551417592231</v>
      </c>
      <c r="D199" s="526">
        <v>3675.9353067423217</v>
      </c>
      <c r="E199" s="527">
        <v>428.90447245247827</v>
      </c>
      <c r="F199" s="528">
        <v>2237.2569456244482</v>
      </c>
      <c r="G199" s="529">
        <v>78975.448438095191</v>
      </c>
      <c r="H199" s="530">
        <v>2120.05019047619</v>
      </c>
    </row>
    <row r="200" spans="1:8" ht="16.5" hidden="1" customHeight="1" x14ac:dyDescent="0.25">
      <c r="A200" s="524">
        <v>43282</v>
      </c>
      <c r="B200" s="525">
        <v>22</v>
      </c>
      <c r="C200" s="526">
        <v>8126.0345197445868</v>
      </c>
      <c r="D200" s="526">
        <v>3705.0804164958313</v>
      </c>
      <c r="E200" s="527">
        <v>426.82585066147419</v>
      </c>
      <c r="F200" s="528">
        <v>2233.260319691648</v>
      </c>
      <c r="G200" s="529">
        <v>61550.252449545456</v>
      </c>
      <c r="H200" s="530">
        <v>2267.5253181818184</v>
      </c>
    </row>
    <row r="201" spans="1:8" ht="16.5" hidden="1" customHeight="1" x14ac:dyDescent="0.25">
      <c r="A201" s="524">
        <v>43313</v>
      </c>
      <c r="B201" s="525">
        <v>22</v>
      </c>
      <c r="C201" s="526">
        <v>8149.6896956545124</v>
      </c>
      <c r="D201" s="526">
        <v>3717.2033873601595</v>
      </c>
      <c r="E201" s="527">
        <v>425.1187454278051</v>
      </c>
      <c r="F201" s="528">
        <v>2233.4985965034507</v>
      </c>
      <c r="G201" s="529">
        <v>49897.188651363642</v>
      </c>
      <c r="H201" s="530">
        <v>1598.0410909090908</v>
      </c>
    </row>
    <row r="202" spans="1:8" ht="16.5" hidden="1" customHeight="1" x14ac:dyDescent="0.25">
      <c r="A202" s="524">
        <v>43344</v>
      </c>
      <c r="B202" s="525">
        <v>19</v>
      </c>
      <c r="C202" s="526">
        <v>8102.1207861744224</v>
      </c>
      <c r="D202" s="526">
        <v>3707.7762294117533</v>
      </c>
      <c r="E202" s="527">
        <v>423.33603392801871</v>
      </c>
      <c r="F202" s="528">
        <v>2217.8838263157895</v>
      </c>
      <c r="G202" s="529">
        <v>48694.191874736825</v>
      </c>
      <c r="H202" s="530">
        <v>1606.4991052631581</v>
      </c>
    </row>
    <row r="203" spans="1:8" ht="16.5" hidden="1" customHeight="1" x14ac:dyDescent="0.25">
      <c r="A203" s="524">
        <v>43374</v>
      </c>
      <c r="B203" s="525">
        <v>23</v>
      </c>
      <c r="C203" s="526">
        <v>8188.6236398502151</v>
      </c>
      <c r="D203" s="526">
        <v>3725.8065322337316</v>
      </c>
      <c r="E203" s="527">
        <v>430.1293500744228</v>
      </c>
      <c r="F203" s="528">
        <v>2240.4229043478263</v>
      </c>
      <c r="G203" s="529">
        <v>35182.095365652181</v>
      </c>
      <c r="H203" s="530">
        <v>848.86847826086955</v>
      </c>
    </row>
    <row r="204" spans="1:8" ht="16.5" hidden="1" customHeight="1" x14ac:dyDescent="0.25">
      <c r="A204" s="531" t="s">
        <v>309</v>
      </c>
      <c r="B204" s="525">
        <v>20</v>
      </c>
      <c r="C204" s="526">
        <v>8208.5890861460175</v>
      </c>
      <c r="D204" s="526">
        <v>3730.7828559075933</v>
      </c>
      <c r="E204" s="527">
        <v>429.77275246876786</v>
      </c>
      <c r="F204" s="528">
        <v>2236.0949599999994</v>
      </c>
      <c r="G204" s="529">
        <v>37033.768737000006</v>
      </c>
      <c r="H204" s="530">
        <v>1387.5148999999999</v>
      </c>
    </row>
    <row r="205" spans="1:8" ht="16.5" hidden="1" customHeight="1" x14ac:dyDescent="0.25">
      <c r="A205" s="524">
        <v>43435</v>
      </c>
      <c r="B205" s="525">
        <v>20</v>
      </c>
      <c r="C205" s="526">
        <v>8197.1633456398176</v>
      </c>
      <c r="D205" s="526">
        <v>3745.1868665097418</v>
      </c>
      <c r="E205" s="527">
        <v>427.66146477454106</v>
      </c>
      <c r="F205" s="528">
        <v>2220.75623</v>
      </c>
      <c r="G205" s="529">
        <v>57056.500700500001</v>
      </c>
      <c r="H205" s="530">
        <v>1914.41345</v>
      </c>
    </row>
    <row r="206" spans="1:8" ht="16.5" hidden="1" customHeight="1" x14ac:dyDescent="0.25">
      <c r="A206" s="531">
        <v>43466</v>
      </c>
      <c r="B206" s="525">
        <v>20</v>
      </c>
      <c r="C206" s="526">
        <v>8201.8237059877574</v>
      </c>
      <c r="D206" s="526">
        <v>3760.5904040379864</v>
      </c>
      <c r="E206" s="527">
        <v>427.11638615642585</v>
      </c>
      <c r="F206" s="528">
        <v>2218.3551149999998</v>
      </c>
      <c r="G206" s="529">
        <v>34270.237609999996</v>
      </c>
      <c r="H206" s="530">
        <v>1055.1132500000001</v>
      </c>
    </row>
    <row r="207" spans="1:8" ht="16.5" hidden="1" customHeight="1" x14ac:dyDescent="0.25">
      <c r="A207" s="531">
        <v>43497</v>
      </c>
      <c r="B207" s="525">
        <v>18</v>
      </c>
      <c r="C207" s="526">
        <v>8153.0037369959482</v>
      </c>
      <c r="D207" s="526">
        <v>3736.2985477589132</v>
      </c>
      <c r="E207" s="527">
        <v>428.25662239542282</v>
      </c>
      <c r="F207" s="528">
        <v>2204.6351944444446</v>
      </c>
      <c r="G207" s="529">
        <v>100842</v>
      </c>
      <c r="H207" s="530">
        <v>3250</v>
      </c>
    </row>
    <row r="208" spans="1:8" ht="16.5" hidden="1" customHeight="1" x14ac:dyDescent="0.25">
      <c r="A208" s="531">
        <v>43525</v>
      </c>
      <c r="B208" s="525">
        <v>19</v>
      </c>
      <c r="C208" s="526">
        <v>8083.1836651990707</v>
      </c>
      <c r="D208" s="526">
        <v>3665.3339761261282</v>
      </c>
      <c r="E208" s="527">
        <v>424.32158992010159</v>
      </c>
      <c r="F208" s="528">
        <v>2185.3548894736841</v>
      </c>
      <c r="G208" s="529">
        <v>58226.883656315789</v>
      </c>
      <c r="H208" s="530">
        <v>1630.6515789473683</v>
      </c>
    </row>
    <row r="209" spans="1:8" ht="16.5" hidden="1" customHeight="1" x14ac:dyDescent="0.25">
      <c r="A209" s="531">
        <v>43556</v>
      </c>
      <c r="B209" s="525">
        <v>22</v>
      </c>
      <c r="C209" s="526">
        <v>8007.7667100635481</v>
      </c>
      <c r="D209" s="526">
        <v>3602.5350900290014</v>
      </c>
      <c r="E209" s="527">
        <v>421.67254729032999</v>
      </c>
      <c r="F209" s="528">
        <v>2162.4161045454548</v>
      </c>
      <c r="G209" s="529">
        <v>85292.364053636367</v>
      </c>
      <c r="H209" s="530">
        <v>6256.2233636363635</v>
      </c>
    </row>
    <row r="210" spans="1:8" ht="16.5" hidden="1" customHeight="1" x14ac:dyDescent="0.25">
      <c r="A210" s="531">
        <v>43586</v>
      </c>
      <c r="B210" s="525">
        <v>22</v>
      </c>
      <c r="C210" s="526">
        <v>7949.088298964768</v>
      </c>
      <c r="D210" s="526">
        <v>3544.8906637948066</v>
      </c>
      <c r="E210" s="527">
        <v>416.31431149053992</v>
      </c>
      <c r="F210" s="528">
        <v>2142.6749954545453</v>
      </c>
      <c r="G210" s="529">
        <v>52628.417036363644</v>
      </c>
      <c r="H210" s="530">
        <v>1987.3890909090908</v>
      </c>
    </row>
    <row r="211" spans="1:8" ht="16.5" hidden="1" customHeight="1" x14ac:dyDescent="0.25">
      <c r="A211" s="531">
        <v>43617</v>
      </c>
      <c r="B211" s="525">
        <v>19</v>
      </c>
      <c r="C211" s="526">
        <v>7912.5574638637454</v>
      </c>
      <c r="D211" s="526">
        <v>3490.09853398631</v>
      </c>
      <c r="E211" s="527">
        <v>415.31054707429138</v>
      </c>
      <c r="F211" s="528">
        <v>2124.9501947368421</v>
      </c>
      <c r="G211" s="529">
        <v>47573.376907368438</v>
      </c>
      <c r="H211" s="530">
        <v>1740.4940526315788</v>
      </c>
    </row>
    <row r="212" spans="1:8" ht="16.5" hidden="1" customHeight="1" x14ac:dyDescent="0.25">
      <c r="A212" s="531">
        <v>43647</v>
      </c>
      <c r="B212" s="525">
        <v>22</v>
      </c>
      <c r="C212" s="526">
        <v>8056.4679364054355</v>
      </c>
      <c r="D212" s="526">
        <v>3517.922736840294</v>
      </c>
      <c r="E212" s="527">
        <v>420.33371838197615</v>
      </c>
      <c r="F212" s="528">
        <v>2149.4008363636367</v>
      </c>
      <c r="G212" s="529">
        <v>55604.085192272716</v>
      </c>
      <c r="H212" s="530">
        <v>2560.4175909090909</v>
      </c>
    </row>
    <row r="213" spans="1:8" ht="16.5" hidden="1" customHeight="1" x14ac:dyDescent="0.25">
      <c r="A213" s="531">
        <v>43678</v>
      </c>
      <c r="B213" s="525">
        <v>22</v>
      </c>
      <c r="C213" s="526">
        <v>8150.8116290353473</v>
      </c>
      <c r="D213" s="526">
        <v>3560.865552430495</v>
      </c>
      <c r="E213" s="527">
        <v>422.57768883022658</v>
      </c>
      <c r="F213" s="528">
        <v>2167.6664818181816</v>
      </c>
      <c r="G213" s="529">
        <v>62393.08992181818</v>
      </c>
      <c r="H213" s="530">
        <v>2265.9169999999999</v>
      </c>
    </row>
    <row r="214" spans="1:8" ht="16.5" hidden="1" customHeight="1" x14ac:dyDescent="0.25">
      <c r="A214" s="531">
        <v>43709</v>
      </c>
      <c r="B214" s="525">
        <v>19</v>
      </c>
      <c r="C214" s="526">
        <v>7983.4539952833284</v>
      </c>
      <c r="D214" s="526">
        <v>3460.9442256425482</v>
      </c>
      <c r="E214" s="527">
        <v>415.74023232280604</v>
      </c>
      <c r="F214" s="528">
        <v>2119.5766842105268</v>
      </c>
      <c r="G214" s="529">
        <v>49183.712481052637</v>
      </c>
      <c r="H214" s="530">
        <v>1549.152052631579</v>
      </c>
    </row>
    <row r="215" spans="1:8" ht="16.5" hidden="1" customHeight="1" x14ac:dyDescent="0.25">
      <c r="A215" s="531">
        <v>43739</v>
      </c>
      <c r="B215" s="525">
        <v>23</v>
      </c>
      <c r="C215" s="526">
        <v>7992.5566261206832</v>
      </c>
      <c r="D215" s="526">
        <v>3455.1606633394108</v>
      </c>
      <c r="E215" s="527">
        <v>419.49604351263281</v>
      </c>
      <c r="F215" s="528">
        <v>2121.0835391304349</v>
      </c>
      <c r="G215" s="529">
        <v>54978.625024347828</v>
      </c>
      <c r="H215" s="530">
        <v>1784.3891304347826</v>
      </c>
    </row>
    <row r="216" spans="1:8" ht="16.5" hidden="1" customHeight="1" x14ac:dyDescent="0.25">
      <c r="A216" s="531">
        <v>43770</v>
      </c>
      <c r="B216" s="525">
        <v>19</v>
      </c>
      <c r="C216" s="526">
        <v>8074.0244159549611</v>
      </c>
      <c r="D216" s="526">
        <v>3478.4725744002085</v>
      </c>
      <c r="E216" s="527">
        <v>418.82515231695544</v>
      </c>
      <c r="F216" s="528">
        <v>2129.4249684210522</v>
      </c>
      <c r="G216" s="529">
        <v>29469.18890526316</v>
      </c>
      <c r="H216" s="530">
        <v>1441.2059999999999</v>
      </c>
    </row>
    <row r="217" spans="1:8" ht="20.100000000000001" hidden="1" customHeight="1" x14ac:dyDescent="0.25">
      <c r="A217" s="531">
        <v>43800</v>
      </c>
      <c r="B217" s="525">
        <v>19</v>
      </c>
      <c r="C217" s="526">
        <v>8178.2076403638548</v>
      </c>
      <c r="D217" s="526">
        <v>3520.6171769116245</v>
      </c>
      <c r="E217" s="527">
        <v>420.74820094087494</v>
      </c>
      <c r="F217" s="528">
        <v>2143.6959421052634</v>
      </c>
      <c r="G217" s="529">
        <v>50132.745672105259</v>
      </c>
      <c r="H217" s="530">
        <v>1231.8837368421052</v>
      </c>
    </row>
    <row r="218" spans="1:8" ht="20.100000000000001" hidden="1" customHeight="1" x14ac:dyDescent="0.25">
      <c r="A218" s="531">
        <v>43831</v>
      </c>
      <c r="B218" s="525">
        <v>21</v>
      </c>
      <c r="C218" s="526">
        <v>8492.1114403374977</v>
      </c>
      <c r="D218" s="526">
        <v>3651.885957260215</v>
      </c>
      <c r="E218" s="527">
        <v>440.26178835825095</v>
      </c>
      <c r="F218" s="528">
        <v>2220.9862904761903</v>
      </c>
      <c r="G218" s="529">
        <v>91797.595111428614</v>
      </c>
      <c r="H218" s="530">
        <v>12169.313714285714</v>
      </c>
    </row>
    <row r="219" spans="1:8" ht="20.100000000000001" hidden="1" customHeight="1" x14ac:dyDescent="0.25">
      <c r="A219" s="531">
        <v>43862</v>
      </c>
      <c r="B219" s="525">
        <v>19</v>
      </c>
      <c r="C219" s="526">
        <v>8484.1491861179093</v>
      </c>
      <c r="D219" s="526">
        <v>3587.5255898240753</v>
      </c>
      <c r="E219" s="527">
        <v>437.7144352043801</v>
      </c>
      <c r="F219" s="528">
        <v>2218.218768421053</v>
      </c>
      <c r="G219" s="529">
        <v>70667.812935263166</v>
      </c>
      <c r="H219" s="530">
        <v>2614.4904736842104</v>
      </c>
    </row>
    <row r="220" spans="1:8" ht="20.100000000000001" hidden="1" customHeight="1" x14ac:dyDescent="0.25">
      <c r="A220" s="531" t="s">
        <v>310</v>
      </c>
      <c r="B220" s="525">
        <v>13</v>
      </c>
      <c r="C220" s="526">
        <v>7417.8673353487638</v>
      </c>
      <c r="D220" s="526">
        <v>3092.4285543953174</v>
      </c>
      <c r="E220" s="527">
        <v>377.98798442770743</v>
      </c>
      <c r="F220" s="528">
        <v>1938.6304384615385</v>
      </c>
      <c r="G220" s="529">
        <v>108267.78863000001</v>
      </c>
      <c r="H220" s="530">
        <v>2713.2214615384614</v>
      </c>
    </row>
    <row r="221" spans="1:8" ht="20.100000000000001" hidden="1" customHeight="1" x14ac:dyDescent="0.25">
      <c r="A221" s="531" t="s">
        <v>311</v>
      </c>
      <c r="B221" s="525">
        <v>19</v>
      </c>
      <c r="C221" s="526">
        <v>6429.0700850063431</v>
      </c>
      <c r="D221" s="526">
        <v>2543.4193965675809</v>
      </c>
      <c r="E221" s="527">
        <v>317.90141405864762</v>
      </c>
      <c r="F221" s="528">
        <v>1679.0985526315792</v>
      </c>
      <c r="G221" s="529">
        <v>67039.407791578953</v>
      </c>
      <c r="H221" s="530">
        <v>2048.9536315789474</v>
      </c>
    </row>
    <row r="222" spans="1:8" ht="20.100000000000001" hidden="1" customHeight="1" x14ac:dyDescent="0.25">
      <c r="A222" s="531" t="s">
        <v>312</v>
      </c>
      <c r="B222" s="525">
        <v>20</v>
      </c>
      <c r="C222" s="526">
        <v>6174.1871313639131</v>
      </c>
      <c r="D222" s="526">
        <v>2427.1178311711251</v>
      </c>
      <c r="E222" s="527">
        <v>306.03542981499947</v>
      </c>
      <c r="F222" s="528">
        <v>1610.3089500000001</v>
      </c>
      <c r="G222" s="529">
        <v>41991.559447499996</v>
      </c>
      <c r="H222" s="530">
        <v>1711.32295</v>
      </c>
    </row>
    <row r="223" spans="1:8" ht="20.100000000000001" hidden="1" customHeight="1" x14ac:dyDescent="0.25">
      <c r="A223" s="531" t="s">
        <v>313</v>
      </c>
      <c r="B223" s="525">
        <v>22</v>
      </c>
      <c r="C223" s="526">
        <v>6380.5291232365707</v>
      </c>
      <c r="D223" s="526">
        <v>2514.5657622696285</v>
      </c>
      <c r="E223" s="527">
        <v>315.42781737660141</v>
      </c>
      <c r="F223" s="528">
        <v>1663.1706454545456</v>
      </c>
      <c r="G223" s="529">
        <v>81516.154265454548</v>
      </c>
      <c r="H223" s="530">
        <v>3347.2645000000002</v>
      </c>
    </row>
    <row r="224" spans="1:8" ht="20.100000000000001" hidden="1" customHeight="1" x14ac:dyDescent="0.25">
      <c r="A224" s="531" t="s">
        <v>314</v>
      </c>
      <c r="B224" s="525">
        <v>23</v>
      </c>
      <c r="C224" s="526">
        <v>6269.4331167380678</v>
      </c>
      <c r="D224" s="526">
        <v>2468.773642817152</v>
      </c>
      <c r="E224" s="527">
        <v>306.76767089334481</v>
      </c>
      <c r="F224" s="528">
        <v>1630.7150173913042</v>
      </c>
      <c r="G224" s="529">
        <v>71462.633461739111</v>
      </c>
      <c r="H224" s="530">
        <v>2513.847652173913</v>
      </c>
    </row>
    <row r="225" spans="1:8" ht="20.100000000000001" hidden="1" customHeight="1" x14ac:dyDescent="0.25">
      <c r="A225" s="531" t="s">
        <v>315</v>
      </c>
      <c r="B225" s="525">
        <v>21</v>
      </c>
      <c r="C225" s="526">
        <v>5958.877656782628</v>
      </c>
      <c r="D225" s="526">
        <v>2358.3635424758158</v>
      </c>
      <c r="E225" s="527">
        <v>289.16537618207587</v>
      </c>
      <c r="F225" s="528">
        <v>1549.7041190476191</v>
      </c>
      <c r="G225" s="529">
        <v>120355.99208761904</v>
      </c>
      <c r="H225" s="530">
        <v>3399.8074285714288</v>
      </c>
    </row>
    <row r="226" spans="1:8" ht="20.100000000000001" hidden="1" customHeight="1" x14ac:dyDescent="0.25">
      <c r="A226" s="531" t="s">
        <v>316</v>
      </c>
      <c r="B226" s="525">
        <v>22</v>
      </c>
      <c r="C226" s="526">
        <v>5929.2591929066466</v>
      </c>
      <c r="D226" s="526">
        <v>2341.888962559839</v>
      </c>
      <c r="E226" s="527">
        <v>287.3343552653854</v>
      </c>
      <c r="F226" s="528">
        <v>1541.9280000000001</v>
      </c>
      <c r="G226" s="529">
        <v>29309.546441818187</v>
      </c>
      <c r="H226" s="530">
        <v>1134.0859545454546</v>
      </c>
    </row>
    <row r="227" spans="1:8" ht="20.100000000000001" hidden="1" customHeight="1" x14ac:dyDescent="0.25">
      <c r="A227" s="531" t="s">
        <v>317</v>
      </c>
      <c r="B227" s="525">
        <v>22</v>
      </c>
      <c r="C227" s="526">
        <v>5681.6462966182416</v>
      </c>
      <c r="D227" s="526">
        <v>2241.3402970072389</v>
      </c>
      <c r="E227" s="527">
        <v>273.95359731086404</v>
      </c>
      <c r="F227" s="528">
        <v>1477.5351954545456</v>
      </c>
      <c r="G227" s="529">
        <v>29974.933586363637</v>
      </c>
      <c r="H227" s="530">
        <v>1281.9475909090909</v>
      </c>
    </row>
    <row r="228" spans="1:8" ht="20.100000000000001" hidden="1" customHeight="1" x14ac:dyDescent="0.25">
      <c r="A228" s="531" t="s">
        <v>318</v>
      </c>
      <c r="B228" s="525">
        <v>20</v>
      </c>
      <c r="C228" s="526">
        <v>5865.0649181359295</v>
      </c>
      <c r="D228" s="526">
        <v>2311.2857130438379</v>
      </c>
      <c r="E228" s="527">
        <v>286.15168685287836</v>
      </c>
      <c r="F228" s="528">
        <v>1525.0088250000001</v>
      </c>
      <c r="G228" s="529">
        <v>29819.705405000001</v>
      </c>
      <c r="H228" s="530">
        <v>1577.1840500000001</v>
      </c>
    </row>
    <row r="229" spans="1:8" ht="20.100000000000001" hidden="1" customHeight="1" x14ac:dyDescent="0.25">
      <c r="A229" s="531" t="s">
        <v>319</v>
      </c>
      <c r="B229" s="525">
        <v>22</v>
      </c>
      <c r="C229" s="526">
        <v>6238.0680919825018</v>
      </c>
      <c r="D229" s="526">
        <v>2478.9779647024166</v>
      </c>
      <c r="E229" s="527">
        <v>303.68228006464045</v>
      </c>
      <c r="F229" s="528">
        <v>1617.7072999999998</v>
      </c>
      <c r="G229" s="529">
        <v>36995.934111818184</v>
      </c>
      <c r="H229" s="530">
        <v>1454.9313636363636</v>
      </c>
    </row>
    <row r="230" spans="1:8" ht="20.100000000000001" hidden="1" customHeight="1" x14ac:dyDescent="0.25">
      <c r="A230" s="531" t="s">
        <v>320</v>
      </c>
      <c r="B230" s="525">
        <v>19</v>
      </c>
      <c r="C230" s="526">
        <v>6368.1004033048694</v>
      </c>
      <c r="D230" s="526">
        <v>2538.7771618075931</v>
      </c>
      <c r="E230" s="527">
        <v>308.85105903717658</v>
      </c>
      <c r="F230" s="528">
        <v>1649.235557894737</v>
      </c>
      <c r="G230" s="529">
        <v>33570.001557894728</v>
      </c>
      <c r="H230" s="530">
        <v>1097.7637894736843</v>
      </c>
    </row>
    <row r="231" spans="1:8" ht="20.100000000000001" hidden="1" customHeight="1" x14ac:dyDescent="0.25">
      <c r="A231" s="531" t="s">
        <v>321</v>
      </c>
      <c r="B231" s="525">
        <v>18</v>
      </c>
      <c r="C231" s="526">
        <v>6230.6102467008932</v>
      </c>
      <c r="D231" s="526">
        <v>2465.041885969837</v>
      </c>
      <c r="E231" s="526">
        <v>301.3111640636975</v>
      </c>
      <c r="F231" s="526">
        <v>1613.4850722222225</v>
      </c>
      <c r="G231" s="532">
        <v>53079.804963888884</v>
      </c>
      <c r="H231" s="533">
        <v>1003.2886111111111</v>
      </c>
    </row>
    <row r="232" spans="1:8" ht="20.100000000000001" hidden="1" customHeight="1" x14ac:dyDescent="0.25">
      <c r="A232" s="531" t="s">
        <v>322</v>
      </c>
      <c r="B232" s="525">
        <v>20</v>
      </c>
      <c r="C232" s="526">
        <v>6103.62385813736</v>
      </c>
      <c r="D232" s="526">
        <v>2389.8467715717311</v>
      </c>
      <c r="E232" s="526">
        <v>293.84270249017351</v>
      </c>
      <c r="F232" s="526">
        <v>1580.6001699999999</v>
      </c>
      <c r="G232" s="532">
        <v>92843.584896</v>
      </c>
      <c r="H232" s="533">
        <v>2703.9973</v>
      </c>
    </row>
    <row r="233" spans="1:8" ht="20.100000000000001" hidden="1" customHeight="1" x14ac:dyDescent="0.25">
      <c r="A233" s="531" t="s">
        <v>323</v>
      </c>
      <c r="B233" s="525">
        <v>20</v>
      </c>
      <c r="C233" s="526">
        <v>6282.3077411319955</v>
      </c>
      <c r="D233" s="526">
        <v>2444.9188766254838</v>
      </c>
      <c r="E233" s="526">
        <v>301.93349034076738</v>
      </c>
      <c r="F233" s="526">
        <v>1625.5523800000001</v>
      </c>
      <c r="G233" s="532">
        <v>31802.278311500002</v>
      </c>
      <c r="H233" s="533">
        <v>990.67330000000004</v>
      </c>
    </row>
    <row r="234" spans="1:8" ht="20.100000000000001" hidden="1" customHeight="1" x14ac:dyDescent="0.25">
      <c r="A234" s="531" t="s">
        <v>324</v>
      </c>
      <c r="B234" s="525">
        <v>20</v>
      </c>
      <c r="C234" s="526">
        <v>6638.9198581689225</v>
      </c>
      <c r="D234" s="526">
        <v>2581.2607267210838</v>
      </c>
      <c r="E234" s="526">
        <v>321.62095241388431</v>
      </c>
      <c r="F234" s="526">
        <v>1716.07314</v>
      </c>
      <c r="G234" s="532">
        <v>33009.462947</v>
      </c>
      <c r="H234" s="533">
        <v>2110.6673999999998</v>
      </c>
    </row>
    <row r="235" spans="1:8" ht="20.100000000000001" hidden="1" customHeight="1" x14ac:dyDescent="0.25">
      <c r="A235" s="531" t="s">
        <v>325</v>
      </c>
      <c r="B235" s="525">
        <v>22</v>
      </c>
      <c r="C235" s="526">
        <v>6981.8972727272721</v>
      </c>
      <c r="D235" s="526">
        <v>2680.4900000000002</v>
      </c>
      <c r="E235" s="526">
        <v>332.40318181818174</v>
      </c>
      <c r="F235" s="526">
        <v>1789.3595454545452</v>
      </c>
      <c r="G235" s="532">
        <v>60946.593938636397</v>
      </c>
      <c r="H235" s="533">
        <v>2276.1394090909098</v>
      </c>
    </row>
    <row r="236" spans="1:8" ht="20.100000000000001" hidden="1" customHeight="1" x14ac:dyDescent="0.25">
      <c r="A236" s="531" t="s">
        <v>326</v>
      </c>
      <c r="B236" s="525">
        <v>22</v>
      </c>
      <c r="C236" s="526">
        <v>7560.4427272727271</v>
      </c>
      <c r="D236" s="526">
        <v>2787.670454545454</v>
      </c>
      <c r="E236" s="526">
        <v>358.55409090909097</v>
      </c>
      <c r="F236" s="526">
        <v>1932.2454545454545</v>
      </c>
      <c r="G236" s="532">
        <v>50303.903501818204</v>
      </c>
      <c r="H236" s="533">
        <v>1851.6385909090909</v>
      </c>
    </row>
    <row r="237" spans="1:8" ht="20.100000000000001" hidden="1" customHeight="1" x14ac:dyDescent="0.25">
      <c r="A237" s="531" t="s">
        <v>327</v>
      </c>
      <c r="B237" s="525">
        <v>22</v>
      </c>
      <c r="C237" s="526">
        <v>7618.8200000000006</v>
      </c>
      <c r="D237" s="526">
        <v>2817.1222727272725</v>
      </c>
      <c r="E237" s="526">
        <v>359.5004545454546</v>
      </c>
      <c r="F237" s="526">
        <v>1944.6849999999997</v>
      </c>
      <c r="G237" s="532">
        <v>66202.188170000009</v>
      </c>
      <c r="H237" s="533">
        <v>1621.1862727272699</v>
      </c>
    </row>
    <row r="238" spans="1:8" ht="20.100000000000001" hidden="1" customHeight="1" x14ac:dyDescent="0.25">
      <c r="A238" s="531" t="s">
        <v>328</v>
      </c>
      <c r="B238" s="525">
        <v>22</v>
      </c>
      <c r="C238" s="526">
        <v>7706.0854545454531</v>
      </c>
      <c r="D238" s="526">
        <v>2855.210454545454</v>
      </c>
      <c r="E238" s="526">
        <v>362.02590909090907</v>
      </c>
      <c r="F238" s="526">
        <v>1965.880909090909</v>
      </c>
      <c r="G238" s="532">
        <v>41011.7708286364</v>
      </c>
      <c r="H238" s="533">
        <v>1383.9935</v>
      </c>
    </row>
    <row r="239" spans="1:8" ht="20.100000000000001" hidden="1" customHeight="1" x14ac:dyDescent="0.25">
      <c r="A239" s="531">
        <v>44470</v>
      </c>
      <c r="B239" s="525">
        <v>21</v>
      </c>
      <c r="C239" s="526">
        <v>8175.1857537410588</v>
      </c>
      <c r="D239" s="526">
        <v>3014.0761880930609</v>
      </c>
      <c r="E239" s="526">
        <v>383.96135242893024</v>
      </c>
      <c r="F239" s="526">
        <v>2085.048685714286</v>
      </c>
      <c r="G239" s="532">
        <v>46399.256835714303</v>
      </c>
      <c r="H239" s="533">
        <v>1568.6670952381</v>
      </c>
    </row>
    <row r="240" spans="1:8" ht="20.100000000000001" hidden="1" customHeight="1" x14ac:dyDescent="0.25">
      <c r="A240" s="531">
        <v>44501</v>
      </c>
      <c r="B240" s="525">
        <v>19</v>
      </c>
      <c r="C240" s="526">
        <v>8292.2652631578931</v>
      </c>
      <c r="D240" s="526">
        <v>3031.661578947369</v>
      </c>
      <c r="E240" s="526">
        <v>389.38578947368421</v>
      </c>
      <c r="F240" s="526">
        <v>2106.8721052631577</v>
      </c>
      <c r="G240" s="532">
        <f>73866064.4557895/1000</f>
        <v>73866.064455789499</v>
      </c>
      <c r="H240" s="533">
        <f>1616440.10526316/1000</f>
        <v>1616.4401052631601</v>
      </c>
    </row>
    <row r="241" spans="1:8" ht="20.100000000000001" hidden="1" customHeight="1" x14ac:dyDescent="0.25">
      <c r="A241" s="531">
        <v>44531</v>
      </c>
      <c r="B241" s="525">
        <v>23</v>
      </c>
      <c r="C241" s="526">
        <v>8204.1078260869563</v>
      </c>
      <c r="D241" s="526">
        <v>2981.0539130434777</v>
      </c>
      <c r="E241" s="526">
        <v>381.00956521739135</v>
      </c>
      <c r="F241" s="526">
        <v>2065.3634782608697</v>
      </c>
      <c r="G241" s="532">
        <v>78018.77089739131</v>
      </c>
      <c r="H241" s="533">
        <v>15331.7097391304</v>
      </c>
    </row>
    <row r="242" spans="1:8" ht="20.100000000000001" hidden="1" customHeight="1" x14ac:dyDescent="0.25">
      <c r="A242" s="531">
        <v>44562</v>
      </c>
      <c r="B242" s="525">
        <v>19</v>
      </c>
      <c r="C242" s="526">
        <v>8451.1805263157912</v>
      </c>
      <c r="D242" s="526">
        <v>3060.3321052631582</v>
      </c>
      <c r="E242" s="526">
        <v>389.81526315789483</v>
      </c>
      <c r="F242" s="526">
        <v>2124.1657894736841</v>
      </c>
      <c r="G242" s="532">
        <f>41927627.3352632/1000</f>
        <v>41927.627335263198</v>
      </c>
      <c r="H242" s="533">
        <f>1705981.68421053/1000</f>
        <v>1705.9816842105299</v>
      </c>
    </row>
    <row r="243" spans="1:8" ht="20.100000000000001" hidden="1" customHeight="1" x14ac:dyDescent="0.25">
      <c r="A243" s="531">
        <v>44593</v>
      </c>
      <c r="B243" s="525">
        <v>18</v>
      </c>
      <c r="C243" s="526">
        <v>8611.1083333333336</v>
      </c>
      <c r="D243" s="526">
        <v>3109.5949999999998</v>
      </c>
      <c r="E243" s="526">
        <v>393.39666666666665</v>
      </c>
      <c r="F243" s="526">
        <v>2164.1461111111112</v>
      </c>
      <c r="G243" s="532">
        <v>66017.980371111131</v>
      </c>
      <c r="H243" s="533">
        <v>1774.6536666666668</v>
      </c>
    </row>
    <row r="244" spans="1:8" ht="20.100000000000001" hidden="1" customHeight="1" x14ac:dyDescent="0.25">
      <c r="A244" s="531">
        <v>44621</v>
      </c>
      <c r="B244" s="525">
        <v>22</v>
      </c>
      <c r="C244" s="526">
        <v>8518.8254545454547</v>
      </c>
      <c r="D244" s="526">
        <v>3045.3618181818169</v>
      </c>
      <c r="E244" s="526">
        <v>391.63227272727278</v>
      </c>
      <c r="F244" s="526">
        <v>2140.9527272727273</v>
      </c>
      <c r="G244" s="532">
        <v>49774.041189999996</v>
      </c>
      <c r="H244" s="533">
        <v>1543.9360454545501</v>
      </c>
    </row>
    <row r="245" spans="1:8" ht="20.100000000000001" hidden="1" customHeight="1" x14ac:dyDescent="0.25">
      <c r="A245" s="531">
        <v>44652</v>
      </c>
      <c r="B245" s="525">
        <v>21</v>
      </c>
      <c r="C245" s="526">
        <v>8904.7766666666703</v>
      </c>
      <c r="D245" s="526">
        <v>3221.9690476190481</v>
      </c>
      <c r="E245" s="526">
        <v>406.38952380952389</v>
      </c>
      <c r="F245" s="526">
        <v>2235.4061904761907</v>
      </c>
      <c r="G245" s="532">
        <v>46467.724441428567</v>
      </c>
      <c r="H245" s="533">
        <v>1821.0378095238095</v>
      </c>
    </row>
    <row r="246" spans="1:8" ht="20.100000000000001" hidden="1" customHeight="1" x14ac:dyDescent="0.25">
      <c r="A246" s="531">
        <v>44682</v>
      </c>
      <c r="B246" s="525">
        <v>21</v>
      </c>
      <c r="C246" s="526">
        <v>8949.608125396926</v>
      </c>
      <c r="D246" s="526">
        <v>3262.809258615041</v>
      </c>
      <c r="E246" s="526">
        <v>405.896799191208</v>
      </c>
      <c r="F246" s="526">
        <v>2243.0243095238097</v>
      </c>
      <c r="G246" s="532">
        <v>56446.535716666651</v>
      </c>
      <c r="H246" s="533">
        <v>2954.9095238095238</v>
      </c>
    </row>
    <row r="247" spans="1:8" ht="20.100000000000001" hidden="1" customHeight="1" x14ac:dyDescent="0.25">
      <c r="A247" s="531">
        <v>44713</v>
      </c>
      <c r="B247" s="525">
        <v>22</v>
      </c>
      <c r="C247" s="526">
        <v>8699.9824515956807</v>
      </c>
      <c r="D247" s="526">
        <v>3101.7062695319332</v>
      </c>
      <c r="E247" s="526">
        <v>393.2376035050433</v>
      </c>
      <c r="F247" s="526">
        <v>2166.2635272727271</v>
      </c>
      <c r="G247" s="532">
        <v>86326.401184545452</v>
      </c>
      <c r="H247" s="533">
        <v>1774.0638181818181</v>
      </c>
    </row>
    <row r="248" spans="1:8" ht="20.100000000000001" hidden="1" customHeight="1" x14ac:dyDescent="0.25">
      <c r="A248" s="531">
        <v>44743</v>
      </c>
      <c r="B248" s="525">
        <v>21</v>
      </c>
      <c r="C248" s="526">
        <v>8294.6283947453285</v>
      </c>
      <c r="D248" s="526">
        <v>2893.0114314408897</v>
      </c>
      <c r="E248" s="526">
        <v>373.45975345740771</v>
      </c>
      <c r="F248" s="526">
        <v>2055.2490857142861</v>
      </c>
      <c r="G248" s="532">
        <v>92613.397953333333</v>
      </c>
      <c r="H248" s="533">
        <v>1613.6980476190477</v>
      </c>
    </row>
    <row r="249" spans="1:8" ht="20.100000000000001" hidden="1" customHeight="1" x14ac:dyDescent="0.25">
      <c r="A249" s="531">
        <v>44774</v>
      </c>
      <c r="B249" s="525">
        <v>22</v>
      </c>
      <c r="C249" s="526">
        <v>8368.0186363636385</v>
      </c>
      <c r="D249" s="526">
        <v>2932.4472727272728</v>
      </c>
      <c r="E249" s="526">
        <v>377.49727272727273</v>
      </c>
      <c r="F249" s="526">
        <v>2070.8818181818183</v>
      </c>
      <c r="G249" s="532">
        <v>41796.589036363628</v>
      </c>
      <c r="H249" s="533">
        <v>1665.9889090909091</v>
      </c>
    </row>
    <row r="250" spans="1:8" ht="20.100000000000001" customHeight="1" x14ac:dyDescent="0.25">
      <c r="A250" s="531">
        <v>44805</v>
      </c>
      <c r="B250" s="525">
        <v>21</v>
      </c>
      <c r="C250" s="526">
        <v>8493.0414285714287</v>
      </c>
      <c r="D250" s="526">
        <v>2996.8471428571424</v>
      </c>
      <c r="E250" s="526">
        <v>379.98047619047622</v>
      </c>
      <c r="F250" s="526">
        <v>2100.2523809523809</v>
      </c>
      <c r="G250" s="532">
        <v>63355.573652857129</v>
      </c>
      <c r="H250" s="533">
        <v>1254.435857142857</v>
      </c>
    </row>
    <row r="251" spans="1:8" ht="20.100000000000001" customHeight="1" x14ac:dyDescent="0.25">
      <c r="A251" s="531">
        <v>44835</v>
      </c>
      <c r="B251" s="525">
        <v>20</v>
      </c>
      <c r="C251" s="526">
        <v>8443.2060000000001</v>
      </c>
      <c r="D251" s="526">
        <v>2987.1409999999992</v>
      </c>
      <c r="E251" s="526">
        <v>376.35350000000005</v>
      </c>
      <c r="F251" s="526">
        <v>2086.9690000000001</v>
      </c>
      <c r="G251" s="532">
        <v>48023.799282</v>
      </c>
      <c r="H251" s="533">
        <v>896.64449999999999</v>
      </c>
    </row>
    <row r="252" spans="1:8" ht="20.100000000000001" customHeight="1" x14ac:dyDescent="0.25">
      <c r="A252" s="531">
        <v>44866</v>
      </c>
      <c r="B252" s="525">
        <v>21</v>
      </c>
      <c r="C252" s="526">
        <v>8321.5289512675135</v>
      </c>
      <c r="D252" s="526">
        <v>2977.5162185052059</v>
      </c>
      <c r="E252" s="526">
        <v>370.16793951291424</v>
      </c>
      <c r="F252" s="526">
        <v>2049.9196666666667</v>
      </c>
      <c r="G252" s="532">
        <v>46512.024139523812</v>
      </c>
      <c r="H252" s="533">
        <v>2423.793285714286</v>
      </c>
    </row>
    <row r="253" spans="1:8" ht="20.100000000000001" customHeight="1" x14ac:dyDescent="0.25">
      <c r="A253" s="531">
        <v>44896</v>
      </c>
      <c r="B253" s="525">
        <v>22</v>
      </c>
      <c r="C253" s="526">
        <v>8390.4477272727254</v>
      </c>
      <c r="D253" s="526">
        <v>3013.4550000000004</v>
      </c>
      <c r="E253" s="526">
        <v>371.40545454545463</v>
      </c>
      <c r="F253" s="526">
        <v>2047.825</v>
      </c>
      <c r="G253" s="532">
        <v>68963.90585999997</v>
      </c>
      <c r="H253" s="533">
        <v>1086.4461363636365</v>
      </c>
    </row>
    <row r="254" spans="1:8" ht="18.75" customHeight="1" x14ac:dyDescent="0.25">
      <c r="A254" s="531">
        <v>44927</v>
      </c>
      <c r="B254" s="525">
        <v>19</v>
      </c>
      <c r="C254" s="526">
        <v>8310.5421052631609</v>
      </c>
      <c r="D254" s="526">
        <v>2960.6157894736848</v>
      </c>
      <c r="E254" s="526">
        <v>365.52999999999992</v>
      </c>
      <c r="F254" s="526">
        <v>2025.2810526315791</v>
      </c>
      <c r="G254" s="532">
        <v>48352.423184210522</v>
      </c>
      <c r="H254" s="533">
        <v>1736.9967368421051</v>
      </c>
    </row>
    <row r="255" spans="1:8" ht="20.100000000000001" customHeight="1" x14ac:dyDescent="0.25">
      <c r="A255" s="531">
        <v>44958</v>
      </c>
      <c r="B255" s="525">
        <v>18</v>
      </c>
      <c r="C255" s="526">
        <v>8202.9655555555564</v>
      </c>
      <c r="D255" s="526">
        <v>2824.3377777777778</v>
      </c>
      <c r="E255" s="526">
        <v>360.88555555555564</v>
      </c>
      <c r="F255" s="526">
        <v>1998.413333333333</v>
      </c>
      <c r="G255" s="532">
        <v>50520.871478333334</v>
      </c>
      <c r="H255" s="533">
        <v>1688.6479444444444</v>
      </c>
    </row>
    <row r="256" spans="1:8" ht="18.75" customHeight="1" x14ac:dyDescent="0.25">
      <c r="A256" s="531">
        <v>44986</v>
      </c>
      <c r="B256" s="525">
        <v>22</v>
      </c>
      <c r="C256" s="526">
        <v>8149.4018181818183</v>
      </c>
      <c r="D256" s="526">
        <v>2749.925909090909</v>
      </c>
      <c r="E256" s="526">
        <v>360.70181818181823</v>
      </c>
      <c r="F256" s="526">
        <v>1984.4809090909089</v>
      </c>
      <c r="G256" s="532">
        <v>46985.846184545451</v>
      </c>
      <c r="H256" s="533">
        <v>1859.2216363636364</v>
      </c>
    </row>
    <row r="257" spans="1:8" ht="18.75" customHeight="1" x14ac:dyDescent="0.25">
      <c r="A257" s="531">
        <v>45017</v>
      </c>
      <c r="B257" s="525">
        <v>20</v>
      </c>
      <c r="C257" s="526">
        <v>8009.1095000000005</v>
      </c>
      <c r="D257" s="526">
        <v>2788.6055000000006</v>
      </c>
      <c r="E257" s="526">
        <v>354.25299999999999</v>
      </c>
      <c r="F257" s="526">
        <v>1947.0319999999997</v>
      </c>
      <c r="G257" s="532">
        <v>41203.958230999997</v>
      </c>
      <c r="H257" s="533">
        <v>1163.66805</v>
      </c>
    </row>
    <row r="258" spans="1:8" ht="20.100000000000001" customHeight="1" x14ac:dyDescent="0.25">
      <c r="A258" s="531">
        <v>45047</v>
      </c>
      <c r="B258" s="525">
        <v>22</v>
      </c>
      <c r="C258" s="526">
        <v>8098.5518181818179</v>
      </c>
      <c r="D258" s="526">
        <v>2805.8654545454547</v>
      </c>
      <c r="E258" s="526">
        <v>359.30136363636359</v>
      </c>
      <c r="F258" s="526">
        <v>1963.2677272727271</v>
      </c>
      <c r="G258" s="532">
        <v>39496.615789090916</v>
      </c>
      <c r="H258" s="533">
        <v>1455.8155454545454</v>
      </c>
    </row>
    <row r="259" spans="1:8" s="534" customFormat="1" ht="16.5" x14ac:dyDescent="0.25">
      <c r="A259" s="531">
        <v>45078</v>
      </c>
      <c r="B259" s="525">
        <v>22</v>
      </c>
      <c r="C259" s="526">
        <v>8265.0377272727274</v>
      </c>
      <c r="D259" s="526">
        <v>2855.2818181818184</v>
      </c>
      <c r="E259" s="526">
        <v>363.26181818181817</v>
      </c>
      <c r="F259" s="526">
        <v>1980.5886363636369</v>
      </c>
      <c r="G259" s="532">
        <v>50828.971950909094</v>
      </c>
      <c r="H259" s="533">
        <v>1446.8527272727274</v>
      </c>
    </row>
    <row r="260" spans="1:8" s="534" customFormat="1" ht="16.5" x14ac:dyDescent="0.25">
      <c r="A260" s="531">
        <v>45108</v>
      </c>
      <c r="B260" s="525">
        <v>21</v>
      </c>
      <c r="C260" s="526">
        <v>8384.8276190476226</v>
      </c>
      <c r="D260" s="526">
        <v>2898.8766666666666</v>
      </c>
      <c r="E260" s="526">
        <v>365.8695238095238</v>
      </c>
      <c r="F260" s="526">
        <v>1996.6114285714284</v>
      </c>
      <c r="G260" s="532">
        <v>44959.928024285713</v>
      </c>
      <c r="H260" s="533">
        <v>1054.231</v>
      </c>
    </row>
    <row r="261" spans="1:8" s="534" customFormat="1" ht="16.5" x14ac:dyDescent="0.25">
      <c r="A261" s="531">
        <v>45139</v>
      </c>
      <c r="B261" s="525">
        <v>23</v>
      </c>
      <c r="C261" s="526">
        <v>8599.6660869565203</v>
      </c>
      <c r="D261" s="526">
        <v>2981.1017391304345</v>
      </c>
      <c r="E261" s="526">
        <v>371.73782608695649</v>
      </c>
      <c r="F261" s="526">
        <v>2043.8295652173917</v>
      </c>
      <c r="G261" s="532">
        <v>42322.301064782594</v>
      </c>
      <c r="H261" s="533">
        <v>1713.7667391304349</v>
      </c>
    </row>
    <row r="262" spans="1:8" s="540" customFormat="1" ht="17.25" thickBot="1" x14ac:dyDescent="0.3">
      <c r="A262" s="535">
        <v>45170</v>
      </c>
      <c r="B262" s="536">
        <v>20</v>
      </c>
      <c r="C262" s="537">
        <v>8782.2234999999982</v>
      </c>
      <c r="D262" s="537">
        <v>3068.1745000000001</v>
      </c>
      <c r="E262" s="537">
        <v>375.47500000000002</v>
      </c>
      <c r="F262" s="537">
        <v>2086.1134999999999</v>
      </c>
      <c r="G262" s="538">
        <v>63652.318128000006</v>
      </c>
      <c r="H262" s="539">
        <v>2983.7761</v>
      </c>
    </row>
    <row r="263" spans="1:8" s="540" customFormat="1" ht="51" customHeight="1" thickTop="1" x14ac:dyDescent="0.25">
      <c r="A263" s="3498" t="s">
        <v>329</v>
      </c>
      <c r="B263" s="3498"/>
      <c r="C263" s="3498"/>
      <c r="D263" s="3498"/>
      <c r="E263" s="3498"/>
      <c r="F263" s="3498"/>
      <c r="G263" s="3498"/>
      <c r="H263" s="3498"/>
    </row>
    <row r="264" spans="1:8" ht="33" customHeight="1" x14ac:dyDescent="0.25">
      <c r="A264" s="3499" t="s">
        <v>330</v>
      </c>
      <c r="B264" s="3499"/>
      <c r="C264" s="3499"/>
      <c r="D264" s="3499"/>
      <c r="E264" s="3499"/>
      <c r="F264" s="3499"/>
      <c r="G264" s="3499"/>
      <c r="H264" s="3499"/>
    </row>
    <row r="265" spans="1:8" x14ac:dyDescent="0.25">
      <c r="B265" s="554"/>
      <c r="C265" s="554"/>
      <c r="D265" s="554"/>
      <c r="E265" s="551"/>
      <c r="F265" s="552"/>
      <c r="G265" s="552"/>
    </row>
    <row r="266" spans="1:8" ht="17.25" x14ac:dyDescent="0.25">
      <c r="A266" s="478" t="s">
        <v>364</v>
      </c>
    </row>
    <row r="267" spans="1:8" ht="15" thickBot="1" x14ac:dyDescent="0.3">
      <c r="D267" s="541" t="s">
        <v>281</v>
      </c>
    </row>
    <row r="268" spans="1:8" ht="56.25" customHeight="1" thickTop="1" thickBot="1" x14ac:dyDescent="0.25">
      <c r="A268" s="542" t="s">
        <v>5</v>
      </c>
      <c r="B268" s="543" t="s">
        <v>255</v>
      </c>
      <c r="C268" s="543" t="s">
        <v>254</v>
      </c>
      <c r="D268" s="544" t="s">
        <v>331</v>
      </c>
      <c r="G268" s="545"/>
    </row>
    <row r="269" spans="1:8" ht="16.5" hidden="1" x14ac:dyDescent="0.25">
      <c r="A269" s="546">
        <v>40217</v>
      </c>
      <c r="B269" s="547">
        <v>161.03771599999999</v>
      </c>
      <c r="C269" s="548">
        <v>131.77647004000002</v>
      </c>
      <c r="D269" s="549" t="s">
        <v>332</v>
      </c>
      <c r="E269" s="550"/>
      <c r="F269" s="551"/>
    </row>
    <row r="270" spans="1:8" ht="16.5" hidden="1" x14ac:dyDescent="0.25">
      <c r="A270" s="546">
        <v>40245</v>
      </c>
      <c r="B270" s="547">
        <v>403.32256000000001</v>
      </c>
      <c r="C270" s="548">
        <v>356.66909319999996</v>
      </c>
      <c r="D270" s="549" t="s">
        <v>333</v>
      </c>
      <c r="E270" s="550"/>
      <c r="F270" s="551"/>
    </row>
    <row r="271" spans="1:8" ht="16.5" hidden="1" x14ac:dyDescent="0.25">
      <c r="A271" s="546">
        <v>40276</v>
      </c>
      <c r="B271" s="547">
        <v>521.20303650000005</v>
      </c>
      <c r="C271" s="548">
        <v>201.15583000000001</v>
      </c>
      <c r="D271" s="549" t="s">
        <v>334</v>
      </c>
      <c r="E271" s="550"/>
      <c r="F271" s="552"/>
      <c r="G271" s="551"/>
      <c r="H271" s="551"/>
    </row>
    <row r="272" spans="1:8" ht="16.5" hidden="1" x14ac:dyDescent="0.25">
      <c r="A272" s="546">
        <v>40306</v>
      </c>
      <c r="B272" s="547">
        <v>329.135806</v>
      </c>
      <c r="C272" s="548">
        <v>128.8008695</v>
      </c>
      <c r="D272" s="549" t="s">
        <v>335</v>
      </c>
      <c r="E272" s="550"/>
      <c r="F272" s="551"/>
      <c r="G272" s="551"/>
      <c r="H272" s="551"/>
    </row>
    <row r="273" spans="1:8" ht="16.5" hidden="1" x14ac:dyDescent="0.25">
      <c r="A273" s="546">
        <v>40337</v>
      </c>
      <c r="B273" s="547">
        <v>207.11887580000001</v>
      </c>
      <c r="C273" s="548">
        <v>28.417289</v>
      </c>
      <c r="D273" s="549" t="s">
        <v>336</v>
      </c>
      <c r="E273" s="550"/>
      <c r="F273" s="551"/>
      <c r="G273" s="551"/>
      <c r="H273" s="551"/>
    </row>
    <row r="274" spans="1:8" ht="16.5" hidden="1" x14ac:dyDescent="0.25">
      <c r="A274" s="546">
        <v>40367</v>
      </c>
      <c r="B274" s="547">
        <v>270.14908350000002</v>
      </c>
      <c r="C274" s="548">
        <v>133.29416225</v>
      </c>
      <c r="D274" s="549" t="s">
        <v>337</v>
      </c>
      <c r="E274" s="550"/>
      <c r="F274" s="551"/>
      <c r="G274" s="551"/>
      <c r="H274" s="551"/>
    </row>
    <row r="275" spans="1:8" ht="16.5" hidden="1" x14ac:dyDescent="0.25">
      <c r="A275" s="546">
        <v>40398</v>
      </c>
      <c r="B275" s="547">
        <v>217.86438000000001</v>
      </c>
      <c r="C275" s="548">
        <v>79.483020699999997</v>
      </c>
      <c r="D275" s="549" t="s">
        <v>338</v>
      </c>
      <c r="E275" s="550"/>
      <c r="F275" s="552"/>
      <c r="G275" s="551"/>
    </row>
    <row r="276" spans="1:8" ht="16.5" hidden="1" x14ac:dyDescent="0.25">
      <c r="A276" s="546">
        <v>40429</v>
      </c>
      <c r="B276" s="547">
        <v>388.8727184</v>
      </c>
      <c r="C276" s="548">
        <v>199.41526140000002</v>
      </c>
      <c r="D276" s="549" t="s">
        <v>339</v>
      </c>
      <c r="E276" s="550"/>
      <c r="F276" s="551"/>
      <c r="G276" s="551"/>
    </row>
    <row r="277" spans="1:8" ht="16.5" hidden="1" x14ac:dyDescent="0.25">
      <c r="A277" s="546">
        <v>40459</v>
      </c>
      <c r="B277" s="547">
        <v>348.71195539999997</v>
      </c>
      <c r="C277" s="548">
        <v>354.42421330000002</v>
      </c>
      <c r="D277" s="549" t="s">
        <v>340</v>
      </c>
      <c r="E277" s="550"/>
      <c r="F277" s="551"/>
      <c r="G277" s="551"/>
    </row>
    <row r="278" spans="1:8" ht="16.5" hidden="1" x14ac:dyDescent="0.25">
      <c r="A278" s="546">
        <v>40490</v>
      </c>
      <c r="B278" s="547">
        <v>347.89406220000001</v>
      </c>
      <c r="C278" s="548">
        <v>128.35713510000002</v>
      </c>
      <c r="D278" s="549" t="s">
        <v>341</v>
      </c>
      <c r="E278" s="550"/>
      <c r="F278" s="551"/>
      <c r="G278" s="551"/>
    </row>
    <row r="279" spans="1:8" ht="16.5" hidden="1" x14ac:dyDescent="0.25">
      <c r="A279" s="546">
        <v>40520</v>
      </c>
      <c r="B279" s="547">
        <v>178.9509745</v>
      </c>
      <c r="C279" s="548">
        <v>55.540696149999995</v>
      </c>
      <c r="D279" s="549" t="s">
        <v>342</v>
      </c>
      <c r="E279" s="550"/>
      <c r="F279" s="551"/>
    </row>
    <row r="280" spans="1:8" ht="16.5" hidden="1" x14ac:dyDescent="0.25">
      <c r="A280" s="546">
        <v>40551</v>
      </c>
      <c r="B280" s="547">
        <v>725.55969600000003</v>
      </c>
      <c r="C280" s="548">
        <v>370.46430950000001</v>
      </c>
      <c r="D280" s="549" t="s">
        <v>343</v>
      </c>
      <c r="E280" s="550"/>
      <c r="F280" s="551"/>
    </row>
    <row r="281" spans="1:8" ht="16.5" hidden="1" x14ac:dyDescent="0.25">
      <c r="A281" s="546">
        <v>40582</v>
      </c>
      <c r="B281" s="547">
        <v>154.24198669999998</v>
      </c>
      <c r="C281" s="548">
        <v>111.00644709999999</v>
      </c>
      <c r="D281" s="549" t="s">
        <v>344</v>
      </c>
      <c r="E281" s="550"/>
      <c r="F281" s="551"/>
    </row>
    <row r="282" spans="1:8" ht="16.5" hidden="1" x14ac:dyDescent="0.25">
      <c r="A282" s="546">
        <v>40610</v>
      </c>
      <c r="B282" s="547">
        <v>42.2</v>
      </c>
      <c r="C282" s="548">
        <v>203.6</v>
      </c>
      <c r="D282" s="549" t="s">
        <v>345</v>
      </c>
      <c r="E282" s="550"/>
      <c r="F282" s="551"/>
    </row>
    <row r="283" spans="1:8" ht="16.5" hidden="1" x14ac:dyDescent="0.25">
      <c r="A283" s="546">
        <v>40641</v>
      </c>
      <c r="B283" s="547">
        <v>142.80000000000001</v>
      </c>
      <c r="C283" s="548">
        <v>119.9</v>
      </c>
      <c r="D283" s="549" t="s">
        <v>346</v>
      </c>
      <c r="E283" s="550"/>
      <c r="F283" s="551"/>
    </row>
    <row r="284" spans="1:8" ht="16.5" hidden="1" x14ac:dyDescent="0.25">
      <c r="A284" s="546">
        <v>40671</v>
      </c>
      <c r="B284" s="547">
        <v>246.9</v>
      </c>
      <c r="C284" s="548">
        <v>263.39999999999998</v>
      </c>
      <c r="D284" s="549" t="s">
        <v>347</v>
      </c>
      <c r="E284" s="550"/>
      <c r="F284" s="551"/>
    </row>
    <row r="285" spans="1:8" ht="16.5" hidden="1" x14ac:dyDescent="0.25">
      <c r="A285" s="546">
        <v>40702</v>
      </c>
      <c r="B285" s="547">
        <v>201.6</v>
      </c>
      <c r="C285" s="548">
        <v>336.5</v>
      </c>
      <c r="D285" s="549" t="s">
        <v>348</v>
      </c>
      <c r="E285" s="550"/>
      <c r="F285" s="553"/>
    </row>
    <row r="286" spans="1:8" ht="16.5" hidden="1" x14ac:dyDescent="0.25">
      <c r="A286" s="546">
        <v>40732</v>
      </c>
      <c r="B286" s="547">
        <v>218.3</v>
      </c>
      <c r="C286" s="548">
        <v>240.4</v>
      </c>
      <c r="D286" s="549" t="s">
        <v>349</v>
      </c>
      <c r="E286" s="550"/>
      <c r="F286" s="551"/>
      <c r="G286" s="554"/>
    </row>
    <row r="287" spans="1:8" ht="16.5" hidden="1" x14ac:dyDescent="0.25">
      <c r="A287" s="546">
        <v>40763</v>
      </c>
      <c r="B287" s="547">
        <v>168.1</v>
      </c>
      <c r="C287" s="548">
        <v>606.6</v>
      </c>
      <c r="D287" s="549" t="s">
        <v>350</v>
      </c>
      <c r="E287" s="550"/>
      <c r="F287" s="551"/>
      <c r="G287" s="554"/>
    </row>
    <row r="288" spans="1:8" ht="16.5" hidden="1" x14ac:dyDescent="0.25">
      <c r="A288" s="546">
        <v>40794</v>
      </c>
      <c r="B288" s="547">
        <v>130.69999999999999</v>
      </c>
      <c r="C288" s="548">
        <v>174.4</v>
      </c>
      <c r="D288" s="549" t="s">
        <v>351</v>
      </c>
      <c r="E288" s="550"/>
      <c r="F288" s="551"/>
      <c r="G288" s="554"/>
    </row>
    <row r="289" spans="1:8" ht="16.5" hidden="1" x14ac:dyDescent="0.25">
      <c r="A289" s="546">
        <v>40824</v>
      </c>
      <c r="B289" s="547">
        <v>166.1</v>
      </c>
      <c r="C289" s="548">
        <v>339.9</v>
      </c>
      <c r="D289" s="549" t="s">
        <v>352</v>
      </c>
      <c r="E289" s="550"/>
      <c r="F289" s="551"/>
      <c r="G289" s="554"/>
      <c r="H289" s="551"/>
    </row>
    <row r="290" spans="1:8" ht="16.5" hidden="1" x14ac:dyDescent="0.25">
      <c r="A290" s="546">
        <v>40855</v>
      </c>
      <c r="B290" s="547">
        <v>3631.7</v>
      </c>
      <c r="C290" s="548">
        <v>3694.6</v>
      </c>
      <c r="D290" s="549" t="s">
        <v>353</v>
      </c>
      <c r="E290" s="550"/>
      <c r="F290" s="551"/>
      <c r="G290" s="554"/>
      <c r="H290" s="551"/>
    </row>
    <row r="291" spans="1:8" ht="16.5" hidden="1" x14ac:dyDescent="0.25">
      <c r="A291" s="546">
        <v>40885</v>
      </c>
      <c r="B291" s="548">
        <v>329.8</v>
      </c>
      <c r="C291" s="548">
        <v>175.4</v>
      </c>
      <c r="D291" s="549" t="s">
        <v>354</v>
      </c>
      <c r="E291" s="550"/>
      <c r="F291" s="553"/>
      <c r="G291" s="554"/>
      <c r="H291" s="551"/>
    </row>
    <row r="292" spans="1:8" ht="16.5" hidden="1" x14ac:dyDescent="0.25">
      <c r="A292" s="546">
        <v>40916</v>
      </c>
      <c r="B292" s="548">
        <v>125.6</v>
      </c>
      <c r="C292" s="548">
        <v>111.1</v>
      </c>
      <c r="D292" s="549" t="s">
        <v>355</v>
      </c>
      <c r="E292" s="550"/>
      <c r="F292" s="553"/>
      <c r="G292" s="554"/>
      <c r="H292" s="551"/>
    </row>
    <row r="293" spans="1:8" ht="16.5" hidden="1" x14ac:dyDescent="0.25">
      <c r="A293" s="546">
        <v>40947</v>
      </c>
      <c r="B293" s="548">
        <v>180</v>
      </c>
      <c r="C293" s="548">
        <v>131.6</v>
      </c>
      <c r="D293" s="549" t="s">
        <v>356</v>
      </c>
      <c r="E293" s="550"/>
      <c r="F293" s="553"/>
      <c r="G293" s="554"/>
      <c r="H293" s="551"/>
    </row>
    <row r="294" spans="1:8" ht="16.5" hidden="1" x14ac:dyDescent="0.25">
      <c r="A294" s="546">
        <v>40976</v>
      </c>
      <c r="B294" s="548">
        <v>151.69999999999999</v>
      </c>
      <c r="C294" s="548">
        <v>123.2</v>
      </c>
      <c r="D294" s="549" t="s">
        <v>357</v>
      </c>
      <c r="E294" s="550"/>
      <c r="F294" s="553"/>
      <c r="G294" s="554"/>
      <c r="H294" s="551"/>
    </row>
    <row r="295" spans="1:8" ht="16.5" hidden="1" x14ac:dyDescent="0.25">
      <c r="A295" s="546">
        <v>41007</v>
      </c>
      <c r="B295" s="548">
        <v>311.5</v>
      </c>
      <c r="C295" s="548">
        <v>291.5</v>
      </c>
      <c r="D295" s="549" t="s">
        <v>358</v>
      </c>
      <c r="E295" s="550"/>
      <c r="F295" s="553"/>
      <c r="G295" s="554"/>
      <c r="H295" s="551"/>
    </row>
    <row r="296" spans="1:8" ht="16.5" hidden="1" x14ac:dyDescent="0.25">
      <c r="A296" s="546">
        <v>41037</v>
      </c>
      <c r="B296" s="548">
        <v>210.2</v>
      </c>
      <c r="C296" s="548">
        <v>395.36</v>
      </c>
      <c r="D296" s="555">
        <v>-185.2</v>
      </c>
      <c r="E296" s="550"/>
      <c r="F296" s="553"/>
      <c r="G296" s="554"/>
      <c r="H296" s="551"/>
    </row>
    <row r="297" spans="1:8" ht="16.5" hidden="1" x14ac:dyDescent="0.25">
      <c r="A297" s="546">
        <v>41068</v>
      </c>
      <c r="B297" s="548">
        <v>154.94</v>
      </c>
      <c r="C297" s="548">
        <v>223.923</v>
      </c>
      <c r="D297" s="555">
        <v>-68.983000000000004</v>
      </c>
      <c r="E297" s="550"/>
      <c r="F297" s="553"/>
      <c r="G297" s="554"/>
      <c r="H297" s="551"/>
    </row>
    <row r="298" spans="1:8" ht="16.5" hidden="1" x14ac:dyDescent="0.25">
      <c r="A298" s="546">
        <v>41098</v>
      </c>
      <c r="B298" s="548">
        <v>389.9</v>
      </c>
      <c r="C298" s="548">
        <v>344.3</v>
      </c>
      <c r="D298" s="555" t="s">
        <v>359</v>
      </c>
      <c r="E298" s="550"/>
      <c r="F298" s="553"/>
      <c r="G298" s="554"/>
      <c r="H298" s="551"/>
    </row>
    <row r="299" spans="1:8" ht="16.5" hidden="1" x14ac:dyDescent="0.25">
      <c r="A299" s="546">
        <v>41129</v>
      </c>
      <c r="B299" s="548">
        <v>209.5</v>
      </c>
      <c r="C299" s="548">
        <v>315.5</v>
      </c>
      <c r="D299" s="555" t="s">
        <v>360</v>
      </c>
      <c r="E299" s="550"/>
      <c r="F299" s="553"/>
      <c r="G299" s="554"/>
      <c r="H299" s="551"/>
    </row>
    <row r="300" spans="1:8" ht="16.5" hidden="1" x14ac:dyDescent="0.25">
      <c r="A300" s="546">
        <v>41160</v>
      </c>
      <c r="B300" s="548">
        <v>163.1</v>
      </c>
      <c r="C300" s="548">
        <v>243.9</v>
      </c>
      <c r="D300" s="555">
        <v>-80.8</v>
      </c>
      <c r="E300" s="550"/>
      <c r="F300" s="553"/>
      <c r="G300" s="554"/>
      <c r="H300" s="551"/>
    </row>
    <row r="301" spans="1:8" ht="16.5" hidden="1" x14ac:dyDescent="0.25">
      <c r="A301" s="546">
        <v>41190</v>
      </c>
      <c r="B301" s="548">
        <v>216.6</v>
      </c>
      <c r="C301" s="548">
        <v>236.5</v>
      </c>
      <c r="D301" s="555">
        <v>-19.900000000000006</v>
      </c>
      <c r="E301" s="550"/>
      <c r="F301" s="553"/>
      <c r="G301" s="554"/>
      <c r="H301" s="551"/>
    </row>
    <row r="302" spans="1:8" ht="16.5" hidden="1" x14ac:dyDescent="0.25">
      <c r="A302" s="546">
        <v>41221</v>
      </c>
      <c r="B302" s="556">
        <v>347.4</v>
      </c>
      <c r="C302" s="556">
        <v>135.5</v>
      </c>
      <c r="D302" s="555">
        <v>211.89999999999998</v>
      </c>
      <c r="E302" s="550"/>
      <c r="F302" s="553"/>
      <c r="G302" s="554"/>
      <c r="H302" s="553"/>
    </row>
    <row r="303" spans="1:8" ht="16.5" hidden="1" x14ac:dyDescent="0.25">
      <c r="A303" s="546">
        <v>41251</v>
      </c>
      <c r="B303" s="548">
        <v>313.17</v>
      </c>
      <c r="C303" s="548">
        <v>120.857</v>
      </c>
      <c r="D303" s="555">
        <v>192.31300000000002</v>
      </c>
      <c r="E303" s="550"/>
      <c r="F303" s="553"/>
      <c r="G303" s="554"/>
      <c r="H303" s="551"/>
    </row>
    <row r="304" spans="1:8" ht="16.5" hidden="1" x14ac:dyDescent="0.25">
      <c r="A304" s="546">
        <v>41282</v>
      </c>
      <c r="B304" s="548">
        <v>530.9</v>
      </c>
      <c r="C304" s="548">
        <v>391.2</v>
      </c>
      <c r="D304" s="555">
        <v>139.69999999999999</v>
      </c>
      <c r="E304" s="550"/>
      <c r="F304" s="553"/>
      <c r="G304" s="554"/>
      <c r="H304" s="551"/>
    </row>
    <row r="305" spans="1:8" ht="16.5" hidden="1" x14ac:dyDescent="0.25">
      <c r="A305" s="546">
        <v>41313</v>
      </c>
      <c r="B305" s="548">
        <v>565.5</v>
      </c>
      <c r="C305" s="548">
        <v>447.5</v>
      </c>
      <c r="D305" s="555">
        <v>118</v>
      </c>
      <c r="E305" s="550"/>
      <c r="F305" s="553"/>
      <c r="G305" s="554"/>
      <c r="H305" s="551"/>
    </row>
    <row r="306" spans="1:8" ht="16.5" hidden="1" x14ac:dyDescent="0.25">
      <c r="A306" s="546">
        <v>41341</v>
      </c>
      <c r="B306" s="548">
        <v>384.6</v>
      </c>
      <c r="C306" s="548">
        <v>129.4</v>
      </c>
      <c r="D306" s="555">
        <v>255.20000000000002</v>
      </c>
      <c r="E306" s="550"/>
      <c r="F306" s="553"/>
      <c r="G306" s="557"/>
      <c r="H306" s="557"/>
    </row>
    <row r="307" spans="1:8" ht="16.5" hidden="1" x14ac:dyDescent="0.25">
      <c r="A307" s="546">
        <v>41372</v>
      </c>
      <c r="B307" s="548">
        <v>240.5</v>
      </c>
      <c r="C307" s="548">
        <v>113.6</v>
      </c>
      <c r="D307" s="555">
        <v>126.9</v>
      </c>
      <c r="E307" s="550"/>
      <c r="F307" s="553"/>
      <c r="G307" s="554"/>
      <c r="H307" s="551"/>
    </row>
    <row r="308" spans="1:8" ht="16.5" hidden="1" x14ac:dyDescent="0.25">
      <c r="A308" s="546">
        <v>41402</v>
      </c>
      <c r="B308" s="548">
        <v>331.9</v>
      </c>
      <c r="C308" s="548">
        <v>235.2</v>
      </c>
      <c r="D308" s="555">
        <v>96.699999999999989</v>
      </c>
      <c r="E308" s="550"/>
      <c r="F308" s="553"/>
      <c r="G308" s="554"/>
      <c r="H308" s="551"/>
    </row>
    <row r="309" spans="1:8" ht="16.5" hidden="1" x14ac:dyDescent="0.25">
      <c r="A309" s="546">
        <v>41433</v>
      </c>
      <c r="B309" s="548">
        <v>474.5</v>
      </c>
      <c r="C309" s="548">
        <v>440</v>
      </c>
      <c r="D309" s="555">
        <v>34.5</v>
      </c>
      <c r="E309" s="550"/>
      <c r="F309" s="553"/>
      <c r="G309" s="554"/>
      <c r="H309" s="551"/>
    </row>
    <row r="310" spans="1:8" ht="16.5" hidden="1" x14ac:dyDescent="0.25">
      <c r="A310" s="546">
        <v>41463</v>
      </c>
      <c r="B310" s="548">
        <v>167.53213600000001</v>
      </c>
      <c r="C310" s="556">
        <v>87.90154167</v>
      </c>
      <c r="D310" s="555">
        <v>79.630594330000008</v>
      </c>
      <c r="E310" s="550"/>
      <c r="F310" s="553"/>
      <c r="G310" s="554"/>
      <c r="H310" s="551"/>
    </row>
    <row r="311" spans="1:8" ht="16.5" hidden="1" x14ac:dyDescent="0.25">
      <c r="A311" s="546">
        <v>41494</v>
      </c>
      <c r="B311" s="548">
        <v>300.86</v>
      </c>
      <c r="C311" s="548">
        <v>275.04000000000002</v>
      </c>
      <c r="D311" s="555">
        <v>25.819999999999993</v>
      </c>
      <c r="E311" s="550"/>
      <c r="F311" s="553"/>
      <c r="G311" s="554"/>
      <c r="H311" s="551"/>
    </row>
    <row r="312" spans="1:8" ht="16.5" hidden="1" x14ac:dyDescent="0.25">
      <c r="A312" s="546">
        <v>41525</v>
      </c>
      <c r="B312" s="556">
        <v>213.7</v>
      </c>
      <c r="C312" s="548">
        <v>520.1</v>
      </c>
      <c r="D312" s="555">
        <v>-306.40000000000003</v>
      </c>
      <c r="E312" s="550"/>
      <c r="F312" s="553"/>
      <c r="G312" s="554"/>
      <c r="H312" s="551"/>
    </row>
    <row r="313" spans="1:8" ht="16.5" hidden="1" x14ac:dyDescent="0.25">
      <c r="A313" s="546">
        <v>41555</v>
      </c>
      <c r="B313" s="548">
        <v>743.9</v>
      </c>
      <c r="C313" s="548">
        <v>1020.6</v>
      </c>
      <c r="D313" s="555">
        <v>-276.70000000000005</v>
      </c>
      <c r="E313" s="550"/>
      <c r="F313" s="553"/>
      <c r="G313" s="554"/>
      <c r="H313" s="552"/>
    </row>
    <row r="314" spans="1:8" ht="16.5" hidden="1" x14ac:dyDescent="0.25">
      <c r="A314" s="546">
        <v>41586</v>
      </c>
      <c r="B314" s="556">
        <v>184.5</v>
      </c>
      <c r="C314" s="548">
        <v>112</v>
      </c>
      <c r="D314" s="555">
        <v>72.5</v>
      </c>
      <c r="E314" s="550"/>
      <c r="F314" s="553"/>
      <c r="G314" s="557"/>
      <c r="H314" s="557"/>
    </row>
    <row r="315" spans="1:8" ht="16.5" hidden="1" x14ac:dyDescent="0.25">
      <c r="A315" s="546">
        <v>41616</v>
      </c>
      <c r="B315" s="548">
        <v>501.6</v>
      </c>
      <c r="C315" s="548">
        <v>493.5</v>
      </c>
      <c r="D315" s="555">
        <v>8.1000000000000227</v>
      </c>
      <c r="E315" s="550"/>
      <c r="F315" s="553"/>
      <c r="G315" s="554"/>
      <c r="H315" s="552"/>
    </row>
    <row r="316" spans="1:8" ht="16.5" hidden="1" x14ac:dyDescent="0.25">
      <c r="A316" s="546">
        <v>41647</v>
      </c>
      <c r="B316" s="548">
        <v>439.2</v>
      </c>
      <c r="C316" s="548">
        <v>475</v>
      </c>
      <c r="D316" s="555">
        <v>-35.800000000000011</v>
      </c>
      <c r="E316" s="550"/>
      <c r="F316" s="553"/>
      <c r="G316" s="554"/>
      <c r="H316" s="552"/>
    </row>
    <row r="317" spans="1:8" ht="16.5" hidden="1" x14ac:dyDescent="0.25">
      <c r="A317" s="546">
        <v>41678</v>
      </c>
      <c r="B317" s="556">
        <v>455.9</v>
      </c>
      <c r="C317" s="556">
        <v>475.2</v>
      </c>
      <c r="D317" s="558">
        <v>-19.300000000000011</v>
      </c>
      <c r="E317" s="550"/>
      <c r="F317" s="553"/>
      <c r="G317" s="553"/>
      <c r="H317" s="553"/>
    </row>
    <row r="318" spans="1:8" ht="16.5" hidden="1" x14ac:dyDescent="0.25">
      <c r="A318" s="546">
        <v>41706</v>
      </c>
      <c r="B318" s="548">
        <v>159.49</v>
      </c>
      <c r="C318" s="548">
        <v>257</v>
      </c>
      <c r="D318" s="555">
        <v>-97.509999999999991</v>
      </c>
      <c r="E318" s="550"/>
      <c r="F318" s="553"/>
      <c r="G318" s="553"/>
      <c r="H318" s="553"/>
    </row>
    <row r="319" spans="1:8" ht="16.5" hidden="1" x14ac:dyDescent="0.25">
      <c r="A319" s="546">
        <v>41737</v>
      </c>
      <c r="B319" s="548">
        <v>516.6</v>
      </c>
      <c r="C319" s="548">
        <v>528.29999999999995</v>
      </c>
      <c r="D319" s="555">
        <v>-11.699999999999932</v>
      </c>
      <c r="E319" s="550"/>
      <c r="F319" s="553"/>
      <c r="G319" s="553"/>
      <c r="H319" s="553"/>
    </row>
    <row r="320" spans="1:8" ht="16.5" hidden="1" x14ac:dyDescent="0.25">
      <c r="A320" s="546">
        <v>41767</v>
      </c>
      <c r="B320" s="548">
        <v>924.98</v>
      </c>
      <c r="C320" s="548">
        <v>641.19000000000005</v>
      </c>
      <c r="D320" s="555">
        <v>283.78999999999996</v>
      </c>
      <c r="E320" s="550"/>
      <c r="F320" s="553"/>
      <c r="G320" s="553"/>
      <c r="H320" s="553"/>
    </row>
    <row r="321" spans="1:8" ht="16.5" hidden="1" x14ac:dyDescent="0.25">
      <c r="A321" s="546">
        <v>41798</v>
      </c>
      <c r="B321" s="548">
        <v>846.45</v>
      </c>
      <c r="C321" s="548">
        <v>784.9</v>
      </c>
      <c r="D321" s="555">
        <v>61.550000000000068</v>
      </c>
      <c r="E321" s="550"/>
      <c r="F321" s="553"/>
      <c r="G321" s="553"/>
      <c r="H321" s="553"/>
    </row>
    <row r="322" spans="1:8" ht="16.5" hidden="1" x14ac:dyDescent="0.25">
      <c r="A322" s="546">
        <v>41828</v>
      </c>
      <c r="B322" s="548">
        <v>330.4</v>
      </c>
      <c r="C322" s="548">
        <v>313.5</v>
      </c>
      <c r="D322" s="555">
        <v>16.899999999999977</v>
      </c>
      <c r="E322" s="550"/>
      <c r="F322" s="553"/>
      <c r="G322" s="553"/>
      <c r="H322" s="553"/>
    </row>
    <row r="323" spans="1:8" ht="16.5" hidden="1" x14ac:dyDescent="0.25">
      <c r="A323" s="546">
        <v>41859</v>
      </c>
      <c r="B323" s="548">
        <v>372.4</v>
      </c>
      <c r="C323" s="548">
        <v>544.79999999999995</v>
      </c>
      <c r="D323" s="555">
        <v>-172.39999999999998</v>
      </c>
      <c r="E323" s="550"/>
      <c r="F323" s="553"/>
      <c r="G323" s="553"/>
      <c r="H323" s="553"/>
    </row>
    <row r="324" spans="1:8" ht="16.5" hidden="1" x14ac:dyDescent="0.25">
      <c r="A324" s="546">
        <v>41890</v>
      </c>
      <c r="B324" s="548">
        <v>539.20000000000005</v>
      </c>
      <c r="C324" s="548">
        <v>515.16</v>
      </c>
      <c r="D324" s="555">
        <v>24.040000000000077</v>
      </c>
      <c r="E324" s="550"/>
      <c r="F324" s="553"/>
      <c r="G324" s="553"/>
      <c r="H324" s="553"/>
    </row>
    <row r="325" spans="1:8" ht="16.5" hidden="1" x14ac:dyDescent="0.25">
      <c r="A325" s="546">
        <v>41920</v>
      </c>
      <c r="B325" s="548">
        <v>442.86</v>
      </c>
      <c r="C325" s="548">
        <v>664.5</v>
      </c>
      <c r="D325" s="555">
        <v>-221.64</v>
      </c>
      <c r="E325" s="550"/>
      <c r="F325" s="553"/>
      <c r="G325" s="553"/>
      <c r="H325" s="553"/>
    </row>
    <row r="326" spans="1:8" ht="16.5" hidden="1" x14ac:dyDescent="0.25">
      <c r="A326" s="546">
        <v>41951</v>
      </c>
      <c r="B326" s="548">
        <v>359.09500000000003</v>
      </c>
      <c r="C326" s="548">
        <v>795.55</v>
      </c>
      <c r="D326" s="555">
        <v>-436.45499999999993</v>
      </c>
      <c r="E326" s="550"/>
      <c r="F326" s="553"/>
      <c r="G326" s="553"/>
      <c r="H326" s="553"/>
    </row>
    <row r="327" spans="1:8" ht="16.5" hidden="1" x14ac:dyDescent="0.25">
      <c r="A327" s="546">
        <v>41981</v>
      </c>
      <c r="B327" s="548">
        <v>216.4</v>
      </c>
      <c r="C327" s="548">
        <v>432.38</v>
      </c>
      <c r="D327" s="555">
        <v>-215.98</v>
      </c>
      <c r="E327" s="550"/>
      <c r="F327" s="553"/>
      <c r="G327" s="553"/>
      <c r="H327" s="553"/>
    </row>
    <row r="328" spans="1:8" ht="16.5" hidden="1" x14ac:dyDescent="0.25">
      <c r="A328" s="546">
        <v>42005</v>
      </c>
      <c r="B328" s="548">
        <v>221.6</v>
      </c>
      <c r="C328" s="548">
        <v>445.3</v>
      </c>
      <c r="D328" s="555">
        <v>-223.70000000000002</v>
      </c>
      <c r="E328" s="550"/>
      <c r="F328" s="553"/>
      <c r="G328" s="553"/>
      <c r="H328" s="553"/>
    </row>
    <row r="329" spans="1:8" ht="16.5" hidden="1" x14ac:dyDescent="0.25">
      <c r="A329" s="546">
        <v>42036</v>
      </c>
      <c r="B329" s="548">
        <v>232.3</v>
      </c>
      <c r="C329" s="548">
        <v>730.7</v>
      </c>
      <c r="D329" s="555">
        <v>-498.40000000000003</v>
      </c>
      <c r="E329" s="550"/>
      <c r="F329" s="553"/>
      <c r="G329" s="553"/>
      <c r="H329" s="553"/>
    </row>
    <row r="330" spans="1:8" ht="16.5" hidden="1" x14ac:dyDescent="0.25">
      <c r="A330" s="546">
        <v>42064</v>
      </c>
      <c r="B330" s="548">
        <v>268.5</v>
      </c>
      <c r="C330" s="548">
        <v>898.4</v>
      </c>
      <c r="D330" s="555">
        <v>-629.9</v>
      </c>
      <c r="E330" s="550"/>
      <c r="F330" s="553"/>
      <c r="G330" s="553"/>
      <c r="H330" s="553"/>
    </row>
    <row r="331" spans="1:8" ht="16.5" hidden="1" x14ac:dyDescent="0.25">
      <c r="A331" s="546">
        <v>42095</v>
      </c>
      <c r="B331" s="548">
        <v>424.5</v>
      </c>
      <c r="C331" s="548">
        <v>1610.7</v>
      </c>
      <c r="D331" s="555">
        <v>-1186.2</v>
      </c>
      <c r="E331" s="550"/>
      <c r="F331" s="553"/>
      <c r="G331" s="553"/>
      <c r="H331" s="553"/>
    </row>
    <row r="332" spans="1:8" ht="16.5" hidden="1" x14ac:dyDescent="0.25">
      <c r="A332" s="546">
        <v>42125</v>
      </c>
      <c r="B332" s="548">
        <v>316.79000000000002</v>
      </c>
      <c r="C332" s="548">
        <v>871.38900000000001</v>
      </c>
      <c r="D332" s="555">
        <v>-554.59899999999993</v>
      </c>
      <c r="E332" s="550"/>
      <c r="F332" s="553"/>
      <c r="G332" s="553"/>
      <c r="H332" s="553"/>
    </row>
    <row r="333" spans="1:8" ht="16.5" hidden="1" x14ac:dyDescent="0.25">
      <c r="A333" s="546">
        <v>42156</v>
      </c>
      <c r="B333" s="548">
        <v>223.7</v>
      </c>
      <c r="C333" s="548">
        <v>679.1</v>
      </c>
      <c r="D333" s="555">
        <v>-455.40000000000003</v>
      </c>
      <c r="E333" s="550"/>
      <c r="F333" s="553"/>
      <c r="G333" s="553"/>
      <c r="H333" s="553"/>
    </row>
    <row r="334" spans="1:8" ht="16.5" hidden="1" x14ac:dyDescent="0.25">
      <c r="A334" s="546">
        <v>42186</v>
      </c>
      <c r="B334" s="548">
        <v>299.5</v>
      </c>
      <c r="C334" s="548">
        <v>294.8</v>
      </c>
      <c r="D334" s="555">
        <v>4.6999999999999886</v>
      </c>
      <c r="E334" s="550"/>
      <c r="F334" s="553"/>
      <c r="G334" s="553"/>
      <c r="H334" s="553"/>
    </row>
    <row r="335" spans="1:8" ht="16.5" hidden="1" x14ac:dyDescent="0.25">
      <c r="A335" s="524">
        <v>42217</v>
      </c>
      <c r="B335" s="548">
        <v>252.7</v>
      </c>
      <c r="C335" s="548">
        <v>534.70000000000005</v>
      </c>
      <c r="D335" s="555">
        <v>-282.00000000000006</v>
      </c>
      <c r="E335" s="550"/>
      <c r="F335" s="553"/>
      <c r="G335" s="553"/>
      <c r="H335" s="553"/>
    </row>
    <row r="336" spans="1:8" ht="16.5" hidden="1" x14ac:dyDescent="0.25">
      <c r="A336" s="524">
        <v>42248</v>
      </c>
      <c r="B336" s="548">
        <v>355.57600000000002</v>
      </c>
      <c r="C336" s="548">
        <v>823.68700000000001</v>
      </c>
      <c r="D336" s="555">
        <v>-468.11099999999999</v>
      </c>
      <c r="E336" s="550"/>
      <c r="F336" s="553"/>
      <c r="G336" s="553"/>
      <c r="H336" s="553"/>
    </row>
    <row r="337" spans="1:8" ht="16.5" hidden="1" x14ac:dyDescent="0.25">
      <c r="A337" s="524">
        <v>42278</v>
      </c>
      <c r="B337" s="548">
        <v>480.72313200000002</v>
      </c>
      <c r="C337" s="548">
        <v>775.22100599999999</v>
      </c>
      <c r="D337" s="555">
        <v>-294.49787399999997</v>
      </c>
      <c r="E337" s="550"/>
      <c r="F337" s="553"/>
      <c r="G337" s="553"/>
      <c r="H337" s="553"/>
    </row>
    <row r="338" spans="1:8" ht="16.5" hidden="1" x14ac:dyDescent="0.25">
      <c r="A338" s="524">
        <v>42309</v>
      </c>
      <c r="B338" s="548">
        <v>277.5</v>
      </c>
      <c r="C338" s="548">
        <v>420.6</v>
      </c>
      <c r="D338" s="555">
        <v>-143.10000000000002</v>
      </c>
      <c r="E338" s="550"/>
      <c r="F338" s="559"/>
      <c r="G338" s="559"/>
      <c r="H338" s="559"/>
    </row>
    <row r="339" spans="1:8" ht="16.5" hidden="1" x14ac:dyDescent="0.25">
      <c r="A339" s="524">
        <v>42339</v>
      </c>
      <c r="B339" s="548">
        <v>987.9</v>
      </c>
      <c r="C339" s="548">
        <v>1231</v>
      </c>
      <c r="D339" s="555">
        <v>-243.10000000000002</v>
      </c>
      <c r="E339" s="550"/>
      <c r="F339" s="559"/>
      <c r="G339" s="559"/>
      <c r="H339" s="559"/>
    </row>
    <row r="340" spans="1:8" ht="16.5" hidden="1" x14ac:dyDescent="0.25">
      <c r="A340" s="524">
        <v>42370</v>
      </c>
      <c r="B340" s="548">
        <v>227.35</v>
      </c>
      <c r="C340" s="548">
        <v>272.8</v>
      </c>
      <c r="D340" s="555">
        <v>-45.450000000000017</v>
      </c>
      <c r="E340" s="550"/>
      <c r="F340" s="559"/>
      <c r="G340" s="559"/>
      <c r="H340" s="559"/>
    </row>
    <row r="341" spans="1:8" ht="16.5" hidden="1" x14ac:dyDescent="0.25">
      <c r="A341" s="524">
        <v>42401</v>
      </c>
      <c r="B341" s="548">
        <v>734.2</v>
      </c>
      <c r="C341" s="548">
        <v>686.38599999999997</v>
      </c>
      <c r="D341" s="555">
        <v>47.814000000000078</v>
      </c>
      <c r="E341" s="550"/>
      <c r="F341" s="553"/>
      <c r="G341" s="553"/>
      <c r="H341" s="553"/>
    </row>
    <row r="342" spans="1:8" ht="16.5" hidden="1" x14ac:dyDescent="0.25">
      <c r="A342" s="524">
        <v>42430</v>
      </c>
      <c r="B342" s="548">
        <v>329.8</v>
      </c>
      <c r="C342" s="548">
        <v>311.7</v>
      </c>
      <c r="D342" s="555">
        <v>18.100000000000023</v>
      </c>
      <c r="E342" s="550"/>
      <c r="F342" s="553"/>
      <c r="G342" s="553"/>
      <c r="H342" s="553"/>
    </row>
    <row r="343" spans="1:8" ht="16.5" hidden="1" x14ac:dyDescent="0.25">
      <c r="A343" s="524">
        <v>42461</v>
      </c>
      <c r="B343" s="548">
        <v>565.79999999999995</v>
      </c>
      <c r="C343" s="548">
        <v>422.1</v>
      </c>
      <c r="D343" s="555">
        <v>143.69999999999993</v>
      </c>
      <c r="E343" s="550"/>
      <c r="F343" s="553"/>
      <c r="G343" s="553"/>
      <c r="H343" s="553"/>
    </row>
    <row r="344" spans="1:8" ht="16.5" hidden="1" x14ac:dyDescent="0.25">
      <c r="A344" s="524">
        <v>42491</v>
      </c>
      <c r="B344" s="548">
        <v>158.65</v>
      </c>
      <c r="C344" s="548">
        <v>201.6</v>
      </c>
      <c r="D344" s="555">
        <v>-42.949999999999989</v>
      </c>
      <c r="E344" s="550"/>
      <c r="F344" s="553"/>
      <c r="G344" s="553"/>
      <c r="H344" s="553"/>
    </row>
    <row r="345" spans="1:8" ht="16.5" hidden="1" x14ac:dyDescent="0.25">
      <c r="A345" s="524">
        <v>42522</v>
      </c>
      <c r="B345" s="548">
        <v>274.39999999999998</v>
      </c>
      <c r="C345" s="548">
        <v>358.98</v>
      </c>
      <c r="D345" s="555">
        <v>-84.580000000000041</v>
      </c>
      <c r="E345" s="550"/>
      <c r="F345" s="553"/>
      <c r="G345" s="553"/>
      <c r="H345" s="553"/>
    </row>
    <row r="346" spans="1:8" ht="16.5" hidden="1" x14ac:dyDescent="0.25">
      <c r="A346" s="524">
        <v>42552</v>
      </c>
      <c r="B346" s="548">
        <v>186.06</v>
      </c>
      <c r="C346" s="548">
        <v>638.99</v>
      </c>
      <c r="D346" s="555">
        <v>-452.93</v>
      </c>
      <c r="E346" s="550"/>
      <c r="F346" s="553"/>
      <c r="G346" s="553"/>
      <c r="H346" s="553"/>
    </row>
    <row r="347" spans="1:8" ht="16.5" hidden="1" x14ac:dyDescent="0.25">
      <c r="A347" s="524">
        <v>42583</v>
      </c>
      <c r="B347" s="548">
        <v>264.39999999999998</v>
      </c>
      <c r="C347" s="548">
        <v>590.79999999999995</v>
      </c>
      <c r="D347" s="555">
        <v>-326.39999999999998</v>
      </c>
      <c r="E347" s="550"/>
      <c r="F347" s="553"/>
      <c r="G347" s="553"/>
      <c r="H347" s="553"/>
    </row>
    <row r="348" spans="1:8" ht="16.5" hidden="1" x14ac:dyDescent="0.25">
      <c r="A348" s="524">
        <v>42614</v>
      </c>
      <c r="B348" s="548">
        <v>510.3</v>
      </c>
      <c r="C348" s="548">
        <v>677.85</v>
      </c>
      <c r="D348" s="555">
        <v>-167.55</v>
      </c>
      <c r="E348" s="550"/>
      <c r="F348" s="553"/>
      <c r="G348" s="553"/>
      <c r="H348" s="553"/>
    </row>
    <row r="349" spans="1:8" ht="16.5" hidden="1" x14ac:dyDescent="0.25">
      <c r="A349" s="524">
        <v>42644</v>
      </c>
      <c r="B349" s="548">
        <v>214.3</v>
      </c>
      <c r="C349" s="548">
        <v>420.8</v>
      </c>
      <c r="D349" s="555">
        <v>-206.5</v>
      </c>
      <c r="E349" s="550"/>
      <c r="F349" s="553"/>
      <c r="G349" s="553"/>
      <c r="H349" s="553"/>
    </row>
    <row r="350" spans="1:8" ht="16.5" hidden="1" x14ac:dyDescent="0.25">
      <c r="A350" s="524">
        <v>42675</v>
      </c>
      <c r="B350" s="548">
        <v>333.67</v>
      </c>
      <c r="C350" s="548">
        <v>533.6</v>
      </c>
      <c r="D350" s="555">
        <v>-199.93</v>
      </c>
      <c r="E350" s="550"/>
      <c r="F350" s="553"/>
      <c r="G350" s="553"/>
      <c r="H350" s="553"/>
    </row>
    <row r="351" spans="1:8" ht="16.5" hidden="1" x14ac:dyDescent="0.25">
      <c r="A351" s="524">
        <v>42705</v>
      </c>
      <c r="B351" s="548">
        <v>225.9</v>
      </c>
      <c r="C351" s="548">
        <v>202.4</v>
      </c>
      <c r="D351" s="555">
        <v>23.5</v>
      </c>
      <c r="E351" s="550"/>
      <c r="F351" s="553"/>
      <c r="G351" s="553"/>
      <c r="H351" s="553"/>
    </row>
    <row r="352" spans="1:8" ht="16.5" hidden="1" x14ac:dyDescent="0.25">
      <c r="A352" s="524">
        <v>42736</v>
      </c>
      <c r="B352" s="548">
        <v>184.4</v>
      </c>
      <c r="C352" s="548">
        <v>265.60000000000002</v>
      </c>
      <c r="D352" s="555">
        <v>-81.200000000000017</v>
      </c>
      <c r="E352" s="550"/>
      <c r="F352" s="553"/>
      <c r="G352" s="553"/>
      <c r="H352" s="553"/>
    </row>
    <row r="353" spans="1:8" ht="16.5" hidden="1" x14ac:dyDescent="0.25">
      <c r="A353" s="524">
        <v>42767</v>
      </c>
      <c r="B353" s="548">
        <v>273.76</v>
      </c>
      <c r="C353" s="548">
        <v>312.25</v>
      </c>
      <c r="D353" s="555">
        <v>-38.490000000000009</v>
      </c>
      <c r="E353" s="550"/>
      <c r="F353" s="553"/>
      <c r="G353" s="553"/>
      <c r="H353" s="553"/>
    </row>
    <row r="354" spans="1:8" ht="16.5" hidden="1" x14ac:dyDescent="0.25">
      <c r="A354" s="524">
        <v>42795</v>
      </c>
      <c r="B354" s="548">
        <v>280.2</v>
      </c>
      <c r="C354" s="548">
        <v>887.9</v>
      </c>
      <c r="D354" s="555">
        <v>-607.70000000000005</v>
      </c>
      <c r="E354" s="550"/>
      <c r="F354" s="553"/>
      <c r="G354" s="553"/>
      <c r="H354" s="553"/>
    </row>
    <row r="355" spans="1:8" ht="16.5" hidden="1" x14ac:dyDescent="0.25">
      <c r="A355" s="524">
        <v>42826</v>
      </c>
      <c r="B355" s="548">
        <v>527</v>
      </c>
      <c r="C355" s="548">
        <v>250.2</v>
      </c>
      <c r="D355" s="555">
        <v>276.8</v>
      </c>
      <c r="E355" s="550"/>
      <c r="F355" s="553"/>
      <c r="G355" s="553"/>
      <c r="H355" s="553"/>
    </row>
    <row r="356" spans="1:8" ht="16.5" hidden="1" x14ac:dyDescent="0.25">
      <c r="A356" s="524">
        <v>42856</v>
      </c>
      <c r="B356" s="548">
        <v>301.60000000000002</v>
      </c>
      <c r="C356" s="548">
        <v>241.16800000000001</v>
      </c>
      <c r="D356" s="555">
        <v>60.432000000000016</v>
      </c>
      <c r="E356" s="550"/>
      <c r="F356" s="553"/>
      <c r="G356" s="553"/>
      <c r="H356" s="553"/>
    </row>
    <row r="357" spans="1:8" ht="16.5" hidden="1" x14ac:dyDescent="0.25">
      <c r="A357" s="524">
        <v>42887</v>
      </c>
      <c r="B357" s="548">
        <v>358.7</v>
      </c>
      <c r="C357" s="548">
        <v>807</v>
      </c>
      <c r="D357" s="555">
        <v>-448.3</v>
      </c>
      <c r="E357" s="550"/>
      <c r="F357" s="553"/>
      <c r="G357" s="553"/>
      <c r="H357" s="553"/>
    </row>
    <row r="358" spans="1:8" ht="16.5" hidden="1" x14ac:dyDescent="0.25">
      <c r="A358" s="524">
        <v>42917</v>
      </c>
      <c r="B358" s="548">
        <v>427.7</v>
      </c>
      <c r="C358" s="548">
        <v>322.8</v>
      </c>
      <c r="D358" s="555">
        <v>104.89999999999998</v>
      </c>
      <c r="E358" s="550"/>
      <c r="F358" s="553"/>
      <c r="G358" s="553"/>
      <c r="H358" s="553"/>
    </row>
    <row r="359" spans="1:8" ht="16.5" hidden="1" x14ac:dyDescent="0.25">
      <c r="A359" s="524">
        <v>42948</v>
      </c>
      <c r="B359" s="548">
        <v>761.8</v>
      </c>
      <c r="C359" s="548">
        <v>579.20000000000005</v>
      </c>
      <c r="D359" s="555">
        <v>182.59999999999991</v>
      </c>
      <c r="E359" s="550"/>
      <c r="F359" s="553"/>
      <c r="G359" s="553"/>
      <c r="H359" s="553"/>
    </row>
    <row r="360" spans="1:8" ht="16.5" hidden="1" x14ac:dyDescent="0.25">
      <c r="A360" s="524">
        <v>42979</v>
      </c>
      <c r="B360" s="548">
        <v>626.6</v>
      </c>
      <c r="C360" s="548">
        <v>676.8</v>
      </c>
      <c r="D360" s="555">
        <v>-50.199999999999932</v>
      </c>
      <c r="E360" s="550"/>
      <c r="F360" s="553"/>
      <c r="G360" s="553"/>
      <c r="H360" s="553"/>
    </row>
    <row r="361" spans="1:8" ht="16.5" hidden="1" x14ac:dyDescent="0.25">
      <c r="A361" s="524">
        <v>43009</v>
      </c>
      <c r="B361" s="548">
        <v>508.95111316000003</v>
      </c>
      <c r="C361" s="548">
        <v>744.55372396000007</v>
      </c>
      <c r="D361" s="555">
        <v>-235.60261080000004</v>
      </c>
      <c r="E361" s="550"/>
      <c r="F361" s="553"/>
      <c r="G361" s="553"/>
      <c r="H361" s="553"/>
    </row>
    <row r="362" spans="1:8" ht="16.5" hidden="1" x14ac:dyDescent="0.25">
      <c r="A362" s="524">
        <v>43040</v>
      </c>
      <c r="B362" s="548">
        <v>147.17636619000001</v>
      </c>
      <c r="C362" s="548">
        <v>506.27438144000001</v>
      </c>
      <c r="D362" s="555">
        <v>-359.09801525</v>
      </c>
      <c r="E362" s="550"/>
      <c r="F362" s="553"/>
      <c r="G362" s="553"/>
      <c r="H362" s="553"/>
    </row>
    <row r="363" spans="1:8" ht="16.5" hidden="1" x14ac:dyDescent="0.25">
      <c r="A363" s="524">
        <v>43070</v>
      </c>
      <c r="B363" s="548">
        <v>428.8</v>
      </c>
      <c r="C363" s="548">
        <v>687.5</v>
      </c>
      <c r="D363" s="555">
        <v>-258.7</v>
      </c>
      <c r="E363" s="550"/>
      <c r="F363" s="553"/>
      <c r="G363" s="553"/>
      <c r="H363" s="553"/>
    </row>
    <row r="364" spans="1:8" ht="16.5" hidden="1" x14ac:dyDescent="0.25">
      <c r="A364" s="524">
        <v>43101</v>
      </c>
      <c r="B364" s="548">
        <v>163.69956866999999</v>
      </c>
      <c r="C364" s="548">
        <v>158.84555512</v>
      </c>
      <c r="D364" s="555">
        <v>4.8540135499999906</v>
      </c>
      <c r="E364" s="550"/>
      <c r="F364" s="553"/>
      <c r="H364" s="553"/>
    </row>
    <row r="365" spans="1:8" ht="16.5" hidden="1" x14ac:dyDescent="0.25">
      <c r="A365" s="524">
        <v>43132</v>
      </c>
      <c r="B365" s="548">
        <v>214.9</v>
      </c>
      <c r="C365" s="548">
        <v>330</v>
      </c>
      <c r="D365" s="555">
        <v>-115.1</v>
      </c>
      <c r="E365" s="550"/>
      <c r="F365" s="553"/>
      <c r="G365" s="553"/>
      <c r="H365" s="553"/>
    </row>
    <row r="366" spans="1:8" ht="16.5" hidden="1" x14ac:dyDescent="0.25">
      <c r="A366" s="524">
        <v>43160</v>
      </c>
      <c r="B366" s="548">
        <v>176.17088856000001</v>
      </c>
      <c r="C366" s="548">
        <v>213.54689044</v>
      </c>
      <c r="D366" s="555">
        <v>-37.37600187999999</v>
      </c>
      <c r="E366" s="550"/>
      <c r="F366" s="553"/>
      <c r="G366" s="553"/>
      <c r="H366" s="553"/>
    </row>
    <row r="367" spans="1:8" ht="16.5" hidden="1" x14ac:dyDescent="0.25">
      <c r="A367" s="524">
        <v>43191</v>
      </c>
      <c r="B367" s="548">
        <v>314.86257048000004</v>
      </c>
      <c r="C367" s="548">
        <v>248.25234823</v>
      </c>
      <c r="D367" s="555">
        <v>66.610222250000049</v>
      </c>
      <c r="E367" s="550"/>
      <c r="F367" s="553"/>
      <c r="G367" s="553"/>
      <c r="H367" s="553"/>
    </row>
    <row r="368" spans="1:8" ht="16.5" hidden="1" x14ac:dyDescent="0.25">
      <c r="A368" s="524">
        <v>43221</v>
      </c>
      <c r="B368" s="556">
        <v>289.56337730000001</v>
      </c>
      <c r="C368" s="556">
        <v>463.47694624000002</v>
      </c>
      <c r="D368" s="555">
        <v>-173.91356894</v>
      </c>
      <c r="E368" s="550"/>
      <c r="F368" s="553"/>
      <c r="G368" s="553"/>
      <c r="H368" s="553"/>
    </row>
    <row r="369" spans="1:8" ht="16.5" hidden="1" x14ac:dyDescent="0.25">
      <c r="A369" s="524">
        <v>43252</v>
      </c>
      <c r="B369" s="548">
        <v>164.34553600000001</v>
      </c>
      <c r="C369" s="548">
        <v>678.257836</v>
      </c>
      <c r="D369" s="555">
        <v>-513.91229999999996</v>
      </c>
      <c r="E369" s="550"/>
      <c r="F369" s="553"/>
      <c r="G369" s="553"/>
      <c r="H369" s="553"/>
    </row>
    <row r="370" spans="1:8" ht="16.5" hidden="1" x14ac:dyDescent="0.25">
      <c r="A370" s="524">
        <v>43282</v>
      </c>
      <c r="B370" s="548">
        <v>253.28813493000001</v>
      </c>
      <c r="C370" s="548">
        <v>768.13122389</v>
      </c>
      <c r="D370" s="555">
        <v>-514.84308895999993</v>
      </c>
      <c r="E370" s="550"/>
    </row>
    <row r="371" spans="1:8" ht="16.5" hidden="1" x14ac:dyDescent="0.25">
      <c r="A371" s="524">
        <v>43313</v>
      </c>
      <c r="B371" s="548">
        <v>175.8</v>
      </c>
      <c r="C371" s="548">
        <v>421.4</v>
      </c>
      <c r="D371" s="555">
        <v>-245.59999999999997</v>
      </c>
      <c r="E371" s="550"/>
    </row>
    <row r="372" spans="1:8" ht="16.5" hidden="1" x14ac:dyDescent="0.25">
      <c r="A372" s="524">
        <v>43344</v>
      </c>
      <c r="B372" s="548">
        <v>243.54948572999999</v>
      </c>
      <c r="C372" s="548">
        <v>502.39480193000003</v>
      </c>
      <c r="D372" s="555">
        <v>-258.84531620000001</v>
      </c>
      <c r="E372" s="550"/>
    </row>
    <row r="373" spans="1:8" ht="16.5" hidden="1" x14ac:dyDescent="0.25">
      <c r="A373" s="524">
        <v>43374</v>
      </c>
      <c r="B373" s="548">
        <v>304.76623125999998</v>
      </c>
      <c r="C373" s="548">
        <v>382.50753410999999</v>
      </c>
      <c r="D373" s="555">
        <v>-77.741302850000025</v>
      </c>
      <c r="E373" s="550"/>
    </row>
    <row r="374" spans="1:8" ht="16.5" hidden="1" x14ac:dyDescent="0.25">
      <c r="A374" s="524">
        <v>43405</v>
      </c>
      <c r="B374" s="548">
        <v>267.94366561999999</v>
      </c>
      <c r="C374" s="548">
        <v>310.56397023</v>
      </c>
      <c r="D374" s="555">
        <v>-42.620304610000005</v>
      </c>
      <c r="E374" s="550"/>
    </row>
    <row r="375" spans="1:8" ht="16.5" hidden="1" x14ac:dyDescent="0.25">
      <c r="A375" s="524">
        <v>43435</v>
      </c>
      <c r="B375" s="548">
        <v>367.32497288999997</v>
      </c>
      <c r="C375" s="548">
        <v>669.86459102999993</v>
      </c>
      <c r="D375" s="555">
        <v>-302.53961813999996</v>
      </c>
      <c r="E375" s="550"/>
    </row>
    <row r="376" spans="1:8" ht="16.5" hidden="1" x14ac:dyDescent="0.25">
      <c r="A376" s="524">
        <v>43466</v>
      </c>
      <c r="B376" s="548">
        <v>250.01246903999998</v>
      </c>
      <c r="C376" s="548">
        <v>301.93385665</v>
      </c>
      <c r="D376" s="555">
        <v>-51.921387609999996</v>
      </c>
      <c r="E376" s="550"/>
    </row>
    <row r="377" spans="1:8" ht="16.5" hidden="1" x14ac:dyDescent="0.25">
      <c r="A377" s="524">
        <v>43497</v>
      </c>
      <c r="B377" s="548">
        <v>1080.8</v>
      </c>
      <c r="C377" s="548">
        <v>1305.9000000000001</v>
      </c>
      <c r="D377" s="555">
        <v>-225.1</v>
      </c>
      <c r="E377" s="550"/>
    </row>
    <row r="378" spans="1:8" ht="16.5" hidden="1" x14ac:dyDescent="0.25">
      <c r="A378" s="524">
        <v>43525</v>
      </c>
      <c r="B378" s="548">
        <v>546.18642484000009</v>
      </c>
      <c r="C378" s="548">
        <v>708.79133571</v>
      </c>
      <c r="D378" s="555">
        <v>-162.60491087</v>
      </c>
      <c r="E378" s="550"/>
    </row>
    <row r="379" spans="1:8" ht="16.5" hidden="1" x14ac:dyDescent="0.25">
      <c r="A379" s="524">
        <v>43556</v>
      </c>
      <c r="B379" s="548">
        <v>363.12925673000001</v>
      </c>
      <c r="C379" s="548">
        <v>559.92395619000001</v>
      </c>
      <c r="D379" s="555">
        <v>-196.79469946000003</v>
      </c>
      <c r="E379" s="550"/>
    </row>
    <row r="380" spans="1:8" ht="16.5" hidden="1" x14ac:dyDescent="0.2">
      <c r="A380" s="524">
        <v>43586</v>
      </c>
      <c r="B380" s="548">
        <v>175.72877995999997</v>
      </c>
      <c r="C380" s="548">
        <v>364.86919901999994</v>
      </c>
      <c r="D380" s="555">
        <v>-189.14041905999997</v>
      </c>
      <c r="E380" s="550"/>
      <c r="F380" s="560"/>
      <c r="G380" s="553"/>
      <c r="H380" s="561"/>
    </row>
    <row r="381" spans="1:8" ht="16.5" hidden="1" x14ac:dyDescent="0.2">
      <c r="A381" s="524">
        <v>43617</v>
      </c>
      <c r="B381" s="548">
        <v>117.97682239</v>
      </c>
      <c r="C381" s="548">
        <v>319.51484075000002</v>
      </c>
      <c r="D381" s="555">
        <v>-201.53801836000002</v>
      </c>
      <c r="E381" s="550"/>
      <c r="F381" s="560"/>
      <c r="G381" s="553"/>
      <c r="H381" s="561"/>
    </row>
    <row r="382" spans="1:8" ht="16.5" hidden="1" x14ac:dyDescent="0.2">
      <c r="A382" s="524">
        <v>43647</v>
      </c>
      <c r="B382" s="548">
        <v>461.35330399999998</v>
      </c>
      <c r="C382" s="548">
        <v>660.04945999999995</v>
      </c>
      <c r="D382" s="555">
        <v>-198.69615599999997</v>
      </c>
      <c r="E382" s="550"/>
      <c r="F382" s="560"/>
      <c r="G382" s="553"/>
      <c r="H382" s="561"/>
    </row>
    <row r="383" spans="1:8" ht="16.5" hidden="1" x14ac:dyDescent="0.2">
      <c r="A383" s="524">
        <v>43678</v>
      </c>
      <c r="B383" s="548">
        <v>589.6</v>
      </c>
      <c r="C383" s="548">
        <v>750.3</v>
      </c>
      <c r="D383" s="555">
        <v>-160.69999999999993</v>
      </c>
      <c r="E383" s="550"/>
      <c r="F383" s="560"/>
      <c r="G383" s="553"/>
      <c r="H383" s="561"/>
    </row>
    <row r="384" spans="1:8" ht="16.5" hidden="1" x14ac:dyDescent="0.2">
      <c r="A384" s="524">
        <v>43709</v>
      </c>
      <c r="B384" s="548">
        <v>252.41364633000001</v>
      </c>
      <c r="C384" s="548">
        <v>452.88127608999997</v>
      </c>
      <c r="D384" s="555">
        <v>-200.46762975999997</v>
      </c>
      <c r="E384" s="550"/>
      <c r="F384" s="560"/>
      <c r="G384" s="553"/>
      <c r="H384" s="561"/>
    </row>
    <row r="385" spans="1:8" ht="16.5" hidden="1" x14ac:dyDescent="0.2">
      <c r="A385" s="524">
        <v>43739</v>
      </c>
      <c r="B385" s="548">
        <v>341.91895273</v>
      </c>
      <c r="C385" s="548">
        <v>399.51268721999998</v>
      </c>
      <c r="D385" s="555">
        <v>-57.593734489999974</v>
      </c>
      <c r="E385" s="550"/>
      <c r="F385" s="560"/>
      <c r="G385" s="553"/>
      <c r="H385" s="561"/>
    </row>
    <row r="386" spans="1:8" ht="16.5" hidden="1" x14ac:dyDescent="0.2">
      <c r="A386" s="524">
        <v>43770</v>
      </c>
      <c r="B386" s="548">
        <v>148.64693626999997</v>
      </c>
      <c r="C386" s="548">
        <v>238.63695158000002</v>
      </c>
      <c r="D386" s="555">
        <v>-89.990015310000047</v>
      </c>
      <c r="E386" s="550"/>
      <c r="F386" s="560"/>
      <c r="G386" s="553"/>
      <c r="H386" s="561"/>
    </row>
    <row r="387" spans="1:8" ht="16.5" hidden="1" x14ac:dyDescent="0.2">
      <c r="A387" s="524">
        <v>43800</v>
      </c>
      <c r="B387" s="548">
        <v>168.30112600000001</v>
      </c>
      <c r="C387" s="548">
        <v>204.30930824000001</v>
      </c>
      <c r="D387" s="555">
        <v>-36.008182239999996</v>
      </c>
      <c r="E387" s="550"/>
      <c r="F387" s="560"/>
      <c r="G387" s="553"/>
      <c r="H387" s="561"/>
    </row>
    <row r="388" spans="1:8" ht="16.5" hidden="1" x14ac:dyDescent="0.2">
      <c r="A388" s="524">
        <v>43831</v>
      </c>
      <c r="B388" s="548">
        <v>145.75920266</v>
      </c>
      <c r="C388" s="548">
        <v>250.67246011</v>
      </c>
      <c r="D388" s="555">
        <v>-104.91325745</v>
      </c>
      <c r="E388" s="550"/>
      <c r="F388" s="560"/>
      <c r="G388" s="553"/>
      <c r="H388" s="561"/>
    </row>
    <row r="389" spans="1:8" ht="16.5" hidden="1" x14ac:dyDescent="0.2">
      <c r="A389" s="524">
        <v>43862</v>
      </c>
      <c r="B389" s="548">
        <v>160.84890891999999</v>
      </c>
      <c r="C389" s="548">
        <v>415.3447185</v>
      </c>
      <c r="D389" s="555">
        <v>-254.49580958000001</v>
      </c>
      <c r="E389" s="550"/>
      <c r="F389" s="560"/>
      <c r="G389" s="553"/>
      <c r="H389" s="561"/>
    </row>
    <row r="390" spans="1:8" ht="16.5" hidden="1" x14ac:dyDescent="0.2">
      <c r="A390" s="524">
        <v>43891</v>
      </c>
      <c r="B390" s="548">
        <v>166.38438112</v>
      </c>
      <c r="C390" s="548">
        <v>626.22916894000002</v>
      </c>
      <c r="D390" s="555">
        <v>-459.84478782000002</v>
      </c>
      <c r="E390" s="550"/>
      <c r="F390" s="560"/>
      <c r="G390" s="553"/>
      <c r="H390" s="561"/>
    </row>
    <row r="391" spans="1:8" ht="16.5" hidden="1" x14ac:dyDescent="0.2">
      <c r="A391" s="524">
        <v>43922</v>
      </c>
      <c r="B391" s="548">
        <v>158.85770421999999</v>
      </c>
      <c r="C391" s="548">
        <v>445.84691133999996</v>
      </c>
      <c r="D391" s="555">
        <v>-286.98920712</v>
      </c>
      <c r="E391" s="550"/>
      <c r="F391" s="560"/>
      <c r="G391" s="553"/>
      <c r="H391" s="561"/>
    </row>
    <row r="392" spans="1:8" ht="16.5" hidden="1" x14ac:dyDescent="0.25">
      <c r="A392" s="524">
        <v>43952</v>
      </c>
      <c r="B392" s="548">
        <v>96.384426290000007</v>
      </c>
      <c r="C392" s="548">
        <v>186.81947284</v>
      </c>
      <c r="D392" s="555">
        <v>-90.435046549999996</v>
      </c>
      <c r="E392" s="550"/>
      <c r="H392" s="561"/>
    </row>
    <row r="393" spans="1:8" ht="16.5" hidden="1" x14ac:dyDescent="0.2">
      <c r="A393" s="524">
        <v>43983</v>
      </c>
      <c r="B393" s="548">
        <v>164.12794043</v>
      </c>
      <c r="C393" s="548">
        <v>364.41533373000004</v>
      </c>
      <c r="D393" s="555">
        <v>-200.28739330000002</v>
      </c>
      <c r="E393" s="550"/>
      <c r="F393" s="560"/>
      <c r="G393" s="553"/>
      <c r="H393" s="561"/>
    </row>
    <row r="394" spans="1:8" ht="16.5" hidden="1" x14ac:dyDescent="0.2">
      <c r="A394" s="524">
        <v>44013</v>
      </c>
      <c r="B394" s="548">
        <v>846.09347446000004</v>
      </c>
      <c r="C394" s="548">
        <v>1230.1873005799998</v>
      </c>
      <c r="D394" s="555">
        <v>-384.0938261199999</v>
      </c>
      <c r="E394" s="550"/>
      <c r="F394" s="560"/>
      <c r="H394" s="545"/>
    </row>
    <row r="395" spans="1:8" ht="16.5" hidden="1" x14ac:dyDescent="0.2">
      <c r="A395" s="524">
        <v>44044</v>
      </c>
      <c r="B395" s="548">
        <v>1758.4613597800001</v>
      </c>
      <c r="C395" s="548">
        <v>1864.95180121</v>
      </c>
      <c r="D395" s="555">
        <v>-106.49044143000006</v>
      </c>
      <c r="E395" s="550"/>
      <c r="F395" s="560"/>
      <c r="H395" s="545"/>
    </row>
    <row r="396" spans="1:8" ht="16.5" hidden="1" x14ac:dyDescent="0.2">
      <c r="A396" s="524">
        <v>44075</v>
      </c>
      <c r="B396" s="548">
        <v>175.32535059</v>
      </c>
      <c r="C396" s="548">
        <v>282.86659758999997</v>
      </c>
      <c r="D396" s="555">
        <v>-107.54124699999997</v>
      </c>
      <c r="E396" s="550"/>
      <c r="F396" s="560"/>
      <c r="H396" s="545"/>
    </row>
    <row r="397" spans="1:8" ht="16.5" hidden="1" x14ac:dyDescent="0.2">
      <c r="A397" s="524">
        <v>44105</v>
      </c>
      <c r="B397" s="548">
        <v>67.83185872</v>
      </c>
      <c r="C397" s="548">
        <v>183.78849277</v>
      </c>
      <c r="D397" s="555">
        <v>-115.95663405000001</v>
      </c>
      <c r="E397" s="550"/>
      <c r="F397" s="560"/>
      <c r="H397" s="545"/>
    </row>
    <row r="398" spans="1:8" ht="16.5" hidden="1" x14ac:dyDescent="0.2">
      <c r="A398" s="524">
        <v>44136</v>
      </c>
      <c r="B398" s="548">
        <v>210.80748795</v>
      </c>
      <c r="C398" s="548">
        <v>160.16052164999999</v>
      </c>
      <c r="D398" s="555">
        <v>50.646966299999981</v>
      </c>
      <c r="E398" s="550"/>
      <c r="F398" s="560"/>
      <c r="H398" s="545"/>
    </row>
    <row r="399" spans="1:8" ht="16.5" hidden="1" x14ac:dyDescent="0.2">
      <c r="A399" s="524">
        <v>44166</v>
      </c>
      <c r="B399" s="548">
        <v>139.16891934</v>
      </c>
      <c r="C399" s="548">
        <v>169.6396259</v>
      </c>
      <c r="D399" s="555">
        <v>-30.470706560000004</v>
      </c>
      <c r="E399" s="550"/>
      <c r="F399" s="560"/>
      <c r="H399" s="545"/>
    </row>
    <row r="400" spans="1:8" ht="16.5" hidden="1" x14ac:dyDescent="0.2">
      <c r="A400" s="524">
        <v>44197</v>
      </c>
      <c r="B400" s="548">
        <v>101.08099918000001</v>
      </c>
      <c r="C400" s="548">
        <v>310.21439637999998</v>
      </c>
      <c r="D400" s="555">
        <v>-209.13339719999999</v>
      </c>
      <c r="E400" s="550"/>
      <c r="F400" s="560"/>
      <c r="H400" s="545"/>
    </row>
    <row r="401" spans="1:8" ht="16.5" hidden="1" x14ac:dyDescent="0.2">
      <c r="A401" s="524">
        <v>44228</v>
      </c>
      <c r="B401" s="548">
        <v>336.99862200000001</v>
      </c>
      <c r="C401" s="548">
        <v>337.09988282999996</v>
      </c>
      <c r="D401" s="555">
        <v>-0.10126082999998332</v>
      </c>
      <c r="E401" s="550"/>
      <c r="F401" s="560"/>
      <c r="H401" s="545"/>
    </row>
    <row r="402" spans="1:8" ht="16.5" hidden="1" x14ac:dyDescent="0.2">
      <c r="A402" s="524">
        <v>44256</v>
      </c>
      <c r="B402" s="548">
        <v>638.53544831000022</v>
      </c>
      <c r="C402" s="548">
        <v>847.48317842000017</v>
      </c>
      <c r="D402" s="555">
        <v>-208.94773010999995</v>
      </c>
      <c r="E402" s="550"/>
      <c r="F402" s="560"/>
      <c r="H402" s="545"/>
    </row>
    <row r="403" spans="1:8" ht="16.5" hidden="1" x14ac:dyDescent="0.2">
      <c r="A403" s="524">
        <v>44287</v>
      </c>
      <c r="B403" s="548">
        <v>111.79326396999997</v>
      </c>
      <c r="C403" s="548">
        <v>154.88396629000002</v>
      </c>
      <c r="D403" s="555">
        <v>-43.090702320000055</v>
      </c>
      <c r="E403" s="550"/>
      <c r="F403" s="560"/>
      <c r="H403" s="545"/>
    </row>
    <row r="404" spans="1:8" ht="16.5" hidden="1" x14ac:dyDescent="0.2">
      <c r="A404" s="524">
        <v>44317</v>
      </c>
      <c r="B404" s="548">
        <v>90.236932599999989</v>
      </c>
      <c r="C404" s="548">
        <v>137.31930266999998</v>
      </c>
      <c r="D404" s="555">
        <v>-47.082370069999996</v>
      </c>
      <c r="E404" s="550"/>
      <c r="F404" s="560"/>
      <c r="H404" s="545"/>
    </row>
    <row r="405" spans="1:8" ht="16.5" hidden="1" x14ac:dyDescent="0.2">
      <c r="A405" s="524">
        <v>44348</v>
      </c>
      <c r="B405" s="548">
        <v>160.84219200000001</v>
      </c>
      <c r="C405" s="548">
        <v>376.45302900000002</v>
      </c>
      <c r="D405" s="555">
        <v>-215.610837</v>
      </c>
      <c r="E405" s="550"/>
      <c r="F405" s="560"/>
      <c r="H405" s="545"/>
    </row>
    <row r="406" spans="1:8" ht="16.5" hidden="1" x14ac:dyDescent="0.2">
      <c r="A406" s="524">
        <v>44378</v>
      </c>
      <c r="B406" s="548">
        <v>178.19344776</v>
      </c>
      <c r="C406" s="548">
        <v>261.31608412000003</v>
      </c>
      <c r="D406" s="555">
        <v>-83.12263636000003</v>
      </c>
      <c r="E406" s="550"/>
      <c r="F406" s="562"/>
      <c r="H406" s="545"/>
    </row>
    <row r="407" spans="1:8" ht="16.5" hidden="1" x14ac:dyDescent="0.2">
      <c r="A407" s="524">
        <v>44409</v>
      </c>
      <c r="B407" s="548">
        <v>95.451262839999998</v>
      </c>
      <c r="C407" s="548">
        <v>313.68103269</v>
      </c>
      <c r="D407" s="555">
        <v>-218.22976985</v>
      </c>
      <c r="E407" s="550"/>
      <c r="F407" s="562"/>
      <c r="H407" s="545"/>
    </row>
    <row r="408" spans="1:8" ht="16.5" hidden="1" x14ac:dyDescent="0.2">
      <c r="A408" s="524">
        <v>44440</v>
      </c>
      <c r="B408" s="548">
        <v>77.434746000000004</v>
      </c>
      <c r="C408" s="548">
        <v>253.50026</v>
      </c>
      <c r="D408" s="555">
        <v>-176.06551400000001</v>
      </c>
      <c r="E408" s="550"/>
      <c r="F408" s="562"/>
      <c r="H408" s="545"/>
    </row>
    <row r="409" spans="1:8" ht="16.5" hidden="1" x14ac:dyDescent="0.2">
      <c r="A409" s="524">
        <v>44470</v>
      </c>
      <c r="B409" s="548">
        <v>64.885806970000004</v>
      </c>
      <c r="C409" s="548">
        <v>253.35197184</v>
      </c>
      <c r="D409" s="555">
        <v>-188.46616487</v>
      </c>
      <c r="E409" s="550"/>
      <c r="F409" s="562"/>
      <c r="H409" s="545"/>
    </row>
    <row r="410" spans="1:8" ht="16.5" hidden="1" x14ac:dyDescent="0.2">
      <c r="A410" s="524">
        <v>44501</v>
      </c>
      <c r="B410" s="548">
        <v>152.56876278999999</v>
      </c>
      <c r="C410" s="548">
        <v>509.00436411000004</v>
      </c>
      <c r="D410" s="555">
        <v>-356.43560132000005</v>
      </c>
      <c r="E410" s="550"/>
      <c r="F410" s="562"/>
      <c r="H410" s="545"/>
    </row>
    <row r="411" spans="1:8" ht="16.5" hidden="1" x14ac:dyDescent="0.2">
      <c r="A411" s="524">
        <v>44531</v>
      </c>
      <c r="B411" s="548">
        <v>59.349992890000003</v>
      </c>
      <c r="C411" s="548">
        <v>381.20299610000001</v>
      </c>
      <c r="D411" s="555">
        <v>-321.85300321</v>
      </c>
      <c r="E411" s="550"/>
      <c r="F411" s="562"/>
      <c r="H411" s="545"/>
    </row>
    <row r="412" spans="1:8" ht="16.5" hidden="1" x14ac:dyDescent="0.2">
      <c r="A412" s="524">
        <v>44562</v>
      </c>
      <c r="B412" s="548">
        <v>74.925369910000015</v>
      </c>
      <c r="C412" s="548">
        <v>181.8840726</v>
      </c>
      <c r="D412" s="555">
        <v>-106.95870268999998</v>
      </c>
      <c r="E412" s="550"/>
      <c r="F412" s="562"/>
      <c r="H412" s="545"/>
    </row>
    <row r="413" spans="1:8" ht="16.5" hidden="1" x14ac:dyDescent="0.2">
      <c r="A413" s="524">
        <v>44593</v>
      </c>
      <c r="B413" s="548">
        <v>241.89692783999999</v>
      </c>
      <c r="C413" s="548">
        <v>216.23715089000001</v>
      </c>
      <c r="D413" s="555">
        <v>25.65977694999998</v>
      </c>
      <c r="E413" s="550"/>
      <c r="F413" s="562"/>
      <c r="H413" s="545"/>
    </row>
    <row r="414" spans="1:8" ht="17.25" hidden="1" x14ac:dyDescent="0.2">
      <c r="A414" s="524">
        <v>44682</v>
      </c>
      <c r="B414" s="548">
        <v>107.16467388</v>
      </c>
      <c r="C414" s="548">
        <v>172.728633</v>
      </c>
      <c r="D414" s="555">
        <v>-65.563958999999997</v>
      </c>
      <c r="E414" s="550"/>
      <c r="F414" s="562"/>
      <c r="H414" s="478"/>
    </row>
    <row r="415" spans="1:8" ht="16.5" hidden="1" x14ac:dyDescent="0.2">
      <c r="A415" s="524">
        <v>44713</v>
      </c>
      <c r="B415" s="548">
        <v>112.8735387</v>
      </c>
      <c r="C415" s="548">
        <v>344.83045444000004</v>
      </c>
      <c r="D415" s="555">
        <v>-231.95691574000006</v>
      </c>
      <c r="E415" s="550"/>
      <c r="F415" s="562"/>
      <c r="H415" s="545"/>
    </row>
    <row r="416" spans="1:8" ht="16.5" hidden="1" x14ac:dyDescent="0.2">
      <c r="A416" s="524">
        <v>44743</v>
      </c>
      <c r="B416" s="548">
        <v>90.046687900000009</v>
      </c>
      <c r="C416" s="548">
        <v>461.97476997000001</v>
      </c>
      <c r="D416" s="555">
        <v>-371.92808207000007</v>
      </c>
      <c r="E416" s="550"/>
      <c r="F416" s="562"/>
      <c r="H416" s="545"/>
    </row>
    <row r="417" spans="1:9" ht="16.5" hidden="1" x14ac:dyDescent="0.2">
      <c r="A417" s="524">
        <v>44774</v>
      </c>
      <c r="B417" s="548">
        <v>98.528399410000006</v>
      </c>
      <c r="C417" s="548">
        <v>200.11558056999999</v>
      </c>
      <c r="D417" s="555">
        <v>-101.58718115999999</v>
      </c>
      <c r="E417" s="550"/>
      <c r="F417" s="562"/>
      <c r="H417" s="545"/>
    </row>
    <row r="418" spans="1:9" ht="16.5" x14ac:dyDescent="0.2">
      <c r="A418" s="524">
        <v>44805</v>
      </c>
      <c r="B418" s="548">
        <v>336.50093794999998</v>
      </c>
      <c r="C418" s="548">
        <v>308.30910783999997</v>
      </c>
      <c r="D418" s="555">
        <v>28.191830110000016</v>
      </c>
      <c r="E418" s="550"/>
      <c r="F418" s="562"/>
      <c r="H418" s="545"/>
    </row>
    <row r="419" spans="1:9" ht="16.5" x14ac:dyDescent="0.2">
      <c r="A419" s="524">
        <v>44835</v>
      </c>
      <c r="B419" s="548">
        <v>124.18052005999999</v>
      </c>
      <c r="C419" s="548">
        <v>473.28010970000003</v>
      </c>
      <c r="D419" s="555">
        <v>-349.09958964000003</v>
      </c>
      <c r="E419" s="550"/>
      <c r="F419" s="562"/>
      <c r="H419" s="545"/>
    </row>
    <row r="420" spans="1:9" ht="16.5" x14ac:dyDescent="0.2">
      <c r="A420" s="524">
        <v>44866</v>
      </c>
      <c r="B420" s="548">
        <v>156.04260019999998</v>
      </c>
      <c r="C420" s="548">
        <v>143.12636858000002</v>
      </c>
      <c r="D420" s="555">
        <v>12.916231619999975</v>
      </c>
      <c r="E420" s="563"/>
      <c r="F420" s="562"/>
      <c r="G420" s="553"/>
      <c r="H420" s="553"/>
    </row>
    <row r="421" spans="1:9" ht="16.5" x14ac:dyDescent="0.2">
      <c r="A421" s="524">
        <v>44896</v>
      </c>
      <c r="B421" s="548">
        <v>975.97139255999991</v>
      </c>
      <c r="C421" s="548">
        <v>978.53840219000006</v>
      </c>
      <c r="D421" s="555">
        <v>-2.5670096300001144</v>
      </c>
      <c r="E421" s="551"/>
      <c r="F421" s="562"/>
      <c r="G421" s="552"/>
    </row>
    <row r="422" spans="1:9" ht="16.5" x14ac:dyDescent="0.2">
      <c r="A422" s="524">
        <v>44927</v>
      </c>
      <c r="B422" s="548">
        <v>205.18538492000002</v>
      </c>
      <c r="C422" s="548">
        <v>404.1308685300001</v>
      </c>
      <c r="D422" s="555">
        <v>-198.94548361000008</v>
      </c>
      <c r="E422" s="551"/>
      <c r="F422" s="562"/>
      <c r="G422" s="552"/>
    </row>
    <row r="423" spans="1:9" ht="16.5" x14ac:dyDescent="0.2">
      <c r="A423" s="524">
        <v>44958</v>
      </c>
      <c r="B423" s="548">
        <v>309.31714618999996</v>
      </c>
      <c r="C423" s="548">
        <v>78.125881250000006</v>
      </c>
      <c r="D423" s="555">
        <v>231.19126493999994</v>
      </c>
      <c r="E423" s="551"/>
      <c r="F423" s="562"/>
      <c r="G423" s="552"/>
    </row>
    <row r="424" spans="1:9" ht="16.5" x14ac:dyDescent="0.2">
      <c r="A424" s="524">
        <v>44986</v>
      </c>
      <c r="B424" s="548">
        <v>224.91869419000002</v>
      </c>
      <c r="C424" s="548">
        <v>147.26186306</v>
      </c>
      <c r="D424" s="555">
        <v>77.656831130000029</v>
      </c>
      <c r="E424" s="551"/>
      <c r="F424" s="562"/>
      <c r="G424" s="552"/>
    </row>
    <row r="425" spans="1:9" ht="16.5" x14ac:dyDescent="0.2">
      <c r="A425" s="524">
        <v>45017</v>
      </c>
      <c r="B425" s="548">
        <v>149.74126680000001</v>
      </c>
      <c r="C425" s="548">
        <v>218.95926912000002</v>
      </c>
      <c r="D425" s="555">
        <v>-69.218002319999997</v>
      </c>
      <c r="E425" s="551"/>
      <c r="F425" s="562"/>
      <c r="G425" s="552"/>
    </row>
    <row r="426" spans="1:9" ht="16.5" x14ac:dyDescent="0.2">
      <c r="A426" s="524">
        <v>45047</v>
      </c>
      <c r="B426" s="548">
        <v>222.04311769999998</v>
      </c>
      <c r="C426" s="548">
        <v>96.657463300000003</v>
      </c>
      <c r="D426" s="555">
        <v>125.38565439999999</v>
      </c>
      <c r="E426" s="551"/>
      <c r="F426" s="562"/>
      <c r="G426" s="552"/>
    </row>
    <row r="427" spans="1:9" s="534" customFormat="1" ht="17.25" customHeight="1" x14ac:dyDescent="0.2">
      <c r="A427" s="524">
        <v>45078</v>
      </c>
      <c r="B427" s="548">
        <v>384.55192807000003</v>
      </c>
      <c r="C427" s="548">
        <v>175.53222693999999</v>
      </c>
      <c r="D427" s="555">
        <v>209.01970113000004</v>
      </c>
      <c r="E427" s="551"/>
      <c r="F427" s="562"/>
      <c r="G427" s="552"/>
      <c r="H427" s="481"/>
      <c r="I427" s="564"/>
    </row>
    <row r="428" spans="1:9" s="534" customFormat="1" ht="17.25" customHeight="1" x14ac:dyDescent="0.2">
      <c r="A428" s="524">
        <v>45108</v>
      </c>
      <c r="B428" s="548">
        <v>311.64618478</v>
      </c>
      <c r="C428" s="548">
        <v>304.94426648000001</v>
      </c>
      <c r="D428" s="555">
        <v>6.701918299999952</v>
      </c>
      <c r="E428" s="551"/>
      <c r="F428" s="562"/>
      <c r="G428" s="552"/>
      <c r="H428" s="481"/>
      <c r="I428" s="564"/>
    </row>
    <row r="429" spans="1:9" ht="16.5" x14ac:dyDescent="0.2">
      <c r="A429" s="524">
        <v>45139</v>
      </c>
      <c r="B429" s="548">
        <v>212.40904638999999</v>
      </c>
      <c r="C429" s="548">
        <v>430.71994034999994</v>
      </c>
      <c r="D429" s="555">
        <v>-218.31089395999999</v>
      </c>
      <c r="E429" s="551"/>
      <c r="F429" s="562"/>
      <c r="G429" s="534"/>
      <c r="H429" s="564"/>
      <c r="I429" s="534"/>
    </row>
    <row r="430" spans="1:9" ht="18.75" customHeight="1" thickBot="1" x14ac:dyDescent="0.25">
      <c r="A430" s="524">
        <v>45170</v>
      </c>
      <c r="B430" s="548">
        <v>427.03974624</v>
      </c>
      <c r="C430" s="548">
        <v>240.91301871000002</v>
      </c>
      <c r="D430" s="555">
        <v>186.12672753000001</v>
      </c>
      <c r="E430" s="551"/>
      <c r="F430" s="562"/>
      <c r="G430" s="534"/>
      <c r="H430" s="564"/>
      <c r="I430" s="534"/>
    </row>
    <row r="431" spans="1:9" ht="18.75" customHeight="1" thickBot="1" x14ac:dyDescent="0.3">
      <c r="A431" s="565" t="s">
        <v>176</v>
      </c>
      <c r="B431" s="566">
        <f>SUM(B418:B430)</f>
        <v>4039.5479660500005</v>
      </c>
      <c r="C431" s="566">
        <f>SUM(C418:C430)</f>
        <v>4000.4987860499996</v>
      </c>
      <c r="D431" s="567">
        <f>SUM(D418:D430)</f>
        <v>39.04917999999978</v>
      </c>
      <c r="E431" s="568"/>
      <c r="F431" s="553"/>
      <c r="G431" s="564"/>
      <c r="H431" s="569"/>
    </row>
    <row r="432" spans="1:9" ht="18.75" customHeight="1" thickTop="1" x14ac:dyDescent="0.25">
      <c r="A432" s="534" t="s">
        <v>361</v>
      </c>
      <c r="B432" s="570"/>
      <c r="D432" s="571"/>
      <c r="E432" s="564"/>
      <c r="F432" s="564"/>
      <c r="G432" s="572"/>
    </row>
    <row r="433" spans="1:8" ht="12.75" customHeight="1" x14ac:dyDescent="0.25">
      <c r="A433" s="534" t="s">
        <v>362</v>
      </c>
      <c r="B433" s="534"/>
      <c r="C433" s="573"/>
      <c r="D433" s="574"/>
      <c r="E433" s="552"/>
      <c r="F433" s="552"/>
      <c r="G433" s="575"/>
      <c r="H433" s="561"/>
    </row>
    <row r="434" spans="1:8" x14ac:dyDescent="0.25">
      <c r="A434" s="534" t="s">
        <v>363</v>
      </c>
      <c r="B434" s="534"/>
      <c r="C434" s="573"/>
      <c r="D434" s="576"/>
      <c r="F434" s="575"/>
      <c r="G434" s="577"/>
      <c r="H434" s="577"/>
    </row>
  </sheetData>
  <mergeCells count="5">
    <mergeCell ref="A3:A7"/>
    <mergeCell ref="B3:H3"/>
    <mergeCell ref="C4:H4"/>
    <mergeCell ref="A263:H263"/>
    <mergeCell ref="A264:H264"/>
  </mergeCells>
  <printOptions horizontalCentered="1"/>
  <pageMargins left="0.75" right="0.75" top="0.5" bottom="0.75" header="0.3" footer="0"/>
  <pageSetup paperSize="9" scale="63"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V27"/>
  <sheetViews>
    <sheetView zoomScaleNormal="100" zoomScaleSheetLayoutView="90" workbookViewId="0">
      <pane xSplit="3" ySplit="6" topLeftCell="D7" activePane="bottomRight" state="frozen"/>
      <selection activeCell="A38" sqref="A38"/>
      <selection pane="topRight" activeCell="A38" sqref="A38"/>
      <selection pane="bottomLeft" activeCell="A38" sqref="A38"/>
      <selection pane="bottomRight" activeCell="A38" sqref="A38"/>
    </sheetView>
  </sheetViews>
  <sheetFormatPr defaultColWidth="8.85546875" defaultRowHeight="14.25" x14ac:dyDescent="0.25"/>
  <cols>
    <col min="1" max="1" width="15.140625" style="584" customWidth="1"/>
    <col min="2" max="2" width="14.7109375" style="584" hidden="1" customWidth="1"/>
    <col min="3" max="3" width="15.28515625" style="584" hidden="1" customWidth="1"/>
    <col min="4" max="4" width="15.5703125" style="584" hidden="1" customWidth="1"/>
    <col min="5" max="5" width="16.42578125" style="584" hidden="1" customWidth="1"/>
    <col min="6" max="6" width="15.5703125" style="584" hidden="1" customWidth="1"/>
    <col min="7" max="7" width="16.42578125" style="584" hidden="1" customWidth="1"/>
    <col min="8" max="8" width="15.5703125" style="584" customWidth="1"/>
    <col min="9" max="9" width="16.42578125" style="584" customWidth="1"/>
    <col min="10" max="10" width="15.5703125" style="584" customWidth="1"/>
    <col min="11" max="11" width="16.42578125" style="584" customWidth="1"/>
    <col min="12" max="12" width="15.5703125" style="584" customWidth="1"/>
    <col min="13" max="13" width="16.42578125" style="584" customWidth="1"/>
    <col min="14" max="14" width="15.28515625" style="584" customWidth="1"/>
    <col min="15" max="15" width="16.42578125" style="584" customWidth="1"/>
    <col min="16" max="16" width="15.28515625" style="584" customWidth="1"/>
    <col min="17" max="17" width="16.42578125" style="584" customWidth="1"/>
    <col min="18" max="18" width="20.7109375" style="584" customWidth="1"/>
    <col min="19" max="19" width="13.7109375" style="584" customWidth="1"/>
    <col min="20" max="16384" width="8.85546875" style="584"/>
  </cols>
  <sheetData>
    <row r="1" spans="1:21" s="479" customFormat="1" ht="18.75" customHeight="1" x14ac:dyDescent="0.25">
      <c r="A1" s="578" t="s">
        <v>365</v>
      </c>
      <c r="B1" s="579"/>
      <c r="C1" s="580"/>
      <c r="D1" s="580"/>
      <c r="E1" s="581"/>
      <c r="F1" s="581"/>
      <c r="G1" s="581"/>
      <c r="H1" s="581"/>
      <c r="I1" s="582"/>
      <c r="J1" s="582"/>
      <c r="K1" s="582"/>
      <c r="L1" s="582"/>
      <c r="M1" s="582"/>
      <c r="N1" s="582"/>
    </row>
    <row r="2" spans="1:21" ht="19.5" customHeight="1" thickBot="1" x14ac:dyDescent="0.3">
      <c r="A2" s="583"/>
      <c r="B2" s="583"/>
      <c r="C2" s="583"/>
    </row>
    <row r="3" spans="1:21" s="586" customFormat="1" ht="18.75" customHeight="1" thickTop="1" thickBot="1" x14ac:dyDescent="0.35">
      <c r="A3" s="585"/>
      <c r="B3" s="3510">
        <v>2016</v>
      </c>
      <c r="C3" s="3511"/>
      <c r="D3" s="3512">
        <v>2017</v>
      </c>
      <c r="E3" s="3511"/>
      <c r="F3" s="3500">
        <v>2018</v>
      </c>
      <c r="G3" s="3513"/>
      <c r="H3" s="3500">
        <v>2019</v>
      </c>
      <c r="I3" s="3501"/>
      <c r="J3" s="3500">
        <v>2020</v>
      </c>
      <c r="K3" s="3501"/>
      <c r="L3" s="3500">
        <v>2021</v>
      </c>
      <c r="M3" s="3501"/>
      <c r="N3" s="3500">
        <v>2022</v>
      </c>
      <c r="O3" s="3501"/>
      <c r="P3" s="3500" t="s">
        <v>366</v>
      </c>
      <c r="Q3" s="3501"/>
    </row>
    <row r="4" spans="1:21" s="586" customFormat="1" ht="16.5" customHeight="1" x14ac:dyDescent="0.3">
      <c r="A4" s="587"/>
      <c r="B4" s="3502" t="s">
        <v>367</v>
      </c>
      <c r="C4" s="3505" t="s">
        <v>368</v>
      </c>
      <c r="D4" s="3507" t="s">
        <v>367</v>
      </c>
      <c r="E4" s="3505" t="s">
        <v>368</v>
      </c>
      <c r="F4" s="3502" t="s">
        <v>367</v>
      </c>
      <c r="G4" s="3505" t="s">
        <v>368</v>
      </c>
      <c r="H4" s="3507" t="s">
        <v>367</v>
      </c>
      <c r="I4" s="3505" t="s">
        <v>368</v>
      </c>
      <c r="J4" s="3507" t="s">
        <v>367</v>
      </c>
      <c r="K4" s="3505" t="s">
        <v>368</v>
      </c>
      <c r="L4" s="3502" t="s">
        <v>367</v>
      </c>
      <c r="M4" s="3514" t="s">
        <v>368</v>
      </c>
      <c r="N4" s="3502" t="s">
        <v>367</v>
      </c>
      <c r="O4" s="3514" t="s">
        <v>368</v>
      </c>
      <c r="P4" s="3502" t="s">
        <v>367</v>
      </c>
      <c r="Q4" s="3514" t="s">
        <v>368</v>
      </c>
    </row>
    <row r="5" spans="1:21" s="586" customFormat="1" ht="16.5" x14ac:dyDescent="0.3">
      <c r="A5" s="587"/>
      <c r="B5" s="3503"/>
      <c r="C5" s="3506"/>
      <c r="D5" s="3508"/>
      <c r="E5" s="3506"/>
      <c r="F5" s="3503"/>
      <c r="G5" s="3506"/>
      <c r="H5" s="3508"/>
      <c r="I5" s="3506"/>
      <c r="J5" s="3508"/>
      <c r="K5" s="3506"/>
      <c r="L5" s="3503"/>
      <c r="M5" s="3515"/>
      <c r="N5" s="3503"/>
      <c r="O5" s="3515"/>
      <c r="P5" s="3503"/>
      <c r="Q5" s="3515"/>
    </row>
    <row r="6" spans="1:21" s="591" customFormat="1" ht="16.5" customHeight="1" thickBot="1" x14ac:dyDescent="0.35">
      <c r="A6" s="588"/>
      <c r="B6" s="3504"/>
      <c r="C6" s="589" t="s">
        <v>369</v>
      </c>
      <c r="D6" s="3509"/>
      <c r="E6" s="589" t="s">
        <v>369</v>
      </c>
      <c r="F6" s="3504"/>
      <c r="G6" s="589" t="s">
        <v>369</v>
      </c>
      <c r="H6" s="3509"/>
      <c r="I6" s="589" t="s">
        <v>369</v>
      </c>
      <c r="J6" s="3509"/>
      <c r="K6" s="589" t="s">
        <v>369</v>
      </c>
      <c r="L6" s="3504"/>
      <c r="M6" s="590" t="s">
        <v>369</v>
      </c>
      <c r="N6" s="3504"/>
      <c r="O6" s="590" t="s">
        <v>369</v>
      </c>
      <c r="P6" s="3504"/>
      <c r="Q6" s="590" t="s">
        <v>369</v>
      </c>
    </row>
    <row r="7" spans="1:21" ht="17.25" thickTop="1" x14ac:dyDescent="0.25">
      <c r="A7" s="592" t="s">
        <v>65</v>
      </c>
      <c r="B7" s="593">
        <v>118426</v>
      </c>
      <c r="C7" s="594">
        <v>5250</v>
      </c>
      <c r="D7" s="595">
        <v>124362</v>
      </c>
      <c r="E7" s="594">
        <v>6119</v>
      </c>
      <c r="F7" s="593">
        <v>120974</v>
      </c>
      <c r="G7" s="594">
        <v>6615</v>
      </c>
      <c r="H7" s="593">
        <v>122273</v>
      </c>
      <c r="I7" s="594">
        <v>6178</v>
      </c>
      <c r="J7" s="596">
        <v>137419</v>
      </c>
      <c r="K7" s="597">
        <v>5995</v>
      </c>
      <c r="L7" s="596">
        <v>1232</v>
      </c>
      <c r="M7" s="597">
        <v>243</v>
      </c>
      <c r="N7" s="596">
        <v>40028</v>
      </c>
      <c r="O7" s="597">
        <v>4343</v>
      </c>
      <c r="P7" s="596">
        <v>107684</v>
      </c>
      <c r="Q7" s="597">
        <v>8441</v>
      </c>
      <c r="U7" s="598"/>
    </row>
    <row r="8" spans="1:21" ht="16.5" x14ac:dyDescent="0.25">
      <c r="A8" s="592" t="s">
        <v>64</v>
      </c>
      <c r="B8" s="593">
        <v>100706</v>
      </c>
      <c r="C8" s="599">
        <v>4912</v>
      </c>
      <c r="D8" s="595">
        <v>105049</v>
      </c>
      <c r="E8" s="594">
        <v>4713</v>
      </c>
      <c r="F8" s="593">
        <v>115600</v>
      </c>
      <c r="G8" s="594">
        <v>6060</v>
      </c>
      <c r="H8" s="593">
        <v>115613</v>
      </c>
      <c r="I8" s="594">
        <v>5140</v>
      </c>
      <c r="J8" s="600">
        <v>111560</v>
      </c>
      <c r="K8" s="597">
        <v>4899</v>
      </c>
      <c r="L8" s="600">
        <v>1229</v>
      </c>
      <c r="M8" s="597">
        <v>176</v>
      </c>
      <c r="N8" s="596">
        <v>52724</v>
      </c>
      <c r="O8" s="597">
        <v>3556</v>
      </c>
      <c r="P8" s="596">
        <v>91850</v>
      </c>
      <c r="Q8" s="597">
        <v>6452.2916601300003</v>
      </c>
      <c r="U8" s="598"/>
    </row>
    <row r="9" spans="1:21" ht="16.5" x14ac:dyDescent="0.25">
      <c r="A9" s="592" t="s">
        <v>63</v>
      </c>
      <c r="B9" s="593">
        <v>108704</v>
      </c>
      <c r="C9" s="594">
        <v>4841</v>
      </c>
      <c r="D9" s="595">
        <v>110271</v>
      </c>
      <c r="E9" s="599">
        <v>5254</v>
      </c>
      <c r="F9" s="593">
        <v>119841</v>
      </c>
      <c r="G9" s="599">
        <v>5808</v>
      </c>
      <c r="H9" s="593">
        <v>114419</v>
      </c>
      <c r="I9" s="599">
        <v>5200</v>
      </c>
      <c r="J9" s="596">
        <v>55863</v>
      </c>
      <c r="K9" s="597">
        <v>3250</v>
      </c>
      <c r="L9" s="596">
        <v>311</v>
      </c>
      <c r="M9" s="597">
        <v>103</v>
      </c>
      <c r="N9" s="601">
        <v>66066</v>
      </c>
      <c r="O9" s="597">
        <v>4640</v>
      </c>
      <c r="P9" s="601">
        <v>105663</v>
      </c>
      <c r="Q9" s="597">
        <v>7388</v>
      </c>
      <c r="U9" s="598"/>
    </row>
    <row r="10" spans="1:21" ht="16.5" x14ac:dyDescent="0.25">
      <c r="A10" s="592" t="s">
        <v>62</v>
      </c>
      <c r="B10" s="593">
        <v>91992</v>
      </c>
      <c r="C10" s="594">
        <v>4382</v>
      </c>
      <c r="D10" s="595">
        <v>111432</v>
      </c>
      <c r="E10" s="594">
        <v>4830</v>
      </c>
      <c r="F10" s="593">
        <v>104967</v>
      </c>
      <c r="G10" s="594">
        <v>5631</v>
      </c>
      <c r="H10" s="593">
        <v>108565</v>
      </c>
      <c r="I10" s="594">
        <v>5450</v>
      </c>
      <c r="J10" s="593">
        <v>10</v>
      </c>
      <c r="K10" s="597">
        <v>808</v>
      </c>
      <c r="L10" s="593">
        <v>58</v>
      </c>
      <c r="M10" s="597">
        <v>90</v>
      </c>
      <c r="N10" s="593">
        <v>84268</v>
      </c>
      <c r="O10" s="597">
        <v>4296</v>
      </c>
      <c r="P10" s="596">
        <v>109031</v>
      </c>
      <c r="Q10" s="597">
        <v>6632</v>
      </c>
      <c r="U10" s="598"/>
    </row>
    <row r="11" spans="1:21" ht="20.25" customHeight="1" x14ac:dyDescent="0.25">
      <c r="A11" s="592" t="s">
        <v>61</v>
      </c>
      <c r="B11" s="593">
        <v>94830</v>
      </c>
      <c r="C11" s="594">
        <v>4278</v>
      </c>
      <c r="D11" s="595">
        <v>96557</v>
      </c>
      <c r="E11" s="594">
        <v>4593</v>
      </c>
      <c r="F11" s="593">
        <v>101138</v>
      </c>
      <c r="G11" s="594">
        <v>5227.5556689495397</v>
      </c>
      <c r="H11" s="593">
        <v>96814</v>
      </c>
      <c r="I11" s="594">
        <v>4915</v>
      </c>
      <c r="J11" s="593">
        <v>20</v>
      </c>
      <c r="K11" s="597">
        <v>748</v>
      </c>
      <c r="L11" s="593">
        <v>115</v>
      </c>
      <c r="M11" s="597">
        <v>124</v>
      </c>
      <c r="N11" s="593">
        <v>70462</v>
      </c>
      <c r="O11" s="597">
        <v>4309</v>
      </c>
      <c r="P11" s="596">
        <v>100030</v>
      </c>
      <c r="Q11" s="597">
        <v>6900</v>
      </c>
      <c r="U11" s="598"/>
    </row>
    <row r="12" spans="1:21" ht="16.5" x14ac:dyDescent="0.25">
      <c r="A12" s="592" t="s">
        <v>60</v>
      </c>
      <c r="B12" s="593">
        <v>71806</v>
      </c>
      <c r="C12" s="594">
        <v>3525</v>
      </c>
      <c r="D12" s="595">
        <v>78188</v>
      </c>
      <c r="E12" s="594">
        <v>3810</v>
      </c>
      <c r="F12" s="593">
        <v>84345</v>
      </c>
      <c r="G12" s="594">
        <v>4118</v>
      </c>
      <c r="H12" s="593">
        <v>92398</v>
      </c>
      <c r="I12" s="594">
        <v>4169</v>
      </c>
      <c r="J12" s="593">
        <v>9</v>
      </c>
      <c r="K12" s="597">
        <v>383</v>
      </c>
      <c r="L12" s="593">
        <v>280</v>
      </c>
      <c r="M12" s="597">
        <v>171</v>
      </c>
      <c r="N12" s="593">
        <v>63008</v>
      </c>
      <c r="O12" s="597">
        <v>4128.4886106499998</v>
      </c>
      <c r="P12" s="596">
        <v>82208</v>
      </c>
      <c r="Q12" s="597">
        <v>5888</v>
      </c>
      <c r="U12" s="598"/>
    </row>
    <row r="13" spans="1:21" ht="16.5" x14ac:dyDescent="0.25">
      <c r="A13" s="592" t="s">
        <v>59</v>
      </c>
      <c r="B13" s="593">
        <v>108122</v>
      </c>
      <c r="C13" s="594">
        <v>3806</v>
      </c>
      <c r="D13" s="595">
        <v>112347</v>
      </c>
      <c r="E13" s="594">
        <v>4205</v>
      </c>
      <c r="F13" s="600">
        <v>115881</v>
      </c>
      <c r="G13" s="594">
        <v>4401</v>
      </c>
      <c r="H13" s="600">
        <v>115448</v>
      </c>
      <c r="I13" s="594">
        <v>4937</v>
      </c>
      <c r="J13" s="593">
        <v>45</v>
      </c>
      <c r="K13" s="597">
        <v>414</v>
      </c>
      <c r="L13" s="593">
        <v>1242</v>
      </c>
      <c r="M13" s="597">
        <v>370</v>
      </c>
      <c r="N13" s="593">
        <v>94084</v>
      </c>
      <c r="O13" s="597">
        <v>5127.7079004699999</v>
      </c>
      <c r="P13" s="596">
        <v>107832</v>
      </c>
      <c r="Q13" s="597">
        <v>6440</v>
      </c>
      <c r="U13" s="598"/>
    </row>
    <row r="14" spans="1:21" ht="16.5" x14ac:dyDescent="0.25">
      <c r="A14" s="592" t="s">
        <v>58</v>
      </c>
      <c r="B14" s="593">
        <v>94920</v>
      </c>
      <c r="C14" s="594">
        <v>4322</v>
      </c>
      <c r="D14" s="595">
        <v>100191</v>
      </c>
      <c r="E14" s="594">
        <v>4329</v>
      </c>
      <c r="F14" s="593">
        <v>109471</v>
      </c>
      <c r="G14" s="594">
        <v>4500.9161038469219</v>
      </c>
      <c r="H14" s="593">
        <v>107275</v>
      </c>
      <c r="I14" s="594">
        <v>4753</v>
      </c>
      <c r="J14" s="593">
        <v>317</v>
      </c>
      <c r="K14" s="597">
        <v>195</v>
      </c>
      <c r="L14" s="593">
        <v>2499</v>
      </c>
      <c r="M14" s="597">
        <v>577</v>
      </c>
      <c r="N14" s="593">
        <v>86605</v>
      </c>
      <c r="O14" s="597">
        <v>5892</v>
      </c>
      <c r="P14" s="596">
        <v>98990</v>
      </c>
      <c r="Q14" s="597">
        <v>6537</v>
      </c>
      <c r="U14" s="598"/>
    </row>
    <row r="15" spans="1:21" ht="16.5" x14ac:dyDescent="0.25">
      <c r="A15" s="592" t="s">
        <v>57</v>
      </c>
      <c r="B15" s="593">
        <v>91384</v>
      </c>
      <c r="C15" s="594">
        <v>3894</v>
      </c>
      <c r="D15" s="602">
        <v>96282</v>
      </c>
      <c r="E15" s="594">
        <v>4243</v>
      </c>
      <c r="F15" s="603">
        <v>102849</v>
      </c>
      <c r="G15" s="594">
        <v>3895</v>
      </c>
      <c r="H15" s="603">
        <v>100837</v>
      </c>
      <c r="I15" s="594">
        <v>4362</v>
      </c>
      <c r="J15" s="604">
        <v>369</v>
      </c>
      <c r="K15" s="597">
        <v>215</v>
      </c>
      <c r="L15" s="604">
        <v>2494</v>
      </c>
      <c r="M15" s="597">
        <v>757</v>
      </c>
      <c r="N15" s="593">
        <v>81087</v>
      </c>
      <c r="O15" s="597">
        <v>5315</v>
      </c>
      <c r="P15" s="596">
        <v>97838</v>
      </c>
      <c r="Q15" s="605" t="s">
        <v>370</v>
      </c>
    </row>
    <row r="16" spans="1:21" ht="16.5" x14ac:dyDescent="0.25">
      <c r="A16" s="592" t="s">
        <v>56</v>
      </c>
      <c r="B16" s="593">
        <v>130421</v>
      </c>
      <c r="C16" s="606">
        <v>4973</v>
      </c>
      <c r="D16" s="595">
        <v>130070</v>
      </c>
      <c r="E16" s="594">
        <v>5511</v>
      </c>
      <c r="F16" s="604">
        <v>134052</v>
      </c>
      <c r="G16" s="594">
        <v>5440.3738781800002</v>
      </c>
      <c r="H16" s="604">
        <v>129018</v>
      </c>
      <c r="I16" s="594">
        <v>5434</v>
      </c>
      <c r="J16" s="604">
        <v>1149</v>
      </c>
      <c r="K16" s="597">
        <v>222</v>
      </c>
      <c r="L16" s="604">
        <v>54434</v>
      </c>
      <c r="M16" s="597">
        <v>3044</v>
      </c>
      <c r="N16" s="593">
        <v>117323</v>
      </c>
      <c r="O16" s="597">
        <v>6675.9184518777311</v>
      </c>
      <c r="P16" s="593"/>
      <c r="Q16" s="597"/>
    </row>
    <row r="17" spans="1:22" ht="16.5" x14ac:dyDescent="0.25">
      <c r="A17" s="592" t="s">
        <v>55</v>
      </c>
      <c r="B17" s="593">
        <v>115782</v>
      </c>
      <c r="C17" s="606">
        <v>5251</v>
      </c>
      <c r="D17" s="595">
        <v>121496</v>
      </c>
      <c r="E17" s="594">
        <v>6026</v>
      </c>
      <c r="F17" s="604">
        <v>132247</v>
      </c>
      <c r="G17" s="599">
        <v>5678.4576338200004</v>
      </c>
      <c r="H17" s="604">
        <v>128730</v>
      </c>
      <c r="I17" s="599">
        <v>5964</v>
      </c>
      <c r="J17" s="604">
        <v>1177</v>
      </c>
      <c r="K17" s="597">
        <v>254</v>
      </c>
      <c r="L17" s="604">
        <v>65922</v>
      </c>
      <c r="M17" s="597">
        <v>4962</v>
      </c>
      <c r="N17" s="604">
        <v>106905</v>
      </c>
      <c r="O17" s="607">
        <v>7834</v>
      </c>
      <c r="P17" s="604"/>
      <c r="Q17" s="607"/>
    </row>
    <row r="18" spans="1:22" ht="17.25" thickBot="1" x14ac:dyDescent="0.3">
      <c r="A18" s="592" t="s">
        <v>54</v>
      </c>
      <c r="B18" s="593">
        <v>148134</v>
      </c>
      <c r="C18" s="599">
        <v>6433</v>
      </c>
      <c r="D18" s="595">
        <v>155615</v>
      </c>
      <c r="E18" s="599">
        <v>6629</v>
      </c>
      <c r="F18" s="603">
        <v>158043</v>
      </c>
      <c r="G18" s="594">
        <v>6662</v>
      </c>
      <c r="H18" s="603">
        <v>152098</v>
      </c>
      <c r="I18" s="594">
        <v>6605</v>
      </c>
      <c r="J18" s="604">
        <v>1042</v>
      </c>
      <c r="K18" s="597">
        <v>281</v>
      </c>
      <c r="L18" s="604">
        <v>49964</v>
      </c>
      <c r="M18" s="597">
        <v>4636</v>
      </c>
      <c r="N18" s="608">
        <v>134730</v>
      </c>
      <c r="O18" s="605">
        <v>8727.6299852699995</v>
      </c>
      <c r="P18" s="608"/>
      <c r="Q18" s="605"/>
    </row>
    <row r="19" spans="1:22" s="586" customFormat="1" ht="17.25" thickBot="1" x14ac:dyDescent="0.3">
      <c r="A19" s="609" t="s">
        <v>371</v>
      </c>
      <c r="B19" s="610">
        <f t="shared" ref="B19:M19" si="0">SUM(B7:B18)</f>
        <v>1275227</v>
      </c>
      <c r="C19" s="611">
        <f t="shared" si="0"/>
        <v>55867</v>
      </c>
      <c r="D19" s="612">
        <f t="shared" si="0"/>
        <v>1341860</v>
      </c>
      <c r="E19" s="611">
        <f t="shared" si="0"/>
        <v>60262</v>
      </c>
      <c r="F19" s="610">
        <f t="shared" si="0"/>
        <v>1399408</v>
      </c>
      <c r="G19" s="611">
        <f t="shared" si="0"/>
        <v>64037.303284796464</v>
      </c>
      <c r="H19" s="610">
        <f t="shared" si="0"/>
        <v>1383488</v>
      </c>
      <c r="I19" s="611">
        <f t="shared" si="0"/>
        <v>63107</v>
      </c>
      <c r="J19" s="610">
        <f t="shared" si="0"/>
        <v>308980</v>
      </c>
      <c r="K19" s="613">
        <f t="shared" si="0"/>
        <v>17664</v>
      </c>
      <c r="L19" s="610">
        <f t="shared" si="0"/>
        <v>179780</v>
      </c>
      <c r="M19" s="614">
        <f t="shared" si="0"/>
        <v>15253</v>
      </c>
      <c r="N19" s="610">
        <f>SUM(N7:N18)</f>
        <v>997290</v>
      </c>
      <c r="O19" s="614">
        <f>SUM(O7:O18)</f>
        <v>64844.744948267733</v>
      </c>
      <c r="P19" s="610">
        <f>SUM(P7:P18)</f>
        <v>901126</v>
      </c>
      <c r="Q19" s="614">
        <f>SUM(Q7:Q18)</f>
        <v>54678.291660130002</v>
      </c>
      <c r="R19" s="584"/>
    </row>
    <row r="20" spans="1:22" s="290" customFormat="1" ht="34.5" customHeight="1" thickTop="1" x14ac:dyDescent="0.25">
      <c r="A20" s="3516" t="s">
        <v>372</v>
      </c>
      <c r="B20" s="3516"/>
      <c r="C20" s="3516"/>
      <c r="D20" s="3516"/>
      <c r="E20" s="3516"/>
      <c r="F20" s="3516"/>
      <c r="G20" s="3516"/>
      <c r="H20" s="3516"/>
      <c r="I20" s="3516"/>
      <c r="J20" s="3516"/>
      <c r="K20" s="3516"/>
      <c r="L20" s="3516"/>
      <c r="M20" s="3516"/>
      <c r="N20" s="3516"/>
      <c r="O20" s="3516"/>
      <c r="P20" s="3516"/>
      <c r="Q20" s="3516"/>
    </row>
    <row r="21" spans="1:22" s="290" customFormat="1" ht="15.75" x14ac:dyDescent="0.25">
      <c r="A21" s="615" t="s">
        <v>373</v>
      </c>
      <c r="B21" s="616"/>
      <c r="C21" s="616"/>
      <c r="D21" s="616"/>
      <c r="E21" s="616"/>
      <c r="F21" s="616"/>
      <c r="G21" s="616"/>
      <c r="H21" s="616"/>
      <c r="I21" s="616"/>
      <c r="J21" s="616"/>
      <c r="K21" s="616"/>
      <c r="L21" s="616"/>
      <c r="M21" s="616"/>
      <c r="N21" s="616"/>
      <c r="O21" s="616"/>
      <c r="P21" s="616"/>
      <c r="Q21" s="616"/>
    </row>
    <row r="22" spans="1:22" s="290" customFormat="1" x14ac:dyDescent="0.25">
      <c r="A22" s="615" t="s">
        <v>374</v>
      </c>
      <c r="B22" s="616"/>
      <c r="C22" s="616"/>
      <c r="D22" s="616"/>
      <c r="E22" s="616"/>
      <c r="F22" s="616"/>
      <c r="G22" s="616"/>
      <c r="H22" s="616"/>
      <c r="I22" s="616"/>
      <c r="J22" s="616"/>
      <c r="K22" s="616"/>
      <c r="L22" s="616"/>
      <c r="M22" s="616"/>
      <c r="N22" s="616"/>
      <c r="O22" s="616"/>
      <c r="P22" s="616"/>
      <c r="Q22" s="616"/>
    </row>
    <row r="23" spans="1:22" s="290" customFormat="1" ht="23.25" customHeight="1" x14ac:dyDescent="0.25">
      <c r="A23" s="617" t="s">
        <v>375</v>
      </c>
      <c r="B23" s="618"/>
      <c r="C23" s="618"/>
      <c r="D23" s="619"/>
      <c r="E23" s="619"/>
      <c r="F23" s="619"/>
      <c r="G23" s="619"/>
      <c r="H23" s="619"/>
      <c r="I23" s="620"/>
      <c r="K23" s="621"/>
      <c r="L23" s="616"/>
      <c r="M23" s="621"/>
      <c r="N23" s="616"/>
      <c r="O23" s="616"/>
      <c r="P23" s="616"/>
      <c r="Q23" s="616"/>
      <c r="V23" s="479"/>
    </row>
    <row r="24" spans="1:22" s="290" customFormat="1" x14ac:dyDescent="0.25">
      <c r="A24" s="616"/>
      <c r="B24" s="620"/>
      <c r="C24" s="620"/>
      <c r="D24" s="620"/>
      <c r="E24" s="620"/>
      <c r="G24" s="620"/>
      <c r="I24" s="620"/>
      <c r="J24" s="620"/>
      <c r="K24" s="620"/>
      <c r="M24" s="584"/>
      <c r="N24" s="622"/>
      <c r="O24" s="616"/>
      <c r="P24" s="616"/>
      <c r="Q24" s="616"/>
    </row>
    <row r="25" spans="1:22" x14ac:dyDescent="0.25">
      <c r="B25" s="598"/>
    </row>
    <row r="26" spans="1:22" x14ac:dyDescent="0.25">
      <c r="B26" s="598"/>
      <c r="C26" s="598"/>
    </row>
    <row r="27" spans="1:22" x14ac:dyDescent="0.25">
      <c r="B27" s="598"/>
    </row>
  </sheetData>
  <mergeCells count="25">
    <mergeCell ref="P4:P6"/>
    <mergeCell ref="Q4:Q5"/>
    <mergeCell ref="A20:Q20"/>
    <mergeCell ref="J4:J6"/>
    <mergeCell ref="K4:K5"/>
    <mergeCell ref="L4:L6"/>
    <mergeCell ref="M4:M5"/>
    <mergeCell ref="N4:N6"/>
    <mergeCell ref="O4:O5"/>
    <mergeCell ref="N3:O3"/>
    <mergeCell ref="P3:Q3"/>
    <mergeCell ref="B4:B6"/>
    <mergeCell ref="C4:C5"/>
    <mergeCell ref="D4:D6"/>
    <mergeCell ref="E4:E5"/>
    <mergeCell ref="F4:F6"/>
    <mergeCell ref="G4:G5"/>
    <mergeCell ref="H4:H6"/>
    <mergeCell ref="I4:I5"/>
    <mergeCell ref="B3:C3"/>
    <mergeCell ref="D3:E3"/>
    <mergeCell ref="F3:G3"/>
    <mergeCell ref="H3:I3"/>
    <mergeCell ref="J3:K3"/>
    <mergeCell ref="L3:M3"/>
  </mergeCells>
  <printOptions horizontalCentered="1"/>
  <pageMargins left="0.75" right="0.75" top="0.75" bottom="0.75" header="0" footer="0"/>
  <pageSetup paperSize="9" scale="74"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T156"/>
  <sheetViews>
    <sheetView zoomScaleNormal="100" zoomScaleSheetLayoutView="85" workbookViewId="0">
      <pane xSplit="1" ySplit="108" topLeftCell="B112" activePane="bottomRight" state="frozen"/>
      <selection activeCell="A38" sqref="A38"/>
      <selection pane="topRight" activeCell="A38" sqref="A38"/>
      <selection pane="bottomLeft" activeCell="A38" sqref="A38"/>
      <selection pane="bottomRight" activeCell="X126" sqref="X126"/>
    </sheetView>
  </sheetViews>
  <sheetFormatPr defaultRowHeight="14.25" x14ac:dyDescent="0.25"/>
  <cols>
    <col min="1" max="1" width="11.7109375" style="627" customWidth="1"/>
    <col min="2" max="4" width="9.42578125" style="627" customWidth="1"/>
    <col min="5" max="5" width="11.7109375" style="627" customWidth="1"/>
    <col min="6" max="6" width="15.140625" style="627" customWidth="1"/>
    <col min="7" max="7" width="15.140625" style="627" hidden="1" customWidth="1"/>
    <col min="8" max="8" width="17.140625" style="627" customWidth="1"/>
    <col min="9" max="9" width="18.140625" style="627" customWidth="1"/>
    <col min="10" max="10" width="15.85546875" style="627" customWidth="1"/>
    <col min="11" max="11" width="7.28515625" style="627" customWidth="1"/>
    <col min="12" max="12" width="7.28515625" style="628" customWidth="1"/>
    <col min="13" max="13" width="7.28515625" style="627" customWidth="1"/>
    <col min="14" max="14" width="12.28515625" style="627" customWidth="1"/>
    <col min="15" max="15" width="7.28515625" style="627" customWidth="1"/>
    <col min="16" max="16" width="6.42578125" style="627" customWidth="1"/>
    <col min="17" max="17" width="6.42578125" style="629" customWidth="1"/>
    <col min="18" max="20" width="6.42578125" style="627" customWidth="1"/>
    <col min="21" max="21" width="5.28515625" style="627" customWidth="1"/>
    <col min="22" max="22" width="6.28515625" style="627" customWidth="1"/>
    <col min="23" max="247" width="9.140625" style="627"/>
    <col min="248" max="248" width="13.28515625" style="627" customWidth="1"/>
    <col min="249" max="249" width="10.5703125" style="627" customWidth="1"/>
    <col min="250" max="250" width="12.140625" style="627" customWidth="1"/>
    <col min="251" max="251" width="8.140625" style="627" bestFit="1" customWidth="1"/>
    <col min="252" max="252" width="11.5703125" style="627" bestFit="1" customWidth="1"/>
    <col min="253" max="253" width="11.140625" style="627" customWidth="1"/>
    <col min="254" max="254" width="12.5703125" style="627" customWidth="1"/>
    <col min="255" max="255" width="13.85546875" style="627" customWidth="1"/>
    <col min="256" max="256" width="13.42578125" style="627" customWidth="1"/>
    <col min="257" max="257" width="11" style="627" customWidth="1"/>
    <col min="258" max="258" width="17.7109375" style="627" bestFit="1" customWidth="1"/>
    <col min="259" max="260" width="9.140625" style="627"/>
    <col min="261" max="261" width="10.140625" style="627" customWidth="1"/>
    <col min="262" max="503" width="9.140625" style="627"/>
    <col min="504" max="504" width="13.28515625" style="627" customWidth="1"/>
    <col min="505" max="505" width="10.5703125" style="627" customWidth="1"/>
    <col min="506" max="506" width="12.140625" style="627" customWidth="1"/>
    <col min="507" max="507" width="8.140625" style="627" bestFit="1" customWidth="1"/>
    <col min="508" max="508" width="11.5703125" style="627" bestFit="1" customWidth="1"/>
    <col min="509" max="509" width="11.140625" style="627" customWidth="1"/>
    <col min="510" max="510" width="12.5703125" style="627" customWidth="1"/>
    <col min="511" max="511" width="13.85546875" style="627" customWidth="1"/>
    <col min="512" max="512" width="13.42578125" style="627" customWidth="1"/>
    <col min="513" max="513" width="11" style="627" customWidth="1"/>
    <col min="514" max="514" width="17.7109375" style="627" bestFit="1" customWidth="1"/>
    <col min="515" max="516" width="9.140625" style="627"/>
    <col min="517" max="517" width="10.140625" style="627" customWidth="1"/>
    <col min="518" max="759" width="9.140625" style="627"/>
    <col min="760" max="760" width="13.28515625" style="627" customWidth="1"/>
    <col min="761" max="761" width="10.5703125" style="627" customWidth="1"/>
    <col min="762" max="762" width="12.140625" style="627" customWidth="1"/>
    <col min="763" max="763" width="8.140625" style="627" bestFit="1" customWidth="1"/>
    <col min="764" max="764" width="11.5703125" style="627" bestFit="1" customWidth="1"/>
    <col min="765" max="765" width="11.140625" style="627" customWidth="1"/>
    <col min="766" max="766" width="12.5703125" style="627" customWidth="1"/>
    <col min="767" max="767" width="13.85546875" style="627" customWidth="1"/>
    <col min="768" max="768" width="13.42578125" style="627" customWidth="1"/>
    <col min="769" max="769" width="11" style="627" customWidth="1"/>
    <col min="770" max="770" width="17.7109375" style="627" bestFit="1" customWidth="1"/>
    <col min="771" max="772" width="9.140625" style="627"/>
    <col min="773" max="773" width="10.140625" style="627" customWidth="1"/>
    <col min="774" max="1015" width="9.140625" style="627"/>
    <col min="1016" max="1016" width="13.28515625" style="627" customWidth="1"/>
    <col min="1017" max="1017" width="10.5703125" style="627" customWidth="1"/>
    <col min="1018" max="1018" width="12.140625" style="627" customWidth="1"/>
    <col min="1019" max="1019" width="8.140625" style="627" bestFit="1" customWidth="1"/>
    <col min="1020" max="1020" width="11.5703125" style="627" bestFit="1" customWidth="1"/>
    <col min="1021" max="1021" width="11.140625" style="627" customWidth="1"/>
    <col min="1022" max="1022" width="12.5703125" style="627" customWidth="1"/>
    <col min="1023" max="1023" width="13.85546875" style="627" customWidth="1"/>
    <col min="1024" max="1024" width="13.42578125" style="627" customWidth="1"/>
    <col min="1025" max="1025" width="11" style="627" customWidth="1"/>
    <col min="1026" max="1026" width="17.7109375" style="627" bestFit="1" customWidth="1"/>
    <col min="1027" max="1028" width="9.140625" style="627"/>
    <col min="1029" max="1029" width="10.140625" style="627" customWidth="1"/>
    <col min="1030" max="1271" width="9.140625" style="627"/>
    <col min="1272" max="1272" width="13.28515625" style="627" customWidth="1"/>
    <col min="1273" max="1273" width="10.5703125" style="627" customWidth="1"/>
    <col min="1274" max="1274" width="12.140625" style="627" customWidth="1"/>
    <col min="1275" max="1275" width="8.140625" style="627" bestFit="1" customWidth="1"/>
    <col min="1276" max="1276" width="11.5703125" style="627" bestFit="1" customWidth="1"/>
    <col min="1277" max="1277" width="11.140625" style="627" customWidth="1"/>
    <col min="1278" max="1278" width="12.5703125" style="627" customWidth="1"/>
    <col min="1279" max="1279" width="13.85546875" style="627" customWidth="1"/>
    <col min="1280" max="1280" width="13.42578125" style="627" customWidth="1"/>
    <col min="1281" max="1281" width="11" style="627" customWidth="1"/>
    <col min="1282" max="1282" width="17.7109375" style="627" bestFit="1" customWidth="1"/>
    <col min="1283" max="1284" width="9.140625" style="627"/>
    <col min="1285" max="1285" width="10.140625" style="627" customWidth="1"/>
    <col min="1286" max="1527" width="9.140625" style="627"/>
    <col min="1528" max="1528" width="13.28515625" style="627" customWidth="1"/>
    <col min="1529" max="1529" width="10.5703125" style="627" customWidth="1"/>
    <col min="1530" max="1530" width="12.140625" style="627" customWidth="1"/>
    <col min="1531" max="1531" width="8.140625" style="627" bestFit="1" customWidth="1"/>
    <col min="1532" max="1532" width="11.5703125" style="627" bestFit="1" customWidth="1"/>
    <col min="1533" max="1533" width="11.140625" style="627" customWidth="1"/>
    <col min="1534" max="1534" width="12.5703125" style="627" customWidth="1"/>
    <col min="1535" max="1535" width="13.85546875" style="627" customWidth="1"/>
    <col min="1536" max="1536" width="13.42578125" style="627" customWidth="1"/>
    <col min="1537" max="1537" width="11" style="627" customWidth="1"/>
    <col min="1538" max="1538" width="17.7109375" style="627" bestFit="1" customWidth="1"/>
    <col min="1539" max="1540" width="9.140625" style="627"/>
    <col min="1541" max="1541" width="10.140625" style="627" customWidth="1"/>
    <col min="1542" max="1783" width="9.140625" style="627"/>
    <col min="1784" max="1784" width="13.28515625" style="627" customWidth="1"/>
    <col min="1785" max="1785" width="10.5703125" style="627" customWidth="1"/>
    <col min="1786" max="1786" width="12.140625" style="627" customWidth="1"/>
    <col min="1787" max="1787" width="8.140625" style="627" bestFit="1" customWidth="1"/>
    <col min="1788" max="1788" width="11.5703125" style="627" bestFit="1" customWidth="1"/>
    <col min="1789" max="1789" width="11.140625" style="627" customWidth="1"/>
    <col min="1790" max="1790" width="12.5703125" style="627" customWidth="1"/>
    <col min="1791" max="1791" width="13.85546875" style="627" customWidth="1"/>
    <col min="1792" max="1792" width="13.42578125" style="627" customWidth="1"/>
    <col min="1793" max="1793" width="11" style="627" customWidth="1"/>
    <col min="1794" max="1794" width="17.7109375" style="627" bestFit="1" customWidth="1"/>
    <col min="1795" max="1796" width="9.140625" style="627"/>
    <col min="1797" max="1797" width="10.140625" style="627" customWidth="1"/>
    <col min="1798" max="2039" width="9.140625" style="627"/>
    <col min="2040" max="2040" width="13.28515625" style="627" customWidth="1"/>
    <col min="2041" max="2041" width="10.5703125" style="627" customWidth="1"/>
    <col min="2042" max="2042" width="12.140625" style="627" customWidth="1"/>
    <col min="2043" max="2043" width="8.140625" style="627" bestFit="1" customWidth="1"/>
    <col min="2044" max="2044" width="11.5703125" style="627" bestFit="1" customWidth="1"/>
    <col min="2045" max="2045" width="11.140625" style="627" customWidth="1"/>
    <col min="2046" max="2046" width="12.5703125" style="627" customWidth="1"/>
    <col min="2047" max="2047" width="13.85546875" style="627" customWidth="1"/>
    <col min="2048" max="2048" width="13.42578125" style="627" customWidth="1"/>
    <col min="2049" max="2049" width="11" style="627" customWidth="1"/>
    <col min="2050" max="2050" width="17.7109375" style="627" bestFit="1" customWidth="1"/>
    <col min="2051" max="2052" width="9.140625" style="627"/>
    <col min="2053" max="2053" width="10.140625" style="627" customWidth="1"/>
    <col min="2054" max="2295" width="9.140625" style="627"/>
    <col min="2296" max="2296" width="13.28515625" style="627" customWidth="1"/>
    <col min="2297" max="2297" width="10.5703125" style="627" customWidth="1"/>
    <col min="2298" max="2298" width="12.140625" style="627" customWidth="1"/>
    <col min="2299" max="2299" width="8.140625" style="627" bestFit="1" customWidth="1"/>
    <col min="2300" max="2300" width="11.5703125" style="627" bestFit="1" customWidth="1"/>
    <col min="2301" max="2301" width="11.140625" style="627" customWidth="1"/>
    <col min="2302" max="2302" width="12.5703125" style="627" customWidth="1"/>
    <col min="2303" max="2303" width="13.85546875" style="627" customWidth="1"/>
    <col min="2304" max="2304" width="13.42578125" style="627" customWidth="1"/>
    <col min="2305" max="2305" width="11" style="627" customWidth="1"/>
    <col min="2306" max="2306" width="17.7109375" style="627" bestFit="1" customWidth="1"/>
    <col min="2307" max="2308" width="9.140625" style="627"/>
    <col min="2309" max="2309" width="10.140625" style="627" customWidth="1"/>
    <col min="2310" max="2551" width="9.140625" style="627"/>
    <col min="2552" max="2552" width="13.28515625" style="627" customWidth="1"/>
    <col min="2553" max="2553" width="10.5703125" style="627" customWidth="1"/>
    <col min="2554" max="2554" width="12.140625" style="627" customWidth="1"/>
    <col min="2555" max="2555" width="8.140625" style="627" bestFit="1" customWidth="1"/>
    <col min="2556" max="2556" width="11.5703125" style="627" bestFit="1" customWidth="1"/>
    <col min="2557" max="2557" width="11.140625" style="627" customWidth="1"/>
    <col min="2558" max="2558" width="12.5703125" style="627" customWidth="1"/>
    <col min="2559" max="2559" width="13.85546875" style="627" customWidth="1"/>
    <col min="2560" max="2560" width="13.42578125" style="627" customWidth="1"/>
    <col min="2561" max="2561" width="11" style="627" customWidth="1"/>
    <col min="2562" max="2562" width="17.7109375" style="627" bestFit="1" customWidth="1"/>
    <col min="2563" max="2564" width="9.140625" style="627"/>
    <col min="2565" max="2565" width="10.140625" style="627" customWidth="1"/>
    <col min="2566" max="2807" width="9.140625" style="627"/>
    <col min="2808" max="2808" width="13.28515625" style="627" customWidth="1"/>
    <col min="2809" max="2809" width="10.5703125" style="627" customWidth="1"/>
    <col min="2810" max="2810" width="12.140625" style="627" customWidth="1"/>
    <col min="2811" max="2811" width="8.140625" style="627" bestFit="1" customWidth="1"/>
    <col min="2812" max="2812" width="11.5703125" style="627" bestFit="1" customWidth="1"/>
    <col min="2813" max="2813" width="11.140625" style="627" customWidth="1"/>
    <col min="2814" max="2814" width="12.5703125" style="627" customWidth="1"/>
    <col min="2815" max="2815" width="13.85546875" style="627" customWidth="1"/>
    <col min="2816" max="2816" width="13.42578125" style="627" customWidth="1"/>
    <col min="2817" max="2817" width="11" style="627" customWidth="1"/>
    <col min="2818" max="2818" width="17.7109375" style="627" bestFit="1" customWidth="1"/>
    <col min="2819" max="2820" width="9.140625" style="627"/>
    <col min="2821" max="2821" width="10.140625" style="627" customWidth="1"/>
    <col min="2822" max="3063" width="9.140625" style="627"/>
    <col min="3064" max="3064" width="13.28515625" style="627" customWidth="1"/>
    <col min="3065" max="3065" width="10.5703125" style="627" customWidth="1"/>
    <col min="3066" max="3066" width="12.140625" style="627" customWidth="1"/>
    <col min="3067" max="3067" width="8.140625" style="627" bestFit="1" customWidth="1"/>
    <col min="3068" max="3068" width="11.5703125" style="627" bestFit="1" customWidth="1"/>
    <col min="3069" max="3069" width="11.140625" style="627" customWidth="1"/>
    <col min="3070" max="3070" width="12.5703125" style="627" customWidth="1"/>
    <col min="3071" max="3071" width="13.85546875" style="627" customWidth="1"/>
    <col min="3072" max="3072" width="13.42578125" style="627" customWidth="1"/>
    <col min="3073" max="3073" width="11" style="627" customWidth="1"/>
    <col min="3074" max="3074" width="17.7109375" style="627" bestFit="1" customWidth="1"/>
    <col min="3075" max="3076" width="9.140625" style="627"/>
    <col min="3077" max="3077" width="10.140625" style="627" customWidth="1"/>
    <col min="3078" max="3319" width="9.140625" style="627"/>
    <col min="3320" max="3320" width="13.28515625" style="627" customWidth="1"/>
    <col min="3321" max="3321" width="10.5703125" style="627" customWidth="1"/>
    <col min="3322" max="3322" width="12.140625" style="627" customWidth="1"/>
    <col min="3323" max="3323" width="8.140625" style="627" bestFit="1" customWidth="1"/>
    <col min="3324" max="3324" width="11.5703125" style="627" bestFit="1" customWidth="1"/>
    <col min="3325" max="3325" width="11.140625" style="627" customWidth="1"/>
    <col min="3326" max="3326" width="12.5703125" style="627" customWidth="1"/>
    <col min="3327" max="3327" width="13.85546875" style="627" customWidth="1"/>
    <col min="3328" max="3328" width="13.42578125" style="627" customWidth="1"/>
    <col min="3329" max="3329" width="11" style="627" customWidth="1"/>
    <col min="3330" max="3330" width="17.7109375" style="627" bestFit="1" customWidth="1"/>
    <col min="3331" max="3332" width="9.140625" style="627"/>
    <col min="3333" max="3333" width="10.140625" style="627" customWidth="1"/>
    <col min="3334" max="3575" width="9.140625" style="627"/>
    <col min="3576" max="3576" width="13.28515625" style="627" customWidth="1"/>
    <col min="3577" max="3577" width="10.5703125" style="627" customWidth="1"/>
    <col min="3578" max="3578" width="12.140625" style="627" customWidth="1"/>
    <col min="3579" max="3579" width="8.140625" style="627" bestFit="1" customWidth="1"/>
    <col min="3580" max="3580" width="11.5703125" style="627" bestFit="1" customWidth="1"/>
    <col min="3581" max="3581" width="11.140625" style="627" customWidth="1"/>
    <col min="3582" max="3582" width="12.5703125" style="627" customWidth="1"/>
    <col min="3583" max="3583" width="13.85546875" style="627" customWidth="1"/>
    <col min="3584" max="3584" width="13.42578125" style="627" customWidth="1"/>
    <col min="3585" max="3585" width="11" style="627" customWidth="1"/>
    <col min="3586" max="3586" width="17.7109375" style="627" bestFit="1" customWidth="1"/>
    <col min="3587" max="3588" width="9.140625" style="627"/>
    <col min="3589" max="3589" width="10.140625" style="627" customWidth="1"/>
    <col min="3590" max="3831" width="9.140625" style="627"/>
    <col min="3832" max="3832" width="13.28515625" style="627" customWidth="1"/>
    <col min="3833" max="3833" width="10.5703125" style="627" customWidth="1"/>
    <col min="3834" max="3834" width="12.140625" style="627" customWidth="1"/>
    <col min="3835" max="3835" width="8.140625" style="627" bestFit="1" customWidth="1"/>
    <col min="3836" max="3836" width="11.5703125" style="627" bestFit="1" customWidth="1"/>
    <col min="3837" max="3837" width="11.140625" style="627" customWidth="1"/>
    <col min="3838" max="3838" width="12.5703125" style="627" customWidth="1"/>
    <col min="3839" max="3839" width="13.85546875" style="627" customWidth="1"/>
    <col min="3840" max="3840" width="13.42578125" style="627" customWidth="1"/>
    <col min="3841" max="3841" width="11" style="627" customWidth="1"/>
    <col min="3842" max="3842" width="17.7109375" style="627" bestFit="1" customWidth="1"/>
    <col min="3843" max="3844" width="9.140625" style="627"/>
    <col min="3845" max="3845" width="10.140625" style="627" customWidth="1"/>
    <col min="3846" max="4087" width="9.140625" style="627"/>
    <col min="4088" max="4088" width="13.28515625" style="627" customWidth="1"/>
    <col min="4089" max="4089" width="10.5703125" style="627" customWidth="1"/>
    <col min="4090" max="4090" width="12.140625" style="627" customWidth="1"/>
    <col min="4091" max="4091" width="8.140625" style="627" bestFit="1" customWidth="1"/>
    <col min="4092" max="4092" width="11.5703125" style="627" bestFit="1" customWidth="1"/>
    <col min="4093" max="4093" width="11.140625" style="627" customWidth="1"/>
    <col min="4094" max="4094" width="12.5703125" style="627" customWidth="1"/>
    <col min="4095" max="4095" width="13.85546875" style="627" customWidth="1"/>
    <col min="4096" max="4096" width="13.42578125" style="627" customWidth="1"/>
    <col min="4097" max="4097" width="11" style="627" customWidth="1"/>
    <col min="4098" max="4098" width="17.7109375" style="627" bestFit="1" customWidth="1"/>
    <col min="4099" max="4100" width="9.140625" style="627"/>
    <col min="4101" max="4101" width="10.140625" style="627" customWidth="1"/>
    <col min="4102" max="4343" width="9.140625" style="627"/>
    <col min="4344" max="4344" width="13.28515625" style="627" customWidth="1"/>
    <col min="4345" max="4345" width="10.5703125" style="627" customWidth="1"/>
    <col min="4346" max="4346" width="12.140625" style="627" customWidth="1"/>
    <col min="4347" max="4347" width="8.140625" style="627" bestFit="1" customWidth="1"/>
    <col min="4348" max="4348" width="11.5703125" style="627" bestFit="1" customWidth="1"/>
    <col min="4349" max="4349" width="11.140625" style="627" customWidth="1"/>
    <col min="4350" max="4350" width="12.5703125" style="627" customWidth="1"/>
    <col min="4351" max="4351" width="13.85546875" style="627" customWidth="1"/>
    <col min="4352" max="4352" width="13.42578125" style="627" customWidth="1"/>
    <col min="4353" max="4353" width="11" style="627" customWidth="1"/>
    <col min="4354" max="4354" width="17.7109375" style="627" bestFit="1" customWidth="1"/>
    <col min="4355" max="4356" width="9.140625" style="627"/>
    <col min="4357" max="4357" width="10.140625" style="627" customWidth="1"/>
    <col min="4358" max="4599" width="9.140625" style="627"/>
    <col min="4600" max="4600" width="13.28515625" style="627" customWidth="1"/>
    <col min="4601" max="4601" width="10.5703125" style="627" customWidth="1"/>
    <col min="4602" max="4602" width="12.140625" style="627" customWidth="1"/>
    <col min="4603" max="4603" width="8.140625" style="627" bestFit="1" customWidth="1"/>
    <col min="4604" max="4604" width="11.5703125" style="627" bestFit="1" customWidth="1"/>
    <col min="4605" max="4605" width="11.140625" style="627" customWidth="1"/>
    <col min="4606" max="4606" width="12.5703125" style="627" customWidth="1"/>
    <col min="4607" max="4607" width="13.85546875" style="627" customWidth="1"/>
    <col min="4608" max="4608" width="13.42578125" style="627" customWidth="1"/>
    <col min="4609" max="4609" width="11" style="627" customWidth="1"/>
    <col min="4610" max="4610" width="17.7109375" style="627" bestFit="1" customWidth="1"/>
    <col min="4611" max="4612" width="9.140625" style="627"/>
    <col min="4613" max="4613" width="10.140625" style="627" customWidth="1"/>
    <col min="4614" max="4855" width="9.140625" style="627"/>
    <col min="4856" max="4856" width="13.28515625" style="627" customWidth="1"/>
    <col min="4857" max="4857" width="10.5703125" style="627" customWidth="1"/>
    <col min="4858" max="4858" width="12.140625" style="627" customWidth="1"/>
    <col min="4859" max="4859" width="8.140625" style="627" bestFit="1" customWidth="1"/>
    <col min="4860" max="4860" width="11.5703125" style="627" bestFit="1" customWidth="1"/>
    <col min="4861" max="4861" width="11.140625" style="627" customWidth="1"/>
    <col min="4862" max="4862" width="12.5703125" style="627" customWidth="1"/>
    <col min="4863" max="4863" width="13.85546875" style="627" customWidth="1"/>
    <col min="4864" max="4864" width="13.42578125" style="627" customWidth="1"/>
    <col min="4865" max="4865" width="11" style="627" customWidth="1"/>
    <col min="4866" max="4866" width="17.7109375" style="627" bestFit="1" customWidth="1"/>
    <col min="4867" max="4868" width="9.140625" style="627"/>
    <col min="4869" max="4869" width="10.140625" style="627" customWidth="1"/>
    <col min="4870" max="5111" width="9.140625" style="627"/>
    <col min="5112" max="5112" width="13.28515625" style="627" customWidth="1"/>
    <col min="5113" max="5113" width="10.5703125" style="627" customWidth="1"/>
    <col min="5114" max="5114" width="12.140625" style="627" customWidth="1"/>
    <col min="5115" max="5115" width="8.140625" style="627" bestFit="1" customWidth="1"/>
    <col min="5116" max="5116" width="11.5703125" style="627" bestFit="1" customWidth="1"/>
    <col min="5117" max="5117" width="11.140625" style="627" customWidth="1"/>
    <col min="5118" max="5118" width="12.5703125" style="627" customWidth="1"/>
    <col min="5119" max="5119" width="13.85546875" style="627" customWidth="1"/>
    <col min="5120" max="5120" width="13.42578125" style="627" customWidth="1"/>
    <col min="5121" max="5121" width="11" style="627" customWidth="1"/>
    <col min="5122" max="5122" width="17.7109375" style="627" bestFit="1" customWidth="1"/>
    <col min="5123" max="5124" width="9.140625" style="627"/>
    <col min="5125" max="5125" width="10.140625" style="627" customWidth="1"/>
    <col min="5126" max="5367" width="9.140625" style="627"/>
    <col min="5368" max="5368" width="13.28515625" style="627" customWidth="1"/>
    <col min="5369" max="5369" width="10.5703125" style="627" customWidth="1"/>
    <col min="5370" max="5370" width="12.140625" style="627" customWidth="1"/>
    <col min="5371" max="5371" width="8.140625" style="627" bestFit="1" customWidth="1"/>
    <col min="5372" max="5372" width="11.5703125" style="627" bestFit="1" customWidth="1"/>
    <col min="5373" max="5373" width="11.140625" style="627" customWidth="1"/>
    <col min="5374" max="5374" width="12.5703125" style="627" customWidth="1"/>
    <col min="5375" max="5375" width="13.85546875" style="627" customWidth="1"/>
    <col min="5376" max="5376" width="13.42578125" style="627" customWidth="1"/>
    <col min="5377" max="5377" width="11" style="627" customWidth="1"/>
    <col min="5378" max="5378" width="17.7109375" style="627" bestFit="1" customWidth="1"/>
    <col min="5379" max="5380" width="9.140625" style="627"/>
    <col min="5381" max="5381" width="10.140625" style="627" customWidth="1"/>
    <col min="5382" max="5623" width="9.140625" style="627"/>
    <col min="5624" max="5624" width="13.28515625" style="627" customWidth="1"/>
    <col min="5625" max="5625" width="10.5703125" style="627" customWidth="1"/>
    <col min="5626" max="5626" width="12.140625" style="627" customWidth="1"/>
    <col min="5627" max="5627" width="8.140625" style="627" bestFit="1" customWidth="1"/>
    <col min="5628" max="5628" width="11.5703125" style="627" bestFit="1" customWidth="1"/>
    <col min="5629" max="5629" width="11.140625" style="627" customWidth="1"/>
    <col min="5630" max="5630" width="12.5703125" style="627" customWidth="1"/>
    <col min="5631" max="5631" width="13.85546875" style="627" customWidth="1"/>
    <col min="5632" max="5632" width="13.42578125" style="627" customWidth="1"/>
    <col min="5633" max="5633" width="11" style="627" customWidth="1"/>
    <col min="5634" max="5634" width="17.7109375" style="627" bestFit="1" customWidth="1"/>
    <col min="5635" max="5636" width="9.140625" style="627"/>
    <col min="5637" max="5637" width="10.140625" style="627" customWidth="1"/>
    <col min="5638" max="5879" width="9.140625" style="627"/>
    <col min="5880" max="5880" width="13.28515625" style="627" customWidth="1"/>
    <col min="5881" max="5881" width="10.5703125" style="627" customWidth="1"/>
    <col min="5882" max="5882" width="12.140625" style="627" customWidth="1"/>
    <col min="5883" max="5883" width="8.140625" style="627" bestFit="1" customWidth="1"/>
    <col min="5884" max="5884" width="11.5703125" style="627" bestFit="1" customWidth="1"/>
    <col min="5885" max="5885" width="11.140625" style="627" customWidth="1"/>
    <col min="5886" max="5886" width="12.5703125" style="627" customWidth="1"/>
    <col min="5887" max="5887" width="13.85546875" style="627" customWidth="1"/>
    <col min="5888" max="5888" width="13.42578125" style="627" customWidth="1"/>
    <col min="5889" max="5889" width="11" style="627" customWidth="1"/>
    <col min="5890" max="5890" width="17.7109375" style="627" bestFit="1" customWidth="1"/>
    <col min="5891" max="5892" width="9.140625" style="627"/>
    <col min="5893" max="5893" width="10.140625" style="627" customWidth="1"/>
    <col min="5894" max="6135" width="9.140625" style="627"/>
    <col min="6136" max="6136" width="13.28515625" style="627" customWidth="1"/>
    <col min="6137" max="6137" width="10.5703125" style="627" customWidth="1"/>
    <col min="6138" max="6138" width="12.140625" style="627" customWidth="1"/>
    <col min="6139" max="6139" width="8.140625" style="627" bestFit="1" customWidth="1"/>
    <col min="6140" max="6140" width="11.5703125" style="627" bestFit="1" customWidth="1"/>
    <col min="6141" max="6141" width="11.140625" style="627" customWidth="1"/>
    <col min="6142" max="6142" width="12.5703125" style="627" customWidth="1"/>
    <col min="6143" max="6143" width="13.85546875" style="627" customWidth="1"/>
    <col min="6144" max="6144" width="13.42578125" style="627" customWidth="1"/>
    <col min="6145" max="6145" width="11" style="627" customWidth="1"/>
    <col min="6146" max="6146" width="17.7109375" style="627" bestFit="1" customWidth="1"/>
    <col min="6147" max="6148" width="9.140625" style="627"/>
    <col min="6149" max="6149" width="10.140625" style="627" customWidth="1"/>
    <col min="6150" max="6391" width="9.140625" style="627"/>
    <col min="6392" max="6392" width="13.28515625" style="627" customWidth="1"/>
    <col min="6393" max="6393" width="10.5703125" style="627" customWidth="1"/>
    <col min="6394" max="6394" width="12.140625" style="627" customWidth="1"/>
    <col min="6395" max="6395" width="8.140625" style="627" bestFit="1" customWidth="1"/>
    <col min="6396" max="6396" width="11.5703125" style="627" bestFit="1" customWidth="1"/>
    <col min="6397" max="6397" width="11.140625" style="627" customWidth="1"/>
    <col min="6398" max="6398" width="12.5703125" style="627" customWidth="1"/>
    <col min="6399" max="6399" width="13.85546875" style="627" customWidth="1"/>
    <col min="6400" max="6400" width="13.42578125" style="627" customWidth="1"/>
    <col min="6401" max="6401" width="11" style="627" customWidth="1"/>
    <col min="6402" max="6402" width="17.7109375" style="627" bestFit="1" customWidth="1"/>
    <col min="6403" max="6404" width="9.140625" style="627"/>
    <col min="6405" max="6405" width="10.140625" style="627" customWidth="1"/>
    <col min="6406" max="6647" width="9.140625" style="627"/>
    <col min="6648" max="6648" width="13.28515625" style="627" customWidth="1"/>
    <col min="6649" max="6649" width="10.5703125" style="627" customWidth="1"/>
    <col min="6650" max="6650" width="12.140625" style="627" customWidth="1"/>
    <col min="6651" max="6651" width="8.140625" style="627" bestFit="1" customWidth="1"/>
    <col min="6652" max="6652" width="11.5703125" style="627" bestFit="1" customWidth="1"/>
    <col min="6653" max="6653" width="11.140625" style="627" customWidth="1"/>
    <col min="6654" max="6654" width="12.5703125" style="627" customWidth="1"/>
    <col min="6655" max="6655" width="13.85546875" style="627" customWidth="1"/>
    <col min="6656" max="6656" width="13.42578125" style="627" customWidth="1"/>
    <col min="6657" max="6657" width="11" style="627" customWidth="1"/>
    <col min="6658" max="6658" width="17.7109375" style="627" bestFit="1" customWidth="1"/>
    <col min="6659" max="6660" width="9.140625" style="627"/>
    <col min="6661" max="6661" width="10.140625" style="627" customWidth="1"/>
    <col min="6662" max="6903" width="9.140625" style="627"/>
    <col min="6904" max="6904" width="13.28515625" style="627" customWidth="1"/>
    <col min="6905" max="6905" width="10.5703125" style="627" customWidth="1"/>
    <col min="6906" max="6906" width="12.140625" style="627" customWidth="1"/>
    <col min="6907" max="6907" width="8.140625" style="627" bestFit="1" customWidth="1"/>
    <col min="6908" max="6908" width="11.5703125" style="627" bestFit="1" customWidth="1"/>
    <col min="6909" max="6909" width="11.140625" style="627" customWidth="1"/>
    <col min="6910" max="6910" width="12.5703125" style="627" customWidth="1"/>
    <col min="6911" max="6911" width="13.85546875" style="627" customWidth="1"/>
    <col min="6912" max="6912" width="13.42578125" style="627" customWidth="1"/>
    <col min="6913" max="6913" width="11" style="627" customWidth="1"/>
    <col min="6914" max="6914" width="17.7109375" style="627" bestFit="1" customWidth="1"/>
    <col min="6915" max="6916" width="9.140625" style="627"/>
    <col min="6917" max="6917" width="10.140625" style="627" customWidth="1"/>
    <col min="6918" max="7159" width="9.140625" style="627"/>
    <col min="7160" max="7160" width="13.28515625" style="627" customWidth="1"/>
    <col min="7161" max="7161" width="10.5703125" style="627" customWidth="1"/>
    <col min="7162" max="7162" width="12.140625" style="627" customWidth="1"/>
    <col min="7163" max="7163" width="8.140625" style="627" bestFit="1" customWidth="1"/>
    <col min="7164" max="7164" width="11.5703125" style="627" bestFit="1" customWidth="1"/>
    <col min="7165" max="7165" width="11.140625" style="627" customWidth="1"/>
    <col min="7166" max="7166" width="12.5703125" style="627" customWidth="1"/>
    <col min="7167" max="7167" width="13.85546875" style="627" customWidth="1"/>
    <col min="7168" max="7168" width="13.42578125" style="627" customWidth="1"/>
    <col min="7169" max="7169" width="11" style="627" customWidth="1"/>
    <col min="7170" max="7170" width="17.7109375" style="627" bestFit="1" customWidth="1"/>
    <col min="7171" max="7172" width="9.140625" style="627"/>
    <col min="7173" max="7173" width="10.140625" style="627" customWidth="1"/>
    <col min="7174" max="7415" width="9.140625" style="627"/>
    <col min="7416" max="7416" width="13.28515625" style="627" customWidth="1"/>
    <col min="7417" max="7417" width="10.5703125" style="627" customWidth="1"/>
    <col min="7418" max="7418" width="12.140625" style="627" customWidth="1"/>
    <col min="7419" max="7419" width="8.140625" style="627" bestFit="1" customWidth="1"/>
    <col min="7420" max="7420" width="11.5703125" style="627" bestFit="1" customWidth="1"/>
    <col min="7421" max="7421" width="11.140625" style="627" customWidth="1"/>
    <col min="7422" max="7422" width="12.5703125" style="627" customWidth="1"/>
    <col min="7423" max="7423" width="13.85546875" style="627" customWidth="1"/>
    <col min="7424" max="7424" width="13.42578125" style="627" customWidth="1"/>
    <col min="7425" max="7425" width="11" style="627" customWidth="1"/>
    <col min="7426" max="7426" width="17.7109375" style="627" bestFit="1" customWidth="1"/>
    <col min="7427" max="7428" width="9.140625" style="627"/>
    <col min="7429" max="7429" width="10.140625" style="627" customWidth="1"/>
    <col min="7430" max="7671" width="9.140625" style="627"/>
    <col min="7672" max="7672" width="13.28515625" style="627" customWidth="1"/>
    <col min="7673" max="7673" width="10.5703125" style="627" customWidth="1"/>
    <col min="7674" max="7674" width="12.140625" style="627" customWidth="1"/>
    <col min="7675" max="7675" width="8.140625" style="627" bestFit="1" customWidth="1"/>
    <col min="7676" max="7676" width="11.5703125" style="627" bestFit="1" customWidth="1"/>
    <col min="7677" max="7677" width="11.140625" style="627" customWidth="1"/>
    <col min="7678" max="7678" width="12.5703125" style="627" customWidth="1"/>
    <col min="7679" max="7679" width="13.85546875" style="627" customWidth="1"/>
    <col min="7680" max="7680" width="13.42578125" style="627" customWidth="1"/>
    <col min="7681" max="7681" width="11" style="627" customWidth="1"/>
    <col min="7682" max="7682" width="17.7109375" style="627" bestFit="1" customWidth="1"/>
    <col min="7683" max="7684" width="9.140625" style="627"/>
    <col min="7685" max="7685" width="10.140625" style="627" customWidth="1"/>
    <col min="7686" max="7927" width="9.140625" style="627"/>
    <col min="7928" max="7928" width="13.28515625" style="627" customWidth="1"/>
    <col min="7929" max="7929" width="10.5703125" style="627" customWidth="1"/>
    <col min="7930" max="7930" width="12.140625" style="627" customWidth="1"/>
    <col min="7931" max="7931" width="8.140625" style="627" bestFit="1" customWidth="1"/>
    <col min="7932" max="7932" width="11.5703125" style="627" bestFit="1" customWidth="1"/>
    <col min="7933" max="7933" width="11.140625" style="627" customWidth="1"/>
    <col min="7934" max="7934" width="12.5703125" style="627" customWidth="1"/>
    <col min="7935" max="7935" width="13.85546875" style="627" customWidth="1"/>
    <col min="7936" max="7936" width="13.42578125" style="627" customWidth="1"/>
    <col min="7937" max="7937" width="11" style="627" customWidth="1"/>
    <col min="7938" max="7938" width="17.7109375" style="627" bestFit="1" customWidth="1"/>
    <col min="7939" max="7940" width="9.140625" style="627"/>
    <col min="7941" max="7941" width="10.140625" style="627" customWidth="1"/>
    <col min="7942" max="8183" width="9.140625" style="627"/>
    <col min="8184" max="8184" width="13.28515625" style="627" customWidth="1"/>
    <col min="8185" max="8185" width="10.5703125" style="627" customWidth="1"/>
    <col min="8186" max="8186" width="12.140625" style="627" customWidth="1"/>
    <col min="8187" max="8187" width="8.140625" style="627" bestFit="1" customWidth="1"/>
    <col min="8188" max="8188" width="11.5703125" style="627" bestFit="1" customWidth="1"/>
    <col min="8189" max="8189" width="11.140625" style="627" customWidth="1"/>
    <col min="8190" max="8190" width="12.5703125" style="627" customWidth="1"/>
    <col min="8191" max="8191" width="13.85546875" style="627" customWidth="1"/>
    <col min="8192" max="8192" width="13.42578125" style="627" customWidth="1"/>
    <col min="8193" max="8193" width="11" style="627" customWidth="1"/>
    <col min="8194" max="8194" width="17.7109375" style="627" bestFit="1" customWidth="1"/>
    <col min="8195" max="8196" width="9.140625" style="627"/>
    <col min="8197" max="8197" width="10.140625" style="627" customWidth="1"/>
    <col min="8198" max="8439" width="9.140625" style="627"/>
    <col min="8440" max="8440" width="13.28515625" style="627" customWidth="1"/>
    <col min="8441" max="8441" width="10.5703125" style="627" customWidth="1"/>
    <col min="8442" max="8442" width="12.140625" style="627" customWidth="1"/>
    <col min="8443" max="8443" width="8.140625" style="627" bestFit="1" customWidth="1"/>
    <col min="8444" max="8444" width="11.5703125" style="627" bestFit="1" customWidth="1"/>
    <col min="8445" max="8445" width="11.140625" style="627" customWidth="1"/>
    <col min="8446" max="8446" width="12.5703125" style="627" customWidth="1"/>
    <col min="8447" max="8447" width="13.85546875" style="627" customWidth="1"/>
    <col min="8448" max="8448" width="13.42578125" style="627" customWidth="1"/>
    <col min="8449" max="8449" width="11" style="627" customWidth="1"/>
    <col min="8450" max="8450" width="17.7109375" style="627" bestFit="1" customWidth="1"/>
    <col min="8451" max="8452" width="9.140625" style="627"/>
    <col min="8453" max="8453" width="10.140625" style="627" customWidth="1"/>
    <col min="8454" max="8695" width="9.140625" style="627"/>
    <col min="8696" max="8696" width="13.28515625" style="627" customWidth="1"/>
    <col min="8697" max="8697" width="10.5703125" style="627" customWidth="1"/>
    <col min="8698" max="8698" width="12.140625" style="627" customWidth="1"/>
    <col min="8699" max="8699" width="8.140625" style="627" bestFit="1" customWidth="1"/>
    <col min="8700" max="8700" width="11.5703125" style="627" bestFit="1" customWidth="1"/>
    <col min="8701" max="8701" width="11.140625" style="627" customWidth="1"/>
    <col min="8702" max="8702" width="12.5703125" style="627" customWidth="1"/>
    <col min="8703" max="8703" width="13.85546875" style="627" customWidth="1"/>
    <col min="8704" max="8704" width="13.42578125" style="627" customWidth="1"/>
    <col min="8705" max="8705" width="11" style="627" customWidth="1"/>
    <col min="8706" max="8706" width="17.7109375" style="627" bestFit="1" customWidth="1"/>
    <col min="8707" max="8708" width="9.140625" style="627"/>
    <col min="8709" max="8709" width="10.140625" style="627" customWidth="1"/>
    <col min="8710" max="8951" width="9.140625" style="627"/>
    <col min="8952" max="8952" width="13.28515625" style="627" customWidth="1"/>
    <col min="8953" max="8953" width="10.5703125" style="627" customWidth="1"/>
    <col min="8954" max="8954" width="12.140625" style="627" customWidth="1"/>
    <col min="8955" max="8955" width="8.140625" style="627" bestFit="1" customWidth="1"/>
    <col min="8956" max="8956" width="11.5703125" style="627" bestFit="1" customWidth="1"/>
    <col min="8957" max="8957" width="11.140625" style="627" customWidth="1"/>
    <col min="8958" max="8958" width="12.5703125" style="627" customWidth="1"/>
    <col min="8959" max="8959" width="13.85546875" style="627" customWidth="1"/>
    <col min="8960" max="8960" width="13.42578125" style="627" customWidth="1"/>
    <col min="8961" max="8961" width="11" style="627" customWidth="1"/>
    <col min="8962" max="8962" width="17.7109375" style="627" bestFit="1" customWidth="1"/>
    <col min="8963" max="8964" width="9.140625" style="627"/>
    <col min="8965" max="8965" width="10.140625" style="627" customWidth="1"/>
    <col min="8966" max="9207" width="9.140625" style="627"/>
    <col min="9208" max="9208" width="13.28515625" style="627" customWidth="1"/>
    <col min="9209" max="9209" width="10.5703125" style="627" customWidth="1"/>
    <col min="9210" max="9210" width="12.140625" style="627" customWidth="1"/>
    <col min="9211" max="9211" width="8.140625" style="627" bestFit="1" customWidth="1"/>
    <col min="9212" max="9212" width="11.5703125" style="627" bestFit="1" customWidth="1"/>
    <col min="9213" max="9213" width="11.140625" style="627" customWidth="1"/>
    <col min="9214" max="9214" width="12.5703125" style="627" customWidth="1"/>
    <col min="9215" max="9215" width="13.85546875" style="627" customWidth="1"/>
    <col min="9216" max="9216" width="13.42578125" style="627" customWidth="1"/>
    <col min="9217" max="9217" width="11" style="627" customWidth="1"/>
    <col min="9218" max="9218" width="17.7109375" style="627" bestFit="1" customWidth="1"/>
    <col min="9219" max="9220" width="9.140625" style="627"/>
    <col min="9221" max="9221" width="10.140625" style="627" customWidth="1"/>
    <col min="9222" max="9463" width="9.140625" style="627"/>
    <col min="9464" max="9464" width="13.28515625" style="627" customWidth="1"/>
    <col min="9465" max="9465" width="10.5703125" style="627" customWidth="1"/>
    <col min="9466" max="9466" width="12.140625" style="627" customWidth="1"/>
    <col min="9467" max="9467" width="8.140625" style="627" bestFit="1" customWidth="1"/>
    <col min="9468" max="9468" width="11.5703125" style="627" bestFit="1" customWidth="1"/>
    <col min="9469" max="9469" width="11.140625" style="627" customWidth="1"/>
    <col min="9470" max="9470" width="12.5703125" style="627" customWidth="1"/>
    <col min="9471" max="9471" width="13.85546875" style="627" customWidth="1"/>
    <col min="9472" max="9472" width="13.42578125" style="627" customWidth="1"/>
    <col min="9473" max="9473" width="11" style="627" customWidth="1"/>
    <col min="9474" max="9474" width="17.7109375" style="627" bestFit="1" customWidth="1"/>
    <col min="9475" max="9476" width="9.140625" style="627"/>
    <col min="9477" max="9477" width="10.140625" style="627" customWidth="1"/>
    <col min="9478" max="9719" width="9.140625" style="627"/>
    <col min="9720" max="9720" width="13.28515625" style="627" customWidth="1"/>
    <col min="9721" max="9721" width="10.5703125" style="627" customWidth="1"/>
    <col min="9722" max="9722" width="12.140625" style="627" customWidth="1"/>
    <col min="9723" max="9723" width="8.140625" style="627" bestFit="1" customWidth="1"/>
    <col min="9724" max="9724" width="11.5703125" style="627" bestFit="1" customWidth="1"/>
    <col min="9725" max="9725" width="11.140625" style="627" customWidth="1"/>
    <col min="9726" max="9726" width="12.5703125" style="627" customWidth="1"/>
    <col min="9727" max="9727" width="13.85546875" style="627" customWidth="1"/>
    <col min="9728" max="9728" width="13.42578125" style="627" customWidth="1"/>
    <col min="9729" max="9729" width="11" style="627" customWidth="1"/>
    <col min="9730" max="9730" width="17.7109375" style="627" bestFit="1" customWidth="1"/>
    <col min="9731" max="9732" width="9.140625" style="627"/>
    <col min="9733" max="9733" width="10.140625" style="627" customWidth="1"/>
    <col min="9734" max="9975" width="9.140625" style="627"/>
    <col min="9976" max="9976" width="13.28515625" style="627" customWidth="1"/>
    <col min="9977" max="9977" width="10.5703125" style="627" customWidth="1"/>
    <col min="9978" max="9978" width="12.140625" style="627" customWidth="1"/>
    <col min="9979" max="9979" width="8.140625" style="627" bestFit="1" customWidth="1"/>
    <col min="9980" max="9980" width="11.5703125" style="627" bestFit="1" customWidth="1"/>
    <col min="9981" max="9981" width="11.140625" style="627" customWidth="1"/>
    <col min="9982" max="9982" width="12.5703125" style="627" customWidth="1"/>
    <col min="9983" max="9983" width="13.85546875" style="627" customWidth="1"/>
    <col min="9984" max="9984" width="13.42578125" style="627" customWidth="1"/>
    <col min="9985" max="9985" width="11" style="627" customWidth="1"/>
    <col min="9986" max="9986" width="17.7109375" style="627" bestFit="1" customWidth="1"/>
    <col min="9987" max="9988" width="9.140625" style="627"/>
    <col min="9989" max="9989" width="10.140625" style="627" customWidth="1"/>
    <col min="9990" max="10231" width="9.140625" style="627"/>
    <col min="10232" max="10232" width="13.28515625" style="627" customWidth="1"/>
    <col min="10233" max="10233" width="10.5703125" style="627" customWidth="1"/>
    <col min="10234" max="10234" width="12.140625" style="627" customWidth="1"/>
    <col min="10235" max="10235" width="8.140625" style="627" bestFit="1" customWidth="1"/>
    <col min="10236" max="10236" width="11.5703125" style="627" bestFit="1" customWidth="1"/>
    <col min="10237" max="10237" width="11.140625" style="627" customWidth="1"/>
    <col min="10238" max="10238" width="12.5703125" style="627" customWidth="1"/>
    <col min="10239" max="10239" width="13.85546875" style="627" customWidth="1"/>
    <col min="10240" max="10240" width="13.42578125" style="627" customWidth="1"/>
    <col min="10241" max="10241" width="11" style="627" customWidth="1"/>
    <col min="10242" max="10242" width="17.7109375" style="627" bestFit="1" customWidth="1"/>
    <col min="10243" max="10244" width="9.140625" style="627"/>
    <col min="10245" max="10245" width="10.140625" style="627" customWidth="1"/>
    <col min="10246" max="10487" width="9.140625" style="627"/>
    <col min="10488" max="10488" width="13.28515625" style="627" customWidth="1"/>
    <col min="10489" max="10489" width="10.5703125" style="627" customWidth="1"/>
    <col min="10490" max="10490" width="12.140625" style="627" customWidth="1"/>
    <col min="10491" max="10491" width="8.140625" style="627" bestFit="1" customWidth="1"/>
    <col min="10492" max="10492" width="11.5703125" style="627" bestFit="1" customWidth="1"/>
    <col min="10493" max="10493" width="11.140625" style="627" customWidth="1"/>
    <col min="10494" max="10494" width="12.5703125" style="627" customWidth="1"/>
    <col min="10495" max="10495" width="13.85546875" style="627" customWidth="1"/>
    <col min="10496" max="10496" width="13.42578125" style="627" customWidth="1"/>
    <col min="10497" max="10497" width="11" style="627" customWidth="1"/>
    <col min="10498" max="10498" width="17.7109375" style="627" bestFit="1" customWidth="1"/>
    <col min="10499" max="10500" width="9.140625" style="627"/>
    <col min="10501" max="10501" width="10.140625" style="627" customWidth="1"/>
    <col min="10502" max="10743" width="9.140625" style="627"/>
    <col min="10744" max="10744" width="13.28515625" style="627" customWidth="1"/>
    <col min="10745" max="10745" width="10.5703125" style="627" customWidth="1"/>
    <col min="10746" max="10746" width="12.140625" style="627" customWidth="1"/>
    <col min="10747" max="10747" width="8.140625" style="627" bestFit="1" customWidth="1"/>
    <col min="10748" max="10748" width="11.5703125" style="627" bestFit="1" customWidth="1"/>
    <col min="10749" max="10749" width="11.140625" style="627" customWidth="1"/>
    <col min="10750" max="10750" width="12.5703125" style="627" customWidth="1"/>
    <col min="10751" max="10751" width="13.85546875" style="627" customWidth="1"/>
    <col min="10752" max="10752" width="13.42578125" style="627" customWidth="1"/>
    <col min="10753" max="10753" width="11" style="627" customWidth="1"/>
    <col min="10754" max="10754" width="17.7109375" style="627" bestFit="1" customWidth="1"/>
    <col min="10755" max="10756" width="9.140625" style="627"/>
    <col min="10757" max="10757" width="10.140625" style="627" customWidth="1"/>
    <col min="10758" max="10999" width="9.140625" style="627"/>
    <col min="11000" max="11000" width="13.28515625" style="627" customWidth="1"/>
    <col min="11001" max="11001" width="10.5703125" style="627" customWidth="1"/>
    <col min="11002" max="11002" width="12.140625" style="627" customWidth="1"/>
    <col min="11003" max="11003" width="8.140625" style="627" bestFit="1" customWidth="1"/>
    <col min="11004" max="11004" width="11.5703125" style="627" bestFit="1" customWidth="1"/>
    <col min="11005" max="11005" width="11.140625" style="627" customWidth="1"/>
    <col min="11006" max="11006" width="12.5703125" style="627" customWidth="1"/>
    <col min="11007" max="11007" width="13.85546875" style="627" customWidth="1"/>
    <col min="11008" max="11008" width="13.42578125" style="627" customWidth="1"/>
    <col min="11009" max="11009" width="11" style="627" customWidth="1"/>
    <col min="11010" max="11010" width="17.7109375" style="627" bestFit="1" customWidth="1"/>
    <col min="11011" max="11012" width="9.140625" style="627"/>
    <col min="11013" max="11013" width="10.140625" style="627" customWidth="1"/>
    <col min="11014" max="11255" width="9.140625" style="627"/>
    <col min="11256" max="11256" width="13.28515625" style="627" customWidth="1"/>
    <col min="11257" max="11257" width="10.5703125" style="627" customWidth="1"/>
    <col min="11258" max="11258" width="12.140625" style="627" customWidth="1"/>
    <col min="11259" max="11259" width="8.140625" style="627" bestFit="1" customWidth="1"/>
    <col min="11260" max="11260" width="11.5703125" style="627" bestFit="1" customWidth="1"/>
    <col min="11261" max="11261" width="11.140625" style="627" customWidth="1"/>
    <col min="11262" max="11262" width="12.5703125" style="627" customWidth="1"/>
    <col min="11263" max="11263" width="13.85546875" style="627" customWidth="1"/>
    <col min="11264" max="11264" width="13.42578125" style="627" customWidth="1"/>
    <col min="11265" max="11265" width="11" style="627" customWidth="1"/>
    <col min="11266" max="11266" width="17.7109375" style="627" bestFit="1" customWidth="1"/>
    <col min="11267" max="11268" width="9.140625" style="627"/>
    <col min="11269" max="11269" width="10.140625" style="627" customWidth="1"/>
    <col min="11270" max="11511" width="9.140625" style="627"/>
    <col min="11512" max="11512" width="13.28515625" style="627" customWidth="1"/>
    <col min="11513" max="11513" width="10.5703125" style="627" customWidth="1"/>
    <col min="11514" max="11514" width="12.140625" style="627" customWidth="1"/>
    <col min="11515" max="11515" width="8.140625" style="627" bestFit="1" customWidth="1"/>
    <col min="11516" max="11516" width="11.5703125" style="627" bestFit="1" customWidth="1"/>
    <col min="11517" max="11517" width="11.140625" style="627" customWidth="1"/>
    <col min="11518" max="11518" width="12.5703125" style="627" customWidth="1"/>
    <col min="11519" max="11519" width="13.85546875" style="627" customWidth="1"/>
    <col min="11520" max="11520" width="13.42578125" style="627" customWidth="1"/>
    <col min="11521" max="11521" width="11" style="627" customWidth="1"/>
    <col min="11522" max="11522" width="17.7109375" style="627" bestFit="1" customWidth="1"/>
    <col min="11523" max="11524" width="9.140625" style="627"/>
    <col min="11525" max="11525" width="10.140625" style="627" customWidth="1"/>
    <col min="11526" max="11767" width="9.140625" style="627"/>
    <col min="11768" max="11768" width="13.28515625" style="627" customWidth="1"/>
    <col min="11769" max="11769" width="10.5703125" style="627" customWidth="1"/>
    <col min="11770" max="11770" width="12.140625" style="627" customWidth="1"/>
    <col min="11771" max="11771" width="8.140625" style="627" bestFit="1" customWidth="1"/>
    <col min="11772" max="11772" width="11.5703125" style="627" bestFit="1" customWidth="1"/>
    <col min="11773" max="11773" width="11.140625" style="627" customWidth="1"/>
    <col min="11774" max="11774" width="12.5703125" style="627" customWidth="1"/>
    <col min="11775" max="11775" width="13.85546875" style="627" customWidth="1"/>
    <col min="11776" max="11776" width="13.42578125" style="627" customWidth="1"/>
    <col min="11777" max="11777" width="11" style="627" customWidth="1"/>
    <col min="11778" max="11778" width="17.7109375" style="627" bestFit="1" customWidth="1"/>
    <col min="11779" max="11780" width="9.140625" style="627"/>
    <col min="11781" max="11781" width="10.140625" style="627" customWidth="1"/>
    <col min="11782" max="12023" width="9.140625" style="627"/>
    <col min="12024" max="12024" width="13.28515625" style="627" customWidth="1"/>
    <col min="12025" max="12025" width="10.5703125" style="627" customWidth="1"/>
    <col min="12026" max="12026" width="12.140625" style="627" customWidth="1"/>
    <col min="12027" max="12027" width="8.140625" style="627" bestFit="1" customWidth="1"/>
    <col min="12028" max="12028" width="11.5703125" style="627" bestFit="1" customWidth="1"/>
    <col min="12029" max="12029" width="11.140625" style="627" customWidth="1"/>
    <col min="12030" max="12030" width="12.5703125" style="627" customWidth="1"/>
    <col min="12031" max="12031" width="13.85546875" style="627" customWidth="1"/>
    <col min="12032" max="12032" width="13.42578125" style="627" customWidth="1"/>
    <col min="12033" max="12033" width="11" style="627" customWidth="1"/>
    <col min="12034" max="12034" width="17.7109375" style="627" bestFit="1" customWidth="1"/>
    <col min="12035" max="12036" width="9.140625" style="627"/>
    <col min="12037" max="12037" width="10.140625" style="627" customWidth="1"/>
    <col min="12038" max="12279" width="9.140625" style="627"/>
    <col min="12280" max="12280" width="13.28515625" style="627" customWidth="1"/>
    <col min="12281" max="12281" width="10.5703125" style="627" customWidth="1"/>
    <col min="12282" max="12282" width="12.140625" style="627" customWidth="1"/>
    <col min="12283" max="12283" width="8.140625" style="627" bestFit="1" customWidth="1"/>
    <col min="12284" max="12284" width="11.5703125" style="627" bestFit="1" customWidth="1"/>
    <col min="12285" max="12285" width="11.140625" style="627" customWidth="1"/>
    <col min="12286" max="12286" width="12.5703125" style="627" customWidth="1"/>
    <col min="12287" max="12287" width="13.85546875" style="627" customWidth="1"/>
    <col min="12288" max="12288" width="13.42578125" style="627" customWidth="1"/>
    <col min="12289" max="12289" width="11" style="627" customWidth="1"/>
    <col min="12290" max="12290" width="17.7109375" style="627" bestFit="1" customWidth="1"/>
    <col min="12291" max="12292" width="9.140625" style="627"/>
    <col min="12293" max="12293" width="10.140625" style="627" customWidth="1"/>
    <col min="12294" max="12535" width="9.140625" style="627"/>
    <col min="12536" max="12536" width="13.28515625" style="627" customWidth="1"/>
    <col min="12537" max="12537" width="10.5703125" style="627" customWidth="1"/>
    <col min="12538" max="12538" width="12.140625" style="627" customWidth="1"/>
    <col min="12539" max="12539" width="8.140625" style="627" bestFit="1" customWidth="1"/>
    <col min="12540" max="12540" width="11.5703125" style="627" bestFit="1" customWidth="1"/>
    <col min="12541" max="12541" width="11.140625" style="627" customWidth="1"/>
    <col min="12542" max="12542" width="12.5703125" style="627" customWidth="1"/>
    <col min="12543" max="12543" width="13.85546875" style="627" customWidth="1"/>
    <col min="12544" max="12544" width="13.42578125" style="627" customWidth="1"/>
    <col min="12545" max="12545" width="11" style="627" customWidth="1"/>
    <col min="12546" max="12546" width="17.7109375" style="627" bestFit="1" customWidth="1"/>
    <col min="12547" max="12548" width="9.140625" style="627"/>
    <col min="12549" max="12549" width="10.140625" style="627" customWidth="1"/>
    <col min="12550" max="12791" width="9.140625" style="627"/>
    <col min="12792" max="12792" width="13.28515625" style="627" customWidth="1"/>
    <col min="12793" max="12793" width="10.5703125" style="627" customWidth="1"/>
    <col min="12794" max="12794" width="12.140625" style="627" customWidth="1"/>
    <col min="12795" max="12795" width="8.140625" style="627" bestFit="1" customWidth="1"/>
    <col min="12796" max="12796" width="11.5703125" style="627" bestFit="1" customWidth="1"/>
    <col min="12797" max="12797" width="11.140625" style="627" customWidth="1"/>
    <col min="12798" max="12798" width="12.5703125" style="627" customWidth="1"/>
    <col min="12799" max="12799" width="13.85546875" style="627" customWidth="1"/>
    <col min="12800" max="12800" width="13.42578125" style="627" customWidth="1"/>
    <col min="12801" max="12801" width="11" style="627" customWidth="1"/>
    <col min="12802" max="12802" width="17.7109375" style="627" bestFit="1" customWidth="1"/>
    <col min="12803" max="12804" width="9.140625" style="627"/>
    <col min="12805" max="12805" width="10.140625" style="627" customWidth="1"/>
    <col min="12806" max="13047" width="9.140625" style="627"/>
    <col min="13048" max="13048" width="13.28515625" style="627" customWidth="1"/>
    <col min="13049" max="13049" width="10.5703125" style="627" customWidth="1"/>
    <col min="13050" max="13050" width="12.140625" style="627" customWidth="1"/>
    <col min="13051" max="13051" width="8.140625" style="627" bestFit="1" customWidth="1"/>
    <col min="13052" max="13052" width="11.5703125" style="627" bestFit="1" customWidth="1"/>
    <col min="13053" max="13053" width="11.140625" style="627" customWidth="1"/>
    <col min="13054" max="13054" width="12.5703125" style="627" customWidth="1"/>
    <col min="13055" max="13055" width="13.85546875" style="627" customWidth="1"/>
    <col min="13056" max="13056" width="13.42578125" style="627" customWidth="1"/>
    <col min="13057" max="13057" width="11" style="627" customWidth="1"/>
    <col min="13058" max="13058" width="17.7109375" style="627" bestFit="1" customWidth="1"/>
    <col min="13059" max="13060" width="9.140625" style="627"/>
    <col min="13061" max="13061" width="10.140625" style="627" customWidth="1"/>
    <col min="13062" max="13303" width="9.140625" style="627"/>
    <col min="13304" max="13304" width="13.28515625" style="627" customWidth="1"/>
    <col min="13305" max="13305" width="10.5703125" style="627" customWidth="1"/>
    <col min="13306" max="13306" width="12.140625" style="627" customWidth="1"/>
    <col min="13307" max="13307" width="8.140625" style="627" bestFit="1" customWidth="1"/>
    <col min="13308" max="13308" width="11.5703125" style="627" bestFit="1" customWidth="1"/>
    <col min="13309" max="13309" width="11.140625" style="627" customWidth="1"/>
    <col min="13310" max="13310" width="12.5703125" style="627" customWidth="1"/>
    <col min="13311" max="13311" width="13.85546875" style="627" customWidth="1"/>
    <col min="13312" max="13312" width="13.42578125" style="627" customWidth="1"/>
    <col min="13313" max="13313" width="11" style="627" customWidth="1"/>
    <col min="13314" max="13314" width="17.7109375" style="627" bestFit="1" customWidth="1"/>
    <col min="13315" max="13316" width="9.140625" style="627"/>
    <col min="13317" max="13317" width="10.140625" style="627" customWidth="1"/>
    <col min="13318" max="13559" width="9.140625" style="627"/>
    <col min="13560" max="13560" width="13.28515625" style="627" customWidth="1"/>
    <col min="13561" max="13561" width="10.5703125" style="627" customWidth="1"/>
    <col min="13562" max="13562" width="12.140625" style="627" customWidth="1"/>
    <col min="13563" max="13563" width="8.140625" style="627" bestFit="1" customWidth="1"/>
    <col min="13564" max="13564" width="11.5703125" style="627" bestFit="1" customWidth="1"/>
    <col min="13565" max="13565" width="11.140625" style="627" customWidth="1"/>
    <col min="13566" max="13566" width="12.5703125" style="627" customWidth="1"/>
    <col min="13567" max="13567" width="13.85546875" style="627" customWidth="1"/>
    <col min="13568" max="13568" width="13.42578125" style="627" customWidth="1"/>
    <col min="13569" max="13569" width="11" style="627" customWidth="1"/>
    <col min="13570" max="13570" width="17.7109375" style="627" bestFit="1" customWidth="1"/>
    <col min="13571" max="13572" width="9.140625" style="627"/>
    <col min="13573" max="13573" width="10.140625" style="627" customWidth="1"/>
    <col min="13574" max="13815" width="9.140625" style="627"/>
    <col min="13816" max="13816" width="13.28515625" style="627" customWidth="1"/>
    <col min="13817" max="13817" width="10.5703125" style="627" customWidth="1"/>
    <col min="13818" max="13818" width="12.140625" style="627" customWidth="1"/>
    <col min="13819" max="13819" width="8.140625" style="627" bestFit="1" customWidth="1"/>
    <col min="13820" max="13820" width="11.5703125" style="627" bestFit="1" customWidth="1"/>
    <col min="13821" max="13821" width="11.140625" style="627" customWidth="1"/>
    <col min="13822" max="13822" width="12.5703125" style="627" customWidth="1"/>
    <col min="13823" max="13823" width="13.85546875" style="627" customWidth="1"/>
    <col min="13824" max="13824" width="13.42578125" style="627" customWidth="1"/>
    <col min="13825" max="13825" width="11" style="627" customWidth="1"/>
    <col min="13826" max="13826" width="17.7109375" style="627" bestFit="1" customWidth="1"/>
    <col min="13827" max="13828" width="9.140625" style="627"/>
    <col min="13829" max="13829" width="10.140625" style="627" customWidth="1"/>
    <col min="13830" max="14071" width="9.140625" style="627"/>
    <col min="14072" max="14072" width="13.28515625" style="627" customWidth="1"/>
    <col min="14073" max="14073" width="10.5703125" style="627" customWidth="1"/>
    <col min="14074" max="14074" width="12.140625" style="627" customWidth="1"/>
    <col min="14075" max="14075" width="8.140625" style="627" bestFit="1" customWidth="1"/>
    <col min="14076" max="14076" width="11.5703125" style="627" bestFit="1" customWidth="1"/>
    <col min="14077" max="14077" width="11.140625" style="627" customWidth="1"/>
    <col min="14078" max="14078" width="12.5703125" style="627" customWidth="1"/>
    <col min="14079" max="14079" width="13.85546875" style="627" customWidth="1"/>
    <col min="14080" max="14080" width="13.42578125" style="627" customWidth="1"/>
    <col min="14081" max="14081" width="11" style="627" customWidth="1"/>
    <col min="14082" max="14082" width="17.7109375" style="627" bestFit="1" customWidth="1"/>
    <col min="14083" max="14084" width="9.140625" style="627"/>
    <col min="14085" max="14085" width="10.140625" style="627" customWidth="1"/>
    <col min="14086" max="14327" width="9.140625" style="627"/>
    <col min="14328" max="14328" width="13.28515625" style="627" customWidth="1"/>
    <col min="14329" max="14329" width="10.5703125" style="627" customWidth="1"/>
    <col min="14330" max="14330" width="12.140625" style="627" customWidth="1"/>
    <col min="14331" max="14331" width="8.140625" style="627" bestFit="1" customWidth="1"/>
    <col min="14332" max="14332" width="11.5703125" style="627" bestFit="1" customWidth="1"/>
    <col min="14333" max="14333" width="11.140625" style="627" customWidth="1"/>
    <col min="14334" max="14334" width="12.5703125" style="627" customWidth="1"/>
    <col min="14335" max="14335" width="13.85546875" style="627" customWidth="1"/>
    <col min="14336" max="14336" width="13.42578125" style="627" customWidth="1"/>
    <col min="14337" max="14337" width="11" style="627" customWidth="1"/>
    <col min="14338" max="14338" width="17.7109375" style="627" bestFit="1" customWidth="1"/>
    <col min="14339" max="14340" width="9.140625" style="627"/>
    <col min="14341" max="14341" width="10.140625" style="627" customWidth="1"/>
    <col min="14342" max="14583" width="9.140625" style="627"/>
    <col min="14584" max="14584" width="13.28515625" style="627" customWidth="1"/>
    <col min="14585" max="14585" width="10.5703125" style="627" customWidth="1"/>
    <col min="14586" max="14586" width="12.140625" style="627" customWidth="1"/>
    <col min="14587" max="14587" width="8.140625" style="627" bestFit="1" customWidth="1"/>
    <col min="14588" max="14588" width="11.5703125" style="627" bestFit="1" customWidth="1"/>
    <col min="14589" max="14589" width="11.140625" style="627" customWidth="1"/>
    <col min="14590" max="14590" width="12.5703125" style="627" customWidth="1"/>
    <col min="14591" max="14591" width="13.85546875" style="627" customWidth="1"/>
    <col min="14592" max="14592" width="13.42578125" style="627" customWidth="1"/>
    <col min="14593" max="14593" width="11" style="627" customWidth="1"/>
    <col min="14594" max="14594" width="17.7109375" style="627" bestFit="1" customWidth="1"/>
    <col min="14595" max="14596" width="9.140625" style="627"/>
    <col min="14597" max="14597" width="10.140625" style="627" customWidth="1"/>
    <col min="14598" max="14839" width="9.140625" style="627"/>
    <col min="14840" max="14840" width="13.28515625" style="627" customWidth="1"/>
    <col min="14841" max="14841" width="10.5703125" style="627" customWidth="1"/>
    <col min="14842" max="14842" width="12.140625" style="627" customWidth="1"/>
    <col min="14843" max="14843" width="8.140625" style="627" bestFit="1" customWidth="1"/>
    <col min="14844" max="14844" width="11.5703125" style="627" bestFit="1" customWidth="1"/>
    <col min="14845" max="14845" width="11.140625" style="627" customWidth="1"/>
    <col min="14846" max="14846" width="12.5703125" style="627" customWidth="1"/>
    <col min="14847" max="14847" width="13.85546875" style="627" customWidth="1"/>
    <col min="14848" max="14848" width="13.42578125" style="627" customWidth="1"/>
    <col min="14849" max="14849" width="11" style="627" customWidth="1"/>
    <col min="14850" max="14850" width="17.7109375" style="627" bestFit="1" customWidth="1"/>
    <col min="14851" max="14852" width="9.140625" style="627"/>
    <col min="14853" max="14853" width="10.140625" style="627" customWidth="1"/>
    <col min="14854" max="15095" width="9.140625" style="627"/>
    <col min="15096" max="15096" width="13.28515625" style="627" customWidth="1"/>
    <col min="15097" max="15097" width="10.5703125" style="627" customWidth="1"/>
    <col min="15098" max="15098" width="12.140625" style="627" customWidth="1"/>
    <col min="15099" max="15099" width="8.140625" style="627" bestFit="1" customWidth="1"/>
    <col min="15100" max="15100" width="11.5703125" style="627" bestFit="1" customWidth="1"/>
    <col min="15101" max="15101" width="11.140625" style="627" customWidth="1"/>
    <col min="15102" max="15102" width="12.5703125" style="627" customWidth="1"/>
    <col min="15103" max="15103" width="13.85546875" style="627" customWidth="1"/>
    <col min="15104" max="15104" width="13.42578125" style="627" customWidth="1"/>
    <col min="15105" max="15105" width="11" style="627" customWidth="1"/>
    <col min="15106" max="15106" width="17.7109375" style="627" bestFit="1" customWidth="1"/>
    <col min="15107" max="15108" width="9.140625" style="627"/>
    <col min="15109" max="15109" width="10.140625" style="627" customWidth="1"/>
    <col min="15110" max="15351" width="9.140625" style="627"/>
    <col min="15352" max="15352" width="13.28515625" style="627" customWidth="1"/>
    <col min="15353" max="15353" width="10.5703125" style="627" customWidth="1"/>
    <col min="15354" max="15354" width="12.140625" style="627" customWidth="1"/>
    <col min="15355" max="15355" width="8.140625" style="627" bestFit="1" customWidth="1"/>
    <col min="15356" max="15356" width="11.5703125" style="627" bestFit="1" customWidth="1"/>
    <col min="15357" max="15357" width="11.140625" style="627" customWidth="1"/>
    <col min="15358" max="15358" width="12.5703125" style="627" customWidth="1"/>
    <col min="15359" max="15359" width="13.85546875" style="627" customWidth="1"/>
    <col min="15360" max="15360" width="13.42578125" style="627" customWidth="1"/>
    <col min="15361" max="15361" width="11" style="627" customWidth="1"/>
    <col min="15362" max="15362" width="17.7109375" style="627" bestFit="1" customWidth="1"/>
    <col min="15363" max="15364" width="9.140625" style="627"/>
    <col min="15365" max="15365" width="10.140625" style="627" customWidth="1"/>
    <col min="15366" max="15607" width="9.140625" style="627"/>
    <col min="15608" max="15608" width="13.28515625" style="627" customWidth="1"/>
    <col min="15609" max="15609" width="10.5703125" style="627" customWidth="1"/>
    <col min="15610" max="15610" width="12.140625" style="627" customWidth="1"/>
    <col min="15611" max="15611" width="8.140625" style="627" bestFit="1" customWidth="1"/>
    <col min="15612" max="15612" width="11.5703125" style="627" bestFit="1" customWidth="1"/>
    <col min="15613" max="15613" width="11.140625" style="627" customWidth="1"/>
    <col min="15614" max="15614" width="12.5703125" style="627" customWidth="1"/>
    <col min="15615" max="15615" width="13.85546875" style="627" customWidth="1"/>
    <col min="15616" max="15616" width="13.42578125" style="627" customWidth="1"/>
    <col min="15617" max="15617" width="11" style="627" customWidth="1"/>
    <col min="15618" max="15618" width="17.7109375" style="627" bestFit="1" customWidth="1"/>
    <col min="15619" max="15620" width="9.140625" style="627"/>
    <col min="15621" max="15621" width="10.140625" style="627" customWidth="1"/>
    <col min="15622" max="15863" width="9.140625" style="627"/>
    <col min="15864" max="15864" width="13.28515625" style="627" customWidth="1"/>
    <col min="15865" max="15865" width="10.5703125" style="627" customWidth="1"/>
    <col min="15866" max="15866" width="12.140625" style="627" customWidth="1"/>
    <col min="15867" max="15867" width="8.140625" style="627" bestFit="1" customWidth="1"/>
    <col min="15868" max="15868" width="11.5703125" style="627" bestFit="1" customWidth="1"/>
    <col min="15869" max="15869" width="11.140625" style="627" customWidth="1"/>
    <col min="15870" max="15870" width="12.5703125" style="627" customWidth="1"/>
    <col min="15871" max="15871" width="13.85546875" style="627" customWidth="1"/>
    <col min="15872" max="15872" width="13.42578125" style="627" customWidth="1"/>
    <col min="15873" max="15873" width="11" style="627" customWidth="1"/>
    <col min="15874" max="15874" width="17.7109375" style="627" bestFit="1" customWidth="1"/>
    <col min="15875" max="15876" width="9.140625" style="627"/>
    <col min="15877" max="15877" width="10.140625" style="627" customWidth="1"/>
    <col min="15878" max="16119" width="9.140625" style="627"/>
    <col min="16120" max="16120" width="13.28515625" style="627" customWidth="1"/>
    <col min="16121" max="16121" width="10.5703125" style="627" customWidth="1"/>
    <col min="16122" max="16122" width="12.140625" style="627" customWidth="1"/>
    <col min="16123" max="16123" width="8.140625" style="627" bestFit="1" customWidth="1"/>
    <col min="16124" max="16124" width="11.5703125" style="627" bestFit="1" customWidth="1"/>
    <col min="16125" max="16125" width="11.140625" style="627" customWidth="1"/>
    <col min="16126" max="16126" width="12.5703125" style="627" customWidth="1"/>
    <col min="16127" max="16127" width="13.85546875" style="627" customWidth="1"/>
    <col min="16128" max="16128" width="13.42578125" style="627" customWidth="1"/>
    <col min="16129" max="16129" width="11" style="627" customWidth="1"/>
    <col min="16130" max="16130" width="17.7109375" style="627" bestFit="1" customWidth="1"/>
    <col min="16131" max="16132" width="9.140625" style="627"/>
    <col min="16133" max="16133" width="10.140625" style="627" customWidth="1"/>
    <col min="16134" max="16384" width="9.140625" style="627"/>
  </cols>
  <sheetData>
    <row r="1" spans="1:46" ht="23.25" customHeight="1" x14ac:dyDescent="0.35">
      <c r="A1" s="623" t="s">
        <v>376</v>
      </c>
      <c r="B1" s="624"/>
      <c r="C1" s="624"/>
      <c r="D1" s="624"/>
      <c r="E1" s="624"/>
      <c r="F1" s="624"/>
      <c r="G1" s="624"/>
      <c r="H1" s="624"/>
      <c r="I1" s="625"/>
      <c r="J1" s="626"/>
    </row>
    <row r="2" spans="1:46" ht="15" thickBot="1" x14ac:dyDescent="0.3">
      <c r="L2" s="627"/>
    </row>
    <row r="3" spans="1:46" s="634" customFormat="1" ht="19.5" customHeight="1" thickTop="1" x14ac:dyDescent="0.25">
      <c r="A3" s="630"/>
      <c r="B3" s="3519" t="s">
        <v>377</v>
      </c>
      <c r="C3" s="3519"/>
      <c r="D3" s="3519"/>
      <c r="E3" s="3519"/>
      <c r="F3" s="3520" t="s">
        <v>378</v>
      </c>
      <c r="G3" s="3520" t="s">
        <v>379</v>
      </c>
      <c r="H3" s="3520" t="s">
        <v>380</v>
      </c>
      <c r="I3" s="3520" t="s">
        <v>381</v>
      </c>
      <c r="J3" s="3523" t="s">
        <v>382</v>
      </c>
      <c r="K3" s="631"/>
      <c r="L3" s="632"/>
      <c r="M3" s="632"/>
      <c r="N3" s="631"/>
      <c r="O3" s="631"/>
      <c r="P3" s="631"/>
      <c r="Q3" s="633"/>
      <c r="R3" s="631"/>
      <c r="S3" s="631"/>
      <c r="T3" s="631"/>
      <c r="U3" s="631"/>
      <c r="V3" s="631"/>
      <c r="W3" s="631"/>
      <c r="X3" s="631"/>
      <c r="Y3" s="631"/>
      <c r="Z3" s="631"/>
      <c r="AA3" s="631"/>
      <c r="AB3" s="631"/>
      <c r="AC3" s="631"/>
      <c r="AD3" s="631"/>
      <c r="AE3" s="631"/>
      <c r="AF3" s="631"/>
      <c r="AG3" s="631"/>
      <c r="AH3" s="631"/>
      <c r="AI3" s="631"/>
      <c r="AJ3" s="631"/>
      <c r="AK3" s="631"/>
      <c r="AL3" s="631"/>
      <c r="AM3" s="631"/>
      <c r="AN3" s="631"/>
      <c r="AO3" s="631"/>
      <c r="AP3" s="631"/>
      <c r="AQ3" s="631"/>
      <c r="AR3" s="631"/>
      <c r="AS3" s="631"/>
      <c r="AT3" s="631"/>
    </row>
    <row r="4" spans="1:46" s="634" customFormat="1" ht="13.5" customHeight="1" x14ac:dyDescent="0.25">
      <c r="A4" s="635"/>
      <c r="B4" s="3526" t="s">
        <v>383</v>
      </c>
      <c r="C4" s="3526"/>
      <c r="D4" s="3526"/>
      <c r="E4" s="3526"/>
      <c r="F4" s="3521"/>
      <c r="G4" s="3521"/>
      <c r="H4" s="3521"/>
      <c r="I4" s="3521"/>
      <c r="J4" s="3524"/>
      <c r="K4" s="631"/>
      <c r="L4" s="632"/>
      <c r="M4" s="631"/>
      <c r="N4" s="631"/>
      <c r="O4" s="631"/>
      <c r="P4" s="631"/>
      <c r="Q4" s="633"/>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1"/>
      <c r="AT4" s="631"/>
    </row>
    <row r="5" spans="1:46" s="634" customFormat="1" ht="23.25" customHeight="1" thickBot="1" x14ac:dyDescent="0.3">
      <c r="A5" s="635"/>
      <c r="B5" s="3526" t="s">
        <v>384</v>
      </c>
      <c r="C5" s="3526"/>
      <c r="D5" s="3526"/>
      <c r="E5" s="3526"/>
      <c r="F5" s="3521"/>
      <c r="G5" s="3521"/>
      <c r="H5" s="3521"/>
      <c r="I5" s="3521"/>
      <c r="J5" s="3524"/>
      <c r="K5" s="631"/>
      <c r="L5" s="632"/>
      <c r="M5" s="631"/>
      <c r="N5" s="631"/>
      <c r="O5" s="631"/>
      <c r="P5" s="631"/>
      <c r="Q5" s="633"/>
      <c r="R5" s="631"/>
      <c r="S5" s="631"/>
      <c r="T5" s="631"/>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c r="AT5" s="631"/>
    </row>
    <row r="6" spans="1:46" s="634" customFormat="1" ht="27" customHeight="1" thickBot="1" x14ac:dyDescent="0.3">
      <c r="A6" s="635"/>
      <c r="B6" s="636" t="s">
        <v>385</v>
      </c>
      <c r="C6" s="637" t="s">
        <v>386</v>
      </c>
      <c r="D6" s="637" t="s">
        <v>287</v>
      </c>
      <c r="E6" s="638" t="s">
        <v>387</v>
      </c>
      <c r="F6" s="3522"/>
      <c r="G6" s="3522"/>
      <c r="H6" s="3522"/>
      <c r="I6" s="3522"/>
      <c r="J6" s="3525"/>
      <c r="K6" s="631"/>
      <c r="L6" s="632"/>
      <c r="M6" s="631"/>
      <c r="N6" s="631"/>
      <c r="O6" s="631"/>
      <c r="P6" s="631"/>
      <c r="Q6" s="633"/>
      <c r="R6" s="631"/>
      <c r="S6" s="631"/>
      <c r="T6" s="631"/>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c r="AT6" s="631"/>
    </row>
    <row r="7" spans="1:46" s="645" customFormat="1" ht="18" thickBot="1" x14ac:dyDescent="0.3">
      <c r="A7" s="639"/>
      <c r="B7" s="3517" t="s">
        <v>281</v>
      </c>
      <c r="C7" s="3517"/>
      <c r="D7" s="3517"/>
      <c r="E7" s="3517"/>
      <c r="F7" s="3517"/>
      <c r="G7" s="3517"/>
      <c r="H7" s="3517"/>
      <c r="I7" s="640" t="s">
        <v>184</v>
      </c>
      <c r="J7" s="641" t="s">
        <v>388</v>
      </c>
      <c r="K7" s="642"/>
      <c r="L7" s="643"/>
      <c r="M7" s="642"/>
      <c r="N7" s="642"/>
      <c r="O7" s="642"/>
      <c r="P7" s="642"/>
      <c r="Q7" s="644"/>
      <c r="R7" s="642"/>
      <c r="S7" s="642"/>
      <c r="T7" s="642"/>
      <c r="U7" s="642"/>
      <c r="V7" s="642"/>
      <c r="W7" s="642"/>
      <c r="X7" s="642"/>
      <c r="Y7" s="642"/>
      <c r="Z7" s="642"/>
      <c r="AA7" s="642"/>
      <c r="AB7" s="642"/>
      <c r="AC7" s="642"/>
      <c r="AD7" s="642"/>
      <c r="AE7" s="642"/>
      <c r="AF7" s="642"/>
      <c r="AG7" s="642"/>
      <c r="AH7" s="642"/>
      <c r="AI7" s="642"/>
      <c r="AJ7" s="642"/>
      <c r="AK7" s="642"/>
      <c r="AL7" s="642"/>
      <c r="AM7" s="642"/>
      <c r="AN7" s="642"/>
      <c r="AO7" s="642"/>
      <c r="AP7" s="642"/>
      <c r="AQ7" s="642"/>
      <c r="AR7" s="642"/>
      <c r="AS7" s="642"/>
      <c r="AT7" s="642"/>
    </row>
    <row r="8" spans="1:46" s="634" customFormat="1" ht="20.100000000000001" hidden="1" customHeight="1" x14ac:dyDescent="0.25">
      <c r="A8" s="646">
        <v>40909</v>
      </c>
      <c r="B8" s="647">
        <v>6382</v>
      </c>
      <c r="C8" s="647">
        <v>4503</v>
      </c>
      <c r="D8" s="647">
        <v>69112</v>
      </c>
      <c r="E8" s="648">
        <v>79997</v>
      </c>
      <c r="F8" s="647">
        <v>1425</v>
      </c>
      <c r="G8" s="649">
        <v>0.2</v>
      </c>
      <c r="H8" s="650">
        <f>E8+F8+G8</f>
        <v>81422.2</v>
      </c>
      <c r="I8" s="651">
        <f>H8/29.1257</f>
        <v>2795.5448281071358</v>
      </c>
      <c r="J8" s="652">
        <v>4.3</v>
      </c>
      <c r="K8" s="653"/>
      <c r="L8" s="632"/>
      <c r="M8" s="632"/>
      <c r="N8" s="632"/>
      <c r="O8" s="632"/>
      <c r="P8" s="654"/>
      <c r="Q8" s="632"/>
      <c r="R8" s="632"/>
      <c r="S8" s="631"/>
      <c r="T8" s="633"/>
      <c r="U8" s="631"/>
      <c r="V8" s="655"/>
      <c r="W8" s="655"/>
      <c r="X8" s="655"/>
      <c r="Y8" s="655"/>
      <c r="Z8" s="655"/>
      <c r="AA8" s="655"/>
      <c r="AB8" s="631"/>
      <c r="AC8" s="631"/>
      <c r="AD8" s="631"/>
      <c r="AE8" s="631"/>
      <c r="AF8" s="631"/>
      <c r="AG8" s="631"/>
      <c r="AH8" s="631"/>
      <c r="AI8" s="631"/>
      <c r="AJ8" s="631"/>
      <c r="AK8" s="631"/>
      <c r="AL8" s="631"/>
      <c r="AM8" s="631"/>
      <c r="AN8" s="631"/>
      <c r="AO8" s="631"/>
      <c r="AP8" s="631"/>
      <c r="AQ8" s="631"/>
      <c r="AR8" s="631"/>
      <c r="AS8" s="631"/>
      <c r="AT8" s="631"/>
    </row>
    <row r="9" spans="1:46" s="634" customFormat="1" ht="20.100000000000001" hidden="1" customHeight="1" x14ac:dyDescent="0.25">
      <c r="A9" s="646">
        <v>40940</v>
      </c>
      <c r="B9" s="647">
        <v>6458</v>
      </c>
      <c r="C9" s="647">
        <v>4467</v>
      </c>
      <c r="D9" s="647">
        <v>68981</v>
      </c>
      <c r="E9" s="648">
        <v>79906</v>
      </c>
      <c r="F9" s="647">
        <v>1443</v>
      </c>
      <c r="G9" s="649">
        <v>0.2</v>
      </c>
      <c r="H9" s="650">
        <f>E9+F9+G9</f>
        <v>81349.2</v>
      </c>
      <c r="I9" s="651">
        <f>H9/28.7562</f>
        <v>2828.9273269764431</v>
      </c>
      <c r="J9" s="652">
        <v>4.3</v>
      </c>
      <c r="K9" s="653"/>
      <c r="L9" s="632"/>
      <c r="M9" s="632"/>
      <c r="N9" s="632"/>
      <c r="O9" s="632"/>
      <c r="P9" s="654"/>
      <c r="Q9" s="632"/>
      <c r="R9" s="632"/>
      <c r="S9" s="631"/>
      <c r="T9" s="633"/>
      <c r="U9" s="631"/>
      <c r="V9" s="655"/>
      <c r="W9" s="655"/>
      <c r="X9" s="655"/>
      <c r="Y9" s="655"/>
      <c r="Z9" s="655"/>
      <c r="AA9" s="655"/>
      <c r="AB9" s="631"/>
      <c r="AC9" s="631"/>
      <c r="AD9" s="631"/>
      <c r="AE9" s="631"/>
      <c r="AF9" s="631"/>
      <c r="AG9" s="631"/>
      <c r="AH9" s="631"/>
      <c r="AI9" s="631"/>
      <c r="AJ9" s="631"/>
      <c r="AK9" s="631"/>
      <c r="AL9" s="631"/>
      <c r="AM9" s="631"/>
      <c r="AN9" s="631"/>
      <c r="AO9" s="631"/>
      <c r="AP9" s="631"/>
      <c r="AQ9" s="631"/>
      <c r="AR9" s="631"/>
      <c r="AS9" s="631"/>
      <c r="AT9" s="631"/>
    </row>
    <row r="10" spans="1:46" s="634" customFormat="1" ht="20.100000000000001" hidden="1" customHeight="1" x14ac:dyDescent="0.25">
      <c r="A10" s="646">
        <v>40969</v>
      </c>
      <c r="B10" s="647">
        <v>6040</v>
      </c>
      <c r="C10" s="647">
        <v>4459</v>
      </c>
      <c r="D10" s="647">
        <v>68870</v>
      </c>
      <c r="E10" s="648">
        <v>79369</v>
      </c>
      <c r="F10" s="647">
        <v>1452</v>
      </c>
      <c r="G10" s="649">
        <v>0.1</v>
      </c>
      <c r="H10" s="650">
        <f>E10+F10+G10</f>
        <v>80821.100000000006</v>
      </c>
      <c r="I10" s="651">
        <v>2798.2</v>
      </c>
      <c r="J10" s="652">
        <v>4.3</v>
      </c>
      <c r="K10" s="653"/>
      <c r="L10" s="632"/>
      <c r="M10" s="632"/>
      <c r="N10" s="632"/>
      <c r="O10" s="632"/>
      <c r="P10" s="654"/>
      <c r="Q10" s="632"/>
      <c r="R10" s="632"/>
      <c r="S10" s="631"/>
      <c r="T10" s="633"/>
      <c r="U10" s="631"/>
      <c r="V10" s="655"/>
      <c r="W10" s="655"/>
      <c r="X10" s="655"/>
      <c r="Y10" s="655"/>
      <c r="Z10" s="655"/>
      <c r="AA10" s="655"/>
      <c r="AB10" s="631"/>
      <c r="AC10" s="631"/>
      <c r="AD10" s="631"/>
      <c r="AE10" s="631"/>
      <c r="AF10" s="631"/>
      <c r="AG10" s="631"/>
      <c r="AH10" s="631"/>
      <c r="AI10" s="631"/>
      <c r="AJ10" s="631"/>
      <c r="AK10" s="631"/>
      <c r="AL10" s="631"/>
      <c r="AM10" s="631"/>
      <c r="AN10" s="631"/>
      <c r="AO10" s="631"/>
      <c r="AP10" s="631"/>
      <c r="AQ10" s="631"/>
      <c r="AR10" s="631"/>
      <c r="AS10" s="631"/>
      <c r="AT10" s="631"/>
    </row>
    <row r="11" spans="1:46" s="634" customFormat="1" ht="20.100000000000001" hidden="1" customHeight="1" x14ac:dyDescent="0.25">
      <c r="A11" s="646">
        <v>41000</v>
      </c>
      <c r="B11" s="647">
        <v>6079</v>
      </c>
      <c r="C11" s="647">
        <v>4495</v>
      </c>
      <c r="D11" s="647">
        <v>68421</v>
      </c>
      <c r="E11" s="648">
        <v>78995</v>
      </c>
      <c r="F11" s="647">
        <v>1462</v>
      </c>
      <c r="G11" s="656">
        <v>0.1</v>
      </c>
      <c r="H11" s="650">
        <v>80457.100000000006</v>
      </c>
      <c r="I11" s="651">
        <v>2771.4</v>
      </c>
      <c r="J11" s="652">
        <v>4.3</v>
      </c>
      <c r="K11" s="653"/>
      <c r="L11" s="632"/>
      <c r="M11" s="632"/>
      <c r="N11" s="632"/>
      <c r="O11" s="632"/>
      <c r="P11" s="654"/>
      <c r="Q11" s="632"/>
      <c r="R11" s="632"/>
      <c r="S11" s="631"/>
      <c r="T11" s="633"/>
      <c r="U11" s="631"/>
      <c r="V11" s="655"/>
      <c r="W11" s="655"/>
      <c r="X11" s="655"/>
      <c r="Y11" s="655"/>
      <c r="Z11" s="655"/>
      <c r="AA11" s="655"/>
      <c r="AB11" s="631"/>
      <c r="AC11" s="631"/>
      <c r="AD11" s="631"/>
      <c r="AE11" s="631"/>
      <c r="AF11" s="631"/>
      <c r="AG11" s="631"/>
      <c r="AH11" s="631"/>
      <c r="AI11" s="631"/>
      <c r="AJ11" s="631"/>
      <c r="AK11" s="631"/>
      <c r="AL11" s="631"/>
      <c r="AM11" s="631"/>
      <c r="AN11" s="631"/>
      <c r="AO11" s="631"/>
      <c r="AP11" s="631"/>
      <c r="AQ11" s="631"/>
      <c r="AR11" s="631"/>
      <c r="AS11" s="631"/>
      <c r="AT11" s="631"/>
    </row>
    <row r="12" spans="1:46" s="634" customFormat="1" ht="20.100000000000001" hidden="1" customHeight="1" x14ac:dyDescent="0.25">
      <c r="A12" s="646">
        <v>41030</v>
      </c>
      <c r="B12" s="647">
        <v>5875</v>
      </c>
      <c r="C12" s="647">
        <v>4503</v>
      </c>
      <c r="D12" s="647">
        <v>67703</v>
      </c>
      <c r="E12" s="648">
        <v>78081</v>
      </c>
      <c r="F12" s="647">
        <v>1463</v>
      </c>
      <c r="G12" s="649">
        <v>0.2</v>
      </c>
      <c r="H12" s="650">
        <f t="shared" ref="H12:H21" si="0">E12+F12+G12</f>
        <v>79544.2</v>
      </c>
      <c r="I12" s="651">
        <v>2667.5</v>
      </c>
      <c r="J12" s="652">
        <v>4.2</v>
      </c>
      <c r="K12" s="653"/>
      <c r="L12" s="632"/>
      <c r="M12" s="632"/>
      <c r="N12" s="632"/>
      <c r="O12" s="632"/>
      <c r="P12" s="657"/>
      <c r="Q12" s="632"/>
      <c r="R12" s="632"/>
      <c r="S12" s="631"/>
      <c r="T12" s="633"/>
      <c r="U12" s="631"/>
      <c r="V12" s="655"/>
      <c r="W12" s="655"/>
      <c r="X12" s="655"/>
      <c r="Y12" s="655"/>
      <c r="Z12" s="655"/>
      <c r="AA12" s="655"/>
      <c r="AB12" s="631"/>
      <c r="AC12" s="631"/>
      <c r="AD12" s="631"/>
      <c r="AE12" s="631"/>
      <c r="AF12" s="631"/>
      <c r="AG12" s="631"/>
      <c r="AH12" s="631"/>
      <c r="AI12" s="631"/>
      <c r="AJ12" s="631"/>
      <c r="AK12" s="631"/>
      <c r="AL12" s="631"/>
      <c r="AM12" s="631"/>
      <c r="AN12" s="631"/>
      <c r="AO12" s="631"/>
      <c r="AP12" s="631"/>
      <c r="AQ12" s="631"/>
      <c r="AR12" s="631"/>
      <c r="AS12" s="631"/>
      <c r="AT12" s="631"/>
    </row>
    <row r="13" spans="1:46" s="634" customFormat="1" ht="20.100000000000001" hidden="1" customHeight="1" x14ac:dyDescent="0.25">
      <c r="A13" s="646">
        <v>41061</v>
      </c>
      <c r="B13" s="647">
        <v>6118</v>
      </c>
      <c r="C13" s="647">
        <v>4676</v>
      </c>
      <c r="D13" s="647">
        <v>74295</v>
      </c>
      <c r="E13" s="648">
        <v>85089</v>
      </c>
      <c r="F13" s="647">
        <v>1582</v>
      </c>
      <c r="G13" s="649">
        <v>0.1</v>
      </c>
      <c r="H13" s="650">
        <f t="shared" si="0"/>
        <v>86671.1</v>
      </c>
      <c r="I13" s="651">
        <v>2798</v>
      </c>
      <c r="J13" s="652">
        <v>4.5999999999999996</v>
      </c>
      <c r="K13" s="653"/>
      <c r="L13" s="632"/>
      <c r="M13" s="632"/>
      <c r="N13" s="632"/>
      <c r="O13" s="632"/>
      <c r="P13" s="657"/>
      <c r="Q13" s="632"/>
      <c r="R13" s="632"/>
      <c r="S13" s="631"/>
      <c r="T13" s="633"/>
      <c r="U13" s="631"/>
      <c r="V13" s="655"/>
      <c r="W13" s="655"/>
      <c r="X13" s="655"/>
      <c r="Y13" s="655"/>
      <c r="Z13" s="655"/>
      <c r="AA13" s="655"/>
      <c r="AB13" s="631"/>
      <c r="AC13" s="631"/>
      <c r="AD13" s="631"/>
      <c r="AE13" s="631"/>
      <c r="AF13" s="631"/>
      <c r="AG13" s="631"/>
      <c r="AH13" s="631"/>
      <c r="AI13" s="631"/>
      <c r="AJ13" s="631"/>
      <c r="AK13" s="631"/>
      <c r="AL13" s="631"/>
      <c r="AM13" s="631"/>
      <c r="AN13" s="631"/>
      <c r="AO13" s="631"/>
      <c r="AP13" s="631"/>
      <c r="AQ13" s="631"/>
      <c r="AR13" s="631"/>
      <c r="AS13" s="631"/>
      <c r="AT13" s="631"/>
    </row>
    <row r="14" spans="1:46" s="634" customFormat="1" ht="20.100000000000001" hidden="1" customHeight="1" x14ac:dyDescent="0.25">
      <c r="A14" s="646">
        <v>41091</v>
      </c>
      <c r="B14" s="647">
        <v>6305</v>
      </c>
      <c r="C14" s="647">
        <v>4654</v>
      </c>
      <c r="D14" s="647">
        <v>75348</v>
      </c>
      <c r="E14" s="648">
        <v>86307</v>
      </c>
      <c r="F14" s="647">
        <v>1568</v>
      </c>
      <c r="G14" s="656">
        <v>0.2</v>
      </c>
      <c r="H14" s="650">
        <f t="shared" si="0"/>
        <v>87875.199999999997</v>
      </c>
      <c r="I14" s="651">
        <v>2845.4</v>
      </c>
      <c r="J14" s="652">
        <v>4.7</v>
      </c>
      <c r="K14" s="653"/>
      <c r="L14" s="632"/>
      <c r="M14" s="632"/>
      <c r="N14" s="632"/>
      <c r="O14" s="632"/>
      <c r="P14" s="657"/>
      <c r="Q14" s="632"/>
      <c r="R14" s="632"/>
      <c r="S14" s="631"/>
      <c r="T14" s="633"/>
      <c r="U14" s="631"/>
      <c r="V14" s="655"/>
      <c r="W14" s="655"/>
      <c r="X14" s="655"/>
      <c r="Y14" s="655"/>
      <c r="Z14" s="655"/>
      <c r="AA14" s="655"/>
      <c r="AB14" s="631"/>
      <c r="AC14" s="631"/>
      <c r="AD14" s="631"/>
      <c r="AE14" s="631"/>
      <c r="AF14" s="631"/>
      <c r="AG14" s="631"/>
      <c r="AH14" s="631"/>
      <c r="AI14" s="631"/>
      <c r="AJ14" s="631"/>
      <c r="AK14" s="631"/>
      <c r="AL14" s="631"/>
      <c r="AM14" s="631"/>
      <c r="AN14" s="631"/>
      <c r="AO14" s="631"/>
      <c r="AP14" s="631"/>
      <c r="AQ14" s="631"/>
      <c r="AR14" s="631"/>
      <c r="AS14" s="631"/>
      <c r="AT14" s="631"/>
    </row>
    <row r="15" spans="1:46" s="634" customFormat="1" ht="20.100000000000001" hidden="1" customHeight="1" x14ac:dyDescent="0.25">
      <c r="A15" s="646">
        <v>41122</v>
      </c>
      <c r="B15" s="647">
        <v>6361</v>
      </c>
      <c r="C15" s="647">
        <v>4631</v>
      </c>
      <c r="D15" s="647">
        <v>75754</v>
      </c>
      <c r="E15" s="648">
        <v>86746</v>
      </c>
      <c r="F15" s="647">
        <v>1561</v>
      </c>
      <c r="G15" s="656">
        <v>0.2</v>
      </c>
      <c r="H15" s="650">
        <f t="shared" si="0"/>
        <v>88307.199999999997</v>
      </c>
      <c r="I15" s="651">
        <v>2897.9</v>
      </c>
      <c r="J15" s="652">
        <v>4.7</v>
      </c>
      <c r="K15" s="653"/>
      <c r="L15" s="632"/>
      <c r="M15" s="632"/>
      <c r="N15" s="632"/>
      <c r="O15" s="632"/>
      <c r="P15" s="657"/>
      <c r="Q15" s="632"/>
      <c r="R15" s="632"/>
      <c r="S15" s="631"/>
      <c r="T15" s="633"/>
      <c r="U15" s="631"/>
      <c r="V15" s="655"/>
      <c r="W15" s="655"/>
      <c r="X15" s="655"/>
      <c r="Y15" s="655"/>
      <c r="Z15" s="655"/>
      <c r="AA15" s="655"/>
      <c r="AB15" s="631"/>
      <c r="AC15" s="631"/>
      <c r="AD15" s="631"/>
      <c r="AE15" s="631"/>
      <c r="AF15" s="631"/>
      <c r="AG15" s="631"/>
      <c r="AH15" s="631"/>
      <c r="AI15" s="631"/>
      <c r="AJ15" s="631"/>
      <c r="AK15" s="631"/>
      <c r="AL15" s="631"/>
      <c r="AM15" s="631"/>
      <c r="AN15" s="631"/>
      <c r="AO15" s="631"/>
      <c r="AP15" s="631"/>
      <c r="AQ15" s="631"/>
      <c r="AR15" s="631"/>
      <c r="AS15" s="631"/>
      <c r="AT15" s="631"/>
    </row>
    <row r="16" spans="1:46" s="634" customFormat="1" ht="20.100000000000001" hidden="1" customHeight="1" x14ac:dyDescent="0.25">
      <c r="A16" s="646" t="s">
        <v>389</v>
      </c>
      <c r="B16" s="647">
        <v>6817</v>
      </c>
      <c r="C16" s="647">
        <v>4685</v>
      </c>
      <c r="D16" s="647">
        <v>76297</v>
      </c>
      <c r="E16" s="648">
        <v>87799</v>
      </c>
      <c r="F16" s="647">
        <v>1580</v>
      </c>
      <c r="G16" s="658">
        <v>0.2</v>
      </c>
      <c r="H16" s="650">
        <f t="shared" si="0"/>
        <v>89379.199999999997</v>
      </c>
      <c r="I16" s="651">
        <v>2935.9</v>
      </c>
      <c r="J16" s="652">
        <v>4.7</v>
      </c>
      <c r="K16" s="653"/>
      <c r="L16" s="632"/>
      <c r="M16" s="632"/>
      <c r="N16" s="632"/>
      <c r="O16" s="632"/>
      <c r="P16" s="657"/>
      <c r="Q16" s="632"/>
      <c r="R16" s="632"/>
      <c r="S16" s="631"/>
      <c r="T16" s="633"/>
      <c r="U16" s="631"/>
      <c r="V16" s="655"/>
      <c r="W16" s="655"/>
      <c r="X16" s="655"/>
      <c r="Y16" s="655"/>
      <c r="Z16" s="655"/>
      <c r="AA16" s="655"/>
      <c r="AB16" s="631"/>
      <c r="AC16" s="631"/>
      <c r="AD16" s="631"/>
      <c r="AE16" s="631"/>
      <c r="AF16" s="631"/>
      <c r="AG16" s="631"/>
      <c r="AH16" s="631"/>
      <c r="AI16" s="631"/>
      <c r="AJ16" s="631"/>
      <c r="AK16" s="631"/>
      <c r="AL16" s="631"/>
      <c r="AM16" s="631"/>
      <c r="AN16" s="631"/>
      <c r="AO16" s="631"/>
      <c r="AP16" s="631"/>
      <c r="AQ16" s="631"/>
      <c r="AR16" s="631"/>
      <c r="AS16" s="631"/>
      <c r="AT16" s="631"/>
    </row>
    <row r="17" spans="1:46" s="634" customFormat="1" ht="20.100000000000001" hidden="1" customHeight="1" x14ac:dyDescent="0.25">
      <c r="A17" s="646">
        <v>41183</v>
      </c>
      <c r="B17" s="647">
        <v>6689</v>
      </c>
      <c r="C17" s="647">
        <v>4761</v>
      </c>
      <c r="D17" s="647">
        <v>76522</v>
      </c>
      <c r="E17" s="648">
        <v>87972</v>
      </c>
      <c r="F17" s="647">
        <v>1606</v>
      </c>
      <c r="G17" s="658">
        <v>0.1</v>
      </c>
      <c r="H17" s="650">
        <f t="shared" si="0"/>
        <v>89578.1</v>
      </c>
      <c r="I17" s="651">
        <v>2891.8</v>
      </c>
      <c r="J17" s="652">
        <v>4.7</v>
      </c>
      <c r="K17" s="653"/>
      <c r="L17" s="632"/>
      <c r="M17" s="632"/>
      <c r="N17" s="632"/>
      <c r="O17" s="632"/>
      <c r="P17" s="657"/>
      <c r="Q17" s="632"/>
      <c r="R17" s="632"/>
      <c r="S17" s="631"/>
      <c r="T17" s="633"/>
      <c r="U17" s="631"/>
      <c r="V17" s="655"/>
      <c r="W17" s="655"/>
      <c r="X17" s="655"/>
      <c r="Y17" s="655"/>
      <c r="Z17" s="655"/>
      <c r="AA17" s="655"/>
      <c r="AB17" s="631"/>
      <c r="AC17" s="631"/>
      <c r="AD17" s="631"/>
      <c r="AE17" s="631"/>
      <c r="AF17" s="631"/>
      <c r="AG17" s="631"/>
      <c r="AH17" s="631"/>
      <c r="AI17" s="631"/>
      <c r="AJ17" s="631"/>
      <c r="AK17" s="631"/>
      <c r="AL17" s="631"/>
      <c r="AM17" s="631"/>
      <c r="AN17" s="631"/>
      <c r="AO17" s="631"/>
      <c r="AP17" s="631"/>
      <c r="AQ17" s="631"/>
      <c r="AR17" s="631"/>
      <c r="AS17" s="631"/>
      <c r="AT17" s="631"/>
    </row>
    <row r="18" spans="1:46" s="634" customFormat="1" ht="20.100000000000001" hidden="1" customHeight="1" x14ac:dyDescent="0.25">
      <c r="A18" s="646">
        <v>41214</v>
      </c>
      <c r="B18" s="647">
        <v>6694</v>
      </c>
      <c r="C18" s="647">
        <v>4714</v>
      </c>
      <c r="D18" s="647">
        <v>78955</v>
      </c>
      <c r="E18" s="648">
        <v>90363</v>
      </c>
      <c r="F18" s="647">
        <v>1588</v>
      </c>
      <c r="G18" s="658">
        <v>0.2</v>
      </c>
      <c r="H18" s="650">
        <f t="shared" si="0"/>
        <v>91951.2</v>
      </c>
      <c r="I18" s="651">
        <v>2990.7</v>
      </c>
      <c r="J18" s="652">
        <v>4.9000000000000004</v>
      </c>
      <c r="K18" s="653"/>
      <c r="L18" s="632"/>
      <c r="M18" s="632"/>
      <c r="N18" s="632"/>
      <c r="O18" s="632"/>
      <c r="P18" s="657"/>
      <c r="Q18" s="632"/>
      <c r="R18" s="632"/>
      <c r="S18" s="631"/>
      <c r="T18" s="633"/>
      <c r="U18" s="631"/>
      <c r="V18" s="655"/>
      <c r="W18" s="655"/>
      <c r="X18" s="655"/>
      <c r="Y18" s="655"/>
      <c r="Z18" s="655"/>
      <c r="AA18" s="655"/>
      <c r="AB18" s="631"/>
      <c r="AC18" s="631"/>
      <c r="AD18" s="631"/>
      <c r="AE18" s="631"/>
      <c r="AF18" s="631"/>
      <c r="AG18" s="631"/>
      <c r="AH18" s="631"/>
      <c r="AI18" s="631"/>
      <c r="AJ18" s="631"/>
      <c r="AK18" s="631"/>
      <c r="AL18" s="631"/>
      <c r="AM18" s="631"/>
      <c r="AN18" s="631"/>
      <c r="AO18" s="631"/>
      <c r="AP18" s="631"/>
      <c r="AQ18" s="631"/>
      <c r="AR18" s="631"/>
      <c r="AS18" s="631"/>
      <c r="AT18" s="631"/>
    </row>
    <row r="19" spans="1:46" s="634" customFormat="1" ht="20.100000000000001" hidden="1" customHeight="1" thickBot="1" x14ac:dyDescent="0.3">
      <c r="A19" s="659" t="s">
        <v>390</v>
      </c>
      <c r="B19" s="660">
        <v>6399</v>
      </c>
      <c r="C19" s="660">
        <v>4688</v>
      </c>
      <c r="D19" s="660">
        <v>80322</v>
      </c>
      <c r="E19" s="661">
        <v>91409</v>
      </c>
      <c r="F19" s="660">
        <v>1579</v>
      </c>
      <c r="G19" s="662">
        <v>0.2</v>
      </c>
      <c r="H19" s="663">
        <f t="shared" si="0"/>
        <v>92988.2</v>
      </c>
      <c r="I19" s="664">
        <v>3046.3</v>
      </c>
      <c r="J19" s="665">
        <v>4.9000000000000004</v>
      </c>
      <c r="K19" s="653"/>
      <c r="L19" s="632"/>
      <c r="M19" s="632"/>
      <c r="N19" s="632"/>
      <c r="O19" s="632"/>
      <c r="P19" s="657"/>
      <c r="Q19" s="632"/>
      <c r="R19" s="632"/>
      <c r="S19" s="631"/>
      <c r="T19" s="633"/>
      <c r="U19" s="631"/>
      <c r="V19" s="655"/>
      <c r="W19" s="655"/>
      <c r="X19" s="655"/>
      <c r="Y19" s="655"/>
      <c r="Z19" s="655"/>
      <c r="AA19" s="655"/>
      <c r="AB19" s="631"/>
      <c r="AC19" s="631"/>
      <c r="AD19" s="631"/>
      <c r="AE19" s="631"/>
      <c r="AF19" s="631"/>
      <c r="AG19" s="631"/>
      <c r="AH19" s="631"/>
      <c r="AI19" s="631"/>
      <c r="AJ19" s="631"/>
      <c r="AK19" s="631"/>
      <c r="AL19" s="631"/>
      <c r="AM19" s="631"/>
      <c r="AN19" s="631"/>
      <c r="AO19" s="631"/>
      <c r="AP19" s="631"/>
      <c r="AQ19" s="631"/>
      <c r="AR19" s="631"/>
      <c r="AS19" s="631"/>
      <c r="AT19" s="631"/>
    </row>
    <row r="20" spans="1:46" s="634" customFormat="1" ht="20.100000000000001" hidden="1" customHeight="1" x14ac:dyDescent="0.25">
      <c r="A20" s="646" t="s">
        <v>391</v>
      </c>
      <c r="B20" s="647">
        <v>6410</v>
      </c>
      <c r="C20" s="647">
        <v>4681</v>
      </c>
      <c r="D20" s="647">
        <v>82858</v>
      </c>
      <c r="E20" s="648">
        <v>93949</v>
      </c>
      <c r="F20" s="647">
        <v>1577</v>
      </c>
      <c r="G20" s="649">
        <v>0.1</v>
      </c>
      <c r="H20" s="650">
        <f t="shared" si="0"/>
        <v>95526.1</v>
      </c>
      <c r="I20" s="651">
        <v>3142.2</v>
      </c>
      <c r="J20" s="652">
        <v>5.0835866301836425</v>
      </c>
      <c r="K20" s="653"/>
      <c r="L20" s="632"/>
      <c r="M20" s="632"/>
      <c r="N20" s="632"/>
      <c r="O20" s="632"/>
      <c r="P20" s="654"/>
      <c r="Q20" s="632"/>
      <c r="R20" s="632"/>
      <c r="S20" s="631"/>
      <c r="T20" s="633"/>
      <c r="U20" s="631"/>
      <c r="V20" s="655"/>
      <c r="W20" s="655"/>
      <c r="X20" s="655"/>
      <c r="Y20" s="655"/>
      <c r="Z20" s="655"/>
      <c r="AA20" s="655"/>
      <c r="AB20" s="631"/>
      <c r="AC20" s="631"/>
      <c r="AD20" s="631"/>
      <c r="AE20" s="631"/>
      <c r="AF20" s="631"/>
      <c r="AG20" s="631"/>
      <c r="AH20" s="631"/>
      <c r="AI20" s="631"/>
      <c r="AJ20" s="631"/>
      <c r="AK20" s="631"/>
      <c r="AL20" s="631"/>
      <c r="AM20" s="631"/>
      <c r="AN20" s="631"/>
      <c r="AO20" s="631"/>
      <c r="AP20" s="631"/>
      <c r="AQ20" s="631"/>
      <c r="AR20" s="631"/>
      <c r="AS20" s="631"/>
      <c r="AT20" s="631"/>
    </row>
    <row r="21" spans="1:46" s="634" customFormat="1" ht="20.100000000000001" hidden="1" customHeight="1" x14ac:dyDescent="0.25">
      <c r="A21" s="646" t="s">
        <v>392</v>
      </c>
      <c r="B21" s="647">
        <v>6195</v>
      </c>
      <c r="C21" s="647">
        <v>4664</v>
      </c>
      <c r="D21" s="647">
        <v>82523</v>
      </c>
      <c r="E21" s="648">
        <v>93382</v>
      </c>
      <c r="F21" s="647">
        <v>1571</v>
      </c>
      <c r="G21" s="649">
        <v>0.1</v>
      </c>
      <c r="H21" s="650">
        <f t="shared" si="0"/>
        <v>94953.1</v>
      </c>
      <c r="I21" s="651">
        <v>3081</v>
      </c>
      <c r="J21" s="652">
        <v>5.05309344414239</v>
      </c>
      <c r="K21" s="653"/>
      <c r="L21" s="632"/>
      <c r="M21" s="632"/>
      <c r="N21" s="632"/>
      <c r="O21" s="632"/>
      <c r="P21" s="654"/>
      <c r="Q21" s="632"/>
      <c r="R21" s="632"/>
      <c r="S21" s="631"/>
      <c r="T21" s="633"/>
      <c r="U21" s="631"/>
      <c r="V21" s="655"/>
      <c r="W21" s="655"/>
      <c r="X21" s="655"/>
      <c r="Y21" s="655"/>
      <c r="Z21" s="655"/>
      <c r="AA21" s="655"/>
      <c r="AB21" s="631"/>
      <c r="AC21" s="631"/>
      <c r="AD21" s="631"/>
      <c r="AE21" s="631"/>
      <c r="AF21" s="631"/>
      <c r="AG21" s="631"/>
      <c r="AH21" s="631"/>
      <c r="AI21" s="631"/>
      <c r="AJ21" s="631"/>
      <c r="AK21" s="631"/>
      <c r="AL21" s="631"/>
      <c r="AM21" s="631"/>
      <c r="AN21" s="631"/>
      <c r="AO21" s="631"/>
      <c r="AP21" s="631"/>
      <c r="AQ21" s="631"/>
      <c r="AR21" s="631"/>
      <c r="AS21" s="631"/>
      <c r="AT21" s="631"/>
    </row>
    <row r="22" spans="1:46" s="634" customFormat="1" ht="20.100000000000001" hidden="1" customHeight="1" x14ac:dyDescent="0.25">
      <c r="A22" s="646" t="s">
        <v>393</v>
      </c>
      <c r="B22" s="647">
        <v>6263</v>
      </c>
      <c r="C22" s="647">
        <v>4664</v>
      </c>
      <c r="D22" s="647">
        <v>85650</v>
      </c>
      <c r="E22" s="648">
        <v>96577</v>
      </c>
      <c r="F22" s="647">
        <v>1572</v>
      </c>
      <c r="G22" s="649">
        <v>0.2</v>
      </c>
      <c r="H22" s="650">
        <v>98149.2</v>
      </c>
      <c r="I22" s="651">
        <v>3150.3514684641309</v>
      </c>
      <c r="J22" s="652">
        <v>5.223179433507914</v>
      </c>
      <c r="K22" s="653"/>
      <c r="L22" s="632"/>
      <c r="M22" s="632"/>
      <c r="N22" s="632"/>
      <c r="O22" s="632"/>
      <c r="P22" s="654"/>
      <c r="Q22" s="632"/>
      <c r="R22" s="632"/>
      <c r="S22" s="631"/>
      <c r="T22" s="633"/>
      <c r="U22" s="631"/>
      <c r="V22" s="655"/>
      <c r="W22" s="655"/>
      <c r="X22" s="655"/>
      <c r="Y22" s="655"/>
      <c r="Z22" s="655"/>
      <c r="AA22" s="655"/>
      <c r="AB22" s="631"/>
      <c r="AC22" s="631"/>
      <c r="AD22" s="631"/>
      <c r="AE22" s="631"/>
      <c r="AF22" s="631"/>
      <c r="AG22" s="631"/>
      <c r="AH22" s="631"/>
      <c r="AI22" s="631"/>
      <c r="AJ22" s="631"/>
      <c r="AK22" s="631"/>
      <c r="AL22" s="631"/>
      <c r="AM22" s="631"/>
      <c r="AN22" s="631"/>
      <c r="AO22" s="631"/>
      <c r="AP22" s="631"/>
      <c r="AQ22" s="631"/>
      <c r="AR22" s="631"/>
      <c r="AS22" s="631"/>
      <c r="AT22" s="631"/>
    </row>
    <row r="23" spans="1:46" s="634" customFormat="1" ht="20.100000000000001" hidden="1" customHeight="1" x14ac:dyDescent="0.25">
      <c r="A23" s="646" t="s">
        <v>394</v>
      </c>
      <c r="B23" s="647">
        <v>5743</v>
      </c>
      <c r="C23" s="647">
        <v>4673</v>
      </c>
      <c r="D23" s="647">
        <v>85290</v>
      </c>
      <c r="E23" s="648">
        <v>95706</v>
      </c>
      <c r="F23" s="647">
        <v>1573</v>
      </c>
      <c r="G23" s="656">
        <v>0.1</v>
      </c>
      <c r="H23" s="650">
        <v>97279.1</v>
      </c>
      <c r="I23" s="651">
        <v>3140.1931004206117</v>
      </c>
      <c r="J23" s="652">
        <v>5.1768755571126377</v>
      </c>
      <c r="K23" s="653"/>
      <c r="L23" s="632"/>
      <c r="M23" s="632"/>
      <c r="N23" s="632"/>
      <c r="O23" s="632"/>
      <c r="P23" s="654"/>
      <c r="Q23" s="632"/>
      <c r="R23" s="632"/>
      <c r="S23" s="631"/>
      <c r="T23" s="633"/>
      <c r="U23" s="631"/>
      <c r="V23" s="655"/>
      <c r="W23" s="655"/>
      <c r="X23" s="655"/>
      <c r="Y23" s="655"/>
      <c r="Z23" s="655"/>
      <c r="AA23" s="655"/>
      <c r="AB23" s="631"/>
      <c r="AC23" s="631"/>
      <c r="AD23" s="631"/>
      <c r="AE23" s="631"/>
      <c r="AF23" s="631"/>
      <c r="AG23" s="631"/>
      <c r="AH23" s="631"/>
      <c r="AI23" s="631"/>
      <c r="AJ23" s="631"/>
      <c r="AK23" s="631"/>
      <c r="AL23" s="631"/>
      <c r="AM23" s="631"/>
      <c r="AN23" s="631"/>
      <c r="AO23" s="631"/>
      <c r="AP23" s="631"/>
      <c r="AQ23" s="631"/>
      <c r="AR23" s="631"/>
      <c r="AS23" s="631"/>
      <c r="AT23" s="631"/>
    </row>
    <row r="24" spans="1:46" s="634" customFormat="1" ht="20.100000000000001" hidden="1" customHeight="1" x14ac:dyDescent="0.25">
      <c r="A24" s="646" t="s">
        <v>395</v>
      </c>
      <c r="B24" s="647">
        <v>5542</v>
      </c>
      <c r="C24" s="647">
        <v>4651</v>
      </c>
      <c r="D24" s="647">
        <v>93693</v>
      </c>
      <c r="E24" s="648">
        <v>103886</v>
      </c>
      <c r="F24" s="647">
        <v>1568</v>
      </c>
      <c r="G24" s="649">
        <v>0.1</v>
      </c>
      <c r="H24" s="650">
        <f t="shared" ref="H24:H36" si="1">E24+F24+G24</f>
        <v>105454.1</v>
      </c>
      <c r="I24" s="651">
        <v>3391.5</v>
      </c>
      <c r="J24" s="652">
        <v>5.6119223213137444</v>
      </c>
      <c r="K24" s="653"/>
      <c r="L24" s="632"/>
      <c r="M24" s="632"/>
      <c r="N24" s="632"/>
      <c r="O24" s="632"/>
      <c r="P24" s="657"/>
      <c r="Q24" s="632"/>
      <c r="R24" s="632"/>
      <c r="S24" s="631"/>
      <c r="T24" s="633"/>
      <c r="U24" s="631"/>
      <c r="V24" s="655"/>
      <c r="W24" s="655"/>
      <c r="X24" s="655"/>
      <c r="Y24" s="655"/>
      <c r="Z24" s="655"/>
      <c r="AA24" s="655"/>
      <c r="AB24" s="631"/>
      <c r="AC24" s="631"/>
      <c r="AD24" s="631"/>
      <c r="AE24" s="631"/>
      <c r="AF24" s="631"/>
      <c r="AG24" s="631"/>
      <c r="AH24" s="631"/>
      <c r="AI24" s="631"/>
      <c r="AJ24" s="631"/>
      <c r="AK24" s="631"/>
      <c r="AL24" s="631"/>
      <c r="AM24" s="631"/>
      <c r="AN24" s="631"/>
      <c r="AO24" s="631"/>
      <c r="AP24" s="631"/>
      <c r="AQ24" s="631"/>
      <c r="AR24" s="631"/>
      <c r="AS24" s="631"/>
      <c r="AT24" s="631"/>
    </row>
    <row r="25" spans="1:46" s="634" customFormat="1" ht="20.100000000000001" hidden="1" customHeight="1" x14ac:dyDescent="0.25">
      <c r="A25" s="646" t="s">
        <v>396</v>
      </c>
      <c r="B25" s="647">
        <v>4699</v>
      </c>
      <c r="C25" s="647">
        <v>4662</v>
      </c>
      <c r="D25" s="647">
        <v>94063</v>
      </c>
      <c r="E25" s="648">
        <v>103424</v>
      </c>
      <c r="F25" s="647">
        <v>1616</v>
      </c>
      <c r="G25" s="649">
        <v>0.1</v>
      </c>
      <c r="H25" s="650">
        <f t="shared" si="1"/>
        <v>105040.1</v>
      </c>
      <c r="I25" s="651">
        <v>3386.9</v>
      </c>
      <c r="J25" s="652">
        <v>5.6</v>
      </c>
      <c r="K25" s="653"/>
      <c r="L25" s="632"/>
      <c r="M25" s="632"/>
      <c r="N25" s="632"/>
      <c r="O25" s="632"/>
      <c r="P25" s="657"/>
      <c r="Q25" s="632"/>
      <c r="R25" s="632"/>
      <c r="S25" s="631"/>
      <c r="T25" s="633"/>
      <c r="U25" s="631"/>
      <c r="V25" s="655"/>
      <c r="W25" s="655"/>
      <c r="X25" s="655"/>
      <c r="Y25" s="655"/>
      <c r="Z25" s="655"/>
      <c r="AA25" s="655"/>
      <c r="AB25" s="631"/>
      <c r="AC25" s="631"/>
      <c r="AD25" s="631"/>
      <c r="AE25" s="631"/>
      <c r="AF25" s="631"/>
      <c r="AG25" s="631"/>
      <c r="AH25" s="631"/>
      <c r="AI25" s="631"/>
      <c r="AJ25" s="631"/>
      <c r="AK25" s="631"/>
      <c r="AL25" s="631"/>
      <c r="AM25" s="631"/>
      <c r="AN25" s="631"/>
      <c r="AO25" s="631"/>
      <c r="AP25" s="631"/>
      <c r="AQ25" s="631"/>
      <c r="AR25" s="631"/>
      <c r="AS25" s="631"/>
      <c r="AT25" s="631"/>
    </row>
    <row r="26" spans="1:46" s="634" customFormat="1" ht="20.100000000000001" hidden="1" customHeight="1" x14ac:dyDescent="0.25">
      <c r="A26" s="646" t="s">
        <v>397</v>
      </c>
      <c r="B26" s="647">
        <v>5165</v>
      </c>
      <c r="C26" s="647">
        <v>4662</v>
      </c>
      <c r="D26" s="647">
        <v>90668</v>
      </c>
      <c r="E26" s="648">
        <v>100495</v>
      </c>
      <c r="F26" s="647">
        <v>1619</v>
      </c>
      <c r="G26" s="656">
        <v>0.1</v>
      </c>
      <c r="H26" s="650">
        <f t="shared" si="1"/>
        <v>102114.1</v>
      </c>
      <c r="I26" s="651">
        <v>3316.3</v>
      </c>
      <c r="J26" s="652">
        <v>5.43417844456369</v>
      </c>
      <c r="K26" s="653"/>
      <c r="L26" s="632"/>
      <c r="M26" s="632"/>
      <c r="N26" s="632"/>
      <c r="O26" s="632"/>
      <c r="P26" s="657"/>
      <c r="Q26" s="632"/>
      <c r="R26" s="632"/>
      <c r="S26" s="631"/>
      <c r="T26" s="633"/>
      <c r="U26" s="631"/>
      <c r="V26" s="655"/>
      <c r="W26" s="655"/>
      <c r="X26" s="655"/>
      <c r="Y26" s="655"/>
      <c r="Z26" s="655"/>
      <c r="AA26" s="655"/>
      <c r="AB26" s="631"/>
      <c r="AC26" s="631"/>
      <c r="AD26" s="631"/>
      <c r="AE26" s="631"/>
      <c r="AF26" s="631"/>
      <c r="AG26" s="631"/>
      <c r="AH26" s="631"/>
      <c r="AI26" s="631"/>
      <c r="AJ26" s="631"/>
      <c r="AK26" s="631"/>
      <c r="AL26" s="631"/>
      <c r="AM26" s="631"/>
      <c r="AN26" s="631"/>
      <c r="AO26" s="631"/>
      <c r="AP26" s="631"/>
      <c r="AQ26" s="631"/>
      <c r="AR26" s="631"/>
      <c r="AS26" s="631"/>
      <c r="AT26" s="631"/>
    </row>
    <row r="27" spans="1:46" s="634" customFormat="1" ht="20.100000000000001" hidden="1" customHeight="1" x14ac:dyDescent="0.25">
      <c r="A27" s="646" t="s">
        <v>398</v>
      </c>
      <c r="B27" s="647">
        <v>5407</v>
      </c>
      <c r="C27" s="647">
        <v>4667</v>
      </c>
      <c r="D27" s="647">
        <v>89022</v>
      </c>
      <c r="E27" s="648">
        <v>99096</v>
      </c>
      <c r="F27" s="647">
        <v>1620</v>
      </c>
      <c r="G27" s="656">
        <v>0.1</v>
      </c>
      <c r="H27" s="650">
        <f t="shared" si="1"/>
        <v>100716.1</v>
      </c>
      <c r="I27" s="651">
        <v>3271.5</v>
      </c>
      <c r="J27" s="652">
        <v>5.359781456630583</v>
      </c>
      <c r="K27" s="653"/>
      <c r="L27" s="632"/>
      <c r="M27" s="632"/>
      <c r="N27" s="632"/>
      <c r="O27" s="632"/>
      <c r="P27" s="657"/>
      <c r="Q27" s="632"/>
      <c r="R27" s="632"/>
      <c r="S27" s="631"/>
      <c r="T27" s="633"/>
      <c r="U27" s="631"/>
      <c r="V27" s="655"/>
      <c r="W27" s="655"/>
      <c r="X27" s="655"/>
      <c r="Y27" s="655"/>
      <c r="Z27" s="655"/>
      <c r="AA27" s="655"/>
      <c r="AB27" s="631"/>
      <c r="AC27" s="631"/>
      <c r="AD27" s="631"/>
      <c r="AE27" s="631"/>
      <c r="AF27" s="631"/>
      <c r="AG27" s="631"/>
      <c r="AH27" s="631"/>
      <c r="AI27" s="631"/>
      <c r="AJ27" s="631"/>
      <c r="AK27" s="631"/>
      <c r="AL27" s="631"/>
      <c r="AM27" s="631"/>
      <c r="AN27" s="631"/>
      <c r="AO27" s="631"/>
      <c r="AP27" s="631"/>
      <c r="AQ27" s="631"/>
      <c r="AR27" s="631"/>
      <c r="AS27" s="631"/>
      <c r="AT27" s="631"/>
    </row>
    <row r="28" spans="1:46" s="634" customFormat="1" ht="20.100000000000001" hidden="1" customHeight="1" x14ac:dyDescent="0.25">
      <c r="A28" s="646" t="s">
        <v>399</v>
      </c>
      <c r="B28" s="647">
        <v>5140</v>
      </c>
      <c r="C28" s="647">
        <v>4667</v>
      </c>
      <c r="D28" s="647">
        <v>90922</v>
      </c>
      <c r="E28" s="648">
        <v>100729</v>
      </c>
      <c r="F28" s="647">
        <v>1717</v>
      </c>
      <c r="G28" s="658">
        <v>0.1</v>
      </c>
      <c r="H28" s="650">
        <f t="shared" si="1"/>
        <v>102446.1</v>
      </c>
      <c r="I28" s="651">
        <f>H28/30.4674</f>
        <v>3362.4825223025268</v>
      </c>
      <c r="J28" s="652">
        <v>5.4518463987795638</v>
      </c>
      <c r="K28" s="653"/>
      <c r="L28" s="632"/>
      <c r="M28" s="632"/>
      <c r="N28" s="632"/>
      <c r="O28" s="632"/>
      <c r="P28" s="657"/>
      <c r="Q28" s="632"/>
      <c r="R28" s="632"/>
      <c r="S28" s="631"/>
      <c r="T28" s="633"/>
      <c r="U28" s="631"/>
      <c r="V28" s="655"/>
      <c r="W28" s="655"/>
      <c r="X28" s="655"/>
      <c r="Y28" s="655"/>
      <c r="Z28" s="655"/>
      <c r="AA28" s="655"/>
      <c r="AB28" s="631"/>
      <c r="AC28" s="631"/>
      <c r="AD28" s="631"/>
      <c r="AE28" s="631"/>
      <c r="AF28" s="631"/>
      <c r="AG28" s="631"/>
      <c r="AH28" s="631"/>
      <c r="AI28" s="631"/>
      <c r="AJ28" s="631"/>
      <c r="AK28" s="631"/>
      <c r="AL28" s="631"/>
      <c r="AM28" s="631"/>
      <c r="AN28" s="631"/>
      <c r="AO28" s="631"/>
      <c r="AP28" s="631"/>
      <c r="AQ28" s="631"/>
      <c r="AR28" s="631"/>
      <c r="AS28" s="631"/>
      <c r="AT28" s="631"/>
    </row>
    <row r="29" spans="1:46" s="634" customFormat="1" ht="20.100000000000001" hidden="1" customHeight="1" x14ac:dyDescent="0.25">
      <c r="A29" s="646" t="s">
        <v>400</v>
      </c>
      <c r="B29" s="647">
        <v>5043</v>
      </c>
      <c r="C29" s="647">
        <v>4671</v>
      </c>
      <c r="D29" s="647">
        <v>90302</v>
      </c>
      <c r="E29" s="648">
        <v>100016</v>
      </c>
      <c r="F29" s="647">
        <v>1698</v>
      </c>
      <c r="G29" s="658">
        <v>0.1</v>
      </c>
      <c r="H29" s="650">
        <f t="shared" si="1"/>
        <v>101714.1</v>
      </c>
      <c r="I29" s="651">
        <f>H29/30.0499</f>
        <v>3384.8398829946191</v>
      </c>
      <c r="J29" s="652">
        <v>5.4128917527373357</v>
      </c>
      <c r="K29" s="653"/>
      <c r="L29" s="632"/>
      <c r="M29" s="632"/>
      <c r="N29" s="632"/>
      <c r="O29" s="632"/>
      <c r="P29" s="657"/>
      <c r="Q29" s="632"/>
      <c r="R29" s="632"/>
      <c r="S29" s="631"/>
      <c r="T29" s="633"/>
      <c r="U29" s="631"/>
      <c r="V29" s="655"/>
      <c r="W29" s="655"/>
      <c r="X29" s="655"/>
      <c r="Y29" s="655"/>
      <c r="Z29" s="655"/>
      <c r="AA29" s="655"/>
      <c r="AB29" s="631"/>
      <c r="AC29" s="631"/>
      <c r="AD29" s="631"/>
      <c r="AE29" s="631"/>
      <c r="AF29" s="631"/>
      <c r="AG29" s="631"/>
      <c r="AH29" s="631"/>
      <c r="AI29" s="631"/>
      <c r="AJ29" s="631"/>
      <c r="AK29" s="631"/>
      <c r="AL29" s="631"/>
      <c r="AM29" s="631"/>
      <c r="AN29" s="631"/>
      <c r="AO29" s="631"/>
      <c r="AP29" s="631"/>
      <c r="AQ29" s="631"/>
      <c r="AR29" s="631"/>
      <c r="AS29" s="631"/>
      <c r="AT29" s="631"/>
    </row>
    <row r="30" spans="1:46" s="634" customFormat="1" ht="20.100000000000001" hidden="1" customHeight="1" x14ac:dyDescent="0.25">
      <c r="A30" s="646" t="s">
        <v>401</v>
      </c>
      <c r="B30" s="647">
        <v>4757</v>
      </c>
      <c r="C30" s="647">
        <v>4650</v>
      </c>
      <c r="D30" s="647">
        <v>89619</v>
      </c>
      <c r="E30" s="648">
        <v>99026</v>
      </c>
      <c r="F30" s="647">
        <v>1761</v>
      </c>
      <c r="G30" s="658">
        <v>0.1</v>
      </c>
      <c r="H30" s="650">
        <f t="shared" si="1"/>
        <v>100787.1</v>
      </c>
      <c r="I30" s="651">
        <f>H30/30.2987</f>
        <v>3326.4496496549359</v>
      </c>
      <c r="J30" s="652">
        <v>5.3635598444297612</v>
      </c>
      <c r="K30" s="653"/>
      <c r="L30" s="632"/>
      <c r="M30" s="632"/>
      <c r="N30" s="632"/>
      <c r="O30" s="632"/>
      <c r="P30" s="657"/>
      <c r="Q30" s="632"/>
      <c r="R30" s="632"/>
      <c r="S30" s="631"/>
      <c r="T30" s="633"/>
      <c r="U30" s="631"/>
      <c r="V30" s="655"/>
      <c r="W30" s="655"/>
      <c r="X30" s="655"/>
      <c r="Y30" s="655"/>
      <c r="Z30" s="655"/>
      <c r="AA30" s="655"/>
      <c r="AB30" s="631"/>
      <c r="AC30" s="631"/>
      <c r="AD30" s="631"/>
      <c r="AE30" s="631"/>
      <c r="AF30" s="631"/>
      <c r="AG30" s="631"/>
      <c r="AH30" s="631"/>
      <c r="AI30" s="631"/>
      <c r="AJ30" s="631"/>
      <c r="AK30" s="631"/>
      <c r="AL30" s="631"/>
      <c r="AM30" s="631"/>
      <c r="AN30" s="631"/>
      <c r="AO30" s="631"/>
      <c r="AP30" s="631"/>
      <c r="AQ30" s="631"/>
      <c r="AR30" s="631"/>
      <c r="AS30" s="631"/>
      <c r="AT30" s="631"/>
    </row>
    <row r="31" spans="1:46" s="634" customFormat="1" ht="20.100000000000001" hidden="1" customHeight="1" thickBot="1" x14ac:dyDescent="0.3">
      <c r="A31" s="659" t="s">
        <v>402</v>
      </c>
      <c r="B31" s="660">
        <v>4536</v>
      </c>
      <c r="C31" s="660">
        <v>4630</v>
      </c>
      <c r="D31" s="660">
        <v>94092</v>
      </c>
      <c r="E31" s="661">
        <v>103258</v>
      </c>
      <c r="F31" s="660">
        <v>1751</v>
      </c>
      <c r="G31" s="662">
        <v>0.1</v>
      </c>
      <c r="H31" s="663">
        <f t="shared" si="1"/>
        <v>105009.1</v>
      </c>
      <c r="I31" s="664">
        <f>H31/30.0792</f>
        <v>3491.0868640123408</v>
      </c>
      <c r="J31" s="665">
        <v>5.5882408766569256</v>
      </c>
      <c r="K31" s="653"/>
      <c r="L31" s="632"/>
      <c r="M31" s="632"/>
      <c r="N31" s="632"/>
      <c r="O31" s="632"/>
      <c r="P31" s="657"/>
      <c r="Q31" s="632"/>
      <c r="R31" s="632"/>
      <c r="S31" s="631"/>
      <c r="T31" s="633"/>
      <c r="U31" s="631"/>
      <c r="V31" s="655"/>
      <c r="W31" s="655"/>
      <c r="X31" s="655"/>
      <c r="Y31" s="655"/>
      <c r="Z31" s="655"/>
      <c r="AA31" s="655"/>
      <c r="AB31" s="631"/>
      <c r="AC31" s="631"/>
      <c r="AD31" s="631"/>
      <c r="AE31" s="631"/>
      <c r="AF31" s="631"/>
      <c r="AG31" s="631"/>
      <c r="AH31" s="631"/>
      <c r="AI31" s="631"/>
      <c r="AJ31" s="631"/>
      <c r="AK31" s="631"/>
      <c r="AL31" s="631"/>
      <c r="AM31" s="631"/>
      <c r="AN31" s="631"/>
      <c r="AO31" s="631"/>
      <c r="AP31" s="631"/>
      <c r="AQ31" s="631"/>
      <c r="AR31" s="631"/>
      <c r="AS31" s="631"/>
      <c r="AT31" s="631"/>
    </row>
    <row r="32" spans="1:46" s="634" customFormat="1" ht="20.100000000000001" hidden="1" customHeight="1" x14ac:dyDescent="0.25">
      <c r="A32" s="646" t="s">
        <v>403</v>
      </c>
      <c r="B32" s="647">
        <v>4776</v>
      </c>
      <c r="C32" s="647">
        <v>4648</v>
      </c>
      <c r="D32" s="647">
        <v>93308</v>
      </c>
      <c r="E32" s="648">
        <v>102732</v>
      </c>
      <c r="F32" s="647">
        <v>1751</v>
      </c>
      <c r="G32" s="649">
        <v>0.1</v>
      </c>
      <c r="H32" s="650">
        <f t="shared" si="1"/>
        <v>104483.1</v>
      </c>
      <c r="I32" s="651">
        <v>3459.3</v>
      </c>
      <c r="J32" s="652">
        <v>5.4698182103733952</v>
      </c>
      <c r="K32" s="653"/>
      <c r="L32" s="632"/>
      <c r="M32" s="632"/>
      <c r="N32" s="632"/>
      <c r="O32" s="632"/>
      <c r="P32" s="654"/>
      <c r="Q32" s="632"/>
      <c r="R32" s="632"/>
      <c r="S32" s="631"/>
      <c r="T32" s="633"/>
      <c r="U32" s="631"/>
      <c r="V32" s="655"/>
      <c r="W32" s="655"/>
      <c r="X32" s="655"/>
      <c r="Y32" s="655"/>
      <c r="Z32" s="655"/>
      <c r="AA32" s="655"/>
      <c r="AB32" s="631"/>
      <c r="AC32" s="631"/>
      <c r="AD32" s="631"/>
      <c r="AE32" s="631"/>
      <c r="AF32" s="631"/>
      <c r="AG32" s="631"/>
      <c r="AH32" s="631"/>
      <c r="AI32" s="631"/>
      <c r="AJ32" s="631"/>
      <c r="AK32" s="631"/>
      <c r="AL32" s="631"/>
      <c r="AM32" s="631"/>
      <c r="AN32" s="631"/>
      <c r="AO32" s="631"/>
      <c r="AP32" s="631"/>
      <c r="AQ32" s="631"/>
      <c r="AR32" s="631"/>
      <c r="AS32" s="631"/>
      <c r="AT32" s="631"/>
    </row>
    <row r="33" spans="1:46" s="634" customFormat="1" ht="20.100000000000001" hidden="1" customHeight="1" x14ac:dyDescent="0.25">
      <c r="A33" s="646" t="s">
        <v>404</v>
      </c>
      <c r="B33" s="647">
        <v>5036</v>
      </c>
      <c r="C33" s="647">
        <v>4637</v>
      </c>
      <c r="D33" s="647">
        <v>98772</v>
      </c>
      <c r="E33" s="648">
        <v>108445</v>
      </c>
      <c r="F33" s="647">
        <v>1761</v>
      </c>
      <c r="G33" s="649">
        <v>0.1</v>
      </c>
      <c r="H33" s="650">
        <f t="shared" si="1"/>
        <v>110206.1</v>
      </c>
      <c r="I33" s="651">
        <v>3662.5</v>
      </c>
      <c r="J33" s="652">
        <v>5.769424267410054</v>
      </c>
      <c r="K33" s="653"/>
      <c r="L33" s="632"/>
      <c r="M33" s="632"/>
      <c r="N33" s="632"/>
      <c r="O33" s="632"/>
      <c r="P33" s="654"/>
      <c r="Q33" s="632"/>
      <c r="R33" s="632"/>
      <c r="S33" s="631"/>
      <c r="T33" s="633"/>
      <c r="U33" s="631"/>
      <c r="V33" s="655"/>
      <c r="W33" s="655"/>
      <c r="X33" s="655"/>
      <c r="Y33" s="655"/>
      <c r="Z33" s="655"/>
      <c r="AA33" s="655"/>
      <c r="AB33" s="631"/>
      <c r="AC33" s="631"/>
      <c r="AD33" s="631"/>
      <c r="AE33" s="631"/>
      <c r="AF33" s="631"/>
      <c r="AG33" s="631"/>
      <c r="AH33" s="631"/>
      <c r="AI33" s="631"/>
      <c r="AJ33" s="631"/>
      <c r="AK33" s="631"/>
      <c r="AL33" s="631"/>
      <c r="AM33" s="631"/>
      <c r="AN33" s="631"/>
      <c r="AO33" s="631"/>
      <c r="AP33" s="631"/>
      <c r="AQ33" s="631"/>
      <c r="AR33" s="631"/>
      <c r="AS33" s="631"/>
      <c r="AT33" s="631"/>
    </row>
    <row r="34" spans="1:46" s="634" customFormat="1" ht="20.100000000000001" hidden="1" customHeight="1" x14ac:dyDescent="0.25">
      <c r="A34" s="646" t="s">
        <v>405</v>
      </c>
      <c r="B34" s="647">
        <v>4900</v>
      </c>
      <c r="C34" s="647">
        <v>4648</v>
      </c>
      <c r="D34" s="647">
        <v>100713</v>
      </c>
      <c r="E34" s="648">
        <v>110261</v>
      </c>
      <c r="F34" s="647">
        <v>1757</v>
      </c>
      <c r="G34" s="649">
        <v>0.1</v>
      </c>
      <c r="H34" s="650">
        <f t="shared" si="1"/>
        <v>112018.1</v>
      </c>
      <c r="I34" s="651">
        <v>3722.9</v>
      </c>
      <c r="J34" s="652">
        <v>5.8642846859580935</v>
      </c>
      <c r="K34" s="653"/>
      <c r="L34" s="632"/>
      <c r="M34" s="632"/>
      <c r="N34" s="632"/>
      <c r="O34" s="632"/>
      <c r="P34" s="654"/>
      <c r="Q34" s="632"/>
      <c r="R34" s="632"/>
      <c r="S34" s="631"/>
      <c r="T34" s="633"/>
      <c r="U34" s="631"/>
      <c r="V34" s="655"/>
      <c r="W34" s="655"/>
      <c r="X34" s="655"/>
      <c r="Y34" s="655"/>
      <c r="Z34" s="655"/>
      <c r="AA34" s="655"/>
      <c r="AB34" s="631"/>
      <c r="AC34" s="631"/>
      <c r="AD34" s="631"/>
      <c r="AE34" s="631"/>
      <c r="AF34" s="631"/>
      <c r="AG34" s="631"/>
      <c r="AH34" s="631"/>
      <c r="AI34" s="631"/>
      <c r="AJ34" s="631"/>
      <c r="AK34" s="631"/>
      <c r="AL34" s="631"/>
      <c r="AM34" s="631"/>
      <c r="AN34" s="631"/>
      <c r="AO34" s="631"/>
      <c r="AP34" s="631"/>
      <c r="AQ34" s="631"/>
      <c r="AR34" s="631"/>
      <c r="AS34" s="631"/>
      <c r="AT34" s="631"/>
    </row>
    <row r="35" spans="1:46" s="634" customFormat="1" ht="20.100000000000001" hidden="1" customHeight="1" x14ac:dyDescent="0.25">
      <c r="A35" s="646" t="s">
        <v>406</v>
      </c>
      <c r="B35" s="647">
        <v>4867</v>
      </c>
      <c r="C35" s="647">
        <v>4648</v>
      </c>
      <c r="D35" s="647">
        <v>105183</v>
      </c>
      <c r="E35" s="648">
        <v>114698</v>
      </c>
      <c r="F35" s="647">
        <v>1782</v>
      </c>
      <c r="G35" s="656">
        <v>0.1</v>
      </c>
      <c r="H35" s="650">
        <f t="shared" si="1"/>
        <v>116480.1</v>
      </c>
      <c r="I35" s="651">
        <v>3885.8</v>
      </c>
      <c r="J35" s="652">
        <v>6.0978758490714213</v>
      </c>
      <c r="K35" s="653"/>
      <c r="L35" s="632"/>
      <c r="M35" s="632"/>
      <c r="N35" s="632"/>
      <c r="O35" s="632"/>
      <c r="P35" s="654"/>
      <c r="Q35" s="632"/>
      <c r="R35" s="632"/>
      <c r="S35" s="631"/>
      <c r="T35" s="633"/>
      <c r="U35" s="631"/>
      <c r="V35" s="655"/>
      <c r="W35" s="655"/>
      <c r="X35" s="655"/>
      <c r="Y35" s="655"/>
      <c r="Z35" s="655"/>
      <c r="AA35" s="655"/>
      <c r="AB35" s="631"/>
      <c r="AC35" s="631"/>
      <c r="AD35" s="631"/>
      <c r="AE35" s="631"/>
      <c r="AF35" s="631"/>
      <c r="AG35" s="631"/>
      <c r="AH35" s="631"/>
      <c r="AI35" s="631"/>
      <c r="AJ35" s="631"/>
      <c r="AK35" s="631"/>
      <c r="AL35" s="631"/>
      <c r="AM35" s="631"/>
      <c r="AN35" s="631"/>
      <c r="AO35" s="631"/>
      <c r="AP35" s="631"/>
      <c r="AQ35" s="631"/>
      <c r="AR35" s="631"/>
      <c r="AS35" s="631"/>
      <c r="AT35" s="631"/>
    </row>
    <row r="36" spans="1:46" s="634" customFormat="1" ht="20.100000000000001" hidden="1" customHeight="1" x14ac:dyDescent="0.25">
      <c r="A36" s="646" t="s">
        <v>407</v>
      </c>
      <c r="B36" s="647">
        <v>4773</v>
      </c>
      <c r="C36" s="647">
        <v>4666</v>
      </c>
      <c r="D36" s="647">
        <v>107597</v>
      </c>
      <c r="E36" s="648">
        <v>117036</v>
      </c>
      <c r="F36" s="647">
        <v>1788</v>
      </c>
      <c r="G36" s="649">
        <v>0</v>
      </c>
      <c r="H36" s="650">
        <f t="shared" si="1"/>
        <v>118824</v>
      </c>
      <c r="I36" s="651">
        <v>3927.7</v>
      </c>
      <c r="J36" s="652">
        <v>6.2205818838588085</v>
      </c>
      <c r="K36" s="653"/>
      <c r="L36" s="632"/>
      <c r="M36" s="632"/>
      <c r="N36" s="632"/>
      <c r="O36" s="632"/>
      <c r="P36" s="657"/>
      <c r="Q36" s="632"/>
      <c r="R36" s="632"/>
      <c r="S36" s="631"/>
      <c r="T36" s="633"/>
      <c r="U36" s="631"/>
      <c r="V36" s="655"/>
      <c r="W36" s="655"/>
      <c r="X36" s="655"/>
      <c r="Y36" s="655"/>
      <c r="Z36" s="655"/>
      <c r="AA36" s="655"/>
      <c r="AB36" s="631"/>
      <c r="AC36" s="631"/>
      <c r="AD36" s="631"/>
      <c r="AE36" s="631"/>
      <c r="AF36" s="631"/>
      <c r="AG36" s="631"/>
      <c r="AH36" s="631"/>
      <c r="AI36" s="631"/>
      <c r="AJ36" s="631"/>
      <c r="AK36" s="631"/>
      <c r="AL36" s="631"/>
      <c r="AM36" s="631"/>
      <c r="AN36" s="631"/>
      <c r="AO36" s="631"/>
      <c r="AP36" s="631"/>
      <c r="AQ36" s="631"/>
      <c r="AR36" s="631"/>
      <c r="AS36" s="631"/>
      <c r="AT36" s="631"/>
    </row>
    <row r="37" spans="1:46" s="634" customFormat="1" ht="20.100000000000001" hidden="1" customHeight="1" x14ac:dyDescent="0.25">
      <c r="A37" s="646" t="s">
        <v>408</v>
      </c>
      <c r="B37" s="647">
        <v>5001</v>
      </c>
      <c r="C37" s="647">
        <v>4669</v>
      </c>
      <c r="D37" s="647">
        <v>109961</v>
      </c>
      <c r="E37" s="648">
        <v>119631</v>
      </c>
      <c r="F37" s="647">
        <v>1793</v>
      </c>
      <c r="G37" s="649">
        <v>0.1</v>
      </c>
      <c r="H37" s="650">
        <v>121424.1</v>
      </c>
      <c r="I37" s="651">
        <v>4015.5</v>
      </c>
      <c r="J37" s="652">
        <v>6.3567003023283206</v>
      </c>
      <c r="K37" s="653"/>
      <c r="L37" s="632"/>
      <c r="M37" s="632"/>
      <c r="N37" s="632"/>
      <c r="O37" s="632"/>
      <c r="P37" s="657"/>
      <c r="Q37" s="632"/>
      <c r="R37" s="632"/>
      <c r="S37" s="631"/>
      <c r="T37" s="633"/>
      <c r="U37" s="631"/>
      <c r="V37" s="655"/>
      <c r="W37" s="655"/>
      <c r="X37" s="655"/>
      <c r="Y37" s="655"/>
      <c r="Z37" s="655"/>
      <c r="AA37" s="655"/>
      <c r="AB37" s="631"/>
      <c r="AC37" s="631"/>
      <c r="AD37" s="631"/>
      <c r="AE37" s="631"/>
      <c r="AF37" s="631"/>
      <c r="AG37" s="631"/>
      <c r="AH37" s="631"/>
      <c r="AI37" s="631"/>
      <c r="AJ37" s="631"/>
      <c r="AK37" s="631"/>
      <c r="AL37" s="631"/>
      <c r="AM37" s="631"/>
      <c r="AN37" s="631"/>
      <c r="AO37" s="631"/>
      <c r="AP37" s="631"/>
      <c r="AQ37" s="631"/>
      <c r="AR37" s="631"/>
      <c r="AS37" s="631"/>
      <c r="AT37" s="631"/>
    </row>
    <row r="38" spans="1:46" s="634" customFormat="1" ht="20.100000000000001" hidden="1" customHeight="1" x14ac:dyDescent="0.25">
      <c r="A38" s="646" t="s">
        <v>409</v>
      </c>
      <c r="B38" s="647">
        <v>4960</v>
      </c>
      <c r="C38" s="647">
        <v>4668</v>
      </c>
      <c r="D38" s="647">
        <v>111415</v>
      </c>
      <c r="E38" s="648">
        <v>121043</v>
      </c>
      <c r="F38" s="647">
        <v>1789</v>
      </c>
      <c r="G38" s="656">
        <v>0.1</v>
      </c>
      <c r="H38" s="650">
        <v>122832.1</v>
      </c>
      <c r="I38" s="651">
        <v>4033.5</v>
      </c>
      <c r="J38" s="652">
        <v>6.4304108262331985</v>
      </c>
      <c r="K38" s="653"/>
      <c r="L38" s="632"/>
      <c r="M38" s="632"/>
      <c r="N38" s="632"/>
      <c r="O38" s="632"/>
      <c r="P38" s="657"/>
      <c r="Q38" s="632"/>
      <c r="R38" s="632"/>
      <c r="S38" s="631"/>
      <c r="T38" s="633"/>
      <c r="U38" s="631"/>
      <c r="V38" s="655"/>
      <c r="W38" s="655"/>
      <c r="X38" s="655"/>
      <c r="Y38" s="655"/>
      <c r="Z38" s="655"/>
      <c r="AA38" s="655"/>
      <c r="AB38" s="631"/>
      <c r="AC38" s="631"/>
      <c r="AD38" s="631"/>
      <c r="AE38" s="631"/>
      <c r="AF38" s="631"/>
      <c r="AG38" s="631"/>
      <c r="AH38" s="631"/>
      <c r="AI38" s="631"/>
      <c r="AJ38" s="631"/>
      <c r="AK38" s="631"/>
      <c r="AL38" s="631"/>
      <c r="AM38" s="631"/>
      <c r="AN38" s="631"/>
      <c r="AO38" s="631"/>
      <c r="AP38" s="631"/>
      <c r="AQ38" s="631"/>
      <c r="AR38" s="631"/>
      <c r="AS38" s="631"/>
      <c r="AT38" s="631"/>
    </row>
    <row r="39" spans="1:46" s="634" customFormat="1" ht="20.100000000000001" hidden="1" customHeight="1" x14ac:dyDescent="0.25">
      <c r="A39" s="646" t="s">
        <v>410</v>
      </c>
      <c r="B39" s="647">
        <v>4999</v>
      </c>
      <c r="C39" s="647">
        <v>4684</v>
      </c>
      <c r="D39" s="647">
        <v>113535</v>
      </c>
      <c r="E39" s="648">
        <v>123218</v>
      </c>
      <c r="F39" s="647">
        <v>1802</v>
      </c>
      <c r="G39" s="656">
        <v>0</v>
      </c>
      <c r="H39" s="650">
        <v>125020</v>
      </c>
      <c r="I39" s="651">
        <v>4051.9</v>
      </c>
      <c r="J39" s="652">
        <v>6.5449500700197625</v>
      </c>
      <c r="K39" s="653"/>
      <c r="L39" s="632"/>
      <c r="M39" s="632"/>
      <c r="N39" s="632"/>
      <c r="O39" s="632"/>
      <c r="P39" s="657"/>
      <c r="Q39" s="632"/>
      <c r="R39" s="632"/>
      <c r="S39" s="631"/>
      <c r="T39" s="633"/>
      <c r="U39" s="631"/>
      <c r="V39" s="655"/>
      <c r="W39" s="655"/>
      <c r="X39" s="655"/>
      <c r="Y39" s="655"/>
      <c r="Z39" s="655"/>
      <c r="AA39" s="655"/>
      <c r="AB39" s="631"/>
      <c r="AC39" s="631"/>
      <c r="AD39" s="631"/>
      <c r="AE39" s="631"/>
      <c r="AF39" s="631"/>
      <c r="AG39" s="631"/>
      <c r="AH39" s="631"/>
      <c r="AI39" s="631"/>
      <c r="AJ39" s="631"/>
      <c r="AK39" s="631"/>
      <c r="AL39" s="631"/>
      <c r="AM39" s="631"/>
      <c r="AN39" s="631"/>
      <c r="AO39" s="631"/>
      <c r="AP39" s="631"/>
      <c r="AQ39" s="631"/>
      <c r="AR39" s="631"/>
      <c r="AS39" s="631"/>
      <c r="AT39" s="631"/>
    </row>
    <row r="40" spans="1:46" s="634" customFormat="1" ht="20.100000000000001" hidden="1" customHeight="1" x14ac:dyDescent="0.25">
      <c r="A40" s="646" t="s">
        <v>411</v>
      </c>
      <c r="B40" s="647">
        <v>7235</v>
      </c>
      <c r="C40" s="647">
        <v>4660</v>
      </c>
      <c r="D40" s="647">
        <v>108822</v>
      </c>
      <c r="E40" s="648">
        <v>120717</v>
      </c>
      <c r="F40" s="647">
        <v>1787</v>
      </c>
      <c r="G40" s="658">
        <v>0.1</v>
      </c>
      <c r="H40" s="650">
        <v>122504.1</v>
      </c>
      <c r="I40" s="651">
        <v>3910.1337699769233</v>
      </c>
      <c r="J40" s="652">
        <v>6.4132396246417223</v>
      </c>
      <c r="K40" s="653"/>
      <c r="L40" s="632"/>
      <c r="M40" s="632"/>
      <c r="N40" s="632"/>
      <c r="O40" s="632"/>
      <c r="P40" s="657"/>
      <c r="Q40" s="632"/>
      <c r="R40" s="632"/>
      <c r="S40" s="631"/>
      <c r="T40" s="633"/>
      <c r="U40" s="631"/>
      <c r="V40" s="655"/>
      <c r="W40" s="655"/>
      <c r="X40" s="655"/>
      <c r="Y40" s="655"/>
      <c r="Z40" s="655"/>
      <c r="AA40" s="655"/>
      <c r="AB40" s="631"/>
      <c r="AC40" s="631"/>
      <c r="AD40" s="631"/>
      <c r="AE40" s="631"/>
      <c r="AF40" s="631"/>
      <c r="AG40" s="631"/>
      <c r="AH40" s="631"/>
      <c r="AI40" s="631"/>
      <c r="AJ40" s="631"/>
      <c r="AK40" s="631"/>
      <c r="AL40" s="631"/>
      <c r="AM40" s="631"/>
      <c r="AN40" s="631"/>
      <c r="AO40" s="631"/>
      <c r="AP40" s="631"/>
      <c r="AQ40" s="631"/>
      <c r="AR40" s="631"/>
      <c r="AS40" s="631"/>
      <c r="AT40" s="631"/>
    </row>
    <row r="41" spans="1:46" s="634" customFormat="1" ht="20.100000000000001" hidden="1" customHeight="1" x14ac:dyDescent="0.25">
      <c r="A41" s="646" t="s">
        <v>412</v>
      </c>
      <c r="B41" s="647">
        <v>8173</v>
      </c>
      <c r="C41" s="647">
        <v>4638</v>
      </c>
      <c r="D41" s="647">
        <v>106738</v>
      </c>
      <c r="E41" s="648">
        <v>119549</v>
      </c>
      <c r="F41" s="647">
        <v>1782</v>
      </c>
      <c r="G41" s="658">
        <v>0</v>
      </c>
      <c r="H41" s="650">
        <v>121331</v>
      </c>
      <c r="I41" s="651">
        <v>3872.8</v>
      </c>
      <c r="J41" s="652">
        <v>6.3518264033400076</v>
      </c>
      <c r="K41" s="653"/>
      <c r="L41" s="632"/>
      <c r="M41" s="632"/>
      <c r="N41" s="632"/>
      <c r="O41" s="632"/>
      <c r="P41" s="657"/>
      <c r="Q41" s="632"/>
      <c r="R41" s="632"/>
      <c r="S41" s="631"/>
      <c r="T41" s="633"/>
      <c r="U41" s="631"/>
      <c r="V41" s="655"/>
      <c r="W41" s="655"/>
      <c r="X41" s="655"/>
      <c r="Y41" s="655"/>
      <c r="Z41" s="655"/>
      <c r="AA41" s="655"/>
      <c r="AB41" s="631"/>
      <c r="AC41" s="631"/>
      <c r="AD41" s="631"/>
      <c r="AE41" s="631"/>
      <c r="AF41" s="631"/>
      <c r="AG41" s="631"/>
      <c r="AH41" s="631"/>
      <c r="AI41" s="631"/>
      <c r="AJ41" s="631"/>
      <c r="AK41" s="631"/>
      <c r="AL41" s="631"/>
      <c r="AM41" s="631"/>
      <c r="AN41" s="631"/>
      <c r="AO41" s="631"/>
      <c r="AP41" s="631"/>
      <c r="AQ41" s="631"/>
      <c r="AR41" s="631"/>
      <c r="AS41" s="631"/>
      <c r="AT41" s="631"/>
    </row>
    <row r="42" spans="1:46" s="634" customFormat="1" ht="20.100000000000001" hidden="1" customHeight="1" x14ac:dyDescent="0.25">
      <c r="A42" s="646" t="s">
        <v>413</v>
      </c>
      <c r="B42" s="647">
        <v>9464</v>
      </c>
      <c r="C42" s="647">
        <v>4608</v>
      </c>
      <c r="D42" s="647">
        <v>103608</v>
      </c>
      <c r="E42" s="648">
        <v>117680</v>
      </c>
      <c r="F42" s="647">
        <v>1777</v>
      </c>
      <c r="G42" s="658">
        <v>0.1</v>
      </c>
      <c r="H42" s="650">
        <v>119457.1</v>
      </c>
      <c r="I42" s="651">
        <v>3795.9</v>
      </c>
      <c r="J42" s="652">
        <v>6.2537254440038215</v>
      </c>
      <c r="K42" s="653"/>
      <c r="L42" s="632"/>
      <c r="M42" s="632"/>
      <c r="N42" s="632"/>
      <c r="O42" s="632"/>
      <c r="P42" s="657"/>
      <c r="Q42" s="632"/>
      <c r="R42" s="632"/>
      <c r="S42" s="631"/>
      <c r="T42" s="633"/>
      <c r="U42" s="631"/>
      <c r="V42" s="655"/>
      <c r="W42" s="655"/>
      <c r="X42" s="655"/>
      <c r="Y42" s="655"/>
      <c r="Z42" s="655"/>
      <c r="AA42" s="655"/>
      <c r="AB42" s="631"/>
      <c r="AC42" s="631"/>
      <c r="AD42" s="631"/>
      <c r="AE42" s="631"/>
      <c r="AF42" s="631"/>
      <c r="AG42" s="631"/>
      <c r="AH42" s="631"/>
      <c r="AI42" s="631"/>
      <c r="AJ42" s="631"/>
      <c r="AK42" s="631"/>
      <c r="AL42" s="631"/>
      <c r="AM42" s="631"/>
      <c r="AN42" s="631"/>
      <c r="AO42" s="631"/>
      <c r="AP42" s="631"/>
      <c r="AQ42" s="631"/>
      <c r="AR42" s="631"/>
      <c r="AS42" s="631"/>
      <c r="AT42" s="631"/>
    </row>
    <row r="43" spans="1:46" s="634" customFormat="1" ht="20.100000000000001" hidden="1" customHeight="1" thickBot="1" x14ac:dyDescent="0.3">
      <c r="A43" s="659" t="s">
        <v>414</v>
      </c>
      <c r="B43" s="660">
        <v>9657</v>
      </c>
      <c r="C43" s="660">
        <v>4596</v>
      </c>
      <c r="D43" s="660">
        <v>108323</v>
      </c>
      <c r="E43" s="661">
        <v>122576</v>
      </c>
      <c r="F43" s="660">
        <v>1768</v>
      </c>
      <c r="G43" s="662">
        <v>0.2</v>
      </c>
      <c r="H43" s="663">
        <v>124344.2</v>
      </c>
      <c r="I43" s="664">
        <v>3919.0528269893248</v>
      </c>
      <c r="J43" s="665">
        <v>6.5095711125943962</v>
      </c>
      <c r="K43" s="653"/>
      <c r="L43" s="632"/>
      <c r="M43" s="632"/>
      <c r="N43" s="632"/>
      <c r="O43" s="632"/>
      <c r="P43" s="657"/>
      <c r="Q43" s="632"/>
      <c r="R43" s="632"/>
      <c r="S43" s="631"/>
      <c r="T43" s="633"/>
      <c r="U43" s="631"/>
      <c r="V43" s="655"/>
      <c r="W43" s="655"/>
      <c r="X43" s="655"/>
      <c r="Y43" s="655"/>
      <c r="Z43" s="655"/>
      <c r="AA43" s="655"/>
      <c r="AB43" s="631"/>
      <c r="AC43" s="631"/>
      <c r="AD43" s="631"/>
      <c r="AE43" s="631"/>
      <c r="AF43" s="631"/>
      <c r="AG43" s="631"/>
      <c r="AH43" s="631"/>
      <c r="AI43" s="631"/>
      <c r="AJ43" s="631"/>
      <c r="AK43" s="631"/>
      <c r="AL43" s="631"/>
      <c r="AM43" s="631"/>
      <c r="AN43" s="631"/>
      <c r="AO43" s="631"/>
      <c r="AP43" s="631"/>
      <c r="AQ43" s="631"/>
      <c r="AR43" s="631"/>
      <c r="AS43" s="631"/>
      <c r="AT43" s="631"/>
    </row>
    <row r="44" spans="1:46" s="634" customFormat="1" ht="20.100000000000001" hidden="1" customHeight="1" x14ac:dyDescent="0.25">
      <c r="A44" s="646" t="s">
        <v>415</v>
      </c>
      <c r="B44" s="647">
        <v>11787</v>
      </c>
      <c r="C44" s="647">
        <v>4600</v>
      </c>
      <c r="D44" s="647">
        <v>103500</v>
      </c>
      <c r="E44" s="648">
        <v>119887</v>
      </c>
      <c r="F44" s="647">
        <v>1775</v>
      </c>
      <c r="G44" s="649">
        <v>0.1</v>
      </c>
      <c r="H44" s="650">
        <f>E44+F44+G44</f>
        <v>121662.1</v>
      </c>
      <c r="I44" s="651">
        <v>3727.0159573327451</v>
      </c>
      <c r="J44" s="652">
        <v>6.3398146620230849</v>
      </c>
      <c r="K44" s="653"/>
      <c r="L44" s="632"/>
      <c r="M44" s="632"/>
      <c r="N44" s="632"/>
      <c r="O44" s="632"/>
      <c r="P44" s="654"/>
      <c r="Q44" s="632"/>
      <c r="R44" s="632"/>
      <c r="S44" s="631"/>
      <c r="T44" s="633"/>
      <c r="U44" s="631"/>
      <c r="V44" s="655"/>
      <c r="W44" s="655"/>
      <c r="X44" s="655"/>
      <c r="Y44" s="655"/>
      <c r="Z44" s="655"/>
      <c r="AA44" s="655"/>
      <c r="AB44" s="631"/>
      <c r="AC44" s="631"/>
      <c r="AD44" s="631"/>
      <c r="AE44" s="631"/>
      <c r="AF44" s="631"/>
      <c r="AG44" s="631"/>
      <c r="AH44" s="631"/>
      <c r="AI44" s="631"/>
      <c r="AJ44" s="631"/>
      <c r="AK44" s="631"/>
      <c r="AL44" s="631"/>
      <c r="AM44" s="631"/>
      <c r="AN44" s="631"/>
      <c r="AO44" s="631"/>
      <c r="AP44" s="631"/>
      <c r="AQ44" s="631"/>
      <c r="AR44" s="631"/>
      <c r="AS44" s="631"/>
      <c r="AT44" s="631"/>
    </row>
    <row r="45" spans="1:46" s="634" customFormat="1" ht="20.100000000000001" hidden="1" customHeight="1" x14ac:dyDescent="0.25">
      <c r="A45" s="646" t="s">
        <v>416</v>
      </c>
      <c r="B45" s="647">
        <v>11461</v>
      </c>
      <c r="C45" s="647">
        <v>4704</v>
      </c>
      <c r="D45" s="647">
        <v>109650</v>
      </c>
      <c r="E45" s="648">
        <v>125815</v>
      </c>
      <c r="F45" s="647">
        <v>1805</v>
      </c>
      <c r="G45" s="649">
        <v>0.1</v>
      </c>
      <c r="H45" s="650">
        <f>E45+F45+G45</f>
        <v>127620.1</v>
      </c>
      <c r="I45" s="651">
        <v>3837.2983179885618</v>
      </c>
      <c r="J45" s="652">
        <v>6.6502861708687604</v>
      </c>
      <c r="K45" s="653"/>
      <c r="L45" s="632"/>
      <c r="M45" s="632"/>
      <c r="N45" s="632"/>
      <c r="O45" s="632"/>
      <c r="P45" s="654"/>
      <c r="Q45" s="632"/>
      <c r="R45" s="632"/>
      <c r="S45" s="631"/>
      <c r="T45" s="633"/>
      <c r="U45" s="631"/>
      <c r="V45" s="655"/>
      <c r="W45" s="655"/>
      <c r="X45" s="655"/>
      <c r="Y45" s="655"/>
      <c r="Z45" s="655"/>
      <c r="AA45" s="655"/>
      <c r="AB45" s="631"/>
      <c r="AC45" s="631"/>
      <c r="AD45" s="631"/>
      <c r="AE45" s="631"/>
      <c r="AF45" s="631"/>
      <c r="AG45" s="631"/>
      <c r="AH45" s="631"/>
      <c r="AI45" s="631"/>
      <c r="AJ45" s="631"/>
      <c r="AK45" s="631"/>
      <c r="AL45" s="631"/>
      <c r="AM45" s="631"/>
      <c r="AN45" s="631"/>
      <c r="AO45" s="631"/>
      <c r="AP45" s="631"/>
      <c r="AQ45" s="631"/>
      <c r="AR45" s="631"/>
      <c r="AS45" s="631"/>
      <c r="AT45" s="631"/>
    </row>
    <row r="46" spans="1:46" s="634" customFormat="1" ht="20.100000000000001" hidden="1" customHeight="1" x14ac:dyDescent="0.25">
      <c r="A46" s="646" t="s">
        <v>417</v>
      </c>
      <c r="B46" s="647">
        <v>12284</v>
      </c>
      <c r="C46" s="647">
        <v>5036</v>
      </c>
      <c r="D46" s="647">
        <v>121458</v>
      </c>
      <c r="E46" s="648">
        <v>138778</v>
      </c>
      <c r="F46" s="647">
        <v>1611</v>
      </c>
      <c r="G46" s="649">
        <v>0.1</v>
      </c>
      <c r="H46" s="650">
        <v>140389.1</v>
      </c>
      <c r="I46" s="651">
        <v>3856.5</v>
      </c>
      <c r="J46" s="652">
        <v>7.3156790370068006</v>
      </c>
      <c r="K46" s="653"/>
      <c r="L46" s="632"/>
      <c r="M46" s="632"/>
      <c r="N46" s="632"/>
      <c r="O46" s="632"/>
      <c r="P46" s="654"/>
      <c r="Q46" s="632"/>
      <c r="R46" s="632"/>
      <c r="S46" s="631"/>
      <c r="T46" s="633"/>
      <c r="U46" s="631"/>
      <c r="V46" s="655"/>
      <c r="W46" s="655"/>
      <c r="X46" s="655"/>
      <c r="Y46" s="655"/>
      <c r="Z46" s="655"/>
      <c r="AA46" s="655"/>
      <c r="AB46" s="631"/>
      <c r="AC46" s="631"/>
      <c r="AD46" s="631"/>
      <c r="AE46" s="631"/>
      <c r="AF46" s="631"/>
      <c r="AG46" s="631"/>
      <c r="AH46" s="631"/>
      <c r="AI46" s="631"/>
      <c r="AJ46" s="631"/>
      <c r="AK46" s="631"/>
      <c r="AL46" s="631"/>
      <c r="AM46" s="631"/>
      <c r="AN46" s="631"/>
      <c r="AO46" s="631"/>
      <c r="AP46" s="631"/>
      <c r="AQ46" s="631"/>
      <c r="AR46" s="631"/>
      <c r="AS46" s="631"/>
      <c r="AT46" s="631"/>
    </row>
    <row r="47" spans="1:46" s="634" customFormat="1" ht="20.100000000000001" hidden="1" customHeight="1" x14ac:dyDescent="0.25">
      <c r="A47" s="646" t="s">
        <v>418</v>
      </c>
      <c r="B47" s="647">
        <v>12183</v>
      </c>
      <c r="C47" s="647">
        <v>4946</v>
      </c>
      <c r="D47" s="647">
        <v>120126</v>
      </c>
      <c r="E47" s="648">
        <v>137255</v>
      </c>
      <c r="F47" s="647">
        <v>1597</v>
      </c>
      <c r="G47" s="656">
        <v>0.3</v>
      </c>
      <c r="H47" s="650">
        <v>138852.29999999999</v>
      </c>
      <c r="I47" s="651">
        <v>3921.8</v>
      </c>
      <c r="J47" s="652">
        <v>7.2355963557724863</v>
      </c>
      <c r="K47" s="653"/>
      <c r="L47" s="632"/>
      <c r="M47" s="632"/>
      <c r="N47" s="632"/>
      <c r="O47" s="632"/>
      <c r="P47" s="654"/>
      <c r="Q47" s="632"/>
      <c r="R47" s="632"/>
      <c r="S47" s="631"/>
      <c r="T47" s="633"/>
      <c r="U47" s="631"/>
      <c r="V47" s="655"/>
      <c r="W47" s="655"/>
      <c r="X47" s="655"/>
      <c r="Y47" s="655"/>
      <c r="Z47" s="655"/>
      <c r="AA47" s="655"/>
      <c r="AB47" s="631"/>
      <c r="AC47" s="631"/>
      <c r="AD47" s="631"/>
      <c r="AE47" s="631"/>
      <c r="AF47" s="631"/>
      <c r="AG47" s="631"/>
      <c r="AH47" s="631"/>
      <c r="AI47" s="631"/>
      <c r="AJ47" s="631"/>
      <c r="AK47" s="631"/>
      <c r="AL47" s="631"/>
      <c r="AM47" s="631"/>
      <c r="AN47" s="631"/>
      <c r="AO47" s="631"/>
      <c r="AP47" s="631"/>
      <c r="AQ47" s="631"/>
      <c r="AR47" s="631"/>
      <c r="AS47" s="631"/>
      <c r="AT47" s="631"/>
    </row>
    <row r="48" spans="1:46" s="634" customFormat="1" ht="20.100000000000001" hidden="1" customHeight="1" x14ac:dyDescent="0.25">
      <c r="A48" s="646" t="s">
        <v>419</v>
      </c>
      <c r="B48" s="647">
        <v>12004</v>
      </c>
      <c r="C48" s="647">
        <v>4914</v>
      </c>
      <c r="D48" s="647">
        <v>120956</v>
      </c>
      <c r="E48" s="648">
        <v>137874</v>
      </c>
      <c r="F48" s="647">
        <v>1581</v>
      </c>
      <c r="G48" s="649">
        <v>0.2</v>
      </c>
      <c r="H48" s="650">
        <v>139455.20000000001</v>
      </c>
      <c r="I48" s="651">
        <v>3943.5</v>
      </c>
      <c r="J48" s="652">
        <v>7.2670134878105976</v>
      </c>
      <c r="K48" s="653"/>
      <c r="L48" s="632"/>
      <c r="M48" s="632"/>
      <c r="N48" s="632"/>
      <c r="O48" s="632"/>
      <c r="P48" s="657"/>
      <c r="Q48" s="632"/>
      <c r="R48" s="632"/>
      <c r="S48" s="631"/>
      <c r="T48" s="633"/>
      <c r="U48" s="631"/>
      <c r="V48" s="655"/>
      <c r="W48" s="655"/>
      <c r="X48" s="655"/>
      <c r="Y48" s="655"/>
      <c r="Z48" s="655"/>
      <c r="AA48" s="655"/>
      <c r="AB48" s="631"/>
      <c r="AC48" s="631"/>
      <c r="AD48" s="631"/>
      <c r="AE48" s="631"/>
      <c r="AF48" s="631"/>
      <c r="AG48" s="631"/>
      <c r="AH48" s="631"/>
      <c r="AI48" s="631"/>
      <c r="AJ48" s="631"/>
      <c r="AK48" s="631"/>
      <c r="AL48" s="631"/>
      <c r="AM48" s="631"/>
      <c r="AN48" s="631"/>
      <c r="AO48" s="631"/>
      <c r="AP48" s="631"/>
      <c r="AQ48" s="631"/>
      <c r="AR48" s="631"/>
      <c r="AS48" s="631"/>
      <c r="AT48" s="631"/>
    </row>
    <row r="49" spans="1:46" s="634" customFormat="1" ht="20.100000000000001" hidden="1" customHeight="1" x14ac:dyDescent="0.25">
      <c r="A49" s="646" t="s">
        <v>420</v>
      </c>
      <c r="B49" s="647">
        <v>11821</v>
      </c>
      <c r="C49" s="647">
        <v>4934</v>
      </c>
      <c r="D49" s="647">
        <v>121549</v>
      </c>
      <c r="E49" s="648">
        <v>138304</v>
      </c>
      <c r="F49" s="647">
        <v>1590</v>
      </c>
      <c r="G49" s="649">
        <v>0.1</v>
      </c>
      <c r="H49" s="650">
        <v>139894.1</v>
      </c>
      <c r="I49" s="651">
        <v>3979.5</v>
      </c>
      <c r="J49" s="652">
        <v>7.2898845763021001</v>
      </c>
      <c r="K49" s="653"/>
      <c r="L49" s="632"/>
      <c r="M49" s="632"/>
      <c r="N49" s="632"/>
      <c r="O49" s="632"/>
      <c r="P49" s="657"/>
      <c r="Q49" s="632"/>
      <c r="R49" s="632"/>
      <c r="S49" s="631"/>
      <c r="T49" s="633"/>
      <c r="U49" s="631"/>
      <c r="V49" s="655"/>
      <c r="W49" s="655"/>
      <c r="X49" s="655"/>
      <c r="Y49" s="655"/>
      <c r="Z49" s="655"/>
      <c r="AA49" s="655"/>
      <c r="AB49" s="631"/>
      <c r="AC49" s="631"/>
      <c r="AD49" s="631"/>
      <c r="AE49" s="631"/>
      <c r="AF49" s="631"/>
      <c r="AG49" s="631"/>
      <c r="AH49" s="631"/>
      <c r="AI49" s="631"/>
      <c r="AJ49" s="631"/>
      <c r="AK49" s="631"/>
      <c r="AL49" s="631"/>
      <c r="AM49" s="631"/>
      <c r="AN49" s="631"/>
      <c r="AO49" s="631"/>
      <c r="AP49" s="631"/>
      <c r="AQ49" s="631"/>
      <c r="AR49" s="631"/>
      <c r="AS49" s="631"/>
      <c r="AT49" s="631"/>
    </row>
    <row r="50" spans="1:46" s="634" customFormat="1" ht="20.100000000000001" hidden="1" customHeight="1" x14ac:dyDescent="0.25">
      <c r="A50" s="646" t="s">
        <v>421</v>
      </c>
      <c r="B50" s="647">
        <v>10952</v>
      </c>
      <c r="C50" s="647">
        <v>4936</v>
      </c>
      <c r="D50" s="647">
        <v>125854</v>
      </c>
      <c r="E50" s="648">
        <v>141742</v>
      </c>
      <c r="F50" s="647">
        <v>1589</v>
      </c>
      <c r="G50" s="656">
        <v>0.2</v>
      </c>
      <c r="H50" s="650">
        <v>143331.20000000001</v>
      </c>
      <c r="I50" s="651">
        <v>4048.6</v>
      </c>
      <c r="J50" s="652">
        <v>7.4689919316316526</v>
      </c>
      <c r="K50" s="653"/>
      <c r="L50" s="632"/>
      <c r="M50" s="632"/>
      <c r="N50" s="632"/>
      <c r="O50" s="632"/>
      <c r="P50" s="657"/>
      <c r="Q50" s="632"/>
      <c r="R50" s="632"/>
      <c r="S50" s="631"/>
      <c r="T50" s="633"/>
      <c r="U50" s="631"/>
      <c r="V50" s="655"/>
      <c r="W50" s="655"/>
      <c r="X50" s="655"/>
      <c r="Y50" s="655"/>
      <c r="Z50" s="655"/>
      <c r="AA50" s="655"/>
      <c r="AB50" s="631"/>
      <c r="AC50" s="631"/>
      <c r="AD50" s="631"/>
      <c r="AE50" s="631"/>
      <c r="AF50" s="631"/>
      <c r="AG50" s="631"/>
      <c r="AH50" s="631"/>
      <c r="AI50" s="631"/>
      <c r="AJ50" s="631"/>
      <c r="AK50" s="631"/>
      <c r="AL50" s="631"/>
      <c r="AM50" s="631"/>
      <c r="AN50" s="631"/>
      <c r="AO50" s="631"/>
      <c r="AP50" s="631"/>
      <c r="AQ50" s="631"/>
      <c r="AR50" s="631"/>
      <c r="AS50" s="631"/>
      <c r="AT50" s="631"/>
    </row>
    <row r="51" spans="1:46" s="634" customFormat="1" ht="20.100000000000001" hidden="1" customHeight="1" x14ac:dyDescent="0.25">
      <c r="A51" s="646" t="s">
        <v>422</v>
      </c>
      <c r="B51" s="647">
        <v>11360</v>
      </c>
      <c r="C51" s="647">
        <v>4949</v>
      </c>
      <c r="D51" s="647">
        <v>125637</v>
      </c>
      <c r="E51" s="648">
        <v>141946</v>
      </c>
      <c r="F51" s="647">
        <v>1587</v>
      </c>
      <c r="G51" s="656">
        <v>0.2</v>
      </c>
      <c r="H51" s="650">
        <v>143533.20000000001</v>
      </c>
      <c r="I51" s="651">
        <v>4085.1</v>
      </c>
      <c r="J51" s="652">
        <v>7.4795181560000357</v>
      </c>
      <c r="K51" s="653"/>
      <c r="L51" s="632"/>
      <c r="M51" s="632"/>
      <c r="N51" s="632"/>
      <c r="O51" s="632"/>
      <c r="P51" s="657"/>
      <c r="Q51" s="632"/>
      <c r="R51" s="632"/>
      <c r="S51" s="631"/>
      <c r="T51" s="633"/>
      <c r="U51" s="631"/>
      <c r="V51" s="655"/>
      <c r="W51" s="655"/>
      <c r="X51" s="655"/>
      <c r="Y51" s="655"/>
      <c r="Z51" s="655"/>
      <c r="AA51" s="655"/>
      <c r="AB51" s="631"/>
      <c r="AC51" s="631"/>
      <c r="AD51" s="631"/>
      <c r="AE51" s="631"/>
      <c r="AF51" s="631"/>
      <c r="AG51" s="631"/>
      <c r="AH51" s="631"/>
      <c r="AI51" s="631"/>
      <c r="AJ51" s="631"/>
      <c r="AK51" s="631"/>
      <c r="AL51" s="631"/>
      <c r="AM51" s="631"/>
      <c r="AN51" s="631"/>
      <c r="AO51" s="631"/>
      <c r="AP51" s="631"/>
      <c r="AQ51" s="631"/>
      <c r="AR51" s="631"/>
      <c r="AS51" s="631"/>
      <c r="AT51" s="631"/>
    </row>
    <row r="52" spans="1:46" s="634" customFormat="1" ht="20.100000000000001" hidden="1" customHeight="1" x14ac:dyDescent="0.25">
      <c r="A52" s="646" t="s">
        <v>423</v>
      </c>
      <c r="B52" s="647">
        <v>11417</v>
      </c>
      <c r="C52" s="647">
        <v>4991</v>
      </c>
      <c r="D52" s="647">
        <v>127691</v>
      </c>
      <c r="E52" s="648">
        <v>144099</v>
      </c>
      <c r="F52" s="647">
        <v>1605</v>
      </c>
      <c r="G52" s="658">
        <v>0.2</v>
      </c>
      <c r="H52" s="650">
        <v>145704.20000000001</v>
      </c>
      <c r="I52" s="651">
        <v>4101.2</v>
      </c>
      <c r="J52" s="652">
        <v>7.5926490129493409</v>
      </c>
      <c r="K52" s="653"/>
      <c r="L52" s="632"/>
      <c r="M52" s="632"/>
      <c r="N52" s="632"/>
      <c r="O52" s="632"/>
      <c r="P52" s="657"/>
      <c r="Q52" s="632"/>
      <c r="R52" s="632"/>
      <c r="S52" s="631"/>
      <c r="T52" s="633"/>
      <c r="U52" s="631"/>
      <c r="V52" s="655"/>
      <c r="W52" s="655"/>
      <c r="X52" s="655"/>
      <c r="Y52" s="655"/>
      <c r="Z52" s="655"/>
      <c r="AA52" s="655"/>
      <c r="AB52" s="631"/>
      <c r="AC52" s="631"/>
      <c r="AD52" s="631"/>
      <c r="AE52" s="631"/>
      <c r="AF52" s="631"/>
      <c r="AG52" s="631"/>
      <c r="AH52" s="631"/>
      <c r="AI52" s="631"/>
      <c r="AJ52" s="631"/>
      <c r="AK52" s="631"/>
      <c r="AL52" s="631"/>
      <c r="AM52" s="631"/>
      <c r="AN52" s="631"/>
      <c r="AO52" s="631"/>
      <c r="AP52" s="631"/>
      <c r="AQ52" s="631"/>
      <c r="AR52" s="631"/>
      <c r="AS52" s="631"/>
      <c r="AT52" s="631"/>
    </row>
    <row r="53" spans="1:46" s="634" customFormat="1" ht="20.100000000000001" hidden="1" customHeight="1" x14ac:dyDescent="0.25">
      <c r="A53" s="646" t="s">
        <v>424</v>
      </c>
      <c r="B53" s="647">
        <v>11766</v>
      </c>
      <c r="C53" s="647">
        <v>4996</v>
      </c>
      <c r="D53" s="647">
        <v>131340</v>
      </c>
      <c r="E53" s="648">
        <v>148102</v>
      </c>
      <c r="F53" s="647">
        <v>1612</v>
      </c>
      <c r="G53" s="658">
        <v>0.1</v>
      </c>
      <c r="H53" s="650">
        <v>149714.1</v>
      </c>
      <c r="I53" s="651">
        <v>4175.3</v>
      </c>
      <c r="J53" s="652">
        <v>7.801604988666071</v>
      </c>
      <c r="K53" s="653"/>
      <c r="L53" s="632"/>
      <c r="M53" s="632"/>
      <c r="N53" s="632"/>
      <c r="O53" s="632"/>
      <c r="P53" s="657"/>
      <c r="Q53" s="632"/>
      <c r="R53" s="632"/>
      <c r="S53" s="631"/>
      <c r="T53" s="633"/>
      <c r="U53" s="631"/>
      <c r="V53" s="655"/>
      <c r="W53" s="655"/>
      <c r="X53" s="655"/>
      <c r="Y53" s="655"/>
      <c r="Z53" s="655"/>
      <c r="AA53" s="655"/>
      <c r="AB53" s="631"/>
      <c r="AC53" s="631"/>
      <c r="AD53" s="631"/>
      <c r="AE53" s="631"/>
      <c r="AF53" s="631"/>
      <c r="AG53" s="631"/>
      <c r="AH53" s="631"/>
      <c r="AI53" s="631"/>
      <c r="AJ53" s="631"/>
      <c r="AK53" s="631"/>
      <c r="AL53" s="631"/>
      <c r="AM53" s="631"/>
      <c r="AN53" s="631"/>
      <c r="AO53" s="631"/>
      <c r="AP53" s="631"/>
      <c r="AQ53" s="631"/>
      <c r="AR53" s="631"/>
      <c r="AS53" s="631"/>
      <c r="AT53" s="631"/>
    </row>
    <row r="54" spans="1:46" s="634" customFormat="1" ht="20.100000000000001" hidden="1" customHeight="1" x14ac:dyDescent="0.25">
      <c r="A54" s="646" t="s">
        <v>425</v>
      </c>
      <c r="B54" s="647">
        <v>10932</v>
      </c>
      <c r="C54" s="647">
        <v>4973</v>
      </c>
      <c r="D54" s="647">
        <v>134123</v>
      </c>
      <c r="E54" s="648">
        <v>150028</v>
      </c>
      <c r="F54" s="647">
        <v>1599</v>
      </c>
      <c r="G54" s="658">
        <v>0.1</v>
      </c>
      <c r="H54" s="650">
        <v>151627.1</v>
      </c>
      <c r="I54" s="651">
        <v>4187.3</v>
      </c>
      <c r="J54" s="652">
        <v>7.9012914600359565</v>
      </c>
      <c r="K54" s="653"/>
      <c r="L54" s="632"/>
      <c r="M54" s="632"/>
      <c r="N54" s="632"/>
      <c r="O54" s="632"/>
      <c r="P54" s="657"/>
      <c r="Q54" s="632"/>
      <c r="R54" s="632"/>
      <c r="S54" s="631"/>
      <c r="T54" s="633"/>
      <c r="U54" s="631"/>
      <c r="V54" s="655"/>
      <c r="W54" s="655"/>
      <c r="X54" s="655"/>
      <c r="Y54" s="655"/>
      <c r="Z54" s="655"/>
      <c r="AA54" s="655"/>
      <c r="AB54" s="631"/>
      <c r="AC54" s="631"/>
      <c r="AD54" s="631"/>
      <c r="AE54" s="631"/>
      <c r="AF54" s="631"/>
      <c r="AG54" s="631"/>
      <c r="AH54" s="631"/>
      <c r="AI54" s="631"/>
      <c r="AJ54" s="631"/>
      <c r="AK54" s="631"/>
      <c r="AL54" s="631"/>
      <c r="AM54" s="631"/>
      <c r="AN54" s="631"/>
      <c r="AO54" s="631"/>
      <c r="AP54" s="631"/>
      <c r="AQ54" s="631"/>
      <c r="AR54" s="631"/>
      <c r="AS54" s="631"/>
      <c r="AT54" s="631"/>
    </row>
    <row r="55" spans="1:46" s="634" customFormat="1" ht="20.100000000000001" hidden="1" customHeight="1" thickBot="1" x14ac:dyDescent="0.3">
      <c r="A55" s="659" t="s">
        <v>426</v>
      </c>
      <c r="B55" s="660">
        <v>10887</v>
      </c>
      <c r="C55" s="660">
        <v>4978</v>
      </c>
      <c r="D55" s="660">
        <v>135437</v>
      </c>
      <c r="E55" s="661">
        <v>151302</v>
      </c>
      <c r="F55" s="660">
        <v>1600</v>
      </c>
      <c r="G55" s="662">
        <v>0.1</v>
      </c>
      <c r="H55" s="663">
        <v>152902.1</v>
      </c>
      <c r="I55" s="664">
        <v>4260.4524543937232</v>
      </c>
      <c r="J55" s="665">
        <v>7.9677317376086716</v>
      </c>
      <c r="K55" s="653"/>
      <c r="L55" s="632"/>
      <c r="M55" s="632"/>
      <c r="N55" s="632"/>
      <c r="O55" s="632"/>
      <c r="P55" s="657"/>
      <c r="Q55" s="632"/>
      <c r="R55" s="632"/>
      <c r="S55" s="631"/>
      <c r="T55" s="633"/>
      <c r="U55" s="631"/>
      <c r="V55" s="655"/>
      <c r="W55" s="655"/>
      <c r="X55" s="655"/>
      <c r="Y55" s="655"/>
      <c r="Z55" s="655"/>
      <c r="AA55" s="655"/>
      <c r="AB55" s="631"/>
      <c r="AC55" s="631"/>
      <c r="AD55" s="631"/>
      <c r="AE55" s="631"/>
      <c r="AF55" s="631"/>
      <c r="AG55" s="631"/>
      <c r="AH55" s="631"/>
      <c r="AI55" s="631"/>
      <c r="AJ55" s="631"/>
      <c r="AK55" s="631"/>
      <c r="AL55" s="631"/>
      <c r="AM55" s="631"/>
      <c r="AN55" s="631"/>
      <c r="AO55" s="631"/>
      <c r="AP55" s="631"/>
      <c r="AQ55" s="631"/>
      <c r="AR55" s="631"/>
      <c r="AS55" s="631"/>
      <c r="AT55" s="631"/>
    </row>
    <row r="56" spans="1:46" s="634" customFormat="1" ht="20.100000000000001" hidden="1" customHeight="1" x14ac:dyDescent="0.25">
      <c r="A56" s="646" t="s">
        <v>427</v>
      </c>
      <c r="B56" s="647">
        <v>11445</v>
      </c>
      <c r="C56" s="647">
        <v>4978</v>
      </c>
      <c r="D56" s="647">
        <v>136942</v>
      </c>
      <c r="E56" s="648">
        <v>153365</v>
      </c>
      <c r="F56" s="647">
        <v>1604</v>
      </c>
      <c r="G56" s="649">
        <v>0.1</v>
      </c>
      <c r="H56" s="650">
        <v>154969.1</v>
      </c>
      <c r="I56" s="651">
        <v>4303.6000000000004</v>
      </c>
      <c r="J56" s="652">
        <v>8.1001006180825073</v>
      </c>
      <c r="K56" s="653"/>
      <c r="L56" s="632"/>
      <c r="M56" s="632"/>
      <c r="N56" s="632"/>
      <c r="O56" s="632"/>
      <c r="P56" s="654"/>
      <c r="Q56" s="632"/>
      <c r="R56" s="632"/>
      <c r="S56" s="631"/>
      <c r="T56" s="633"/>
      <c r="U56" s="631"/>
      <c r="V56" s="655"/>
      <c r="W56" s="655"/>
      <c r="X56" s="655"/>
      <c r="Y56" s="655"/>
      <c r="Z56" s="655"/>
      <c r="AA56" s="655"/>
      <c r="AB56" s="631"/>
      <c r="AC56" s="631"/>
      <c r="AD56" s="631"/>
      <c r="AE56" s="631"/>
      <c r="AF56" s="631"/>
      <c r="AG56" s="631"/>
      <c r="AH56" s="631"/>
      <c r="AI56" s="631"/>
      <c r="AJ56" s="631"/>
      <c r="AK56" s="631"/>
      <c r="AL56" s="631"/>
      <c r="AM56" s="631"/>
      <c r="AN56" s="631"/>
      <c r="AO56" s="631"/>
      <c r="AP56" s="631"/>
      <c r="AQ56" s="631"/>
      <c r="AR56" s="631"/>
      <c r="AS56" s="631"/>
      <c r="AT56" s="631"/>
    </row>
    <row r="57" spans="1:46" s="634" customFormat="1" ht="20.100000000000001" hidden="1" customHeight="1" x14ac:dyDescent="0.25">
      <c r="A57" s="646" t="s">
        <v>428</v>
      </c>
      <c r="B57" s="647">
        <v>14002</v>
      </c>
      <c r="C57" s="647">
        <v>4462</v>
      </c>
      <c r="D57" s="647">
        <v>137586</v>
      </c>
      <c r="E57" s="648">
        <v>156050</v>
      </c>
      <c r="F57" s="647">
        <v>2095</v>
      </c>
      <c r="G57" s="649">
        <v>0.1</v>
      </c>
      <c r="H57" s="650">
        <v>158145.1</v>
      </c>
      <c r="I57" s="651">
        <v>4422.6494770401032</v>
      </c>
      <c r="J57" s="652">
        <v>8.2661073869353299</v>
      </c>
      <c r="K57" s="653"/>
      <c r="L57" s="632"/>
      <c r="M57" s="632"/>
      <c r="N57" s="632"/>
      <c r="O57" s="632"/>
      <c r="P57" s="654"/>
      <c r="Q57" s="632"/>
      <c r="R57" s="632"/>
      <c r="S57" s="631"/>
      <c r="T57" s="633"/>
      <c r="U57" s="631"/>
      <c r="V57" s="655"/>
      <c r="W57" s="655"/>
      <c r="X57" s="655"/>
      <c r="Y57" s="655"/>
      <c r="Z57" s="655"/>
      <c r="AA57" s="655"/>
      <c r="AB57" s="631"/>
      <c r="AC57" s="631"/>
      <c r="AD57" s="631"/>
      <c r="AE57" s="631"/>
      <c r="AF57" s="631"/>
      <c r="AG57" s="631"/>
      <c r="AH57" s="631"/>
      <c r="AI57" s="631"/>
      <c r="AJ57" s="631"/>
      <c r="AK57" s="631"/>
      <c r="AL57" s="631"/>
      <c r="AM57" s="631"/>
      <c r="AN57" s="631"/>
      <c r="AO57" s="631"/>
      <c r="AP57" s="631"/>
      <c r="AQ57" s="631"/>
      <c r="AR57" s="631"/>
      <c r="AS57" s="631"/>
      <c r="AT57" s="631"/>
    </row>
    <row r="58" spans="1:46" s="634" customFormat="1" ht="20.100000000000001" hidden="1" customHeight="1" x14ac:dyDescent="0.25">
      <c r="A58" s="646" t="s">
        <v>429</v>
      </c>
      <c r="B58" s="647">
        <v>13829</v>
      </c>
      <c r="C58" s="647">
        <v>4473</v>
      </c>
      <c r="D58" s="647">
        <v>138758</v>
      </c>
      <c r="E58" s="648">
        <v>157060</v>
      </c>
      <c r="F58" s="647">
        <v>2115</v>
      </c>
      <c r="G58" s="649">
        <v>0.1</v>
      </c>
      <c r="H58" s="650">
        <v>159175.1</v>
      </c>
      <c r="I58" s="651">
        <v>4497.7931369667922</v>
      </c>
      <c r="J58" s="652">
        <v>8.3199445947182049</v>
      </c>
      <c r="K58" s="653"/>
      <c r="L58" s="632"/>
      <c r="M58" s="632"/>
      <c r="N58" s="632"/>
      <c r="O58" s="632"/>
      <c r="P58" s="654"/>
      <c r="Q58" s="632"/>
      <c r="R58" s="632"/>
      <c r="S58" s="631"/>
      <c r="T58" s="633"/>
      <c r="U58" s="631"/>
      <c r="V58" s="655"/>
      <c r="W58" s="655"/>
      <c r="X58" s="655"/>
      <c r="Y58" s="655"/>
      <c r="Z58" s="655"/>
      <c r="AA58" s="655"/>
      <c r="AB58" s="631"/>
      <c r="AC58" s="631"/>
      <c r="AD58" s="631"/>
      <c r="AE58" s="631"/>
      <c r="AF58" s="631"/>
      <c r="AG58" s="631"/>
      <c r="AH58" s="631"/>
      <c r="AI58" s="631"/>
      <c r="AJ58" s="631"/>
      <c r="AK58" s="631"/>
      <c r="AL58" s="631"/>
      <c r="AM58" s="631"/>
      <c r="AN58" s="631"/>
      <c r="AO58" s="631"/>
      <c r="AP58" s="631"/>
      <c r="AQ58" s="631"/>
      <c r="AR58" s="631"/>
      <c r="AS58" s="631"/>
      <c r="AT58" s="631"/>
    </row>
    <row r="59" spans="1:46" s="634" customFormat="1" ht="20.100000000000001" hidden="1" customHeight="1" x14ac:dyDescent="0.25">
      <c r="A59" s="646" t="s">
        <v>430</v>
      </c>
      <c r="B59" s="647">
        <v>14168</v>
      </c>
      <c r="C59" s="647">
        <v>4444</v>
      </c>
      <c r="D59" s="647">
        <v>137793</v>
      </c>
      <c r="E59" s="648">
        <v>156405</v>
      </c>
      <c r="F59" s="647">
        <v>2046</v>
      </c>
      <c r="G59" s="656">
        <v>0.2</v>
      </c>
      <c r="H59" s="650">
        <v>158451.20000000001</v>
      </c>
      <c r="I59" s="651">
        <v>4529</v>
      </c>
      <c r="J59" s="652">
        <v>8.2821069687822604</v>
      </c>
      <c r="K59" s="653"/>
      <c r="L59" s="632"/>
      <c r="M59" s="632"/>
      <c r="N59" s="632"/>
      <c r="O59" s="632"/>
      <c r="P59" s="654"/>
      <c r="Q59" s="632"/>
      <c r="R59" s="632"/>
      <c r="S59" s="631"/>
      <c r="T59" s="633"/>
      <c r="U59" s="631"/>
      <c r="V59" s="655"/>
      <c r="W59" s="655"/>
      <c r="X59" s="655"/>
      <c r="Y59" s="655"/>
      <c r="Z59" s="655"/>
      <c r="AA59" s="655"/>
      <c r="AB59" s="631"/>
      <c r="AC59" s="631"/>
      <c r="AD59" s="631"/>
      <c r="AE59" s="631"/>
      <c r="AF59" s="631"/>
      <c r="AG59" s="631"/>
      <c r="AH59" s="631"/>
      <c r="AI59" s="631"/>
      <c r="AJ59" s="631"/>
      <c r="AK59" s="631"/>
      <c r="AL59" s="631"/>
      <c r="AM59" s="631"/>
      <c r="AN59" s="631"/>
      <c r="AO59" s="631"/>
      <c r="AP59" s="631"/>
      <c r="AQ59" s="631"/>
      <c r="AR59" s="631"/>
      <c r="AS59" s="631"/>
      <c r="AT59" s="631"/>
    </row>
    <row r="60" spans="1:46" s="634" customFormat="1" ht="20.100000000000001" hidden="1" customHeight="1" x14ac:dyDescent="0.25">
      <c r="A60" s="646" t="s">
        <v>431</v>
      </c>
      <c r="B60" s="647">
        <v>13626</v>
      </c>
      <c r="C60" s="647">
        <v>4475</v>
      </c>
      <c r="D60" s="647">
        <v>141540</v>
      </c>
      <c r="E60" s="648">
        <v>159641</v>
      </c>
      <c r="F60" s="647">
        <v>2050</v>
      </c>
      <c r="G60" s="649">
        <v>0.1</v>
      </c>
      <c r="H60" s="650">
        <v>161691.1</v>
      </c>
      <c r="I60" s="651">
        <v>4565.1000000000004</v>
      </c>
      <c r="J60" s="652">
        <v>8.4514537352829713</v>
      </c>
      <c r="K60" s="653"/>
      <c r="L60" s="632"/>
      <c r="M60" s="632"/>
      <c r="N60" s="632"/>
      <c r="O60" s="632"/>
      <c r="P60" s="657"/>
      <c r="Q60" s="632"/>
      <c r="R60" s="632"/>
      <c r="S60" s="631"/>
      <c r="T60" s="633"/>
      <c r="U60" s="631"/>
      <c r="V60" s="655"/>
      <c r="W60" s="655"/>
      <c r="X60" s="655"/>
      <c r="Y60" s="655"/>
      <c r="Z60" s="655"/>
      <c r="AA60" s="655"/>
      <c r="AB60" s="631"/>
      <c r="AC60" s="631"/>
      <c r="AD60" s="631"/>
      <c r="AE60" s="631"/>
      <c r="AF60" s="631"/>
      <c r="AG60" s="631"/>
      <c r="AH60" s="631"/>
      <c r="AI60" s="631"/>
      <c r="AJ60" s="631"/>
      <c r="AK60" s="631"/>
      <c r="AL60" s="631"/>
      <c r="AM60" s="631"/>
      <c r="AN60" s="631"/>
      <c r="AO60" s="631"/>
      <c r="AP60" s="631"/>
      <c r="AQ60" s="631"/>
      <c r="AR60" s="631"/>
      <c r="AS60" s="631"/>
      <c r="AT60" s="631"/>
    </row>
    <row r="61" spans="1:46" s="634" customFormat="1" ht="20.100000000000001" hidden="1" customHeight="1" x14ac:dyDescent="0.25">
      <c r="A61" s="646" t="s">
        <v>432</v>
      </c>
      <c r="B61" s="647">
        <v>17216</v>
      </c>
      <c r="C61" s="647">
        <v>4460</v>
      </c>
      <c r="D61" s="647">
        <v>144962</v>
      </c>
      <c r="E61" s="648">
        <v>166638</v>
      </c>
      <c r="F61" s="647">
        <v>2041</v>
      </c>
      <c r="G61" s="649">
        <v>0.1</v>
      </c>
      <c r="H61" s="650">
        <v>168679.1</v>
      </c>
      <c r="I61" s="651">
        <v>4745</v>
      </c>
      <c r="J61" s="652">
        <v>8.8167104420661992</v>
      </c>
      <c r="K61" s="653"/>
      <c r="L61" s="632"/>
      <c r="M61" s="632"/>
      <c r="N61" s="632"/>
      <c r="O61" s="632"/>
      <c r="P61" s="657"/>
      <c r="Q61" s="632"/>
      <c r="R61" s="632"/>
      <c r="S61" s="631"/>
      <c r="T61" s="633"/>
      <c r="U61" s="631"/>
      <c r="V61" s="655"/>
      <c r="W61" s="655"/>
      <c r="X61" s="655"/>
      <c r="Y61" s="655"/>
      <c r="Z61" s="655"/>
      <c r="AA61" s="655"/>
      <c r="AB61" s="631"/>
      <c r="AC61" s="631"/>
      <c r="AD61" s="631"/>
      <c r="AE61" s="631"/>
      <c r="AF61" s="631"/>
      <c r="AG61" s="631"/>
      <c r="AH61" s="631"/>
      <c r="AI61" s="631"/>
      <c r="AJ61" s="631"/>
      <c r="AK61" s="631"/>
      <c r="AL61" s="631"/>
      <c r="AM61" s="631"/>
      <c r="AN61" s="631"/>
      <c r="AO61" s="631"/>
      <c r="AP61" s="631"/>
      <c r="AQ61" s="631"/>
      <c r="AR61" s="631"/>
      <c r="AS61" s="631"/>
      <c r="AT61" s="631"/>
    </row>
    <row r="62" spans="1:46" s="634" customFormat="1" ht="20.100000000000001" hidden="1" customHeight="1" x14ac:dyDescent="0.25">
      <c r="A62" s="646" t="s">
        <v>433</v>
      </c>
      <c r="B62" s="647">
        <v>17352</v>
      </c>
      <c r="C62" s="647">
        <v>4429</v>
      </c>
      <c r="D62" s="647">
        <v>144953</v>
      </c>
      <c r="E62" s="648">
        <v>166734</v>
      </c>
      <c r="F62" s="647">
        <v>2018</v>
      </c>
      <c r="G62" s="656">
        <v>0.1</v>
      </c>
      <c r="H62" s="650">
        <v>168752.1</v>
      </c>
      <c r="I62" s="651">
        <v>4770.7</v>
      </c>
      <c r="J62" s="652">
        <v>8.820526088831393</v>
      </c>
      <c r="K62" s="653"/>
      <c r="L62" s="632"/>
      <c r="M62" s="632"/>
      <c r="N62" s="632"/>
      <c r="O62" s="632"/>
      <c r="P62" s="657"/>
      <c r="Q62" s="632"/>
      <c r="R62" s="632"/>
      <c r="S62" s="631"/>
      <c r="T62" s="633"/>
      <c r="U62" s="631"/>
      <c r="V62" s="655"/>
      <c r="W62" s="655"/>
      <c r="X62" s="655"/>
      <c r="Y62" s="655"/>
      <c r="Z62" s="655"/>
      <c r="AA62" s="655"/>
      <c r="AB62" s="631"/>
      <c r="AC62" s="631"/>
      <c r="AD62" s="631"/>
      <c r="AE62" s="631"/>
      <c r="AF62" s="631"/>
      <c r="AG62" s="631"/>
      <c r="AH62" s="631"/>
      <c r="AI62" s="631"/>
      <c r="AJ62" s="631"/>
      <c r="AK62" s="631"/>
      <c r="AL62" s="631"/>
      <c r="AM62" s="631"/>
      <c r="AN62" s="631"/>
      <c r="AO62" s="631"/>
      <c r="AP62" s="631"/>
      <c r="AQ62" s="631"/>
      <c r="AR62" s="631"/>
      <c r="AS62" s="631"/>
      <c r="AT62" s="631"/>
    </row>
    <row r="63" spans="1:46" s="634" customFormat="1" ht="20.100000000000001" hidden="1" customHeight="1" x14ac:dyDescent="0.25">
      <c r="A63" s="646" t="s">
        <v>434</v>
      </c>
      <c r="B63" s="647">
        <v>17030</v>
      </c>
      <c r="C63" s="647">
        <v>4423</v>
      </c>
      <c r="D63" s="647">
        <v>144771</v>
      </c>
      <c r="E63" s="648">
        <v>166224</v>
      </c>
      <c r="F63" s="647">
        <v>2012</v>
      </c>
      <c r="G63" s="656">
        <v>0.1</v>
      </c>
      <c r="H63" s="650">
        <v>168236.1</v>
      </c>
      <c r="I63" s="651">
        <v>4772.6000000000004</v>
      </c>
      <c r="J63" s="652">
        <v>8.7935552158061867</v>
      </c>
      <c r="K63" s="653"/>
      <c r="L63" s="632"/>
      <c r="M63" s="632"/>
      <c r="N63" s="632"/>
      <c r="O63" s="632"/>
      <c r="P63" s="657"/>
      <c r="Q63" s="632"/>
      <c r="R63" s="632"/>
      <c r="S63" s="631"/>
      <c r="T63" s="633"/>
      <c r="U63" s="631"/>
      <c r="V63" s="655"/>
      <c r="W63" s="655"/>
      <c r="X63" s="655"/>
      <c r="Y63" s="655"/>
      <c r="Z63" s="655"/>
      <c r="AA63" s="655"/>
      <c r="AB63" s="631"/>
      <c r="AC63" s="631"/>
      <c r="AD63" s="631"/>
      <c r="AE63" s="631"/>
      <c r="AF63" s="631"/>
      <c r="AG63" s="631"/>
      <c r="AH63" s="631"/>
      <c r="AI63" s="631"/>
      <c r="AJ63" s="631"/>
      <c r="AK63" s="631"/>
      <c r="AL63" s="631"/>
      <c r="AM63" s="631"/>
      <c r="AN63" s="631"/>
      <c r="AO63" s="631"/>
      <c r="AP63" s="631"/>
      <c r="AQ63" s="631"/>
      <c r="AR63" s="631"/>
      <c r="AS63" s="631"/>
      <c r="AT63" s="631"/>
    </row>
    <row r="64" spans="1:46" s="634" customFormat="1" ht="20.100000000000001" hidden="1" customHeight="1" x14ac:dyDescent="0.25">
      <c r="A64" s="646" t="s">
        <v>435</v>
      </c>
      <c r="B64" s="647">
        <v>17263</v>
      </c>
      <c r="C64" s="647">
        <v>4449</v>
      </c>
      <c r="D64" s="647">
        <v>147828</v>
      </c>
      <c r="E64" s="648">
        <v>169540</v>
      </c>
      <c r="F64" s="647">
        <v>2023</v>
      </c>
      <c r="G64" s="658">
        <v>0.1</v>
      </c>
      <c r="H64" s="650">
        <v>171563.1</v>
      </c>
      <c r="I64" s="651">
        <v>4845.1000000000004</v>
      </c>
      <c r="J64" s="652">
        <v>8.9674546238582469</v>
      </c>
      <c r="K64" s="653"/>
      <c r="L64" s="632"/>
      <c r="M64" s="632"/>
      <c r="N64" s="632"/>
      <c r="O64" s="632"/>
      <c r="P64" s="657"/>
      <c r="Q64" s="632"/>
      <c r="R64" s="632"/>
      <c r="S64" s="631"/>
      <c r="T64" s="633"/>
      <c r="U64" s="631"/>
      <c r="V64" s="655"/>
      <c r="W64" s="655"/>
      <c r="X64" s="655"/>
      <c r="Y64" s="655"/>
      <c r="Z64" s="655"/>
      <c r="AA64" s="655"/>
      <c r="AB64" s="631"/>
      <c r="AC64" s="631"/>
      <c r="AD64" s="631"/>
      <c r="AE64" s="631"/>
      <c r="AF64" s="631"/>
      <c r="AG64" s="631"/>
      <c r="AH64" s="631"/>
      <c r="AI64" s="631"/>
      <c r="AJ64" s="631"/>
      <c r="AK64" s="631"/>
      <c r="AL64" s="631"/>
      <c r="AM64" s="631"/>
      <c r="AN64" s="631"/>
      <c r="AO64" s="631"/>
      <c r="AP64" s="631"/>
      <c r="AQ64" s="631"/>
      <c r="AR64" s="631"/>
      <c r="AS64" s="631"/>
      <c r="AT64" s="631"/>
    </row>
    <row r="65" spans="1:46" s="634" customFormat="1" ht="20.100000000000001" hidden="1" customHeight="1" x14ac:dyDescent="0.25">
      <c r="A65" s="646" t="s">
        <v>436</v>
      </c>
      <c r="B65" s="647">
        <v>18280</v>
      </c>
      <c r="C65" s="647">
        <v>4425</v>
      </c>
      <c r="D65" s="647">
        <v>148355</v>
      </c>
      <c r="E65" s="648">
        <v>171060</v>
      </c>
      <c r="F65" s="647">
        <v>1489</v>
      </c>
      <c r="G65" s="658">
        <v>0.2</v>
      </c>
      <c r="H65" s="650">
        <v>172549.2</v>
      </c>
      <c r="I65" s="651">
        <v>4807.4021241265564</v>
      </c>
      <c r="J65" s="652">
        <v>9.0189971762603012</v>
      </c>
      <c r="K65" s="653"/>
      <c r="L65" s="632"/>
      <c r="M65" s="632"/>
      <c r="N65" s="632"/>
      <c r="O65" s="632"/>
      <c r="P65" s="657"/>
      <c r="Q65" s="632"/>
      <c r="R65" s="632"/>
      <c r="S65" s="631"/>
      <c r="T65" s="633"/>
      <c r="U65" s="631"/>
      <c r="V65" s="655"/>
      <c r="W65" s="655"/>
      <c r="X65" s="655"/>
      <c r="Y65" s="655"/>
      <c r="Z65" s="655"/>
      <c r="AA65" s="655"/>
      <c r="AB65" s="631"/>
      <c r="AC65" s="631"/>
      <c r="AD65" s="631"/>
      <c r="AE65" s="631"/>
      <c r="AF65" s="631"/>
      <c r="AG65" s="631"/>
      <c r="AH65" s="631"/>
      <c r="AI65" s="631"/>
      <c r="AJ65" s="631"/>
      <c r="AK65" s="631"/>
      <c r="AL65" s="631"/>
      <c r="AM65" s="631"/>
      <c r="AN65" s="631"/>
      <c r="AO65" s="631"/>
      <c r="AP65" s="631"/>
      <c r="AQ65" s="631"/>
      <c r="AR65" s="631"/>
      <c r="AS65" s="631"/>
      <c r="AT65" s="631"/>
    </row>
    <row r="66" spans="1:46" s="634" customFormat="1" ht="20.100000000000001" hidden="1" customHeight="1" x14ac:dyDescent="0.25">
      <c r="A66" s="646" t="s">
        <v>437</v>
      </c>
      <c r="B66" s="647">
        <v>17104</v>
      </c>
      <c r="C66" s="647">
        <v>4374</v>
      </c>
      <c r="D66" s="647">
        <v>152085</v>
      </c>
      <c r="E66" s="648">
        <v>173563</v>
      </c>
      <c r="F66" s="647">
        <v>1471</v>
      </c>
      <c r="G66" s="658">
        <v>0.1</v>
      </c>
      <c r="H66" s="650">
        <v>175034.1</v>
      </c>
      <c r="I66" s="651">
        <v>4862.6121308260108</v>
      </c>
      <c r="J66" s="652">
        <v>9.1488807871731552</v>
      </c>
      <c r="K66" s="653"/>
      <c r="L66" s="632"/>
      <c r="M66" s="632"/>
      <c r="N66" s="632"/>
      <c r="O66" s="632"/>
      <c r="P66" s="657"/>
      <c r="Q66" s="632"/>
      <c r="R66" s="632"/>
      <c r="S66" s="631"/>
      <c r="T66" s="633"/>
      <c r="U66" s="631"/>
      <c r="V66" s="655"/>
      <c r="W66" s="655"/>
      <c r="X66" s="655"/>
      <c r="Y66" s="655"/>
      <c r="Z66" s="655"/>
      <c r="AA66" s="655"/>
      <c r="AB66" s="631"/>
      <c r="AC66" s="631"/>
      <c r="AD66" s="631"/>
      <c r="AE66" s="631"/>
      <c r="AF66" s="631"/>
      <c r="AG66" s="631"/>
      <c r="AH66" s="631"/>
      <c r="AI66" s="631"/>
      <c r="AJ66" s="631"/>
      <c r="AK66" s="631"/>
      <c r="AL66" s="631"/>
      <c r="AM66" s="631"/>
      <c r="AN66" s="631"/>
      <c r="AO66" s="631"/>
      <c r="AP66" s="631"/>
      <c r="AQ66" s="631"/>
      <c r="AR66" s="631"/>
      <c r="AS66" s="631"/>
      <c r="AT66" s="631"/>
    </row>
    <row r="67" spans="1:46" s="634" customFormat="1" ht="20.100000000000001" hidden="1" customHeight="1" thickBot="1" x14ac:dyDescent="0.3">
      <c r="A67" s="659" t="s">
        <v>438</v>
      </c>
      <c r="B67" s="660">
        <v>16675</v>
      </c>
      <c r="C67" s="660">
        <v>4338</v>
      </c>
      <c r="D67" s="660">
        <v>156390</v>
      </c>
      <c r="E67" s="661">
        <v>177403</v>
      </c>
      <c r="F67" s="660">
        <v>1455</v>
      </c>
      <c r="G67" s="662">
        <v>0.1</v>
      </c>
      <c r="H67" s="663">
        <v>178858.1</v>
      </c>
      <c r="I67" s="664">
        <v>4966.8999999999996</v>
      </c>
      <c r="J67" s="665">
        <v>9.3487579547087947</v>
      </c>
      <c r="K67" s="653"/>
      <c r="L67" s="632"/>
      <c r="M67" s="632"/>
      <c r="N67" s="632"/>
      <c r="O67" s="632"/>
      <c r="P67" s="657"/>
      <c r="Q67" s="632"/>
      <c r="R67" s="632"/>
      <c r="S67" s="631"/>
      <c r="T67" s="633"/>
      <c r="U67" s="631"/>
      <c r="V67" s="655"/>
      <c r="W67" s="655"/>
      <c r="X67" s="655"/>
      <c r="Y67" s="655"/>
      <c r="Z67" s="655"/>
      <c r="AA67" s="655"/>
      <c r="AB67" s="631"/>
      <c r="AC67" s="631"/>
      <c r="AD67" s="631"/>
      <c r="AE67" s="631"/>
      <c r="AF67" s="631"/>
      <c r="AG67" s="631"/>
      <c r="AH67" s="631"/>
      <c r="AI67" s="631"/>
      <c r="AJ67" s="631"/>
      <c r="AK67" s="631"/>
      <c r="AL67" s="631"/>
      <c r="AM67" s="631"/>
      <c r="AN67" s="631"/>
      <c r="AO67" s="631"/>
      <c r="AP67" s="631"/>
      <c r="AQ67" s="631"/>
      <c r="AR67" s="631"/>
      <c r="AS67" s="631"/>
      <c r="AT67" s="631"/>
    </row>
    <row r="68" spans="1:46" s="634" customFormat="1" ht="20.100000000000001" hidden="1" customHeight="1" x14ac:dyDescent="0.25">
      <c r="A68" s="646" t="s">
        <v>439</v>
      </c>
      <c r="B68" s="647">
        <v>17082</v>
      </c>
      <c r="C68" s="647">
        <v>4338</v>
      </c>
      <c r="D68" s="647">
        <v>152678</v>
      </c>
      <c r="E68" s="648">
        <v>174098</v>
      </c>
      <c r="F68" s="647">
        <v>1455</v>
      </c>
      <c r="G68" s="649">
        <v>0.1</v>
      </c>
      <c r="H68" s="650">
        <v>175553.1</v>
      </c>
      <c r="I68" s="651">
        <v>4925.5</v>
      </c>
      <c r="J68" s="652">
        <v>8.5339398996977973</v>
      </c>
      <c r="K68" s="653"/>
      <c r="L68" s="632"/>
      <c r="M68" s="632"/>
      <c r="N68" s="632"/>
      <c r="O68" s="632"/>
      <c r="P68" s="654"/>
      <c r="Q68" s="632"/>
      <c r="R68" s="632"/>
      <c r="S68" s="631"/>
      <c r="T68" s="633"/>
      <c r="U68" s="631"/>
      <c r="V68" s="655"/>
      <c r="W68" s="655"/>
      <c r="X68" s="655"/>
      <c r="Y68" s="655"/>
      <c r="Z68" s="655"/>
      <c r="AA68" s="655"/>
      <c r="AB68" s="631"/>
      <c r="AC68" s="631"/>
      <c r="AD68" s="631"/>
      <c r="AE68" s="631"/>
      <c r="AF68" s="631"/>
      <c r="AG68" s="631"/>
      <c r="AH68" s="631"/>
      <c r="AI68" s="631"/>
      <c r="AJ68" s="631"/>
      <c r="AK68" s="631"/>
      <c r="AL68" s="631"/>
      <c r="AM68" s="631"/>
      <c r="AN68" s="631"/>
      <c r="AO68" s="631"/>
      <c r="AP68" s="631"/>
      <c r="AQ68" s="631"/>
      <c r="AR68" s="631"/>
      <c r="AS68" s="631"/>
      <c r="AT68" s="631"/>
    </row>
    <row r="69" spans="1:46" s="634" customFormat="1" ht="20.100000000000001" hidden="1" customHeight="1" x14ac:dyDescent="0.25">
      <c r="A69" s="646" t="s">
        <v>440</v>
      </c>
      <c r="B69" s="647">
        <v>17793</v>
      </c>
      <c r="C69" s="647">
        <v>4326</v>
      </c>
      <c r="D69" s="647">
        <v>152521</v>
      </c>
      <c r="E69" s="648">
        <v>174640</v>
      </c>
      <c r="F69" s="647">
        <v>1206</v>
      </c>
      <c r="G69" s="649">
        <v>0.2</v>
      </c>
      <c r="H69" s="650">
        <v>175846.2</v>
      </c>
      <c r="I69" s="651">
        <v>4943.7</v>
      </c>
      <c r="J69" s="652">
        <v>8.5481879977638613</v>
      </c>
      <c r="K69" s="653"/>
      <c r="L69" s="632"/>
      <c r="M69" s="632"/>
      <c r="N69" s="632"/>
      <c r="O69" s="632"/>
      <c r="P69" s="654"/>
      <c r="Q69" s="632"/>
      <c r="R69" s="632"/>
      <c r="S69" s="631"/>
      <c r="T69" s="633"/>
      <c r="U69" s="631"/>
      <c r="V69" s="655"/>
      <c r="W69" s="655"/>
      <c r="X69" s="655"/>
      <c r="Y69" s="655"/>
      <c r="Z69" s="655"/>
      <c r="AA69" s="655"/>
      <c r="AB69" s="631"/>
      <c r="AC69" s="631"/>
      <c r="AD69" s="631"/>
      <c r="AE69" s="631"/>
      <c r="AF69" s="631"/>
      <c r="AG69" s="631"/>
      <c r="AH69" s="631"/>
      <c r="AI69" s="631"/>
      <c r="AJ69" s="631"/>
      <c r="AK69" s="631"/>
      <c r="AL69" s="631"/>
      <c r="AM69" s="631"/>
      <c r="AN69" s="631"/>
      <c r="AO69" s="631"/>
      <c r="AP69" s="631"/>
      <c r="AQ69" s="631"/>
      <c r="AR69" s="631"/>
      <c r="AS69" s="631"/>
      <c r="AT69" s="631"/>
    </row>
    <row r="70" spans="1:46" s="634" customFormat="1" ht="20.100000000000001" hidden="1" customHeight="1" x14ac:dyDescent="0.25">
      <c r="A70" s="646" t="s">
        <v>441</v>
      </c>
      <c r="B70" s="647">
        <v>17530</v>
      </c>
      <c r="C70" s="647">
        <v>4315</v>
      </c>
      <c r="D70" s="647">
        <v>153525</v>
      </c>
      <c r="E70" s="648">
        <v>175370</v>
      </c>
      <c r="F70" s="647">
        <v>1200</v>
      </c>
      <c r="G70" s="649">
        <v>0.1</v>
      </c>
      <c r="H70" s="650">
        <v>176570.1</v>
      </c>
      <c r="I70" s="651">
        <v>5001.8999999999996</v>
      </c>
      <c r="J70" s="652">
        <v>8.5833777922365133</v>
      </c>
      <c r="K70" s="653"/>
      <c r="L70" s="632"/>
      <c r="M70" s="632"/>
      <c r="N70" s="632"/>
      <c r="O70" s="632"/>
      <c r="P70" s="654"/>
      <c r="Q70" s="632"/>
      <c r="R70" s="632"/>
      <c r="S70" s="631"/>
      <c r="T70" s="633"/>
      <c r="U70" s="631"/>
      <c r="V70" s="655"/>
      <c r="W70" s="655"/>
      <c r="X70" s="655"/>
      <c r="Y70" s="655"/>
      <c r="Z70" s="655"/>
      <c r="AA70" s="655"/>
      <c r="AB70" s="631"/>
      <c r="AC70" s="631"/>
      <c r="AD70" s="631"/>
      <c r="AE70" s="631"/>
      <c r="AF70" s="631"/>
      <c r="AG70" s="631"/>
      <c r="AH70" s="631"/>
      <c r="AI70" s="631"/>
      <c r="AJ70" s="631"/>
      <c r="AK70" s="631"/>
      <c r="AL70" s="631"/>
      <c r="AM70" s="631"/>
      <c r="AN70" s="631"/>
      <c r="AO70" s="631"/>
      <c r="AP70" s="631"/>
      <c r="AQ70" s="631"/>
      <c r="AR70" s="631"/>
      <c r="AS70" s="631"/>
      <c r="AT70" s="631"/>
    </row>
    <row r="71" spans="1:46" s="634" customFormat="1" ht="20.100000000000001" hidden="1" customHeight="1" x14ac:dyDescent="0.25">
      <c r="A71" s="646" t="s">
        <v>442</v>
      </c>
      <c r="B71" s="647">
        <v>17706</v>
      </c>
      <c r="C71" s="647">
        <v>4307</v>
      </c>
      <c r="D71" s="647">
        <v>156854</v>
      </c>
      <c r="E71" s="648">
        <v>178867</v>
      </c>
      <c r="F71" s="647">
        <v>1207</v>
      </c>
      <c r="G71" s="656">
        <v>0.03</v>
      </c>
      <c r="H71" s="650">
        <v>180074</v>
      </c>
      <c r="I71" s="651">
        <v>5144.8999999999996</v>
      </c>
      <c r="J71" s="652">
        <v>8.7537101282539478</v>
      </c>
      <c r="K71" s="653"/>
      <c r="L71" s="632"/>
      <c r="M71" s="632"/>
      <c r="N71" s="632"/>
      <c r="O71" s="632"/>
      <c r="P71" s="654"/>
      <c r="Q71" s="632"/>
      <c r="R71" s="632"/>
      <c r="S71" s="631"/>
      <c r="T71" s="633"/>
      <c r="U71" s="631"/>
      <c r="V71" s="655"/>
      <c r="W71" s="655"/>
      <c r="X71" s="655"/>
      <c r="Y71" s="655"/>
      <c r="Z71" s="655"/>
      <c r="AA71" s="655"/>
      <c r="AB71" s="631"/>
      <c r="AC71" s="631"/>
      <c r="AD71" s="631"/>
      <c r="AE71" s="631"/>
      <c r="AF71" s="631"/>
      <c r="AG71" s="631"/>
      <c r="AH71" s="631"/>
      <c r="AI71" s="631"/>
      <c r="AJ71" s="631"/>
      <c r="AK71" s="631"/>
      <c r="AL71" s="631"/>
      <c r="AM71" s="631"/>
      <c r="AN71" s="631"/>
      <c r="AO71" s="631"/>
      <c r="AP71" s="631"/>
      <c r="AQ71" s="631"/>
      <c r="AR71" s="631"/>
      <c r="AS71" s="631"/>
      <c r="AT71" s="631"/>
    </row>
    <row r="72" spans="1:46" s="634" customFormat="1" ht="20.100000000000001" hidden="1" customHeight="1" x14ac:dyDescent="0.25">
      <c r="A72" s="646" t="s">
        <v>443</v>
      </c>
      <c r="B72" s="647">
        <v>17567</v>
      </c>
      <c r="C72" s="647">
        <v>4316</v>
      </c>
      <c r="D72" s="647">
        <v>156291</v>
      </c>
      <c r="E72" s="648">
        <v>178174</v>
      </c>
      <c r="F72" s="647">
        <v>1211</v>
      </c>
      <c r="G72" s="649">
        <v>0.1</v>
      </c>
      <c r="H72" s="650">
        <v>179385.1</v>
      </c>
      <c r="I72" s="651">
        <v>5158</v>
      </c>
      <c r="J72" s="652">
        <v>8.720220049097847</v>
      </c>
      <c r="K72" s="653"/>
      <c r="L72" s="632"/>
      <c r="M72" s="632"/>
      <c r="N72" s="632"/>
      <c r="O72" s="632"/>
      <c r="P72" s="657"/>
      <c r="Q72" s="632"/>
      <c r="R72" s="632"/>
      <c r="S72" s="631"/>
      <c r="T72" s="633"/>
      <c r="U72" s="631"/>
      <c r="V72" s="655"/>
      <c r="W72" s="655"/>
      <c r="X72" s="655"/>
      <c r="Y72" s="655"/>
      <c r="Z72" s="655"/>
      <c r="AA72" s="655"/>
      <c r="AB72" s="631"/>
      <c r="AC72" s="631"/>
      <c r="AD72" s="631"/>
      <c r="AE72" s="631"/>
      <c r="AF72" s="631"/>
      <c r="AG72" s="631"/>
      <c r="AH72" s="631"/>
      <c r="AI72" s="631"/>
      <c r="AJ72" s="631"/>
      <c r="AK72" s="631"/>
      <c r="AL72" s="631"/>
      <c r="AM72" s="631"/>
      <c r="AN72" s="631"/>
      <c r="AO72" s="631"/>
      <c r="AP72" s="631"/>
      <c r="AQ72" s="631"/>
      <c r="AR72" s="631"/>
      <c r="AS72" s="631"/>
      <c r="AT72" s="631"/>
    </row>
    <row r="73" spans="1:46" s="634" customFormat="1" ht="20.100000000000001" hidden="1" customHeight="1" x14ac:dyDescent="0.25">
      <c r="A73" s="646" t="s">
        <v>444</v>
      </c>
      <c r="B73" s="647">
        <v>17125</v>
      </c>
      <c r="C73" s="647">
        <v>4313</v>
      </c>
      <c r="D73" s="647">
        <v>158695</v>
      </c>
      <c r="E73" s="648">
        <v>180133</v>
      </c>
      <c r="F73" s="647">
        <v>1206</v>
      </c>
      <c r="G73" s="649">
        <v>0.1</v>
      </c>
      <c r="H73" s="650">
        <v>181339.1</v>
      </c>
      <c r="I73" s="651">
        <v>5261.4</v>
      </c>
      <c r="J73" s="652">
        <v>8.8152073695382693</v>
      </c>
      <c r="K73" s="653"/>
      <c r="L73" s="632"/>
      <c r="M73" s="632"/>
      <c r="N73" s="632"/>
      <c r="O73" s="632"/>
      <c r="P73" s="657"/>
      <c r="Q73" s="632"/>
      <c r="R73" s="632"/>
      <c r="S73" s="631"/>
      <c r="T73" s="633"/>
      <c r="U73" s="631"/>
      <c r="V73" s="655"/>
      <c r="W73" s="655"/>
      <c r="X73" s="655"/>
      <c r="Y73" s="655"/>
      <c r="Z73" s="655"/>
      <c r="AA73" s="655"/>
      <c r="AB73" s="631"/>
      <c r="AC73" s="631"/>
      <c r="AD73" s="631"/>
      <c r="AE73" s="631"/>
      <c r="AF73" s="631"/>
      <c r="AG73" s="631"/>
      <c r="AH73" s="631"/>
      <c r="AI73" s="631"/>
      <c r="AJ73" s="631"/>
      <c r="AK73" s="631"/>
      <c r="AL73" s="631"/>
      <c r="AM73" s="631"/>
      <c r="AN73" s="631"/>
      <c r="AO73" s="631"/>
      <c r="AP73" s="631"/>
      <c r="AQ73" s="631"/>
      <c r="AR73" s="631"/>
      <c r="AS73" s="631"/>
      <c r="AT73" s="631"/>
    </row>
    <row r="74" spans="1:46" s="634" customFormat="1" ht="20.100000000000001" hidden="1" customHeight="1" x14ac:dyDescent="0.25">
      <c r="A74" s="646" t="s">
        <v>445</v>
      </c>
      <c r="B74" s="647">
        <v>16926</v>
      </c>
      <c r="C74" s="647">
        <v>4226</v>
      </c>
      <c r="D74" s="647">
        <v>154708</v>
      </c>
      <c r="E74" s="648">
        <v>175860</v>
      </c>
      <c r="F74" s="647">
        <v>1184</v>
      </c>
      <c r="G74" s="656">
        <v>0.01</v>
      </c>
      <c r="H74" s="650">
        <v>177044</v>
      </c>
      <c r="I74" s="651">
        <v>5293</v>
      </c>
      <c r="J74" s="652">
        <v>8.6064157354968582</v>
      </c>
      <c r="K74" s="653"/>
      <c r="L74" s="632"/>
      <c r="M74" s="632"/>
      <c r="N74" s="632"/>
      <c r="O74" s="632"/>
      <c r="P74" s="657"/>
      <c r="Q74" s="632"/>
      <c r="R74" s="632"/>
      <c r="S74" s="631"/>
      <c r="T74" s="633"/>
      <c r="U74" s="631"/>
      <c r="V74" s="655"/>
      <c r="W74" s="655"/>
      <c r="X74" s="655"/>
      <c r="Y74" s="655"/>
      <c r="Z74" s="655"/>
      <c r="AA74" s="655"/>
      <c r="AB74" s="631"/>
      <c r="AC74" s="631"/>
      <c r="AD74" s="631"/>
      <c r="AE74" s="631"/>
      <c r="AF74" s="631"/>
      <c r="AG74" s="631"/>
      <c r="AH74" s="631"/>
      <c r="AI74" s="631"/>
      <c r="AJ74" s="631"/>
      <c r="AK74" s="631"/>
      <c r="AL74" s="631"/>
      <c r="AM74" s="631"/>
      <c r="AN74" s="631"/>
      <c r="AO74" s="631"/>
      <c r="AP74" s="631"/>
      <c r="AQ74" s="631"/>
      <c r="AR74" s="631"/>
      <c r="AS74" s="631"/>
      <c r="AT74" s="631"/>
    </row>
    <row r="75" spans="1:46" s="634" customFormat="1" ht="20.100000000000001" hidden="1" customHeight="1" x14ac:dyDescent="0.25">
      <c r="A75" s="646" t="s">
        <v>446</v>
      </c>
      <c r="B75" s="647">
        <v>17070</v>
      </c>
      <c r="C75" s="647">
        <v>4165</v>
      </c>
      <c r="D75" s="647">
        <v>153909</v>
      </c>
      <c r="E75" s="648">
        <v>175144</v>
      </c>
      <c r="F75" s="647">
        <v>1161</v>
      </c>
      <c r="G75" s="656">
        <v>0.03</v>
      </c>
      <c r="H75" s="650">
        <v>176305</v>
      </c>
      <c r="I75" s="651">
        <v>5397.7</v>
      </c>
      <c r="J75" s="652">
        <v>8.5704925178445563</v>
      </c>
      <c r="K75" s="653"/>
      <c r="L75" s="632"/>
      <c r="M75" s="632"/>
      <c r="N75" s="632"/>
      <c r="O75" s="632"/>
      <c r="P75" s="657"/>
      <c r="Q75" s="632"/>
      <c r="R75" s="632"/>
      <c r="S75" s="631"/>
      <c r="T75" s="633"/>
      <c r="U75" s="631"/>
      <c r="V75" s="655"/>
      <c r="W75" s="655"/>
      <c r="X75" s="655"/>
      <c r="Y75" s="655"/>
      <c r="Z75" s="655"/>
      <c r="AA75" s="655"/>
      <c r="AB75" s="631"/>
      <c r="AC75" s="631"/>
      <c r="AD75" s="631"/>
      <c r="AE75" s="631"/>
      <c r="AF75" s="631"/>
      <c r="AG75" s="631"/>
      <c r="AH75" s="631"/>
      <c r="AI75" s="631"/>
      <c r="AJ75" s="631"/>
      <c r="AK75" s="631"/>
      <c r="AL75" s="631"/>
      <c r="AM75" s="631"/>
      <c r="AN75" s="631"/>
      <c r="AO75" s="631"/>
      <c r="AP75" s="631"/>
      <c r="AQ75" s="631"/>
      <c r="AR75" s="631"/>
      <c r="AS75" s="631"/>
      <c r="AT75" s="631"/>
    </row>
    <row r="76" spans="1:46" s="634" customFormat="1" ht="20.100000000000001" hidden="1" customHeight="1" x14ac:dyDescent="0.25">
      <c r="A76" s="646" t="s">
        <v>447</v>
      </c>
      <c r="B76" s="647">
        <v>17422</v>
      </c>
      <c r="C76" s="647">
        <v>4294</v>
      </c>
      <c r="D76" s="647">
        <v>162630</v>
      </c>
      <c r="E76" s="648">
        <v>184346</v>
      </c>
      <c r="F76" s="647">
        <v>1206</v>
      </c>
      <c r="G76" s="658">
        <v>0.1</v>
      </c>
      <c r="H76" s="650">
        <v>185552.1</v>
      </c>
      <c r="I76" s="651">
        <v>5485.7</v>
      </c>
      <c r="J76" s="652">
        <v>9.0200061574858008</v>
      </c>
      <c r="K76" s="653"/>
      <c r="L76" s="632"/>
      <c r="M76" s="632"/>
      <c r="N76" s="632"/>
      <c r="O76" s="632"/>
      <c r="P76" s="657"/>
      <c r="Q76" s="632"/>
      <c r="R76" s="632"/>
      <c r="S76" s="631"/>
      <c r="T76" s="633"/>
      <c r="U76" s="631"/>
      <c r="V76" s="655"/>
      <c r="W76" s="655"/>
      <c r="X76" s="655"/>
      <c r="Y76" s="655"/>
      <c r="Z76" s="655"/>
      <c r="AA76" s="655"/>
      <c r="AB76" s="631"/>
      <c r="AC76" s="631"/>
      <c r="AD76" s="631"/>
      <c r="AE76" s="631"/>
      <c r="AF76" s="631"/>
      <c r="AG76" s="631"/>
      <c r="AH76" s="631"/>
      <c r="AI76" s="631"/>
      <c r="AJ76" s="631"/>
      <c r="AK76" s="631"/>
      <c r="AL76" s="631"/>
      <c r="AM76" s="631"/>
      <c r="AN76" s="631"/>
      <c r="AO76" s="631"/>
      <c r="AP76" s="631"/>
      <c r="AQ76" s="631"/>
      <c r="AR76" s="631"/>
      <c r="AS76" s="631"/>
      <c r="AT76" s="631"/>
    </row>
    <row r="77" spans="1:46" s="634" customFormat="1" ht="20.100000000000001" hidden="1" customHeight="1" x14ac:dyDescent="0.25">
      <c r="A77" s="646" t="s">
        <v>448</v>
      </c>
      <c r="B77" s="647">
        <v>17507</v>
      </c>
      <c r="C77" s="647">
        <v>4327</v>
      </c>
      <c r="D77" s="647">
        <v>165866</v>
      </c>
      <c r="E77" s="648">
        <v>187700</v>
      </c>
      <c r="F77" s="647">
        <v>1212</v>
      </c>
      <c r="G77" s="658">
        <v>0.2</v>
      </c>
      <c r="H77" s="650">
        <v>188912.2</v>
      </c>
      <c r="I77" s="651">
        <v>5509.4</v>
      </c>
      <c r="J77" s="652">
        <v>9.1833464314939199</v>
      </c>
      <c r="K77" s="653"/>
      <c r="L77" s="632"/>
      <c r="M77" s="632"/>
      <c r="N77" s="632"/>
      <c r="O77" s="632"/>
      <c r="P77" s="657"/>
      <c r="Q77" s="632"/>
      <c r="R77" s="632"/>
      <c r="S77" s="631"/>
      <c r="T77" s="633"/>
      <c r="U77" s="631"/>
      <c r="V77" s="655"/>
      <c r="W77" s="655"/>
      <c r="X77" s="655"/>
      <c r="Y77" s="655"/>
      <c r="Z77" s="655"/>
      <c r="AA77" s="655"/>
      <c r="AB77" s="631"/>
      <c r="AC77" s="631"/>
      <c r="AD77" s="631"/>
      <c r="AE77" s="631"/>
      <c r="AF77" s="631"/>
      <c r="AG77" s="631"/>
      <c r="AH77" s="631"/>
      <c r="AI77" s="631"/>
      <c r="AJ77" s="631"/>
      <c r="AK77" s="631"/>
      <c r="AL77" s="631"/>
      <c r="AM77" s="631"/>
      <c r="AN77" s="631"/>
      <c r="AO77" s="631"/>
      <c r="AP77" s="631"/>
      <c r="AQ77" s="631"/>
      <c r="AR77" s="631"/>
      <c r="AS77" s="631"/>
      <c r="AT77" s="631"/>
    </row>
    <row r="78" spans="1:46" s="634" customFormat="1" ht="20.100000000000001" hidden="1" customHeight="1" x14ac:dyDescent="0.25">
      <c r="A78" s="646" t="s">
        <v>449</v>
      </c>
      <c r="B78" s="647">
        <v>17214</v>
      </c>
      <c r="C78" s="647">
        <v>4280</v>
      </c>
      <c r="D78" s="647">
        <v>169181</v>
      </c>
      <c r="E78" s="648">
        <v>190675</v>
      </c>
      <c r="F78" s="647">
        <v>1201</v>
      </c>
      <c r="G78" s="658">
        <v>0.1</v>
      </c>
      <c r="H78" s="650">
        <v>191876.1</v>
      </c>
      <c r="I78" s="651">
        <v>5711.2</v>
      </c>
      <c r="J78" s="652">
        <v>9.3274291686583979</v>
      </c>
      <c r="K78" s="653"/>
      <c r="L78" s="632"/>
      <c r="M78" s="632"/>
      <c r="N78" s="632"/>
      <c r="O78" s="632"/>
      <c r="P78" s="657"/>
      <c r="Q78" s="632"/>
      <c r="R78" s="632"/>
      <c r="S78" s="631"/>
      <c r="T78" s="633"/>
      <c r="U78" s="631"/>
      <c r="V78" s="655"/>
      <c r="W78" s="655"/>
      <c r="X78" s="655"/>
      <c r="Y78" s="655"/>
      <c r="Z78" s="655"/>
      <c r="AA78" s="655"/>
      <c r="AB78" s="631"/>
      <c r="AC78" s="631"/>
      <c r="AD78" s="631"/>
      <c r="AE78" s="631"/>
      <c r="AF78" s="631"/>
      <c r="AG78" s="631"/>
      <c r="AH78" s="631"/>
      <c r="AI78" s="631"/>
      <c r="AJ78" s="631"/>
      <c r="AK78" s="631"/>
      <c r="AL78" s="631"/>
      <c r="AM78" s="631"/>
      <c r="AN78" s="631"/>
      <c r="AO78" s="631"/>
      <c r="AP78" s="631"/>
      <c r="AQ78" s="631"/>
      <c r="AR78" s="631"/>
      <c r="AS78" s="631"/>
      <c r="AT78" s="631"/>
    </row>
    <row r="79" spans="1:46" s="634" customFormat="1" ht="20.100000000000001" hidden="1" customHeight="1" thickBot="1" x14ac:dyDescent="0.3">
      <c r="A79" s="659" t="s">
        <v>450</v>
      </c>
      <c r="B79" s="660">
        <v>17358</v>
      </c>
      <c r="C79" s="660">
        <v>4278</v>
      </c>
      <c r="D79" s="660">
        <v>177724</v>
      </c>
      <c r="E79" s="661">
        <v>199360</v>
      </c>
      <c r="F79" s="660">
        <v>1008</v>
      </c>
      <c r="G79" s="662">
        <v>0.2</v>
      </c>
      <c r="H79" s="663">
        <v>200368.2</v>
      </c>
      <c r="I79" s="664">
        <v>5984</v>
      </c>
      <c r="J79" s="665">
        <v>9.7402448410801519</v>
      </c>
      <c r="K79" s="653"/>
      <c r="L79" s="632"/>
      <c r="M79" s="632"/>
      <c r="N79" s="632"/>
      <c r="O79" s="632"/>
      <c r="P79" s="657"/>
      <c r="Q79" s="632"/>
      <c r="R79" s="632"/>
      <c r="S79" s="631"/>
      <c r="T79" s="633"/>
      <c r="U79" s="631"/>
      <c r="V79" s="655"/>
      <c r="W79" s="655"/>
      <c r="X79" s="655"/>
      <c r="Y79" s="655"/>
      <c r="Z79" s="655"/>
      <c r="AA79" s="655"/>
      <c r="AB79" s="631"/>
      <c r="AC79" s="631"/>
      <c r="AD79" s="631"/>
      <c r="AE79" s="631"/>
      <c r="AF79" s="631"/>
      <c r="AG79" s="631"/>
      <c r="AH79" s="631"/>
      <c r="AI79" s="631"/>
      <c r="AJ79" s="631"/>
      <c r="AK79" s="631"/>
      <c r="AL79" s="631"/>
      <c r="AM79" s="631"/>
      <c r="AN79" s="631"/>
      <c r="AO79" s="631"/>
      <c r="AP79" s="631"/>
      <c r="AQ79" s="631"/>
      <c r="AR79" s="631"/>
      <c r="AS79" s="631"/>
      <c r="AT79" s="631"/>
    </row>
    <row r="80" spans="1:46" s="634" customFormat="1" ht="20.100000000000001" hidden="1" customHeight="1" x14ac:dyDescent="0.25">
      <c r="A80" s="646" t="s">
        <v>451</v>
      </c>
      <c r="B80" s="647">
        <v>17259</v>
      </c>
      <c r="C80" s="647">
        <v>4222</v>
      </c>
      <c r="D80" s="647">
        <v>174745</v>
      </c>
      <c r="E80" s="648">
        <v>196226</v>
      </c>
      <c r="F80" s="647">
        <v>998</v>
      </c>
      <c r="G80" s="649">
        <v>0.2</v>
      </c>
      <c r="H80" s="650">
        <v>197224.2</v>
      </c>
      <c r="I80" s="651">
        <v>6103.4</v>
      </c>
      <c r="J80" s="652">
        <v>9.255043231046578</v>
      </c>
      <c r="K80" s="653"/>
      <c r="L80" s="632"/>
      <c r="M80" s="632"/>
      <c r="N80" s="632"/>
      <c r="O80" s="632"/>
      <c r="P80" s="654"/>
      <c r="Q80" s="632"/>
      <c r="R80" s="632"/>
      <c r="S80" s="631"/>
      <c r="T80" s="633"/>
      <c r="U80" s="631"/>
      <c r="V80" s="655"/>
      <c r="W80" s="655"/>
      <c r="X80" s="655"/>
      <c r="Y80" s="655"/>
      <c r="Z80" s="655"/>
      <c r="AA80" s="655"/>
      <c r="AB80" s="631"/>
      <c r="AC80" s="631"/>
      <c r="AD80" s="631"/>
      <c r="AE80" s="631"/>
      <c r="AF80" s="631"/>
      <c r="AG80" s="631"/>
      <c r="AH80" s="631"/>
      <c r="AI80" s="631"/>
      <c r="AJ80" s="631"/>
      <c r="AK80" s="631"/>
      <c r="AL80" s="631"/>
      <c r="AM80" s="631"/>
      <c r="AN80" s="631"/>
      <c r="AO80" s="631"/>
      <c r="AP80" s="631"/>
      <c r="AQ80" s="631"/>
      <c r="AR80" s="631"/>
      <c r="AS80" s="631"/>
      <c r="AT80" s="631"/>
    </row>
    <row r="81" spans="1:46" s="634" customFormat="1" ht="20.100000000000001" hidden="1" customHeight="1" x14ac:dyDescent="0.25">
      <c r="A81" s="646" t="s">
        <v>452</v>
      </c>
      <c r="B81" s="647">
        <v>17304</v>
      </c>
      <c r="C81" s="647">
        <v>4287</v>
      </c>
      <c r="D81" s="647">
        <v>180977</v>
      </c>
      <c r="E81" s="648">
        <v>202568</v>
      </c>
      <c r="F81" s="647">
        <v>1008</v>
      </c>
      <c r="G81" s="649">
        <v>0.03</v>
      </c>
      <c r="H81" s="650">
        <v>203576</v>
      </c>
      <c r="I81" s="651">
        <v>6198.6</v>
      </c>
      <c r="J81" s="652">
        <v>9.5531124398265277</v>
      </c>
      <c r="K81" s="653"/>
      <c r="L81" s="632"/>
      <c r="M81" s="632"/>
      <c r="N81" s="632"/>
      <c r="O81" s="632"/>
      <c r="P81" s="654"/>
      <c r="Q81" s="632"/>
      <c r="R81" s="632"/>
      <c r="S81" s="631"/>
      <c r="T81" s="633"/>
      <c r="U81" s="631"/>
      <c r="V81" s="655"/>
      <c r="W81" s="655"/>
      <c r="X81" s="655"/>
      <c r="Y81" s="655"/>
      <c r="Z81" s="655"/>
      <c r="AA81" s="655"/>
      <c r="AB81" s="631"/>
      <c r="AC81" s="631"/>
      <c r="AD81" s="631"/>
      <c r="AE81" s="631"/>
      <c r="AF81" s="631"/>
      <c r="AG81" s="631"/>
      <c r="AH81" s="631"/>
      <c r="AI81" s="631"/>
      <c r="AJ81" s="631"/>
      <c r="AK81" s="631"/>
      <c r="AL81" s="631"/>
      <c r="AM81" s="631"/>
      <c r="AN81" s="631"/>
      <c r="AO81" s="631"/>
      <c r="AP81" s="631"/>
      <c r="AQ81" s="631"/>
      <c r="AR81" s="631"/>
      <c r="AS81" s="631"/>
      <c r="AT81" s="631"/>
    </row>
    <row r="82" spans="1:46" s="634" customFormat="1" ht="20.100000000000001" hidden="1" customHeight="1" x14ac:dyDescent="0.25">
      <c r="A82" s="646" t="s">
        <v>453</v>
      </c>
      <c r="B82" s="647">
        <v>17609</v>
      </c>
      <c r="C82" s="647">
        <v>4345</v>
      </c>
      <c r="D82" s="647">
        <v>184536</v>
      </c>
      <c r="E82" s="648">
        <v>206490</v>
      </c>
      <c r="F82" s="647">
        <v>1026</v>
      </c>
      <c r="G82" s="649">
        <v>0.2</v>
      </c>
      <c r="H82" s="650">
        <v>207516.2</v>
      </c>
      <c r="I82" s="651">
        <v>6243.4</v>
      </c>
      <c r="J82" s="652">
        <v>9.7380108634868758</v>
      </c>
      <c r="K82" s="653"/>
      <c r="L82" s="632"/>
      <c r="M82" s="632"/>
      <c r="N82" s="632"/>
      <c r="O82" s="632"/>
      <c r="P82" s="654"/>
      <c r="Q82" s="632"/>
      <c r="R82" s="632"/>
      <c r="S82" s="631"/>
      <c r="T82" s="633"/>
      <c r="U82" s="631"/>
      <c r="V82" s="655"/>
      <c r="W82" s="655"/>
      <c r="X82" s="655"/>
      <c r="Y82" s="655"/>
      <c r="Z82" s="655"/>
      <c r="AA82" s="655"/>
      <c r="AB82" s="631"/>
      <c r="AC82" s="631"/>
      <c r="AD82" s="631"/>
      <c r="AE82" s="631"/>
      <c r="AF82" s="631"/>
      <c r="AG82" s="631"/>
      <c r="AH82" s="631"/>
      <c r="AI82" s="631"/>
      <c r="AJ82" s="631"/>
      <c r="AK82" s="631"/>
      <c r="AL82" s="631"/>
      <c r="AM82" s="631"/>
      <c r="AN82" s="631"/>
      <c r="AO82" s="631"/>
      <c r="AP82" s="631"/>
      <c r="AQ82" s="631"/>
      <c r="AR82" s="631"/>
      <c r="AS82" s="631"/>
      <c r="AT82" s="631"/>
    </row>
    <row r="83" spans="1:46" s="634" customFormat="1" ht="20.100000000000001" hidden="1" customHeight="1" x14ac:dyDescent="0.25">
      <c r="A83" s="646" t="s">
        <v>454</v>
      </c>
      <c r="B83" s="647">
        <v>18026</v>
      </c>
      <c r="C83" s="647">
        <v>4425</v>
      </c>
      <c r="D83" s="647">
        <v>191062</v>
      </c>
      <c r="E83" s="648">
        <v>213513</v>
      </c>
      <c r="F83" s="647">
        <v>1045</v>
      </c>
      <c r="G83" s="656">
        <v>0.1</v>
      </c>
      <c r="H83" s="650">
        <v>214558.1</v>
      </c>
      <c r="I83" s="651">
        <v>6270.3</v>
      </c>
      <c r="J83" s="652">
        <v>10.068462648453966</v>
      </c>
      <c r="K83" s="653"/>
      <c r="L83" s="632"/>
      <c r="M83" s="632"/>
      <c r="N83" s="632"/>
      <c r="O83" s="632"/>
      <c r="P83" s="654"/>
      <c r="Q83" s="632"/>
      <c r="R83" s="632"/>
      <c r="S83" s="631"/>
      <c r="T83" s="633"/>
      <c r="U83" s="631"/>
      <c r="V83" s="655"/>
      <c r="W83" s="655"/>
      <c r="X83" s="655"/>
      <c r="Y83" s="655"/>
      <c r="Z83" s="655"/>
      <c r="AA83" s="655"/>
      <c r="AB83" s="631"/>
      <c r="AC83" s="631"/>
      <c r="AD83" s="631"/>
      <c r="AE83" s="631"/>
      <c r="AF83" s="631"/>
      <c r="AG83" s="631"/>
      <c r="AH83" s="631"/>
      <c r="AI83" s="631"/>
      <c r="AJ83" s="631"/>
      <c r="AK83" s="631"/>
      <c r="AL83" s="631"/>
      <c r="AM83" s="631"/>
      <c r="AN83" s="631"/>
      <c r="AO83" s="631"/>
      <c r="AP83" s="631"/>
      <c r="AQ83" s="631"/>
      <c r="AR83" s="631"/>
      <c r="AS83" s="631"/>
      <c r="AT83" s="631"/>
    </row>
    <row r="84" spans="1:46" s="634" customFormat="1" ht="20.100000000000001" hidden="1" customHeight="1" x14ac:dyDescent="0.25">
      <c r="A84" s="646" t="s">
        <v>455</v>
      </c>
      <c r="B84" s="647">
        <v>17979</v>
      </c>
      <c r="C84" s="647">
        <v>4382</v>
      </c>
      <c r="D84" s="647">
        <v>198730</v>
      </c>
      <c r="E84" s="648">
        <v>221091</v>
      </c>
      <c r="F84" s="647">
        <v>1036</v>
      </c>
      <c r="G84" s="649">
        <v>0.1</v>
      </c>
      <c r="H84" s="650">
        <v>222127.1</v>
      </c>
      <c r="I84" s="651">
        <v>6447.9</v>
      </c>
      <c r="J84" s="652">
        <v>10.423647050082316</v>
      </c>
      <c r="K84" s="653"/>
      <c r="L84" s="632"/>
      <c r="M84" s="632"/>
      <c r="N84" s="632"/>
      <c r="O84" s="632"/>
      <c r="P84" s="657"/>
      <c r="Q84" s="632"/>
      <c r="R84" s="632"/>
      <c r="S84" s="631"/>
      <c r="T84" s="633"/>
      <c r="U84" s="631"/>
      <c r="V84" s="655"/>
      <c r="W84" s="655"/>
      <c r="X84" s="655"/>
      <c r="Y84" s="655"/>
      <c r="Z84" s="655"/>
      <c r="AA84" s="655"/>
      <c r="AB84" s="631"/>
      <c r="AC84" s="631"/>
      <c r="AD84" s="631"/>
      <c r="AE84" s="631"/>
      <c r="AF84" s="631"/>
      <c r="AG84" s="631"/>
      <c r="AH84" s="631"/>
      <c r="AI84" s="631"/>
      <c r="AJ84" s="631"/>
      <c r="AK84" s="631"/>
      <c r="AL84" s="631"/>
      <c r="AM84" s="631"/>
      <c r="AN84" s="631"/>
      <c r="AO84" s="631"/>
      <c r="AP84" s="631"/>
      <c r="AQ84" s="631"/>
      <c r="AR84" s="631"/>
      <c r="AS84" s="631"/>
      <c r="AT84" s="631"/>
    </row>
    <row r="85" spans="1:46" s="634" customFormat="1" ht="20.100000000000001" hidden="1" customHeight="1" x14ac:dyDescent="0.25">
      <c r="A85" s="646" t="s">
        <v>456</v>
      </c>
      <c r="B85" s="647">
        <v>17280</v>
      </c>
      <c r="C85" s="647">
        <v>4376</v>
      </c>
      <c r="D85" s="647">
        <v>207808</v>
      </c>
      <c r="E85" s="648">
        <v>229464</v>
      </c>
      <c r="F85" s="647">
        <v>1032</v>
      </c>
      <c r="G85" s="649">
        <v>0.2</v>
      </c>
      <c r="H85" s="650">
        <v>230496.2</v>
      </c>
      <c r="I85" s="651">
        <v>6668.5</v>
      </c>
      <c r="J85" s="652">
        <v>10.816382044353373</v>
      </c>
      <c r="K85" s="653"/>
      <c r="L85" s="632"/>
      <c r="M85" s="632"/>
      <c r="N85" s="632"/>
      <c r="O85" s="632"/>
      <c r="P85" s="657"/>
      <c r="Q85" s="632"/>
      <c r="R85" s="632"/>
      <c r="S85" s="631"/>
      <c r="T85" s="633"/>
      <c r="U85" s="631"/>
      <c r="V85" s="655"/>
      <c r="W85" s="655"/>
      <c r="X85" s="655"/>
      <c r="Y85" s="655"/>
      <c r="Z85" s="655"/>
      <c r="AA85" s="655"/>
      <c r="AB85" s="631"/>
      <c r="AC85" s="631"/>
      <c r="AD85" s="631"/>
      <c r="AE85" s="631"/>
      <c r="AF85" s="631"/>
      <c r="AG85" s="631"/>
      <c r="AH85" s="631"/>
      <c r="AI85" s="631"/>
      <c r="AJ85" s="631"/>
      <c r="AK85" s="631"/>
      <c r="AL85" s="631"/>
      <c r="AM85" s="631"/>
      <c r="AN85" s="631"/>
      <c r="AO85" s="631"/>
      <c r="AP85" s="631"/>
      <c r="AQ85" s="631"/>
      <c r="AR85" s="631"/>
      <c r="AS85" s="631"/>
      <c r="AT85" s="631"/>
    </row>
    <row r="86" spans="1:46" s="634" customFormat="1" ht="20.100000000000001" hidden="1" customHeight="1" x14ac:dyDescent="0.25">
      <c r="A86" s="646" t="s">
        <v>457</v>
      </c>
      <c r="B86" s="647">
        <v>16641</v>
      </c>
      <c r="C86" s="647">
        <v>4309</v>
      </c>
      <c r="D86" s="647">
        <v>200130</v>
      </c>
      <c r="E86" s="648">
        <v>221080</v>
      </c>
      <c r="F86" s="647">
        <v>1018</v>
      </c>
      <c r="G86" s="656">
        <v>0.1</v>
      </c>
      <c r="H86" s="650">
        <v>222098.1</v>
      </c>
      <c r="I86" s="651">
        <v>6506.8</v>
      </c>
      <c r="J86" s="652">
        <v>10.422288527641669</v>
      </c>
      <c r="K86" s="653"/>
      <c r="L86" s="632"/>
      <c r="M86" s="632"/>
      <c r="N86" s="632"/>
      <c r="O86" s="632"/>
      <c r="P86" s="657"/>
      <c r="Q86" s="632"/>
      <c r="R86" s="632"/>
      <c r="S86" s="631"/>
      <c r="T86" s="633"/>
      <c r="U86" s="631"/>
      <c r="V86" s="655"/>
      <c r="W86" s="655"/>
      <c r="X86" s="655"/>
      <c r="Y86" s="655"/>
      <c r="Z86" s="655"/>
      <c r="AA86" s="655"/>
      <c r="AB86" s="631"/>
      <c r="AC86" s="631"/>
      <c r="AD86" s="631"/>
      <c r="AE86" s="631"/>
      <c r="AF86" s="631"/>
      <c r="AG86" s="631"/>
      <c r="AH86" s="631"/>
      <c r="AI86" s="631"/>
      <c r="AJ86" s="631"/>
      <c r="AK86" s="631"/>
      <c r="AL86" s="631"/>
      <c r="AM86" s="631"/>
      <c r="AN86" s="631"/>
      <c r="AO86" s="631"/>
      <c r="AP86" s="631"/>
      <c r="AQ86" s="631"/>
      <c r="AR86" s="631"/>
      <c r="AS86" s="631"/>
      <c r="AT86" s="631"/>
    </row>
    <row r="87" spans="1:46" s="634" customFormat="1" ht="20.100000000000001" hidden="1" customHeight="1" x14ac:dyDescent="0.25">
      <c r="A87" s="646" t="s">
        <v>458</v>
      </c>
      <c r="B87" s="647">
        <v>16518</v>
      </c>
      <c r="C87" s="647">
        <v>4318</v>
      </c>
      <c r="D87" s="647">
        <v>204307</v>
      </c>
      <c r="E87" s="648">
        <v>225143</v>
      </c>
      <c r="F87" s="647">
        <v>1024</v>
      </c>
      <c r="G87" s="656">
        <v>0.1</v>
      </c>
      <c r="H87" s="650">
        <v>226167.1</v>
      </c>
      <c r="I87" s="651">
        <v>6607.9</v>
      </c>
      <c r="J87" s="652">
        <v>10.61323249347917</v>
      </c>
      <c r="K87" s="653"/>
      <c r="L87" s="632"/>
      <c r="M87" s="632"/>
      <c r="N87" s="632"/>
      <c r="O87" s="632"/>
      <c r="P87" s="657"/>
      <c r="Q87" s="632"/>
      <c r="R87" s="632"/>
      <c r="S87" s="631"/>
      <c r="T87" s="633"/>
      <c r="U87" s="631"/>
      <c r="V87" s="655"/>
      <c r="W87" s="655"/>
      <c r="X87" s="655"/>
      <c r="Y87" s="655"/>
      <c r="Z87" s="655"/>
      <c r="AA87" s="655"/>
      <c r="AB87" s="631"/>
      <c r="AC87" s="631"/>
      <c r="AD87" s="631"/>
      <c r="AE87" s="631"/>
      <c r="AF87" s="631"/>
      <c r="AG87" s="631"/>
      <c r="AH87" s="631"/>
      <c r="AI87" s="631"/>
      <c r="AJ87" s="631"/>
      <c r="AK87" s="631"/>
      <c r="AL87" s="631"/>
      <c r="AM87" s="631"/>
      <c r="AN87" s="631"/>
      <c r="AO87" s="631"/>
      <c r="AP87" s="631"/>
      <c r="AQ87" s="631"/>
      <c r="AR87" s="631"/>
      <c r="AS87" s="631"/>
      <c r="AT87" s="631"/>
    </row>
    <row r="88" spans="1:46" s="634" customFormat="1" ht="20.100000000000001" hidden="1" customHeight="1" x14ac:dyDescent="0.25">
      <c r="A88" s="646" t="s">
        <v>459</v>
      </c>
      <c r="B88" s="647">
        <v>16198</v>
      </c>
      <c r="C88" s="647">
        <v>4316</v>
      </c>
      <c r="D88" s="647">
        <v>198366</v>
      </c>
      <c r="E88" s="648">
        <v>218880</v>
      </c>
      <c r="F88" s="647">
        <v>1019</v>
      </c>
      <c r="G88" s="658">
        <v>0.2</v>
      </c>
      <c r="H88" s="650">
        <v>219899.2</v>
      </c>
      <c r="I88" s="651">
        <v>6427.3</v>
      </c>
      <c r="J88" s="652">
        <v>10.31910182661437</v>
      </c>
      <c r="K88" s="653"/>
      <c r="L88" s="632"/>
      <c r="M88" s="632"/>
      <c r="N88" s="632"/>
      <c r="O88" s="632"/>
      <c r="P88" s="657"/>
      <c r="Q88" s="632"/>
      <c r="R88" s="632"/>
      <c r="S88" s="631"/>
      <c r="T88" s="633"/>
      <c r="U88" s="631"/>
      <c r="V88" s="655"/>
      <c r="W88" s="655"/>
      <c r="X88" s="655"/>
      <c r="Y88" s="655"/>
      <c r="Z88" s="655"/>
      <c r="AA88" s="655"/>
      <c r="AB88" s="631"/>
      <c r="AC88" s="631"/>
      <c r="AD88" s="631"/>
      <c r="AE88" s="631"/>
      <c r="AF88" s="631"/>
      <c r="AG88" s="631"/>
      <c r="AH88" s="631"/>
      <c r="AI88" s="631"/>
      <c r="AJ88" s="631"/>
      <c r="AK88" s="631"/>
      <c r="AL88" s="631"/>
      <c r="AM88" s="631"/>
      <c r="AN88" s="631"/>
      <c r="AO88" s="631"/>
      <c r="AP88" s="631"/>
      <c r="AQ88" s="631"/>
      <c r="AR88" s="631"/>
      <c r="AS88" s="631"/>
      <c r="AT88" s="631"/>
    </row>
    <row r="89" spans="1:46" s="634" customFormat="1" ht="20.100000000000001" hidden="1" customHeight="1" x14ac:dyDescent="0.25">
      <c r="A89" s="646" t="s">
        <v>460</v>
      </c>
      <c r="B89" s="647">
        <v>16772</v>
      </c>
      <c r="C89" s="647">
        <v>4287</v>
      </c>
      <c r="D89" s="647">
        <v>195510</v>
      </c>
      <c r="E89" s="648">
        <v>216569</v>
      </c>
      <c r="F89" s="647">
        <v>1017</v>
      </c>
      <c r="G89" s="658">
        <v>0.2</v>
      </c>
      <c r="H89" s="650">
        <v>217586.2</v>
      </c>
      <c r="I89" s="651">
        <v>6312.5</v>
      </c>
      <c r="J89" s="652">
        <v>10.21056081089008</v>
      </c>
      <c r="K89" s="653"/>
      <c r="L89" s="632"/>
      <c r="M89" s="632"/>
      <c r="N89" s="632"/>
      <c r="O89" s="632"/>
      <c r="P89" s="657"/>
      <c r="Q89" s="632"/>
      <c r="R89" s="632"/>
      <c r="S89" s="631"/>
      <c r="T89" s="633"/>
      <c r="U89" s="631"/>
      <c r="V89" s="655"/>
      <c r="W89" s="655"/>
      <c r="X89" s="655"/>
      <c r="Y89" s="655"/>
      <c r="Z89" s="655"/>
      <c r="AA89" s="655"/>
      <c r="AB89" s="631"/>
      <c r="AC89" s="631"/>
      <c r="AD89" s="631"/>
      <c r="AE89" s="631"/>
      <c r="AF89" s="631"/>
      <c r="AG89" s="631"/>
      <c r="AH89" s="631"/>
      <c r="AI89" s="631"/>
      <c r="AJ89" s="631"/>
      <c r="AK89" s="631"/>
      <c r="AL89" s="631"/>
      <c r="AM89" s="631"/>
      <c r="AN89" s="631"/>
      <c r="AO89" s="631"/>
      <c r="AP89" s="631"/>
      <c r="AQ89" s="631"/>
      <c r="AR89" s="631"/>
      <c r="AS89" s="631"/>
      <c r="AT89" s="631"/>
    </row>
    <row r="90" spans="1:46" s="634" customFormat="1" ht="20.100000000000001" hidden="1" customHeight="1" x14ac:dyDescent="0.25">
      <c r="A90" s="646" t="s">
        <v>461</v>
      </c>
      <c r="B90" s="647">
        <v>16806</v>
      </c>
      <c r="C90" s="647">
        <v>4276</v>
      </c>
      <c r="D90" s="647">
        <v>193667</v>
      </c>
      <c r="E90" s="648">
        <v>214749</v>
      </c>
      <c r="F90" s="647">
        <v>1014</v>
      </c>
      <c r="G90" s="658">
        <v>0.1</v>
      </c>
      <c r="H90" s="650">
        <v>215763.1</v>
      </c>
      <c r="I90" s="651">
        <v>6283.3</v>
      </c>
      <c r="J90" s="652">
        <v>10.125009092011153</v>
      </c>
      <c r="K90" s="653"/>
      <c r="L90" s="632"/>
      <c r="M90" s="632"/>
      <c r="N90" s="632"/>
      <c r="O90" s="632"/>
      <c r="P90" s="657"/>
      <c r="Q90" s="632"/>
      <c r="R90" s="632"/>
      <c r="S90" s="631"/>
      <c r="T90" s="633"/>
      <c r="U90" s="631"/>
      <c r="V90" s="655"/>
      <c r="W90" s="655"/>
      <c r="X90" s="655"/>
      <c r="Y90" s="655"/>
      <c r="Z90" s="655"/>
      <c r="AA90" s="655"/>
      <c r="AB90" s="631"/>
      <c r="AC90" s="631"/>
      <c r="AD90" s="631"/>
      <c r="AE90" s="631"/>
      <c r="AF90" s="631"/>
      <c r="AG90" s="631"/>
      <c r="AH90" s="631"/>
      <c r="AI90" s="631"/>
      <c r="AJ90" s="631"/>
      <c r="AK90" s="631"/>
      <c r="AL90" s="631"/>
      <c r="AM90" s="631"/>
      <c r="AN90" s="631"/>
      <c r="AO90" s="631"/>
      <c r="AP90" s="631"/>
      <c r="AQ90" s="631"/>
      <c r="AR90" s="631"/>
      <c r="AS90" s="631"/>
      <c r="AT90" s="631"/>
    </row>
    <row r="91" spans="1:46" s="634" customFormat="1" ht="20.100000000000001" hidden="1" customHeight="1" thickBot="1" x14ac:dyDescent="0.3">
      <c r="A91" s="659" t="s">
        <v>462</v>
      </c>
      <c r="B91" s="660">
        <v>17549</v>
      </c>
      <c r="C91" s="660">
        <v>4288</v>
      </c>
      <c r="D91" s="660">
        <v>194722</v>
      </c>
      <c r="E91" s="661">
        <v>216559</v>
      </c>
      <c r="F91" s="660">
        <v>1026</v>
      </c>
      <c r="G91" s="662">
        <v>0.1</v>
      </c>
      <c r="H91" s="663">
        <v>217585.1</v>
      </c>
      <c r="I91" s="664">
        <v>6353.1</v>
      </c>
      <c r="J91" s="665">
        <v>10.210509191729987</v>
      </c>
      <c r="K91" s="653"/>
      <c r="L91" s="632"/>
      <c r="M91" s="632"/>
      <c r="N91" s="632"/>
      <c r="O91" s="632"/>
      <c r="P91" s="657"/>
      <c r="Q91" s="632"/>
      <c r="R91" s="632"/>
      <c r="S91" s="631"/>
      <c r="T91" s="633"/>
      <c r="U91" s="631"/>
      <c r="V91" s="655"/>
      <c r="W91" s="655"/>
      <c r="X91" s="655"/>
      <c r="Y91" s="655"/>
      <c r="Z91" s="655"/>
      <c r="AA91" s="655"/>
      <c r="AB91" s="631"/>
      <c r="AC91" s="631"/>
      <c r="AD91" s="631"/>
      <c r="AE91" s="631"/>
      <c r="AF91" s="631"/>
      <c r="AG91" s="631"/>
      <c r="AH91" s="631"/>
      <c r="AI91" s="631"/>
      <c r="AJ91" s="631"/>
      <c r="AK91" s="631"/>
      <c r="AL91" s="631"/>
      <c r="AM91" s="631"/>
      <c r="AN91" s="631"/>
      <c r="AO91" s="631"/>
      <c r="AP91" s="631"/>
      <c r="AQ91" s="631"/>
      <c r="AR91" s="631"/>
      <c r="AS91" s="631"/>
      <c r="AT91" s="631"/>
    </row>
    <row r="92" spans="1:46" s="634" customFormat="1" ht="20.100000000000001" hidden="1" customHeight="1" x14ac:dyDescent="0.25">
      <c r="A92" s="646" t="s">
        <v>463</v>
      </c>
      <c r="B92" s="647">
        <v>18005</v>
      </c>
      <c r="C92" s="647">
        <v>4286</v>
      </c>
      <c r="D92" s="647">
        <v>198473</v>
      </c>
      <c r="E92" s="648">
        <v>220764</v>
      </c>
      <c r="F92" s="647">
        <v>1028</v>
      </c>
      <c r="G92" s="649">
        <v>0.2</v>
      </c>
      <c r="H92" s="650">
        <v>221792.2</v>
      </c>
      <c r="I92" s="651">
        <v>6508.5</v>
      </c>
      <c r="J92" s="652">
        <v>10.199999999999999</v>
      </c>
      <c r="K92" s="653"/>
      <c r="L92" s="632"/>
      <c r="M92" s="632"/>
      <c r="N92" s="632"/>
      <c r="O92" s="632"/>
      <c r="P92" s="654"/>
      <c r="Q92" s="632"/>
      <c r="R92" s="632"/>
      <c r="S92" s="631"/>
      <c r="T92" s="633"/>
      <c r="U92" s="631"/>
      <c r="V92" s="655"/>
      <c r="W92" s="655"/>
      <c r="X92" s="655"/>
      <c r="Y92" s="655"/>
      <c r="Z92" s="655"/>
      <c r="AA92" s="655"/>
      <c r="AB92" s="631"/>
      <c r="AC92" s="631"/>
      <c r="AD92" s="631"/>
      <c r="AE92" s="631"/>
      <c r="AF92" s="631"/>
      <c r="AG92" s="631"/>
      <c r="AH92" s="631"/>
      <c r="AI92" s="631"/>
      <c r="AJ92" s="631"/>
      <c r="AK92" s="631"/>
      <c r="AL92" s="631"/>
      <c r="AM92" s="631"/>
      <c r="AN92" s="631"/>
      <c r="AO92" s="631"/>
      <c r="AP92" s="631"/>
      <c r="AQ92" s="631"/>
      <c r="AR92" s="631"/>
      <c r="AS92" s="631"/>
      <c r="AT92" s="631"/>
    </row>
    <row r="93" spans="1:46" s="634" customFormat="1" ht="20.100000000000001" hidden="1" customHeight="1" x14ac:dyDescent="0.25">
      <c r="A93" s="646" t="s">
        <v>464</v>
      </c>
      <c r="B93" s="647">
        <v>18014</v>
      </c>
      <c r="C93" s="647">
        <v>4283</v>
      </c>
      <c r="D93" s="647">
        <v>197823</v>
      </c>
      <c r="E93" s="648">
        <v>220120</v>
      </c>
      <c r="F93" s="647">
        <v>1025</v>
      </c>
      <c r="G93" s="649">
        <v>0.1</v>
      </c>
      <c r="H93" s="650">
        <v>221145.1</v>
      </c>
      <c r="I93" s="651">
        <v>6497.9</v>
      </c>
      <c r="J93" s="652">
        <v>10.199999999999999</v>
      </c>
      <c r="K93" s="653"/>
      <c r="L93" s="632"/>
      <c r="M93" s="632"/>
      <c r="N93" s="632"/>
      <c r="O93" s="632"/>
      <c r="P93" s="654"/>
      <c r="Q93" s="632"/>
      <c r="R93" s="632"/>
      <c r="S93" s="631"/>
      <c r="T93" s="633"/>
      <c r="U93" s="631"/>
      <c r="V93" s="655"/>
      <c r="W93" s="655"/>
      <c r="X93" s="655"/>
      <c r="Y93" s="655"/>
      <c r="Z93" s="655"/>
      <c r="AA93" s="655"/>
      <c r="AB93" s="631"/>
      <c r="AC93" s="631"/>
      <c r="AD93" s="631"/>
      <c r="AE93" s="631"/>
      <c r="AF93" s="631"/>
      <c r="AG93" s="631"/>
      <c r="AH93" s="631"/>
      <c r="AI93" s="631"/>
      <c r="AJ93" s="631"/>
      <c r="AK93" s="631"/>
      <c r="AL93" s="631"/>
      <c r="AM93" s="631"/>
      <c r="AN93" s="631"/>
      <c r="AO93" s="631"/>
      <c r="AP93" s="631"/>
      <c r="AQ93" s="631"/>
      <c r="AR93" s="631"/>
      <c r="AS93" s="631"/>
      <c r="AT93" s="631"/>
    </row>
    <row r="94" spans="1:46" s="634" customFormat="1" ht="20.100000000000001" hidden="1" customHeight="1" x14ac:dyDescent="0.25">
      <c r="A94" s="646" t="s">
        <v>465</v>
      </c>
      <c r="B94" s="647">
        <v>17912</v>
      </c>
      <c r="C94" s="647">
        <v>4345</v>
      </c>
      <c r="D94" s="647">
        <v>204520</v>
      </c>
      <c r="E94" s="648">
        <v>226777</v>
      </c>
      <c r="F94" s="647">
        <v>1049</v>
      </c>
      <c r="G94" s="649">
        <v>0.2</v>
      </c>
      <c r="H94" s="650">
        <v>227826.2</v>
      </c>
      <c r="I94" s="651">
        <v>6553.7</v>
      </c>
      <c r="J94" s="652">
        <v>10.5</v>
      </c>
      <c r="K94" s="653"/>
      <c r="L94" s="632"/>
      <c r="M94" s="632"/>
      <c r="N94" s="632"/>
      <c r="O94" s="632"/>
      <c r="P94" s="654"/>
      <c r="Q94" s="632"/>
      <c r="R94" s="632"/>
      <c r="S94" s="631"/>
      <c r="T94" s="633"/>
      <c r="U94" s="631"/>
      <c r="V94" s="655"/>
      <c r="W94" s="655"/>
      <c r="X94" s="655"/>
      <c r="Y94" s="655"/>
      <c r="Z94" s="655"/>
      <c r="AA94" s="655"/>
      <c r="AB94" s="631"/>
      <c r="AC94" s="631"/>
      <c r="AD94" s="631"/>
      <c r="AE94" s="631"/>
      <c r="AF94" s="631"/>
      <c r="AG94" s="631"/>
      <c r="AH94" s="631"/>
      <c r="AI94" s="631"/>
      <c r="AJ94" s="631"/>
      <c r="AK94" s="631"/>
      <c r="AL94" s="631"/>
      <c r="AM94" s="631"/>
      <c r="AN94" s="631"/>
      <c r="AO94" s="631"/>
      <c r="AP94" s="631"/>
      <c r="AQ94" s="631"/>
      <c r="AR94" s="631"/>
      <c r="AS94" s="631"/>
      <c r="AT94" s="631"/>
    </row>
    <row r="95" spans="1:46" s="634" customFormat="1" ht="20.100000000000001" hidden="1" customHeight="1" x14ac:dyDescent="0.25">
      <c r="A95" s="646" t="s">
        <v>466</v>
      </c>
      <c r="B95" s="647">
        <v>17935</v>
      </c>
      <c r="C95" s="647">
        <v>4347</v>
      </c>
      <c r="D95" s="647">
        <v>207083</v>
      </c>
      <c r="E95" s="648">
        <v>229365</v>
      </c>
      <c r="F95" s="647">
        <v>1052</v>
      </c>
      <c r="G95" s="656">
        <v>0.1</v>
      </c>
      <c r="H95" s="650">
        <v>230417.1</v>
      </c>
      <c r="I95" s="651">
        <v>6597.8</v>
      </c>
      <c r="J95" s="652">
        <v>10.6</v>
      </c>
      <c r="K95" s="653"/>
      <c r="L95" s="632"/>
      <c r="M95" s="632"/>
      <c r="N95" s="632"/>
      <c r="O95" s="632"/>
      <c r="P95" s="654"/>
      <c r="Q95" s="632"/>
      <c r="R95" s="632"/>
      <c r="S95" s="631"/>
      <c r="T95" s="633"/>
      <c r="U95" s="631"/>
      <c r="V95" s="655"/>
      <c r="W95" s="655"/>
      <c r="X95" s="655"/>
      <c r="Y95" s="655"/>
      <c r="Z95" s="655"/>
      <c r="AA95" s="655"/>
      <c r="AB95" s="631"/>
      <c r="AC95" s="631"/>
      <c r="AD95" s="631"/>
      <c r="AE95" s="631"/>
      <c r="AF95" s="631"/>
      <c r="AG95" s="631"/>
      <c r="AH95" s="631"/>
      <c r="AI95" s="631"/>
      <c r="AJ95" s="631"/>
      <c r="AK95" s="631"/>
      <c r="AL95" s="631"/>
      <c r="AM95" s="631"/>
      <c r="AN95" s="631"/>
      <c r="AO95" s="631"/>
      <c r="AP95" s="631"/>
      <c r="AQ95" s="631"/>
      <c r="AR95" s="631"/>
      <c r="AS95" s="631"/>
      <c r="AT95" s="631"/>
    </row>
    <row r="96" spans="1:46" s="634" customFormat="1" ht="20.100000000000001" hidden="1" customHeight="1" x14ac:dyDescent="0.25">
      <c r="A96" s="646" t="s">
        <v>467</v>
      </c>
      <c r="B96" s="647">
        <v>18362</v>
      </c>
      <c r="C96" s="647">
        <v>4400</v>
      </c>
      <c r="D96" s="647">
        <v>217223</v>
      </c>
      <c r="E96" s="648">
        <v>239985</v>
      </c>
      <c r="F96" s="647">
        <v>1063</v>
      </c>
      <c r="G96" s="649">
        <v>0.2</v>
      </c>
      <c r="H96" s="650">
        <v>241048.2</v>
      </c>
      <c r="I96" s="651">
        <v>6794.5</v>
      </c>
      <c r="J96" s="652">
        <v>11.1</v>
      </c>
      <c r="K96" s="653"/>
      <c r="L96" s="632"/>
      <c r="M96" s="632"/>
      <c r="N96" s="632"/>
      <c r="O96" s="632"/>
      <c r="P96" s="657"/>
      <c r="Q96" s="632"/>
      <c r="R96" s="632"/>
      <c r="S96" s="631"/>
      <c r="T96" s="633"/>
      <c r="U96" s="631"/>
      <c r="V96" s="655"/>
      <c r="W96" s="655"/>
      <c r="X96" s="655"/>
      <c r="Y96" s="655"/>
      <c r="Z96" s="655"/>
      <c r="AA96" s="655"/>
      <c r="AB96" s="631"/>
      <c r="AC96" s="631"/>
      <c r="AD96" s="631"/>
      <c r="AE96" s="631"/>
      <c r="AF96" s="631"/>
      <c r="AG96" s="631"/>
      <c r="AH96" s="631"/>
      <c r="AI96" s="631"/>
      <c r="AJ96" s="631"/>
      <c r="AK96" s="631"/>
      <c r="AL96" s="631"/>
      <c r="AM96" s="631"/>
      <c r="AN96" s="631"/>
      <c r="AO96" s="631"/>
      <c r="AP96" s="631"/>
      <c r="AQ96" s="631"/>
      <c r="AR96" s="631"/>
      <c r="AS96" s="631"/>
      <c r="AT96" s="631"/>
    </row>
    <row r="97" spans="1:46" s="634" customFormat="1" ht="20.100000000000001" hidden="1" customHeight="1" x14ac:dyDescent="0.25">
      <c r="A97" s="646" t="s">
        <v>468</v>
      </c>
      <c r="B97" s="647">
        <v>20005</v>
      </c>
      <c r="C97" s="647">
        <v>4430</v>
      </c>
      <c r="D97" s="647">
        <v>227924</v>
      </c>
      <c r="E97" s="648">
        <v>252359</v>
      </c>
      <c r="F97" s="647">
        <v>1069</v>
      </c>
      <c r="G97" s="649">
        <v>0.1</v>
      </c>
      <c r="H97" s="650">
        <v>253428.1</v>
      </c>
      <c r="I97" s="651">
        <v>7161.4</v>
      </c>
      <c r="J97" s="652">
        <v>11.6</v>
      </c>
      <c r="K97" s="653"/>
      <c r="L97" s="632"/>
      <c r="M97" s="632"/>
      <c r="N97" s="632"/>
      <c r="O97" s="632"/>
      <c r="P97" s="657"/>
      <c r="Q97" s="632"/>
      <c r="R97" s="632"/>
      <c r="S97" s="631"/>
      <c r="T97" s="633"/>
      <c r="U97" s="631"/>
      <c r="V97" s="655"/>
      <c r="W97" s="655"/>
      <c r="X97" s="655"/>
      <c r="Y97" s="655"/>
      <c r="Z97" s="655"/>
      <c r="AA97" s="655"/>
      <c r="AB97" s="631"/>
      <c r="AC97" s="631"/>
      <c r="AD97" s="631"/>
      <c r="AE97" s="631"/>
      <c r="AF97" s="631"/>
      <c r="AG97" s="631"/>
      <c r="AH97" s="631"/>
      <c r="AI97" s="631"/>
      <c r="AJ97" s="631"/>
      <c r="AK97" s="631"/>
      <c r="AL97" s="631"/>
      <c r="AM97" s="631"/>
      <c r="AN97" s="631"/>
      <c r="AO97" s="631"/>
      <c r="AP97" s="631"/>
      <c r="AQ97" s="631"/>
      <c r="AR97" s="631"/>
      <c r="AS97" s="631"/>
      <c r="AT97" s="631"/>
    </row>
    <row r="98" spans="1:46" s="634" customFormat="1" ht="20.100000000000001" hidden="1" customHeight="1" x14ac:dyDescent="0.25">
      <c r="A98" s="646" t="s">
        <v>469</v>
      </c>
      <c r="B98" s="647">
        <v>20524</v>
      </c>
      <c r="C98" s="647">
        <v>4447</v>
      </c>
      <c r="D98" s="647">
        <v>233087</v>
      </c>
      <c r="E98" s="648">
        <v>258058</v>
      </c>
      <c r="F98" s="647">
        <v>1222</v>
      </c>
      <c r="G98" s="656">
        <v>0.1</v>
      </c>
      <c r="H98" s="650">
        <v>259280.1</v>
      </c>
      <c r="I98" s="651">
        <v>7222.8</v>
      </c>
      <c r="J98" s="652">
        <v>11.9</v>
      </c>
      <c r="K98" s="653"/>
      <c r="L98" s="632"/>
      <c r="M98" s="632"/>
      <c r="N98" s="632"/>
      <c r="O98" s="632"/>
      <c r="P98" s="657"/>
      <c r="Q98" s="632"/>
      <c r="R98" s="632"/>
      <c r="S98" s="631"/>
      <c r="T98" s="633"/>
      <c r="U98" s="631"/>
      <c r="V98" s="655"/>
      <c r="W98" s="655"/>
      <c r="X98" s="655"/>
      <c r="Y98" s="655"/>
      <c r="Z98" s="655"/>
      <c r="AA98" s="655"/>
      <c r="AB98" s="631"/>
      <c r="AC98" s="631"/>
      <c r="AD98" s="631"/>
      <c r="AE98" s="631"/>
      <c r="AF98" s="631"/>
      <c r="AG98" s="631"/>
      <c r="AH98" s="631"/>
      <c r="AI98" s="631"/>
      <c r="AJ98" s="631"/>
      <c r="AK98" s="631"/>
      <c r="AL98" s="631"/>
      <c r="AM98" s="631"/>
      <c r="AN98" s="631"/>
      <c r="AO98" s="631"/>
      <c r="AP98" s="631"/>
      <c r="AQ98" s="631"/>
      <c r="AR98" s="631"/>
      <c r="AS98" s="631"/>
      <c r="AT98" s="631"/>
    </row>
    <row r="99" spans="1:46" s="634" customFormat="1" ht="20.100000000000001" hidden="1" customHeight="1" x14ac:dyDescent="0.25">
      <c r="A99" s="646" t="s">
        <v>470</v>
      </c>
      <c r="B99" s="647">
        <v>21979</v>
      </c>
      <c r="C99" s="647">
        <v>4449</v>
      </c>
      <c r="D99" s="647">
        <v>232127</v>
      </c>
      <c r="E99" s="648">
        <v>258555</v>
      </c>
      <c r="F99" s="647">
        <v>1229</v>
      </c>
      <c r="G99" s="656">
        <v>0.1</v>
      </c>
      <c r="H99" s="650">
        <v>259784.1</v>
      </c>
      <c r="I99" s="651">
        <v>7206.7</v>
      </c>
      <c r="J99" s="652">
        <v>11.9</v>
      </c>
      <c r="K99" s="653"/>
      <c r="L99" s="632"/>
      <c r="M99" s="632"/>
      <c r="N99" s="632"/>
      <c r="O99" s="632"/>
      <c r="P99" s="657"/>
      <c r="Q99" s="632"/>
      <c r="R99" s="632"/>
      <c r="S99" s="631"/>
      <c r="T99" s="633"/>
      <c r="U99" s="631"/>
      <c r="V99" s="655"/>
      <c r="W99" s="655"/>
      <c r="X99" s="655"/>
      <c r="Y99" s="655"/>
      <c r="Z99" s="655"/>
      <c r="AA99" s="655"/>
      <c r="AB99" s="631"/>
      <c r="AC99" s="631"/>
      <c r="AD99" s="631"/>
      <c r="AE99" s="631"/>
      <c r="AF99" s="631"/>
      <c r="AG99" s="631"/>
      <c r="AH99" s="631"/>
      <c r="AI99" s="631"/>
      <c r="AJ99" s="631"/>
      <c r="AK99" s="631"/>
      <c r="AL99" s="631"/>
      <c r="AM99" s="631"/>
      <c r="AN99" s="631"/>
      <c r="AO99" s="631"/>
      <c r="AP99" s="631"/>
      <c r="AQ99" s="631"/>
      <c r="AR99" s="631"/>
      <c r="AS99" s="631"/>
      <c r="AT99" s="631"/>
    </row>
    <row r="100" spans="1:46" s="634" customFormat="1" ht="20.100000000000001" hidden="1" customHeight="1" x14ac:dyDescent="0.25">
      <c r="A100" s="646" t="s">
        <v>471</v>
      </c>
      <c r="B100" s="647">
        <v>21687</v>
      </c>
      <c r="C100" s="647">
        <v>4480</v>
      </c>
      <c r="D100" s="647">
        <v>235667</v>
      </c>
      <c r="E100" s="648">
        <v>261834</v>
      </c>
      <c r="F100" s="647">
        <v>1239</v>
      </c>
      <c r="G100" s="658">
        <v>0.05</v>
      </c>
      <c r="H100" s="650">
        <v>263073.05</v>
      </c>
      <c r="I100" s="651">
        <v>7216.5</v>
      </c>
      <c r="J100" s="652">
        <v>12.1</v>
      </c>
      <c r="K100" s="653"/>
      <c r="L100" s="632"/>
      <c r="M100" s="632"/>
      <c r="N100" s="632"/>
      <c r="O100" s="632"/>
      <c r="P100" s="657"/>
      <c r="Q100" s="632"/>
      <c r="R100" s="632"/>
      <c r="S100" s="631"/>
      <c r="T100" s="633"/>
      <c r="U100" s="631"/>
      <c r="V100" s="655"/>
      <c r="W100" s="655"/>
      <c r="X100" s="655"/>
      <c r="Y100" s="655"/>
      <c r="Z100" s="655"/>
      <c r="AA100" s="655"/>
      <c r="AB100" s="631"/>
      <c r="AC100" s="631"/>
      <c r="AD100" s="631"/>
      <c r="AE100" s="631"/>
      <c r="AF100" s="631"/>
      <c r="AG100" s="631"/>
      <c r="AH100" s="631"/>
      <c r="AI100" s="631"/>
      <c r="AJ100" s="631"/>
      <c r="AK100" s="631"/>
      <c r="AL100" s="631"/>
      <c r="AM100" s="631"/>
      <c r="AN100" s="631"/>
      <c r="AO100" s="631"/>
      <c r="AP100" s="631"/>
      <c r="AQ100" s="631"/>
      <c r="AR100" s="631"/>
      <c r="AS100" s="631"/>
      <c r="AT100" s="631"/>
    </row>
    <row r="101" spans="1:46" s="634" customFormat="1" ht="20.100000000000001" hidden="1" customHeight="1" x14ac:dyDescent="0.25">
      <c r="A101" s="646" t="s">
        <v>472</v>
      </c>
      <c r="B101" s="647">
        <v>21783</v>
      </c>
      <c r="C101" s="647">
        <v>4507</v>
      </c>
      <c r="D101" s="647">
        <v>236254</v>
      </c>
      <c r="E101" s="648">
        <v>262544</v>
      </c>
      <c r="F101" s="647">
        <v>1249</v>
      </c>
      <c r="G101" s="658">
        <v>0.1</v>
      </c>
      <c r="H101" s="650">
        <v>263793.09999999998</v>
      </c>
      <c r="I101" s="651">
        <v>7260.1</v>
      </c>
      <c r="J101" s="652">
        <v>12.1</v>
      </c>
      <c r="K101" s="653"/>
      <c r="L101" s="632"/>
      <c r="M101" s="632"/>
      <c r="N101" s="632"/>
      <c r="O101" s="632"/>
      <c r="P101" s="657"/>
      <c r="Q101" s="632"/>
      <c r="R101" s="632"/>
      <c r="S101" s="631"/>
      <c r="T101" s="633"/>
      <c r="U101" s="631"/>
      <c r="V101" s="655"/>
      <c r="W101" s="655"/>
      <c r="X101" s="655"/>
      <c r="Y101" s="655"/>
      <c r="Z101" s="655"/>
      <c r="AA101" s="655"/>
      <c r="AB101" s="631"/>
      <c r="AC101" s="631"/>
      <c r="AD101" s="631"/>
      <c r="AE101" s="631"/>
      <c r="AF101" s="631"/>
      <c r="AG101" s="631"/>
      <c r="AH101" s="631"/>
      <c r="AI101" s="631"/>
      <c r="AJ101" s="631"/>
      <c r="AK101" s="631"/>
      <c r="AL101" s="631"/>
      <c r="AM101" s="631"/>
      <c r="AN101" s="631"/>
      <c r="AO101" s="631"/>
      <c r="AP101" s="631"/>
      <c r="AQ101" s="631"/>
      <c r="AR101" s="631"/>
      <c r="AS101" s="631"/>
      <c r="AT101" s="631"/>
    </row>
    <row r="102" spans="1:46" s="634" customFormat="1" ht="20.100000000000001" hidden="1" customHeight="1" x14ac:dyDescent="0.25">
      <c r="A102" s="646" t="s">
        <v>473</v>
      </c>
      <c r="B102" s="647">
        <v>21392</v>
      </c>
      <c r="C102" s="647">
        <v>4540</v>
      </c>
      <c r="D102" s="647">
        <v>241957</v>
      </c>
      <c r="E102" s="648">
        <v>267889</v>
      </c>
      <c r="F102" s="647">
        <v>1255</v>
      </c>
      <c r="G102" s="658">
        <v>0.1</v>
      </c>
      <c r="H102" s="650">
        <v>269144.09999999998</v>
      </c>
      <c r="I102" s="651">
        <v>7333.5</v>
      </c>
      <c r="J102" s="652">
        <v>12.4</v>
      </c>
      <c r="K102" s="653"/>
      <c r="L102" s="632"/>
      <c r="M102" s="632"/>
      <c r="N102" s="632"/>
      <c r="O102" s="632"/>
      <c r="P102" s="657"/>
      <c r="Q102" s="632"/>
      <c r="R102" s="632"/>
      <c r="S102" s="631"/>
      <c r="T102" s="633"/>
      <c r="U102" s="631"/>
      <c r="V102" s="655"/>
      <c r="W102" s="655"/>
      <c r="X102" s="655"/>
      <c r="Y102" s="655"/>
      <c r="Z102" s="655"/>
      <c r="AA102" s="655"/>
      <c r="AB102" s="631"/>
      <c r="AC102" s="631"/>
      <c r="AD102" s="631"/>
      <c r="AE102" s="631"/>
      <c r="AF102" s="631"/>
      <c r="AG102" s="631"/>
      <c r="AH102" s="631"/>
      <c r="AI102" s="631"/>
      <c r="AJ102" s="631"/>
      <c r="AK102" s="631"/>
      <c r="AL102" s="631"/>
      <c r="AM102" s="631"/>
      <c r="AN102" s="631"/>
      <c r="AO102" s="631"/>
      <c r="AP102" s="631"/>
      <c r="AQ102" s="631"/>
      <c r="AR102" s="631"/>
      <c r="AS102" s="631"/>
      <c r="AT102" s="631"/>
    </row>
    <row r="103" spans="1:46" s="634" customFormat="1" ht="20.100000000000001" hidden="1" customHeight="1" thickBot="1" x14ac:dyDescent="0.3">
      <c r="A103" s="659" t="s">
        <v>474</v>
      </c>
      <c r="B103" s="660">
        <v>22322</v>
      </c>
      <c r="C103" s="660">
        <v>4560</v>
      </c>
      <c r="D103" s="660">
        <v>241353</v>
      </c>
      <c r="E103" s="661">
        <v>268235</v>
      </c>
      <c r="F103" s="660">
        <v>1259</v>
      </c>
      <c r="G103" s="662">
        <v>0.1</v>
      </c>
      <c r="H103" s="663">
        <v>269494.09999999998</v>
      </c>
      <c r="I103" s="664">
        <v>7363.2</v>
      </c>
      <c r="J103" s="665">
        <v>12.4</v>
      </c>
      <c r="K103" s="653"/>
      <c r="L103" s="632"/>
      <c r="M103" s="632"/>
      <c r="N103" s="632"/>
      <c r="O103" s="632"/>
      <c r="P103" s="657"/>
      <c r="Q103" s="632"/>
      <c r="R103" s="632"/>
      <c r="S103" s="631"/>
      <c r="T103" s="633"/>
      <c r="U103" s="631"/>
      <c r="V103" s="655"/>
      <c r="W103" s="655"/>
      <c r="X103" s="655"/>
      <c r="Y103" s="655"/>
      <c r="Z103" s="655"/>
      <c r="AA103" s="655"/>
      <c r="AB103" s="631"/>
      <c r="AC103" s="631"/>
      <c r="AD103" s="631"/>
      <c r="AE103" s="631"/>
      <c r="AF103" s="631"/>
      <c r="AG103" s="631"/>
      <c r="AH103" s="631"/>
      <c r="AI103" s="631"/>
      <c r="AJ103" s="631"/>
      <c r="AK103" s="631"/>
      <c r="AL103" s="631"/>
      <c r="AM103" s="631"/>
      <c r="AN103" s="631"/>
      <c r="AO103" s="631"/>
      <c r="AP103" s="631"/>
      <c r="AQ103" s="631"/>
      <c r="AR103" s="631"/>
      <c r="AS103" s="631"/>
      <c r="AT103" s="631"/>
    </row>
    <row r="104" spans="1:46" s="634" customFormat="1" ht="20.100000000000001" hidden="1" customHeight="1" x14ac:dyDescent="0.25">
      <c r="A104" s="646" t="s">
        <v>475</v>
      </c>
      <c r="B104" s="647">
        <v>23258</v>
      </c>
      <c r="C104" s="647">
        <v>4572</v>
      </c>
      <c r="D104" s="647">
        <v>250016</v>
      </c>
      <c r="E104" s="648">
        <v>277846</v>
      </c>
      <c r="F104" s="647">
        <v>1265</v>
      </c>
      <c r="G104" s="649">
        <v>0.1</v>
      </c>
      <c r="H104" s="650">
        <v>279111.09999999998</v>
      </c>
      <c r="I104" s="651">
        <v>7569.4</v>
      </c>
      <c r="J104" s="652">
        <v>16.399999999999999</v>
      </c>
      <c r="K104" s="653"/>
      <c r="L104" s="575"/>
      <c r="M104" s="632"/>
      <c r="N104" s="632"/>
      <c r="O104" s="632"/>
      <c r="P104" s="657"/>
      <c r="Q104" s="632"/>
      <c r="R104" s="632"/>
      <c r="S104" s="627"/>
      <c r="T104" s="629"/>
      <c r="U104" s="633"/>
      <c r="V104" s="655"/>
      <c r="W104" s="655"/>
      <c r="X104" s="655"/>
      <c r="Y104" s="655"/>
      <c r="Z104" s="655"/>
      <c r="AA104" s="655"/>
      <c r="AB104" s="655"/>
      <c r="AC104" s="631"/>
      <c r="AD104" s="631"/>
      <c r="AE104" s="631"/>
      <c r="AF104" s="631"/>
      <c r="AG104" s="631"/>
      <c r="AH104" s="631"/>
      <c r="AI104" s="631"/>
      <c r="AJ104" s="631"/>
      <c r="AK104" s="631"/>
      <c r="AL104" s="631"/>
      <c r="AM104" s="631"/>
      <c r="AN104" s="631"/>
      <c r="AO104" s="631"/>
      <c r="AP104" s="631"/>
      <c r="AQ104" s="631"/>
      <c r="AR104" s="631"/>
      <c r="AS104" s="631"/>
      <c r="AT104" s="631"/>
    </row>
    <row r="105" spans="1:46" s="634" customFormat="1" ht="20.100000000000001" hidden="1" customHeight="1" x14ac:dyDescent="0.25">
      <c r="A105" s="646" t="s">
        <v>476</v>
      </c>
      <c r="B105" s="647">
        <v>24619</v>
      </c>
      <c r="C105" s="647">
        <v>4642</v>
      </c>
      <c r="D105" s="647">
        <v>243679</v>
      </c>
      <c r="E105" s="648">
        <v>272940</v>
      </c>
      <c r="F105" s="647">
        <v>1287</v>
      </c>
      <c r="G105" s="649">
        <v>0.1</v>
      </c>
      <c r="H105" s="650">
        <v>274227.09999999998</v>
      </c>
      <c r="I105" s="651">
        <v>7294.8</v>
      </c>
      <c r="J105" s="652">
        <v>16.100000000000001</v>
      </c>
      <c r="K105" s="653"/>
      <c r="L105" s="575"/>
      <c r="M105" s="632"/>
      <c r="N105" s="632"/>
      <c r="O105" s="632"/>
      <c r="P105" s="657"/>
      <c r="Q105" s="632"/>
      <c r="R105" s="632"/>
      <c r="S105" s="627"/>
      <c r="T105" s="629"/>
      <c r="U105" s="633"/>
      <c r="V105" s="655"/>
      <c r="W105" s="655"/>
      <c r="X105" s="655"/>
      <c r="Y105" s="655"/>
      <c r="Z105" s="655"/>
      <c r="AA105" s="655"/>
      <c r="AB105" s="655"/>
      <c r="AC105" s="631"/>
      <c r="AD105" s="631"/>
      <c r="AE105" s="631"/>
      <c r="AF105" s="631"/>
      <c r="AG105" s="631"/>
      <c r="AH105" s="631"/>
      <c r="AI105" s="631"/>
      <c r="AJ105" s="631"/>
      <c r="AK105" s="631"/>
      <c r="AL105" s="631"/>
      <c r="AM105" s="631"/>
      <c r="AN105" s="631"/>
      <c r="AO105" s="631"/>
      <c r="AP105" s="631"/>
      <c r="AQ105" s="631"/>
      <c r="AR105" s="631"/>
      <c r="AS105" s="631"/>
      <c r="AT105" s="631"/>
    </row>
    <row r="106" spans="1:46" s="634" customFormat="1" ht="16.5" hidden="1" x14ac:dyDescent="0.25">
      <c r="A106" s="646" t="s">
        <v>477</v>
      </c>
      <c r="B106" s="647">
        <v>25449</v>
      </c>
      <c r="C106" s="647">
        <v>4867</v>
      </c>
      <c r="D106" s="647">
        <v>245052</v>
      </c>
      <c r="E106" s="648">
        <v>275368</v>
      </c>
      <c r="F106" s="647">
        <v>1340</v>
      </c>
      <c r="G106" s="649">
        <v>0</v>
      </c>
      <c r="H106" s="650">
        <v>276708</v>
      </c>
      <c r="I106" s="651">
        <v>7023.1704624193835</v>
      </c>
      <c r="J106" s="652">
        <v>16.2</v>
      </c>
      <c r="K106" s="653"/>
      <c r="L106" s="575"/>
      <c r="M106" s="632"/>
      <c r="N106" s="632"/>
      <c r="O106" s="632"/>
      <c r="P106" s="657"/>
      <c r="Q106" s="632"/>
      <c r="R106" s="632"/>
      <c r="S106" s="627"/>
      <c r="T106" s="629"/>
      <c r="U106" s="633"/>
      <c r="V106" s="655"/>
      <c r="W106" s="655"/>
      <c r="X106" s="655"/>
      <c r="Y106" s="655"/>
      <c r="Z106" s="655"/>
      <c r="AA106" s="655"/>
      <c r="AB106" s="655"/>
      <c r="AC106" s="631"/>
      <c r="AD106" s="631"/>
      <c r="AE106" s="631"/>
      <c r="AF106" s="631"/>
      <c r="AG106" s="631"/>
      <c r="AH106" s="631"/>
      <c r="AI106" s="631"/>
      <c r="AJ106" s="631"/>
      <c r="AK106" s="631"/>
      <c r="AL106" s="631"/>
      <c r="AM106" s="631"/>
      <c r="AN106" s="631"/>
      <c r="AO106" s="631"/>
      <c r="AP106" s="631"/>
      <c r="AQ106" s="631"/>
      <c r="AR106" s="631"/>
      <c r="AS106" s="631"/>
      <c r="AT106" s="631"/>
    </row>
    <row r="107" spans="1:46" s="634" customFormat="1" ht="17.25" hidden="1" x14ac:dyDescent="0.25">
      <c r="A107" s="646" t="s">
        <v>478</v>
      </c>
      <c r="B107" s="647">
        <v>27658</v>
      </c>
      <c r="C107" s="647">
        <v>4953</v>
      </c>
      <c r="D107" s="647">
        <v>246632</v>
      </c>
      <c r="E107" s="648">
        <v>279243</v>
      </c>
      <c r="F107" s="647">
        <v>1372</v>
      </c>
      <c r="G107" s="649">
        <v>0</v>
      </c>
      <c r="H107" s="650">
        <v>280615</v>
      </c>
      <c r="I107" s="651">
        <v>6966.4357885851896</v>
      </c>
      <c r="J107" s="652">
        <v>16.399999999999999</v>
      </c>
      <c r="K107" s="653"/>
      <c r="L107" s="575"/>
      <c r="M107" s="632"/>
      <c r="N107" s="632"/>
      <c r="O107" s="632"/>
      <c r="P107" s="657"/>
      <c r="Q107" s="632"/>
      <c r="R107" s="632"/>
      <c r="S107" s="627"/>
      <c r="T107" s="629"/>
      <c r="U107" s="633"/>
      <c r="V107" s="655"/>
      <c r="W107" s="655"/>
      <c r="X107" s="655"/>
      <c r="Y107" s="655"/>
      <c r="Z107" s="655"/>
      <c r="AA107" s="655"/>
      <c r="AB107" s="655"/>
      <c r="AC107" s="631"/>
      <c r="AD107" s="631"/>
      <c r="AE107" s="631"/>
      <c r="AF107" s="631"/>
      <c r="AG107" s="631"/>
      <c r="AH107" s="631"/>
      <c r="AI107" s="631"/>
      <c r="AJ107" s="631"/>
      <c r="AK107" s="631"/>
      <c r="AL107" s="631"/>
      <c r="AM107" s="631"/>
      <c r="AN107" s="631"/>
      <c r="AO107" s="631"/>
      <c r="AP107" s="631"/>
      <c r="AQ107" s="631"/>
      <c r="AR107" s="631"/>
      <c r="AS107" s="631"/>
      <c r="AT107" s="631"/>
    </row>
    <row r="108" spans="1:46" s="634" customFormat="1" ht="16.5" hidden="1" x14ac:dyDescent="0.25">
      <c r="A108" s="646" t="s">
        <v>312</v>
      </c>
      <c r="B108" s="647">
        <v>27705</v>
      </c>
      <c r="C108" s="647">
        <v>4945</v>
      </c>
      <c r="D108" s="647">
        <v>241873</v>
      </c>
      <c r="E108" s="648">
        <v>274523</v>
      </c>
      <c r="F108" s="647">
        <v>1897</v>
      </c>
      <c r="G108" s="649">
        <v>0</v>
      </c>
      <c r="H108" s="650">
        <v>276420</v>
      </c>
      <c r="I108" s="651">
        <v>6880.8</v>
      </c>
      <c r="J108" s="652">
        <v>16.2</v>
      </c>
      <c r="K108" s="653"/>
      <c r="L108" s="575"/>
      <c r="M108" s="632"/>
      <c r="N108" s="632"/>
      <c r="O108" s="632"/>
      <c r="P108" s="657"/>
      <c r="Q108" s="632"/>
      <c r="R108" s="632"/>
      <c r="S108" s="627"/>
      <c r="T108" s="629"/>
      <c r="U108" s="633"/>
      <c r="V108" s="655"/>
      <c r="W108" s="655"/>
      <c r="X108" s="655"/>
      <c r="Y108" s="655"/>
      <c r="Z108" s="655"/>
      <c r="AA108" s="655"/>
      <c r="AB108" s="655"/>
      <c r="AC108" s="631"/>
      <c r="AD108" s="631"/>
      <c r="AE108" s="631"/>
      <c r="AF108" s="631"/>
      <c r="AG108" s="631"/>
      <c r="AH108" s="631"/>
      <c r="AI108" s="631"/>
      <c r="AJ108" s="631"/>
      <c r="AK108" s="631"/>
      <c r="AL108" s="631"/>
      <c r="AM108" s="631"/>
      <c r="AN108" s="631"/>
      <c r="AO108" s="631"/>
      <c r="AP108" s="631"/>
      <c r="AQ108" s="631"/>
      <c r="AR108" s="631"/>
      <c r="AS108" s="631"/>
      <c r="AT108" s="631"/>
    </row>
    <row r="109" spans="1:46" s="634" customFormat="1" ht="16.5" hidden="1" x14ac:dyDescent="0.25">
      <c r="A109" s="646" t="s">
        <v>479</v>
      </c>
      <c r="B109" s="647">
        <v>28533</v>
      </c>
      <c r="C109" s="647">
        <v>5006</v>
      </c>
      <c r="D109" s="647">
        <v>254049</v>
      </c>
      <c r="E109" s="648">
        <v>287588</v>
      </c>
      <c r="F109" s="647">
        <v>1915</v>
      </c>
      <c r="G109" s="649">
        <v>0</v>
      </c>
      <c r="H109" s="650">
        <v>289503</v>
      </c>
      <c r="I109" s="651">
        <v>7194.2</v>
      </c>
      <c r="J109" s="652">
        <v>17</v>
      </c>
      <c r="K109" s="653"/>
      <c r="L109" s="575"/>
      <c r="M109" s="632"/>
      <c r="N109" s="632"/>
      <c r="O109" s="632"/>
      <c r="P109" s="657"/>
      <c r="Q109" s="632"/>
      <c r="R109" s="632"/>
      <c r="S109" s="627"/>
      <c r="T109" s="629"/>
      <c r="U109" s="633"/>
      <c r="V109" s="655"/>
      <c r="W109" s="655"/>
      <c r="X109" s="655"/>
      <c r="Y109" s="655"/>
      <c r="Z109" s="655"/>
      <c r="AA109" s="655"/>
      <c r="AB109" s="655"/>
      <c r="AC109" s="631"/>
      <c r="AD109" s="631"/>
      <c r="AE109" s="631"/>
      <c r="AF109" s="631"/>
      <c r="AG109" s="631"/>
      <c r="AH109" s="631"/>
      <c r="AI109" s="631"/>
      <c r="AJ109" s="631"/>
      <c r="AK109" s="631"/>
      <c r="AL109" s="631"/>
      <c r="AM109" s="631"/>
      <c r="AN109" s="631"/>
      <c r="AO109" s="631"/>
      <c r="AP109" s="631"/>
      <c r="AQ109" s="631"/>
      <c r="AR109" s="631"/>
      <c r="AS109" s="631"/>
      <c r="AT109" s="631"/>
    </row>
    <row r="110" spans="1:46" s="634" customFormat="1" ht="16.5" hidden="1" x14ac:dyDescent="0.25">
      <c r="A110" s="646" t="s">
        <v>480</v>
      </c>
      <c r="B110" s="647">
        <v>31601</v>
      </c>
      <c r="C110" s="647">
        <v>5074</v>
      </c>
      <c r="D110" s="647">
        <v>267570</v>
      </c>
      <c r="E110" s="648">
        <v>304245</v>
      </c>
      <c r="F110" s="647">
        <v>1954</v>
      </c>
      <c r="G110" s="649">
        <v>0</v>
      </c>
      <c r="H110" s="650">
        <v>306199</v>
      </c>
      <c r="I110" s="651">
        <v>7655.9</v>
      </c>
      <c r="J110" s="652">
        <v>17.899999999999999</v>
      </c>
      <c r="K110" s="653"/>
      <c r="L110" s="575"/>
      <c r="M110" s="632"/>
      <c r="N110" s="632"/>
      <c r="O110" s="632"/>
      <c r="P110" s="657"/>
      <c r="Q110" s="632"/>
      <c r="R110" s="632"/>
      <c r="S110" s="627"/>
      <c r="T110" s="629"/>
      <c r="U110" s="633"/>
      <c r="V110" s="655"/>
      <c r="W110" s="655"/>
      <c r="X110" s="655"/>
      <c r="Y110" s="655"/>
      <c r="Z110" s="655"/>
      <c r="AA110" s="655"/>
      <c r="AB110" s="655"/>
      <c r="AC110" s="631"/>
      <c r="AD110" s="631"/>
      <c r="AE110" s="631"/>
      <c r="AF110" s="631"/>
      <c r="AG110" s="631"/>
      <c r="AH110" s="631"/>
      <c r="AI110" s="631"/>
      <c r="AJ110" s="631"/>
      <c r="AK110" s="631"/>
      <c r="AL110" s="631"/>
      <c r="AM110" s="631"/>
      <c r="AN110" s="631"/>
      <c r="AO110" s="631"/>
      <c r="AP110" s="631"/>
      <c r="AQ110" s="631"/>
      <c r="AR110" s="631"/>
      <c r="AS110" s="631"/>
      <c r="AT110" s="631"/>
    </row>
    <row r="111" spans="1:46" s="634" customFormat="1" ht="16.5" hidden="1" x14ac:dyDescent="0.25">
      <c r="A111" s="646" t="s">
        <v>481</v>
      </c>
      <c r="B111" s="647">
        <v>31186</v>
      </c>
      <c r="C111" s="647">
        <v>5094</v>
      </c>
      <c r="D111" s="647">
        <v>251227</v>
      </c>
      <c r="E111" s="648">
        <v>287507</v>
      </c>
      <c r="F111" s="647">
        <v>1954</v>
      </c>
      <c r="G111" s="649">
        <v>0</v>
      </c>
      <c r="H111" s="650">
        <v>289461</v>
      </c>
      <c r="I111" s="651">
        <v>7268.6</v>
      </c>
      <c r="J111" s="652">
        <v>17</v>
      </c>
      <c r="K111" s="653"/>
      <c r="L111" s="575"/>
      <c r="M111" s="632"/>
      <c r="N111" s="632"/>
      <c r="O111" s="632"/>
      <c r="P111" s="657"/>
      <c r="Q111" s="632"/>
      <c r="R111" s="632"/>
      <c r="S111" s="627"/>
      <c r="T111" s="629"/>
      <c r="U111" s="633"/>
      <c r="V111" s="655"/>
      <c r="W111" s="655"/>
      <c r="X111" s="655"/>
      <c r="Y111" s="655"/>
      <c r="Z111" s="655"/>
      <c r="AA111" s="655"/>
      <c r="AB111" s="655"/>
      <c r="AC111" s="631"/>
      <c r="AD111" s="631"/>
      <c r="AE111" s="631"/>
      <c r="AF111" s="631"/>
      <c r="AG111" s="631"/>
      <c r="AH111" s="631"/>
      <c r="AI111" s="631"/>
      <c r="AJ111" s="631"/>
      <c r="AK111" s="631"/>
      <c r="AL111" s="631"/>
      <c r="AM111" s="631"/>
      <c r="AN111" s="631"/>
      <c r="AO111" s="631"/>
      <c r="AP111" s="631"/>
      <c r="AQ111" s="631"/>
      <c r="AR111" s="631"/>
      <c r="AS111" s="631"/>
      <c r="AT111" s="631"/>
    </row>
    <row r="112" spans="1:46" s="634" customFormat="1" ht="16.5" x14ac:dyDescent="0.25">
      <c r="A112" s="646" t="s">
        <v>482</v>
      </c>
      <c r="B112" s="647">
        <v>30229</v>
      </c>
      <c r="C112" s="647">
        <v>5082</v>
      </c>
      <c r="D112" s="647">
        <v>251409</v>
      </c>
      <c r="E112" s="648">
        <v>286720</v>
      </c>
      <c r="F112" s="647">
        <v>1950</v>
      </c>
      <c r="G112" s="649">
        <v>0</v>
      </c>
      <c r="H112" s="650">
        <v>288670</v>
      </c>
      <c r="I112" s="651">
        <v>7206</v>
      </c>
      <c r="J112" s="652">
        <v>16.899999999999999</v>
      </c>
      <c r="K112" s="653"/>
      <c r="L112" s="575"/>
      <c r="M112" s="632"/>
      <c r="N112" s="632"/>
      <c r="O112" s="632"/>
      <c r="P112" s="657"/>
      <c r="Q112" s="632"/>
      <c r="R112" s="632"/>
      <c r="S112" s="627"/>
      <c r="T112" s="629"/>
      <c r="U112" s="633"/>
      <c r="V112" s="655"/>
      <c r="W112" s="655"/>
      <c r="X112" s="655"/>
      <c r="Y112" s="655"/>
      <c r="Z112" s="655"/>
      <c r="AA112" s="655"/>
      <c r="AB112" s="655"/>
      <c r="AC112" s="631"/>
      <c r="AD112" s="631"/>
      <c r="AE112" s="631"/>
      <c r="AF112" s="631"/>
      <c r="AG112" s="631"/>
      <c r="AH112" s="631"/>
      <c r="AI112" s="631"/>
      <c r="AJ112" s="631"/>
      <c r="AK112" s="631"/>
      <c r="AL112" s="631"/>
      <c r="AM112" s="631"/>
      <c r="AN112" s="631"/>
      <c r="AO112" s="631"/>
      <c r="AP112" s="631"/>
      <c r="AQ112" s="631"/>
      <c r="AR112" s="631"/>
      <c r="AS112" s="631"/>
      <c r="AT112" s="631"/>
    </row>
    <row r="113" spans="1:46" s="634" customFormat="1" ht="16.5" x14ac:dyDescent="0.25">
      <c r="A113" s="646" t="s">
        <v>317</v>
      </c>
      <c r="B113" s="647">
        <v>30029</v>
      </c>
      <c r="C113" s="647">
        <v>5109</v>
      </c>
      <c r="D113" s="647">
        <v>242766</v>
      </c>
      <c r="E113" s="648">
        <v>277905</v>
      </c>
      <c r="F113" s="647">
        <v>1967</v>
      </c>
      <c r="G113" s="649">
        <v>0</v>
      </c>
      <c r="H113" s="650">
        <v>279872</v>
      </c>
      <c r="I113" s="651">
        <v>6973.6127376473223</v>
      </c>
      <c r="J113" s="652">
        <v>16.399999999999999</v>
      </c>
      <c r="K113" s="653"/>
      <c r="L113" s="575"/>
      <c r="M113" s="632"/>
      <c r="N113" s="632"/>
      <c r="O113" s="632"/>
      <c r="P113" s="657"/>
      <c r="Q113" s="632"/>
      <c r="R113" s="632"/>
      <c r="S113" s="627"/>
      <c r="T113" s="629"/>
      <c r="U113" s="633"/>
      <c r="V113" s="655"/>
      <c r="W113" s="655"/>
      <c r="X113" s="655"/>
      <c r="Y113" s="655"/>
      <c r="Z113" s="655"/>
      <c r="AA113" s="655"/>
      <c r="AB113" s="655"/>
      <c r="AC113" s="631"/>
      <c r="AD113" s="631"/>
      <c r="AE113" s="631"/>
      <c r="AF113" s="631"/>
      <c r="AG113" s="631"/>
      <c r="AH113" s="631"/>
      <c r="AI113" s="631"/>
      <c r="AJ113" s="631"/>
      <c r="AK113" s="631"/>
      <c r="AL113" s="631"/>
      <c r="AM113" s="631"/>
      <c r="AN113" s="631"/>
      <c r="AO113" s="631"/>
      <c r="AP113" s="631"/>
      <c r="AQ113" s="631"/>
      <c r="AR113" s="631"/>
      <c r="AS113" s="631"/>
      <c r="AT113" s="631"/>
    </row>
    <row r="114" spans="1:46" s="634" customFormat="1" ht="16.5" x14ac:dyDescent="0.25">
      <c r="A114" s="646" t="s">
        <v>318</v>
      </c>
      <c r="B114" s="647">
        <v>28491</v>
      </c>
      <c r="C114" s="647">
        <v>5149</v>
      </c>
      <c r="D114" s="647">
        <v>243513</v>
      </c>
      <c r="E114" s="648">
        <v>277153</v>
      </c>
      <c r="F114" s="647">
        <v>1989</v>
      </c>
      <c r="G114" s="649">
        <v>0</v>
      </c>
      <c r="H114" s="650">
        <v>279142</v>
      </c>
      <c r="I114" s="651">
        <v>6967.5238934386334</v>
      </c>
      <c r="J114" s="652">
        <v>16.399999999999999</v>
      </c>
      <c r="K114" s="653"/>
      <c r="L114" s="575"/>
      <c r="M114" s="632"/>
      <c r="N114" s="632"/>
      <c r="O114" s="632"/>
      <c r="P114" s="657"/>
      <c r="Q114" s="632"/>
      <c r="R114" s="632"/>
      <c r="S114" s="627"/>
      <c r="T114" s="629"/>
      <c r="U114" s="633"/>
      <c r="V114" s="655"/>
      <c r="W114" s="655"/>
      <c r="X114" s="655"/>
      <c r="Y114" s="655"/>
      <c r="Z114" s="655"/>
      <c r="AA114" s="655"/>
      <c r="AB114" s="655"/>
      <c r="AC114" s="631"/>
      <c r="AD114" s="631"/>
      <c r="AE114" s="631"/>
      <c r="AF114" s="631"/>
      <c r="AG114" s="631"/>
      <c r="AH114" s="631"/>
      <c r="AI114" s="631"/>
      <c r="AJ114" s="631"/>
      <c r="AK114" s="631"/>
      <c r="AL114" s="631"/>
      <c r="AM114" s="631"/>
      <c r="AN114" s="631"/>
      <c r="AO114" s="631"/>
      <c r="AP114" s="631"/>
      <c r="AQ114" s="631"/>
      <c r="AR114" s="631"/>
      <c r="AS114" s="631"/>
      <c r="AT114" s="631"/>
    </row>
    <row r="115" spans="1:46" s="634" customFormat="1" ht="17.25" thickBot="1" x14ac:dyDescent="0.3">
      <c r="A115" s="659" t="s">
        <v>319</v>
      </c>
      <c r="B115" s="660">
        <v>29918</v>
      </c>
      <c r="C115" s="660">
        <v>5135</v>
      </c>
      <c r="D115" s="660">
        <v>251210</v>
      </c>
      <c r="E115" s="661">
        <v>286263</v>
      </c>
      <c r="F115" s="660">
        <v>1977</v>
      </c>
      <c r="G115" s="662">
        <v>0</v>
      </c>
      <c r="H115" s="663">
        <v>288240</v>
      </c>
      <c r="I115" s="664">
        <v>7291.9</v>
      </c>
      <c r="J115" s="665">
        <v>16.899999999999999</v>
      </c>
      <c r="K115" s="653"/>
      <c r="L115" s="632"/>
      <c r="M115" s="632"/>
      <c r="N115" s="632"/>
      <c r="O115" s="632"/>
      <c r="P115" s="657"/>
      <c r="Q115" s="632"/>
      <c r="R115" s="632"/>
      <c r="S115" s="627"/>
      <c r="T115" s="629"/>
      <c r="U115" s="633"/>
      <c r="V115" s="655"/>
      <c r="W115" s="655"/>
      <c r="X115" s="655"/>
      <c r="Y115" s="655"/>
      <c r="Z115" s="655"/>
      <c r="AA115" s="655"/>
      <c r="AB115" s="655"/>
      <c r="AC115" s="631"/>
      <c r="AD115" s="631"/>
      <c r="AE115" s="631"/>
      <c r="AF115" s="631"/>
      <c r="AG115" s="631"/>
      <c r="AH115" s="631"/>
      <c r="AI115" s="631"/>
      <c r="AJ115" s="631"/>
      <c r="AK115" s="631"/>
      <c r="AL115" s="631"/>
      <c r="AM115" s="631"/>
      <c r="AN115" s="631"/>
      <c r="AO115" s="631"/>
      <c r="AP115" s="631"/>
      <c r="AQ115" s="631"/>
      <c r="AR115" s="631"/>
      <c r="AS115" s="631"/>
      <c r="AT115" s="631"/>
    </row>
    <row r="116" spans="1:46" s="634" customFormat="1" ht="20.100000000000001" customHeight="1" x14ac:dyDescent="0.25">
      <c r="A116" s="646" t="s">
        <v>320</v>
      </c>
      <c r="B116" s="647">
        <v>29308</v>
      </c>
      <c r="C116" s="647">
        <v>5159</v>
      </c>
      <c r="D116" s="647">
        <v>272259</v>
      </c>
      <c r="E116" s="648">
        <v>306726</v>
      </c>
      <c r="F116" s="647">
        <v>1989</v>
      </c>
      <c r="G116" s="649">
        <v>0</v>
      </c>
      <c r="H116" s="650">
        <v>308715</v>
      </c>
      <c r="I116" s="651">
        <v>7763.3292930105772</v>
      </c>
      <c r="J116" s="652">
        <v>14.568751459989791</v>
      </c>
      <c r="K116" s="653"/>
      <c r="L116" s="653"/>
      <c r="M116" s="653"/>
      <c r="N116" s="653"/>
      <c r="O116" s="653"/>
      <c r="P116" s="653"/>
      <c r="Q116" s="653"/>
      <c r="R116" s="653"/>
      <c r="S116" s="653"/>
      <c r="T116" s="653"/>
      <c r="U116" s="657"/>
      <c r="V116" s="657"/>
      <c r="W116" s="655"/>
      <c r="X116" s="655"/>
      <c r="Y116" s="655"/>
      <c r="Z116" s="655"/>
      <c r="AA116" s="655"/>
      <c r="AB116" s="655"/>
      <c r="AC116" s="631"/>
      <c r="AD116" s="631"/>
      <c r="AE116" s="631"/>
      <c r="AF116" s="631"/>
      <c r="AG116" s="631"/>
      <c r="AH116" s="631"/>
      <c r="AI116" s="631"/>
      <c r="AJ116" s="631"/>
      <c r="AK116" s="631"/>
      <c r="AL116" s="631"/>
      <c r="AM116" s="631"/>
      <c r="AN116" s="631"/>
      <c r="AO116" s="631"/>
      <c r="AP116" s="631"/>
      <c r="AQ116" s="631"/>
      <c r="AR116" s="631"/>
      <c r="AS116" s="631"/>
      <c r="AT116" s="631"/>
    </row>
    <row r="117" spans="1:46" s="634" customFormat="1" ht="20.100000000000001" customHeight="1" x14ac:dyDescent="0.25">
      <c r="A117" s="646" t="s">
        <v>321</v>
      </c>
      <c r="B117" s="647">
        <v>28165</v>
      </c>
      <c r="C117" s="647">
        <v>5215</v>
      </c>
      <c r="D117" s="647">
        <v>258439</v>
      </c>
      <c r="E117" s="648">
        <v>291819</v>
      </c>
      <c r="F117" s="647">
        <v>1998</v>
      </c>
      <c r="G117" s="649">
        <v>0</v>
      </c>
      <c r="H117" s="650">
        <v>293817</v>
      </c>
      <c r="I117" s="651">
        <v>7347.2</v>
      </c>
      <c r="J117" s="652">
        <v>13.865691164082794</v>
      </c>
      <c r="K117" s="653"/>
      <c r="L117" s="653"/>
      <c r="M117" s="653"/>
      <c r="N117" s="653"/>
      <c r="O117" s="653"/>
      <c r="P117" s="653"/>
      <c r="Q117" s="657"/>
      <c r="R117" s="657"/>
      <c r="S117" s="657"/>
      <c r="T117" s="657"/>
      <c r="U117" s="657"/>
      <c r="V117" s="657"/>
      <c r="W117" s="655"/>
      <c r="X117" s="655"/>
      <c r="Y117" s="655"/>
      <c r="Z117" s="655"/>
      <c r="AA117" s="655"/>
      <c r="AB117" s="655"/>
      <c r="AC117" s="631"/>
      <c r="AD117" s="631"/>
      <c r="AE117" s="631"/>
      <c r="AF117" s="631"/>
      <c r="AG117" s="631"/>
      <c r="AH117" s="631"/>
      <c r="AI117" s="631"/>
      <c r="AJ117" s="631"/>
      <c r="AK117" s="631"/>
      <c r="AL117" s="631"/>
      <c r="AM117" s="631"/>
      <c r="AN117" s="631"/>
      <c r="AO117" s="631"/>
      <c r="AP117" s="631"/>
      <c r="AQ117" s="631"/>
      <c r="AR117" s="631"/>
      <c r="AS117" s="631"/>
      <c r="AT117" s="631"/>
    </row>
    <row r="118" spans="1:46" s="667" customFormat="1" ht="16.5" x14ac:dyDescent="0.25">
      <c r="A118" s="646" t="s">
        <v>322</v>
      </c>
      <c r="B118" s="647">
        <v>27403</v>
      </c>
      <c r="C118" s="647">
        <v>5197</v>
      </c>
      <c r="D118" s="647">
        <v>263470</v>
      </c>
      <c r="E118" s="648">
        <v>296070</v>
      </c>
      <c r="F118" s="647">
        <v>2001</v>
      </c>
      <c r="G118" s="649">
        <v>0</v>
      </c>
      <c r="H118" s="650">
        <v>298071</v>
      </c>
      <c r="I118" s="651">
        <v>7328.9959946004565</v>
      </c>
      <c r="J118" s="652">
        <v>14.066444184541137</v>
      </c>
      <c r="K118" s="653"/>
      <c r="L118" s="653"/>
      <c r="M118" s="653"/>
      <c r="N118" s="653"/>
      <c r="O118" s="653"/>
      <c r="P118" s="653"/>
      <c r="Q118" s="657"/>
      <c r="R118" s="657"/>
      <c r="S118" s="657"/>
      <c r="T118" s="657"/>
      <c r="U118" s="657"/>
      <c r="V118" s="657"/>
      <c r="W118" s="655"/>
      <c r="X118" s="655"/>
      <c r="Y118" s="655"/>
      <c r="Z118" s="655"/>
      <c r="AA118" s="655"/>
      <c r="AB118" s="655"/>
      <c r="AC118" s="666"/>
      <c r="AD118" s="666"/>
      <c r="AE118" s="666"/>
      <c r="AF118" s="666"/>
      <c r="AG118" s="666"/>
      <c r="AH118" s="666"/>
      <c r="AI118" s="666"/>
      <c r="AJ118" s="666"/>
      <c r="AK118" s="666"/>
      <c r="AL118" s="666"/>
      <c r="AM118" s="666"/>
      <c r="AN118" s="666"/>
      <c r="AO118" s="666"/>
      <c r="AP118" s="666"/>
      <c r="AQ118" s="666"/>
      <c r="AR118" s="666"/>
      <c r="AS118" s="666"/>
      <c r="AT118" s="666"/>
    </row>
    <row r="119" spans="1:46" s="667" customFormat="1" ht="16.5" x14ac:dyDescent="0.25">
      <c r="A119" s="646" t="s">
        <v>323</v>
      </c>
      <c r="B119" s="647">
        <v>28696</v>
      </c>
      <c r="C119" s="647">
        <v>5252</v>
      </c>
      <c r="D119" s="647">
        <v>266301</v>
      </c>
      <c r="E119" s="648">
        <v>300249</v>
      </c>
      <c r="F119" s="647">
        <v>2020</v>
      </c>
      <c r="G119" s="649">
        <v>0</v>
      </c>
      <c r="H119" s="650">
        <v>302269</v>
      </c>
      <c r="I119" s="651">
        <v>7461.3</v>
      </c>
      <c r="J119" s="652">
        <v>14.264554476004257</v>
      </c>
      <c r="K119" s="653"/>
      <c r="L119" s="653"/>
      <c r="M119" s="653"/>
      <c r="N119" s="653"/>
      <c r="O119" s="653"/>
      <c r="P119" s="653"/>
      <c r="Q119" s="657"/>
      <c r="R119" s="657"/>
      <c r="S119" s="657"/>
      <c r="T119" s="657"/>
      <c r="U119" s="657"/>
      <c r="V119" s="657"/>
      <c r="W119" s="655"/>
      <c r="X119" s="655"/>
      <c r="Y119" s="655"/>
      <c r="Z119" s="655"/>
      <c r="AA119" s="655"/>
      <c r="AB119" s="655"/>
      <c r="AC119" s="666"/>
      <c r="AD119" s="666"/>
      <c r="AE119" s="666"/>
      <c r="AF119" s="666"/>
      <c r="AG119" s="666"/>
      <c r="AH119" s="666"/>
      <c r="AI119" s="666"/>
      <c r="AJ119" s="666"/>
      <c r="AK119" s="666"/>
      <c r="AL119" s="666"/>
      <c r="AM119" s="666"/>
      <c r="AN119" s="666"/>
      <c r="AO119" s="666"/>
      <c r="AP119" s="666"/>
      <c r="AQ119" s="666"/>
      <c r="AR119" s="666"/>
      <c r="AS119" s="666"/>
      <c r="AT119" s="666"/>
    </row>
    <row r="120" spans="1:46" s="667" customFormat="1" ht="16.5" x14ac:dyDescent="0.25">
      <c r="A120" s="646" t="s">
        <v>483</v>
      </c>
      <c r="B120" s="647">
        <v>31057</v>
      </c>
      <c r="C120" s="647">
        <v>5307</v>
      </c>
      <c r="D120" s="647">
        <v>270781</v>
      </c>
      <c r="E120" s="648">
        <v>307145</v>
      </c>
      <c r="F120" s="647">
        <v>2051</v>
      </c>
      <c r="G120" s="649">
        <v>0</v>
      </c>
      <c r="H120" s="650">
        <v>309196</v>
      </c>
      <c r="I120" s="651">
        <v>7587.8</v>
      </c>
      <c r="J120" s="652">
        <v>14.591450614395164</v>
      </c>
      <c r="K120" s="653"/>
      <c r="L120" s="653"/>
      <c r="M120" s="653"/>
      <c r="N120" s="653"/>
      <c r="O120" s="653"/>
      <c r="P120" s="653"/>
      <c r="Q120" s="657"/>
      <c r="R120" s="657"/>
      <c r="S120" s="657"/>
      <c r="T120" s="657"/>
      <c r="U120" s="657"/>
      <c r="V120" s="657"/>
      <c r="W120" s="655"/>
      <c r="X120" s="655"/>
      <c r="Y120" s="655"/>
      <c r="Z120" s="655"/>
      <c r="AA120" s="655"/>
      <c r="AB120" s="655"/>
      <c r="AC120" s="666"/>
      <c r="AD120" s="666"/>
      <c r="AE120" s="666"/>
      <c r="AF120" s="666"/>
      <c r="AG120" s="666"/>
      <c r="AH120" s="666"/>
      <c r="AI120" s="666"/>
      <c r="AJ120" s="666"/>
      <c r="AK120" s="666"/>
      <c r="AL120" s="666"/>
      <c r="AM120" s="666"/>
      <c r="AN120" s="666"/>
      <c r="AO120" s="666"/>
      <c r="AP120" s="666"/>
      <c r="AQ120" s="666"/>
      <c r="AR120" s="666"/>
      <c r="AS120" s="666"/>
      <c r="AT120" s="666"/>
    </row>
    <row r="121" spans="1:46" s="667" customFormat="1" ht="16.5" x14ac:dyDescent="0.25">
      <c r="A121" s="646" t="s">
        <v>484</v>
      </c>
      <c r="B121" s="647">
        <v>29951</v>
      </c>
      <c r="C121" s="647">
        <v>5485</v>
      </c>
      <c r="D121" s="647">
        <v>272359</v>
      </c>
      <c r="E121" s="648">
        <v>307795</v>
      </c>
      <c r="F121" s="647">
        <v>2123</v>
      </c>
      <c r="G121" s="649">
        <v>0</v>
      </c>
      <c r="H121" s="650">
        <v>309918</v>
      </c>
      <c r="I121" s="651">
        <v>7269.5</v>
      </c>
      <c r="J121" s="652">
        <v>14.625522941797827</v>
      </c>
      <c r="K121" s="653"/>
      <c r="L121" s="653"/>
      <c r="M121" s="653"/>
      <c r="N121" s="653"/>
      <c r="O121" s="653"/>
      <c r="P121" s="653"/>
      <c r="Q121" s="657"/>
      <c r="R121" s="657"/>
      <c r="S121" s="657"/>
      <c r="T121" s="657"/>
      <c r="U121" s="657"/>
      <c r="V121" s="657"/>
      <c r="W121" s="655"/>
      <c r="X121" s="655"/>
      <c r="Y121" s="655"/>
      <c r="Z121" s="655"/>
      <c r="AA121" s="655"/>
      <c r="AB121" s="655"/>
      <c r="AC121" s="666"/>
      <c r="AD121" s="666"/>
      <c r="AE121" s="666"/>
      <c r="AF121" s="666"/>
      <c r="AG121" s="666"/>
      <c r="AH121" s="666"/>
      <c r="AI121" s="666"/>
      <c r="AJ121" s="666"/>
      <c r="AK121" s="666"/>
      <c r="AL121" s="666"/>
      <c r="AM121" s="666"/>
      <c r="AN121" s="666"/>
      <c r="AO121" s="666"/>
      <c r="AP121" s="666"/>
      <c r="AQ121" s="666"/>
      <c r="AR121" s="666"/>
      <c r="AS121" s="666"/>
      <c r="AT121" s="666"/>
    </row>
    <row r="122" spans="1:46" s="667" customFormat="1" ht="16.5" x14ac:dyDescent="0.25">
      <c r="A122" s="646" t="s">
        <v>326</v>
      </c>
      <c r="B122" s="647">
        <v>31349</v>
      </c>
      <c r="C122" s="647">
        <v>5519</v>
      </c>
      <c r="D122" s="647">
        <v>272261</v>
      </c>
      <c r="E122" s="648">
        <v>309129</v>
      </c>
      <c r="F122" s="647">
        <v>2138</v>
      </c>
      <c r="G122" s="649">
        <v>0</v>
      </c>
      <c r="H122" s="650">
        <v>311266</v>
      </c>
      <c r="I122" s="651">
        <v>7261</v>
      </c>
      <c r="J122" s="652">
        <v>14.689137204039914</v>
      </c>
      <c r="K122" s="653"/>
      <c r="L122" s="653"/>
      <c r="M122" s="653"/>
      <c r="N122" s="653"/>
      <c r="O122" s="653"/>
      <c r="P122" s="653"/>
      <c r="Q122" s="657"/>
      <c r="R122" s="657"/>
      <c r="S122" s="657"/>
      <c r="T122" s="657"/>
      <c r="U122" s="657"/>
      <c r="V122" s="657"/>
      <c r="W122" s="655"/>
      <c r="X122" s="655"/>
      <c r="Y122" s="655"/>
      <c r="Z122" s="655"/>
      <c r="AA122" s="655"/>
      <c r="AB122" s="655"/>
      <c r="AC122" s="666"/>
      <c r="AD122" s="666"/>
      <c r="AE122" s="666"/>
      <c r="AF122" s="666"/>
      <c r="AG122" s="666"/>
      <c r="AH122" s="666"/>
      <c r="AI122" s="666"/>
      <c r="AJ122" s="666"/>
      <c r="AK122" s="666"/>
      <c r="AL122" s="666"/>
      <c r="AM122" s="666"/>
      <c r="AN122" s="666"/>
      <c r="AO122" s="666"/>
      <c r="AP122" s="666"/>
      <c r="AQ122" s="666"/>
      <c r="AR122" s="666"/>
      <c r="AS122" s="666"/>
      <c r="AT122" s="666"/>
    </row>
    <row r="123" spans="1:46" s="667" customFormat="1" ht="16.5" x14ac:dyDescent="0.25">
      <c r="A123" s="646" t="s">
        <v>327</v>
      </c>
      <c r="B123" s="647">
        <v>31037.62769555</v>
      </c>
      <c r="C123" s="647">
        <v>13766.76</v>
      </c>
      <c r="D123" s="647">
        <v>273349.28169646004</v>
      </c>
      <c r="E123" s="648">
        <v>318154</v>
      </c>
      <c r="F123" s="647">
        <v>2125</v>
      </c>
      <c r="G123" s="649">
        <v>0</v>
      </c>
      <c r="H123" s="650">
        <v>320279</v>
      </c>
      <c r="I123" s="651">
        <v>7493.4</v>
      </c>
      <c r="J123" s="652">
        <v>15.114474997502777</v>
      </c>
      <c r="K123" s="653"/>
      <c r="L123" s="653"/>
      <c r="M123" s="653"/>
      <c r="N123" s="653"/>
      <c r="O123" s="653"/>
      <c r="P123" s="653"/>
      <c r="Q123" s="657"/>
      <c r="R123" s="657"/>
      <c r="S123" s="657"/>
      <c r="T123" s="657"/>
      <c r="U123" s="657"/>
      <c r="V123" s="657"/>
      <c r="W123" s="655"/>
      <c r="X123" s="655"/>
      <c r="Y123" s="655"/>
      <c r="Z123" s="655"/>
      <c r="AA123" s="655"/>
      <c r="AB123" s="655"/>
      <c r="AC123" s="666"/>
      <c r="AD123" s="666"/>
      <c r="AE123" s="666"/>
      <c r="AF123" s="666"/>
      <c r="AG123" s="666"/>
      <c r="AH123" s="666"/>
      <c r="AI123" s="666"/>
      <c r="AJ123" s="666"/>
      <c r="AK123" s="666"/>
      <c r="AL123" s="666"/>
      <c r="AM123" s="666"/>
      <c r="AN123" s="666"/>
      <c r="AO123" s="666"/>
      <c r="AP123" s="666"/>
      <c r="AQ123" s="666"/>
      <c r="AR123" s="666"/>
      <c r="AS123" s="666"/>
      <c r="AT123" s="666"/>
    </row>
    <row r="124" spans="1:46" s="667" customFormat="1" ht="16.5" x14ac:dyDescent="0.25">
      <c r="A124" s="646" t="s">
        <v>328</v>
      </c>
      <c r="B124" s="647">
        <v>29626</v>
      </c>
      <c r="C124" s="647">
        <v>13692</v>
      </c>
      <c r="D124" s="647">
        <v>289968</v>
      </c>
      <c r="E124" s="648">
        <v>333287</v>
      </c>
      <c r="F124" s="647">
        <v>2104</v>
      </c>
      <c r="G124" s="649">
        <v>0</v>
      </c>
      <c r="H124" s="650">
        <v>335390</v>
      </c>
      <c r="I124" s="651">
        <v>7842.1</v>
      </c>
      <c r="J124" s="652">
        <v>15.827606243295801</v>
      </c>
      <c r="K124" s="653"/>
      <c r="L124" s="653"/>
      <c r="M124" s="653"/>
      <c r="N124" s="653"/>
      <c r="O124" s="653"/>
      <c r="P124" s="653"/>
      <c r="Q124" s="657"/>
      <c r="R124" s="657"/>
      <c r="S124" s="657"/>
      <c r="T124" s="657"/>
      <c r="U124" s="657"/>
      <c r="V124" s="657"/>
      <c r="W124" s="655"/>
      <c r="X124" s="655"/>
      <c r="Y124" s="655"/>
      <c r="Z124" s="655"/>
      <c r="AA124" s="655"/>
      <c r="AB124" s="655"/>
      <c r="AC124" s="666"/>
      <c r="AD124" s="666"/>
      <c r="AE124" s="666"/>
      <c r="AF124" s="666"/>
      <c r="AG124" s="666"/>
      <c r="AH124" s="666"/>
      <c r="AI124" s="666"/>
      <c r="AJ124" s="666"/>
      <c r="AK124" s="666"/>
      <c r="AL124" s="666"/>
      <c r="AM124" s="666"/>
      <c r="AN124" s="666"/>
      <c r="AO124" s="666"/>
      <c r="AP124" s="666"/>
      <c r="AQ124" s="666"/>
      <c r="AR124" s="666"/>
      <c r="AS124" s="666"/>
      <c r="AT124" s="666"/>
    </row>
    <row r="125" spans="1:46" s="667" customFormat="1" ht="16.5" x14ac:dyDescent="0.25">
      <c r="A125" s="646" t="s">
        <v>485</v>
      </c>
      <c r="B125" s="647">
        <v>30839</v>
      </c>
      <c r="C125" s="647">
        <v>13776</v>
      </c>
      <c r="D125" s="647">
        <v>282826</v>
      </c>
      <c r="E125" s="648">
        <v>327441</v>
      </c>
      <c r="F125" s="647">
        <v>2126</v>
      </c>
      <c r="G125" s="649">
        <v>0</v>
      </c>
      <c r="H125" s="650">
        <v>329567</v>
      </c>
      <c r="I125" s="651">
        <v>7660.7345418472214</v>
      </c>
      <c r="J125" s="652">
        <v>15.552796562688613</v>
      </c>
      <c r="K125" s="653"/>
      <c r="L125" s="653"/>
      <c r="M125" s="653"/>
      <c r="N125" s="653"/>
      <c r="O125" s="653"/>
      <c r="P125" s="653"/>
      <c r="Q125" s="657"/>
      <c r="R125" s="657"/>
      <c r="S125" s="657"/>
      <c r="T125" s="657"/>
      <c r="U125" s="657"/>
      <c r="V125" s="657"/>
      <c r="W125" s="655"/>
      <c r="X125" s="655"/>
      <c r="Y125" s="655"/>
      <c r="Z125" s="655"/>
      <c r="AA125" s="655"/>
      <c r="AB125" s="655"/>
      <c r="AC125" s="666"/>
      <c r="AD125" s="666"/>
      <c r="AE125" s="666"/>
      <c r="AF125" s="666"/>
      <c r="AG125" s="666"/>
      <c r="AH125" s="666"/>
      <c r="AI125" s="666"/>
      <c r="AJ125" s="666"/>
      <c r="AK125" s="666"/>
      <c r="AL125" s="666"/>
      <c r="AM125" s="666"/>
      <c r="AN125" s="666"/>
      <c r="AO125" s="666"/>
      <c r="AP125" s="666"/>
      <c r="AQ125" s="666"/>
      <c r="AR125" s="666"/>
      <c r="AS125" s="666"/>
      <c r="AT125" s="666"/>
    </row>
    <row r="126" spans="1:46" s="667" customFormat="1" ht="16.5" x14ac:dyDescent="0.25">
      <c r="A126" s="646" t="s">
        <v>486</v>
      </c>
      <c r="B126" s="647">
        <v>31046.56439856</v>
      </c>
      <c r="C126" s="647">
        <v>13700.537023590001</v>
      </c>
      <c r="D126" s="647">
        <v>289198</v>
      </c>
      <c r="E126" s="648">
        <v>333945.10142214998</v>
      </c>
      <c r="F126" s="647">
        <v>2116.8414987536999</v>
      </c>
      <c r="G126" s="649">
        <v>0</v>
      </c>
      <c r="H126" s="650">
        <v>336062</v>
      </c>
      <c r="I126" s="651">
        <v>7764.6773155749988</v>
      </c>
      <c r="J126" s="652">
        <v>15.859297156198828</v>
      </c>
      <c r="K126" s="653"/>
      <c r="L126" s="653"/>
      <c r="M126" s="653"/>
      <c r="N126" s="653"/>
      <c r="O126" s="653"/>
      <c r="P126" s="653"/>
      <c r="Q126" s="657"/>
      <c r="R126" s="657"/>
      <c r="S126" s="657"/>
      <c r="T126" s="657"/>
      <c r="U126" s="657"/>
      <c r="V126" s="657"/>
      <c r="W126" s="655"/>
      <c r="X126" s="655"/>
      <c r="Y126" s="655"/>
      <c r="Z126" s="655"/>
      <c r="AA126" s="655"/>
      <c r="AB126" s="655"/>
      <c r="AC126" s="666"/>
      <c r="AD126" s="666"/>
      <c r="AE126" s="666"/>
      <c r="AF126" s="666"/>
      <c r="AG126" s="666"/>
      <c r="AH126" s="666"/>
      <c r="AI126" s="666"/>
      <c r="AJ126" s="666"/>
      <c r="AK126" s="666"/>
      <c r="AL126" s="666"/>
      <c r="AM126" s="666"/>
      <c r="AN126" s="666"/>
      <c r="AO126" s="666"/>
      <c r="AP126" s="666"/>
      <c r="AQ126" s="666"/>
      <c r="AR126" s="666"/>
      <c r="AS126" s="666"/>
      <c r="AT126" s="666"/>
    </row>
    <row r="127" spans="1:46" s="667" customFormat="1" ht="17.25" thickBot="1" x14ac:dyDescent="0.3">
      <c r="A127" s="646" t="s">
        <v>487</v>
      </c>
      <c r="B127" s="647">
        <v>31636</v>
      </c>
      <c r="C127" s="647">
        <v>13801</v>
      </c>
      <c r="D127" s="647">
        <v>325128</v>
      </c>
      <c r="E127" s="648">
        <v>370565</v>
      </c>
      <c r="F127" s="647">
        <v>2132</v>
      </c>
      <c r="G127" s="649">
        <v>0</v>
      </c>
      <c r="H127" s="650">
        <v>372697</v>
      </c>
      <c r="I127" s="651">
        <v>8561.9691995364064</v>
      </c>
      <c r="J127" s="652">
        <v>17.588152306550214</v>
      </c>
      <c r="K127" s="653"/>
      <c r="L127" s="653"/>
      <c r="M127" s="653"/>
      <c r="N127" s="653"/>
      <c r="O127" s="653"/>
      <c r="P127" s="653"/>
      <c r="Q127" s="657"/>
      <c r="R127" s="657"/>
      <c r="S127" s="657"/>
      <c r="T127" s="657"/>
      <c r="U127" s="657"/>
      <c r="V127" s="657"/>
      <c r="W127" s="655"/>
      <c r="X127" s="655"/>
      <c r="Y127" s="655"/>
      <c r="Z127" s="655"/>
      <c r="AA127" s="655"/>
      <c r="AB127" s="655"/>
      <c r="AC127" s="666"/>
      <c r="AD127" s="666"/>
      <c r="AE127" s="666"/>
      <c r="AF127" s="666"/>
      <c r="AG127" s="666"/>
      <c r="AH127" s="666"/>
      <c r="AI127" s="666"/>
      <c r="AJ127" s="666"/>
      <c r="AK127" s="666"/>
      <c r="AL127" s="666"/>
      <c r="AM127" s="666"/>
      <c r="AN127" s="666"/>
      <c r="AO127" s="666"/>
      <c r="AP127" s="666"/>
      <c r="AQ127" s="666"/>
      <c r="AR127" s="666"/>
      <c r="AS127" s="666"/>
      <c r="AT127" s="666"/>
    </row>
    <row r="128" spans="1:46" s="634" customFormat="1" ht="20.100000000000001" customHeight="1" x14ac:dyDescent="0.25">
      <c r="A128" s="668" t="s">
        <v>488</v>
      </c>
      <c r="B128" s="669">
        <v>31280</v>
      </c>
      <c r="C128" s="669">
        <v>13752</v>
      </c>
      <c r="D128" s="669">
        <v>298271</v>
      </c>
      <c r="E128" s="670">
        <v>343303</v>
      </c>
      <c r="F128" s="669">
        <v>2130</v>
      </c>
      <c r="G128" s="671">
        <v>0</v>
      </c>
      <c r="H128" s="672">
        <v>345433</v>
      </c>
      <c r="I128" s="673">
        <v>7910.3345372668036</v>
      </c>
      <c r="J128" s="674">
        <v>11.668957606103795</v>
      </c>
      <c r="K128" s="653"/>
      <c r="L128" s="653"/>
      <c r="M128" s="653"/>
      <c r="N128" s="653"/>
      <c r="O128" s="653"/>
      <c r="P128" s="653"/>
      <c r="Q128" s="657"/>
      <c r="R128" s="657"/>
      <c r="S128" s="657"/>
      <c r="T128" s="657"/>
      <c r="U128" s="657"/>
      <c r="V128" s="657"/>
      <c r="W128" s="655"/>
      <c r="X128" s="655"/>
      <c r="Y128" s="655"/>
      <c r="Z128" s="655"/>
      <c r="AA128" s="655"/>
      <c r="AB128" s="655"/>
      <c r="AC128" s="631"/>
      <c r="AD128" s="631"/>
      <c r="AE128" s="631"/>
      <c r="AF128" s="631"/>
      <c r="AG128" s="631"/>
      <c r="AH128" s="631"/>
      <c r="AI128" s="631"/>
      <c r="AJ128" s="631"/>
      <c r="AK128" s="631"/>
      <c r="AL128" s="631"/>
      <c r="AM128" s="631"/>
      <c r="AN128" s="631"/>
      <c r="AO128" s="631"/>
      <c r="AP128" s="631"/>
      <c r="AQ128" s="631"/>
      <c r="AR128" s="631"/>
      <c r="AS128" s="631"/>
      <c r="AT128" s="631"/>
    </row>
    <row r="129" spans="1:46" s="634" customFormat="1" ht="17.25" x14ac:dyDescent="0.25">
      <c r="A129" s="646" t="s">
        <v>489</v>
      </c>
      <c r="B129" s="647">
        <v>33453</v>
      </c>
      <c r="C129" s="647">
        <v>13895</v>
      </c>
      <c r="D129" s="647">
        <v>291558</v>
      </c>
      <c r="E129" s="648">
        <f>SUM(B129:D129)</f>
        <v>338906</v>
      </c>
      <c r="F129" s="647">
        <v>2152</v>
      </c>
      <c r="G129" s="649">
        <v>0</v>
      </c>
      <c r="H129" s="650">
        <v>341058</v>
      </c>
      <c r="I129" s="651">
        <v>7750.4805387871829</v>
      </c>
      <c r="J129" s="652">
        <v>11.521144858675912</v>
      </c>
      <c r="K129" s="653"/>
      <c r="L129" s="653"/>
      <c r="M129" s="653"/>
      <c r="N129" s="653"/>
      <c r="O129" s="653"/>
      <c r="P129" s="653"/>
      <c r="Q129" s="657"/>
      <c r="R129" s="657"/>
      <c r="S129" s="657"/>
      <c r="T129" s="657"/>
      <c r="U129" s="657"/>
      <c r="V129" s="657"/>
      <c r="W129" s="655"/>
      <c r="X129" s="655"/>
      <c r="Y129" s="655"/>
      <c r="Z129" s="655"/>
      <c r="AA129" s="655"/>
      <c r="AB129" s="655"/>
      <c r="AC129" s="631"/>
      <c r="AD129" s="631"/>
      <c r="AE129" s="631"/>
      <c r="AF129" s="631"/>
      <c r="AG129" s="631"/>
      <c r="AH129" s="631"/>
      <c r="AI129" s="631"/>
      <c r="AJ129" s="631"/>
      <c r="AK129" s="631"/>
      <c r="AL129" s="631"/>
      <c r="AM129" s="631"/>
      <c r="AN129" s="631"/>
      <c r="AO129" s="631"/>
      <c r="AP129" s="631"/>
      <c r="AQ129" s="631"/>
      <c r="AR129" s="631"/>
      <c r="AS129" s="631"/>
      <c r="AT129" s="631"/>
    </row>
    <row r="130" spans="1:46" s="634" customFormat="1" ht="16.5" x14ac:dyDescent="0.25">
      <c r="A130" s="646" t="s">
        <v>490</v>
      </c>
      <c r="B130" s="647">
        <v>34249</v>
      </c>
      <c r="C130" s="647">
        <v>13940.85827692</v>
      </c>
      <c r="D130" s="647">
        <v>311056</v>
      </c>
      <c r="E130" s="648">
        <v>359245.85827691999</v>
      </c>
      <c r="F130" s="647">
        <v>2463.0282009845</v>
      </c>
      <c r="G130" s="649">
        <v>0</v>
      </c>
      <c r="H130" s="650">
        <v>361709</v>
      </c>
      <c r="I130" s="651">
        <v>8131.2228452589497</v>
      </c>
      <c r="J130" s="652">
        <v>12.218746701783267</v>
      </c>
      <c r="K130" s="653"/>
      <c r="L130" s="653"/>
      <c r="M130" s="653"/>
      <c r="N130" s="653"/>
      <c r="O130" s="653"/>
      <c r="P130" s="653"/>
      <c r="Q130" s="657"/>
      <c r="R130" s="657"/>
      <c r="S130" s="657"/>
      <c r="T130" s="657"/>
      <c r="U130" s="657"/>
      <c r="V130" s="657"/>
      <c r="W130" s="655"/>
      <c r="X130" s="655"/>
      <c r="Y130" s="655"/>
      <c r="Z130" s="655"/>
      <c r="AA130" s="655"/>
      <c r="AB130" s="655"/>
      <c r="AC130" s="631"/>
      <c r="AD130" s="631"/>
      <c r="AE130" s="631"/>
      <c r="AF130" s="631"/>
      <c r="AG130" s="631"/>
      <c r="AH130" s="631"/>
      <c r="AI130" s="631"/>
      <c r="AJ130" s="631"/>
      <c r="AK130" s="631"/>
      <c r="AL130" s="631"/>
      <c r="AM130" s="631"/>
      <c r="AN130" s="631"/>
      <c r="AO130" s="631"/>
      <c r="AP130" s="631"/>
      <c r="AQ130" s="631"/>
      <c r="AR130" s="631"/>
      <c r="AS130" s="631"/>
      <c r="AT130" s="631"/>
    </row>
    <row r="131" spans="1:46" s="634" customFormat="1" ht="16.5" x14ac:dyDescent="0.25">
      <c r="A131" s="646" t="s">
        <v>491</v>
      </c>
      <c r="B131" s="647">
        <v>33094</v>
      </c>
      <c r="C131" s="647">
        <v>13114</v>
      </c>
      <c r="D131" s="647">
        <v>265914</v>
      </c>
      <c r="E131" s="648">
        <v>312122</v>
      </c>
      <c r="F131" s="647">
        <v>2326.0034950613999</v>
      </c>
      <c r="G131" s="649">
        <v>0</v>
      </c>
      <c r="H131" s="650">
        <v>314448.00349506142</v>
      </c>
      <c r="I131" s="651">
        <v>7278.9420742542552</v>
      </c>
      <c r="J131" s="652">
        <v>10.622260226639469</v>
      </c>
      <c r="K131" s="653"/>
      <c r="L131" s="653"/>
      <c r="M131" s="653"/>
      <c r="N131" s="653"/>
      <c r="O131" s="653"/>
      <c r="P131" s="653"/>
      <c r="Q131" s="657"/>
      <c r="R131" s="657"/>
      <c r="S131" s="657"/>
      <c r="T131" s="657"/>
      <c r="U131" s="657"/>
      <c r="V131" s="657"/>
      <c r="W131" s="655"/>
      <c r="X131" s="655"/>
      <c r="Y131" s="655"/>
      <c r="Z131" s="655"/>
      <c r="AA131" s="655"/>
      <c r="AB131" s="655"/>
      <c r="AC131" s="631"/>
      <c r="AD131" s="631"/>
      <c r="AE131" s="631"/>
      <c r="AF131" s="631"/>
      <c r="AG131" s="631"/>
      <c r="AH131" s="631"/>
      <c r="AI131" s="631"/>
      <c r="AJ131" s="631"/>
      <c r="AK131" s="631"/>
      <c r="AL131" s="631"/>
      <c r="AM131" s="631"/>
      <c r="AN131" s="631"/>
      <c r="AO131" s="631"/>
      <c r="AP131" s="631"/>
      <c r="AQ131" s="631"/>
      <c r="AR131" s="631"/>
      <c r="AS131" s="631"/>
      <c r="AT131" s="631"/>
    </row>
    <row r="132" spans="1:46" s="634" customFormat="1" ht="16.5" x14ac:dyDescent="0.25">
      <c r="A132" s="646" t="s">
        <v>492</v>
      </c>
      <c r="B132" s="647">
        <v>32275</v>
      </c>
      <c r="C132" s="647">
        <v>13289.4</v>
      </c>
      <c r="D132" s="647">
        <v>259403.3</v>
      </c>
      <c r="E132" s="648">
        <v>304967.7</v>
      </c>
      <c r="F132" s="647">
        <v>2349.9190344804997</v>
      </c>
      <c r="G132" s="649">
        <v>0</v>
      </c>
      <c r="H132" s="650">
        <v>307318</v>
      </c>
      <c r="I132" s="651">
        <v>7069.7614942778118</v>
      </c>
      <c r="J132" s="652">
        <v>10.381386301043332</v>
      </c>
      <c r="K132" s="653"/>
      <c r="L132" s="653"/>
      <c r="M132" s="653"/>
      <c r="N132" s="653"/>
      <c r="O132" s="653"/>
      <c r="P132" s="653"/>
      <c r="Q132" s="657"/>
      <c r="R132" s="657"/>
      <c r="S132" s="657"/>
      <c r="T132" s="657"/>
      <c r="U132" s="657"/>
      <c r="V132" s="657"/>
      <c r="W132" s="655"/>
      <c r="X132" s="655"/>
      <c r="Y132" s="655"/>
      <c r="Z132" s="655"/>
      <c r="AA132" s="655"/>
      <c r="AB132" s="655"/>
      <c r="AC132" s="631"/>
      <c r="AD132" s="631"/>
      <c r="AE132" s="631"/>
      <c r="AF132" s="631"/>
      <c r="AG132" s="631"/>
      <c r="AH132" s="631"/>
      <c r="AI132" s="631"/>
      <c r="AJ132" s="631"/>
      <c r="AK132" s="631"/>
      <c r="AL132" s="631"/>
      <c r="AM132" s="631"/>
      <c r="AN132" s="631"/>
      <c r="AO132" s="631"/>
      <c r="AP132" s="631"/>
      <c r="AQ132" s="631"/>
      <c r="AR132" s="631"/>
      <c r="AS132" s="631"/>
      <c r="AT132" s="631"/>
    </row>
    <row r="133" spans="1:46" s="634" customFormat="1" ht="16.5" x14ac:dyDescent="0.25">
      <c r="A133" s="646" t="s">
        <v>493</v>
      </c>
      <c r="B133" s="647">
        <v>32873</v>
      </c>
      <c r="C133" s="647">
        <v>13691.3</v>
      </c>
      <c r="D133" s="647">
        <v>296994</v>
      </c>
      <c r="E133" s="647">
        <v>343559</v>
      </c>
      <c r="F133" s="647">
        <v>2408.9008186851001</v>
      </c>
      <c r="G133" s="649">
        <v>0</v>
      </c>
      <c r="H133" s="650">
        <v>345968</v>
      </c>
      <c r="I133" s="651">
        <v>7637.9299461807905</v>
      </c>
      <c r="J133" s="652">
        <v>11.687011336521273</v>
      </c>
      <c r="K133" s="653"/>
      <c r="L133" s="653"/>
      <c r="M133" s="653"/>
      <c r="N133" s="653"/>
      <c r="O133" s="653"/>
      <c r="P133" s="653"/>
      <c r="Q133" s="657"/>
      <c r="R133" s="657"/>
      <c r="S133" s="657"/>
      <c r="T133" s="657"/>
      <c r="U133" s="657"/>
      <c r="V133" s="657"/>
      <c r="W133" s="655"/>
      <c r="X133" s="655"/>
      <c r="Y133" s="655"/>
      <c r="Z133" s="655"/>
      <c r="AA133" s="655"/>
      <c r="AB133" s="655"/>
      <c r="AC133" s="631"/>
      <c r="AD133" s="631"/>
      <c r="AE133" s="631"/>
      <c r="AF133" s="631"/>
      <c r="AG133" s="631"/>
      <c r="AH133" s="631"/>
      <c r="AI133" s="631"/>
      <c r="AJ133" s="631"/>
      <c r="AK133" s="631"/>
      <c r="AL133" s="631"/>
      <c r="AM133" s="631"/>
      <c r="AN133" s="631"/>
      <c r="AO133" s="631"/>
      <c r="AP133" s="631"/>
      <c r="AQ133" s="631"/>
      <c r="AR133" s="631"/>
      <c r="AS133" s="631"/>
      <c r="AT133" s="631"/>
    </row>
    <row r="134" spans="1:46" s="634" customFormat="1" ht="16.5" x14ac:dyDescent="0.25">
      <c r="A134" s="646" t="s">
        <v>494</v>
      </c>
      <c r="B134" s="647">
        <v>31845</v>
      </c>
      <c r="C134" s="647">
        <v>13493.3</v>
      </c>
      <c r="D134" s="647">
        <v>268835.3</v>
      </c>
      <c r="E134" s="647">
        <v>314173.59999999998</v>
      </c>
      <c r="F134" s="647">
        <v>2401.4834797180001</v>
      </c>
      <c r="G134" s="649">
        <v>0</v>
      </c>
      <c r="H134" s="650">
        <v>316575</v>
      </c>
      <c r="I134" s="651">
        <v>7013.3398902994741</v>
      </c>
      <c r="J134" s="652">
        <v>10.69411285465803</v>
      </c>
      <c r="K134" s="653"/>
      <c r="L134" s="653"/>
      <c r="M134" s="653"/>
      <c r="N134" s="653"/>
      <c r="O134" s="653"/>
      <c r="P134" s="653"/>
      <c r="Q134" s="657"/>
      <c r="R134" s="657"/>
      <c r="S134" s="657"/>
      <c r="T134" s="657"/>
      <c r="U134" s="657"/>
      <c r="V134" s="657"/>
      <c r="W134" s="655"/>
      <c r="X134" s="655"/>
      <c r="Y134" s="655"/>
      <c r="Z134" s="655"/>
      <c r="AA134" s="655"/>
      <c r="AB134" s="655"/>
      <c r="AC134" s="631"/>
      <c r="AD134" s="631"/>
      <c r="AE134" s="631"/>
      <c r="AF134" s="631"/>
      <c r="AG134" s="631"/>
      <c r="AH134" s="631"/>
      <c r="AI134" s="631"/>
      <c r="AJ134" s="631"/>
      <c r="AK134" s="631"/>
      <c r="AL134" s="631"/>
      <c r="AM134" s="631"/>
      <c r="AN134" s="631"/>
      <c r="AO134" s="631"/>
      <c r="AP134" s="631"/>
      <c r="AQ134" s="631"/>
      <c r="AR134" s="631"/>
      <c r="AS134" s="631"/>
      <c r="AT134" s="631"/>
    </row>
    <row r="135" spans="1:46" s="634" customFormat="1" ht="16.5" x14ac:dyDescent="0.25">
      <c r="A135" s="646" t="s">
        <v>495</v>
      </c>
      <c r="B135" s="647">
        <v>30734</v>
      </c>
      <c r="C135" s="647">
        <v>13257</v>
      </c>
      <c r="D135" s="647">
        <v>270593.3</v>
      </c>
      <c r="E135" s="647">
        <v>314584.3</v>
      </c>
      <c r="F135" s="647">
        <v>2344.4911551123</v>
      </c>
      <c r="G135" s="649">
        <v>0</v>
      </c>
      <c r="H135" s="650">
        <v>316929</v>
      </c>
      <c r="I135" s="651">
        <v>7070.8915973544517</v>
      </c>
      <c r="J135" s="652">
        <v>10.706055174603112</v>
      </c>
      <c r="K135" s="653"/>
      <c r="L135" s="653"/>
      <c r="M135" s="653"/>
      <c r="N135" s="653"/>
      <c r="O135" s="653"/>
      <c r="P135" s="653"/>
      <c r="Q135" s="657"/>
      <c r="R135" s="657"/>
      <c r="S135" s="657"/>
      <c r="T135" s="657"/>
      <c r="U135" s="657"/>
      <c r="V135" s="657"/>
      <c r="W135" s="655"/>
      <c r="X135" s="655"/>
      <c r="Y135" s="655"/>
      <c r="Z135" s="655"/>
      <c r="AA135" s="655"/>
      <c r="AB135" s="655"/>
      <c r="AC135" s="631"/>
      <c r="AD135" s="631"/>
      <c r="AE135" s="631"/>
      <c r="AF135" s="631"/>
      <c r="AG135" s="631"/>
      <c r="AH135" s="631"/>
      <c r="AI135" s="631"/>
      <c r="AJ135" s="631"/>
      <c r="AK135" s="631"/>
      <c r="AL135" s="631"/>
      <c r="AM135" s="631"/>
      <c r="AN135" s="631"/>
      <c r="AO135" s="631"/>
      <c r="AP135" s="631"/>
      <c r="AQ135" s="631"/>
      <c r="AR135" s="631"/>
      <c r="AS135" s="631"/>
      <c r="AT135" s="631"/>
    </row>
    <row r="136" spans="1:46" s="634" customFormat="1" ht="16.5" x14ac:dyDescent="0.25">
      <c r="A136" s="646" t="s">
        <v>496</v>
      </c>
      <c r="B136" s="647">
        <v>29971</v>
      </c>
      <c r="C136" s="647">
        <v>13003</v>
      </c>
      <c r="D136" s="647">
        <v>283827</v>
      </c>
      <c r="E136" s="647">
        <v>326800.40000000002</v>
      </c>
      <c r="F136" s="647">
        <v>2307.8896946524997</v>
      </c>
      <c r="G136" s="649">
        <v>0</v>
      </c>
      <c r="H136" s="650">
        <v>329108</v>
      </c>
      <c r="I136" s="651">
        <v>7336.0799931485371</v>
      </c>
      <c r="J136" s="652">
        <v>11.117490308185301</v>
      </c>
      <c r="K136" s="653"/>
      <c r="L136" s="653"/>
      <c r="M136" s="653"/>
      <c r="N136" s="653"/>
      <c r="O136" s="653"/>
      <c r="P136" s="653"/>
      <c r="Q136" s="657"/>
      <c r="R136" s="657"/>
      <c r="S136" s="657"/>
      <c r="T136" s="657"/>
      <c r="U136" s="657"/>
      <c r="V136" s="657"/>
      <c r="W136" s="655"/>
      <c r="X136" s="655"/>
      <c r="Y136" s="655"/>
      <c r="Z136" s="655"/>
      <c r="AA136" s="655"/>
      <c r="AB136" s="655"/>
      <c r="AC136" s="631"/>
      <c r="AD136" s="631"/>
      <c r="AE136" s="631"/>
      <c r="AF136" s="631"/>
      <c r="AG136" s="631"/>
      <c r="AH136" s="631"/>
      <c r="AI136" s="631"/>
      <c r="AJ136" s="631"/>
      <c r="AK136" s="631"/>
      <c r="AL136" s="631"/>
      <c r="AM136" s="631"/>
      <c r="AN136" s="631"/>
      <c r="AO136" s="631"/>
      <c r="AP136" s="631"/>
      <c r="AQ136" s="631"/>
      <c r="AR136" s="631"/>
      <c r="AS136" s="631"/>
      <c r="AT136" s="631"/>
    </row>
    <row r="137" spans="1:46" s="634" customFormat="1" ht="17.25" x14ac:dyDescent="0.25">
      <c r="A137" s="646" t="s">
        <v>497</v>
      </c>
      <c r="B137" s="647">
        <v>28859</v>
      </c>
      <c r="C137" s="647">
        <v>12878</v>
      </c>
      <c r="D137" s="647">
        <v>242837</v>
      </c>
      <c r="E137" s="647">
        <v>284574</v>
      </c>
      <c r="F137" s="647">
        <v>2273.6195374067001</v>
      </c>
      <c r="G137" s="649">
        <v>0</v>
      </c>
      <c r="H137" s="650">
        <v>286848</v>
      </c>
      <c r="I137" s="651">
        <v>6507.7344913157749</v>
      </c>
      <c r="J137" s="652">
        <v>9.6899078939698757</v>
      </c>
      <c r="K137" s="653"/>
      <c r="L137" s="653"/>
      <c r="M137" s="653"/>
      <c r="N137" s="653"/>
      <c r="O137" s="653"/>
      <c r="P137" s="653"/>
      <c r="Q137" s="657"/>
      <c r="R137" s="657"/>
      <c r="S137" s="657"/>
      <c r="T137" s="657"/>
      <c r="U137" s="657"/>
      <c r="V137" s="657"/>
      <c r="W137" s="655"/>
      <c r="X137" s="655"/>
      <c r="Y137" s="655"/>
      <c r="Z137" s="655"/>
      <c r="AA137" s="655"/>
      <c r="AB137" s="655"/>
      <c r="AC137" s="631"/>
      <c r="AD137" s="631"/>
      <c r="AE137" s="631"/>
      <c r="AF137" s="631"/>
      <c r="AG137" s="631"/>
      <c r="AH137" s="631"/>
      <c r="AI137" s="631"/>
      <c r="AJ137" s="631"/>
      <c r="AK137" s="631"/>
      <c r="AL137" s="631"/>
      <c r="AM137" s="631"/>
      <c r="AN137" s="631"/>
      <c r="AO137" s="631"/>
      <c r="AP137" s="631"/>
      <c r="AQ137" s="631"/>
      <c r="AR137" s="631"/>
      <c r="AS137" s="631"/>
      <c r="AT137" s="631"/>
    </row>
    <row r="138" spans="1:46" s="634" customFormat="1" ht="16.5" x14ac:dyDescent="0.25">
      <c r="A138" s="646" t="s">
        <v>498</v>
      </c>
      <c r="B138" s="647">
        <v>30854</v>
      </c>
      <c r="C138" s="647">
        <v>12636</v>
      </c>
      <c r="D138" s="647">
        <v>248928</v>
      </c>
      <c r="E138" s="647">
        <v>292418</v>
      </c>
      <c r="F138" s="647">
        <v>2330.5638060430001</v>
      </c>
      <c r="G138" s="649">
        <v>0</v>
      </c>
      <c r="H138" s="650">
        <v>294749</v>
      </c>
      <c r="I138" s="651">
        <v>6707.5999402781599</v>
      </c>
      <c r="J138" s="652">
        <v>9.956801661185974</v>
      </c>
      <c r="K138" s="653"/>
      <c r="L138" s="653"/>
      <c r="M138" s="653"/>
      <c r="N138" s="653"/>
      <c r="O138" s="653"/>
      <c r="P138" s="653"/>
      <c r="Q138" s="657"/>
      <c r="R138" s="657"/>
      <c r="S138" s="657"/>
      <c r="T138" s="657"/>
      <c r="U138" s="657"/>
      <c r="V138" s="657"/>
      <c r="W138" s="655"/>
      <c r="X138" s="655"/>
      <c r="Y138" s="655"/>
      <c r="Z138" s="655"/>
      <c r="AA138" s="655"/>
      <c r="AB138" s="655"/>
      <c r="AC138" s="631"/>
      <c r="AD138" s="631"/>
      <c r="AE138" s="631"/>
      <c r="AF138" s="631"/>
      <c r="AG138" s="631"/>
      <c r="AH138" s="631"/>
      <c r="AI138" s="631"/>
      <c r="AJ138" s="631"/>
      <c r="AK138" s="631"/>
      <c r="AL138" s="631"/>
      <c r="AM138" s="631"/>
      <c r="AN138" s="631"/>
      <c r="AO138" s="631"/>
      <c r="AP138" s="631"/>
      <c r="AQ138" s="631"/>
      <c r="AR138" s="631"/>
      <c r="AS138" s="631"/>
      <c r="AT138" s="631"/>
    </row>
    <row r="139" spans="1:46" s="634" customFormat="1" ht="17.25" thickBot="1" x14ac:dyDescent="0.3">
      <c r="A139" s="659" t="s">
        <v>499</v>
      </c>
      <c r="B139" s="660">
        <v>31875</v>
      </c>
      <c r="C139" s="660">
        <v>12798.18</v>
      </c>
      <c r="D139" s="660">
        <v>295122</v>
      </c>
      <c r="E139" s="660">
        <v>339795.18</v>
      </c>
      <c r="F139" s="660">
        <v>2414.7389791199998</v>
      </c>
      <c r="G139" s="662">
        <v>0</v>
      </c>
      <c r="H139" s="663">
        <v>342210</v>
      </c>
      <c r="I139" s="664">
        <v>7796.2608356385035</v>
      </c>
      <c r="J139" s="665">
        <v>11.560069680877623</v>
      </c>
      <c r="K139" s="653"/>
      <c r="L139" s="653"/>
      <c r="M139" s="653"/>
      <c r="N139" s="653"/>
      <c r="O139" s="653"/>
      <c r="P139" s="653"/>
      <c r="Q139" s="657"/>
      <c r="R139" s="657"/>
      <c r="S139" s="657"/>
      <c r="T139" s="657"/>
      <c r="U139" s="657"/>
      <c r="V139" s="657"/>
      <c r="W139" s="655"/>
      <c r="X139" s="655"/>
      <c r="Y139" s="655"/>
      <c r="Z139" s="655"/>
      <c r="AA139" s="655"/>
      <c r="AB139" s="655"/>
      <c r="AC139" s="631"/>
      <c r="AD139" s="631"/>
      <c r="AE139" s="631"/>
      <c r="AF139" s="631"/>
      <c r="AG139" s="631"/>
      <c r="AH139" s="631"/>
      <c r="AI139" s="631"/>
      <c r="AJ139" s="631"/>
      <c r="AK139" s="631"/>
      <c r="AL139" s="631"/>
      <c r="AM139" s="631"/>
      <c r="AN139" s="631"/>
      <c r="AO139" s="631"/>
      <c r="AP139" s="631"/>
      <c r="AQ139" s="631"/>
      <c r="AR139" s="631"/>
      <c r="AS139" s="631"/>
      <c r="AT139" s="631"/>
    </row>
    <row r="140" spans="1:46" s="634" customFormat="1" ht="16.5" x14ac:dyDescent="0.25">
      <c r="A140" s="646" t="s">
        <v>500</v>
      </c>
      <c r="B140" s="647">
        <v>34103</v>
      </c>
      <c r="C140" s="647">
        <v>13289.9</v>
      </c>
      <c r="D140" s="647">
        <v>254325</v>
      </c>
      <c r="E140" s="647">
        <v>301717.90000000002</v>
      </c>
      <c r="F140" s="647">
        <v>2494.7879731125004</v>
      </c>
      <c r="G140" s="649">
        <v>0</v>
      </c>
      <c r="H140" s="650">
        <v>304213</v>
      </c>
      <c r="I140" s="651">
        <v>6797.1005757310695</v>
      </c>
      <c r="J140" s="652">
        <v>10.276513921767149</v>
      </c>
      <c r="K140" s="653"/>
      <c r="L140" s="653"/>
      <c r="M140" s="653"/>
      <c r="N140" s="653"/>
      <c r="O140" s="653"/>
      <c r="P140" s="653"/>
      <c r="Q140" s="657"/>
      <c r="R140" s="657"/>
      <c r="S140" s="657"/>
      <c r="T140" s="657"/>
      <c r="U140" s="657"/>
      <c r="V140" s="657"/>
      <c r="W140" s="655"/>
      <c r="X140" s="655"/>
      <c r="Y140" s="655"/>
      <c r="Z140" s="655"/>
      <c r="AA140" s="655"/>
      <c r="AB140" s="655"/>
      <c r="AC140" s="631"/>
      <c r="AD140" s="631"/>
      <c r="AE140" s="631"/>
      <c r="AF140" s="631"/>
      <c r="AG140" s="631"/>
      <c r="AH140" s="631"/>
      <c r="AI140" s="631"/>
      <c r="AJ140" s="631"/>
      <c r="AK140" s="631"/>
      <c r="AL140" s="631"/>
      <c r="AM140" s="631"/>
      <c r="AN140" s="631"/>
      <c r="AO140" s="631"/>
      <c r="AP140" s="631"/>
      <c r="AQ140" s="631"/>
      <c r="AR140" s="631"/>
      <c r="AS140" s="631"/>
      <c r="AT140" s="631"/>
    </row>
    <row r="141" spans="1:46" s="634" customFormat="1" ht="16.5" x14ac:dyDescent="0.25">
      <c r="A141" s="646" t="s">
        <v>501</v>
      </c>
      <c r="B141" s="647">
        <v>33666</v>
      </c>
      <c r="C141" s="647">
        <v>13486</v>
      </c>
      <c r="D141" s="647">
        <v>256243</v>
      </c>
      <c r="E141" s="647">
        <v>303395</v>
      </c>
      <c r="F141" s="647">
        <v>2554.9</v>
      </c>
      <c r="G141" s="649">
        <v>0</v>
      </c>
      <c r="H141" s="650">
        <v>305950</v>
      </c>
      <c r="I141" s="651">
        <v>6577.7</v>
      </c>
      <c r="J141" s="652">
        <v>10.335187420641041</v>
      </c>
      <c r="K141" s="653"/>
      <c r="L141" s="653"/>
      <c r="M141" s="653"/>
      <c r="N141" s="653"/>
      <c r="O141" s="653"/>
      <c r="P141" s="653"/>
      <c r="Q141" s="657"/>
      <c r="R141" s="657"/>
      <c r="S141" s="657"/>
      <c r="T141" s="657"/>
      <c r="U141" s="657"/>
      <c r="V141" s="657"/>
      <c r="W141" s="655"/>
      <c r="X141" s="655"/>
      <c r="Y141" s="655"/>
      <c r="Z141" s="655"/>
      <c r="AA141" s="655"/>
      <c r="AB141" s="655"/>
      <c r="AC141" s="631"/>
      <c r="AD141" s="631"/>
      <c r="AE141" s="631"/>
      <c r="AF141" s="631"/>
      <c r="AG141" s="631"/>
      <c r="AH141" s="631"/>
      <c r="AI141" s="631"/>
      <c r="AJ141" s="631"/>
      <c r="AK141" s="631"/>
      <c r="AL141" s="631"/>
      <c r="AM141" s="631"/>
      <c r="AN141" s="631"/>
      <c r="AO141" s="631"/>
      <c r="AP141" s="631"/>
      <c r="AQ141" s="631"/>
      <c r="AR141" s="631"/>
      <c r="AS141" s="631"/>
      <c r="AT141" s="631"/>
    </row>
    <row r="142" spans="1:46" s="634" customFormat="1" ht="16.5" x14ac:dyDescent="0.25">
      <c r="A142" s="646" t="s">
        <v>502</v>
      </c>
      <c r="B142" s="647">
        <v>36424</v>
      </c>
      <c r="C142" s="647">
        <v>13593</v>
      </c>
      <c r="D142" s="647">
        <v>254068</v>
      </c>
      <c r="E142" s="647">
        <v>304085</v>
      </c>
      <c r="F142" s="647">
        <v>2562.3738781874999</v>
      </c>
      <c r="G142" s="649">
        <v>0</v>
      </c>
      <c r="H142" s="650">
        <v>306647</v>
      </c>
      <c r="I142" s="651">
        <v>6654.7477385973689</v>
      </c>
      <c r="J142" s="652">
        <v>10.358748711545296</v>
      </c>
      <c r="K142" s="653"/>
      <c r="L142" s="653"/>
      <c r="M142" s="653"/>
      <c r="N142" s="653"/>
      <c r="O142" s="653"/>
      <c r="P142" s="653"/>
      <c r="Q142" s="657"/>
      <c r="R142" s="657"/>
      <c r="S142" s="657"/>
      <c r="T142" s="657"/>
      <c r="U142" s="657"/>
      <c r="V142" s="657"/>
      <c r="W142" s="655"/>
      <c r="X142" s="655"/>
      <c r="Y142" s="655"/>
      <c r="Z142" s="655"/>
      <c r="AA142" s="655"/>
      <c r="AB142" s="655"/>
      <c r="AC142" s="631"/>
      <c r="AD142" s="631"/>
      <c r="AE142" s="631"/>
      <c r="AF142" s="631"/>
      <c r="AG142" s="631"/>
      <c r="AH142" s="631"/>
      <c r="AI142" s="631"/>
      <c r="AJ142" s="631"/>
      <c r="AK142" s="631"/>
      <c r="AL142" s="631"/>
      <c r="AM142" s="631"/>
      <c r="AN142" s="631"/>
      <c r="AO142" s="631"/>
      <c r="AP142" s="631"/>
      <c r="AQ142" s="631"/>
      <c r="AR142" s="631"/>
      <c r="AS142" s="631"/>
      <c r="AT142" s="631"/>
    </row>
    <row r="143" spans="1:46" s="634" customFormat="1" ht="16.5" x14ac:dyDescent="0.25">
      <c r="A143" s="646" t="s">
        <v>503</v>
      </c>
      <c r="B143" s="647">
        <v>35752</v>
      </c>
      <c r="C143" s="647">
        <v>13392</v>
      </c>
      <c r="D143" s="647">
        <v>239285</v>
      </c>
      <c r="E143" s="647">
        <v>288430</v>
      </c>
      <c r="F143" s="647">
        <v>2509.4667222819999</v>
      </c>
      <c r="G143" s="649">
        <v>0</v>
      </c>
      <c r="H143" s="650">
        <v>290939</v>
      </c>
      <c r="I143" s="651">
        <v>6455.5081687659649</v>
      </c>
      <c r="J143" s="652">
        <v>9.8281215209131574</v>
      </c>
      <c r="K143" s="653"/>
      <c r="L143" s="653"/>
      <c r="M143" s="653"/>
      <c r="N143" s="653"/>
      <c r="O143" s="653"/>
      <c r="P143" s="653"/>
      <c r="Q143" s="657"/>
      <c r="R143" s="657"/>
      <c r="S143" s="657"/>
      <c r="T143" s="657"/>
      <c r="U143" s="657"/>
      <c r="V143" s="657"/>
      <c r="W143" s="655"/>
      <c r="X143" s="655"/>
      <c r="Y143" s="655"/>
      <c r="Z143" s="655"/>
      <c r="AA143" s="655"/>
      <c r="AB143" s="655"/>
      <c r="AC143" s="631"/>
      <c r="AD143" s="631"/>
      <c r="AE143" s="631"/>
      <c r="AF143" s="631"/>
      <c r="AG143" s="631"/>
      <c r="AH143" s="631"/>
      <c r="AI143" s="631"/>
      <c r="AJ143" s="631"/>
      <c r="AK143" s="631"/>
      <c r="AL143" s="631"/>
      <c r="AM143" s="631"/>
      <c r="AN143" s="631"/>
      <c r="AO143" s="631"/>
      <c r="AP143" s="631"/>
      <c r="AQ143" s="631"/>
      <c r="AR143" s="631"/>
      <c r="AS143" s="631"/>
      <c r="AT143" s="631"/>
    </row>
    <row r="144" spans="1:46" s="634" customFormat="1" ht="16.5" x14ac:dyDescent="0.25">
      <c r="A144" s="646" t="s">
        <v>504</v>
      </c>
      <c r="B144" s="647">
        <v>35959</v>
      </c>
      <c r="C144" s="647">
        <v>13275</v>
      </c>
      <c r="D144" s="647">
        <v>240096</v>
      </c>
      <c r="E144" s="647">
        <v>289330</v>
      </c>
      <c r="F144" s="647">
        <v>2527.4166389835</v>
      </c>
      <c r="G144" s="649">
        <v>0</v>
      </c>
      <c r="H144" s="650">
        <v>291857</v>
      </c>
      <c r="I144" s="651">
        <v>6359.7964843608434</v>
      </c>
      <c r="J144" s="652">
        <v>9.8591320219845606</v>
      </c>
      <c r="K144" s="653"/>
      <c r="L144" s="653"/>
      <c r="M144" s="653"/>
      <c r="N144" s="653"/>
      <c r="O144" s="653"/>
      <c r="P144" s="653"/>
      <c r="Q144" s="657"/>
      <c r="R144" s="657"/>
      <c r="S144" s="657"/>
      <c r="T144" s="657"/>
      <c r="U144" s="657"/>
      <c r="V144" s="657"/>
      <c r="W144" s="655"/>
      <c r="X144" s="655"/>
      <c r="Y144" s="655"/>
      <c r="Z144" s="655"/>
      <c r="AA144" s="655"/>
      <c r="AB144" s="655"/>
      <c r="AC144" s="631"/>
      <c r="AD144" s="631"/>
      <c r="AE144" s="631"/>
      <c r="AF144" s="631"/>
      <c r="AG144" s="631"/>
      <c r="AH144" s="631"/>
      <c r="AI144" s="631"/>
      <c r="AJ144" s="631"/>
      <c r="AK144" s="631"/>
      <c r="AL144" s="631"/>
      <c r="AM144" s="631"/>
      <c r="AN144" s="631"/>
      <c r="AO144" s="631"/>
      <c r="AP144" s="631"/>
      <c r="AQ144" s="631"/>
      <c r="AR144" s="631"/>
      <c r="AS144" s="631"/>
      <c r="AT144" s="631"/>
    </row>
    <row r="145" spans="1:46" s="634" customFormat="1" ht="16.5" x14ac:dyDescent="0.25">
      <c r="A145" s="646" t="s">
        <v>505</v>
      </c>
      <c r="B145" s="647">
        <v>34919</v>
      </c>
      <c r="C145" s="647">
        <v>13398</v>
      </c>
      <c r="D145" s="647">
        <v>255100</v>
      </c>
      <c r="E145" s="647">
        <v>303417</v>
      </c>
      <c r="F145" s="647">
        <v>2533.3287489510003</v>
      </c>
      <c r="G145" s="649"/>
      <c r="H145" s="650">
        <v>305951</v>
      </c>
      <c r="I145" s="651">
        <v>6664.4131968783495</v>
      </c>
      <c r="J145" s="652">
        <v>10.335206948125121</v>
      </c>
      <c r="K145" s="653"/>
      <c r="L145" s="653"/>
      <c r="M145" s="653"/>
      <c r="N145" s="653"/>
      <c r="O145" s="653"/>
      <c r="P145" s="653"/>
      <c r="Q145" s="657"/>
      <c r="R145" s="657"/>
      <c r="S145" s="657"/>
      <c r="T145" s="657"/>
      <c r="U145" s="657"/>
      <c r="V145" s="657"/>
      <c r="W145" s="655"/>
      <c r="X145" s="655"/>
      <c r="Y145" s="655"/>
      <c r="Z145" s="655"/>
      <c r="AA145" s="655"/>
      <c r="AB145" s="655"/>
      <c r="AC145" s="631"/>
      <c r="AD145" s="631"/>
      <c r="AE145" s="631"/>
      <c r="AF145" s="631"/>
      <c r="AG145" s="631"/>
      <c r="AH145" s="631"/>
      <c r="AI145" s="631"/>
      <c r="AJ145" s="631"/>
      <c r="AK145" s="631"/>
      <c r="AL145" s="631"/>
      <c r="AM145" s="631"/>
      <c r="AN145" s="631"/>
      <c r="AO145" s="631"/>
      <c r="AP145" s="631"/>
      <c r="AQ145" s="631"/>
      <c r="AR145" s="631"/>
      <c r="AS145" s="631"/>
      <c r="AT145" s="631"/>
    </row>
    <row r="146" spans="1:46" s="634" customFormat="1" ht="16.5" x14ac:dyDescent="0.25">
      <c r="A146" s="646" t="s">
        <v>506</v>
      </c>
      <c r="B146" s="647">
        <v>35998</v>
      </c>
      <c r="C146" s="647">
        <v>13947</v>
      </c>
      <c r="D146" s="647">
        <v>253559</v>
      </c>
      <c r="E146" s="647">
        <v>303503.82578508003</v>
      </c>
      <c r="F146" s="647">
        <v>2565.5362645143</v>
      </c>
      <c r="G146" s="649"/>
      <c r="H146" s="650">
        <v>306069</v>
      </c>
      <c r="I146" s="651">
        <v>6647.0058777834947</v>
      </c>
      <c r="J146" s="652">
        <v>10.339220580844493</v>
      </c>
      <c r="K146" s="653"/>
      <c r="L146" s="653"/>
      <c r="M146" s="653"/>
      <c r="N146" s="653"/>
      <c r="O146" s="653"/>
      <c r="P146" s="653"/>
      <c r="Q146" s="657"/>
      <c r="R146" s="657"/>
      <c r="S146" s="657"/>
      <c r="T146" s="657"/>
      <c r="U146" s="657"/>
      <c r="V146" s="657"/>
      <c r="W146" s="655"/>
      <c r="X146" s="655"/>
      <c r="Y146" s="655"/>
      <c r="Z146" s="655"/>
      <c r="AA146" s="655"/>
      <c r="AB146" s="655"/>
      <c r="AC146" s="631"/>
      <c r="AD146" s="631"/>
      <c r="AE146" s="631"/>
      <c r="AF146" s="631"/>
      <c r="AG146" s="631"/>
      <c r="AH146" s="631"/>
      <c r="AI146" s="631"/>
      <c r="AJ146" s="631"/>
      <c r="AK146" s="631"/>
      <c r="AL146" s="631"/>
      <c r="AM146" s="631"/>
      <c r="AN146" s="631"/>
      <c r="AO146" s="631"/>
      <c r="AP146" s="631"/>
      <c r="AQ146" s="631"/>
      <c r="AR146" s="631"/>
      <c r="AS146" s="631"/>
      <c r="AT146" s="631"/>
    </row>
    <row r="147" spans="1:46" s="634" customFormat="1" ht="16.5" x14ac:dyDescent="0.25">
      <c r="A147" s="646" t="s">
        <v>507</v>
      </c>
      <c r="B147" s="647">
        <v>35492</v>
      </c>
      <c r="C147" s="647">
        <v>13623</v>
      </c>
      <c r="D147" s="647">
        <v>259230</v>
      </c>
      <c r="E147" s="647">
        <v>308344.40519382001</v>
      </c>
      <c r="F147" s="647">
        <v>2518.7828840064003</v>
      </c>
      <c r="G147" s="649"/>
      <c r="H147" s="650">
        <v>310863</v>
      </c>
      <c r="I147" s="651">
        <v>6809.8575670403816</v>
      </c>
      <c r="J147" s="652">
        <v>10.501159117913923</v>
      </c>
      <c r="K147" s="653"/>
      <c r="L147" s="653"/>
      <c r="M147" s="653"/>
      <c r="N147" s="653"/>
      <c r="O147" s="653"/>
      <c r="P147" s="653"/>
      <c r="Q147" s="657"/>
      <c r="R147" s="657"/>
      <c r="S147" s="657"/>
      <c r="T147" s="657"/>
      <c r="U147" s="657"/>
      <c r="V147" s="657"/>
      <c r="W147" s="655"/>
      <c r="X147" s="655"/>
      <c r="Y147" s="655"/>
      <c r="Z147" s="655"/>
      <c r="AA147" s="655"/>
      <c r="AB147" s="655"/>
      <c r="AC147" s="631"/>
      <c r="AD147" s="631"/>
      <c r="AE147" s="631"/>
      <c r="AF147" s="631"/>
      <c r="AG147" s="631"/>
      <c r="AH147" s="631"/>
      <c r="AI147" s="631"/>
      <c r="AJ147" s="631"/>
      <c r="AK147" s="631"/>
      <c r="AL147" s="631"/>
      <c r="AM147" s="631"/>
      <c r="AN147" s="631"/>
      <c r="AO147" s="631"/>
      <c r="AP147" s="631"/>
      <c r="AQ147" s="631"/>
      <c r="AR147" s="631"/>
      <c r="AS147" s="631"/>
      <c r="AT147" s="631"/>
    </row>
    <row r="148" spans="1:46" s="634" customFormat="1" ht="18" thickBot="1" x14ac:dyDescent="0.3">
      <c r="A148" s="675" t="s">
        <v>508</v>
      </c>
      <c r="B148" s="676">
        <v>33417</v>
      </c>
      <c r="C148" s="676">
        <v>13180</v>
      </c>
      <c r="D148" s="676">
        <v>244024</v>
      </c>
      <c r="E148" s="676">
        <v>290621</v>
      </c>
      <c r="F148" s="676">
        <v>2435.9179209320996</v>
      </c>
      <c r="G148" s="677"/>
      <c r="H148" s="678">
        <v>293057</v>
      </c>
      <c r="I148" s="679">
        <v>6563.5161791890177</v>
      </c>
      <c r="J148" s="680">
        <v>9.8996565957920168</v>
      </c>
      <c r="K148" s="653"/>
      <c r="L148" s="653"/>
      <c r="M148" s="653"/>
      <c r="N148" s="653"/>
      <c r="O148" s="653"/>
      <c r="P148" s="653"/>
      <c r="Q148" s="657"/>
      <c r="R148" s="657"/>
      <c r="S148" s="657"/>
      <c r="T148" s="657"/>
      <c r="U148" s="657"/>
      <c r="V148" s="657"/>
      <c r="W148" s="655"/>
      <c r="X148" s="655"/>
      <c r="Y148" s="655"/>
      <c r="Z148" s="655"/>
      <c r="AA148" s="655"/>
      <c r="AB148" s="655"/>
      <c r="AC148" s="631"/>
      <c r="AD148" s="631"/>
      <c r="AE148" s="631"/>
      <c r="AF148" s="631"/>
      <c r="AG148" s="631"/>
      <c r="AH148" s="631"/>
      <c r="AI148" s="631"/>
      <c r="AJ148" s="631"/>
      <c r="AK148" s="631"/>
      <c r="AL148" s="631"/>
      <c r="AM148" s="631"/>
      <c r="AN148" s="631"/>
      <c r="AO148" s="631"/>
      <c r="AP148" s="631"/>
      <c r="AQ148" s="631"/>
      <c r="AR148" s="631"/>
      <c r="AS148" s="631"/>
      <c r="AT148" s="631"/>
    </row>
    <row r="149" spans="1:46" s="684" customFormat="1" ht="17.25" customHeight="1" thickTop="1" x14ac:dyDescent="0.25">
      <c r="A149" s="681" t="s">
        <v>509</v>
      </c>
      <c r="B149" s="682"/>
      <c r="C149" s="682"/>
      <c r="D149" s="682"/>
      <c r="E149" s="683" t="s">
        <v>510</v>
      </c>
      <c r="F149" s="683"/>
      <c r="H149" s="683"/>
      <c r="J149" s="682"/>
      <c r="L149" s="685"/>
      <c r="M149" s="685"/>
      <c r="N149" s="686"/>
      <c r="P149" s="687"/>
      <c r="V149" s="688"/>
      <c r="W149" s="688"/>
      <c r="X149" s="688"/>
      <c r="Y149" s="688"/>
      <c r="Z149" s="688"/>
      <c r="AA149" s="688"/>
    </row>
    <row r="150" spans="1:46" s="684" customFormat="1" ht="17.25" customHeight="1" x14ac:dyDescent="0.25">
      <c r="A150" s="681" t="s">
        <v>362</v>
      </c>
      <c r="B150" s="682"/>
      <c r="C150" s="682"/>
      <c r="D150" s="682"/>
      <c r="E150" s="689"/>
      <c r="F150" s="683"/>
      <c r="H150" s="685"/>
      <c r="J150" s="682"/>
      <c r="L150" s="685"/>
      <c r="M150" s="685"/>
      <c r="P150" s="687"/>
      <c r="V150" s="688"/>
      <c r="W150" s="688"/>
      <c r="X150" s="688"/>
      <c r="Y150" s="688"/>
      <c r="Z150" s="688"/>
      <c r="AA150" s="688"/>
    </row>
    <row r="151" spans="1:46" s="684" customFormat="1" ht="30" customHeight="1" x14ac:dyDescent="0.25">
      <c r="A151" s="3518" t="s">
        <v>511</v>
      </c>
      <c r="B151" s="3518"/>
      <c r="C151" s="3518"/>
      <c r="D151" s="3518"/>
      <c r="E151" s="3518"/>
      <c r="F151" s="3518"/>
      <c r="G151" s="3518"/>
      <c r="H151" s="3518"/>
      <c r="I151" s="3518"/>
      <c r="J151" s="3518"/>
      <c r="L151" s="685"/>
      <c r="M151" s="685"/>
      <c r="P151" s="687"/>
      <c r="V151" s="688"/>
      <c r="W151" s="688"/>
      <c r="X151" s="688"/>
      <c r="Y151" s="688"/>
      <c r="Z151" s="688"/>
      <c r="AA151" s="688"/>
    </row>
    <row r="152" spans="1:46" s="631" customFormat="1" ht="17.25" customHeight="1" x14ac:dyDescent="0.25">
      <c r="A152" s="690" t="s">
        <v>290</v>
      </c>
      <c r="B152" s="690"/>
      <c r="C152" s="690"/>
      <c r="D152" s="690"/>
      <c r="E152" s="681"/>
      <c r="F152" s="681"/>
      <c r="G152" s="681"/>
      <c r="H152" s="681"/>
      <c r="I152" s="681"/>
      <c r="J152" s="681"/>
      <c r="L152" s="632"/>
      <c r="Q152" s="633"/>
      <c r="V152" s="655"/>
      <c r="W152" s="655"/>
      <c r="X152" s="655"/>
      <c r="Y152" s="655"/>
      <c r="Z152" s="655"/>
      <c r="AA152" s="655"/>
    </row>
    <row r="153" spans="1:46" s="631" customFormat="1" x14ac:dyDescent="0.25">
      <c r="A153" s="681"/>
      <c r="B153" s="681"/>
      <c r="C153" s="681"/>
      <c r="D153" s="681"/>
      <c r="E153" s="681"/>
      <c r="F153" s="681"/>
      <c r="G153" s="681"/>
      <c r="H153" s="681"/>
      <c r="I153" s="681"/>
      <c r="J153" s="681"/>
      <c r="L153" s="632"/>
      <c r="Q153" s="633"/>
      <c r="V153" s="655"/>
      <c r="W153" s="655"/>
      <c r="X153" s="655"/>
      <c r="Y153" s="655"/>
      <c r="Z153" s="655"/>
      <c r="AA153" s="655"/>
    </row>
    <row r="154" spans="1:46" ht="21.75" customHeight="1" x14ac:dyDescent="0.25">
      <c r="B154" s="691"/>
      <c r="C154" s="691"/>
      <c r="D154" s="691"/>
      <c r="E154" s="691"/>
      <c r="F154" s="691"/>
      <c r="G154" s="691"/>
      <c r="H154" s="691"/>
      <c r="I154" s="691"/>
      <c r="J154" s="691"/>
      <c r="V154" s="655"/>
      <c r="W154" s="655"/>
      <c r="X154" s="655"/>
      <c r="Y154" s="655"/>
      <c r="Z154" s="655"/>
      <c r="AA154" s="655"/>
    </row>
    <row r="155" spans="1:46" x14ac:dyDescent="0.25">
      <c r="B155" s="691"/>
      <c r="C155" s="691"/>
      <c r="D155" s="691"/>
      <c r="E155" s="691"/>
      <c r="F155" s="691"/>
      <c r="G155" s="691"/>
      <c r="H155" s="691"/>
      <c r="I155" s="691"/>
      <c r="J155" s="691"/>
      <c r="V155" s="655"/>
      <c r="W155" s="655"/>
      <c r="X155" s="655"/>
      <c r="Y155" s="655"/>
      <c r="Z155" s="655"/>
      <c r="AA155" s="655"/>
    </row>
    <row r="156" spans="1:46" x14ac:dyDescent="0.25">
      <c r="V156" s="655"/>
      <c r="W156" s="655"/>
      <c r="X156" s="655"/>
      <c r="Y156" s="655"/>
      <c r="Z156" s="655"/>
      <c r="AA156" s="655"/>
    </row>
  </sheetData>
  <mergeCells count="10">
    <mergeCell ref="B7:H7"/>
    <mergeCell ref="A151:J151"/>
    <mergeCell ref="B3:E3"/>
    <mergeCell ref="F3:F6"/>
    <mergeCell ref="G3:G6"/>
    <mergeCell ref="H3:H6"/>
    <mergeCell ref="I3:I6"/>
    <mergeCell ref="J3:J6"/>
    <mergeCell ref="B4:E4"/>
    <mergeCell ref="B5:E5"/>
  </mergeCells>
  <pageMargins left="0.7" right="0.7" top="0.75" bottom="0.75" header="0.3" footer="0.3"/>
  <pageSetup paperSize="9" scale="73"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AF78"/>
  <sheetViews>
    <sheetView showGridLines="0" zoomScale="110" zoomScaleNormal="110" zoomScaleSheetLayoutView="100" workbookViewId="0">
      <pane xSplit="2" ySplit="3" topLeftCell="L31" activePane="bottomRight" state="frozen"/>
      <selection activeCell="A38" sqref="A38"/>
      <selection pane="topRight" activeCell="A38" sqref="A38"/>
      <selection pane="bottomLeft" activeCell="A38" sqref="A38"/>
      <selection pane="bottomRight" sqref="A1:T73"/>
    </sheetView>
  </sheetViews>
  <sheetFormatPr defaultRowHeight="16.5" x14ac:dyDescent="0.25"/>
  <cols>
    <col min="1" max="1" width="8.85546875" style="586" customWidth="1"/>
    <col min="2" max="2" width="41.140625" style="586" customWidth="1"/>
    <col min="3" max="9" width="12.28515625" style="586" hidden="1" customWidth="1"/>
    <col min="10" max="10" width="11.28515625" style="586" hidden="1" customWidth="1"/>
    <col min="11" max="11" width="13.140625" style="586" hidden="1" customWidth="1"/>
    <col min="12" max="16" width="13.140625" style="586" customWidth="1"/>
    <col min="17" max="18" width="13.5703125" style="586" customWidth="1"/>
    <col min="19" max="19" width="15.5703125" style="586" customWidth="1"/>
    <col min="20" max="20" width="13.5703125" style="586" customWidth="1"/>
    <col min="21" max="16384" width="9.140625" style="586"/>
  </cols>
  <sheetData>
    <row r="1" spans="1:32" s="692" customFormat="1" ht="17.25" customHeight="1" x14ac:dyDescent="0.25">
      <c r="A1" s="3528" t="s">
        <v>5602</v>
      </c>
      <c r="B1" s="3528"/>
      <c r="C1" s="3528"/>
      <c r="D1" s="3528"/>
      <c r="E1" s="3528"/>
      <c r="F1" s="3528"/>
      <c r="G1" s="3528"/>
      <c r="H1" s="3528"/>
      <c r="I1" s="3528"/>
      <c r="J1" s="3528"/>
      <c r="K1" s="3528"/>
      <c r="L1" s="3528"/>
      <c r="M1" s="3528"/>
      <c r="N1" s="3528"/>
      <c r="O1" s="3528"/>
      <c r="P1" s="3528"/>
      <c r="Q1" s="3528"/>
      <c r="R1" s="3528"/>
      <c r="S1" s="3528"/>
      <c r="T1" s="3528"/>
    </row>
    <row r="2" spans="1:32" ht="16.5" customHeight="1" thickBot="1" x14ac:dyDescent="0.35">
      <c r="D2" s="693"/>
      <c r="E2" s="693"/>
      <c r="I2" s="693"/>
      <c r="J2" s="693"/>
      <c r="K2" s="693"/>
      <c r="L2" s="693"/>
      <c r="M2" s="693"/>
      <c r="Q2" s="694"/>
      <c r="R2" s="695"/>
      <c r="S2" s="695"/>
      <c r="T2" s="695" t="s">
        <v>281</v>
      </c>
    </row>
    <row r="3" spans="1:32" s="703" customFormat="1" ht="18.75" thickTop="1" thickBot="1" x14ac:dyDescent="0.3">
      <c r="A3" s="696" t="s">
        <v>256</v>
      </c>
      <c r="B3" s="697" t="s">
        <v>232</v>
      </c>
      <c r="C3" s="698" t="s">
        <v>512</v>
      </c>
      <c r="D3" s="698" t="s">
        <v>513</v>
      </c>
      <c r="E3" s="698" t="s">
        <v>514</v>
      </c>
      <c r="F3" s="698" t="s">
        <v>515</v>
      </c>
      <c r="G3" s="698" t="s">
        <v>516</v>
      </c>
      <c r="H3" s="698" t="s">
        <v>517</v>
      </c>
      <c r="I3" s="698" t="s">
        <v>518</v>
      </c>
      <c r="J3" s="698" t="s">
        <v>519</v>
      </c>
      <c r="K3" s="698" t="s">
        <v>520</v>
      </c>
      <c r="L3" s="698" t="s">
        <v>521</v>
      </c>
      <c r="M3" s="698" t="s">
        <v>522</v>
      </c>
      <c r="N3" s="699" t="s">
        <v>523</v>
      </c>
      <c r="O3" s="699" t="s">
        <v>524</v>
      </c>
      <c r="P3" s="700" t="s">
        <v>525</v>
      </c>
      <c r="Q3" s="699" t="s">
        <v>526</v>
      </c>
      <c r="R3" s="699" t="s">
        <v>527</v>
      </c>
      <c r="S3" s="701" t="s">
        <v>528</v>
      </c>
      <c r="T3" s="702" t="s">
        <v>5603</v>
      </c>
    </row>
    <row r="4" spans="1:32" s="713" customFormat="1" ht="41.25" customHeight="1" x14ac:dyDescent="0.25">
      <c r="A4" s="704" t="s">
        <v>231</v>
      </c>
      <c r="B4" s="705" t="s">
        <v>230</v>
      </c>
      <c r="C4" s="706">
        <v>25.5</v>
      </c>
      <c r="D4" s="706">
        <v>18.399999999999999</v>
      </c>
      <c r="E4" s="706">
        <v>447.4</v>
      </c>
      <c r="F4" s="707" t="s">
        <v>529</v>
      </c>
      <c r="G4" s="707" t="s">
        <v>529</v>
      </c>
      <c r="H4" s="708">
        <v>215</v>
      </c>
      <c r="I4" s="708">
        <v>127</v>
      </c>
      <c r="J4" s="708">
        <v>723</v>
      </c>
      <c r="K4" s="708">
        <v>114</v>
      </c>
      <c r="L4" s="708">
        <v>4</v>
      </c>
      <c r="M4" s="708">
        <v>36.700000000000003</v>
      </c>
      <c r="N4" s="708">
        <v>18</v>
      </c>
      <c r="O4" s="709">
        <v>22</v>
      </c>
      <c r="P4" s="708">
        <v>10</v>
      </c>
      <c r="Q4" s="708">
        <v>199</v>
      </c>
      <c r="R4" s="708">
        <v>19.100000000000001</v>
      </c>
      <c r="S4" s="710">
        <v>138.37350000000001</v>
      </c>
      <c r="T4" s="711">
        <v>5.0368569000000001</v>
      </c>
      <c r="U4" s="712"/>
      <c r="V4" s="586"/>
      <c r="W4" s="586"/>
      <c r="X4" s="586"/>
      <c r="Y4" s="586"/>
      <c r="Z4" s="586"/>
      <c r="AA4" s="586"/>
      <c r="AB4" s="586"/>
      <c r="AC4" s="586"/>
      <c r="AD4" s="586"/>
      <c r="AE4" s="586"/>
      <c r="AF4" s="586"/>
    </row>
    <row r="5" spans="1:32" s="713" customFormat="1" ht="22.5" customHeight="1" x14ac:dyDescent="0.25">
      <c r="A5" s="714" t="s">
        <v>227</v>
      </c>
      <c r="B5" s="715" t="s">
        <v>226</v>
      </c>
      <c r="C5" s="716">
        <v>180.9</v>
      </c>
      <c r="D5" s="716">
        <v>270.7</v>
      </c>
      <c r="E5" s="716">
        <v>148.6</v>
      </c>
      <c r="F5" s="716">
        <v>485.4</v>
      </c>
      <c r="G5" s="716">
        <v>63.3</v>
      </c>
      <c r="H5" s="717">
        <v>669</v>
      </c>
      <c r="I5" s="718">
        <v>1597</v>
      </c>
      <c r="J5" s="718">
        <v>1020</v>
      </c>
      <c r="K5" s="718">
        <v>991</v>
      </c>
      <c r="L5" s="718">
        <v>792</v>
      </c>
      <c r="M5" s="718">
        <v>1608.7</v>
      </c>
      <c r="N5" s="717">
        <v>929</v>
      </c>
      <c r="O5" s="719">
        <v>683</v>
      </c>
      <c r="P5" s="717">
        <v>793</v>
      </c>
      <c r="Q5" s="718">
        <v>2580</v>
      </c>
      <c r="R5" s="718">
        <v>996.4</v>
      </c>
      <c r="S5" s="720">
        <v>229.736942</v>
      </c>
      <c r="T5" s="721">
        <v>15.7508803</v>
      </c>
      <c r="U5" s="712"/>
      <c r="V5" s="586"/>
      <c r="W5" s="586"/>
      <c r="X5" s="586"/>
      <c r="Y5" s="586"/>
      <c r="Z5" s="586"/>
      <c r="AA5" s="586"/>
      <c r="AB5" s="586"/>
      <c r="AC5" s="586"/>
      <c r="AD5" s="586"/>
      <c r="AE5" s="586"/>
      <c r="AF5" s="586"/>
    </row>
    <row r="6" spans="1:32" s="713" customFormat="1" ht="37.5" customHeight="1" x14ac:dyDescent="0.25">
      <c r="A6" s="714" t="s">
        <v>225</v>
      </c>
      <c r="B6" s="715" t="s">
        <v>224</v>
      </c>
      <c r="C6" s="716">
        <v>17.2</v>
      </c>
      <c r="D6" s="722" t="s">
        <v>529</v>
      </c>
      <c r="E6" s="722" t="s">
        <v>529</v>
      </c>
      <c r="F6" s="722" t="s">
        <v>529</v>
      </c>
      <c r="G6" s="722">
        <v>2</v>
      </c>
      <c r="H6" s="717">
        <v>18</v>
      </c>
      <c r="I6" s="717">
        <v>8</v>
      </c>
      <c r="J6" s="717">
        <v>831</v>
      </c>
      <c r="K6" s="717">
        <v>979</v>
      </c>
      <c r="L6" s="717">
        <v>134</v>
      </c>
      <c r="M6" s="717">
        <v>90.8</v>
      </c>
      <c r="N6" s="717">
        <v>218</v>
      </c>
      <c r="O6" s="719">
        <v>107</v>
      </c>
      <c r="P6" s="717">
        <v>50</v>
      </c>
      <c r="Q6" s="717">
        <v>3</v>
      </c>
      <c r="R6" s="717">
        <v>97.1</v>
      </c>
      <c r="S6" s="720">
        <v>8</v>
      </c>
      <c r="T6" s="721">
        <v>33.707000000000001</v>
      </c>
      <c r="U6" s="712"/>
      <c r="V6" s="586"/>
      <c r="W6" s="586"/>
      <c r="X6" s="586"/>
      <c r="Y6" s="586"/>
      <c r="Z6" s="586"/>
      <c r="AA6" s="586"/>
      <c r="AB6" s="586"/>
      <c r="AC6" s="586"/>
      <c r="AD6" s="586"/>
      <c r="AE6" s="586"/>
      <c r="AF6" s="586"/>
    </row>
    <row r="7" spans="1:32" s="713" customFormat="1" ht="35.25" customHeight="1" x14ac:dyDescent="0.25">
      <c r="A7" s="714" t="s">
        <v>223</v>
      </c>
      <c r="B7" s="715" t="s">
        <v>530</v>
      </c>
      <c r="C7" s="716"/>
      <c r="D7" s="722"/>
      <c r="E7" s="722"/>
      <c r="F7" s="722"/>
      <c r="G7" s="722"/>
      <c r="H7" s="717"/>
      <c r="I7" s="717">
        <v>0</v>
      </c>
      <c r="J7" s="717">
        <v>0</v>
      </c>
      <c r="K7" s="717">
        <v>0</v>
      </c>
      <c r="L7" s="717">
        <v>0</v>
      </c>
      <c r="M7" s="717">
        <v>0</v>
      </c>
      <c r="N7" s="717">
        <v>0</v>
      </c>
      <c r="O7" s="719">
        <v>0</v>
      </c>
      <c r="P7" s="717">
        <v>23</v>
      </c>
      <c r="Q7" s="717">
        <v>0</v>
      </c>
      <c r="R7" s="717">
        <v>52.6</v>
      </c>
      <c r="S7" s="720">
        <v>78</v>
      </c>
      <c r="T7" s="721">
        <v>27.822297730972224</v>
      </c>
      <c r="U7" s="712"/>
      <c r="V7" s="586"/>
      <c r="W7" s="586"/>
      <c r="X7" s="586"/>
      <c r="Y7" s="586"/>
      <c r="Z7" s="586"/>
      <c r="AA7" s="586"/>
      <c r="AB7" s="586"/>
      <c r="AC7" s="586"/>
      <c r="AD7" s="586"/>
      <c r="AE7" s="586"/>
      <c r="AF7" s="586"/>
    </row>
    <row r="8" spans="1:32" s="713" customFormat="1" ht="22.5" customHeight="1" x14ac:dyDescent="0.25">
      <c r="A8" s="714" t="s">
        <v>221</v>
      </c>
      <c r="B8" s="715" t="s">
        <v>220</v>
      </c>
      <c r="C8" s="716">
        <v>11.5</v>
      </c>
      <c r="D8" s="716">
        <v>44.9</v>
      </c>
      <c r="E8" s="716">
        <v>67.8</v>
      </c>
      <c r="F8" s="716">
        <v>211.2</v>
      </c>
      <c r="G8" s="716">
        <v>1292.3</v>
      </c>
      <c r="H8" s="718">
        <v>2117</v>
      </c>
      <c r="I8" s="718">
        <v>2305</v>
      </c>
      <c r="J8" s="717">
        <v>865</v>
      </c>
      <c r="K8" s="717">
        <v>602</v>
      </c>
      <c r="L8" s="718">
        <v>1246</v>
      </c>
      <c r="M8" s="718">
        <v>700.1</v>
      </c>
      <c r="N8" s="718">
        <v>1234</v>
      </c>
      <c r="O8" s="723">
        <v>257</v>
      </c>
      <c r="P8" s="718">
        <v>279</v>
      </c>
      <c r="Q8" s="717">
        <v>282</v>
      </c>
      <c r="R8" s="717">
        <v>152</v>
      </c>
      <c r="S8" s="720">
        <v>35.339950000000002</v>
      </c>
      <c r="T8" s="721">
        <v>4.9695507399999999</v>
      </c>
      <c r="U8" s="712"/>
      <c r="V8" s="586"/>
      <c r="W8" s="586"/>
      <c r="X8" s="586"/>
      <c r="Y8" s="586"/>
      <c r="Z8" s="586"/>
      <c r="AA8" s="586"/>
      <c r="AB8" s="586"/>
      <c r="AC8" s="586"/>
      <c r="AD8" s="586"/>
      <c r="AE8" s="586"/>
      <c r="AF8" s="586"/>
    </row>
    <row r="9" spans="1:32" s="713" customFormat="1" ht="42" customHeight="1" x14ac:dyDescent="0.25">
      <c r="A9" s="714" t="s">
        <v>219</v>
      </c>
      <c r="B9" s="715" t="s">
        <v>531</v>
      </c>
      <c r="C9" s="716">
        <v>198</v>
      </c>
      <c r="D9" s="716">
        <v>38.299999999999997</v>
      </c>
      <c r="E9" s="716">
        <v>103.3</v>
      </c>
      <c r="F9" s="716">
        <v>290.89999999999998</v>
      </c>
      <c r="G9" s="716">
        <v>125</v>
      </c>
      <c r="H9" s="717">
        <v>600</v>
      </c>
      <c r="I9" s="717">
        <v>746</v>
      </c>
      <c r="J9" s="718">
        <v>1237</v>
      </c>
      <c r="K9" s="718">
        <v>685</v>
      </c>
      <c r="L9" s="718">
        <v>333</v>
      </c>
      <c r="M9" s="718">
        <v>596.9</v>
      </c>
      <c r="N9" s="717">
        <v>506</v>
      </c>
      <c r="O9" s="719">
        <v>947</v>
      </c>
      <c r="P9" s="717">
        <v>516</v>
      </c>
      <c r="Q9" s="717">
        <v>680</v>
      </c>
      <c r="R9" s="718">
        <v>1098</v>
      </c>
      <c r="S9" s="720">
        <v>179.641447</v>
      </c>
      <c r="T9" s="721">
        <v>108.21213219000001</v>
      </c>
      <c r="U9" s="712"/>
      <c r="V9" s="586"/>
      <c r="W9" s="586"/>
      <c r="X9" s="586"/>
      <c r="Y9" s="586"/>
      <c r="Z9" s="586"/>
      <c r="AA9" s="586"/>
      <c r="AB9" s="586"/>
      <c r="AC9" s="586"/>
      <c r="AD9" s="586"/>
      <c r="AE9" s="586"/>
      <c r="AF9" s="586"/>
    </row>
    <row r="10" spans="1:32" s="713" customFormat="1" ht="22.5" customHeight="1" x14ac:dyDescent="0.25">
      <c r="A10" s="714" t="s">
        <v>217</v>
      </c>
      <c r="B10" s="715" t="s">
        <v>216</v>
      </c>
      <c r="C10" s="716">
        <v>13.1</v>
      </c>
      <c r="D10" s="722" t="s">
        <v>529</v>
      </c>
      <c r="E10" s="716">
        <v>14.2</v>
      </c>
      <c r="F10" s="716">
        <v>9.5</v>
      </c>
      <c r="G10" s="722">
        <v>110</v>
      </c>
      <c r="H10" s="717">
        <v>204</v>
      </c>
      <c r="I10" s="717">
        <v>43</v>
      </c>
      <c r="J10" s="717">
        <v>76</v>
      </c>
      <c r="K10" s="717">
        <v>82</v>
      </c>
      <c r="L10" s="717">
        <v>35</v>
      </c>
      <c r="M10" s="717">
        <v>203.7</v>
      </c>
      <c r="N10" s="717">
        <v>101</v>
      </c>
      <c r="O10" s="719">
        <v>91</v>
      </c>
      <c r="P10" s="717">
        <v>242</v>
      </c>
      <c r="Q10" s="717">
        <v>338</v>
      </c>
      <c r="R10" s="717">
        <v>672.9</v>
      </c>
      <c r="S10" s="720">
        <v>344.8</v>
      </c>
      <c r="T10" s="721">
        <v>2.4</v>
      </c>
      <c r="U10" s="712"/>
      <c r="V10" s="586"/>
      <c r="W10" s="586"/>
      <c r="X10" s="586"/>
      <c r="Y10" s="586"/>
      <c r="Z10" s="586"/>
      <c r="AA10" s="586"/>
      <c r="AB10" s="586"/>
      <c r="AC10" s="586"/>
      <c r="AD10" s="586"/>
      <c r="AE10" s="586"/>
      <c r="AF10" s="586"/>
    </row>
    <row r="11" spans="1:32" s="713" customFormat="1" ht="32.25" customHeight="1" x14ac:dyDescent="0.25">
      <c r="A11" s="714" t="s">
        <v>215</v>
      </c>
      <c r="B11" s="715" t="s">
        <v>214</v>
      </c>
      <c r="C11" s="716">
        <v>1381.9</v>
      </c>
      <c r="D11" s="716">
        <v>3188.6</v>
      </c>
      <c r="E11" s="716">
        <v>1347.8</v>
      </c>
      <c r="F11" s="716">
        <v>1849.7</v>
      </c>
      <c r="G11" s="716">
        <v>836.3</v>
      </c>
      <c r="H11" s="717">
        <v>999</v>
      </c>
      <c r="I11" s="718">
        <v>1839</v>
      </c>
      <c r="J11" s="717">
        <v>756</v>
      </c>
      <c r="K11" s="718">
        <v>5986</v>
      </c>
      <c r="L11" s="718">
        <v>1939</v>
      </c>
      <c r="M11" s="718">
        <v>1478.4</v>
      </c>
      <c r="N11" s="718">
        <v>1867</v>
      </c>
      <c r="O11" s="723">
        <v>1211</v>
      </c>
      <c r="P11" s="718">
        <v>1498</v>
      </c>
      <c r="Q11" s="718">
        <v>1017</v>
      </c>
      <c r="R11" s="718">
        <v>2368.1999999999998</v>
      </c>
      <c r="S11" s="724">
        <v>1109.3847310000001</v>
      </c>
      <c r="T11" s="725">
        <v>1622.1226761123578</v>
      </c>
      <c r="U11" s="712"/>
      <c r="V11" s="586"/>
      <c r="W11" s="586"/>
      <c r="X11" s="586"/>
      <c r="Y11" s="586"/>
      <c r="Z11" s="586"/>
      <c r="AA11" s="586"/>
      <c r="AB11" s="586"/>
      <c r="AC11" s="586"/>
      <c r="AD11" s="586"/>
      <c r="AE11" s="586"/>
      <c r="AF11" s="586"/>
    </row>
    <row r="12" spans="1:32" s="713" customFormat="1" ht="22.5" customHeight="1" x14ac:dyDescent="0.25">
      <c r="A12" s="714" t="s">
        <v>213</v>
      </c>
      <c r="B12" s="715" t="s">
        <v>212</v>
      </c>
      <c r="C12" s="716">
        <v>42.7</v>
      </c>
      <c r="D12" s="716">
        <v>18.2</v>
      </c>
      <c r="E12" s="716">
        <v>7.8</v>
      </c>
      <c r="F12" s="722" t="s">
        <v>529</v>
      </c>
      <c r="G12" s="722">
        <v>235.47</v>
      </c>
      <c r="H12" s="717">
        <v>462</v>
      </c>
      <c r="I12" s="717">
        <v>373</v>
      </c>
      <c r="J12" s="717">
        <v>274</v>
      </c>
      <c r="K12" s="717">
        <v>235</v>
      </c>
      <c r="L12" s="717">
        <v>158</v>
      </c>
      <c r="M12" s="717">
        <v>466.9</v>
      </c>
      <c r="N12" s="717">
        <v>482</v>
      </c>
      <c r="O12" s="719">
        <v>773</v>
      </c>
      <c r="P12" s="717">
        <v>741</v>
      </c>
      <c r="Q12" s="717">
        <v>552</v>
      </c>
      <c r="R12" s="717">
        <v>729.8</v>
      </c>
      <c r="S12" s="720">
        <v>220.12232440000002</v>
      </c>
      <c r="T12" s="721">
        <v>669.38230504499995</v>
      </c>
      <c r="U12" s="712"/>
      <c r="V12" s="586"/>
      <c r="W12" s="586"/>
      <c r="X12" s="586"/>
      <c r="Y12" s="586"/>
      <c r="Z12" s="586"/>
      <c r="AA12" s="586"/>
      <c r="AB12" s="586"/>
      <c r="AC12" s="586"/>
      <c r="AD12" s="586"/>
      <c r="AE12" s="586"/>
      <c r="AF12" s="586"/>
    </row>
    <row r="13" spans="1:32" s="713" customFormat="1" ht="22.5" customHeight="1" x14ac:dyDescent="0.25">
      <c r="A13" s="714" t="s">
        <v>211</v>
      </c>
      <c r="B13" s="715" t="s">
        <v>532</v>
      </c>
      <c r="C13" s="716">
        <v>3592.9</v>
      </c>
      <c r="D13" s="716">
        <v>4055.6</v>
      </c>
      <c r="E13" s="716">
        <v>4563.8999999999996</v>
      </c>
      <c r="F13" s="716">
        <v>1371.4</v>
      </c>
      <c r="G13" s="716">
        <f>2160.2+157.809+91.28+1131.944+1104.059</f>
        <v>4645.2920000000004</v>
      </c>
      <c r="H13" s="718">
        <v>1972</v>
      </c>
      <c r="I13" s="718">
        <v>5512</v>
      </c>
      <c r="J13" s="718">
        <v>1386</v>
      </c>
      <c r="K13" s="718">
        <v>1978</v>
      </c>
      <c r="L13" s="718">
        <v>494</v>
      </c>
      <c r="M13" s="718">
        <v>2268.9</v>
      </c>
      <c r="N13" s="718">
        <v>7467</v>
      </c>
      <c r="O13" s="723">
        <v>6045</v>
      </c>
      <c r="P13" s="718">
        <v>1044</v>
      </c>
      <c r="Q13" s="718">
        <v>1719</v>
      </c>
      <c r="R13" s="718">
        <v>2744.1</v>
      </c>
      <c r="S13" s="720">
        <v>657.53805826300004</v>
      </c>
      <c r="T13" s="721">
        <v>63.777784316842109</v>
      </c>
      <c r="U13" s="712"/>
      <c r="V13" s="586"/>
      <c r="W13" s="586"/>
      <c r="X13" s="586"/>
      <c r="Y13" s="586"/>
      <c r="Z13" s="586"/>
      <c r="AA13" s="586"/>
      <c r="AB13" s="586"/>
      <c r="AC13" s="586"/>
      <c r="AD13" s="586"/>
      <c r="AE13" s="586"/>
      <c r="AF13" s="586"/>
    </row>
    <row r="14" spans="1:32" s="713" customFormat="1" ht="22.5" customHeight="1" x14ac:dyDescent="0.25">
      <c r="A14" s="714" t="s">
        <v>209</v>
      </c>
      <c r="B14" s="715" t="s">
        <v>208</v>
      </c>
      <c r="C14" s="716">
        <v>1701.1</v>
      </c>
      <c r="D14" s="716">
        <v>3820</v>
      </c>
      <c r="E14" s="716">
        <v>4524.5</v>
      </c>
      <c r="F14" s="716">
        <v>4304.9799999999996</v>
      </c>
      <c r="G14" s="716">
        <v>3422.2</v>
      </c>
      <c r="H14" s="718">
        <v>5236</v>
      </c>
      <c r="I14" s="718">
        <v>7553</v>
      </c>
      <c r="J14" s="718">
        <v>6124</v>
      </c>
      <c r="K14" s="718">
        <v>6177</v>
      </c>
      <c r="L14" s="718">
        <v>8498</v>
      </c>
      <c r="M14" s="718">
        <v>9975.5</v>
      </c>
      <c r="N14" s="718">
        <v>8800</v>
      </c>
      <c r="O14" s="723">
        <v>9631</v>
      </c>
      <c r="P14" s="718">
        <v>16180</v>
      </c>
      <c r="Q14" s="718">
        <v>9210</v>
      </c>
      <c r="R14" s="718">
        <v>8922.1</v>
      </c>
      <c r="S14" s="724">
        <v>15422.01284289288</v>
      </c>
      <c r="T14" s="725">
        <v>8663.2015618377645</v>
      </c>
      <c r="U14" s="712"/>
      <c r="V14" s="586"/>
      <c r="W14" s="586"/>
      <c r="X14" s="586"/>
      <c r="Y14" s="586"/>
      <c r="Z14" s="586"/>
      <c r="AA14" s="586"/>
      <c r="AB14" s="586"/>
      <c r="AC14" s="586"/>
      <c r="AD14" s="586"/>
      <c r="AE14" s="586"/>
      <c r="AF14" s="586"/>
    </row>
    <row r="15" spans="1:32" s="735" customFormat="1" ht="22.5" customHeight="1" x14ac:dyDescent="0.25">
      <c r="A15" s="726"/>
      <c r="B15" s="727" t="s">
        <v>533</v>
      </c>
      <c r="C15" s="728">
        <v>1227.8</v>
      </c>
      <c r="D15" s="728">
        <v>2790.5</v>
      </c>
      <c r="E15" s="728">
        <v>2636.8</v>
      </c>
      <c r="F15" s="729">
        <v>2073.69</v>
      </c>
      <c r="G15" s="729">
        <v>2033</v>
      </c>
      <c r="H15" s="730">
        <v>3352</v>
      </c>
      <c r="I15" s="730">
        <v>4228</v>
      </c>
      <c r="J15" s="730">
        <v>4598</v>
      </c>
      <c r="K15" s="730">
        <v>4038</v>
      </c>
      <c r="L15" s="730">
        <v>6842</v>
      </c>
      <c r="M15" s="730">
        <v>7935.9</v>
      </c>
      <c r="N15" s="730">
        <v>5775</v>
      </c>
      <c r="O15" s="731">
        <v>8064</v>
      </c>
      <c r="P15" s="730">
        <v>14030</v>
      </c>
      <c r="Q15" s="730">
        <v>6308</v>
      </c>
      <c r="R15" s="730">
        <v>5921.7</v>
      </c>
      <c r="S15" s="732">
        <v>11360.809227092879</v>
      </c>
      <c r="T15" s="733">
        <v>5914.948233184763</v>
      </c>
      <c r="U15" s="712"/>
      <c r="V15" s="734"/>
      <c r="W15" s="734"/>
      <c r="X15" s="734"/>
      <c r="Y15" s="734"/>
      <c r="Z15" s="734"/>
      <c r="AA15" s="734"/>
      <c r="AB15" s="734"/>
      <c r="AC15" s="734"/>
      <c r="AD15" s="734"/>
      <c r="AE15" s="734"/>
      <c r="AF15" s="734"/>
    </row>
    <row r="16" spans="1:32" s="737" customFormat="1" ht="36.75" customHeight="1" x14ac:dyDescent="0.25">
      <c r="A16" s="714" t="s">
        <v>207</v>
      </c>
      <c r="B16" s="715" t="s">
        <v>206</v>
      </c>
      <c r="C16" s="722" t="s">
        <v>529</v>
      </c>
      <c r="D16" s="722" t="s">
        <v>529</v>
      </c>
      <c r="E16" s="722" t="s">
        <v>529</v>
      </c>
      <c r="F16" s="722" t="s">
        <v>529</v>
      </c>
      <c r="G16" s="716">
        <v>404.2</v>
      </c>
      <c r="H16" s="717">
        <v>266</v>
      </c>
      <c r="I16" s="717">
        <v>52</v>
      </c>
      <c r="J16" s="717">
        <v>33</v>
      </c>
      <c r="K16" s="717">
        <v>18</v>
      </c>
      <c r="L16" s="717">
        <v>19</v>
      </c>
      <c r="M16" s="717">
        <v>62.6</v>
      </c>
      <c r="N16" s="717">
        <v>103</v>
      </c>
      <c r="O16" s="719">
        <v>24</v>
      </c>
      <c r="P16" s="717">
        <v>38</v>
      </c>
      <c r="Q16" s="717">
        <v>24</v>
      </c>
      <c r="R16" s="717">
        <v>158.80000000000001</v>
      </c>
      <c r="S16" s="720">
        <v>103.367223</v>
      </c>
      <c r="T16" s="721">
        <v>104.09312711999999</v>
      </c>
      <c r="U16" s="712"/>
      <c r="V16" s="736"/>
      <c r="W16" s="736"/>
      <c r="X16" s="736"/>
      <c r="Y16" s="736"/>
      <c r="Z16" s="736"/>
      <c r="AA16" s="736"/>
      <c r="AB16" s="736"/>
      <c r="AC16" s="736"/>
      <c r="AD16" s="736"/>
      <c r="AE16" s="736"/>
      <c r="AF16" s="736"/>
    </row>
    <row r="17" spans="1:32" s="737" customFormat="1" ht="30" customHeight="1" x14ac:dyDescent="0.25">
      <c r="A17" s="714" t="s">
        <v>205</v>
      </c>
      <c r="B17" s="715" t="s">
        <v>204</v>
      </c>
      <c r="C17" s="722"/>
      <c r="D17" s="722" t="s">
        <v>529</v>
      </c>
      <c r="E17" s="722" t="s">
        <v>529</v>
      </c>
      <c r="F17" s="722" t="s">
        <v>529</v>
      </c>
      <c r="G17" s="722" t="s">
        <v>529</v>
      </c>
      <c r="H17" s="717">
        <v>38</v>
      </c>
      <c r="I17" s="717">
        <v>8</v>
      </c>
      <c r="J17" s="717">
        <v>217</v>
      </c>
      <c r="K17" s="717">
        <v>4</v>
      </c>
      <c r="L17" s="717">
        <v>23</v>
      </c>
      <c r="M17" s="717">
        <v>31.5</v>
      </c>
      <c r="N17" s="717">
        <v>56</v>
      </c>
      <c r="O17" s="719">
        <v>65</v>
      </c>
      <c r="P17" s="717">
        <v>23</v>
      </c>
      <c r="Q17" s="717">
        <v>42</v>
      </c>
      <c r="R17" s="717">
        <v>51.1</v>
      </c>
      <c r="S17" s="720">
        <v>316.38833999999997</v>
      </c>
      <c r="T17" s="721">
        <v>368.71096463999999</v>
      </c>
      <c r="U17" s="712"/>
      <c r="V17" s="736"/>
      <c r="W17" s="736"/>
      <c r="X17" s="736"/>
      <c r="Y17" s="736"/>
      <c r="Z17" s="736"/>
      <c r="AA17" s="736"/>
      <c r="AB17" s="736"/>
      <c r="AC17" s="736"/>
      <c r="AD17" s="736"/>
      <c r="AE17" s="736"/>
      <c r="AF17" s="736"/>
    </row>
    <row r="18" spans="1:32" s="737" customFormat="1" ht="22.5" customHeight="1" x14ac:dyDescent="0.25">
      <c r="A18" s="714" t="s">
        <v>201</v>
      </c>
      <c r="B18" s="715" t="s">
        <v>200</v>
      </c>
      <c r="C18" s="716">
        <v>54.6</v>
      </c>
      <c r="D18" s="716">
        <v>30.033999999999999</v>
      </c>
      <c r="E18" s="716">
        <v>74.054000000000002</v>
      </c>
      <c r="F18" s="716">
        <v>125</v>
      </c>
      <c r="G18" s="722">
        <v>18</v>
      </c>
      <c r="H18" s="717">
        <v>4</v>
      </c>
      <c r="I18" s="717">
        <v>0</v>
      </c>
      <c r="J18" s="717">
        <v>32</v>
      </c>
      <c r="K18" s="717">
        <v>32</v>
      </c>
      <c r="L18" s="717">
        <v>32</v>
      </c>
      <c r="M18" s="717">
        <v>14.9</v>
      </c>
      <c r="N18" s="717">
        <v>279</v>
      </c>
      <c r="O18" s="719">
        <v>46</v>
      </c>
      <c r="P18" s="717">
        <v>489</v>
      </c>
      <c r="Q18" s="717">
        <v>116</v>
      </c>
      <c r="R18" s="717">
        <v>130.19999999999999</v>
      </c>
      <c r="S18" s="724">
        <v>4531.8905488199998</v>
      </c>
      <c r="T18" s="725">
        <v>5.7192132999999998</v>
      </c>
      <c r="U18" s="712"/>
      <c r="V18" s="736"/>
      <c r="W18" s="736"/>
      <c r="X18" s="736"/>
      <c r="Y18" s="736"/>
      <c r="Z18" s="736"/>
      <c r="AA18" s="736"/>
      <c r="AB18" s="736"/>
      <c r="AC18" s="736"/>
      <c r="AD18" s="736"/>
      <c r="AE18" s="736"/>
      <c r="AF18" s="736"/>
    </row>
    <row r="19" spans="1:32" s="737" customFormat="1" ht="22.5" customHeight="1" x14ac:dyDescent="0.25">
      <c r="A19" s="714" t="s">
        <v>199</v>
      </c>
      <c r="B19" s="715" t="s">
        <v>198</v>
      </c>
      <c r="C19" s="716">
        <v>2.2000000000000002</v>
      </c>
      <c r="D19" s="716">
        <v>28.952000000000002</v>
      </c>
      <c r="E19" s="716">
        <v>119.7</v>
      </c>
      <c r="F19" s="716">
        <v>145.1</v>
      </c>
      <c r="G19" s="716">
        <v>2732.2</v>
      </c>
      <c r="H19" s="717">
        <v>91</v>
      </c>
      <c r="I19" s="717">
        <v>210</v>
      </c>
      <c r="J19" s="717">
        <v>184</v>
      </c>
      <c r="K19" s="717">
        <v>592</v>
      </c>
      <c r="L19" s="717">
        <v>18</v>
      </c>
      <c r="M19" s="717">
        <v>614.70000000000005</v>
      </c>
      <c r="N19" s="717">
        <v>126</v>
      </c>
      <c r="O19" s="719">
        <v>74</v>
      </c>
      <c r="P19" s="717">
        <v>48</v>
      </c>
      <c r="Q19" s="717">
        <v>143</v>
      </c>
      <c r="R19" s="717">
        <v>232.3</v>
      </c>
      <c r="S19" s="720">
        <v>645.59254639260007</v>
      </c>
      <c r="T19" s="721">
        <v>11.1188795</v>
      </c>
      <c r="U19" s="712"/>
      <c r="V19" s="736"/>
      <c r="W19" s="736"/>
      <c r="X19" s="736"/>
      <c r="Y19" s="736"/>
      <c r="Z19" s="736"/>
      <c r="AA19" s="736"/>
      <c r="AB19" s="736"/>
      <c r="AC19" s="736"/>
      <c r="AD19" s="736"/>
      <c r="AE19" s="736"/>
      <c r="AF19" s="736"/>
    </row>
    <row r="20" spans="1:32" s="737" customFormat="1" ht="22.5" customHeight="1" x14ac:dyDescent="0.25">
      <c r="A20" s="714" t="s">
        <v>197</v>
      </c>
      <c r="B20" s="715" t="s">
        <v>196</v>
      </c>
      <c r="C20" s="722" t="s">
        <v>529</v>
      </c>
      <c r="D20" s="722" t="s">
        <v>529</v>
      </c>
      <c r="E20" s="722" t="s">
        <v>529</v>
      </c>
      <c r="F20" s="722" t="s">
        <v>529</v>
      </c>
      <c r="G20" s="716">
        <v>61.8</v>
      </c>
      <c r="H20" s="717">
        <v>3</v>
      </c>
      <c r="I20" s="717">
        <v>0</v>
      </c>
      <c r="J20" s="717">
        <v>8</v>
      </c>
      <c r="K20" s="717">
        <v>0</v>
      </c>
      <c r="L20" s="717">
        <v>0</v>
      </c>
      <c r="M20" s="717">
        <v>0</v>
      </c>
      <c r="N20" s="717">
        <v>52</v>
      </c>
      <c r="O20" s="719">
        <v>35</v>
      </c>
      <c r="P20" s="717">
        <v>55</v>
      </c>
      <c r="Q20" s="717">
        <v>19</v>
      </c>
      <c r="R20" s="717">
        <v>13.3</v>
      </c>
      <c r="S20" s="720">
        <v>303.99454400000002</v>
      </c>
      <c r="T20" s="721">
        <v>5.05389</v>
      </c>
      <c r="U20" s="712"/>
      <c r="V20" s="736"/>
      <c r="W20" s="736"/>
      <c r="X20" s="736"/>
      <c r="Y20" s="736"/>
      <c r="Z20" s="736"/>
      <c r="AA20" s="736"/>
      <c r="AB20" s="736"/>
      <c r="AC20" s="736"/>
      <c r="AD20" s="736"/>
      <c r="AE20" s="736"/>
      <c r="AF20" s="736"/>
    </row>
    <row r="21" spans="1:32" s="737" customFormat="1" ht="22.5" customHeight="1" x14ac:dyDescent="0.25">
      <c r="A21" s="714" t="s">
        <v>195</v>
      </c>
      <c r="B21" s="715" t="s">
        <v>194</v>
      </c>
      <c r="C21" s="722"/>
      <c r="D21" s="722"/>
      <c r="E21" s="722"/>
      <c r="F21" s="722"/>
      <c r="G21" s="716"/>
      <c r="H21" s="717">
        <v>0</v>
      </c>
      <c r="I21" s="717">
        <v>0</v>
      </c>
      <c r="J21" s="717">
        <v>0</v>
      </c>
      <c r="K21" s="717">
        <v>22</v>
      </c>
      <c r="L21" s="717">
        <v>1</v>
      </c>
      <c r="M21" s="717">
        <v>10.6</v>
      </c>
      <c r="N21" s="717">
        <v>104</v>
      </c>
      <c r="O21" s="719">
        <v>34</v>
      </c>
      <c r="P21" s="717">
        <v>260</v>
      </c>
      <c r="Q21" s="717">
        <v>20</v>
      </c>
      <c r="R21" s="717">
        <v>31.1</v>
      </c>
      <c r="S21" s="720">
        <v>3.7914500000000002</v>
      </c>
      <c r="T21" s="721">
        <v>2.1701627499999998</v>
      </c>
      <c r="U21" s="712"/>
      <c r="V21" s="736"/>
      <c r="W21" s="736"/>
      <c r="X21" s="736"/>
      <c r="Y21" s="736"/>
      <c r="Z21" s="736"/>
      <c r="AA21" s="736"/>
      <c r="AB21" s="736"/>
      <c r="AC21" s="736"/>
      <c r="AD21" s="736"/>
      <c r="AE21" s="736"/>
      <c r="AF21" s="736"/>
    </row>
    <row r="22" spans="1:32" s="737" customFormat="1" ht="22.5" customHeight="1" thickBot="1" x14ac:dyDescent="0.3">
      <c r="A22" s="738"/>
      <c r="B22" s="739" t="s">
        <v>534</v>
      </c>
      <c r="C22" s="740"/>
      <c r="D22" s="740"/>
      <c r="E22" s="740"/>
      <c r="F22" s="740"/>
      <c r="G22" s="741"/>
      <c r="H22" s="742"/>
      <c r="I22" s="717">
        <v>0</v>
      </c>
      <c r="J22" s="717">
        <v>0</v>
      </c>
      <c r="K22" s="717">
        <v>0</v>
      </c>
      <c r="L22" s="717">
        <v>0</v>
      </c>
      <c r="M22" s="717">
        <v>0</v>
      </c>
      <c r="N22" s="717">
        <v>0</v>
      </c>
      <c r="O22" s="743">
        <v>0</v>
      </c>
      <c r="P22" s="742">
        <v>0</v>
      </c>
      <c r="Q22" s="742">
        <v>0</v>
      </c>
      <c r="R22" s="742">
        <v>0</v>
      </c>
      <c r="S22" s="724">
        <v>3330</v>
      </c>
      <c r="T22" s="725">
        <v>1800</v>
      </c>
      <c r="U22" s="712"/>
      <c r="V22" s="736"/>
      <c r="W22" s="736"/>
      <c r="X22" s="736"/>
      <c r="Y22" s="736"/>
      <c r="Z22" s="736"/>
      <c r="AA22" s="736"/>
      <c r="AB22" s="736"/>
      <c r="AC22" s="736"/>
      <c r="AD22" s="736"/>
      <c r="AE22" s="736"/>
      <c r="AF22" s="736"/>
    </row>
    <row r="23" spans="1:32" s="737" customFormat="1" ht="21" customHeight="1" thickBot="1" x14ac:dyDescent="0.3">
      <c r="A23" s="3529" t="s">
        <v>176</v>
      </c>
      <c r="B23" s="3530"/>
      <c r="C23" s="744">
        <f>SUM(C4:C19)-C15</f>
        <v>7221.6000000000013</v>
      </c>
      <c r="D23" s="744">
        <f>SUM(D4:D19)-D15</f>
        <v>11513.685999999998</v>
      </c>
      <c r="E23" s="744">
        <f>SUM(E4:E19)-E15</f>
        <v>11419.054</v>
      </c>
      <c r="F23" s="744">
        <f>SUM(F4:F19)-F15</f>
        <v>8793.18</v>
      </c>
      <c r="G23" s="744">
        <f t="shared" ref="G23:O23" si="0">SUM(G4:G22)-G15</f>
        <v>13948.062000000002</v>
      </c>
      <c r="H23" s="744">
        <f t="shared" si="0"/>
        <v>12894</v>
      </c>
      <c r="I23" s="745">
        <f t="shared" si="0"/>
        <v>20373</v>
      </c>
      <c r="J23" s="745">
        <f t="shared" si="0"/>
        <v>13766</v>
      </c>
      <c r="K23" s="745">
        <f t="shared" si="0"/>
        <v>18497</v>
      </c>
      <c r="L23" s="745">
        <f t="shared" si="0"/>
        <v>13726</v>
      </c>
      <c r="M23" s="745">
        <f t="shared" si="0"/>
        <v>18160.900000000001</v>
      </c>
      <c r="N23" s="745">
        <f t="shared" si="0"/>
        <v>22342</v>
      </c>
      <c r="O23" s="746">
        <f t="shared" si="0"/>
        <v>20045</v>
      </c>
      <c r="P23" s="744">
        <f>SUM(P4:P22)-P15</f>
        <v>22289</v>
      </c>
      <c r="Q23" s="745">
        <f>SUM(Q4:Q22)-Q15</f>
        <v>16944</v>
      </c>
      <c r="R23" s="745">
        <f>SUM(R4:R22)-R15</f>
        <v>18469.099999999995</v>
      </c>
      <c r="S23" s="747">
        <f>SUM(S4:S22)-S15</f>
        <v>27657.974447768484</v>
      </c>
      <c r="T23" s="748">
        <f>SUM(T4:T22)-T15</f>
        <v>13513.249282482933</v>
      </c>
      <c r="U23" s="736"/>
      <c r="V23" s="736"/>
      <c r="W23" s="736"/>
      <c r="X23" s="736"/>
      <c r="Y23" s="736"/>
      <c r="Z23" s="736"/>
      <c r="AA23" s="736"/>
      <c r="AB23" s="736"/>
      <c r="AC23" s="736"/>
      <c r="AD23" s="736"/>
      <c r="AE23" s="736"/>
      <c r="AF23" s="736"/>
    </row>
    <row r="24" spans="1:32" s="750" customFormat="1" ht="15" thickTop="1" x14ac:dyDescent="0.25">
      <c r="A24" s="3531" t="s">
        <v>535</v>
      </c>
      <c r="B24" s="3531"/>
      <c r="C24" s="3531"/>
      <c r="D24" s="3531"/>
      <c r="E24" s="3531"/>
      <c r="F24" s="3531"/>
      <c r="G24" s="3531"/>
      <c r="H24" s="3531"/>
      <c r="I24" s="3531"/>
      <c r="J24" s="3531"/>
      <c r="K24" s="3531"/>
      <c r="L24" s="3531"/>
      <c r="M24" s="3531"/>
      <c r="N24" s="3531"/>
      <c r="O24" s="3531"/>
      <c r="P24" s="749"/>
      <c r="Q24" s="290"/>
      <c r="R24" s="290"/>
      <c r="S24" s="290"/>
      <c r="T24" s="290"/>
      <c r="U24" s="290"/>
      <c r="V24" s="290"/>
      <c r="W24" s="290"/>
      <c r="X24" s="290"/>
      <c r="Y24" s="290"/>
      <c r="Z24" s="290"/>
      <c r="AA24" s="290"/>
      <c r="AB24" s="290"/>
      <c r="AC24" s="290"/>
      <c r="AD24" s="290"/>
      <c r="AE24" s="290"/>
      <c r="AF24" s="290"/>
    </row>
    <row r="25" spans="1:32" s="750" customFormat="1" ht="30" customHeight="1" x14ac:dyDescent="0.25">
      <c r="A25" s="3532" t="s">
        <v>536</v>
      </c>
      <c r="B25" s="3532"/>
      <c r="C25" s="3532"/>
      <c r="D25" s="3532"/>
      <c r="E25" s="3532"/>
      <c r="F25" s="3532"/>
      <c r="G25" s="3532"/>
      <c r="H25" s="3532"/>
      <c r="I25" s="3532"/>
      <c r="J25" s="3532"/>
      <c r="K25" s="3532"/>
      <c r="L25" s="3532"/>
      <c r="M25" s="3532"/>
      <c r="N25" s="3532"/>
      <c r="O25" s="3532"/>
      <c r="P25" s="3532"/>
      <c r="Q25" s="3532"/>
      <c r="R25" s="3532"/>
      <c r="S25" s="3532"/>
      <c r="T25" s="3532"/>
      <c r="U25" s="290"/>
      <c r="V25" s="290"/>
      <c r="W25" s="290"/>
      <c r="X25" s="290"/>
      <c r="Y25" s="290"/>
      <c r="Z25" s="290"/>
      <c r="AA25" s="290"/>
      <c r="AB25" s="290"/>
      <c r="AC25" s="290"/>
      <c r="AD25" s="290"/>
      <c r="AE25" s="290"/>
      <c r="AF25" s="290"/>
    </row>
    <row r="26" spans="1:32" s="751" customFormat="1" ht="14.25" customHeight="1" x14ac:dyDescent="0.25">
      <c r="A26" s="3533" t="s">
        <v>537</v>
      </c>
      <c r="B26" s="3533"/>
      <c r="C26" s="3533"/>
      <c r="D26" s="3533"/>
      <c r="E26" s="3533"/>
      <c r="F26" s="3533"/>
      <c r="G26" s="3533"/>
      <c r="H26" s="3533"/>
      <c r="I26" s="3533"/>
      <c r="J26" s="3533"/>
      <c r="K26" s="3533"/>
      <c r="L26" s="3533"/>
      <c r="M26" s="3533"/>
      <c r="N26" s="3533"/>
      <c r="O26" s="3533"/>
      <c r="P26" s="3533"/>
      <c r="Q26" s="3533"/>
      <c r="R26" s="3533"/>
      <c r="S26" s="3533"/>
      <c r="T26" s="3533"/>
    </row>
    <row r="27" spans="1:32" s="751" customFormat="1" ht="15.75" customHeight="1" x14ac:dyDescent="0.25">
      <c r="A27" s="3527" t="s">
        <v>538</v>
      </c>
      <c r="B27" s="3527"/>
      <c r="C27" s="3527"/>
      <c r="D27" s="3527"/>
      <c r="E27" s="3527"/>
      <c r="F27" s="3527"/>
      <c r="G27" s="3527"/>
      <c r="H27" s="3527"/>
      <c r="I27" s="3527"/>
      <c r="J27" s="3527"/>
      <c r="K27" s="3527"/>
      <c r="L27" s="3527"/>
      <c r="M27" s="3527"/>
      <c r="N27" s="3527"/>
      <c r="O27" s="3527"/>
      <c r="P27" s="3527"/>
      <c r="Q27" s="3527"/>
    </row>
    <row r="28" spans="1:32" s="751" customFormat="1" ht="15.75" customHeight="1" x14ac:dyDescent="0.25">
      <c r="A28" s="3536" t="s">
        <v>539</v>
      </c>
      <c r="B28" s="3536"/>
      <c r="C28" s="3536"/>
      <c r="D28" s="3536"/>
      <c r="E28" s="3536"/>
      <c r="F28" s="3536"/>
      <c r="G28" s="3536"/>
      <c r="H28" s="3536"/>
      <c r="I28" s="3536"/>
      <c r="J28" s="3536"/>
      <c r="K28" s="3536"/>
      <c r="L28" s="3536"/>
      <c r="M28" s="3536"/>
      <c r="N28" s="3536"/>
      <c r="O28" s="3536"/>
      <c r="P28" s="3536"/>
      <c r="Q28" s="3536"/>
    </row>
    <row r="29" spans="1:32" s="752" customFormat="1" ht="18.75" customHeight="1" x14ac:dyDescent="0.25">
      <c r="A29" s="3537" t="s">
        <v>5604</v>
      </c>
      <c r="B29" s="3537"/>
      <c r="C29" s="3537"/>
      <c r="D29" s="3537"/>
      <c r="E29" s="3537"/>
      <c r="F29" s="3537"/>
      <c r="G29" s="3537"/>
      <c r="H29" s="3537"/>
      <c r="I29" s="3537"/>
      <c r="J29" s="3537"/>
      <c r="K29" s="3537"/>
      <c r="L29" s="3537"/>
      <c r="M29" s="3537"/>
      <c r="N29" s="3537"/>
      <c r="O29" s="3537"/>
      <c r="P29" s="3537"/>
      <c r="Q29" s="3537"/>
      <c r="R29" s="3537"/>
    </row>
    <row r="30" spans="1:32" s="751" customFormat="1" ht="9.75" customHeight="1" x14ac:dyDescent="0.25">
      <c r="A30" s="3222"/>
      <c r="B30" s="3222"/>
      <c r="C30" s="3222"/>
      <c r="D30" s="3222"/>
      <c r="E30" s="3222"/>
      <c r="F30" s="3222"/>
      <c r="G30" s="3222"/>
      <c r="H30" s="3222"/>
      <c r="I30" s="3222"/>
      <c r="J30" s="3222"/>
      <c r="K30" s="3222"/>
      <c r="L30" s="3222"/>
      <c r="M30" s="3222"/>
      <c r="N30" s="3222"/>
      <c r="O30" s="3222"/>
      <c r="P30" s="3222"/>
      <c r="Q30" s="3222"/>
    </row>
    <row r="31" spans="1:32" s="753" customFormat="1" ht="17.25" customHeight="1" x14ac:dyDescent="0.3">
      <c r="A31" s="3528" t="s">
        <v>5605</v>
      </c>
      <c r="B31" s="3528"/>
      <c r="C31" s="3528"/>
      <c r="D31" s="3528"/>
      <c r="E31" s="3528"/>
      <c r="F31" s="3528"/>
      <c r="G31" s="3528"/>
      <c r="H31" s="3528"/>
      <c r="I31" s="3528"/>
      <c r="J31" s="3528"/>
      <c r="K31" s="3528"/>
      <c r="L31" s="3528"/>
      <c r="M31" s="3528"/>
      <c r="N31" s="3528"/>
      <c r="O31" s="3528"/>
      <c r="P31" s="3528"/>
      <c r="Q31" s="3528"/>
      <c r="R31" s="3528"/>
      <c r="S31" s="3528"/>
      <c r="T31" s="3528"/>
    </row>
    <row r="32" spans="1:32" s="755" customFormat="1" ht="17.25" thickBot="1" x14ac:dyDescent="0.35">
      <c r="A32" s="586"/>
      <c r="B32" s="586"/>
      <c r="C32" s="754"/>
      <c r="D32" s="754"/>
      <c r="E32" s="754"/>
      <c r="F32" s="754"/>
      <c r="G32" s="754"/>
      <c r="H32" s="754"/>
      <c r="I32" s="754"/>
      <c r="J32" s="754"/>
      <c r="K32" s="754"/>
      <c r="L32" s="754"/>
      <c r="M32" s="754"/>
      <c r="N32" s="754"/>
      <c r="O32" s="754"/>
      <c r="P32" s="754"/>
      <c r="Q32" s="754"/>
      <c r="R32" s="693"/>
      <c r="S32" s="695"/>
      <c r="T32" s="695" t="s">
        <v>281</v>
      </c>
    </row>
    <row r="33" spans="1:32" s="758" customFormat="1" ht="22.5" customHeight="1" thickTop="1" thickBot="1" x14ac:dyDescent="0.3">
      <c r="A33" s="3538" t="s">
        <v>540</v>
      </c>
      <c r="B33" s="3539"/>
      <c r="C33" s="756" t="s">
        <v>512</v>
      </c>
      <c r="D33" s="756" t="s">
        <v>513</v>
      </c>
      <c r="E33" s="756" t="s">
        <v>514</v>
      </c>
      <c r="F33" s="756" t="s">
        <v>515</v>
      </c>
      <c r="G33" s="756" t="s">
        <v>516</v>
      </c>
      <c r="H33" s="756" t="s">
        <v>517</v>
      </c>
      <c r="I33" s="756" t="s">
        <v>518</v>
      </c>
      <c r="J33" s="756" t="s">
        <v>519</v>
      </c>
      <c r="K33" s="756" t="s">
        <v>520</v>
      </c>
      <c r="L33" s="756" t="s">
        <v>521</v>
      </c>
      <c r="M33" s="756" t="s">
        <v>522</v>
      </c>
      <c r="N33" s="756" t="s">
        <v>541</v>
      </c>
      <c r="O33" s="757" t="s">
        <v>524</v>
      </c>
      <c r="P33" s="756" t="s">
        <v>525</v>
      </c>
      <c r="Q33" s="756" t="s">
        <v>526</v>
      </c>
      <c r="R33" s="756" t="s">
        <v>527</v>
      </c>
      <c r="S33" s="701" t="s">
        <v>542</v>
      </c>
      <c r="T33" s="702" t="s">
        <v>5603</v>
      </c>
      <c r="X33" s="759"/>
    </row>
    <row r="34" spans="1:32" s="767" customFormat="1" ht="17.25" customHeight="1" x14ac:dyDescent="0.25">
      <c r="A34" s="760" t="s">
        <v>543</v>
      </c>
      <c r="B34" s="761"/>
      <c r="C34" s="762">
        <f>C35+C47+C66</f>
        <v>7222</v>
      </c>
      <c r="D34" s="762">
        <f t="shared" ref="D34:T34" si="1">D35+D47+D66</f>
        <v>11514</v>
      </c>
      <c r="E34" s="762">
        <f t="shared" si="1"/>
        <v>11418</v>
      </c>
      <c r="F34" s="762">
        <f t="shared" si="1"/>
        <v>8792</v>
      </c>
      <c r="G34" s="762">
        <f t="shared" si="1"/>
        <v>13948</v>
      </c>
      <c r="H34" s="762">
        <f t="shared" si="1"/>
        <v>12894</v>
      </c>
      <c r="I34" s="762">
        <f t="shared" si="1"/>
        <v>20373</v>
      </c>
      <c r="J34" s="762">
        <f t="shared" si="1"/>
        <v>13766</v>
      </c>
      <c r="K34" s="762">
        <f t="shared" si="1"/>
        <v>18497</v>
      </c>
      <c r="L34" s="762">
        <f t="shared" si="1"/>
        <v>13726</v>
      </c>
      <c r="M34" s="762">
        <f t="shared" si="1"/>
        <v>18161</v>
      </c>
      <c r="N34" s="762">
        <f t="shared" si="1"/>
        <v>22342</v>
      </c>
      <c r="O34" s="763">
        <f t="shared" si="1"/>
        <v>20045</v>
      </c>
      <c r="P34" s="762">
        <f t="shared" si="1"/>
        <v>22289</v>
      </c>
      <c r="Q34" s="762">
        <f t="shared" si="1"/>
        <v>16944</v>
      </c>
      <c r="R34" s="764">
        <f t="shared" si="1"/>
        <v>18468.55</v>
      </c>
      <c r="S34" s="765">
        <f t="shared" si="1"/>
        <v>27657.674447768484</v>
      </c>
      <c r="T34" s="766">
        <f t="shared" si="1"/>
        <v>13513.249282482926</v>
      </c>
      <c r="U34" s="586"/>
      <c r="V34" s="586"/>
      <c r="W34" s="586"/>
      <c r="X34" s="759"/>
      <c r="Y34" s="586"/>
      <c r="Z34" s="586"/>
      <c r="AA34" s="586"/>
      <c r="AB34" s="586"/>
      <c r="AC34" s="586"/>
      <c r="AD34" s="586"/>
      <c r="AE34" s="586"/>
      <c r="AF34" s="586"/>
    </row>
    <row r="35" spans="1:32" s="767" customFormat="1" ht="17.25" customHeight="1" x14ac:dyDescent="0.25">
      <c r="A35" s="768" t="s">
        <v>544</v>
      </c>
      <c r="B35" s="3221"/>
      <c r="C35" s="762">
        <f>C36+C45</f>
        <v>5527</v>
      </c>
      <c r="D35" s="762">
        <f t="shared" ref="D35:T35" si="2">D36+D45</f>
        <v>8333</v>
      </c>
      <c r="E35" s="762">
        <f t="shared" si="2"/>
        <v>5855</v>
      </c>
      <c r="F35" s="762">
        <f t="shared" si="2"/>
        <v>6247</v>
      </c>
      <c r="G35" s="762">
        <f t="shared" si="2"/>
        <v>7994</v>
      </c>
      <c r="H35" s="762">
        <f t="shared" si="2"/>
        <v>7637</v>
      </c>
      <c r="I35" s="762">
        <f t="shared" si="2"/>
        <v>10493</v>
      </c>
      <c r="J35" s="762">
        <f>J36+J45</f>
        <v>7430</v>
      </c>
      <c r="K35" s="762">
        <f t="shared" si="2"/>
        <v>11837</v>
      </c>
      <c r="L35" s="762">
        <f t="shared" si="2"/>
        <v>8510</v>
      </c>
      <c r="M35" s="762">
        <f t="shared" si="2"/>
        <v>9340</v>
      </c>
      <c r="N35" s="762">
        <f t="shared" si="2"/>
        <v>15553</v>
      </c>
      <c r="O35" s="763">
        <f t="shared" si="2"/>
        <v>12367</v>
      </c>
      <c r="P35" s="762">
        <f t="shared" si="2"/>
        <v>13211</v>
      </c>
      <c r="Q35" s="762">
        <f t="shared" si="2"/>
        <v>11334</v>
      </c>
      <c r="R35" s="762">
        <f t="shared" si="2"/>
        <v>9086</v>
      </c>
      <c r="S35" s="769">
        <f t="shared" si="2"/>
        <v>14722.349356172259</v>
      </c>
      <c r="T35" s="770">
        <f t="shared" si="2"/>
        <v>7630.5923975278492</v>
      </c>
      <c r="U35" s="586"/>
      <c r="V35" s="586"/>
      <c r="W35" s="586"/>
      <c r="X35" s="759"/>
      <c r="Y35" s="586"/>
      <c r="Z35" s="586"/>
      <c r="AA35" s="586"/>
      <c r="AB35" s="586"/>
      <c r="AC35" s="586"/>
      <c r="AD35" s="586"/>
      <c r="AE35" s="586"/>
      <c r="AF35" s="586"/>
    </row>
    <row r="36" spans="1:32" s="767" customFormat="1" ht="17.25" customHeight="1" x14ac:dyDescent="0.25">
      <c r="A36" s="3534" t="s">
        <v>545</v>
      </c>
      <c r="B36" s="3535"/>
      <c r="C36" s="771">
        <f t="shared" ref="C36:O36" si="3">C37+C43+C44</f>
        <v>5360</v>
      </c>
      <c r="D36" s="771">
        <f t="shared" si="3"/>
        <v>5953</v>
      </c>
      <c r="E36" s="771">
        <f t="shared" si="3"/>
        <v>4792</v>
      </c>
      <c r="F36" s="771">
        <f t="shared" si="3"/>
        <v>5560</v>
      </c>
      <c r="G36" s="771">
        <f t="shared" si="3"/>
        <v>7864</v>
      </c>
      <c r="H36" s="771">
        <f t="shared" si="3"/>
        <v>7382</v>
      </c>
      <c r="I36" s="771">
        <f t="shared" si="3"/>
        <v>10311</v>
      </c>
      <c r="J36" s="771">
        <f t="shared" si="3"/>
        <v>7207</v>
      </c>
      <c r="K36" s="771">
        <f t="shared" si="3"/>
        <v>9710</v>
      </c>
      <c r="L36" s="771">
        <f t="shared" si="3"/>
        <v>8384</v>
      </c>
      <c r="M36" s="771">
        <f t="shared" si="3"/>
        <v>8948</v>
      </c>
      <c r="N36" s="771">
        <f t="shared" si="3"/>
        <v>15382</v>
      </c>
      <c r="O36" s="772">
        <f t="shared" si="3"/>
        <v>12149</v>
      </c>
      <c r="P36" s="771">
        <v>12934</v>
      </c>
      <c r="Q36" s="771">
        <f>Q37+Q43+Q44+Q42</f>
        <v>10394</v>
      </c>
      <c r="R36" s="771">
        <f>R37+R43+R44+R42</f>
        <v>8506</v>
      </c>
      <c r="S36" s="773">
        <v>9771.3194444259207</v>
      </c>
      <c r="T36" s="774">
        <v>7226.013763711193</v>
      </c>
      <c r="U36" s="586"/>
      <c r="V36" s="586"/>
      <c r="W36" s="586"/>
      <c r="X36" s="759"/>
      <c r="Y36" s="586"/>
      <c r="Z36" s="586"/>
      <c r="AA36" s="586"/>
      <c r="AB36" s="586"/>
      <c r="AC36" s="586"/>
      <c r="AD36" s="586"/>
      <c r="AE36" s="586"/>
      <c r="AF36" s="586"/>
    </row>
    <row r="37" spans="1:32" s="767" customFormat="1" ht="17.25" customHeight="1" x14ac:dyDescent="0.25">
      <c r="A37" s="3534" t="s">
        <v>546</v>
      </c>
      <c r="B37" s="3535"/>
      <c r="C37" s="771">
        <v>4681</v>
      </c>
      <c r="D37" s="771">
        <v>4597</v>
      </c>
      <c r="E37" s="771">
        <v>3790</v>
      </c>
      <c r="F37" s="771">
        <v>4679</v>
      </c>
      <c r="G37" s="771">
        <v>7169</v>
      </c>
      <c r="H37" s="771">
        <v>7317</v>
      </c>
      <c r="I37" s="771">
        <v>9884</v>
      </c>
      <c r="J37" s="771">
        <v>6318</v>
      </c>
      <c r="K37" s="771">
        <v>9012</v>
      </c>
      <c r="L37" s="771">
        <v>7496</v>
      </c>
      <c r="M37" s="771">
        <v>8027</v>
      </c>
      <c r="N37" s="771">
        <v>14787</v>
      </c>
      <c r="O37" s="772">
        <v>7877</v>
      </c>
      <c r="P37" s="771">
        <v>11697</v>
      </c>
      <c r="Q37" s="771">
        <v>8321</v>
      </c>
      <c r="R37" s="771">
        <v>6605</v>
      </c>
      <c r="S37" s="773">
        <v>7410.5136679793632</v>
      </c>
      <c r="T37" s="774">
        <v>5376.1552448313914</v>
      </c>
      <c r="U37" s="754"/>
      <c r="V37" s="586"/>
      <c r="W37" s="586"/>
      <c r="X37" s="759"/>
      <c r="Y37" s="586"/>
      <c r="Z37" s="586"/>
      <c r="AA37" s="586"/>
      <c r="AB37" s="586"/>
      <c r="AC37" s="586"/>
      <c r="AD37" s="586"/>
      <c r="AE37" s="586"/>
      <c r="AF37" s="586"/>
    </row>
    <row r="38" spans="1:32" s="767" customFormat="1" ht="17.25" customHeight="1" x14ac:dyDescent="0.25">
      <c r="A38" s="3220" t="s">
        <v>547</v>
      </c>
      <c r="B38" s="3221"/>
      <c r="C38" s="771">
        <v>57</v>
      </c>
      <c r="D38" s="771">
        <v>378</v>
      </c>
      <c r="E38" s="771">
        <v>76</v>
      </c>
      <c r="F38" s="771">
        <v>38</v>
      </c>
      <c r="G38" s="771">
        <v>92</v>
      </c>
      <c r="H38" s="771">
        <v>93</v>
      </c>
      <c r="I38" s="771">
        <v>598</v>
      </c>
      <c r="J38" s="771">
        <v>204</v>
      </c>
      <c r="K38" s="771">
        <v>77</v>
      </c>
      <c r="L38" s="771">
        <v>135</v>
      </c>
      <c r="M38" s="771">
        <v>436</v>
      </c>
      <c r="N38" s="771">
        <v>318</v>
      </c>
      <c r="O38" s="772">
        <v>252</v>
      </c>
      <c r="P38" s="771">
        <v>320</v>
      </c>
      <c r="Q38" s="771">
        <v>58</v>
      </c>
      <c r="R38" s="771">
        <v>200</v>
      </c>
      <c r="S38" s="773">
        <v>202.71834382790558</v>
      </c>
      <c r="T38" s="774">
        <v>468.17193884062857</v>
      </c>
      <c r="U38" s="754"/>
      <c r="V38" s="586"/>
      <c r="W38" s="586"/>
      <c r="X38" s="759"/>
      <c r="Y38" s="586"/>
      <c r="Z38" s="586"/>
      <c r="AA38" s="586"/>
      <c r="AB38" s="586"/>
      <c r="AC38" s="586"/>
      <c r="AD38" s="586"/>
      <c r="AE38" s="586"/>
      <c r="AF38" s="586"/>
    </row>
    <row r="39" spans="1:32" s="767" customFormat="1" ht="17.25" customHeight="1" x14ac:dyDescent="0.25">
      <c r="A39" s="3534" t="s">
        <v>548</v>
      </c>
      <c r="B39" s="3535"/>
      <c r="C39" s="771">
        <v>34</v>
      </c>
      <c r="D39" s="771">
        <v>69</v>
      </c>
      <c r="E39" s="716">
        <v>209</v>
      </c>
      <c r="F39" s="716">
        <v>65</v>
      </c>
      <c r="G39" s="716">
        <v>256</v>
      </c>
      <c r="H39" s="716">
        <v>185</v>
      </c>
      <c r="I39" s="716">
        <v>365</v>
      </c>
      <c r="J39" s="716">
        <v>322</v>
      </c>
      <c r="K39" s="716">
        <v>764</v>
      </c>
      <c r="L39" s="716">
        <v>855</v>
      </c>
      <c r="M39" s="716">
        <v>223</v>
      </c>
      <c r="N39" s="716">
        <v>3329</v>
      </c>
      <c r="O39" s="719">
        <v>34</v>
      </c>
      <c r="P39" s="717">
        <v>221</v>
      </c>
      <c r="Q39" s="717">
        <v>398</v>
      </c>
      <c r="R39" s="771">
        <v>94</v>
      </c>
      <c r="S39" s="773">
        <v>192.16068317495683</v>
      </c>
      <c r="T39" s="774">
        <v>96.153438670000014</v>
      </c>
      <c r="U39" s="754"/>
      <c r="V39" s="586"/>
      <c r="W39" s="586"/>
      <c r="X39" s="759"/>
      <c r="Y39" s="586"/>
      <c r="Z39" s="586"/>
      <c r="AA39" s="586"/>
      <c r="AB39" s="586"/>
      <c r="AC39" s="586"/>
      <c r="AD39" s="586"/>
      <c r="AE39" s="586"/>
      <c r="AF39" s="586"/>
    </row>
    <row r="40" spans="1:32" s="767" customFormat="1" ht="17.25" customHeight="1" x14ac:dyDescent="0.25">
      <c r="A40" s="3534" t="s">
        <v>549</v>
      </c>
      <c r="B40" s="3535"/>
      <c r="C40" s="771">
        <v>523</v>
      </c>
      <c r="D40" s="771">
        <v>1174</v>
      </c>
      <c r="E40" s="716">
        <v>1167</v>
      </c>
      <c r="F40" s="716">
        <v>2316</v>
      </c>
      <c r="G40" s="716">
        <v>1579</v>
      </c>
      <c r="H40" s="716">
        <v>4018</v>
      </c>
      <c r="I40" s="716">
        <v>4282</v>
      </c>
      <c r="J40" s="716">
        <v>3434</v>
      </c>
      <c r="K40" s="716">
        <v>3811</v>
      </c>
      <c r="L40" s="716">
        <v>4098</v>
      </c>
      <c r="M40" s="716">
        <v>5419</v>
      </c>
      <c r="N40" s="716">
        <v>5752</v>
      </c>
      <c r="O40" s="775">
        <v>4077</v>
      </c>
      <c r="P40" s="716">
        <v>8557</v>
      </c>
      <c r="Q40" s="716">
        <v>5485</v>
      </c>
      <c r="R40" s="771">
        <v>4527</v>
      </c>
      <c r="S40" s="773">
        <v>5442.1600637778592</v>
      </c>
      <c r="T40" s="774">
        <v>2804.2770383267634</v>
      </c>
      <c r="U40" s="754"/>
      <c r="V40" s="586"/>
      <c r="W40" s="586"/>
      <c r="X40" s="759"/>
      <c r="Y40" s="586"/>
      <c r="Z40" s="586"/>
      <c r="AA40" s="586"/>
      <c r="AB40" s="586"/>
      <c r="AC40" s="586"/>
      <c r="AD40" s="586"/>
      <c r="AE40" s="586"/>
      <c r="AF40" s="586"/>
    </row>
    <row r="41" spans="1:32" s="767" customFormat="1" ht="17.25" customHeight="1" x14ac:dyDescent="0.25">
      <c r="A41" s="3534" t="s">
        <v>550</v>
      </c>
      <c r="B41" s="3535"/>
      <c r="C41" s="771">
        <v>177</v>
      </c>
      <c r="D41" s="771">
        <v>59</v>
      </c>
      <c r="E41" s="716">
        <v>172</v>
      </c>
      <c r="F41" s="716">
        <v>27</v>
      </c>
      <c r="G41" s="716">
        <v>12</v>
      </c>
      <c r="H41" s="716">
        <v>11</v>
      </c>
      <c r="I41" s="716">
        <v>2</v>
      </c>
      <c r="J41" s="716">
        <v>856</v>
      </c>
      <c r="K41" s="716">
        <v>1053</v>
      </c>
      <c r="L41" s="716">
        <v>166</v>
      </c>
      <c r="M41" s="716">
        <v>177</v>
      </c>
      <c r="N41" s="716">
        <v>281</v>
      </c>
      <c r="O41" s="775">
        <v>250</v>
      </c>
      <c r="P41" s="716">
        <v>467</v>
      </c>
      <c r="Q41" s="716">
        <v>252</v>
      </c>
      <c r="R41" s="771">
        <v>427</v>
      </c>
      <c r="S41" s="773">
        <v>761.08627815575437</v>
      </c>
      <c r="T41" s="774">
        <v>486.69056722952689</v>
      </c>
      <c r="U41" s="754"/>
      <c r="V41" s="586"/>
      <c r="W41" s="586"/>
      <c r="X41" s="759"/>
      <c r="Y41" s="586"/>
      <c r="Z41" s="586"/>
      <c r="AA41" s="586"/>
      <c r="AB41" s="586"/>
      <c r="AC41" s="586"/>
      <c r="AD41" s="586"/>
      <c r="AE41" s="586"/>
      <c r="AF41" s="586"/>
    </row>
    <row r="42" spans="1:32" s="767" customFormat="1" ht="17.25" customHeight="1" x14ac:dyDescent="0.25">
      <c r="A42" s="3534" t="s">
        <v>551</v>
      </c>
      <c r="B42" s="3535"/>
      <c r="C42" s="771">
        <v>3821</v>
      </c>
      <c r="D42" s="771">
        <v>2804</v>
      </c>
      <c r="E42" s="716">
        <v>2046</v>
      </c>
      <c r="F42" s="716">
        <v>1267</v>
      </c>
      <c r="G42" s="716">
        <v>4618</v>
      </c>
      <c r="H42" s="716">
        <v>2312</v>
      </c>
      <c r="I42" s="716">
        <v>4076</v>
      </c>
      <c r="J42" s="716">
        <v>620</v>
      </c>
      <c r="K42" s="716">
        <v>1106</v>
      </c>
      <c r="L42" s="716">
        <v>1478</v>
      </c>
      <c r="M42" s="716">
        <v>825</v>
      </c>
      <c r="N42" s="716">
        <v>4428</v>
      </c>
      <c r="O42" s="775">
        <v>2663</v>
      </c>
      <c r="P42" s="716">
        <v>1172</v>
      </c>
      <c r="Q42" s="716">
        <v>892</v>
      </c>
      <c r="R42" s="771">
        <v>768</v>
      </c>
      <c r="S42" s="773">
        <v>1278.4858318895801</v>
      </c>
      <c r="T42" s="774">
        <v>1005.2237573354504</v>
      </c>
      <c r="U42" s="754"/>
      <c r="V42" s="586"/>
      <c r="W42" s="586"/>
      <c r="X42" s="759"/>
      <c r="Y42" s="586"/>
      <c r="Z42" s="586"/>
      <c r="AA42" s="586"/>
      <c r="AB42" s="586"/>
      <c r="AC42" s="586"/>
      <c r="AD42" s="586"/>
      <c r="AE42" s="586"/>
      <c r="AF42" s="586"/>
    </row>
    <row r="43" spans="1:32" s="767" customFormat="1" ht="17.25" customHeight="1" x14ac:dyDescent="0.25">
      <c r="A43" s="3534" t="s">
        <v>552</v>
      </c>
      <c r="B43" s="3535"/>
      <c r="C43" s="771">
        <v>586</v>
      </c>
      <c r="D43" s="771">
        <v>1287</v>
      </c>
      <c r="E43" s="716">
        <v>606</v>
      </c>
      <c r="F43" s="716">
        <v>448</v>
      </c>
      <c r="G43" s="716">
        <v>591</v>
      </c>
      <c r="H43" s="716">
        <v>56</v>
      </c>
      <c r="I43" s="716">
        <v>159</v>
      </c>
      <c r="J43" s="716">
        <v>610</v>
      </c>
      <c r="K43" s="716">
        <v>573</v>
      </c>
      <c r="L43" s="716">
        <v>754</v>
      </c>
      <c r="M43" s="716">
        <v>667</v>
      </c>
      <c r="N43" s="716">
        <v>336</v>
      </c>
      <c r="O43" s="775">
        <v>507</v>
      </c>
      <c r="P43" s="716">
        <v>1034</v>
      </c>
      <c r="Q43" s="716">
        <v>727</v>
      </c>
      <c r="R43" s="771">
        <v>793</v>
      </c>
      <c r="S43" s="773">
        <v>598.37447850345109</v>
      </c>
      <c r="T43" s="774">
        <v>293.16565317146228</v>
      </c>
      <c r="U43" s="754"/>
      <c r="V43" s="586"/>
      <c r="W43" s="586"/>
      <c r="X43" s="759"/>
      <c r="Y43" s="586"/>
      <c r="Z43" s="586"/>
      <c r="AA43" s="586"/>
      <c r="AB43" s="586"/>
      <c r="AC43" s="586"/>
      <c r="AD43" s="586"/>
      <c r="AE43" s="586"/>
      <c r="AF43" s="586"/>
    </row>
    <row r="44" spans="1:32" s="767" customFormat="1" ht="17.25" customHeight="1" x14ac:dyDescent="0.25">
      <c r="A44" s="3534" t="s">
        <v>553</v>
      </c>
      <c r="B44" s="3535"/>
      <c r="C44" s="771">
        <v>93</v>
      </c>
      <c r="D44" s="771">
        <v>69</v>
      </c>
      <c r="E44" s="716">
        <v>396</v>
      </c>
      <c r="F44" s="716">
        <v>433</v>
      </c>
      <c r="G44" s="716">
        <v>104</v>
      </c>
      <c r="H44" s="716">
        <v>9</v>
      </c>
      <c r="I44" s="716">
        <v>268</v>
      </c>
      <c r="J44" s="716">
        <v>279</v>
      </c>
      <c r="K44" s="716">
        <v>125</v>
      </c>
      <c r="L44" s="716">
        <v>134</v>
      </c>
      <c r="M44" s="716">
        <v>254</v>
      </c>
      <c r="N44" s="716">
        <v>259</v>
      </c>
      <c r="O44" s="775">
        <v>3765</v>
      </c>
      <c r="P44" s="716">
        <v>202.4</v>
      </c>
      <c r="Q44" s="716">
        <v>454</v>
      </c>
      <c r="R44" s="771">
        <v>340</v>
      </c>
      <c r="S44" s="773">
        <v>483.44546605352559</v>
      </c>
      <c r="T44" s="774">
        <v>551.46910837288885</v>
      </c>
      <c r="U44" s="754"/>
      <c r="V44" s="586"/>
      <c r="W44" s="586"/>
      <c r="X44" s="759"/>
      <c r="Y44" s="586"/>
      <c r="Z44" s="586"/>
      <c r="AA44" s="586"/>
      <c r="AB44" s="586"/>
      <c r="AC44" s="586"/>
      <c r="AD44" s="586"/>
      <c r="AE44" s="586"/>
      <c r="AF44" s="586"/>
    </row>
    <row r="45" spans="1:32" s="767" customFormat="1" ht="17.25" customHeight="1" x14ac:dyDescent="0.25">
      <c r="A45" s="3534" t="s">
        <v>554</v>
      </c>
      <c r="B45" s="3535"/>
      <c r="C45" s="771">
        <v>167</v>
      </c>
      <c r="D45" s="771">
        <v>2380</v>
      </c>
      <c r="E45" s="716">
        <v>1063</v>
      </c>
      <c r="F45" s="716">
        <v>687</v>
      </c>
      <c r="G45" s="716">
        <v>130</v>
      </c>
      <c r="H45" s="716">
        <v>255</v>
      </c>
      <c r="I45" s="716">
        <v>182</v>
      </c>
      <c r="J45" s="716">
        <v>223</v>
      </c>
      <c r="K45" s="716">
        <v>2127</v>
      </c>
      <c r="L45" s="716">
        <v>126</v>
      </c>
      <c r="M45" s="716">
        <v>392</v>
      </c>
      <c r="N45" s="716">
        <v>171</v>
      </c>
      <c r="O45" s="775">
        <v>218</v>
      </c>
      <c r="P45" s="716">
        <v>277</v>
      </c>
      <c r="Q45" s="716">
        <v>940</v>
      </c>
      <c r="R45" s="771">
        <v>580</v>
      </c>
      <c r="S45" s="773">
        <v>4951.0299117463383</v>
      </c>
      <c r="T45" s="774">
        <v>404.57863381665635</v>
      </c>
      <c r="U45" s="754"/>
      <c r="V45" s="586"/>
      <c r="W45" s="586"/>
      <c r="X45" s="759"/>
      <c r="Y45" s="586"/>
      <c r="Z45" s="586"/>
      <c r="AA45" s="586"/>
      <c r="AB45" s="586"/>
      <c r="AC45" s="586"/>
      <c r="AD45" s="586"/>
      <c r="AE45" s="586"/>
      <c r="AF45" s="586"/>
    </row>
    <row r="46" spans="1:32" s="767" customFormat="1" ht="17.25" customHeight="1" x14ac:dyDescent="0.25">
      <c r="A46" s="3534" t="s">
        <v>555</v>
      </c>
      <c r="B46" s="3535"/>
      <c r="C46" s="771">
        <v>163</v>
      </c>
      <c r="D46" s="771">
        <v>2380</v>
      </c>
      <c r="E46" s="716">
        <v>1063</v>
      </c>
      <c r="F46" s="716">
        <v>676</v>
      </c>
      <c r="G46" s="716">
        <v>130</v>
      </c>
      <c r="H46" s="716">
        <v>230</v>
      </c>
      <c r="I46" s="716">
        <v>175</v>
      </c>
      <c r="J46" s="716">
        <v>219</v>
      </c>
      <c r="K46" s="716">
        <v>1732</v>
      </c>
      <c r="L46" s="716">
        <v>123</v>
      </c>
      <c r="M46" s="716">
        <v>340</v>
      </c>
      <c r="N46" s="716">
        <v>140</v>
      </c>
      <c r="O46" s="775">
        <v>204</v>
      </c>
      <c r="P46" s="716">
        <v>205</v>
      </c>
      <c r="Q46" s="716">
        <v>919</v>
      </c>
      <c r="R46" s="771">
        <v>535</v>
      </c>
      <c r="S46" s="773">
        <v>222.34469721161889</v>
      </c>
      <c r="T46" s="774">
        <v>364.03770069920085</v>
      </c>
      <c r="U46" s="754"/>
      <c r="V46" s="586"/>
      <c r="W46" s="586"/>
      <c r="X46" s="759"/>
      <c r="Y46" s="586"/>
      <c r="Z46" s="586"/>
      <c r="AA46" s="586"/>
      <c r="AB46" s="586"/>
      <c r="AC46" s="586"/>
      <c r="AD46" s="586"/>
      <c r="AE46" s="586"/>
      <c r="AF46" s="586"/>
    </row>
    <row r="47" spans="1:32" s="767" customFormat="1" ht="17.25" customHeight="1" x14ac:dyDescent="0.25">
      <c r="A47" s="768" t="s">
        <v>556</v>
      </c>
      <c r="B47" s="3221"/>
      <c r="C47" s="762">
        <f>C48+C52+C55</f>
        <v>1664</v>
      </c>
      <c r="D47" s="762">
        <f t="shared" ref="D47:T47" si="4">D48+D52+D55</f>
        <v>3179</v>
      </c>
      <c r="E47" s="762">
        <f t="shared" si="4"/>
        <v>5563</v>
      </c>
      <c r="F47" s="762">
        <f t="shared" si="4"/>
        <v>2545</v>
      </c>
      <c r="G47" s="762">
        <f t="shared" si="4"/>
        <v>5954</v>
      </c>
      <c r="H47" s="762">
        <f t="shared" si="4"/>
        <v>5257</v>
      </c>
      <c r="I47" s="762">
        <f t="shared" si="4"/>
        <v>9854</v>
      </c>
      <c r="J47" s="762">
        <f t="shared" si="4"/>
        <v>6273</v>
      </c>
      <c r="K47" s="762">
        <f t="shared" si="4"/>
        <v>6660</v>
      </c>
      <c r="L47" s="762">
        <f t="shared" si="4"/>
        <v>5213</v>
      </c>
      <c r="M47" s="762">
        <f t="shared" si="4"/>
        <v>8817</v>
      </c>
      <c r="N47" s="762">
        <f t="shared" si="4"/>
        <v>6789</v>
      </c>
      <c r="O47" s="763">
        <f t="shared" si="4"/>
        <v>7678</v>
      </c>
      <c r="P47" s="762">
        <f t="shared" si="4"/>
        <v>9016</v>
      </c>
      <c r="Q47" s="762">
        <f t="shared" si="4"/>
        <v>5610</v>
      </c>
      <c r="R47" s="762">
        <f t="shared" si="4"/>
        <v>9347.5499999999993</v>
      </c>
      <c r="S47" s="769">
        <f t="shared" si="4"/>
        <v>7949.848909508637</v>
      </c>
      <c r="T47" s="770">
        <f t="shared" si="4"/>
        <v>3854.4322579759823</v>
      </c>
      <c r="U47" s="586"/>
      <c r="V47" s="586"/>
      <c r="W47" s="586"/>
      <c r="X47" s="759"/>
      <c r="Y47" s="586"/>
      <c r="Z47" s="586"/>
      <c r="AA47" s="586"/>
      <c r="AB47" s="586"/>
      <c r="AC47" s="586"/>
      <c r="AD47" s="586"/>
      <c r="AE47" s="586"/>
      <c r="AF47" s="586"/>
    </row>
    <row r="48" spans="1:32" s="767" customFormat="1" ht="17.25" customHeight="1" x14ac:dyDescent="0.25">
      <c r="A48" s="3534" t="s">
        <v>557</v>
      </c>
      <c r="B48" s="3535"/>
      <c r="C48" s="771">
        <f>C49+C50+C51</f>
        <v>296</v>
      </c>
      <c r="D48" s="771">
        <f t="shared" ref="D48:R48" si="5">D49+D50+D51</f>
        <v>1124</v>
      </c>
      <c r="E48" s="771">
        <f t="shared" si="5"/>
        <v>1929</v>
      </c>
      <c r="F48" s="771">
        <f t="shared" si="5"/>
        <v>1056</v>
      </c>
      <c r="G48" s="771">
        <f t="shared" si="5"/>
        <v>2027</v>
      </c>
      <c r="H48" s="716">
        <f t="shared" si="5"/>
        <v>3570</v>
      </c>
      <c r="I48" s="716">
        <f t="shared" si="5"/>
        <v>5802</v>
      </c>
      <c r="J48" s="716">
        <f t="shared" si="5"/>
        <v>2455</v>
      </c>
      <c r="K48" s="716">
        <f t="shared" si="5"/>
        <v>2269</v>
      </c>
      <c r="L48" s="716">
        <f t="shared" si="5"/>
        <v>3160</v>
      </c>
      <c r="M48" s="716">
        <f t="shared" si="5"/>
        <v>3294</v>
      </c>
      <c r="N48" s="716">
        <f t="shared" si="5"/>
        <v>2766</v>
      </c>
      <c r="O48" s="775">
        <f t="shared" si="5"/>
        <v>3532</v>
      </c>
      <c r="P48" s="716">
        <f t="shared" si="5"/>
        <v>5616</v>
      </c>
      <c r="Q48" s="716">
        <f t="shared" si="5"/>
        <v>2536</v>
      </c>
      <c r="R48" s="716">
        <f t="shared" si="5"/>
        <v>3375</v>
      </c>
      <c r="S48" s="776">
        <v>3781.0855829851926</v>
      </c>
      <c r="T48" s="777">
        <v>1867.3481744077935</v>
      </c>
      <c r="U48" s="586"/>
      <c r="V48" s="586"/>
      <c r="W48" s="586"/>
      <c r="X48" s="759"/>
      <c r="Y48" s="586"/>
      <c r="Z48" s="586"/>
      <c r="AA48" s="586"/>
      <c r="AB48" s="586"/>
      <c r="AC48" s="586"/>
      <c r="AD48" s="586"/>
      <c r="AE48" s="586"/>
      <c r="AF48" s="586"/>
    </row>
    <row r="49" spans="1:32" s="767" customFormat="1" ht="17.25" customHeight="1" x14ac:dyDescent="0.25">
      <c r="A49" s="3534" t="s">
        <v>558</v>
      </c>
      <c r="B49" s="3535"/>
      <c r="C49" s="771">
        <v>127</v>
      </c>
      <c r="D49" s="771">
        <v>577</v>
      </c>
      <c r="E49" s="771">
        <v>49</v>
      </c>
      <c r="F49" s="771">
        <v>196</v>
      </c>
      <c r="G49" s="771">
        <v>135</v>
      </c>
      <c r="H49" s="771">
        <v>246</v>
      </c>
      <c r="I49" s="771">
        <v>146</v>
      </c>
      <c r="J49" s="771">
        <v>168</v>
      </c>
      <c r="K49" s="771">
        <v>141</v>
      </c>
      <c r="L49" s="771">
        <v>185</v>
      </c>
      <c r="M49" s="771">
        <v>200</v>
      </c>
      <c r="N49" s="771">
        <v>172</v>
      </c>
      <c r="O49" s="771">
        <v>142</v>
      </c>
      <c r="P49" s="771">
        <v>143</v>
      </c>
      <c r="Q49" s="771">
        <v>46</v>
      </c>
      <c r="R49" s="771">
        <v>13</v>
      </c>
      <c r="S49" s="773">
        <v>29.302479084336838</v>
      </c>
      <c r="T49" s="777">
        <v>2.5802844</v>
      </c>
      <c r="U49" s="586"/>
      <c r="V49" s="586"/>
      <c r="W49" s="586"/>
      <c r="X49" s="759"/>
      <c r="Y49" s="586"/>
      <c r="Z49" s="586"/>
      <c r="AA49" s="586"/>
      <c r="AB49" s="586"/>
      <c r="AC49" s="586"/>
      <c r="AD49" s="586"/>
      <c r="AE49" s="586"/>
      <c r="AF49" s="586"/>
    </row>
    <row r="50" spans="1:32" s="767" customFormat="1" ht="17.25" customHeight="1" x14ac:dyDescent="0.25">
      <c r="A50" s="3534" t="s">
        <v>559</v>
      </c>
      <c r="B50" s="3535"/>
      <c r="C50" s="771">
        <v>38</v>
      </c>
      <c r="D50" s="771">
        <v>498</v>
      </c>
      <c r="E50" s="771">
        <v>1415</v>
      </c>
      <c r="F50" s="771">
        <v>510</v>
      </c>
      <c r="G50" s="771">
        <v>1468</v>
      </c>
      <c r="H50" s="771">
        <v>3006</v>
      </c>
      <c r="I50" s="771">
        <v>5343</v>
      </c>
      <c r="J50" s="771">
        <v>1851</v>
      </c>
      <c r="K50" s="771">
        <v>1530</v>
      </c>
      <c r="L50" s="771">
        <v>1999</v>
      </c>
      <c r="M50" s="771">
        <v>2453</v>
      </c>
      <c r="N50" s="771">
        <v>2122</v>
      </c>
      <c r="O50" s="771">
        <v>2562</v>
      </c>
      <c r="P50" s="771">
        <v>4527</v>
      </c>
      <c r="Q50" s="771">
        <v>2012</v>
      </c>
      <c r="R50" s="771">
        <v>2806</v>
      </c>
      <c r="S50" s="773">
        <v>3114.2429449777592</v>
      </c>
      <c r="T50" s="777">
        <v>1505.146003917278</v>
      </c>
      <c r="U50" s="586"/>
      <c r="V50" s="586"/>
      <c r="W50" s="586"/>
      <c r="X50" s="759"/>
      <c r="Y50" s="586"/>
      <c r="Z50" s="586"/>
      <c r="AA50" s="586"/>
      <c r="AB50" s="586"/>
      <c r="AC50" s="586"/>
      <c r="AD50" s="586"/>
      <c r="AE50" s="586"/>
      <c r="AF50" s="586"/>
    </row>
    <row r="51" spans="1:32" s="767" customFormat="1" ht="17.25" customHeight="1" x14ac:dyDescent="0.25">
      <c r="A51" s="3534" t="s">
        <v>560</v>
      </c>
      <c r="B51" s="3535"/>
      <c r="C51" s="771">
        <v>131</v>
      </c>
      <c r="D51" s="771">
        <v>49</v>
      </c>
      <c r="E51" s="771">
        <v>465</v>
      </c>
      <c r="F51" s="771">
        <v>350</v>
      </c>
      <c r="G51" s="771">
        <v>424</v>
      </c>
      <c r="H51" s="771">
        <v>318</v>
      </c>
      <c r="I51" s="771">
        <v>313</v>
      </c>
      <c r="J51" s="771">
        <v>436</v>
      </c>
      <c r="K51" s="771">
        <v>598</v>
      </c>
      <c r="L51" s="771">
        <v>976</v>
      </c>
      <c r="M51" s="771">
        <v>641</v>
      </c>
      <c r="N51" s="771">
        <v>472</v>
      </c>
      <c r="O51" s="771">
        <v>828</v>
      </c>
      <c r="P51" s="771">
        <v>946</v>
      </c>
      <c r="Q51" s="771">
        <v>478</v>
      </c>
      <c r="R51" s="771">
        <v>556</v>
      </c>
      <c r="S51" s="773">
        <v>638.54015892309644</v>
      </c>
      <c r="T51" s="777">
        <v>359.62188609051572</v>
      </c>
      <c r="U51" s="586"/>
      <c r="V51" s="586"/>
      <c r="W51" s="586"/>
      <c r="X51" s="759"/>
      <c r="Y51" s="586"/>
      <c r="Z51" s="586"/>
      <c r="AA51" s="586"/>
      <c r="AB51" s="586"/>
      <c r="AC51" s="586"/>
      <c r="AD51" s="586"/>
      <c r="AE51" s="586"/>
      <c r="AF51" s="586"/>
    </row>
    <row r="52" spans="1:32" s="767" customFormat="1" ht="17.25" customHeight="1" x14ac:dyDescent="0.25">
      <c r="A52" s="3534" t="s">
        <v>561</v>
      </c>
      <c r="B52" s="3535"/>
      <c r="C52" s="771">
        <f>C53+C54</f>
        <v>45</v>
      </c>
      <c r="D52" s="771">
        <f t="shared" ref="D52:R52" si="6">D53+D54</f>
        <v>25</v>
      </c>
      <c r="E52" s="716">
        <f t="shared" si="6"/>
        <v>552</v>
      </c>
      <c r="F52" s="716">
        <f t="shared" si="6"/>
        <v>121</v>
      </c>
      <c r="G52" s="716">
        <f t="shared" si="6"/>
        <v>69</v>
      </c>
      <c r="H52" s="716">
        <f t="shared" si="6"/>
        <v>189</v>
      </c>
      <c r="I52" s="716">
        <f t="shared" si="6"/>
        <v>19</v>
      </c>
      <c r="J52" s="716">
        <f t="shared" si="6"/>
        <v>97</v>
      </c>
      <c r="K52" s="716">
        <f t="shared" si="6"/>
        <v>917</v>
      </c>
      <c r="L52" s="716">
        <f t="shared" si="6"/>
        <v>108</v>
      </c>
      <c r="M52" s="716">
        <f t="shared" si="6"/>
        <v>443</v>
      </c>
      <c r="N52" s="716">
        <f t="shared" si="6"/>
        <v>511</v>
      </c>
      <c r="O52" s="775">
        <f t="shared" si="6"/>
        <v>226</v>
      </c>
      <c r="P52" s="716">
        <f t="shared" si="6"/>
        <v>276</v>
      </c>
      <c r="Q52" s="716">
        <f t="shared" si="6"/>
        <v>545</v>
      </c>
      <c r="R52" s="716">
        <f t="shared" si="6"/>
        <v>532</v>
      </c>
      <c r="S52" s="776">
        <v>467.22959325402013</v>
      </c>
      <c r="T52" s="777">
        <v>12.827807050559999</v>
      </c>
      <c r="U52" s="586"/>
      <c r="V52" s="586"/>
      <c r="W52" s="586"/>
      <c r="X52" s="759"/>
      <c r="Y52" s="586"/>
      <c r="Z52" s="586"/>
      <c r="AA52" s="586"/>
      <c r="AB52" s="586"/>
      <c r="AC52" s="586"/>
      <c r="AD52" s="586"/>
      <c r="AE52" s="586"/>
      <c r="AF52" s="586"/>
    </row>
    <row r="53" spans="1:32" s="767" customFormat="1" ht="17.25" customHeight="1" x14ac:dyDescent="0.25">
      <c r="A53" s="3534" t="s">
        <v>562</v>
      </c>
      <c r="B53" s="3535"/>
      <c r="C53" s="717">
        <v>0</v>
      </c>
      <c r="D53" s="717">
        <v>0</v>
      </c>
      <c r="E53" s="717">
        <v>447</v>
      </c>
      <c r="F53" s="717">
        <v>3</v>
      </c>
      <c r="G53" s="717">
        <v>0</v>
      </c>
      <c r="H53" s="717">
        <v>176</v>
      </c>
      <c r="I53" s="717">
        <v>0</v>
      </c>
      <c r="J53" s="717">
        <v>1</v>
      </c>
      <c r="K53" s="717">
        <v>12</v>
      </c>
      <c r="L53" s="717">
        <v>0</v>
      </c>
      <c r="M53" s="717">
        <v>1</v>
      </c>
      <c r="N53" s="717">
        <v>0</v>
      </c>
      <c r="O53" s="717">
        <v>0</v>
      </c>
      <c r="P53" s="717">
        <v>0</v>
      </c>
      <c r="Q53" s="717">
        <v>2</v>
      </c>
      <c r="R53" s="771">
        <v>2</v>
      </c>
      <c r="S53" s="773">
        <v>14.473843070000001</v>
      </c>
      <c r="T53" s="3578">
        <v>0</v>
      </c>
      <c r="U53" s="586"/>
      <c r="V53" s="586"/>
      <c r="W53" s="586"/>
      <c r="X53" s="759"/>
      <c r="Y53" s="586"/>
      <c r="Z53" s="586"/>
      <c r="AA53" s="586"/>
      <c r="AB53" s="586"/>
      <c r="AC53" s="586"/>
      <c r="AD53" s="586"/>
      <c r="AE53" s="586"/>
      <c r="AF53" s="586"/>
    </row>
    <row r="54" spans="1:32" s="767" customFormat="1" ht="17.25" customHeight="1" x14ac:dyDescent="0.25">
      <c r="A54" s="3534" t="s">
        <v>563</v>
      </c>
      <c r="B54" s="3535"/>
      <c r="C54" s="771">
        <v>45</v>
      </c>
      <c r="D54" s="771">
        <v>25</v>
      </c>
      <c r="E54" s="771">
        <v>105</v>
      </c>
      <c r="F54" s="771">
        <v>118</v>
      </c>
      <c r="G54" s="771">
        <v>69</v>
      </c>
      <c r="H54" s="771">
        <v>13</v>
      </c>
      <c r="I54" s="771">
        <v>19</v>
      </c>
      <c r="J54" s="771">
        <v>96</v>
      </c>
      <c r="K54" s="771">
        <v>905</v>
      </c>
      <c r="L54" s="771">
        <v>108</v>
      </c>
      <c r="M54" s="771">
        <v>442</v>
      </c>
      <c r="N54" s="771">
        <v>511</v>
      </c>
      <c r="O54" s="771">
        <v>226</v>
      </c>
      <c r="P54" s="771">
        <v>276</v>
      </c>
      <c r="Q54" s="771">
        <v>543</v>
      </c>
      <c r="R54" s="771">
        <v>530</v>
      </c>
      <c r="S54" s="773">
        <v>452.75575018402014</v>
      </c>
      <c r="T54" s="777">
        <v>12.827807050559999</v>
      </c>
      <c r="U54" s="586"/>
      <c r="V54" s="586"/>
      <c r="W54" s="586"/>
      <c r="X54" s="759"/>
      <c r="Y54" s="586"/>
      <c r="Z54" s="586"/>
      <c r="AA54" s="586"/>
      <c r="AB54" s="586"/>
      <c r="AC54" s="586"/>
      <c r="AD54" s="586"/>
      <c r="AE54" s="586"/>
      <c r="AF54" s="586"/>
    </row>
    <row r="55" spans="1:32" s="767" customFormat="1" ht="17.25" customHeight="1" x14ac:dyDescent="0.25">
      <c r="A55" s="3534" t="s">
        <v>564</v>
      </c>
      <c r="B55" s="3535"/>
      <c r="C55" s="771">
        <f>C56+C65</f>
        <v>1323</v>
      </c>
      <c r="D55" s="771">
        <f t="shared" ref="D55:T55" si="7">D56+D65</f>
        <v>2030</v>
      </c>
      <c r="E55" s="716">
        <f t="shared" si="7"/>
        <v>3082</v>
      </c>
      <c r="F55" s="716">
        <f t="shared" si="7"/>
        <v>1368</v>
      </c>
      <c r="G55" s="716">
        <f t="shared" si="7"/>
        <v>3858</v>
      </c>
      <c r="H55" s="716">
        <f t="shared" si="7"/>
        <v>1498</v>
      </c>
      <c r="I55" s="716">
        <f t="shared" si="7"/>
        <v>4033</v>
      </c>
      <c r="J55" s="716">
        <f t="shared" si="7"/>
        <v>3721</v>
      </c>
      <c r="K55" s="716">
        <f t="shared" si="7"/>
        <v>3474</v>
      </c>
      <c r="L55" s="716">
        <f t="shared" si="7"/>
        <v>1945</v>
      </c>
      <c r="M55" s="716">
        <f t="shared" si="7"/>
        <v>5080</v>
      </c>
      <c r="N55" s="716">
        <f t="shared" si="7"/>
        <v>3512</v>
      </c>
      <c r="O55" s="775">
        <f t="shared" si="7"/>
        <v>3920</v>
      </c>
      <c r="P55" s="716">
        <f t="shared" si="7"/>
        <v>3124</v>
      </c>
      <c r="Q55" s="716">
        <f t="shared" si="7"/>
        <v>2529</v>
      </c>
      <c r="R55" s="716">
        <f t="shared" si="7"/>
        <v>5440.55</v>
      </c>
      <c r="S55" s="776">
        <f t="shared" si="7"/>
        <v>3701.5337332694248</v>
      </c>
      <c r="T55" s="777">
        <f t="shared" si="7"/>
        <v>1974.2562765176287</v>
      </c>
      <c r="U55" s="586"/>
      <c r="V55" s="586"/>
      <c r="W55" s="586"/>
      <c r="X55" s="759"/>
      <c r="Y55" s="586"/>
      <c r="Z55" s="586"/>
      <c r="AA55" s="586"/>
      <c r="AB55" s="586"/>
      <c r="AC55" s="586"/>
      <c r="AD55" s="586"/>
      <c r="AE55" s="586"/>
      <c r="AF55" s="586"/>
    </row>
    <row r="56" spans="1:32" s="779" customFormat="1" ht="17.25" customHeight="1" x14ac:dyDescent="0.25">
      <c r="A56" s="3534" t="s">
        <v>565</v>
      </c>
      <c r="B56" s="3535"/>
      <c r="C56" s="771">
        <f t="shared" ref="C56:Q56" si="8">C57+C59</f>
        <v>1301</v>
      </c>
      <c r="D56" s="771">
        <f t="shared" si="8"/>
        <v>1954</v>
      </c>
      <c r="E56" s="771">
        <f t="shared" si="8"/>
        <v>3064</v>
      </c>
      <c r="F56" s="771">
        <f t="shared" si="8"/>
        <v>1366</v>
      </c>
      <c r="G56" s="771">
        <f t="shared" si="8"/>
        <v>3855</v>
      </c>
      <c r="H56" s="771">
        <f t="shared" si="8"/>
        <v>1347</v>
      </c>
      <c r="I56" s="771">
        <f t="shared" si="8"/>
        <v>4030</v>
      </c>
      <c r="J56" s="771">
        <f t="shared" si="8"/>
        <v>3586</v>
      </c>
      <c r="K56" s="771">
        <f t="shared" si="8"/>
        <v>3455</v>
      </c>
      <c r="L56" s="771">
        <f t="shared" si="8"/>
        <v>1915</v>
      </c>
      <c r="M56" s="771">
        <f t="shared" si="8"/>
        <v>5009</v>
      </c>
      <c r="N56" s="771">
        <f t="shared" si="8"/>
        <v>3486</v>
      </c>
      <c r="O56" s="772">
        <f t="shared" si="8"/>
        <v>3876</v>
      </c>
      <c r="P56" s="771">
        <f t="shared" si="8"/>
        <v>2923</v>
      </c>
      <c r="Q56" s="771">
        <f t="shared" si="8"/>
        <v>2519</v>
      </c>
      <c r="R56" s="771">
        <f>R57+R59</f>
        <v>5424.55</v>
      </c>
      <c r="S56" s="773">
        <v>3635.324189594704</v>
      </c>
      <c r="T56" s="774">
        <v>1885.8117322276287</v>
      </c>
      <c r="U56" s="778"/>
      <c r="V56" s="778"/>
      <c r="W56" s="778"/>
      <c r="X56" s="759"/>
      <c r="Y56" s="778"/>
      <c r="Z56" s="778"/>
      <c r="AA56" s="778"/>
      <c r="AB56" s="778"/>
      <c r="AC56" s="778"/>
      <c r="AD56" s="778"/>
      <c r="AE56" s="778"/>
      <c r="AF56" s="778"/>
    </row>
    <row r="57" spans="1:32" s="767" customFormat="1" ht="17.25" customHeight="1" x14ac:dyDescent="0.25">
      <c r="A57" s="3534" t="s">
        <v>566</v>
      </c>
      <c r="B57" s="3535"/>
      <c r="C57" s="771">
        <v>996</v>
      </c>
      <c r="D57" s="771">
        <v>1285</v>
      </c>
      <c r="E57" s="716">
        <v>937</v>
      </c>
      <c r="F57" s="716">
        <v>392</v>
      </c>
      <c r="G57" s="716">
        <v>338</v>
      </c>
      <c r="H57" s="716">
        <v>393</v>
      </c>
      <c r="I57" s="716">
        <v>361</v>
      </c>
      <c r="J57" s="716">
        <v>555</v>
      </c>
      <c r="K57" s="716">
        <v>636</v>
      </c>
      <c r="L57" s="716">
        <v>296</v>
      </c>
      <c r="M57" s="716">
        <v>1478</v>
      </c>
      <c r="N57" s="716">
        <v>853</v>
      </c>
      <c r="O57" s="775">
        <v>781</v>
      </c>
      <c r="P57" s="716">
        <v>743</v>
      </c>
      <c r="Q57" s="716">
        <v>325</v>
      </c>
      <c r="R57" s="771">
        <v>2865</v>
      </c>
      <c r="S57" s="773">
        <v>2282.5398646196863</v>
      </c>
      <c r="T57" s="774">
        <v>1432.37894762</v>
      </c>
      <c r="U57" s="586"/>
      <c r="V57" s="586"/>
      <c r="W57" s="586"/>
      <c r="X57" s="759"/>
      <c r="Y57" s="586"/>
      <c r="Z57" s="586"/>
      <c r="AA57" s="586"/>
      <c r="AB57" s="586"/>
      <c r="AC57" s="586"/>
      <c r="AD57" s="586"/>
      <c r="AE57" s="586"/>
      <c r="AF57" s="586"/>
    </row>
    <row r="58" spans="1:32" s="779" customFormat="1" ht="17.25" customHeight="1" x14ac:dyDescent="0.25">
      <c r="A58" s="3534" t="s">
        <v>567</v>
      </c>
      <c r="B58" s="3535"/>
      <c r="C58" s="771">
        <v>114</v>
      </c>
      <c r="D58" s="771">
        <v>1285</v>
      </c>
      <c r="E58" s="716">
        <v>847</v>
      </c>
      <c r="F58" s="716">
        <v>382</v>
      </c>
      <c r="G58" s="716">
        <v>338</v>
      </c>
      <c r="H58" s="716">
        <v>393</v>
      </c>
      <c r="I58" s="716">
        <v>336</v>
      </c>
      <c r="J58" s="716">
        <v>488</v>
      </c>
      <c r="K58" s="716">
        <v>617</v>
      </c>
      <c r="L58" s="716">
        <v>159</v>
      </c>
      <c r="M58" s="716">
        <v>1140</v>
      </c>
      <c r="N58" s="716">
        <v>808</v>
      </c>
      <c r="O58" s="772">
        <v>703</v>
      </c>
      <c r="P58" s="771">
        <v>649</v>
      </c>
      <c r="Q58" s="771">
        <v>286</v>
      </c>
      <c r="R58" s="771">
        <v>2805</v>
      </c>
      <c r="S58" s="773">
        <v>2161.4536715773784</v>
      </c>
      <c r="T58" s="774">
        <v>1325.8868227600001</v>
      </c>
      <c r="U58" s="778"/>
      <c r="V58" s="778"/>
      <c r="W58" s="778"/>
      <c r="X58" s="759"/>
      <c r="Y58" s="778"/>
      <c r="Z58" s="778"/>
      <c r="AA58" s="778"/>
      <c r="AB58" s="778"/>
      <c r="AC58" s="778"/>
      <c r="AD58" s="778"/>
      <c r="AE58" s="778"/>
      <c r="AF58" s="778"/>
    </row>
    <row r="59" spans="1:32" s="767" customFormat="1" ht="17.25" customHeight="1" x14ac:dyDescent="0.25">
      <c r="A59" s="3534" t="s">
        <v>568</v>
      </c>
      <c r="B59" s="3535"/>
      <c r="C59" s="771">
        <f t="shared" ref="C59:R59" si="9">C60+C62</f>
        <v>305</v>
      </c>
      <c r="D59" s="771">
        <f t="shared" si="9"/>
        <v>669</v>
      </c>
      <c r="E59" s="771">
        <f t="shared" si="9"/>
        <v>2127</v>
      </c>
      <c r="F59" s="771">
        <f t="shared" si="9"/>
        <v>974</v>
      </c>
      <c r="G59" s="771">
        <f t="shared" si="9"/>
        <v>3517</v>
      </c>
      <c r="H59" s="771">
        <f t="shared" si="9"/>
        <v>954</v>
      </c>
      <c r="I59" s="771">
        <f t="shared" si="9"/>
        <v>3669</v>
      </c>
      <c r="J59" s="771">
        <f t="shared" si="9"/>
        <v>3031</v>
      </c>
      <c r="K59" s="771">
        <f t="shared" si="9"/>
        <v>2819</v>
      </c>
      <c r="L59" s="771">
        <f t="shared" si="9"/>
        <v>1619</v>
      </c>
      <c r="M59" s="771">
        <f t="shared" si="9"/>
        <v>3531</v>
      </c>
      <c r="N59" s="771">
        <f t="shared" si="9"/>
        <v>2633</v>
      </c>
      <c r="O59" s="772">
        <f t="shared" si="9"/>
        <v>3095</v>
      </c>
      <c r="P59" s="771">
        <f t="shared" si="9"/>
        <v>2180</v>
      </c>
      <c r="Q59" s="771">
        <f t="shared" si="9"/>
        <v>2194</v>
      </c>
      <c r="R59" s="771">
        <f t="shared" si="9"/>
        <v>2559.5500000000002</v>
      </c>
      <c r="S59" s="773">
        <v>1353.7843249750179</v>
      </c>
      <c r="T59" s="774">
        <v>453.43278460762872</v>
      </c>
      <c r="U59" s="586"/>
      <c r="V59" s="586"/>
      <c r="W59" s="586"/>
      <c r="X59" s="759"/>
      <c r="Y59" s="586"/>
      <c r="Z59" s="586"/>
      <c r="AA59" s="586"/>
      <c r="AB59" s="586"/>
      <c r="AC59" s="586"/>
      <c r="AD59" s="586"/>
      <c r="AE59" s="586"/>
      <c r="AF59" s="586"/>
    </row>
    <row r="60" spans="1:32" s="767" customFormat="1" ht="17.25" customHeight="1" x14ac:dyDescent="0.25">
      <c r="A60" s="3534" t="s">
        <v>569</v>
      </c>
      <c r="B60" s="3535"/>
      <c r="C60" s="771">
        <v>210</v>
      </c>
      <c r="D60" s="771">
        <v>610</v>
      </c>
      <c r="E60" s="718">
        <v>1921</v>
      </c>
      <c r="F60" s="718">
        <v>320</v>
      </c>
      <c r="G60" s="718">
        <v>2887</v>
      </c>
      <c r="H60" s="716">
        <v>518</v>
      </c>
      <c r="I60" s="716">
        <v>728</v>
      </c>
      <c r="J60" s="716">
        <v>363</v>
      </c>
      <c r="K60" s="716">
        <v>448</v>
      </c>
      <c r="L60" s="716">
        <v>386</v>
      </c>
      <c r="M60" s="716">
        <v>533</v>
      </c>
      <c r="N60" s="716">
        <v>468</v>
      </c>
      <c r="O60" s="719">
        <v>545</v>
      </c>
      <c r="P60" s="717">
        <v>912</v>
      </c>
      <c r="Q60" s="717">
        <v>948</v>
      </c>
      <c r="R60" s="771">
        <v>743.1</v>
      </c>
      <c r="S60" s="773">
        <v>617.32574063692186</v>
      </c>
      <c r="T60" s="774">
        <v>312.4233333176287</v>
      </c>
      <c r="U60" s="586"/>
      <c r="V60" s="586"/>
      <c r="W60" s="586"/>
      <c r="X60" s="759"/>
      <c r="Y60" s="586"/>
      <c r="Z60" s="586"/>
      <c r="AA60" s="586"/>
      <c r="AB60" s="586"/>
      <c r="AC60" s="586"/>
      <c r="AD60" s="586"/>
      <c r="AE60" s="586"/>
      <c r="AF60" s="586"/>
    </row>
    <row r="61" spans="1:32" s="767" customFormat="1" ht="17.25" customHeight="1" x14ac:dyDescent="0.25">
      <c r="A61" s="780"/>
      <c r="B61" s="781" t="s">
        <v>570</v>
      </c>
      <c r="C61" s="771">
        <v>160</v>
      </c>
      <c r="D61" s="771">
        <v>610</v>
      </c>
      <c r="E61" s="716">
        <v>1921</v>
      </c>
      <c r="F61" s="716">
        <v>320</v>
      </c>
      <c r="G61" s="716">
        <v>2887</v>
      </c>
      <c r="H61" s="716">
        <v>510</v>
      </c>
      <c r="I61" s="716">
        <v>691</v>
      </c>
      <c r="J61" s="716">
        <v>353</v>
      </c>
      <c r="K61" s="716">
        <v>421</v>
      </c>
      <c r="L61" s="716">
        <v>377</v>
      </c>
      <c r="M61" s="716">
        <v>526</v>
      </c>
      <c r="N61" s="716">
        <v>442</v>
      </c>
      <c r="O61" s="719">
        <v>545</v>
      </c>
      <c r="P61" s="717">
        <v>794</v>
      </c>
      <c r="Q61" s="717">
        <v>830</v>
      </c>
      <c r="R61" s="771">
        <v>743.1</v>
      </c>
      <c r="S61" s="773">
        <v>576.79081063692183</v>
      </c>
      <c r="T61" s="774">
        <v>308.37520831762868</v>
      </c>
      <c r="U61" s="586"/>
      <c r="V61" s="586"/>
      <c r="W61" s="586"/>
      <c r="X61" s="759"/>
      <c r="Y61" s="586"/>
      <c r="Z61" s="586"/>
      <c r="AA61" s="586"/>
      <c r="AB61" s="586"/>
      <c r="AC61" s="586"/>
      <c r="AD61" s="586"/>
      <c r="AE61" s="586"/>
      <c r="AF61" s="586"/>
    </row>
    <row r="62" spans="1:32" s="767" customFormat="1" ht="17.25" customHeight="1" x14ac:dyDescent="0.25">
      <c r="A62" s="3534" t="s">
        <v>571</v>
      </c>
      <c r="B62" s="3535"/>
      <c r="C62" s="771">
        <v>95</v>
      </c>
      <c r="D62" s="771">
        <v>59</v>
      </c>
      <c r="E62" s="716">
        <v>206</v>
      </c>
      <c r="F62" s="716">
        <v>654</v>
      </c>
      <c r="G62" s="716">
        <v>630</v>
      </c>
      <c r="H62" s="716">
        <v>436</v>
      </c>
      <c r="I62" s="716">
        <v>2941</v>
      </c>
      <c r="J62" s="716">
        <v>2668</v>
      </c>
      <c r="K62" s="716">
        <v>2371</v>
      </c>
      <c r="L62" s="716">
        <v>1233</v>
      </c>
      <c r="M62" s="716">
        <v>2998</v>
      </c>
      <c r="N62" s="716">
        <v>2165</v>
      </c>
      <c r="O62" s="775">
        <v>2550</v>
      </c>
      <c r="P62" s="716">
        <v>1268</v>
      </c>
      <c r="Q62" s="716">
        <v>1246</v>
      </c>
      <c r="R62" s="716">
        <v>1816.45</v>
      </c>
      <c r="S62" s="776">
        <v>736.45858433809599</v>
      </c>
      <c r="T62" s="777">
        <v>141.00945129000004</v>
      </c>
      <c r="U62" s="586"/>
      <c r="V62" s="586"/>
      <c r="W62" s="586"/>
      <c r="X62" s="759"/>
      <c r="Y62" s="586"/>
      <c r="Z62" s="586"/>
      <c r="AA62" s="586"/>
      <c r="AB62" s="586"/>
      <c r="AC62" s="586"/>
      <c r="AD62" s="586"/>
      <c r="AE62" s="586"/>
      <c r="AF62" s="586"/>
    </row>
    <row r="63" spans="1:32" s="767" customFormat="1" ht="17.25" customHeight="1" x14ac:dyDescent="0.25">
      <c r="A63" s="782"/>
      <c r="B63" s="781" t="s">
        <v>572</v>
      </c>
      <c r="C63" s="771">
        <v>36</v>
      </c>
      <c r="D63" s="771">
        <v>18</v>
      </c>
      <c r="E63" s="771">
        <v>86</v>
      </c>
      <c r="F63" s="771">
        <v>348</v>
      </c>
      <c r="G63" s="771">
        <v>304</v>
      </c>
      <c r="H63" s="771">
        <v>257</v>
      </c>
      <c r="I63" s="771">
        <v>2634</v>
      </c>
      <c r="J63" s="771">
        <v>1981</v>
      </c>
      <c r="K63" s="771">
        <v>1576</v>
      </c>
      <c r="L63" s="771">
        <v>954</v>
      </c>
      <c r="M63" s="771">
        <v>2626</v>
      </c>
      <c r="N63" s="771">
        <v>1486</v>
      </c>
      <c r="O63" s="775">
        <v>2405</v>
      </c>
      <c r="P63" s="716">
        <v>1051</v>
      </c>
      <c r="Q63" s="716">
        <v>1108</v>
      </c>
      <c r="R63" s="716">
        <v>633</v>
      </c>
      <c r="S63" s="776">
        <v>684.04282440911686</v>
      </c>
      <c r="T63" s="777">
        <v>110.03417508000003</v>
      </c>
      <c r="U63" s="586"/>
      <c r="V63" s="586"/>
      <c r="W63" s="586"/>
      <c r="X63" s="759"/>
      <c r="Y63" s="586"/>
      <c r="Z63" s="586"/>
      <c r="AA63" s="586"/>
      <c r="AB63" s="586"/>
      <c r="AC63" s="586"/>
      <c r="AD63" s="586"/>
      <c r="AE63" s="586"/>
      <c r="AF63" s="586"/>
    </row>
    <row r="64" spans="1:32" s="767" customFormat="1" ht="17.25" customHeight="1" x14ac:dyDescent="0.25">
      <c r="A64" s="782"/>
      <c r="B64" s="781" t="s">
        <v>573</v>
      </c>
      <c r="C64" s="771">
        <f>C62-C63</f>
        <v>59</v>
      </c>
      <c r="D64" s="771">
        <f t="shared" ref="D64:Q64" si="10">D62-D63</f>
        <v>41</v>
      </c>
      <c r="E64" s="718">
        <f t="shared" si="10"/>
        <v>120</v>
      </c>
      <c r="F64" s="718">
        <f t="shared" si="10"/>
        <v>306</v>
      </c>
      <c r="G64" s="718">
        <f t="shared" si="10"/>
        <v>326</v>
      </c>
      <c r="H64" s="771">
        <f t="shared" si="10"/>
        <v>179</v>
      </c>
      <c r="I64" s="771">
        <f t="shared" si="10"/>
        <v>307</v>
      </c>
      <c r="J64" s="771">
        <f t="shared" si="10"/>
        <v>687</v>
      </c>
      <c r="K64" s="771">
        <f t="shared" si="10"/>
        <v>795</v>
      </c>
      <c r="L64" s="771">
        <f t="shared" si="10"/>
        <v>279</v>
      </c>
      <c r="M64" s="771">
        <f t="shared" si="10"/>
        <v>372</v>
      </c>
      <c r="N64" s="771">
        <f t="shared" si="10"/>
        <v>679</v>
      </c>
      <c r="O64" s="775">
        <f t="shared" si="10"/>
        <v>145</v>
      </c>
      <c r="P64" s="716">
        <f t="shared" si="10"/>
        <v>217</v>
      </c>
      <c r="Q64" s="716">
        <f t="shared" si="10"/>
        <v>138</v>
      </c>
      <c r="R64" s="716">
        <v>1183</v>
      </c>
      <c r="S64" s="776">
        <v>52.415759928979185</v>
      </c>
      <c r="T64" s="777">
        <v>30.975276210000018</v>
      </c>
      <c r="U64" s="586"/>
      <c r="V64" s="586"/>
      <c r="W64" s="586"/>
      <c r="X64" s="759"/>
      <c r="Y64" s="586"/>
      <c r="Z64" s="586"/>
      <c r="AA64" s="586"/>
      <c r="AB64" s="586"/>
      <c r="AC64" s="586"/>
      <c r="AD64" s="586"/>
      <c r="AE64" s="586"/>
      <c r="AF64" s="586"/>
    </row>
    <row r="65" spans="1:32" s="767" customFormat="1" ht="17.25" customHeight="1" x14ac:dyDescent="0.25">
      <c r="A65" s="3534" t="s">
        <v>574</v>
      </c>
      <c r="B65" s="3535"/>
      <c r="C65" s="771">
        <v>22</v>
      </c>
      <c r="D65" s="771">
        <v>76</v>
      </c>
      <c r="E65" s="718">
        <v>18</v>
      </c>
      <c r="F65" s="718">
        <v>2</v>
      </c>
      <c r="G65" s="718">
        <v>3</v>
      </c>
      <c r="H65" s="771">
        <v>151</v>
      </c>
      <c r="I65" s="771">
        <v>3</v>
      </c>
      <c r="J65" s="771">
        <v>135</v>
      </c>
      <c r="K65" s="771">
        <v>19</v>
      </c>
      <c r="L65" s="771">
        <v>30</v>
      </c>
      <c r="M65" s="771">
        <v>71</v>
      </c>
      <c r="N65" s="716">
        <v>26</v>
      </c>
      <c r="O65" s="783">
        <v>44</v>
      </c>
      <c r="P65" s="784">
        <v>201</v>
      </c>
      <c r="Q65" s="717">
        <v>10</v>
      </c>
      <c r="R65" s="717">
        <v>16</v>
      </c>
      <c r="S65" s="720">
        <v>66.209543674720749</v>
      </c>
      <c r="T65" s="721">
        <v>88.44454429000001</v>
      </c>
      <c r="U65" s="586"/>
      <c r="V65" s="586"/>
      <c r="W65" s="586"/>
      <c r="X65" s="759"/>
      <c r="Y65" s="586"/>
      <c r="Z65" s="586"/>
      <c r="AA65" s="586"/>
      <c r="AB65" s="586"/>
      <c r="AC65" s="586"/>
      <c r="AD65" s="586"/>
      <c r="AE65" s="586"/>
      <c r="AF65" s="586"/>
    </row>
    <row r="66" spans="1:32" s="792" customFormat="1" ht="17.25" customHeight="1" thickBot="1" x14ac:dyDescent="0.3">
      <c r="A66" s="3541" t="s">
        <v>575</v>
      </c>
      <c r="B66" s="3542"/>
      <c r="C66" s="785">
        <v>31</v>
      </c>
      <c r="D66" s="785">
        <v>2</v>
      </c>
      <c r="E66" s="786">
        <v>0</v>
      </c>
      <c r="F66" s="786">
        <v>0</v>
      </c>
      <c r="G66" s="786">
        <v>0</v>
      </c>
      <c r="H66" s="787">
        <v>0</v>
      </c>
      <c r="I66" s="785">
        <v>26</v>
      </c>
      <c r="J66" s="785">
        <v>63</v>
      </c>
      <c r="K66" s="787">
        <v>0</v>
      </c>
      <c r="L66" s="785">
        <v>3</v>
      </c>
      <c r="M66" s="785">
        <v>4</v>
      </c>
      <c r="N66" s="787">
        <v>0</v>
      </c>
      <c r="O66" s="788">
        <v>0</v>
      </c>
      <c r="P66" s="785">
        <v>62</v>
      </c>
      <c r="Q66" s="787">
        <v>0</v>
      </c>
      <c r="R66" s="789">
        <v>35</v>
      </c>
      <c r="S66" s="790">
        <v>4985.4761820875865</v>
      </c>
      <c r="T66" s="791">
        <v>2028.224626979094</v>
      </c>
      <c r="X66" s="759"/>
    </row>
    <row r="67" spans="1:32" s="751" customFormat="1" ht="18" customHeight="1" thickTop="1" x14ac:dyDescent="0.25">
      <c r="A67" s="3543" t="s">
        <v>576</v>
      </c>
      <c r="B67" s="3543"/>
      <c r="C67" s="3543"/>
      <c r="D67" s="3543"/>
      <c r="E67" s="3543"/>
      <c r="F67" s="3543"/>
      <c r="G67" s="3543"/>
      <c r="H67" s="3543"/>
      <c r="I67" s="3543"/>
      <c r="J67" s="3543"/>
      <c r="K67" s="3543"/>
      <c r="L67" s="3543"/>
      <c r="M67" s="3543"/>
      <c r="N67" s="3543"/>
      <c r="O67" s="3543"/>
      <c r="P67" s="3543"/>
      <c r="Q67" s="3543"/>
      <c r="R67" s="3543"/>
      <c r="S67" s="3543"/>
      <c r="T67" s="3543"/>
    </row>
    <row r="68" spans="1:32" s="751" customFormat="1" ht="16.5" customHeight="1" x14ac:dyDescent="0.25">
      <c r="A68" s="3527" t="s">
        <v>538</v>
      </c>
      <c r="B68" s="3527"/>
      <c r="C68" s="3527"/>
      <c r="D68" s="3527"/>
      <c r="E68" s="3527"/>
      <c r="F68" s="3527"/>
      <c r="G68" s="3527"/>
      <c r="H68" s="3527"/>
      <c r="I68" s="3527"/>
      <c r="J68" s="3527"/>
      <c r="K68" s="3527"/>
      <c r="L68" s="3527"/>
      <c r="M68" s="3527"/>
      <c r="N68" s="3527"/>
      <c r="O68" s="3527"/>
      <c r="P68" s="3527"/>
      <c r="Q68" s="3527"/>
    </row>
    <row r="69" spans="1:32" s="751" customFormat="1" ht="16.5" customHeight="1" x14ac:dyDescent="0.25">
      <c r="A69" s="3536" t="s">
        <v>577</v>
      </c>
      <c r="B69" s="3536"/>
      <c r="C69" s="3536"/>
      <c r="D69" s="3536"/>
      <c r="E69" s="3536"/>
      <c r="F69" s="3536"/>
      <c r="G69" s="3536"/>
      <c r="H69" s="3536"/>
      <c r="I69" s="3536"/>
      <c r="J69" s="3536"/>
      <c r="K69" s="3536"/>
      <c r="L69" s="3536"/>
      <c r="M69" s="3536"/>
      <c r="N69" s="3536"/>
      <c r="O69" s="3536"/>
      <c r="P69" s="3536"/>
      <c r="Q69" s="3536"/>
      <c r="R69" s="3536"/>
    </row>
    <row r="70" spans="1:32" s="751" customFormat="1" ht="16.5" customHeight="1" x14ac:dyDescent="0.25">
      <c r="A70" s="3536" t="s">
        <v>5606</v>
      </c>
      <c r="B70" s="3536"/>
      <c r="C70" s="3536"/>
      <c r="D70" s="3536"/>
      <c r="E70" s="3536"/>
      <c r="F70" s="3536"/>
      <c r="G70" s="3536"/>
      <c r="H70" s="3536"/>
      <c r="I70" s="3536"/>
      <c r="J70" s="3536"/>
      <c r="K70" s="3536"/>
      <c r="L70" s="3536"/>
      <c r="M70" s="3536"/>
      <c r="N70" s="3536"/>
      <c r="O70" s="3536"/>
      <c r="P70" s="3536"/>
      <c r="Q70" s="3536"/>
      <c r="R70" s="3536"/>
    </row>
    <row r="71" spans="1:32" s="751" customFormat="1" ht="16.5" customHeight="1" x14ac:dyDescent="0.25">
      <c r="A71" s="793" t="s">
        <v>578</v>
      </c>
      <c r="B71" s="3222"/>
      <c r="C71" s="3222"/>
      <c r="D71" s="3222"/>
      <c r="E71" s="3222"/>
      <c r="F71" s="3222"/>
      <c r="G71" s="3222"/>
      <c r="H71" s="3222"/>
      <c r="I71" s="3222"/>
      <c r="J71" s="3222"/>
      <c r="K71" s="3222"/>
      <c r="L71" s="3222"/>
      <c r="M71" s="3222"/>
      <c r="N71" s="3222"/>
      <c r="O71" s="3222"/>
      <c r="P71" s="3222"/>
      <c r="Q71" s="3222"/>
      <c r="R71" s="3222"/>
      <c r="S71" s="3222"/>
      <c r="T71" s="3222"/>
    </row>
    <row r="72" spans="1:32" s="751" customFormat="1" ht="15" customHeight="1" x14ac:dyDescent="0.25">
      <c r="A72" s="3540" t="s">
        <v>173</v>
      </c>
      <c r="B72" s="3540"/>
      <c r="C72" s="3540"/>
      <c r="D72" s="3540"/>
      <c r="E72" s="3540"/>
      <c r="F72" s="3540"/>
      <c r="G72" s="3540"/>
      <c r="H72" s="3540"/>
      <c r="I72" s="3540"/>
      <c r="J72" s="3540"/>
      <c r="K72" s="3540"/>
      <c r="L72" s="3540"/>
      <c r="M72" s="3540"/>
      <c r="N72" s="3540"/>
      <c r="O72" s="3540"/>
      <c r="P72" s="3540"/>
      <c r="Q72" s="3540"/>
    </row>
    <row r="73" spans="1:32" s="794" customFormat="1" ht="14.25" x14ac:dyDescent="0.25">
      <c r="A73" s="3540" t="s">
        <v>290</v>
      </c>
      <c r="B73" s="3540"/>
      <c r="C73" s="3540"/>
      <c r="D73" s="3540"/>
      <c r="E73" s="3540"/>
      <c r="F73" s="3540"/>
      <c r="G73" s="3540"/>
      <c r="H73" s="3540"/>
      <c r="I73" s="3540"/>
      <c r="J73" s="3540"/>
      <c r="K73" s="3540"/>
      <c r="L73" s="3540"/>
      <c r="M73" s="3540"/>
      <c r="N73" s="3540"/>
      <c r="O73" s="3540"/>
      <c r="P73" s="3540"/>
      <c r="Q73" s="3540"/>
    </row>
    <row r="74" spans="1:32" s="584" customFormat="1" ht="14.25" x14ac:dyDescent="0.25">
      <c r="E74" s="795"/>
      <c r="F74" s="795"/>
    </row>
    <row r="75" spans="1:32" x14ac:dyDescent="0.25">
      <c r="E75" s="796"/>
      <c r="F75" s="796"/>
    </row>
    <row r="76" spans="1:32" x14ac:dyDescent="0.25">
      <c r="C76" s="754"/>
      <c r="D76" s="754"/>
      <c r="E76" s="754"/>
      <c r="F76" s="754"/>
      <c r="G76" s="754"/>
      <c r="H76" s="754"/>
      <c r="I76" s="754"/>
      <c r="J76" s="754"/>
      <c r="K76" s="754"/>
      <c r="L76" s="754"/>
      <c r="M76" s="754"/>
      <c r="N76" s="754"/>
      <c r="O76" s="754"/>
      <c r="P76" s="754"/>
      <c r="Q76" s="754"/>
      <c r="R76" s="754"/>
      <c r="S76" s="754"/>
      <c r="T76" s="754"/>
    </row>
    <row r="77" spans="1:32" x14ac:dyDescent="0.25">
      <c r="C77" s="754"/>
      <c r="D77" s="754"/>
      <c r="E77" s="754"/>
      <c r="F77" s="754"/>
      <c r="G77" s="754"/>
      <c r="H77" s="754"/>
      <c r="I77" s="754"/>
      <c r="J77" s="754"/>
      <c r="K77" s="754"/>
      <c r="L77" s="754"/>
      <c r="M77" s="754"/>
      <c r="N77" s="754"/>
      <c r="O77" s="754"/>
      <c r="P77" s="754"/>
      <c r="Q77" s="754"/>
      <c r="R77" s="754"/>
      <c r="S77" s="754"/>
      <c r="T77" s="754"/>
    </row>
    <row r="78" spans="1:32" x14ac:dyDescent="0.25">
      <c r="E78" s="796"/>
      <c r="F78" s="796"/>
    </row>
  </sheetData>
  <mergeCells count="42">
    <mergeCell ref="A73:Q73"/>
    <mergeCell ref="A58:B58"/>
    <mergeCell ref="A59:B59"/>
    <mergeCell ref="A60:B60"/>
    <mergeCell ref="A62:B62"/>
    <mergeCell ref="A65:B65"/>
    <mergeCell ref="A66:B66"/>
    <mergeCell ref="A67:T67"/>
    <mergeCell ref="A68:Q68"/>
    <mergeCell ref="A69:R69"/>
    <mergeCell ref="A70:R70"/>
    <mergeCell ref="A72:Q72"/>
    <mergeCell ref="A57:B57"/>
    <mergeCell ref="A45:B45"/>
    <mergeCell ref="A46:B46"/>
    <mergeCell ref="A48:B48"/>
    <mergeCell ref="A49:B49"/>
    <mergeCell ref="A50:B50"/>
    <mergeCell ref="A51:B51"/>
    <mergeCell ref="A52:B52"/>
    <mergeCell ref="A53:B53"/>
    <mergeCell ref="A54:B54"/>
    <mergeCell ref="A55:B55"/>
    <mergeCell ref="A56:B56"/>
    <mergeCell ref="A44:B44"/>
    <mergeCell ref="A28:Q28"/>
    <mergeCell ref="A29:R29"/>
    <mergeCell ref="A33:B33"/>
    <mergeCell ref="A36:B36"/>
    <mergeCell ref="A37:B37"/>
    <mergeCell ref="A39:B39"/>
    <mergeCell ref="A40:B40"/>
    <mergeCell ref="A41:B41"/>
    <mergeCell ref="A42:B42"/>
    <mergeCell ref="A43:B43"/>
    <mergeCell ref="A31:T31"/>
    <mergeCell ref="A27:Q27"/>
    <mergeCell ref="A23:B23"/>
    <mergeCell ref="A24:O24"/>
    <mergeCell ref="A25:T25"/>
    <mergeCell ref="A26:T26"/>
    <mergeCell ref="A1:T1"/>
  </mergeCells>
  <pageMargins left="0.5" right="0.42" top="0.75" bottom="0.28999999999999998" header="0.3" footer="0.3"/>
  <pageSetup paperSize="9" scale="54"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BN76"/>
  <sheetViews>
    <sheetView zoomScaleNormal="100" zoomScaleSheetLayoutView="80" workbookViewId="0">
      <pane xSplit="2" ySplit="3" topLeftCell="L4" activePane="bottomRight" state="frozen"/>
      <selection activeCell="A38" sqref="A38"/>
      <selection pane="topRight" activeCell="A38" sqref="A38"/>
      <selection pane="bottomLeft" activeCell="A38" sqref="A38"/>
      <selection pane="bottomRight" sqref="A1:T72"/>
    </sheetView>
  </sheetViews>
  <sheetFormatPr defaultColWidth="9.140625" defaultRowHeight="16.5" x14ac:dyDescent="0.25"/>
  <cols>
    <col min="1" max="1" width="10.42578125" style="798" customWidth="1"/>
    <col min="2" max="2" width="48.140625" style="798" customWidth="1"/>
    <col min="3" max="4" width="12.140625" style="799" hidden="1" customWidth="1"/>
    <col min="5" max="9" width="12.140625" style="798" hidden="1" customWidth="1"/>
    <col min="10" max="10" width="12.28515625" style="798" hidden="1" customWidth="1"/>
    <col min="11" max="11" width="12.85546875" style="798" hidden="1" customWidth="1"/>
    <col min="12" max="18" width="13.42578125" style="798" customWidth="1"/>
    <col min="19" max="20" width="12.85546875" style="798" customWidth="1"/>
    <col min="21" max="16384" width="9.140625" style="798"/>
  </cols>
  <sheetData>
    <row r="1" spans="1:36" s="797" customFormat="1" ht="17.25" customHeight="1" x14ac:dyDescent="0.25">
      <c r="A1" s="3528" t="s">
        <v>5607</v>
      </c>
      <c r="B1" s="3528"/>
      <c r="C1" s="3528"/>
      <c r="D1" s="3528"/>
      <c r="E1" s="3528"/>
      <c r="F1" s="3528"/>
      <c r="G1" s="3528"/>
      <c r="H1" s="3528"/>
      <c r="I1" s="3528"/>
      <c r="J1" s="3528"/>
      <c r="K1" s="3528"/>
      <c r="L1" s="3528"/>
      <c r="M1" s="3528"/>
      <c r="N1" s="3528"/>
      <c r="O1" s="3528"/>
      <c r="P1" s="3528"/>
      <c r="Q1" s="3528"/>
      <c r="R1" s="3528"/>
      <c r="S1" s="3528"/>
      <c r="T1" s="3528"/>
    </row>
    <row r="2" spans="1:36" ht="17.25" thickBot="1" x14ac:dyDescent="0.3">
      <c r="D2" s="800"/>
      <c r="E2" s="800"/>
      <c r="I2" s="800"/>
      <c r="J2" s="800"/>
      <c r="K2" s="800"/>
      <c r="L2" s="800"/>
      <c r="M2" s="800"/>
      <c r="O2" s="800"/>
      <c r="P2" s="800"/>
      <c r="Q2" s="800"/>
      <c r="R2" s="800"/>
      <c r="S2" s="800"/>
      <c r="T2" s="800" t="s">
        <v>281</v>
      </c>
    </row>
    <row r="3" spans="1:36" s="703" customFormat="1" ht="21.75" customHeight="1" thickTop="1" thickBot="1" x14ac:dyDescent="0.3">
      <c r="A3" s="3223" t="s">
        <v>579</v>
      </c>
      <c r="B3" s="801" t="s">
        <v>232</v>
      </c>
      <c r="C3" s="756" t="s">
        <v>512</v>
      </c>
      <c r="D3" s="756" t="s">
        <v>513</v>
      </c>
      <c r="E3" s="756" t="s">
        <v>514</v>
      </c>
      <c r="F3" s="756" t="s">
        <v>515</v>
      </c>
      <c r="G3" s="756" t="s">
        <v>516</v>
      </c>
      <c r="H3" s="756" t="s">
        <v>517</v>
      </c>
      <c r="I3" s="756" t="s">
        <v>518</v>
      </c>
      <c r="J3" s="756" t="s">
        <v>519</v>
      </c>
      <c r="K3" s="756" t="s">
        <v>520</v>
      </c>
      <c r="L3" s="756" t="s">
        <v>521</v>
      </c>
      <c r="M3" s="756" t="s">
        <v>522</v>
      </c>
      <c r="N3" s="756" t="s">
        <v>541</v>
      </c>
      <c r="O3" s="802" t="s">
        <v>524</v>
      </c>
      <c r="P3" s="756" t="s">
        <v>525</v>
      </c>
      <c r="Q3" s="756" t="s">
        <v>580</v>
      </c>
      <c r="R3" s="757" t="s">
        <v>527</v>
      </c>
      <c r="S3" s="701" t="s">
        <v>542</v>
      </c>
      <c r="T3" s="702" t="s">
        <v>5608</v>
      </c>
    </row>
    <row r="4" spans="1:36" s="810" customFormat="1" ht="21" customHeight="1" x14ac:dyDescent="0.25">
      <c r="A4" s="803" t="s">
        <v>231</v>
      </c>
      <c r="B4" s="804" t="s">
        <v>230</v>
      </c>
      <c r="C4" s="717">
        <v>270.8</v>
      </c>
      <c r="D4" s="717">
        <v>112.9</v>
      </c>
      <c r="E4" s="717">
        <f>2.8+6.98</f>
        <v>9.7800000000000011</v>
      </c>
      <c r="F4" s="717">
        <v>0.90500000000000003</v>
      </c>
      <c r="G4" s="717">
        <v>10.1</v>
      </c>
      <c r="H4" s="718">
        <v>535</v>
      </c>
      <c r="I4" s="718">
        <v>696</v>
      </c>
      <c r="J4" s="718">
        <v>527</v>
      </c>
      <c r="K4" s="718">
        <v>254</v>
      </c>
      <c r="L4" s="718">
        <v>799</v>
      </c>
      <c r="M4" s="718">
        <v>284.8</v>
      </c>
      <c r="N4" s="718">
        <v>284</v>
      </c>
      <c r="O4" s="805">
        <v>34</v>
      </c>
      <c r="P4" s="805">
        <v>81</v>
      </c>
      <c r="Q4" s="806">
        <v>90.688840350000007</v>
      </c>
      <c r="R4" s="807">
        <v>0</v>
      </c>
      <c r="S4" s="808">
        <v>0</v>
      </c>
      <c r="T4" s="809">
        <v>0</v>
      </c>
    </row>
    <row r="5" spans="1:36" s="810" customFormat="1" ht="21" customHeight="1" x14ac:dyDescent="0.25">
      <c r="A5" s="803" t="s">
        <v>227</v>
      </c>
      <c r="B5" s="804" t="s">
        <v>226</v>
      </c>
      <c r="C5" s="717">
        <v>335.3</v>
      </c>
      <c r="D5" s="717">
        <v>235.3</v>
      </c>
      <c r="E5" s="717">
        <f>14.3+190.9</f>
        <v>205.20000000000002</v>
      </c>
      <c r="F5" s="717">
        <v>114.2</v>
      </c>
      <c r="G5" s="717">
        <v>347.4</v>
      </c>
      <c r="H5" s="718">
        <v>991</v>
      </c>
      <c r="I5" s="718">
        <v>449</v>
      </c>
      <c r="J5" s="718">
        <v>213</v>
      </c>
      <c r="K5" s="718">
        <v>503</v>
      </c>
      <c r="L5" s="718">
        <v>330</v>
      </c>
      <c r="M5" s="718">
        <v>1380.6</v>
      </c>
      <c r="N5" s="718">
        <v>1555</v>
      </c>
      <c r="O5" s="718">
        <v>2881</v>
      </c>
      <c r="P5" s="718">
        <v>1365</v>
      </c>
      <c r="Q5" s="718">
        <v>855.61091334822822</v>
      </c>
      <c r="R5" s="723">
        <v>3127</v>
      </c>
      <c r="S5" s="724">
        <v>3</v>
      </c>
      <c r="T5" s="725">
        <v>101</v>
      </c>
    </row>
    <row r="6" spans="1:36" s="810" customFormat="1" ht="25.5" customHeight="1" x14ac:dyDescent="0.25">
      <c r="A6" s="803" t="s">
        <v>225</v>
      </c>
      <c r="B6" s="804" t="s">
        <v>224</v>
      </c>
      <c r="C6" s="717">
        <v>0</v>
      </c>
      <c r="D6" s="717">
        <v>0</v>
      </c>
      <c r="E6" s="717">
        <v>0</v>
      </c>
      <c r="F6" s="717">
        <v>0</v>
      </c>
      <c r="G6" s="717">
        <v>15.56</v>
      </c>
      <c r="H6" s="805">
        <v>0</v>
      </c>
      <c r="I6" s="805">
        <v>0</v>
      </c>
      <c r="J6" s="805">
        <v>0</v>
      </c>
      <c r="K6" s="805">
        <v>0</v>
      </c>
      <c r="L6" s="805">
        <v>0</v>
      </c>
      <c r="M6" s="805">
        <v>53.4</v>
      </c>
      <c r="N6" s="805">
        <v>0</v>
      </c>
      <c r="O6" s="805">
        <v>273</v>
      </c>
      <c r="P6" s="805">
        <v>150</v>
      </c>
      <c r="Q6" s="806">
        <v>20.139000000000003</v>
      </c>
      <c r="R6" s="811">
        <v>15</v>
      </c>
      <c r="S6" s="808">
        <v>0</v>
      </c>
      <c r="T6" s="809">
        <v>1</v>
      </c>
    </row>
    <row r="7" spans="1:36" s="812" customFormat="1" ht="36.75" customHeight="1" x14ac:dyDescent="0.25">
      <c r="A7" s="803" t="s">
        <v>223</v>
      </c>
      <c r="B7" s="804" t="s">
        <v>222</v>
      </c>
      <c r="C7" s="717">
        <v>0</v>
      </c>
      <c r="D7" s="717">
        <v>0</v>
      </c>
      <c r="E7" s="717">
        <v>0</v>
      </c>
      <c r="F7" s="717">
        <v>0</v>
      </c>
      <c r="G7" s="717">
        <v>0</v>
      </c>
      <c r="H7" s="718">
        <v>1</v>
      </c>
      <c r="I7" s="718">
        <v>6</v>
      </c>
      <c r="J7" s="805">
        <v>0</v>
      </c>
      <c r="K7" s="805">
        <v>0</v>
      </c>
      <c r="L7" s="805">
        <v>12</v>
      </c>
      <c r="M7" s="805">
        <v>0</v>
      </c>
      <c r="N7" s="805">
        <v>0</v>
      </c>
      <c r="O7" s="805">
        <v>0</v>
      </c>
      <c r="P7" s="805">
        <v>0</v>
      </c>
      <c r="Q7" s="805">
        <v>0</v>
      </c>
      <c r="R7" s="807">
        <v>0</v>
      </c>
      <c r="S7" s="808">
        <v>0</v>
      </c>
      <c r="T7" s="809">
        <v>0</v>
      </c>
    </row>
    <row r="8" spans="1:36" s="810" customFormat="1" ht="21" customHeight="1" x14ac:dyDescent="0.25">
      <c r="A8" s="803" t="s">
        <v>221</v>
      </c>
      <c r="B8" s="804" t="s">
        <v>220</v>
      </c>
      <c r="C8" s="717">
        <v>26</v>
      </c>
      <c r="D8" s="717">
        <v>29.968</v>
      </c>
      <c r="E8" s="717">
        <v>2.4710000000000001</v>
      </c>
      <c r="F8" s="717">
        <v>3.8</v>
      </c>
      <c r="G8" s="717">
        <v>0</v>
      </c>
      <c r="H8" s="718">
        <v>308</v>
      </c>
      <c r="I8" s="718">
        <v>114</v>
      </c>
      <c r="J8" s="718">
        <v>425</v>
      </c>
      <c r="K8" s="718">
        <v>98</v>
      </c>
      <c r="L8" s="718">
        <v>242</v>
      </c>
      <c r="M8" s="718">
        <v>137.9</v>
      </c>
      <c r="N8" s="805">
        <v>0</v>
      </c>
      <c r="O8" s="805">
        <v>41</v>
      </c>
      <c r="P8" s="805">
        <v>19</v>
      </c>
      <c r="Q8" s="805">
        <v>0</v>
      </c>
      <c r="R8" s="807">
        <v>1</v>
      </c>
      <c r="S8" s="808">
        <v>0</v>
      </c>
      <c r="T8" s="809">
        <v>45.1</v>
      </c>
    </row>
    <row r="9" spans="1:36" s="810" customFormat="1" ht="21" customHeight="1" x14ac:dyDescent="0.25">
      <c r="A9" s="813" t="s">
        <v>219</v>
      </c>
      <c r="B9" s="814" t="s">
        <v>531</v>
      </c>
      <c r="C9" s="717">
        <v>5.508</v>
      </c>
      <c r="D9" s="717">
        <v>17.231999999999999</v>
      </c>
      <c r="E9" s="717">
        <f>3.388+18.834</f>
        <v>22.222000000000001</v>
      </c>
      <c r="F9" s="717">
        <v>33.9</v>
      </c>
      <c r="G9" s="717">
        <v>0.89</v>
      </c>
      <c r="H9" s="815">
        <v>78</v>
      </c>
      <c r="I9" s="815">
        <v>90</v>
      </c>
      <c r="J9" s="815">
        <v>108</v>
      </c>
      <c r="K9" s="815">
        <v>656</v>
      </c>
      <c r="L9" s="815">
        <v>145</v>
      </c>
      <c r="M9" s="815">
        <v>68.599999999999994</v>
      </c>
      <c r="N9" s="815">
        <v>31</v>
      </c>
      <c r="O9" s="718">
        <v>82</v>
      </c>
      <c r="P9" s="718">
        <v>99</v>
      </c>
      <c r="Q9" s="806">
        <v>9.1827190399999985</v>
      </c>
      <c r="R9" s="811">
        <v>729</v>
      </c>
      <c r="S9" s="808">
        <v>0</v>
      </c>
      <c r="T9" s="809">
        <v>0.6</v>
      </c>
      <c r="U9" s="812"/>
      <c r="V9" s="812"/>
      <c r="W9" s="812"/>
      <c r="X9" s="812"/>
      <c r="Y9" s="812"/>
      <c r="Z9" s="812"/>
      <c r="AA9" s="812"/>
      <c r="AB9" s="812"/>
      <c r="AC9" s="812"/>
      <c r="AD9" s="812"/>
      <c r="AE9" s="812"/>
      <c r="AF9" s="812"/>
      <c r="AG9" s="812"/>
      <c r="AH9" s="812"/>
      <c r="AI9" s="812"/>
      <c r="AJ9" s="812"/>
    </row>
    <row r="10" spans="1:36" s="810" customFormat="1" ht="21" customHeight="1" x14ac:dyDescent="0.25">
      <c r="A10" s="803" t="s">
        <v>217</v>
      </c>
      <c r="B10" s="804" t="s">
        <v>216</v>
      </c>
      <c r="C10" s="717">
        <v>1.7749999999999999</v>
      </c>
      <c r="D10" s="717">
        <v>5.2679999999999998</v>
      </c>
      <c r="E10" s="717">
        <v>12.94</v>
      </c>
      <c r="F10" s="717">
        <v>9</v>
      </c>
      <c r="G10" s="717">
        <v>0</v>
      </c>
      <c r="H10" s="718">
        <v>34</v>
      </c>
      <c r="I10" s="718">
        <v>167</v>
      </c>
      <c r="J10" s="718">
        <v>71</v>
      </c>
      <c r="K10" s="718">
        <v>233</v>
      </c>
      <c r="L10" s="718">
        <v>24</v>
      </c>
      <c r="M10" s="718">
        <v>27.8</v>
      </c>
      <c r="N10" s="718">
        <v>35</v>
      </c>
      <c r="O10" s="805">
        <v>28</v>
      </c>
      <c r="P10" s="805">
        <v>12</v>
      </c>
      <c r="Q10" s="806">
        <v>117.32899999999999</v>
      </c>
      <c r="R10" s="807">
        <v>23</v>
      </c>
      <c r="S10" s="808">
        <v>0</v>
      </c>
      <c r="T10" s="809">
        <v>0</v>
      </c>
      <c r="U10" s="812"/>
      <c r="V10" s="812"/>
      <c r="W10" s="812"/>
      <c r="X10" s="812"/>
      <c r="Y10" s="812"/>
      <c r="Z10" s="812"/>
      <c r="AA10" s="812"/>
      <c r="AB10" s="812"/>
      <c r="AC10" s="812"/>
      <c r="AD10" s="812"/>
      <c r="AE10" s="812"/>
      <c r="AF10" s="812"/>
      <c r="AG10" s="812"/>
      <c r="AH10" s="812"/>
      <c r="AI10" s="812"/>
      <c r="AJ10" s="812"/>
    </row>
    <row r="11" spans="1:36" s="810" customFormat="1" ht="21" customHeight="1" x14ac:dyDescent="0.25">
      <c r="A11" s="803" t="s">
        <v>215</v>
      </c>
      <c r="B11" s="804" t="s">
        <v>214</v>
      </c>
      <c r="C11" s="717">
        <v>391</v>
      </c>
      <c r="D11" s="717">
        <v>1068.3</v>
      </c>
      <c r="E11" s="717">
        <f>32.489+887.884</f>
        <v>920.37300000000005</v>
      </c>
      <c r="F11" s="717">
        <v>711.4</v>
      </c>
      <c r="G11" s="717">
        <v>1002</v>
      </c>
      <c r="H11" s="718">
        <v>1850</v>
      </c>
      <c r="I11" s="718">
        <v>1017</v>
      </c>
      <c r="J11" s="718">
        <v>3044</v>
      </c>
      <c r="K11" s="718">
        <v>1446</v>
      </c>
      <c r="L11" s="718">
        <v>919</v>
      </c>
      <c r="M11" s="718">
        <v>919.9</v>
      </c>
      <c r="N11" s="718">
        <v>596</v>
      </c>
      <c r="O11" s="718">
        <v>270</v>
      </c>
      <c r="P11" s="718">
        <v>808</v>
      </c>
      <c r="Q11" s="718">
        <v>990.01888278000013</v>
      </c>
      <c r="R11" s="723">
        <v>378</v>
      </c>
      <c r="S11" s="808">
        <v>37</v>
      </c>
      <c r="T11" s="809">
        <v>11</v>
      </c>
    </row>
    <row r="12" spans="1:36" s="810" customFormat="1" ht="21" customHeight="1" x14ac:dyDescent="0.25">
      <c r="A12" s="803" t="s">
        <v>213</v>
      </c>
      <c r="B12" s="804" t="s">
        <v>212</v>
      </c>
      <c r="C12" s="717">
        <v>0</v>
      </c>
      <c r="D12" s="717">
        <v>0</v>
      </c>
      <c r="E12" s="717">
        <v>0.48199999999999998</v>
      </c>
      <c r="F12" s="717">
        <v>0</v>
      </c>
      <c r="G12" s="717">
        <v>0</v>
      </c>
      <c r="H12" s="718">
        <v>195</v>
      </c>
      <c r="I12" s="718">
        <v>19</v>
      </c>
      <c r="J12" s="718">
        <v>181</v>
      </c>
      <c r="K12" s="718">
        <v>1165</v>
      </c>
      <c r="L12" s="805">
        <v>0</v>
      </c>
      <c r="M12" s="805">
        <v>324</v>
      </c>
      <c r="N12" s="718">
        <v>84</v>
      </c>
      <c r="O12" s="805">
        <v>0</v>
      </c>
      <c r="P12" s="805">
        <v>16</v>
      </c>
      <c r="Q12" s="806">
        <v>517.06501850000006</v>
      </c>
      <c r="R12" s="811">
        <v>31</v>
      </c>
      <c r="S12" s="808">
        <v>1</v>
      </c>
      <c r="T12" s="809">
        <v>0</v>
      </c>
    </row>
    <row r="13" spans="1:36" s="810" customFormat="1" ht="21" customHeight="1" x14ac:dyDescent="0.25">
      <c r="A13" s="803" t="s">
        <v>211</v>
      </c>
      <c r="B13" s="804" t="s">
        <v>210</v>
      </c>
      <c r="C13" s="717">
        <v>12.14</v>
      </c>
      <c r="D13" s="717">
        <v>113</v>
      </c>
      <c r="E13" s="717">
        <v>209</v>
      </c>
      <c r="F13" s="717">
        <v>209.2</v>
      </c>
      <c r="G13" s="717">
        <v>1063</v>
      </c>
      <c r="H13" s="718">
        <v>1252</v>
      </c>
      <c r="I13" s="718">
        <v>2381</v>
      </c>
      <c r="J13" s="718">
        <v>618</v>
      </c>
      <c r="K13" s="718">
        <v>609</v>
      </c>
      <c r="L13" s="718">
        <v>1136</v>
      </c>
      <c r="M13" s="718">
        <v>94.5</v>
      </c>
      <c r="N13" s="718">
        <v>1168</v>
      </c>
      <c r="O13" s="718">
        <v>1283</v>
      </c>
      <c r="P13" s="718">
        <v>1058.5999999999999</v>
      </c>
      <c r="Q13" s="718">
        <v>316.90978301999996</v>
      </c>
      <c r="R13" s="723">
        <v>275.60000000000002</v>
      </c>
      <c r="S13" s="724">
        <v>8.8000000000000007</v>
      </c>
      <c r="T13" s="809">
        <v>0</v>
      </c>
    </row>
    <row r="14" spans="1:36" s="816" customFormat="1" ht="21" customHeight="1" x14ac:dyDescent="0.25">
      <c r="A14" s="803" t="s">
        <v>209</v>
      </c>
      <c r="B14" s="804" t="s">
        <v>208</v>
      </c>
      <c r="C14" s="717">
        <v>90.756</v>
      </c>
      <c r="D14" s="717">
        <v>245.41200000000001</v>
      </c>
      <c r="E14" s="717">
        <v>213</v>
      </c>
      <c r="F14" s="717">
        <v>329.8</v>
      </c>
      <c r="G14" s="717">
        <v>124</v>
      </c>
      <c r="H14" s="718">
        <v>165</v>
      </c>
      <c r="I14" s="718">
        <v>253.6</v>
      </c>
      <c r="J14" s="718">
        <v>862</v>
      </c>
      <c r="K14" s="718">
        <v>409</v>
      </c>
      <c r="L14" s="718">
        <v>286</v>
      </c>
      <c r="M14" s="718">
        <v>448</v>
      </c>
      <c r="N14" s="718">
        <v>587</v>
      </c>
      <c r="O14" s="718">
        <v>210</v>
      </c>
      <c r="P14" s="718">
        <v>292</v>
      </c>
      <c r="Q14" s="718">
        <v>325.87351961999997</v>
      </c>
      <c r="R14" s="723">
        <v>415</v>
      </c>
      <c r="S14" s="724">
        <v>816</v>
      </c>
      <c r="T14" s="725">
        <v>241.3</v>
      </c>
    </row>
    <row r="15" spans="1:36" s="817" customFormat="1" ht="21" customHeight="1" x14ac:dyDescent="0.25">
      <c r="A15" s="803" t="s">
        <v>207</v>
      </c>
      <c r="B15" s="804" t="s">
        <v>206</v>
      </c>
      <c r="C15" s="717">
        <v>0</v>
      </c>
      <c r="D15" s="717">
        <v>0</v>
      </c>
      <c r="E15" s="717">
        <v>0</v>
      </c>
      <c r="F15" s="717">
        <v>0</v>
      </c>
      <c r="G15" s="717">
        <v>71.3</v>
      </c>
      <c r="H15" s="718">
        <v>34</v>
      </c>
      <c r="I15" s="718">
        <v>28</v>
      </c>
      <c r="J15" s="718">
        <v>152</v>
      </c>
      <c r="K15" s="718">
        <v>39</v>
      </c>
      <c r="L15" s="718">
        <v>14</v>
      </c>
      <c r="M15" s="718">
        <v>58</v>
      </c>
      <c r="N15" s="718">
        <v>35</v>
      </c>
      <c r="O15" s="718">
        <v>87</v>
      </c>
      <c r="P15" s="718">
        <v>34.6</v>
      </c>
      <c r="Q15" s="806">
        <v>3.6244087</v>
      </c>
      <c r="R15" s="811">
        <v>41</v>
      </c>
      <c r="S15" s="808">
        <v>6</v>
      </c>
      <c r="T15" s="809">
        <v>14.6</v>
      </c>
    </row>
    <row r="16" spans="1:36" s="817" customFormat="1" ht="21" customHeight="1" x14ac:dyDescent="0.25">
      <c r="A16" s="803" t="s">
        <v>205</v>
      </c>
      <c r="B16" s="804" t="s">
        <v>204</v>
      </c>
      <c r="C16" s="717">
        <v>0</v>
      </c>
      <c r="D16" s="717">
        <v>0</v>
      </c>
      <c r="E16" s="717">
        <v>0</v>
      </c>
      <c r="F16" s="717">
        <v>0</v>
      </c>
      <c r="G16" s="717">
        <v>0</v>
      </c>
      <c r="H16" s="718">
        <v>8</v>
      </c>
      <c r="I16" s="718">
        <v>11</v>
      </c>
      <c r="J16" s="718">
        <v>45</v>
      </c>
      <c r="K16" s="805">
        <v>0</v>
      </c>
      <c r="L16" s="718">
        <v>17</v>
      </c>
      <c r="M16" s="718">
        <v>8.8000000000000007</v>
      </c>
      <c r="N16" s="805">
        <v>1</v>
      </c>
      <c r="O16" s="805">
        <v>4</v>
      </c>
      <c r="P16" s="805">
        <v>2</v>
      </c>
      <c r="Q16" s="806">
        <v>288.01800000000009</v>
      </c>
      <c r="R16" s="807">
        <v>247.6</v>
      </c>
      <c r="S16" s="808">
        <v>0</v>
      </c>
      <c r="T16" s="809">
        <v>0</v>
      </c>
    </row>
    <row r="17" spans="1:66" s="817" customFormat="1" ht="21" customHeight="1" x14ac:dyDescent="0.25">
      <c r="A17" s="803" t="s">
        <v>201</v>
      </c>
      <c r="B17" s="804" t="s">
        <v>200</v>
      </c>
      <c r="C17" s="717">
        <v>0</v>
      </c>
      <c r="D17" s="717">
        <v>0</v>
      </c>
      <c r="E17" s="717">
        <v>18.298999999999999</v>
      </c>
      <c r="F17" s="717">
        <v>0</v>
      </c>
      <c r="G17" s="717">
        <v>0</v>
      </c>
      <c r="H17" s="718">
        <v>575</v>
      </c>
      <c r="I17" s="805">
        <v>0</v>
      </c>
      <c r="J17" s="718">
        <v>13</v>
      </c>
      <c r="K17" s="805">
        <v>0</v>
      </c>
      <c r="L17" s="718">
        <v>7</v>
      </c>
      <c r="M17" s="805">
        <v>0</v>
      </c>
      <c r="N17" s="805">
        <v>0</v>
      </c>
      <c r="O17" s="805">
        <v>5</v>
      </c>
      <c r="P17" s="805">
        <v>0</v>
      </c>
      <c r="Q17" s="805">
        <v>0</v>
      </c>
      <c r="R17" s="807">
        <v>0</v>
      </c>
      <c r="S17" s="808">
        <v>922.6</v>
      </c>
      <c r="T17" s="809">
        <v>0</v>
      </c>
    </row>
    <row r="18" spans="1:66" s="817" customFormat="1" ht="21" customHeight="1" x14ac:dyDescent="0.25">
      <c r="A18" s="803" t="s">
        <v>199</v>
      </c>
      <c r="B18" s="804" t="s">
        <v>198</v>
      </c>
      <c r="C18" s="717">
        <v>0</v>
      </c>
      <c r="D18" s="717">
        <v>0</v>
      </c>
      <c r="E18" s="717">
        <v>0</v>
      </c>
      <c r="F18" s="717">
        <v>0</v>
      </c>
      <c r="G18" s="717">
        <v>1374.999</v>
      </c>
      <c r="H18" s="718">
        <v>72</v>
      </c>
      <c r="I18" s="718">
        <v>274</v>
      </c>
      <c r="J18" s="718">
        <v>40</v>
      </c>
      <c r="K18" s="718">
        <v>599</v>
      </c>
      <c r="L18" s="718">
        <v>1226</v>
      </c>
      <c r="M18" s="718">
        <v>572.70000000000005</v>
      </c>
      <c r="N18" s="805">
        <v>0</v>
      </c>
      <c r="O18" s="805">
        <v>0</v>
      </c>
      <c r="P18" s="805">
        <v>0</v>
      </c>
      <c r="Q18" s="805">
        <v>0</v>
      </c>
      <c r="R18" s="807">
        <v>116</v>
      </c>
      <c r="S18" s="808">
        <v>0</v>
      </c>
      <c r="T18" s="809">
        <v>0</v>
      </c>
    </row>
    <row r="19" spans="1:66" s="817" customFormat="1" ht="21" customHeight="1" x14ac:dyDescent="0.25">
      <c r="A19" s="803" t="s">
        <v>197</v>
      </c>
      <c r="B19" s="804" t="s">
        <v>196</v>
      </c>
      <c r="C19" s="717">
        <v>0</v>
      </c>
      <c r="D19" s="717">
        <v>0</v>
      </c>
      <c r="E19" s="717">
        <v>0</v>
      </c>
      <c r="F19" s="717">
        <v>0</v>
      </c>
      <c r="G19" s="717">
        <v>0</v>
      </c>
      <c r="H19" s="805">
        <v>0</v>
      </c>
      <c r="I19" s="718">
        <v>42</v>
      </c>
      <c r="J19" s="718">
        <v>12</v>
      </c>
      <c r="K19" s="805">
        <v>0</v>
      </c>
      <c r="L19" s="805">
        <v>0</v>
      </c>
      <c r="M19" s="805">
        <v>18</v>
      </c>
      <c r="N19" s="805">
        <v>3</v>
      </c>
      <c r="O19" s="718">
        <v>2</v>
      </c>
      <c r="P19" s="805">
        <v>0</v>
      </c>
      <c r="Q19" s="805">
        <v>0</v>
      </c>
      <c r="R19" s="807">
        <v>0</v>
      </c>
      <c r="S19" s="808">
        <v>216.5</v>
      </c>
      <c r="T19" s="809">
        <v>0</v>
      </c>
    </row>
    <row r="20" spans="1:66" s="817" customFormat="1" ht="21" customHeight="1" x14ac:dyDescent="0.25">
      <c r="A20" s="803" t="s">
        <v>195</v>
      </c>
      <c r="B20" s="804" t="s">
        <v>194</v>
      </c>
      <c r="C20" s="717">
        <v>0</v>
      </c>
      <c r="D20" s="717">
        <v>0</v>
      </c>
      <c r="E20" s="717">
        <v>0</v>
      </c>
      <c r="F20" s="717">
        <v>0</v>
      </c>
      <c r="G20" s="717">
        <v>0</v>
      </c>
      <c r="H20" s="718">
        <v>3</v>
      </c>
      <c r="I20" s="805">
        <v>0</v>
      </c>
      <c r="J20" s="718">
        <v>18</v>
      </c>
      <c r="K20" s="718">
        <v>2</v>
      </c>
      <c r="L20" s="718">
        <v>1</v>
      </c>
      <c r="M20" s="718">
        <v>4.8</v>
      </c>
      <c r="N20" s="718">
        <v>73</v>
      </c>
      <c r="O20" s="818">
        <v>0</v>
      </c>
      <c r="P20" s="805">
        <v>0</v>
      </c>
      <c r="Q20" s="805">
        <v>0</v>
      </c>
      <c r="R20" s="807">
        <v>0</v>
      </c>
      <c r="S20" s="808">
        <v>0</v>
      </c>
      <c r="T20" s="809">
        <v>0</v>
      </c>
    </row>
    <row r="21" spans="1:66" s="817" customFormat="1" ht="21" customHeight="1" thickBot="1" x14ac:dyDescent="0.3">
      <c r="A21" s="819"/>
      <c r="B21" s="820" t="s">
        <v>581</v>
      </c>
      <c r="C21" s="717"/>
      <c r="D21" s="717"/>
      <c r="E21" s="717"/>
      <c r="F21" s="717"/>
      <c r="G21" s="717"/>
      <c r="H21" s="718"/>
      <c r="I21" s="805"/>
      <c r="J21" s="718"/>
      <c r="K21" s="718"/>
      <c r="L21" s="718"/>
      <c r="M21" s="718"/>
      <c r="N21" s="718"/>
      <c r="O21" s="805">
        <v>0</v>
      </c>
      <c r="P21" s="805">
        <v>0</v>
      </c>
      <c r="Q21" s="805">
        <v>0</v>
      </c>
      <c r="R21" s="805">
        <v>0</v>
      </c>
      <c r="S21" s="821">
        <v>1100</v>
      </c>
      <c r="T21" s="822">
        <v>200</v>
      </c>
    </row>
    <row r="22" spans="1:66" s="827" customFormat="1" ht="21" customHeight="1" thickBot="1" x14ac:dyDescent="0.3">
      <c r="A22" s="3544" t="s">
        <v>371</v>
      </c>
      <c r="B22" s="3545"/>
      <c r="C22" s="823">
        <f>SUM(C4:C20)+1</f>
        <v>1134.2790000000002</v>
      </c>
      <c r="D22" s="823">
        <f>SUM(D4:D20)-1</f>
        <v>1826.38</v>
      </c>
      <c r="E22" s="823">
        <f>SUM(E4:E20)-2</f>
        <v>1611.7670000000001</v>
      </c>
      <c r="F22" s="823">
        <f>SUM(F4:F20)</f>
        <v>1412.2049999999999</v>
      </c>
      <c r="G22" s="823">
        <f>SUM(G4:G20)</f>
        <v>4009.2489999999998</v>
      </c>
      <c r="H22" s="823">
        <f>SUM(H4:H20)</f>
        <v>6101</v>
      </c>
      <c r="I22" s="823">
        <f>SUM(I4:I20)+1</f>
        <v>5548.6</v>
      </c>
      <c r="J22" s="823">
        <f t="shared" ref="J22:O22" si="0">SUM(J4:J20)</f>
        <v>6329</v>
      </c>
      <c r="K22" s="823">
        <f t="shared" si="0"/>
        <v>6013</v>
      </c>
      <c r="L22" s="823">
        <f t="shared" si="0"/>
        <v>5158</v>
      </c>
      <c r="M22" s="823">
        <f t="shared" si="0"/>
        <v>4401.8</v>
      </c>
      <c r="N22" s="823">
        <f t="shared" si="0"/>
        <v>4452</v>
      </c>
      <c r="O22" s="823">
        <f t="shared" si="0"/>
        <v>5200</v>
      </c>
      <c r="P22" s="823">
        <f>SUM(P4:P21)</f>
        <v>3937.2</v>
      </c>
      <c r="Q22" s="823">
        <f>SUM(Q4:Q21)</f>
        <v>3534.4600853582283</v>
      </c>
      <c r="R22" s="824">
        <f>SUM(R4:R21)</f>
        <v>5399.2000000000007</v>
      </c>
      <c r="S22" s="825">
        <f>SUM(S4:S21)</f>
        <v>3110.9</v>
      </c>
      <c r="T22" s="826">
        <f>SUM(T4:T21)</f>
        <v>614.6</v>
      </c>
    </row>
    <row r="23" spans="1:66" s="750" customFormat="1" ht="17.25" thickTop="1" x14ac:dyDescent="0.25">
      <c r="A23" s="3531" t="s">
        <v>535</v>
      </c>
      <c r="B23" s="3531"/>
      <c r="C23" s="3531"/>
      <c r="D23" s="3531"/>
      <c r="E23" s="3531"/>
      <c r="F23" s="3531"/>
      <c r="G23" s="3531"/>
      <c r="H23" s="3531"/>
      <c r="I23" s="3531"/>
      <c r="J23" s="3531"/>
      <c r="K23" s="3531"/>
      <c r="L23" s="3531"/>
      <c r="M23" s="3531"/>
      <c r="N23" s="3531"/>
      <c r="O23" s="3531"/>
      <c r="P23" s="749"/>
      <c r="Q23" s="749"/>
      <c r="R23" s="749"/>
      <c r="S23" s="749"/>
      <c r="T23" s="749"/>
      <c r="U23" s="620"/>
      <c r="V23" s="827"/>
      <c r="W23" s="290"/>
      <c r="X23" s="290"/>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c r="BM23" s="290"/>
      <c r="BN23" s="290"/>
    </row>
    <row r="24" spans="1:66" s="828" customFormat="1" ht="33" customHeight="1" x14ac:dyDescent="0.25">
      <c r="A24" s="3266" t="s">
        <v>536</v>
      </c>
      <c r="B24" s="3266"/>
      <c r="C24" s="3266"/>
      <c r="D24" s="3266"/>
      <c r="E24" s="3266"/>
      <c r="F24" s="3266"/>
      <c r="G24" s="3266"/>
      <c r="H24" s="3266"/>
      <c r="I24" s="3266"/>
      <c r="J24" s="3266"/>
      <c r="K24" s="3266"/>
      <c r="L24" s="3266"/>
      <c r="M24" s="3266"/>
      <c r="N24" s="3266"/>
      <c r="O24" s="3266"/>
      <c r="P24" s="3266"/>
      <c r="Q24" s="3266"/>
      <c r="R24" s="3266"/>
      <c r="S24" s="3266"/>
      <c r="T24" s="3266"/>
      <c r="U24" s="620"/>
      <c r="V24" s="290"/>
      <c r="W24" s="290"/>
      <c r="X24" s="290"/>
      <c r="Y24" s="290"/>
      <c r="Z24" s="290"/>
      <c r="AA24" s="290"/>
      <c r="AB24" s="290"/>
      <c r="AC24" s="290"/>
      <c r="AD24" s="290"/>
      <c r="AE24" s="290"/>
      <c r="AF24" s="290"/>
      <c r="AG24" s="290"/>
      <c r="AH24" s="290"/>
      <c r="AI24" s="290"/>
      <c r="AJ24" s="290"/>
      <c r="AK24" s="290"/>
      <c r="AL24" s="290"/>
      <c r="AM24" s="290"/>
      <c r="AN24" s="290"/>
      <c r="AO24" s="290"/>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c r="BM24" s="290"/>
      <c r="BN24" s="290"/>
    </row>
    <row r="25" spans="1:66" s="828" customFormat="1" ht="16.5" customHeight="1" x14ac:dyDescent="0.25">
      <c r="A25" s="3266" t="s">
        <v>582</v>
      </c>
      <c r="B25" s="3266"/>
      <c r="C25" s="3266"/>
      <c r="D25" s="3266"/>
      <c r="E25" s="3266"/>
      <c r="F25" s="3266"/>
      <c r="G25" s="3266"/>
      <c r="H25" s="3266"/>
      <c r="I25" s="3266"/>
      <c r="J25" s="3266"/>
      <c r="K25" s="3266"/>
      <c r="L25" s="3266"/>
      <c r="M25" s="3266"/>
      <c r="N25" s="3266"/>
      <c r="O25" s="3266"/>
      <c r="P25" s="3266"/>
      <c r="Q25" s="3266"/>
      <c r="R25" s="3266"/>
      <c r="S25" s="3266"/>
      <c r="T25" s="290"/>
      <c r="U25" s="620"/>
      <c r="V25" s="290"/>
      <c r="W25" s="290"/>
      <c r="X25" s="290"/>
      <c r="Y25" s="290"/>
      <c r="Z25" s="290"/>
      <c r="AA25" s="290"/>
      <c r="AB25" s="290"/>
      <c r="AC25" s="290"/>
      <c r="AD25" s="290"/>
      <c r="AE25" s="290"/>
      <c r="AF25" s="290"/>
      <c r="AG25" s="827"/>
      <c r="AH25" s="827"/>
      <c r="AI25" s="827"/>
      <c r="AJ25" s="827"/>
      <c r="AK25" s="827"/>
      <c r="AL25" s="827"/>
      <c r="AM25" s="827"/>
      <c r="AN25" s="827"/>
      <c r="AO25" s="827"/>
      <c r="AP25" s="827"/>
      <c r="AQ25" s="827"/>
      <c r="AR25" s="827"/>
      <c r="AS25" s="827"/>
      <c r="AT25" s="827"/>
      <c r="AU25" s="827"/>
      <c r="AV25" s="827"/>
      <c r="AW25" s="827"/>
      <c r="AX25" s="827"/>
      <c r="AY25" s="827"/>
      <c r="AZ25" s="827"/>
      <c r="BA25" s="827"/>
      <c r="BB25" s="827"/>
      <c r="BC25" s="827"/>
      <c r="BD25" s="827"/>
      <c r="BE25" s="827"/>
      <c r="BF25" s="827"/>
      <c r="BG25" s="827"/>
      <c r="BH25" s="827"/>
      <c r="BI25" s="827"/>
      <c r="BJ25" s="827"/>
      <c r="BK25" s="827"/>
      <c r="BL25" s="827"/>
      <c r="BM25" s="827"/>
      <c r="BN25" s="827"/>
    </row>
    <row r="26" spans="1:66" s="751" customFormat="1" ht="15.75" customHeight="1" x14ac:dyDescent="0.25">
      <c r="A26" s="3527" t="s">
        <v>538</v>
      </c>
      <c r="B26" s="3527"/>
      <c r="C26" s="3527"/>
      <c r="D26" s="3527"/>
      <c r="E26" s="3527"/>
      <c r="F26" s="3527"/>
      <c r="G26" s="3527"/>
      <c r="H26" s="3527"/>
      <c r="I26" s="3527"/>
      <c r="J26" s="3527"/>
      <c r="K26" s="3527"/>
      <c r="L26" s="3527"/>
      <c r="M26" s="3527"/>
      <c r="N26" s="3527"/>
      <c r="O26" s="3527"/>
      <c r="P26" s="3527"/>
      <c r="Q26" s="3527"/>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c r="BN26" s="290"/>
    </row>
    <row r="27" spans="1:66" s="751" customFormat="1" ht="16.5" customHeight="1" x14ac:dyDescent="0.25">
      <c r="A27" s="3536" t="s">
        <v>5609</v>
      </c>
      <c r="B27" s="3536"/>
      <c r="C27" s="3536"/>
      <c r="D27" s="3536"/>
      <c r="E27" s="3536"/>
      <c r="F27" s="3536"/>
      <c r="G27" s="3536"/>
      <c r="H27" s="3536"/>
      <c r="I27" s="3536"/>
      <c r="J27" s="3536"/>
      <c r="K27" s="3536"/>
      <c r="L27" s="3536"/>
      <c r="M27" s="3536"/>
      <c r="N27" s="3536"/>
      <c r="O27" s="3536"/>
      <c r="P27" s="3536"/>
      <c r="Q27" s="3536"/>
      <c r="AG27" s="827"/>
      <c r="AH27" s="827"/>
      <c r="AI27" s="827"/>
      <c r="AJ27" s="827"/>
      <c r="AK27" s="827"/>
      <c r="AL27" s="827"/>
      <c r="AM27" s="827"/>
      <c r="AN27" s="827"/>
      <c r="AO27" s="827"/>
      <c r="AP27" s="827"/>
      <c r="AQ27" s="827"/>
      <c r="AR27" s="827"/>
      <c r="AS27" s="827"/>
      <c r="AT27" s="827"/>
      <c r="AU27" s="827"/>
      <c r="AV27" s="827"/>
      <c r="AW27" s="827"/>
      <c r="AX27" s="827"/>
      <c r="AY27" s="827"/>
      <c r="AZ27" s="827"/>
      <c r="BA27" s="827"/>
      <c r="BB27" s="827"/>
      <c r="BC27" s="827"/>
      <c r="BD27" s="827"/>
      <c r="BE27" s="827"/>
      <c r="BF27" s="827"/>
      <c r="BG27" s="827"/>
      <c r="BH27" s="827"/>
      <c r="BI27" s="827"/>
      <c r="BJ27" s="827"/>
      <c r="BK27" s="827"/>
      <c r="BL27" s="827"/>
      <c r="BM27" s="827"/>
      <c r="BN27" s="827"/>
    </row>
    <row r="28" spans="1:66" s="827" customFormat="1" x14ac:dyDescent="0.3">
      <c r="A28" s="829"/>
      <c r="C28" s="830"/>
      <c r="D28" s="830"/>
    </row>
    <row r="29" spans="1:66" s="692" customFormat="1" ht="17.25" customHeight="1" x14ac:dyDescent="0.25">
      <c r="A29" s="3528" t="s">
        <v>5610</v>
      </c>
      <c r="B29" s="3528"/>
      <c r="C29" s="3528"/>
      <c r="D29" s="3528"/>
      <c r="E29" s="3528"/>
      <c r="F29" s="3528"/>
      <c r="G29" s="3528"/>
      <c r="H29" s="3528"/>
      <c r="I29" s="3528"/>
      <c r="J29" s="3528"/>
      <c r="K29" s="3528"/>
      <c r="L29" s="3528"/>
      <c r="M29" s="3528"/>
      <c r="N29" s="3528"/>
      <c r="O29" s="3528"/>
      <c r="P29" s="3528"/>
      <c r="Q29" s="3528"/>
      <c r="R29" s="3528"/>
      <c r="S29" s="3528"/>
      <c r="T29" s="3528"/>
    </row>
    <row r="30" spans="1:66" ht="17.25" thickBot="1" x14ac:dyDescent="0.3">
      <c r="B30" s="831"/>
      <c r="C30" s="832"/>
      <c r="D30" s="832"/>
      <c r="E30" s="832"/>
      <c r="F30" s="832"/>
      <c r="G30" s="832"/>
      <c r="H30" s="832"/>
      <c r="I30" s="800"/>
      <c r="J30" s="800"/>
      <c r="K30" s="800"/>
      <c r="L30" s="800"/>
      <c r="M30" s="800"/>
      <c r="O30" s="800"/>
      <c r="P30" s="800"/>
      <c r="Q30" s="800"/>
      <c r="R30" s="800"/>
      <c r="S30" s="800"/>
      <c r="T30" s="800" t="s">
        <v>281</v>
      </c>
    </row>
    <row r="31" spans="1:66" s="703" customFormat="1" ht="18.75" customHeight="1" thickTop="1" thickBot="1" x14ac:dyDescent="0.3">
      <c r="A31" s="3538" t="s">
        <v>540</v>
      </c>
      <c r="B31" s="3539"/>
      <c r="C31" s="756" t="s">
        <v>512</v>
      </c>
      <c r="D31" s="756" t="s">
        <v>513</v>
      </c>
      <c r="E31" s="756" t="s">
        <v>514</v>
      </c>
      <c r="F31" s="756" t="s">
        <v>515</v>
      </c>
      <c r="G31" s="756" t="s">
        <v>516</v>
      </c>
      <c r="H31" s="756" t="s">
        <v>517</v>
      </c>
      <c r="I31" s="756" t="s">
        <v>518</v>
      </c>
      <c r="J31" s="756" t="s">
        <v>519</v>
      </c>
      <c r="K31" s="756" t="s">
        <v>520</v>
      </c>
      <c r="L31" s="756" t="s">
        <v>521</v>
      </c>
      <c r="M31" s="756" t="s">
        <v>522</v>
      </c>
      <c r="N31" s="756" t="s">
        <v>523</v>
      </c>
      <c r="O31" s="802" t="s">
        <v>524</v>
      </c>
      <c r="P31" s="756" t="s">
        <v>525</v>
      </c>
      <c r="Q31" s="756" t="s">
        <v>580</v>
      </c>
      <c r="R31" s="833" t="s">
        <v>527</v>
      </c>
      <c r="S31" s="701" t="s">
        <v>542</v>
      </c>
      <c r="T31" s="834" t="s">
        <v>5608</v>
      </c>
    </row>
    <row r="32" spans="1:66" s="839" customFormat="1" ht="16.5" customHeight="1" x14ac:dyDescent="0.25">
      <c r="A32" s="3546" t="s">
        <v>543</v>
      </c>
      <c r="B32" s="3547"/>
      <c r="C32" s="835">
        <v>1133.7038250000001</v>
      </c>
      <c r="D32" s="835">
        <v>1826.2291899999998</v>
      </c>
      <c r="E32" s="835">
        <v>1611.8938819999998</v>
      </c>
      <c r="F32" s="835">
        <v>1412.1370861999999</v>
      </c>
      <c r="G32" s="835">
        <v>4008.9345925099997</v>
      </c>
      <c r="H32" s="835">
        <v>6101.4568452590011</v>
      </c>
      <c r="I32" s="835">
        <v>5548.9942409722216</v>
      </c>
      <c r="J32" s="835">
        <v>6328.5290102600002</v>
      </c>
      <c r="K32" s="835">
        <v>6013.3215088299994</v>
      </c>
      <c r="L32" s="835">
        <v>5158.4484025299989</v>
      </c>
      <c r="M32" s="835">
        <v>4402.0329651556194</v>
      </c>
      <c r="N32" s="835">
        <v>4452.4521797471225</v>
      </c>
      <c r="O32" s="835">
        <v>5200.3586613849766</v>
      </c>
      <c r="P32" s="835">
        <v>3937.2395143099998</v>
      </c>
      <c r="Q32" s="762">
        <v>3534.4600853582288</v>
      </c>
      <c r="R32" s="836">
        <f>R33+R41+R64</f>
        <v>5399.2</v>
      </c>
      <c r="S32" s="837">
        <f>S33+S41+S64</f>
        <v>3110.6285600000001</v>
      </c>
      <c r="T32" s="838">
        <f>T33+T41+T64</f>
        <v>615.20000000000005</v>
      </c>
    </row>
    <row r="33" spans="1:21" ht="16.5" customHeight="1" x14ac:dyDescent="0.25">
      <c r="A33" s="3546" t="s">
        <v>583</v>
      </c>
      <c r="B33" s="3548"/>
      <c r="C33" s="835">
        <v>13.041824999999999</v>
      </c>
      <c r="D33" s="835">
        <v>243.16899999999998</v>
      </c>
      <c r="E33" s="835">
        <v>296.00699999999995</v>
      </c>
      <c r="F33" s="835">
        <v>382.46300000000002</v>
      </c>
      <c r="G33" s="835">
        <v>947.07776935000004</v>
      </c>
      <c r="H33" s="835">
        <v>293.27803013900001</v>
      </c>
      <c r="I33" s="835">
        <v>1356.6486454600001</v>
      </c>
      <c r="J33" s="835">
        <v>1011.4089361900001</v>
      </c>
      <c r="K33" s="835">
        <v>2283.6772514199997</v>
      </c>
      <c r="L33" s="835">
        <v>867.28935047999983</v>
      </c>
      <c r="M33" s="835">
        <v>774.80771657999992</v>
      </c>
      <c r="N33" s="835">
        <v>1125.2064726831225</v>
      </c>
      <c r="O33" s="835">
        <v>1198.9961576040241</v>
      </c>
      <c r="P33" s="835">
        <v>973.24744104999991</v>
      </c>
      <c r="Q33" s="840">
        <v>876.1110536000001</v>
      </c>
      <c r="R33" s="841">
        <f>R34+R39</f>
        <v>984.5</v>
      </c>
      <c r="S33" s="842">
        <f>S34+S39</f>
        <v>1759</v>
      </c>
      <c r="T33" s="843">
        <f>T34+T39</f>
        <v>134.30000000000001</v>
      </c>
    </row>
    <row r="34" spans="1:21" ht="16.5" customHeight="1" x14ac:dyDescent="0.25">
      <c r="A34" s="3534" t="s">
        <v>545</v>
      </c>
      <c r="B34" s="3535"/>
      <c r="C34" s="716">
        <v>13.041824999999999</v>
      </c>
      <c r="D34" s="716">
        <v>148.74799999999999</v>
      </c>
      <c r="E34" s="716">
        <v>283.30199999999996</v>
      </c>
      <c r="F34" s="716">
        <v>357.762</v>
      </c>
      <c r="G34" s="716">
        <v>881.15476935000004</v>
      </c>
      <c r="H34" s="716">
        <v>287.95973991900001</v>
      </c>
      <c r="I34" s="716">
        <v>1326.6396454600001</v>
      </c>
      <c r="J34" s="716">
        <v>875.61133619000009</v>
      </c>
      <c r="K34" s="716">
        <v>2175.9349774399998</v>
      </c>
      <c r="L34" s="716">
        <v>780.63971167999989</v>
      </c>
      <c r="M34" s="716">
        <v>647.42743657999995</v>
      </c>
      <c r="N34" s="716">
        <v>1095.5838813031226</v>
      </c>
      <c r="O34" s="716">
        <v>1169.4829776040242</v>
      </c>
      <c r="P34" s="716">
        <v>900.42805782999994</v>
      </c>
      <c r="Q34" s="718">
        <v>716.79848054000013</v>
      </c>
      <c r="R34" s="844">
        <v>964</v>
      </c>
      <c r="S34" s="724">
        <v>819</v>
      </c>
      <c r="T34" s="725">
        <v>134.30000000000001</v>
      </c>
    </row>
    <row r="35" spans="1:21" ht="16.5" customHeight="1" x14ac:dyDescent="0.25">
      <c r="A35" s="3534" t="s">
        <v>546</v>
      </c>
      <c r="B35" s="3535"/>
      <c r="C35" s="716">
        <v>13.041824999999999</v>
      </c>
      <c r="D35" s="716">
        <v>148.74799999999999</v>
      </c>
      <c r="E35" s="716">
        <v>282.12799999999999</v>
      </c>
      <c r="F35" s="716">
        <v>357.762</v>
      </c>
      <c r="G35" s="716">
        <v>94.477769349999988</v>
      </c>
      <c r="H35" s="716">
        <v>214.11382991900001</v>
      </c>
      <c r="I35" s="716">
        <v>1227.56317061</v>
      </c>
      <c r="J35" s="716">
        <v>655.79533619000006</v>
      </c>
      <c r="K35" s="716">
        <v>2047.2539774399997</v>
      </c>
      <c r="L35" s="716">
        <v>445.23516372999995</v>
      </c>
      <c r="M35" s="716">
        <v>482.98633657999994</v>
      </c>
      <c r="N35" s="716">
        <v>1074.1285116031227</v>
      </c>
      <c r="O35" s="716">
        <v>1167.2145635040242</v>
      </c>
      <c r="P35" s="716">
        <v>840.20449742999995</v>
      </c>
      <c r="Q35" s="718">
        <v>626.05517318000011</v>
      </c>
      <c r="R35" s="844">
        <v>646</v>
      </c>
      <c r="S35" s="724">
        <v>804</v>
      </c>
      <c r="T35" s="725">
        <v>46.3</v>
      </c>
    </row>
    <row r="36" spans="1:21" ht="16.5" customHeight="1" x14ac:dyDescent="0.25">
      <c r="A36" s="3534" t="s">
        <v>549</v>
      </c>
      <c r="B36" s="3535"/>
      <c r="C36" s="717">
        <v>1.9730000000000001</v>
      </c>
      <c r="D36" s="717">
        <v>65.108999999999995</v>
      </c>
      <c r="E36" s="717">
        <v>150.256</v>
      </c>
      <c r="F36" s="717">
        <v>288.286</v>
      </c>
      <c r="G36" s="717">
        <v>10.143000000000001</v>
      </c>
      <c r="H36" s="716">
        <v>43.605074999999999</v>
      </c>
      <c r="I36" s="716">
        <v>183.78685526999999</v>
      </c>
      <c r="J36" s="716">
        <v>213.76959425999999</v>
      </c>
      <c r="K36" s="716">
        <v>714.00952983999991</v>
      </c>
      <c r="L36" s="716">
        <v>164.18347243999997</v>
      </c>
      <c r="M36" s="716">
        <v>223.23000385000003</v>
      </c>
      <c r="N36" s="716">
        <v>346.80272634540694</v>
      </c>
      <c r="O36" s="716">
        <v>722.4165568100002</v>
      </c>
      <c r="P36" s="716">
        <v>142.46743813999998</v>
      </c>
      <c r="Q36" s="718">
        <v>420.37128361999999</v>
      </c>
      <c r="R36" s="844">
        <v>347</v>
      </c>
      <c r="S36" s="724">
        <v>561</v>
      </c>
      <c r="T36" s="725">
        <v>43.3</v>
      </c>
    </row>
    <row r="37" spans="1:21" ht="16.5" customHeight="1" x14ac:dyDescent="0.25">
      <c r="A37" s="3534" t="s">
        <v>552</v>
      </c>
      <c r="B37" s="3535"/>
      <c r="C37" s="717">
        <v>0</v>
      </c>
      <c r="D37" s="717">
        <v>0</v>
      </c>
      <c r="E37" s="717">
        <v>1.1739999999999999</v>
      </c>
      <c r="F37" s="717">
        <v>0</v>
      </c>
      <c r="G37" s="717">
        <v>786.67700000000002</v>
      </c>
      <c r="H37" s="716">
        <v>61.244999999999997</v>
      </c>
      <c r="I37" s="717">
        <v>0</v>
      </c>
      <c r="J37" s="716">
        <v>124.956</v>
      </c>
      <c r="K37" s="716">
        <v>127.57</v>
      </c>
      <c r="L37" s="717">
        <v>335.40454794999999</v>
      </c>
      <c r="M37" s="717">
        <v>0.18045</v>
      </c>
      <c r="N37" s="716">
        <v>14.473999999999998</v>
      </c>
      <c r="O37" s="716">
        <v>1.663</v>
      </c>
      <c r="P37" s="716">
        <v>16.658999999999999</v>
      </c>
      <c r="Q37" s="717">
        <v>8.5589999999999993</v>
      </c>
      <c r="R37" s="845">
        <v>18</v>
      </c>
      <c r="S37" s="720">
        <v>0</v>
      </c>
      <c r="T37" s="721">
        <v>0</v>
      </c>
    </row>
    <row r="38" spans="1:21" ht="16.5" customHeight="1" x14ac:dyDescent="0.25">
      <c r="A38" s="3534" t="s">
        <v>553</v>
      </c>
      <c r="B38" s="3535"/>
      <c r="C38" s="717">
        <v>0</v>
      </c>
      <c r="D38" s="717">
        <v>0</v>
      </c>
      <c r="E38" s="717">
        <v>0</v>
      </c>
      <c r="F38" s="717">
        <v>0</v>
      </c>
      <c r="G38" s="717">
        <v>0</v>
      </c>
      <c r="H38" s="716">
        <v>12.600910000000001</v>
      </c>
      <c r="I38" s="716">
        <v>99.076474849999997</v>
      </c>
      <c r="J38" s="716">
        <v>94.86</v>
      </c>
      <c r="K38" s="716">
        <v>1.111</v>
      </c>
      <c r="L38" s="717">
        <v>0</v>
      </c>
      <c r="M38" s="717">
        <v>164.26065</v>
      </c>
      <c r="N38" s="716">
        <v>6.9813697000000001</v>
      </c>
      <c r="O38" s="716">
        <v>0.60541409999999996</v>
      </c>
      <c r="P38" s="716">
        <v>43.564560399999991</v>
      </c>
      <c r="Q38" s="717">
        <v>82.184307359999991</v>
      </c>
      <c r="R38" s="845">
        <v>32</v>
      </c>
      <c r="S38" s="720">
        <v>14</v>
      </c>
      <c r="T38" s="721">
        <v>88</v>
      </c>
    </row>
    <row r="39" spans="1:21" ht="16.5" customHeight="1" x14ac:dyDescent="0.25">
      <c r="A39" s="3534" t="s">
        <v>584</v>
      </c>
      <c r="B39" s="3535"/>
      <c r="C39" s="717">
        <v>0</v>
      </c>
      <c r="D39" s="717">
        <v>94.421000000000006</v>
      </c>
      <c r="E39" s="717">
        <v>12.705</v>
      </c>
      <c r="F39" s="717">
        <v>24.701000000000001</v>
      </c>
      <c r="G39" s="717">
        <v>65.923000000000002</v>
      </c>
      <c r="H39" s="716">
        <v>5.3182902200000006</v>
      </c>
      <c r="I39" s="716">
        <v>30.009</v>
      </c>
      <c r="J39" s="716">
        <v>135.79759999999999</v>
      </c>
      <c r="K39" s="716">
        <v>107.74227398000001</v>
      </c>
      <c r="L39" s="716">
        <v>86.649638799999977</v>
      </c>
      <c r="M39" s="716">
        <v>127.38028</v>
      </c>
      <c r="N39" s="716">
        <v>29.622591379999999</v>
      </c>
      <c r="O39" s="716">
        <v>29.513179999999998</v>
      </c>
      <c r="P39" s="716">
        <v>72.819383219999992</v>
      </c>
      <c r="Q39" s="718">
        <v>159.31257306000001</v>
      </c>
      <c r="R39" s="845">
        <v>20.5</v>
      </c>
      <c r="S39" s="720">
        <v>940</v>
      </c>
      <c r="T39" s="721">
        <v>0</v>
      </c>
    </row>
    <row r="40" spans="1:21" ht="16.5" customHeight="1" x14ac:dyDescent="0.25">
      <c r="A40" s="3534" t="s">
        <v>555</v>
      </c>
      <c r="B40" s="3535"/>
      <c r="C40" s="717">
        <v>0</v>
      </c>
      <c r="D40" s="717">
        <v>94.421000000000006</v>
      </c>
      <c r="E40" s="717">
        <v>12.705</v>
      </c>
      <c r="F40" s="717">
        <v>24.701000000000001</v>
      </c>
      <c r="G40" s="717">
        <v>55.954999999999998</v>
      </c>
      <c r="H40" s="716">
        <v>1.4732579800000001</v>
      </c>
      <c r="I40" s="716">
        <v>6.266</v>
      </c>
      <c r="J40" s="716">
        <v>107.911</v>
      </c>
      <c r="K40" s="716">
        <v>82.958923009999992</v>
      </c>
      <c r="L40" s="716">
        <v>82.128638799999976</v>
      </c>
      <c r="M40" s="716">
        <v>124.2243</v>
      </c>
      <c r="N40" s="716">
        <v>23.965</v>
      </c>
      <c r="O40" s="716">
        <v>28.939499999999999</v>
      </c>
      <c r="P40" s="716">
        <v>72.731383219999998</v>
      </c>
      <c r="Q40" s="718">
        <v>159.31257306000001</v>
      </c>
      <c r="R40" s="845">
        <v>21</v>
      </c>
      <c r="S40" s="720">
        <v>936</v>
      </c>
      <c r="T40" s="721">
        <v>0</v>
      </c>
    </row>
    <row r="41" spans="1:21" ht="16.5" customHeight="1" x14ac:dyDescent="0.25">
      <c r="A41" s="3224" t="s">
        <v>585</v>
      </c>
      <c r="B41" s="846"/>
      <c r="C41" s="835">
        <v>1005.755</v>
      </c>
      <c r="D41" s="835">
        <v>1552.2491899999998</v>
      </c>
      <c r="E41" s="835">
        <v>1315.8868819999998</v>
      </c>
      <c r="F41" s="835">
        <v>1029.6740861999999</v>
      </c>
      <c r="G41" s="835">
        <v>3061.8568231599997</v>
      </c>
      <c r="H41" s="835">
        <v>5723.0858151200009</v>
      </c>
      <c r="I41" s="835">
        <v>4110.7215955122219</v>
      </c>
      <c r="J41" s="835">
        <v>5309.0530740699996</v>
      </c>
      <c r="K41" s="835">
        <v>3728.8472574100001</v>
      </c>
      <c r="L41" s="835">
        <v>4286.7950520499999</v>
      </c>
      <c r="M41" s="835">
        <v>3602.1272485756199</v>
      </c>
      <c r="N41" s="835">
        <v>3324.748707064</v>
      </c>
      <c r="O41" s="835">
        <v>4000.3285037809533</v>
      </c>
      <c r="P41" s="835">
        <v>2963.9920732599999</v>
      </c>
      <c r="Q41" s="840">
        <v>2658.3490317582286</v>
      </c>
      <c r="R41" s="841">
        <f>R42+R51+R52</f>
        <v>4327.2</v>
      </c>
      <c r="S41" s="842">
        <f>S42+S51+S52</f>
        <v>251.62855999999999</v>
      </c>
      <c r="T41" s="843">
        <f>T42+T51+T52</f>
        <v>280.89999999999998</v>
      </c>
    </row>
    <row r="42" spans="1:21" ht="16.5" customHeight="1" x14ac:dyDescent="0.25">
      <c r="A42" s="3534" t="s">
        <v>557</v>
      </c>
      <c r="B42" s="3535"/>
      <c r="C42" s="716">
        <v>862.04899999999998</v>
      </c>
      <c r="D42" s="716">
        <v>1186.0226999999998</v>
      </c>
      <c r="E42" s="716">
        <v>589.52399999999989</v>
      </c>
      <c r="F42" s="716">
        <v>669.25807520000001</v>
      </c>
      <c r="G42" s="716">
        <v>1288.1675295999999</v>
      </c>
      <c r="H42" s="716">
        <v>4427.6726467900007</v>
      </c>
      <c r="I42" s="716">
        <v>3043.8102705122224</v>
      </c>
      <c r="J42" s="716">
        <v>4443.4518180699997</v>
      </c>
      <c r="K42" s="716">
        <v>3022.5811860399999</v>
      </c>
      <c r="L42" s="716">
        <v>3940.1520784899999</v>
      </c>
      <c r="M42" s="716">
        <v>3076.4696512099999</v>
      </c>
      <c r="N42" s="716">
        <v>2288.2374062640001</v>
      </c>
      <c r="O42" s="716">
        <v>2158.5132711800002</v>
      </c>
      <c r="P42" s="716">
        <v>1776.5887066199996</v>
      </c>
      <c r="Q42" s="718">
        <v>1997.7664805580753</v>
      </c>
      <c r="R42" s="844">
        <f>3529-0.3</f>
        <v>3528.7</v>
      </c>
      <c r="S42" s="720">
        <v>50.628559999999993</v>
      </c>
      <c r="T42" s="721">
        <v>156.1</v>
      </c>
    </row>
    <row r="43" spans="1:21" ht="16.5" customHeight="1" x14ac:dyDescent="0.25">
      <c r="A43" s="3220" t="s">
        <v>586</v>
      </c>
      <c r="B43" s="3221"/>
      <c r="C43" s="717">
        <v>0</v>
      </c>
      <c r="D43" s="717">
        <v>0</v>
      </c>
      <c r="E43" s="717">
        <v>4.4690000000000003</v>
      </c>
      <c r="F43" s="717">
        <v>0</v>
      </c>
      <c r="G43" s="717">
        <v>0</v>
      </c>
      <c r="H43" s="717">
        <v>0</v>
      </c>
      <c r="I43" s="717">
        <v>4.2869999999999999</v>
      </c>
      <c r="J43" s="717">
        <v>0.504</v>
      </c>
      <c r="K43" s="717">
        <v>9.4E-2</v>
      </c>
      <c r="L43" s="717">
        <v>0</v>
      </c>
      <c r="M43" s="717">
        <v>0</v>
      </c>
      <c r="N43" s="717">
        <v>0</v>
      </c>
      <c r="O43" s="717">
        <v>0</v>
      </c>
      <c r="P43" s="716">
        <v>8.0779999999999994</v>
      </c>
      <c r="Q43" s="717">
        <v>0</v>
      </c>
      <c r="R43" s="845">
        <v>26</v>
      </c>
      <c r="S43" s="720">
        <v>0</v>
      </c>
      <c r="T43" s="721">
        <v>0</v>
      </c>
    </row>
    <row r="44" spans="1:21" ht="16.5" customHeight="1" x14ac:dyDescent="0.25">
      <c r="A44" s="3220" t="s">
        <v>587</v>
      </c>
      <c r="B44" s="3221"/>
      <c r="C44" s="717">
        <v>0</v>
      </c>
      <c r="D44" s="717">
        <v>0</v>
      </c>
      <c r="E44" s="717">
        <v>0</v>
      </c>
      <c r="F44" s="717">
        <v>0</v>
      </c>
      <c r="G44" s="717">
        <v>0</v>
      </c>
      <c r="H44" s="716">
        <v>1.80624479</v>
      </c>
      <c r="I44" s="716">
        <v>6.0628602899999997</v>
      </c>
      <c r="J44" s="716">
        <v>497.69</v>
      </c>
      <c r="K44" s="716">
        <v>344.32817879000004</v>
      </c>
      <c r="L44" s="716">
        <v>732.50607589000003</v>
      </c>
      <c r="M44" s="716">
        <v>210.50700000000003</v>
      </c>
      <c r="N44" s="716">
        <v>1039.61184</v>
      </c>
      <c r="O44" s="716">
        <v>1247.0250000000001</v>
      </c>
      <c r="P44" s="716">
        <v>51.134000780000001</v>
      </c>
      <c r="Q44" s="718">
        <v>4.5908403499999997</v>
      </c>
      <c r="R44" s="845">
        <v>0</v>
      </c>
      <c r="S44" s="847">
        <v>0.42856</v>
      </c>
      <c r="T44" s="848">
        <v>0</v>
      </c>
    </row>
    <row r="45" spans="1:21" ht="16.5" customHeight="1" x14ac:dyDescent="0.25">
      <c r="A45" s="3220" t="s">
        <v>588</v>
      </c>
      <c r="B45" s="3221"/>
      <c r="C45" s="716">
        <v>291.45299999999997</v>
      </c>
      <c r="D45" s="716">
        <v>267.36419999999998</v>
      </c>
      <c r="E45" s="716">
        <v>234.76499999999999</v>
      </c>
      <c r="F45" s="716">
        <v>94.960335999999998</v>
      </c>
      <c r="G45" s="716">
        <v>71.572892999999993</v>
      </c>
      <c r="H45" s="716">
        <v>1183.9027002799999</v>
      </c>
      <c r="I45" s="716">
        <v>1145.15246</v>
      </c>
      <c r="J45" s="716">
        <v>896.96602510999992</v>
      </c>
      <c r="K45" s="716">
        <v>482.52552539999999</v>
      </c>
      <c r="L45" s="716">
        <v>234.96375000000003</v>
      </c>
      <c r="M45" s="716">
        <v>546.75604711999983</v>
      </c>
      <c r="N45" s="716">
        <v>384.73514282399987</v>
      </c>
      <c r="O45" s="716">
        <v>466.813018</v>
      </c>
      <c r="P45" s="716">
        <v>268.12849999999992</v>
      </c>
      <c r="Q45" s="718">
        <v>503.41918901807514</v>
      </c>
      <c r="R45" s="844">
        <v>1260</v>
      </c>
      <c r="S45" s="720">
        <v>1</v>
      </c>
      <c r="T45" s="721">
        <v>9</v>
      </c>
      <c r="U45" s="832"/>
    </row>
    <row r="46" spans="1:21" ht="16.5" customHeight="1" x14ac:dyDescent="0.25">
      <c r="A46" s="3220" t="s">
        <v>589</v>
      </c>
      <c r="B46" s="3221"/>
      <c r="C46" s="716">
        <v>269.738</v>
      </c>
      <c r="D46" s="716">
        <v>146.17449999999999</v>
      </c>
      <c r="E46" s="716">
        <v>9.5969999999999995</v>
      </c>
      <c r="F46" s="716">
        <v>9</v>
      </c>
      <c r="G46" s="716">
        <v>9.2330000000000005</v>
      </c>
      <c r="H46" s="716">
        <v>671.67690000000005</v>
      </c>
      <c r="I46" s="716">
        <v>91.600999999999999</v>
      </c>
      <c r="J46" s="716">
        <v>16.401</v>
      </c>
      <c r="K46" s="716">
        <v>31.884824999999999</v>
      </c>
      <c r="L46" s="716">
        <v>666.32050000000004</v>
      </c>
      <c r="M46" s="716">
        <v>2.5000000000000001E-2</v>
      </c>
      <c r="N46" s="716">
        <v>202.48064199999999</v>
      </c>
      <c r="O46" s="716">
        <v>25.419111999999995</v>
      </c>
      <c r="P46" s="716">
        <v>17.021999999999998</v>
      </c>
      <c r="Q46" s="717">
        <v>64.734999999999999</v>
      </c>
      <c r="R46" s="845">
        <v>0</v>
      </c>
      <c r="S46" s="720">
        <v>0</v>
      </c>
      <c r="T46" s="721">
        <v>0</v>
      </c>
    </row>
    <row r="47" spans="1:21" ht="16.5" customHeight="1" x14ac:dyDescent="0.25">
      <c r="A47" s="3220" t="s">
        <v>558</v>
      </c>
      <c r="B47" s="3221"/>
      <c r="C47" s="716">
        <v>5.508</v>
      </c>
      <c r="D47" s="716">
        <v>127.434</v>
      </c>
      <c r="E47" s="716">
        <v>139.92699999999999</v>
      </c>
      <c r="F47" s="716">
        <v>86.041605000000004</v>
      </c>
      <c r="G47" s="716">
        <v>98.104961599999996</v>
      </c>
      <c r="H47" s="716">
        <v>381.58421299999998</v>
      </c>
      <c r="I47" s="716">
        <v>54.220999999999997</v>
      </c>
      <c r="J47" s="716">
        <v>71.594597519999994</v>
      </c>
      <c r="K47" s="716">
        <v>131.65924999999999</v>
      </c>
      <c r="L47" s="716">
        <v>47.018250000000002</v>
      </c>
      <c r="M47" s="716">
        <v>849.67396387999997</v>
      </c>
      <c r="N47" s="716">
        <v>92.344199039999992</v>
      </c>
      <c r="O47" s="716">
        <v>78.747000000000014</v>
      </c>
      <c r="P47" s="716">
        <v>403.24739999999991</v>
      </c>
      <c r="Q47" s="717">
        <v>30.405999999999999</v>
      </c>
      <c r="R47" s="845">
        <v>1487</v>
      </c>
      <c r="S47" s="720">
        <v>0</v>
      </c>
      <c r="T47" s="721">
        <v>0</v>
      </c>
    </row>
    <row r="48" spans="1:21" ht="16.5" customHeight="1" x14ac:dyDescent="0.25">
      <c r="A48" s="3220" t="s">
        <v>590</v>
      </c>
      <c r="B48" s="3221"/>
      <c r="C48" s="716">
        <v>187.185</v>
      </c>
      <c r="D48" s="716">
        <v>175.42099999999999</v>
      </c>
      <c r="E48" s="716">
        <v>166.90899999999999</v>
      </c>
      <c r="F48" s="716">
        <v>209.86869080000002</v>
      </c>
      <c r="G48" s="716">
        <v>109.14100000000001</v>
      </c>
      <c r="H48" s="716">
        <v>77.393957400000005</v>
      </c>
      <c r="I48" s="716">
        <v>180.798</v>
      </c>
      <c r="J48" s="716">
        <v>157.10593399999999</v>
      </c>
      <c r="K48" s="716">
        <v>184.30718470999997</v>
      </c>
      <c r="L48" s="716">
        <v>709.34838616000002</v>
      </c>
      <c r="M48" s="716">
        <v>172.41899999999998</v>
      </c>
      <c r="N48" s="716">
        <v>284.51262639999999</v>
      </c>
      <c r="O48" s="716">
        <v>38.090809</v>
      </c>
      <c r="P48" s="716">
        <v>709.81175322999991</v>
      </c>
      <c r="Q48" s="718">
        <v>1034.9108827800001</v>
      </c>
      <c r="R48" s="844">
        <v>98</v>
      </c>
      <c r="S48" s="720">
        <v>0</v>
      </c>
      <c r="T48" s="721">
        <v>0</v>
      </c>
    </row>
    <row r="49" spans="1:20" ht="16.5" customHeight="1" x14ac:dyDescent="0.25">
      <c r="A49" s="3220" t="s">
        <v>559</v>
      </c>
      <c r="B49" s="3221"/>
      <c r="C49" s="716">
        <v>13.68</v>
      </c>
      <c r="D49" s="716">
        <v>35.116</v>
      </c>
      <c r="E49" s="716">
        <v>20.434999999999999</v>
      </c>
      <c r="F49" s="716">
        <v>70.421999999999997</v>
      </c>
      <c r="G49" s="716">
        <v>325.3981</v>
      </c>
      <c r="H49" s="716">
        <v>78.715781319999991</v>
      </c>
      <c r="I49" s="716">
        <v>96.086003000000005</v>
      </c>
      <c r="J49" s="716">
        <v>47.247011440000009</v>
      </c>
      <c r="K49" s="716">
        <v>50.196471340000002</v>
      </c>
      <c r="L49" s="716">
        <v>79.074327640000007</v>
      </c>
      <c r="M49" s="716">
        <v>240.62773031</v>
      </c>
      <c r="N49" s="716">
        <v>94.630300000000005</v>
      </c>
      <c r="O49" s="716">
        <v>29.427332180000001</v>
      </c>
      <c r="P49" s="716">
        <v>110.26323341</v>
      </c>
      <c r="Q49" s="718">
        <v>46.997844999999998</v>
      </c>
      <c r="R49" s="844">
        <v>22</v>
      </c>
      <c r="S49" s="720">
        <v>38</v>
      </c>
      <c r="T49" s="721">
        <v>101</v>
      </c>
    </row>
    <row r="50" spans="1:20" ht="16.5" customHeight="1" x14ac:dyDescent="0.25">
      <c r="A50" s="780" t="s">
        <v>560</v>
      </c>
      <c r="B50" s="849"/>
      <c r="C50" s="716">
        <v>94.484999999999999</v>
      </c>
      <c r="D50" s="716">
        <v>434.51299999999998</v>
      </c>
      <c r="E50" s="716">
        <v>13.422000000000001</v>
      </c>
      <c r="F50" s="716">
        <v>198.9654434</v>
      </c>
      <c r="G50" s="716">
        <v>674.71757500000001</v>
      </c>
      <c r="H50" s="716">
        <v>2032.59285</v>
      </c>
      <c r="I50" s="716">
        <v>1465.6019472222224</v>
      </c>
      <c r="J50" s="716">
        <v>2755.9432499999998</v>
      </c>
      <c r="K50" s="716">
        <v>1797.5857507999999</v>
      </c>
      <c r="L50" s="716">
        <v>1470.9207887999996</v>
      </c>
      <c r="M50" s="716">
        <v>1056.4609098999999</v>
      </c>
      <c r="N50" s="716">
        <v>189.92265599999999</v>
      </c>
      <c r="O50" s="716">
        <v>272.99099999999999</v>
      </c>
      <c r="P50" s="716">
        <v>208.90381919999999</v>
      </c>
      <c r="Q50" s="718">
        <v>312.70672341000005</v>
      </c>
      <c r="R50" s="845">
        <v>636</v>
      </c>
      <c r="S50" s="720">
        <v>11.2</v>
      </c>
      <c r="T50" s="721">
        <v>46.1</v>
      </c>
    </row>
    <row r="51" spans="1:20" ht="16.5" customHeight="1" x14ac:dyDescent="0.25">
      <c r="A51" s="3534" t="s">
        <v>591</v>
      </c>
      <c r="B51" s="3535"/>
      <c r="C51" s="717">
        <v>0</v>
      </c>
      <c r="D51" s="717">
        <v>0</v>
      </c>
      <c r="E51" s="717">
        <v>0</v>
      </c>
      <c r="F51" s="717">
        <v>0</v>
      </c>
      <c r="G51" s="717">
        <v>0</v>
      </c>
      <c r="H51" s="716">
        <v>63.944000000000003</v>
      </c>
      <c r="I51" s="716">
        <v>40.259</v>
      </c>
      <c r="J51" s="716">
        <v>67.326150999999996</v>
      </c>
      <c r="K51" s="716">
        <v>75.820419700000002</v>
      </c>
      <c r="L51" s="716">
        <v>68.766286260000001</v>
      </c>
      <c r="M51" s="716">
        <v>26.702158419999996</v>
      </c>
      <c r="N51" s="716">
        <v>25.143000000000001</v>
      </c>
      <c r="O51" s="716">
        <v>30.54982893</v>
      </c>
      <c r="P51" s="716">
        <v>64.61699999999999</v>
      </c>
      <c r="Q51" s="717">
        <v>35.667999999999999</v>
      </c>
      <c r="R51" s="845">
        <v>25</v>
      </c>
      <c r="S51" s="720">
        <v>36</v>
      </c>
      <c r="T51" s="721">
        <v>0</v>
      </c>
    </row>
    <row r="52" spans="1:20" ht="16.5" customHeight="1" x14ac:dyDescent="0.25">
      <c r="A52" s="850" t="s">
        <v>564</v>
      </c>
      <c r="B52" s="846"/>
      <c r="C52" s="716">
        <v>143.70599999999999</v>
      </c>
      <c r="D52" s="716">
        <v>366.22649000000001</v>
      </c>
      <c r="E52" s="716">
        <v>726.36288200000001</v>
      </c>
      <c r="F52" s="716">
        <v>360.41601099999997</v>
      </c>
      <c r="G52" s="716">
        <v>1773.6892935599999</v>
      </c>
      <c r="H52" s="716">
        <v>1231.46916833</v>
      </c>
      <c r="I52" s="716">
        <v>1026.652325</v>
      </c>
      <c r="J52" s="716">
        <v>798.27510499999994</v>
      </c>
      <c r="K52" s="716">
        <v>630.44565166999996</v>
      </c>
      <c r="L52" s="716">
        <v>277.87668730000001</v>
      </c>
      <c r="M52" s="716">
        <v>498.95543894561996</v>
      </c>
      <c r="N52" s="716">
        <v>1011.3683007999998</v>
      </c>
      <c r="O52" s="716">
        <v>1811.2654036709534</v>
      </c>
      <c r="P52" s="716">
        <v>1122.7863666400001</v>
      </c>
      <c r="Q52" s="717">
        <v>624.91455120015314</v>
      </c>
      <c r="R52" s="845">
        <f>R53+R63</f>
        <v>773.5</v>
      </c>
      <c r="S52" s="720">
        <v>165</v>
      </c>
      <c r="T52" s="721">
        <v>124.80000000000001</v>
      </c>
    </row>
    <row r="53" spans="1:20" ht="16.5" customHeight="1" x14ac:dyDescent="0.25">
      <c r="A53" s="850" t="s">
        <v>592</v>
      </c>
      <c r="B53" s="846"/>
      <c r="C53" s="716">
        <v>134.38999999999999</v>
      </c>
      <c r="D53" s="716">
        <v>331.47500000000002</v>
      </c>
      <c r="E53" s="716">
        <v>722.81388200000004</v>
      </c>
      <c r="F53" s="716">
        <v>349.06531099999995</v>
      </c>
      <c r="G53" s="716">
        <v>1773.6892935599999</v>
      </c>
      <c r="H53" s="716">
        <v>1014.2800258399999</v>
      </c>
      <c r="I53" s="716">
        <v>982.17842500000006</v>
      </c>
      <c r="J53" s="716">
        <v>575.8175</v>
      </c>
      <c r="K53" s="716">
        <v>565.36645821999991</v>
      </c>
      <c r="L53" s="716">
        <v>256.34679094000001</v>
      </c>
      <c r="M53" s="716">
        <v>498.95543894561996</v>
      </c>
      <c r="N53" s="716">
        <v>982.49598579999986</v>
      </c>
      <c r="O53" s="716">
        <v>1811.0147536709535</v>
      </c>
      <c r="P53" s="716">
        <v>1121.29116664</v>
      </c>
      <c r="Q53" s="718">
        <v>605.63843012015309</v>
      </c>
      <c r="R53" s="844">
        <v>753.5</v>
      </c>
      <c r="S53" s="720">
        <v>152</v>
      </c>
      <c r="T53" s="721">
        <v>124.80000000000001</v>
      </c>
    </row>
    <row r="54" spans="1:20" ht="16.5" customHeight="1" x14ac:dyDescent="0.25">
      <c r="A54" s="3534" t="s">
        <v>566</v>
      </c>
      <c r="B54" s="3535"/>
      <c r="C54" s="716">
        <v>4.617</v>
      </c>
      <c r="D54" s="716">
        <v>3.254</v>
      </c>
      <c r="E54" s="716">
        <v>69.959999999999994</v>
      </c>
      <c r="F54" s="716">
        <v>12.80294</v>
      </c>
      <c r="G54" s="716">
        <v>32.944000000000003</v>
      </c>
      <c r="H54" s="716">
        <v>45.941833000000003</v>
      </c>
      <c r="I54" s="717">
        <v>0</v>
      </c>
      <c r="J54" s="716">
        <v>174.77160000000001</v>
      </c>
      <c r="K54" s="716">
        <v>195.7005102</v>
      </c>
      <c r="L54" s="716">
        <v>94.638480939999994</v>
      </c>
      <c r="M54" s="716">
        <v>12.177851410000001</v>
      </c>
      <c r="N54" s="716">
        <v>25.015000000000001</v>
      </c>
      <c r="O54" s="716">
        <v>4.3959531600000004</v>
      </c>
      <c r="P54" s="716">
        <v>19.950975139999997</v>
      </c>
      <c r="Q54" s="718">
        <v>55.197786750000013</v>
      </c>
      <c r="R54" s="844">
        <v>309</v>
      </c>
      <c r="S54" s="720">
        <v>105</v>
      </c>
      <c r="T54" s="721">
        <v>101.1</v>
      </c>
    </row>
    <row r="55" spans="1:20" ht="16.5" customHeight="1" x14ac:dyDescent="0.25">
      <c r="A55" s="3534" t="s">
        <v>567</v>
      </c>
      <c r="B55" s="3535"/>
      <c r="C55" s="716">
        <v>4.617</v>
      </c>
      <c r="D55" s="716">
        <v>3.254</v>
      </c>
      <c r="E55" s="716">
        <v>69.959999999999994</v>
      </c>
      <c r="F55" s="716">
        <v>0.90600000000000003</v>
      </c>
      <c r="G55" s="716">
        <v>26.841999999999999</v>
      </c>
      <c r="H55" s="716">
        <v>45.941833000000003</v>
      </c>
      <c r="I55" s="717">
        <v>0</v>
      </c>
      <c r="J55" s="716">
        <v>174.36002500000001</v>
      </c>
      <c r="K55" s="716">
        <v>194.49571019999999</v>
      </c>
      <c r="L55" s="716">
        <v>67.642480939999999</v>
      </c>
      <c r="M55" s="716">
        <v>12.177851410000001</v>
      </c>
      <c r="N55" s="716">
        <v>25.015000000000001</v>
      </c>
      <c r="O55" s="716">
        <v>4.3959531600000004</v>
      </c>
      <c r="P55" s="716">
        <v>19.950975139999997</v>
      </c>
      <c r="Q55" s="718">
        <v>55.157786750000014</v>
      </c>
      <c r="R55" s="844">
        <v>213</v>
      </c>
      <c r="S55" s="720">
        <v>105</v>
      </c>
      <c r="T55" s="721">
        <v>101.1</v>
      </c>
    </row>
    <row r="56" spans="1:20" ht="16.5" customHeight="1" x14ac:dyDescent="0.25">
      <c r="A56" s="3534" t="s">
        <v>568</v>
      </c>
      <c r="B56" s="3535"/>
      <c r="C56" s="716">
        <v>129.773</v>
      </c>
      <c r="D56" s="716">
        <v>328.221</v>
      </c>
      <c r="E56" s="716">
        <v>652.853882</v>
      </c>
      <c r="F56" s="716">
        <v>336.26237099999997</v>
      </c>
      <c r="G56" s="716">
        <v>1740.7452935599999</v>
      </c>
      <c r="H56" s="716">
        <v>968.33819283999992</v>
      </c>
      <c r="I56" s="716">
        <v>982.17842500000006</v>
      </c>
      <c r="J56" s="716">
        <v>401.04589999999996</v>
      </c>
      <c r="K56" s="716">
        <v>369.66594801999997</v>
      </c>
      <c r="L56" s="716">
        <v>161.70830999999998</v>
      </c>
      <c r="M56" s="716">
        <v>486.77758753561994</v>
      </c>
      <c r="N56" s="716">
        <v>957.48098579999987</v>
      </c>
      <c r="O56" s="716">
        <v>1806.6188005109534</v>
      </c>
      <c r="P56" s="716">
        <v>1101.3401914999999</v>
      </c>
      <c r="Q56" s="718">
        <v>550.44064337015311</v>
      </c>
      <c r="R56" s="844">
        <v>445</v>
      </c>
      <c r="S56" s="720">
        <v>48</v>
      </c>
      <c r="T56" s="721">
        <v>23.700000000000003</v>
      </c>
    </row>
    <row r="57" spans="1:20" ht="16.5" customHeight="1" x14ac:dyDescent="0.25">
      <c r="A57" s="3534" t="s">
        <v>569</v>
      </c>
      <c r="B57" s="3535"/>
      <c r="C57" s="716">
        <v>129.773</v>
      </c>
      <c r="D57" s="716">
        <v>327.721</v>
      </c>
      <c r="E57" s="716">
        <v>635.09488199999998</v>
      </c>
      <c r="F57" s="716">
        <v>334.71437099999997</v>
      </c>
      <c r="G57" s="716">
        <v>1064.5291580600001</v>
      </c>
      <c r="H57" s="716">
        <v>716.74919283999998</v>
      </c>
      <c r="I57" s="716">
        <v>574.18842500000005</v>
      </c>
      <c r="J57" s="716">
        <v>360.01089999999999</v>
      </c>
      <c r="K57" s="716">
        <v>170.624</v>
      </c>
      <c r="L57" s="716">
        <v>161.70830999999998</v>
      </c>
      <c r="M57" s="716">
        <v>361.39385803561993</v>
      </c>
      <c r="N57" s="716">
        <v>455.56133499999993</v>
      </c>
      <c r="O57" s="716">
        <v>1767.2678302699996</v>
      </c>
      <c r="P57" s="716">
        <v>1036.0790999999999</v>
      </c>
      <c r="Q57" s="718">
        <v>545.5675112310031</v>
      </c>
      <c r="R57" s="844">
        <v>416</v>
      </c>
      <c r="S57" s="720">
        <v>8</v>
      </c>
      <c r="T57" s="721">
        <v>1.1000000000000001</v>
      </c>
    </row>
    <row r="58" spans="1:20" ht="16.5" customHeight="1" x14ac:dyDescent="0.25">
      <c r="A58" s="780"/>
      <c r="B58" s="781" t="s">
        <v>570</v>
      </c>
      <c r="C58" s="716">
        <v>1.7749999999999999</v>
      </c>
      <c r="D58" s="716">
        <v>30.936</v>
      </c>
      <c r="E58" s="716">
        <v>27.419</v>
      </c>
      <c r="F58" s="716">
        <v>12.275</v>
      </c>
      <c r="G58" s="716">
        <v>1027.23515806</v>
      </c>
      <c r="H58" s="716">
        <v>60.726192840000003</v>
      </c>
      <c r="I58" s="716">
        <v>308.089</v>
      </c>
      <c r="J58" s="716">
        <v>21.108899999999998</v>
      </c>
      <c r="K58" s="716">
        <v>0</v>
      </c>
      <c r="L58" s="716">
        <v>28.52056</v>
      </c>
      <c r="M58" s="716">
        <v>6.2</v>
      </c>
      <c r="N58" s="716">
        <v>62.648659999999992</v>
      </c>
      <c r="O58" s="717">
        <v>0</v>
      </c>
      <c r="P58" s="716">
        <v>549.95129999999995</v>
      </c>
      <c r="Q58" s="717">
        <v>103.332115</v>
      </c>
      <c r="R58" s="845">
        <v>102</v>
      </c>
      <c r="S58" s="720">
        <v>8</v>
      </c>
      <c r="T58" s="721">
        <v>1.1000000000000001</v>
      </c>
    </row>
    <row r="59" spans="1:20" ht="16.5" customHeight="1" x14ac:dyDescent="0.25">
      <c r="A59" s="780"/>
      <c r="B59" s="781" t="s">
        <v>287</v>
      </c>
      <c r="C59" s="716">
        <v>127.99799999999999</v>
      </c>
      <c r="D59" s="716">
        <v>296.78500000000003</v>
      </c>
      <c r="E59" s="716">
        <v>607.675882</v>
      </c>
      <c r="F59" s="716">
        <v>322.43937099999999</v>
      </c>
      <c r="G59" s="716">
        <v>37.293999999999997</v>
      </c>
      <c r="H59" s="716">
        <v>656.02300000000002</v>
      </c>
      <c r="I59" s="716">
        <v>266.099425</v>
      </c>
      <c r="J59" s="716">
        <v>338.90199999999999</v>
      </c>
      <c r="K59" s="716">
        <v>170.624</v>
      </c>
      <c r="L59" s="716">
        <v>133.18774999999999</v>
      </c>
      <c r="M59" s="716">
        <v>355.19385803561994</v>
      </c>
      <c r="N59" s="716">
        <v>392.91267499999992</v>
      </c>
      <c r="O59" s="716">
        <v>1767.2678302699996</v>
      </c>
      <c r="P59" s="716">
        <v>486.12779999999998</v>
      </c>
      <c r="Q59" s="718">
        <v>442.23539623100305</v>
      </c>
      <c r="R59" s="844">
        <v>314</v>
      </c>
      <c r="S59" s="720">
        <v>0</v>
      </c>
      <c r="T59" s="721">
        <v>0</v>
      </c>
    </row>
    <row r="60" spans="1:20" ht="16.5" customHeight="1" x14ac:dyDescent="0.25">
      <c r="A60" s="3534" t="s">
        <v>571</v>
      </c>
      <c r="B60" s="3535"/>
      <c r="C60" s="717">
        <v>0</v>
      </c>
      <c r="D60" s="717">
        <v>0.5</v>
      </c>
      <c r="E60" s="716">
        <v>17.759</v>
      </c>
      <c r="F60" s="716">
        <v>1.548</v>
      </c>
      <c r="G60" s="716">
        <v>676.21613549999995</v>
      </c>
      <c r="H60" s="716">
        <v>251.589</v>
      </c>
      <c r="I60" s="716">
        <v>407.99</v>
      </c>
      <c r="J60" s="716">
        <v>41.034999999999997</v>
      </c>
      <c r="K60" s="716">
        <v>199.04194801999998</v>
      </c>
      <c r="L60" s="717">
        <v>0</v>
      </c>
      <c r="M60" s="716">
        <v>125.3837295</v>
      </c>
      <c r="N60" s="716">
        <v>501.9196508</v>
      </c>
      <c r="O60" s="716">
        <v>39.350970240953679</v>
      </c>
      <c r="P60" s="716">
        <v>65.261091500000006</v>
      </c>
      <c r="Q60" s="717">
        <v>4.8731321391499991</v>
      </c>
      <c r="R60" s="845">
        <v>29</v>
      </c>
      <c r="S60" s="720">
        <v>40</v>
      </c>
      <c r="T60" s="721">
        <v>22.6</v>
      </c>
    </row>
    <row r="61" spans="1:20" ht="16.5" customHeight="1" x14ac:dyDescent="0.25">
      <c r="A61" s="782"/>
      <c r="B61" s="781" t="s">
        <v>593</v>
      </c>
      <c r="C61" s="717">
        <v>0</v>
      </c>
      <c r="D61" s="717">
        <v>0.5</v>
      </c>
      <c r="E61" s="716">
        <v>16</v>
      </c>
      <c r="F61" s="717">
        <v>0</v>
      </c>
      <c r="G61" s="717">
        <v>0</v>
      </c>
      <c r="H61" s="716">
        <v>0.7589999999999999</v>
      </c>
      <c r="I61" s="716">
        <v>57.533500000000004</v>
      </c>
      <c r="J61" s="716">
        <v>6.1760000000000002</v>
      </c>
      <c r="K61" s="716">
        <v>55.437400000000004</v>
      </c>
      <c r="L61" s="717">
        <v>0</v>
      </c>
      <c r="M61" s="716">
        <v>17.846</v>
      </c>
      <c r="N61" s="716">
        <v>419.84612395000005</v>
      </c>
      <c r="O61" s="716">
        <v>32.447672740953678</v>
      </c>
      <c r="P61" s="716">
        <v>1.8540000000000001</v>
      </c>
      <c r="Q61" s="717">
        <v>1.2588021391499988</v>
      </c>
      <c r="R61" s="845">
        <v>24</v>
      </c>
      <c r="S61" s="720">
        <v>16</v>
      </c>
      <c r="T61" s="721">
        <v>14.1</v>
      </c>
    </row>
    <row r="62" spans="1:20" ht="16.5" customHeight="1" x14ac:dyDescent="0.25">
      <c r="A62" s="782"/>
      <c r="B62" s="781" t="s">
        <v>573</v>
      </c>
      <c r="C62" s="717">
        <v>0</v>
      </c>
      <c r="D62" s="717">
        <v>0</v>
      </c>
      <c r="E62" s="716">
        <v>1.7589999999999999</v>
      </c>
      <c r="F62" s="717">
        <v>1.548</v>
      </c>
      <c r="G62" s="717">
        <v>676.03200000000004</v>
      </c>
      <c r="H62" s="716">
        <v>250.82999999999998</v>
      </c>
      <c r="I62" s="716">
        <v>350.45650000000001</v>
      </c>
      <c r="J62" s="716">
        <v>34.859000000000002</v>
      </c>
      <c r="K62" s="716">
        <v>143.60454801999998</v>
      </c>
      <c r="L62" s="717">
        <v>0</v>
      </c>
      <c r="M62" s="716">
        <v>107.53772950000001</v>
      </c>
      <c r="N62" s="716">
        <v>82.073526850000007</v>
      </c>
      <c r="O62" s="716">
        <v>6.9032974999999999</v>
      </c>
      <c r="P62" s="716">
        <v>63.407091499999993</v>
      </c>
      <c r="Q62" s="717">
        <v>3.6143299999999998</v>
      </c>
      <c r="R62" s="845">
        <v>5</v>
      </c>
      <c r="S62" s="720">
        <v>24</v>
      </c>
      <c r="T62" s="721">
        <v>8.5000000000000018</v>
      </c>
    </row>
    <row r="63" spans="1:20" ht="16.5" customHeight="1" x14ac:dyDescent="0.25">
      <c r="A63" s="3534" t="s">
        <v>574</v>
      </c>
      <c r="B63" s="3535"/>
      <c r="C63" s="717">
        <v>9.3160000000000007</v>
      </c>
      <c r="D63" s="717">
        <v>34.751489999999997</v>
      </c>
      <c r="E63" s="716">
        <v>3.5489999999999999</v>
      </c>
      <c r="F63" s="717">
        <v>11.3507</v>
      </c>
      <c r="G63" s="717">
        <v>0</v>
      </c>
      <c r="H63" s="716">
        <v>217.18914249000002</v>
      </c>
      <c r="I63" s="716">
        <v>44.4739</v>
      </c>
      <c r="J63" s="716">
        <v>222.457605</v>
      </c>
      <c r="K63" s="716">
        <v>65.079193450000005</v>
      </c>
      <c r="L63" s="716">
        <v>21.529896359999999</v>
      </c>
      <c r="M63" s="717">
        <v>0</v>
      </c>
      <c r="N63" s="717">
        <v>28.872315</v>
      </c>
      <c r="O63" s="717">
        <v>0.25064999999999998</v>
      </c>
      <c r="P63" s="717">
        <v>1.4952000000000001</v>
      </c>
      <c r="Q63" s="717">
        <v>19.276121079999999</v>
      </c>
      <c r="R63" s="845">
        <v>20</v>
      </c>
      <c r="S63" s="720">
        <v>13</v>
      </c>
      <c r="T63" s="721">
        <v>0</v>
      </c>
    </row>
    <row r="64" spans="1:20" ht="16.5" customHeight="1" thickBot="1" x14ac:dyDescent="0.3">
      <c r="A64" s="851" t="s">
        <v>594</v>
      </c>
      <c r="B64" s="852"/>
      <c r="C64" s="744">
        <v>114.907</v>
      </c>
      <c r="D64" s="744">
        <v>30.811</v>
      </c>
      <c r="E64" s="787">
        <v>0</v>
      </c>
      <c r="F64" s="787">
        <v>0</v>
      </c>
      <c r="G64" s="787">
        <v>0</v>
      </c>
      <c r="H64" s="744">
        <v>85.093000000000004</v>
      </c>
      <c r="I64" s="744">
        <v>81.624000000000009</v>
      </c>
      <c r="J64" s="744">
        <v>8.0670000000000002</v>
      </c>
      <c r="K64" s="744">
        <v>0.79700000000000004</v>
      </c>
      <c r="L64" s="744">
        <v>4.3639999999999999</v>
      </c>
      <c r="M64" s="853">
        <v>25.097999999999995</v>
      </c>
      <c r="N64" s="853">
        <v>2.4969999999999999</v>
      </c>
      <c r="O64" s="853">
        <v>1.034</v>
      </c>
      <c r="P64" s="853">
        <v>0</v>
      </c>
      <c r="Q64" s="853">
        <v>0</v>
      </c>
      <c r="R64" s="854">
        <v>87.5</v>
      </c>
      <c r="S64" s="790">
        <v>1100</v>
      </c>
      <c r="T64" s="791">
        <v>200</v>
      </c>
    </row>
    <row r="65" spans="1:20" s="751" customFormat="1" ht="7.5" customHeight="1" thickTop="1" x14ac:dyDescent="0.25">
      <c r="A65" s="3550"/>
      <c r="B65" s="3550"/>
      <c r="C65" s="3550"/>
      <c r="D65" s="3550"/>
      <c r="E65" s="3550"/>
      <c r="F65" s="3550"/>
      <c r="G65" s="3550"/>
      <c r="H65" s="3550"/>
      <c r="I65" s="3550"/>
      <c r="J65" s="3550"/>
      <c r="K65" s="3550"/>
      <c r="L65" s="3550"/>
      <c r="M65" s="3550"/>
      <c r="N65" s="3550"/>
      <c r="O65" s="3550"/>
      <c r="P65" s="3550"/>
      <c r="Q65" s="3550"/>
      <c r="R65" s="3550"/>
    </row>
    <row r="66" spans="1:20" s="751" customFormat="1" ht="18.75" customHeight="1" x14ac:dyDescent="0.25">
      <c r="A66" s="3532" t="s">
        <v>576</v>
      </c>
      <c r="B66" s="3532"/>
      <c r="C66" s="3532"/>
      <c r="D66" s="3532"/>
      <c r="E66" s="3532"/>
      <c r="F66" s="3532"/>
      <c r="G66" s="3532"/>
      <c r="H66" s="3532"/>
      <c r="I66" s="3532"/>
      <c r="J66" s="3532"/>
      <c r="K66" s="3532"/>
      <c r="L66" s="3532"/>
      <c r="M66" s="3532"/>
      <c r="N66" s="3532"/>
      <c r="O66" s="3532"/>
      <c r="P66" s="3532"/>
      <c r="Q66" s="3532"/>
      <c r="R66" s="3532"/>
      <c r="S66" s="3532"/>
      <c r="T66" s="3532"/>
    </row>
    <row r="67" spans="1:20" s="751" customFormat="1" ht="15.75" customHeight="1" x14ac:dyDescent="0.25">
      <c r="A67" s="3536" t="s">
        <v>538</v>
      </c>
      <c r="B67" s="3536"/>
      <c r="C67" s="3536"/>
      <c r="D67" s="3536"/>
      <c r="E67" s="3536"/>
      <c r="F67" s="3536"/>
      <c r="G67" s="3536"/>
      <c r="H67" s="3536"/>
      <c r="I67" s="3536"/>
      <c r="J67" s="3536"/>
      <c r="K67" s="3536"/>
      <c r="L67" s="3536"/>
      <c r="M67" s="3536"/>
      <c r="N67" s="3536"/>
      <c r="O67" s="3536"/>
      <c r="P67" s="3536"/>
      <c r="Q67" s="3536"/>
    </row>
    <row r="68" spans="1:20" s="751" customFormat="1" ht="15.75" x14ac:dyDescent="0.25">
      <c r="A68" s="793" t="s">
        <v>595</v>
      </c>
      <c r="B68" s="3222"/>
      <c r="C68" s="3222"/>
      <c r="D68" s="3222"/>
      <c r="E68" s="3222"/>
      <c r="F68" s="3222"/>
      <c r="G68" s="3222"/>
      <c r="H68" s="3222"/>
      <c r="I68" s="3222"/>
      <c r="J68" s="3222"/>
      <c r="K68" s="3222"/>
      <c r="L68" s="3222"/>
      <c r="M68" s="3222"/>
      <c r="N68" s="3222"/>
      <c r="O68" s="3222"/>
      <c r="P68" s="3222"/>
      <c r="Q68" s="3222"/>
    </row>
    <row r="69" spans="1:20" s="751" customFormat="1" ht="15.75" customHeight="1" x14ac:dyDescent="0.25">
      <c r="A69" s="3536" t="s">
        <v>5611</v>
      </c>
      <c r="B69" s="3536"/>
      <c r="C69" s="3536"/>
      <c r="D69" s="3536"/>
      <c r="E69" s="3536"/>
      <c r="F69" s="3536"/>
      <c r="G69" s="3536"/>
      <c r="H69" s="3536"/>
      <c r="I69" s="3536"/>
      <c r="J69" s="3536"/>
      <c r="K69" s="3536"/>
      <c r="L69" s="3536"/>
      <c r="M69" s="3536"/>
      <c r="N69" s="3536"/>
      <c r="O69" s="3536"/>
      <c r="P69" s="3536"/>
      <c r="Q69" s="3536"/>
      <c r="R69" s="3536"/>
      <c r="S69" s="3536"/>
    </row>
    <row r="70" spans="1:20" s="751" customFormat="1" ht="15.75" x14ac:dyDescent="0.25">
      <c r="A70" s="793" t="s">
        <v>596</v>
      </c>
      <c r="B70" s="3222"/>
      <c r="C70" s="3222"/>
      <c r="D70" s="3222"/>
      <c r="E70" s="3222"/>
      <c r="F70" s="3222"/>
      <c r="G70" s="3222"/>
      <c r="H70" s="3222"/>
      <c r="I70" s="3222"/>
      <c r="J70" s="3222"/>
      <c r="K70" s="3222"/>
      <c r="L70" s="3222"/>
      <c r="M70" s="3222"/>
      <c r="N70" s="3222"/>
      <c r="O70" s="3222"/>
      <c r="P70" s="3222"/>
      <c r="Q70" s="3222"/>
    </row>
    <row r="71" spans="1:20" s="287" customFormat="1" ht="14.25" x14ac:dyDescent="0.25">
      <c r="A71" s="3549" t="s">
        <v>173</v>
      </c>
      <c r="B71" s="3549"/>
      <c r="C71" s="3549"/>
      <c r="D71" s="3549"/>
      <c r="E71" s="3549"/>
      <c r="F71" s="3549"/>
      <c r="G71" s="3549"/>
      <c r="H71" s="3549"/>
      <c r="I71" s="3549"/>
      <c r="J71" s="3549"/>
      <c r="K71" s="3549"/>
      <c r="L71" s="3549"/>
      <c r="M71" s="3549"/>
      <c r="N71" s="3549"/>
      <c r="O71" s="3549"/>
      <c r="P71" s="3549"/>
      <c r="Q71" s="3549"/>
      <c r="R71" s="3549"/>
    </row>
    <row r="72" spans="1:20" s="855" customFormat="1" ht="15.75" customHeight="1" x14ac:dyDescent="0.25">
      <c r="A72" s="3540" t="s">
        <v>290</v>
      </c>
      <c r="B72" s="3540"/>
      <c r="C72" s="3540"/>
      <c r="D72" s="3540"/>
      <c r="E72" s="3540"/>
      <c r="F72" s="3540"/>
      <c r="G72" s="3540"/>
      <c r="H72" s="3540"/>
      <c r="I72" s="3540"/>
      <c r="J72" s="3540"/>
      <c r="K72" s="3540"/>
      <c r="L72" s="3540"/>
      <c r="M72" s="3540"/>
      <c r="N72" s="3540"/>
      <c r="O72" s="3540"/>
      <c r="P72" s="3540"/>
      <c r="Q72" s="3540"/>
      <c r="R72" s="3540"/>
    </row>
    <row r="73" spans="1:20" x14ac:dyDescent="0.25">
      <c r="C73" s="856"/>
      <c r="D73" s="856"/>
    </row>
    <row r="76" spans="1:20" x14ac:dyDescent="0.25">
      <c r="C76" s="857"/>
      <c r="D76" s="857"/>
      <c r="E76" s="857"/>
      <c r="F76" s="857"/>
      <c r="G76" s="857"/>
      <c r="H76" s="857"/>
      <c r="I76" s="857"/>
      <c r="J76" s="857"/>
      <c r="K76" s="857"/>
      <c r="L76" s="857"/>
      <c r="M76" s="857"/>
      <c r="N76" s="857"/>
      <c r="O76" s="857"/>
      <c r="P76" s="857"/>
      <c r="Q76" s="857"/>
      <c r="R76" s="857"/>
      <c r="S76" s="857"/>
      <c r="T76" s="857"/>
    </row>
  </sheetData>
  <mergeCells count="32">
    <mergeCell ref="A71:R71"/>
    <mergeCell ref="A72:R72"/>
    <mergeCell ref="A60:B60"/>
    <mergeCell ref="A63:B63"/>
    <mergeCell ref="A65:R65"/>
    <mergeCell ref="A66:T66"/>
    <mergeCell ref="A67:Q67"/>
    <mergeCell ref="A69:S69"/>
    <mergeCell ref="A57:B57"/>
    <mergeCell ref="A35:B35"/>
    <mergeCell ref="A36:B36"/>
    <mergeCell ref="A37:B37"/>
    <mergeCell ref="A38:B38"/>
    <mergeCell ref="A39:B39"/>
    <mergeCell ref="A40:B40"/>
    <mergeCell ref="A42:B42"/>
    <mergeCell ref="A51:B51"/>
    <mergeCell ref="A54:B54"/>
    <mergeCell ref="A55:B55"/>
    <mergeCell ref="A56:B56"/>
    <mergeCell ref="A34:B34"/>
    <mergeCell ref="A22:B22"/>
    <mergeCell ref="A23:O23"/>
    <mergeCell ref="A24:T24"/>
    <mergeCell ref="A25:S25"/>
    <mergeCell ref="A26:Q26"/>
    <mergeCell ref="A27:Q27"/>
    <mergeCell ref="A31:B31"/>
    <mergeCell ref="A32:B32"/>
    <mergeCell ref="A33:B33"/>
    <mergeCell ref="A1:T1"/>
    <mergeCell ref="A29:T29"/>
  </mergeCells>
  <pageMargins left="0.5" right="0.5" top="0.5" bottom="0" header="0.5" footer="0"/>
  <pageSetup paperSize="9" scale="51"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AA54"/>
  <sheetViews>
    <sheetView zoomScale="90" zoomScaleNormal="90" zoomScaleSheetLayoutView="90" zoomScalePageLayoutView="70" workbookViewId="0">
      <selection activeCell="K31" sqref="K31"/>
    </sheetView>
  </sheetViews>
  <sheetFormatPr defaultColWidth="9.140625" defaultRowHeight="15.75" x14ac:dyDescent="0.25"/>
  <cols>
    <col min="1" max="1" width="27.28515625" style="900" customWidth="1"/>
    <col min="2" max="18" width="10.85546875" style="900" customWidth="1"/>
    <col min="19" max="19" width="10.42578125" style="900" customWidth="1"/>
    <col min="20" max="16384" width="9.140625" style="900"/>
  </cols>
  <sheetData>
    <row r="1" spans="1:27" s="859" customFormat="1" ht="23.25" customHeight="1" x14ac:dyDescent="0.25">
      <c r="A1" s="858" t="s">
        <v>597</v>
      </c>
    </row>
    <row r="2" spans="1:27" s="864" customFormat="1" thickBot="1" x14ac:dyDescent="0.3">
      <c r="A2" s="860"/>
      <c r="B2" s="861"/>
      <c r="C2" s="861"/>
      <c r="D2" s="862"/>
      <c r="E2" s="862"/>
      <c r="F2" s="862"/>
      <c r="G2" s="862"/>
      <c r="H2" s="861"/>
      <c r="I2" s="862"/>
      <c r="J2" s="862"/>
      <c r="K2" s="862"/>
      <c r="L2" s="862"/>
      <c r="M2" s="862"/>
      <c r="N2" s="862"/>
      <c r="O2" s="863"/>
      <c r="P2" s="863"/>
      <c r="Q2" s="863"/>
      <c r="R2" s="863"/>
      <c r="S2" s="861" t="s">
        <v>281</v>
      </c>
    </row>
    <row r="3" spans="1:27" s="870" customFormat="1" ht="21.6" customHeight="1" thickTop="1" thickBot="1" x14ac:dyDescent="0.3">
      <c r="A3" s="865"/>
      <c r="B3" s="866" t="s">
        <v>598</v>
      </c>
      <c r="C3" s="867" t="s">
        <v>599</v>
      </c>
      <c r="D3" s="866" t="s">
        <v>600</v>
      </c>
      <c r="E3" s="866" t="s">
        <v>601</v>
      </c>
      <c r="F3" s="866" t="s">
        <v>602</v>
      </c>
      <c r="G3" s="866" t="s">
        <v>603</v>
      </c>
      <c r="H3" s="866" t="s">
        <v>604</v>
      </c>
      <c r="I3" s="866" t="s">
        <v>605</v>
      </c>
      <c r="J3" s="866" t="s">
        <v>606</v>
      </c>
      <c r="K3" s="868" t="s">
        <v>607</v>
      </c>
      <c r="L3" s="868" t="s">
        <v>608</v>
      </c>
      <c r="M3" s="868" t="s">
        <v>609</v>
      </c>
      <c r="N3" s="868" t="s">
        <v>610</v>
      </c>
      <c r="O3" s="868" t="s">
        <v>611</v>
      </c>
      <c r="P3" s="868" t="s">
        <v>612</v>
      </c>
      <c r="Q3" s="868" t="s">
        <v>613</v>
      </c>
      <c r="R3" s="868" t="s">
        <v>614</v>
      </c>
      <c r="S3" s="869" t="s">
        <v>615</v>
      </c>
    </row>
    <row r="4" spans="1:27" s="864" customFormat="1" x14ac:dyDescent="0.25">
      <c r="A4" s="871" t="s">
        <v>616</v>
      </c>
      <c r="B4" s="872">
        <v>701.98872643539994</v>
      </c>
      <c r="C4" s="873">
        <v>715.46550466980057</v>
      </c>
      <c r="D4" s="872">
        <v>659.52556626650039</v>
      </c>
      <c r="E4" s="872">
        <v>734.28401397499977</v>
      </c>
      <c r="F4" s="872">
        <v>741.89850830000023</v>
      </c>
      <c r="G4" s="874">
        <v>590.74315208999963</v>
      </c>
      <c r="H4" s="874">
        <v>847.10276352000062</v>
      </c>
      <c r="I4" s="874">
        <v>886.44076312439847</v>
      </c>
      <c r="J4" s="874">
        <v>615.63929135000069</v>
      </c>
      <c r="K4" s="874">
        <v>519.8322831700001</v>
      </c>
      <c r="L4" s="874">
        <v>787.47414639893043</v>
      </c>
      <c r="M4" s="874">
        <v>1030.437635865004</v>
      </c>
      <c r="N4" s="874">
        <v>575.44981402996996</v>
      </c>
      <c r="O4" s="874">
        <v>721.6512665900002</v>
      </c>
      <c r="P4" s="874">
        <v>801.87460839740015</v>
      </c>
      <c r="Q4" s="874">
        <v>719.2703311930826</v>
      </c>
      <c r="R4" s="874">
        <v>736.79314120543711</v>
      </c>
      <c r="S4" s="875">
        <v>809.01734255977885</v>
      </c>
    </row>
    <row r="5" spans="1:27" s="864" customFormat="1" x14ac:dyDescent="0.25">
      <c r="A5" s="876" t="s">
        <v>617</v>
      </c>
      <c r="B5" s="877"/>
      <c r="C5" s="878"/>
      <c r="D5" s="877"/>
      <c r="E5" s="877"/>
      <c r="F5" s="877"/>
      <c r="G5" s="879"/>
      <c r="H5" s="879"/>
      <c r="I5" s="879"/>
      <c r="J5" s="879"/>
      <c r="K5" s="879"/>
      <c r="L5" s="879"/>
      <c r="M5" s="879"/>
      <c r="N5" s="879"/>
      <c r="O5" s="879"/>
      <c r="P5" s="879"/>
      <c r="Q5" s="879"/>
      <c r="R5" s="879"/>
      <c r="S5" s="880"/>
    </row>
    <row r="6" spans="1:27" s="864" customFormat="1" x14ac:dyDescent="0.25">
      <c r="A6" s="881" t="s">
        <v>618</v>
      </c>
      <c r="B6" s="882">
        <v>195.27830839160001</v>
      </c>
      <c r="C6" s="883">
        <v>183.43628916000054</v>
      </c>
      <c r="D6" s="882">
        <v>176.33231413470057</v>
      </c>
      <c r="E6" s="882">
        <v>167.58830445999982</v>
      </c>
      <c r="F6" s="882">
        <v>143.53384856000005</v>
      </c>
      <c r="G6" s="884">
        <v>135.95276912999972</v>
      </c>
      <c r="H6" s="884">
        <v>240.78713834000058</v>
      </c>
      <c r="I6" s="884">
        <v>246.28135026558155</v>
      </c>
      <c r="J6" s="884">
        <v>178.0612305100008</v>
      </c>
      <c r="K6" s="884">
        <v>115.96251015999995</v>
      </c>
      <c r="L6" s="884">
        <v>159.04311992000055</v>
      </c>
      <c r="M6" s="884">
        <v>174.51088669653956</v>
      </c>
      <c r="N6" s="884">
        <v>129.93815784000003</v>
      </c>
      <c r="O6" s="884">
        <v>143.86369325000015</v>
      </c>
      <c r="P6" s="884">
        <v>144.37605552000008</v>
      </c>
      <c r="Q6" s="884">
        <v>144.53995828000046</v>
      </c>
      <c r="R6" s="884">
        <v>154.28834065999996</v>
      </c>
      <c r="S6" s="885">
        <v>164.72061999402965</v>
      </c>
    </row>
    <row r="7" spans="1:27" s="864" customFormat="1" x14ac:dyDescent="0.25">
      <c r="A7" s="881" t="s">
        <v>619</v>
      </c>
      <c r="B7" s="882">
        <v>106.69838231079993</v>
      </c>
      <c r="C7" s="883">
        <v>100.74806962599997</v>
      </c>
      <c r="D7" s="882">
        <v>88.277096756199825</v>
      </c>
      <c r="E7" s="882">
        <v>103.66656298630001</v>
      </c>
      <c r="F7" s="882">
        <v>86.751811719999992</v>
      </c>
      <c r="G7" s="884">
        <v>74.758024610000021</v>
      </c>
      <c r="H7" s="884">
        <v>121.71789069999991</v>
      </c>
      <c r="I7" s="884">
        <v>118.13599058999998</v>
      </c>
      <c r="J7" s="884">
        <v>79.765756899999957</v>
      </c>
      <c r="K7" s="884">
        <v>71.579232910000044</v>
      </c>
      <c r="L7" s="884">
        <v>101.22688921000022</v>
      </c>
      <c r="M7" s="884">
        <v>127.10704885009798</v>
      </c>
      <c r="N7" s="884">
        <v>82.27145784999999</v>
      </c>
      <c r="O7" s="884">
        <v>89.936778140000001</v>
      </c>
      <c r="P7" s="884">
        <v>91.770776460000008</v>
      </c>
      <c r="Q7" s="884">
        <v>87.220339180000067</v>
      </c>
      <c r="R7" s="884">
        <v>82.533467059999992</v>
      </c>
      <c r="S7" s="885">
        <v>101.21530527999994</v>
      </c>
    </row>
    <row r="8" spans="1:27" s="864" customFormat="1" x14ac:dyDescent="0.25">
      <c r="A8" s="881" t="s">
        <v>620</v>
      </c>
      <c r="B8" s="882">
        <v>62.499720559699981</v>
      </c>
      <c r="C8" s="883">
        <v>76.23195091300002</v>
      </c>
      <c r="D8" s="882">
        <v>68.748079785899961</v>
      </c>
      <c r="E8" s="882">
        <v>69.536054327000031</v>
      </c>
      <c r="F8" s="882">
        <v>92.480157420000126</v>
      </c>
      <c r="G8" s="884">
        <v>52.893050659999993</v>
      </c>
      <c r="H8" s="884">
        <v>55.001864330000025</v>
      </c>
      <c r="I8" s="884">
        <v>51.473705421199988</v>
      </c>
      <c r="J8" s="884">
        <v>33.822913789999994</v>
      </c>
      <c r="K8" s="884">
        <v>24.657659199999994</v>
      </c>
      <c r="L8" s="884">
        <v>61.480542520000036</v>
      </c>
      <c r="M8" s="884">
        <v>105.41543325508798</v>
      </c>
      <c r="N8" s="884">
        <v>65.331388277519991</v>
      </c>
      <c r="O8" s="884">
        <v>85.662966650000001</v>
      </c>
      <c r="P8" s="884">
        <v>100.07369961000002</v>
      </c>
      <c r="Q8" s="884">
        <v>95.30579857528204</v>
      </c>
      <c r="R8" s="884">
        <v>94.823800164521032</v>
      </c>
      <c r="S8" s="885">
        <v>99.985283733768014</v>
      </c>
    </row>
    <row r="9" spans="1:27" s="864" customFormat="1" x14ac:dyDescent="0.25">
      <c r="A9" s="881" t="s">
        <v>621</v>
      </c>
      <c r="B9" s="882">
        <v>21.207641339999981</v>
      </c>
      <c r="C9" s="883">
        <v>26.281799720000006</v>
      </c>
      <c r="D9" s="882">
        <v>24.977271189999982</v>
      </c>
      <c r="E9" s="882">
        <v>28.697647359999962</v>
      </c>
      <c r="F9" s="882">
        <v>22.506325470000014</v>
      </c>
      <c r="G9" s="884">
        <v>22.327919520000005</v>
      </c>
      <c r="H9" s="884">
        <v>33.826528539999984</v>
      </c>
      <c r="I9" s="884">
        <v>28.958311389999977</v>
      </c>
      <c r="J9" s="884">
        <v>19.766210149999981</v>
      </c>
      <c r="K9" s="884">
        <v>23.874152839999997</v>
      </c>
      <c r="L9" s="884">
        <v>34.69132898000003</v>
      </c>
      <c r="M9" s="884">
        <v>44.469662489999997</v>
      </c>
      <c r="N9" s="884">
        <v>22.197063490000001</v>
      </c>
      <c r="O9" s="884">
        <v>48.777437050000039</v>
      </c>
      <c r="P9" s="884">
        <v>51.847472869999969</v>
      </c>
      <c r="Q9" s="884">
        <v>29.266842950000004</v>
      </c>
      <c r="R9" s="884">
        <v>43.302345440000003</v>
      </c>
      <c r="S9" s="885">
        <v>67.215579529999985</v>
      </c>
    </row>
    <row r="10" spans="1:27" s="864" customFormat="1" x14ac:dyDescent="0.25">
      <c r="A10" s="881" t="s">
        <v>622</v>
      </c>
      <c r="B10" s="882">
        <v>33.965296135999964</v>
      </c>
      <c r="C10" s="883">
        <v>40.448780239999977</v>
      </c>
      <c r="D10" s="882">
        <v>40.711467900000009</v>
      </c>
      <c r="E10" s="882">
        <v>38.613433469999997</v>
      </c>
      <c r="F10" s="882">
        <v>115.43509929999998</v>
      </c>
      <c r="G10" s="884">
        <v>28.017054869999956</v>
      </c>
      <c r="H10" s="884">
        <v>25.584728160000008</v>
      </c>
      <c r="I10" s="884">
        <v>23.766477609999999</v>
      </c>
      <c r="J10" s="884">
        <v>18.580677650000005</v>
      </c>
      <c r="K10" s="884">
        <v>18.319555229999995</v>
      </c>
      <c r="L10" s="884">
        <v>32.255861419999988</v>
      </c>
      <c r="M10" s="884">
        <v>55.019499569999788</v>
      </c>
      <c r="N10" s="884">
        <v>20.831279190000007</v>
      </c>
      <c r="O10" s="884">
        <v>31.085900180000007</v>
      </c>
      <c r="P10" s="884">
        <v>33.679166340000002</v>
      </c>
      <c r="Q10" s="884">
        <v>37.597476540000002</v>
      </c>
      <c r="R10" s="884">
        <v>43.313781870000007</v>
      </c>
      <c r="S10" s="885">
        <v>38.89777483999999</v>
      </c>
    </row>
    <row r="11" spans="1:27" s="864" customFormat="1" x14ac:dyDescent="0.25">
      <c r="A11" s="881" t="s">
        <v>623</v>
      </c>
      <c r="B11" s="882">
        <v>16.63493831400001</v>
      </c>
      <c r="C11" s="883">
        <v>18.039775239999997</v>
      </c>
      <c r="D11" s="882">
        <v>19.125256829999994</v>
      </c>
      <c r="E11" s="882">
        <v>18.155073329999997</v>
      </c>
      <c r="F11" s="882">
        <v>15.822263359999992</v>
      </c>
      <c r="G11" s="884">
        <v>18.714706310000004</v>
      </c>
      <c r="H11" s="884">
        <v>37.460824930000022</v>
      </c>
      <c r="I11" s="884">
        <v>38.010210889999975</v>
      </c>
      <c r="J11" s="884">
        <v>25.806962160000001</v>
      </c>
      <c r="K11" s="884">
        <v>16.516458360000001</v>
      </c>
      <c r="L11" s="884">
        <v>27.958991259999991</v>
      </c>
      <c r="M11" s="884">
        <v>39.661280009999984</v>
      </c>
      <c r="N11" s="884">
        <v>29.285387649999997</v>
      </c>
      <c r="O11" s="884">
        <v>31.583875849999988</v>
      </c>
      <c r="P11" s="884">
        <v>35.357615680000002</v>
      </c>
      <c r="Q11" s="884">
        <v>31.620888609999973</v>
      </c>
      <c r="R11" s="884">
        <v>27.552330429999994</v>
      </c>
      <c r="S11" s="885">
        <v>29.319090009999993</v>
      </c>
    </row>
    <row r="12" spans="1:27" s="864" customFormat="1" x14ac:dyDescent="0.25">
      <c r="A12" s="881" t="s">
        <v>624</v>
      </c>
      <c r="B12" s="882">
        <v>24.192932986200013</v>
      </c>
      <c r="C12" s="883">
        <v>28.767231167000006</v>
      </c>
      <c r="D12" s="882">
        <v>22.213748150599987</v>
      </c>
      <c r="E12" s="882">
        <v>21.029692601300003</v>
      </c>
      <c r="F12" s="882">
        <v>22.295298370000005</v>
      </c>
      <c r="G12" s="884">
        <v>19.284897889999993</v>
      </c>
      <c r="H12" s="884">
        <v>31.914453819999977</v>
      </c>
      <c r="I12" s="884">
        <v>32.605143604000041</v>
      </c>
      <c r="J12" s="884">
        <v>22.74299929999999</v>
      </c>
      <c r="K12" s="884">
        <v>15.432341180000003</v>
      </c>
      <c r="L12" s="884">
        <v>24.990298729999996</v>
      </c>
      <c r="M12" s="884">
        <v>33.639568650000001</v>
      </c>
      <c r="N12" s="884">
        <v>24.579939329999991</v>
      </c>
      <c r="O12" s="884">
        <v>30.647140919999998</v>
      </c>
      <c r="P12" s="884">
        <v>27.231697390000004</v>
      </c>
      <c r="Q12" s="884">
        <v>29.040729770000009</v>
      </c>
      <c r="R12" s="884">
        <v>24.845253510000003</v>
      </c>
      <c r="S12" s="885">
        <v>28.330938270000001</v>
      </c>
    </row>
    <row r="13" spans="1:27" s="864" customFormat="1" x14ac:dyDescent="0.25">
      <c r="A13" s="881" t="s">
        <v>625</v>
      </c>
      <c r="B13" s="882">
        <v>28.506124716000006</v>
      </c>
      <c r="C13" s="883">
        <v>20.834542289999998</v>
      </c>
      <c r="D13" s="882">
        <v>17.841391170000001</v>
      </c>
      <c r="E13" s="882">
        <v>20.511524420000001</v>
      </c>
      <c r="F13" s="882">
        <v>20.782761359999999</v>
      </c>
      <c r="G13" s="884">
        <v>23.331516270000002</v>
      </c>
      <c r="H13" s="884">
        <v>24.539063599999999</v>
      </c>
      <c r="I13" s="884">
        <v>26.840203280000008</v>
      </c>
      <c r="J13" s="884">
        <v>21.647342780000002</v>
      </c>
      <c r="K13" s="884">
        <v>29.653165340000001</v>
      </c>
      <c r="L13" s="884">
        <v>29.600373459999997</v>
      </c>
      <c r="M13" s="884">
        <v>46.344476192062004</v>
      </c>
      <c r="N13" s="884">
        <v>30.418819320000004</v>
      </c>
      <c r="O13" s="884">
        <v>43.953432130000003</v>
      </c>
      <c r="P13" s="884">
        <v>31.730497744399994</v>
      </c>
      <c r="Q13" s="884">
        <v>30.608816223400005</v>
      </c>
      <c r="R13" s="884">
        <v>40.338378685999999</v>
      </c>
      <c r="S13" s="885">
        <v>25.681285517938004</v>
      </c>
    </row>
    <row r="14" spans="1:27" s="864" customFormat="1" x14ac:dyDescent="0.25">
      <c r="A14" s="881" t="s">
        <v>626</v>
      </c>
      <c r="B14" s="882">
        <v>11.661668969999999</v>
      </c>
      <c r="C14" s="883">
        <v>14.005952539999994</v>
      </c>
      <c r="D14" s="882">
        <v>9.6441251100000027</v>
      </c>
      <c r="E14" s="882">
        <v>14.569483030000004</v>
      </c>
      <c r="F14" s="882">
        <v>14.598650699999999</v>
      </c>
      <c r="G14" s="884">
        <v>11.579287190000004</v>
      </c>
      <c r="H14" s="884">
        <v>11.771693920000004</v>
      </c>
      <c r="I14" s="884">
        <v>17.224696999999995</v>
      </c>
      <c r="J14" s="884">
        <v>10.86150507</v>
      </c>
      <c r="K14" s="884">
        <v>13.617174249999996</v>
      </c>
      <c r="L14" s="884">
        <v>18.734695949999988</v>
      </c>
      <c r="M14" s="884">
        <v>20.326264909999995</v>
      </c>
      <c r="N14" s="884">
        <v>13.614864860000001</v>
      </c>
      <c r="O14" s="884">
        <v>16.645942779999999</v>
      </c>
      <c r="P14" s="884">
        <v>20.852139100000009</v>
      </c>
      <c r="Q14" s="884">
        <v>11.439903700000006</v>
      </c>
      <c r="R14" s="884">
        <v>18.065935199999998</v>
      </c>
      <c r="S14" s="885">
        <v>21.86232540000001</v>
      </c>
    </row>
    <row r="15" spans="1:27" s="864" customFormat="1" ht="16.5" thickBot="1" x14ac:dyDescent="0.3">
      <c r="A15" s="886" t="s">
        <v>627</v>
      </c>
      <c r="B15" s="887">
        <v>22.186150760199983</v>
      </c>
      <c r="C15" s="888">
        <v>23.818734022099996</v>
      </c>
      <c r="D15" s="887">
        <v>23.668109805099988</v>
      </c>
      <c r="E15" s="887">
        <v>23.400562392999998</v>
      </c>
      <c r="F15" s="887">
        <v>18.807531549999997</v>
      </c>
      <c r="G15" s="889">
        <v>19.437924890000001</v>
      </c>
      <c r="H15" s="889">
        <v>42.26626756000001</v>
      </c>
      <c r="I15" s="889">
        <v>42.627761829999983</v>
      </c>
      <c r="J15" s="889">
        <v>29.238842139999996</v>
      </c>
      <c r="K15" s="889">
        <v>15.90477061</v>
      </c>
      <c r="L15" s="889">
        <v>27.552628669999986</v>
      </c>
      <c r="M15" s="889">
        <v>29.986429499999989</v>
      </c>
      <c r="N15" s="889">
        <v>22.131545840000005</v>
      </c>
      <c r="O15" s="889">
        <v>24.523640669999999</v>
      </c>
      <c r="P15" s="889">
        <v>21.360011230000001</v>
      </c>
      <c r="Q15" s="889">
        <v>21.777174000000006</v>
      </c>
      <c r="R15" s="889">
        <v>20.711373780000006</v>
      </c>
      <c r="S15" s="890">
        <v>19.199516539999998</v>
      </c>
    </row>
    <row r="16" spans="1:27" s="893" customFormat="1" ht="32.25" customHeight="1" thickTop="1" x14ac:dyDescent="0.2">
      <c r="A16" s="3552" t="s">
        <v>628</v>
      </c>
      <c r="B16" s="3552"/>
      <c r="C16" s="3552"/>
      <c r="D16" s="3552"/>
      <c r="E16" s="3552"/>
      <c r="F16" s="3552"/>
      <c r="G16" s="3552"/>
      <c r="H16" s="3552"/>
      <c r="I16" s="3552"/>
      <c r="J16" s="3552"/>
      <c r="K16" s="3552"/>
      <c r="L16" s="3552"/>
      <c r="M16" s="3552"/>
      <c r="N16" s="3552"/>
      <c r="O16" s="3552"/>
      <c r="P16" s="3552"/>
      <c r="Q16" s="891"/>
      <c r="R16" s="891"/>
      <c r="S16" s="891"/>
      <c r="T16" s="891"/>
      <c r="U16" s="862"/>
      <c r="V16" s="862"/>
      <c r="W16" s="862"/>
      <c r="X16" s="863"/>
      <c r="Y16" s="863"/>
      <c r="Z16" s="863"/>
      <c r="AA16" s="892"/>
    </row>
    <row r="17" spans="1:27" s="893" customFormat="1" ht="18.95" customHeight="1" x14ac:dyDescent="0.25">
      <c r="A17" s="894" t="s">
        <v>629</v>
      </c>
      <c r="B17" s="895"/>
      <c r="C17" s="895"/>
      <c r="D17" s="895"/>
      <c r="E17" s="895"/>
      <c r="F17" s="895"/>
      <c r="G17" s="895"/>
      <c r="H17" s="895"/>
      <c r="I17" s="895"/>
      <c r="J17" s="895"/>
      <c r="K17" s="895"/>
      <c r="L17" s="895"/>
      <c r="M17" s="895"/>
      <c r="N17" s="895"/>
      <c r="O17" s="895"/>
      <c r="P17" s="895"/>
      <c r="Q17" s="895"/>
      <c r="R17" s="895"/>
      <c r="S17" s="895"/>
      <c r="T17" s="895"/>
      <c r="U17" s="895"/>
      <c r="V17" s="895"/>
      <c r="W17" s="895"/>
      <c r="X17" s="896"/>
      <c r="Y17" s="896"/>
      <c r="Z17" s="896"/>
      <c r="AA17" s="896"/>
    </row>
    <row r="18" spans="1:27" s="898" customFormat="1" ht="12.75" x14ac:dyDescent="0.25">
      <c r="A18" s="3553"/>
      <c r="B18" s="3553"/>
      <c r="C18" s="3553"/>
      <c r="D18" s="3553"/>
      <c r="E18" s="3553"/>
      <c r="F18" s="3553"/>
      <c r="G18" s="3553"/>
      <c r="H18" s="3553"/>
      <c r="I18" s="3553"/>
      <c r="J18" s="3553"/>
      <c r="K18" s="3553"/>
      <c r="L18" s="3553"/>
      <c r="M18" s="897"/>
    </row>
    <row r="19" spans="1:27" ht="5.25" customHeight="1" x14ac:dyDescent="0.25">
      <c r="A19" s="899"/>
    </row>
    <row r="20" spans="1:27" ht="17.25" x14ac:dyDescent="0.25">
      <c r="A20" s="901" t="s">
        <v>630</v>
      </c>
    </row>
    <row r="21" spans="1:27" s="902" customFormat="1" thickBot="1" x14ac:dyDescent="0.3">
      <c r="A21" s="860"/>
      <c r="B21" s="861"/>
      <c r="C21" s="861"/>
      <c r="D21" s="895"/>
      <c r="E21" s="895"/>
      <c r="F21" s="895"/>
      <c r="G21" s="895"/>
      <c r="H21" s="895"/>
      <c r="I21" s="895"/>
      <c r="J21" s="895"/>
      <c r="K21" s="895"/>
      <c r="L21" s="895"/>
      <c r="M21" s="895"/>
      <c r="N21" s="895"/>
      <c r="O21" s="895"/>
      <c r="P21" s="895"/>
      <c r="Q21" s="895"/>
      <c r="R21" s="895"/>
      <c r="S21" s="861" t="s">
        <v>281</v>
      </c>
    </row>
    <row r="22" spans="1:27" s="902" customFormat="1" ht="18.75" thickTop="1" thickBot="1" x14ac:dyDescent="0.3">
      <c r="A22" s="865"/>
      <c r="B22" s="903" t="s">
        <v>598</v>
      </c>
      <c r="C22" s="866" t="s">
        <v>599</v>
      </c>
      <c r="D22" s="866" t="s">
        <v>631</v>
      </c>
      <c r="E22" s="868" t="s">
        <v>601</v>
      </c>
      <c r="F22" s="868" t="s">
        <v>602</v>
      </c>
      <c r="G22" s="868" t="s">
        <v>603</v>
      </c>
      <c r="H22" s="868" t="s">
        <v>604</v>
      </c>
      <c r="I22" s="868" t="s">
        <v>605</v>
      </c>
      <c r="J22" s="868" t="s">
        <v>606</v>
      </c>
      <c r="K22" s="868" t="s">
        <v>607</v>
      </c>
      <c r="L22" s="868" t="s">
        <v>608</v>
      </c>
      <c r="M22" s="868" t="s">
        <v>609</v>
      </c>
      <c r="N22" s="868" t="s">
        <v>610</v>
      </c>
      <c r="O22" s="868" t="s">
        <v>632</v>
      </c>
      <c r="P22" s="868" t="s">
        <v>612</v>
      </c>
      <c r="Q22" s="868" t="s">
        <v>613</v>
      </c>
      <c r="R22" s="868" t="s">
        <v>614</v>
      </c>
      <c r="S22" s="869" t="s">
        <v>633</v>
      </c>
    </row>
    <row r="23" spans="1:27" s="902" customFormat="1" x14ac:dyDescent="0.25">
      <c r="A23" s="904" t="s">
        <v>634</v>
      </c>
      <c r="B23" s="905">
        <v>1656.8750409117215</v>
      </c>
      <c r="C23" s="906">
        <v>1668.0116233799451</v>
      </c>
      <c r="D23" s="906">
        <v>1813.7161133544848</v>
      </c>
      <c r="E23" s="907">
        <v>1995.1169154265804</v>
      </c>
      <c r="F23" s="907">
        <v>2014.3947270870181</v>
      </c>
      <c r="G23" s="907">
        <v>1243.2803767778323</v>
      </c>
      <c r="H23" s="907">
        <v>1885.1047836061384</v>
      </c>
      <c r="I23" s="907">
        <v>2295.8375707724458</v>
      </c>
      <c r="J23" s="907">
        <v>2058.305545330054</v>
      </c>
      <c r="K23" s="907">
        <v>1793.0016166787946</v>
      </c>
      <c r="L23" s="907">
        <v>2104.2541187255683</v>
      </c>
      <c r="M23" s="907">
        <v>2281.4060892331809</v>
      </c>
      <c r="N23" s="907">
        <v>2242.3246342437928</v>
      </c>
      <c r="O23" s="907">
        <v>2083.3734222271446</v>
      </c>
      <c r="P23" s="907">
        <v>2153.8720373123706</v>
      </c>
      <c r="Q23" s="907">
        <v>2227.0311379016857</v>
      </c>
      <c r="R23" s="907">
        <v>2513.0593313060463</v>
      </c>
      <c r="S23" s="908">
        <v>2341.7144522224617</v>
      </c>
    </row>
    <row r="24" spans="1:27" s="902" customFormat="1" x14ac:dyDescent="0.25">
      <c r="A24" s="909" t="s">
        <v>617</v>
      </c>
      <c r="B24" s="878"/>
      <c r="C24" s="877"/>
      <c r="D24" s="877"/>
      <c r="E24" s="879"/>
      <c r="F24" s="879"/>
      <c r="G24" s="879"/>
      <c r="H24" s="879"/>
      <c r="I24" s="879"/>
      <c r="J24" s="879"/>
      <c r="K24" s="879"/>
      <c r="L24" s="879"/>
      <c r="M24" s="879"/>
      <c r="N24" s="879"/>
      <c r="O24" s="879"/>
      <c r="P24" s="879"/>
      <c r="Q24" s="879"/>
      <c r="R24" s="879"/>
      <c r="S24" s="910"/>
    </row>
    <row r="25" spans="1:27" s="902" customFormat="1" x14ac:dyDescent="0.25">
      <c r="A25" s="911" t="s">
        <v>635</v>
      </c>
      <c r="B25" s="912">
        <v>690.11355821000006</v>
      </c>
      <c r="C25" s="912">
        <v>597.53029016999994</v>
      </c>
      <c r="D25" s="912">
        <v>630.72886957000003</v>
      </c>
      <c r="E25" s="912">
        <v>705.07110976000001</v>
      </c>
      <c r="F25" s="912">
        <v>733.24006425999994</v>
      </c>
      <c r="G25" s="912">
        <v>326.41303763999997</v>
      </c>
      <c r="H25" s="912">
        <v>721.77873654827454</v>
      </c>
      <c r="I25" s="912">
        <v>827.39566789999992</v>
      </c>
      <c r="J25" s="912">
        <v>852.55385702000024</v>
      </c>
      <c r="K25" s="912">
        <v>908.67242239999985</v>
      </c>
      <c r="L25" s="912">
        <v>764.29957081914642</v>
      </c>
      <c r="M25" s="912">
        <v>942.19916551999984</v>
      </c>
      <c r="N25" s="912">
        <v>953.95753188000015</v>
      </c>
      <c r="O25" s="912">
        <v>843.17566037999995</v>
      </c>
      <c r="P25" s="912">
        <v>900.99220824999998</v>
      </c>
      <c r="Q25" s="912">
        <v>890.22766764000028</v>
      </c>
      <c r="R25" s="912">
        <v>1012.79447755</v>
      </c>
      <c r="S25" s="913">
        <v>903.89479641606488</v>
      </c>
    </row>
    <row r="26" spans="1:27" s="902" customFormat="1" x14ac:dyDescent="0.25">
      <c r="A26" s="911" t="s">
        <v>570</v>
      </c>
      <c r="B26" s="912">
        <v>520.01672115612109</v>
      </c>
      <c r="C26" s="912">
        <v>570.93412200700004</v>
      </c>
      <c r="D26" s="912">
        <v>761.20843193299993</v>
      </c>
      <c r="E26" s="912">
        <v>836.81348953299994</v>
      </c>
      <c r="F26" s="912">
        <v>802.42851269271387</v>
      </c>
      <c r="G26" s="912">
        <v>488.23308932800001</v>
      </c>
      <c r="H26" s="912">
        <v>644.87413021427324</v>
      </c>
      <c r="I26" s="912">
        <v>848.15649341810422</v>
      </c>
      <c r="J26" s="912">
        <v>730.24545118700007</v>
      </c>
      <c r="K26" s="912">
        <v>374.36285236200001</v>
      </c>
      <c r="L26" s="912">
        <v>774.60159298100018</v>
      </c>
      <c r="M26" s="912">
        <v>911.20819781500006</v>
      </c>
      <c r="N26" s="912">
        <v>907.54263301700018</v>
      </c>
      <c r="O26" s="912">
        <v>854.42800574699993</v>
      </c>
      <c r="P26" s="912">
        <v>855.49232381503293</v>
      </c>
      <c r="Q26" s="912">
        <v>903.84381466187995</v>
      </c>
      <c r="R26" s="912">
        <v>901.49033226884899</v>
      </c>
      <c r="S26" s="913">
        <v>861.98339331635032</v>
      </c>
    </row>
    <row r="27" spans="1:27" s="902" customFormat="1" x14ac:dyDescent="0.25">
      <c r="A27" s="911" t="s">
        <v>618</v>
      </c>
      <c r="B27" s="912">
        <v>60.923746130000005</v>
      </c>
      <c r="C27" s="912">
        <v>84.996456040000012</v>
      </c>
      <c r="D27" s="912">
        <v>65.165540840000006</v>
      </c>
      <c r="E27" s="912">
        <v>90.750141709999994</v>
      </c>
      <c r="F27" s="912">
        <v>56.916507770000003</v>
      </c>
      <c r="G27" s="912">
        <v>96.116294819999993</v>
      </c>
      <c r="H27" s="912">
        <v>97.923962729999985</v>
      </c>
      <c r="I27" s="912">
        <v>101.51596045000001</v>
      </c>
      <c r="J27" s="912">
        <v>79.829026139999982</v>
      </c>
      <c r="K27" s="912">
        <v>81.227190539999995</v>
      </c>
      <c r="L27" s="912">
        <v>116.97630446999999</v>
      </c>
      <c r="M27" s="912">
        <v>40.773654389999997</v>
      </c>
      <c r="N27" s="912">
        <v>41.167281149999994</v>
      </c>
      <c r="O27" s="912">
        <v>45.675009170000003</v>
      </c>
      <c r="P27" s="912">
        <v>53.035861051599994</v>
      </c>
      <c r="Q27" s="912">
        <v>60.529130980000005</v>
      </c>
      <c r="R27" s="912">
        <v>98.821533951429998</v>
      </c>
      <c r="S27" s="913">
        <v>93.055107859999978</v>
      </c>
    </row>
    <row r="28" spans="1:27" s="902" customFormat="1" x14ac:dyDescent="0.25">
      <c r="A28" s="911" t="s">
        <v>636</v>
      </c>
      <c r="B28" s="912">
        <v>62.896897460000005</v>
      </c>
      <c r="C28" s="912">
        <v>72.158878799999997</v>
      </c>
      <c r="D28" s="912">
        <v>74.879016850000014</v>
      </c>
      <c r="E28" s="912">
        <v>68.434936430000008</v>
      </c>
      <c r="F28" s="912">
        <v>66.690104440000013</v>
      </c>
      <c r="G28" s="912">
        <v>50.367733099999995</v>
      </c>
      <c r="H28" s="912">
        <v>69.395721660012839</v>
      </c>
      <c r="I28" s="912">
        <v>85.497724710000014</v>
      </c>
      <c r="J28" s="912">
        <v>50.680742839999994</v>
      </c>
      <c r="K28" s="912">
        <v>31.944133860000004</v>
      </c>
      <c r="L28" s="912">
        <v>73.941314840000018</v>
      </c>
      <c r="M28" s="912">
        <v>87.000185970000004</v>
      </c>
      <c r="N28" s="912">
        <v>84.773233579999996</v>
      </c>
      <c r="O28" s="912">
        <v>92.943794269999998</v>
      </c>
      <c r="P28" s="912">
        <v>87.020124029999991</v>
      </c>
      <c r="Q28" s="912">
        <v>85.424416010000002</v>
      </c>
      <c r="R28" s="912">
        <v>49.794068809999999</v>
      </c>
      <c r="S28" s="913">
        <v>59.535493799999998</v>
      </c>
    </row>
    <row r="29" spans="1:27" s="902" customFormat="1" ht="16.5" thickBot="1" x14ac:dyDescent="0.3">
      <c r="A29" s="914" t="s">
        <v>637</v>
      </c>
      <c r="B29" s="915">
        <v>14.796965460000001</v>
      </c>
      <c r="C29" s="915">
        <v>12.289800269999997</v>
      </c>
      <c r="D29" s="915">
        <v>13.213645810000003</v>
      </c>
      <c r="E29" s="915">
        <v>12.19843723</v>
      </c>
      <c r="F29" s="915">
        <v>14.638041330000002</v>
      </c>
      <c r="G29" s="915">
        <v>10.606093019999999</v>
      </c>
      <c r="H29" s="915">
        <v>14.829770270216445</v>
      </c>
      <c r="I29" s="915">
        <v>15.22366515</v>
      </c>
      <c r="J29" s="915">
        <v>11.846850180000001</v>
      </c>
      <c r="K29" s="915">
        <v>13.041938539999999</v>
      </c>
      <c r="L29" s="915">
        <v>14.605791099999999</v>
      </c>
      <c r="M29" s="915">
        <v>14.40812564</v>
      </c>
      <c r="N29" s="915">
        <v>18.097577920000003</v>
      </c>
      <c r="O29" s="915">
        <v>22.26632463</v>
      </c>
      <c r="P29" s="915">
        <v>20.130034429999998</v>
      </c>
      <c r="Q29" s="915">
        <v>25.211876800000002</v>
      </c>
      <c r="R29" s="915">
        <v>34.333012500000002</v>
      </c>
      <c r="S29" s="916">
        <v>37.18711733</v>
      </c>
    </row>
    <row r="30" spans="1:27" s="917" customFormat="1" ht="30" customHeight="1" thickTop="1" x14ac:dyDescent="0.25">
      <c r="A30" s="3554" t="s">
        <v>628</v>
      </c>
      <c r="B30" s="3554"/>
      <c r="C30" s="3554"/>
      <c r="D30" s="3554"/>
      <c r="E30" s="3554"/>
      <c r="F30" s="3554"/>
      <c r="G30" s="3554"/>
      <c r="H30" s="3554"/>
      <c r="I30" s="3554"/>
      <c r="J30" s="3554"/>
      <c r="K30" s="3554"/>
      <c r="L30" s="3554"/>
      <c r="M30" s="3554"/>
      <c r="N30" s="3554"/>
      <c r="O30" s="3554"/>
      <c r="P30" s="3554"/>
      <c r="Q30" s="3554"/>
      <c r="R30" s="3554"/>
      <c r="S30" s="3554"/>
      <c r="T30" s="895"/>
      <c r="U30" s="895"/>
      <c r="V30" s="895"/>
      <c r="W30" s="895"/>
      <c r="X30" s="895"/>
      <c r="Y30" s="895"/>
      <c r="Z30" s="895"/>
      <c r="AA30" s="895"/>
    </row>
    <row r="31" spans="1:27" s="893" customFormat="1" ht="16.5" customHeight="1" x14ac:dyDescent="0.25">
      <c r="A31" s="894" t="s">
        <v>629</v>
      </c>
      <c r="B31" s="895"/>
      <c r="C31" s="895"/>
      <c r="D31" s="895"/>
      <c r="E31" s="895"/>
      <c r="F31" s="895"/>
      <c r="G31" s="895"/>
      <c r="H31" s="895"/>
      <c r="I31" s="895"/>
      <c r="J31" s="895"/>
      <c r="K31" s="895"/>
      <c r="L31" s="895"/>
      <c r="M31" s="895"/>
      <c r="N31" s="895"/>
      <c r="O31" s="895"/>
      <c r="P31" s="895"/>
      <c r="Q31" s="895"/>
      <c r="R31" s="895"/>
      <c r="S31" s="895"/>
      <c r="T31" s="895"/>
      <c r="U31" s="895"/>
      <c r="V31" s="895"/>
      <c r="W31" s="895"/>
      <c r="X31" s="895"/>
      <c r="Y31" s="895"/>
      <c r="Z31" s="895"/>
      <c r="AA31" s="895"/>
    </row>
    <row r="32" spans="1:27" x14ac:dyDescent="0.3">
      <c r="A32" s="918"/>
      <c r="B32" s="919"/>
      <c r="C32" s="919"/>
      <c r="D32" s="919"/>
      <c r="E32" s="919"/>
      <c r="F32" s="919"/>
      <c r="G32" s="919"/>
      <c r="H32" s="919"/>
      <c r="I32" s="919"/>
      <c r="J32" s="919"/>
      <c r="K32" s="919"/>
      <c r="L32" s="919"/>
      <c r="M32" s="919"/>
      <c r="N32" s="919"/>
      <c r="O32" s="919"/>
      <c r="P32" s="919"/>
      <c r="Q32" s="919"/>
      <c r="R32" s="919"/>
    </row>
    <row r="33" spans="1:27" ht="17.25" customHeight="1" x14ac:dyDescent="0.25">
      <c r="A33" s="3555" t="s">
        <v>638</v>
      </c>
      <c r="B33" s="3555"/>
      <c r="C33" s="3555"/>
      <c r="D33" s="3555"/>
      <c r="E33" s="3555"/>
      <c r="F33" s="3555"/>
      <c r="G33" s="3555"/>
      <c r="H33" s="3555"/>
    </row>
    <row r="34" spans="1:27" s="902" customFormat="1" thickBot="1" x14ac:dyDescent="0.3">
      <c r="A34" s="860"/>
      <c r="B34" s="861"/>
      <c r="C34" s="861"/>
      <c r="D34" s="895"/>
      <c r="E34" s="895"/>
      <c r="F34" s="895"/>
      <c r="G34" s="895"/>
      <c r="H34" s="895"/>
      <c r="I34" s="895"/>
      <c r="J34" s="895"/>
      <c r="K34" s="895"/>
      <c r="L34" s="895"/>
      <c r="M34" s="895"/>
      <c r="N34" s="895"/>
      <c r="O34" s="895"/>
      <c r="P34" s="895"/>
      <c r="Q34" s="895"/>
      <c r="R34" s="895"/>
      <c r="S34" s="861" t="s">
        <v>281</v>
      </c>
    </row>
    <row r="35" spans="1:27" s="902" customFormat="1" ht="18.75" thickTop="1" thickBot="1" x14ac:dyDescent="0.3">
      <c r="A35" s="865"/>
      <c r="B35" s="866" t="s">
        <v>598</v>
      </c>
      <c r="C35" s="866" t="s">
        <v>599</v>
      </c>
      <c r="D35" s="866" t="s">
        <v>631</v>
      </c>
      <c r="E35" s="866" t="s">
        <v>601</v>
      </c>
      <c r="F35" s="866" t="s">
        <v>602</v>
      </c>
      <c r="G35" s="866" t="s">
        <v>603</v>
      </c>
      <c r="H35" s="866" t="s">
        <v>604</v>
      </c>
      <c r="I35" s="866" t="s">
        <v>605</v>
      </c>
      <c r="J35" s="866" t="s">
        <v>606</v>
      </c>
      <c r="K35" s="868" t="s">
        <v>607</v>
      </c>
      <c r="L35" s="868" t="s">
        <v>608</v>
      </c>
      <c r="M35" s="868" t="s">
        <v>609</v>
      </c>
      <c r="N35" s="868" t="s">
        <v>639</v>
      </c>
      <c r="O35" s="868" t="s">
        <v>632</v>
      </c>
      <c r="P35" s="868" t="s">
        <v>640</v>
      </c>
      <c r="Q35" s="868" t="s">
        <v>641</v>
      </c>
      <c r="R35" s="868" t="s">
        <v>642</v>
      </c>
      <c r="S35" s="869" t="s">
        <v>643</v>
      </c>
    </row>
    <row r="36" spans="1:27" s="902" customFormat="1" x14ac:dyDescent="0.25">
      <c r="A36" s="920" t="s">
        <v>644</v>
      </c>
      <c r="B36" s="921">
        <v>0.5</v>
      </c>
      <c r="C36" s="922">
        <v>0.5</v>
      </c>
      <c r="D36" s="922">
        <v>0.5</v>
      </c>
      <c r="E36" s="922">
        <v>0.52594173999999994</v>
      </c>
      <c r="F36" s="922">
        <v>0.46203</v>
      </c>
      <c r="G36" s="922">
        <v>0.43</v>
      </c>
      <c r="H36" s="922">
        <v>0.37757673999999997</v>
      </c>
      <c r="I36" s="922">
        <v>0.24793060999999997</v>
      </c>
      <c r="J36" s="922">
        <v>0.18828508000000002</v>
      </c>
      <c r="K36" s="923">
        <v>0.25804677000000004</v>
      </c>
      <c r="L36" s="923">
        <v>0.47822014999999995</v>
      </c>
      <c r="M36" s="923">
        <v>0.66400219000000016</v>
      </c>
      <c r="N36" s="923">
        <v>0.30555984999999997</v>
      </c>
      <c r="O36" s="923">
        <v>0.44019876000000002</v>
      </c>
      <c r="P36" s="923">
        <v>0.57015000000000005</v>
      </c>
      <c r="Q36" s="923">
        <v>0.41455323999999999</v>
      </c>
      <c r="R36" s="923">
        <v>0.47325659999999997</v>
      </c>
      <c r="S36" s="924">
        <v>0.49238850000000001</v>
      </c>
    </row>
    <row r="37" spans="1:27" s="902" customFormat="1" x14ac:dyDescent="0.25">
      <c r="A37" s="925"/>
      <c r="B37" s="926">
        <v>8.0000000000000004E-4</v>
      </c>
      <c r="C37" s="927">
        <v>6.9999999999999999E-4</v>
      </c>
      <c r="D37" s="927">
        <v>6.9999999999999999E-4</v>
      </c>
      <c r="E37" s="927">
        <v>6.9999999999999999E-4</v>
      </c>
      <c r="F37" s="927">
        <v>5.9999999999999995E-4</v>
      </c>
      <c r="G37" s="927">
        <v>6.9999999999999999E-4</v>
      </c>
      <c r="H37" s="927">
        <v>4.0000000000000002E-4</v>
      </c>
      <c r="I37" s="927">
        <v>2.9999999999999997E-4</v>
      </c>
      <c r="J37" s="927">
        <v>2.9999999999999997E-4</v>
      </c>
      <c r="K37" s="928">
        <v>5.0000000000000001E-4</v>
      </c>
      <c r="L37" s="928">
        <v>5.9999999999999995E-4</v>
      </c>
      <c r="M37" s="928">
        <v>5.9999999999999995E-4</v>
      </c>
      <c r="N37" s="928">
        <v>5.0000000000000001E-4</v>
      </c>
      <c r="O37" s="928">
        <v>5.9999999999999995E-4</v>
      </c>
      <c r="P37" s="928">
        <v>6.9999999999999999E-4</v>
      </c>
      <c r="Q37" s="928">
        <v>5.9999999999999995E-4</v>
      </c>
      <c r="R37" s="928">
        <v>5.9999999999999995E-4</v>
      </c>
      <c r="S37" s="929">
        <v>5.9999999999999995E-4</v>
      </c>
    </row>
    <row r="38" spans="1:27" s="902" customFormat="1" x14ac:dyDescent="0.25">
      <c r="A38" s="930" t="s">
        <v>645</v>
      </c>
      <c r="B38" s="931">
        <v>14.5</v>
      </c>
      <c r="C38" s="932">
        <v>12.5</v>
      </c>
      <c r="D38" s="932">
        <v>14.3</v>
      </c>
      <c r="E38" s="932">
        <v>15.197254439219998</v>
      </c>
      <c r="F38" s="932">
        <v>15.387697236161999</v>
      </c>
      <c r="G38" s="932">
        <v>9.5357787281170818</v>
      </c>
      <c r="H38" s="932">
        <v>15.324560618938392</v>
      </c>
      <c r="I38" s="932">
        <v>16.655828152723355</v>
      </c>
      <c r="J38" s="932">
        <v>13.971525995165369</v>
      </c>
      <c r="K38" s="933">
        <v>9.0107167279277327</v>
      </c>
      <c r="L38" s="933">
        <v>13.103127565460319</v>
      </c>
      <c r="M38" s="933">
        <v>15.400299986241372</v>
      </c>
      <c r="N38" s="933">
        <v>16.435883182542895</v>
      </c>
      <c r="O38" s="933">
        <v>16.360059400819999</v>
      </c>
      <c r="P38" s="933">
        <v>15.28907122523</v>
      </c>
      <c r="Q38" s="933">
        <v>18.831307578470003</v>
      </c>
      <c r="R38" s="933">
        <v>17.25201177336</v>
      </c>
      <c r="S38" s="934">
        <v>16.306007664109998</v>
      </c>
    </row>
    <row r="39" spans="1:27" s="902" customFormat="1" ht="16.5" thickBot="1" x14ac:dyDescent="0.3">
      <c r="A39" s="935"/>
      <c r="B39" s="936">
        <v>8.9999999999999993E-3</v>
      </c>
      <c r="C39" s="937">
        <v>7.0000000000000001E-3</v>
      </c>
      <c r="D39" s="937">
        <v>8.0000000000000002E-3</v>
      </c>
      <c r="E39" s="937">
        <v>8.0000000000000002E-3</v>
      </c>
      <c r="F39" s="937">
        <v>8.0000000000000002E-3</v>
      </c>
      <c r="G39" s="937">
        <v>8.0000000000000002E-3</v>
      </c>
      <c r="H39" s="937">
        <v>8.0000000000000002E-3</v>
      </c>
      <c r="I39" s="937">
        <v>7.0000000000000001E-3</v>
      </c>
      <c r="J39" s="937">
        <v>7.0000000000000001E-3</v>
      </c>
      <c r="K39" s="938">
        <v>5.0000000000000001E-3</v>
      </c>
      <c r="L39" s="938">
        <v>6.0000000000000001E-3</v>
      </c>
      <c r="M39" s="938">
        <v>7.0000000000000001E-3</v>
      </c>
      <c r="N39" s="938">
        <v>7.3000000000000001E-3</v>
      </c>
      <c r="O39" s="938">
        <v>7.8499999999999993E-3</v>
      </c>
      <c r="P39" s="938">
        <v>7.0899999999999999E-3</v>
      </c>
      <c r="Q39" s="938">
        <v>8.4499999999999992E-3</v>
      </c>
      <c r="R39" s="938">
        <v>6.8599999999999998E-3</v>
      </c>
      <c r="S39" s="939">
        <v>6.96E-3</v>
      </c>
    </row>
    <row r="40" spans="1:27" s="942" customFormat="1" ht="21.75" customHeight="1" thickTop="1" x14ac:dyDescent="0.25">
      <c r="A40" s="3554" t="s">
        <v>646</v>
      </c>
      <c r="B40" s="3554"/>
      <c r="C40" s="3554"/>
      <c r="D40" s="3554"/>
      <c r="E40" s="3554"/>
      <c r="F40" s="3554"/>
      <c r="G40" s="3554"/>
      <c r="H40" s="3554"/>
      <c r="I40" s="3554"/>
      <c r="J40" s="3554"/>
      <c r="K40" s="3554"/>
      <c r="L40" s="3554"/>
      <c r="M40" s="3554"/>
      <c r="N40" s="3554"/>
      <c r="O40" s="3554"/>
      <c r="P40" s="3554"/>
      <c r="Q40" s="3554"/>
      <c r="R40" s="940"/>
      <c r="S40" s="895"/>
      <c r="T40" s="895"/>
      <c r="U40" s="895"/>
      <c r="V40" s="895"/>
      <c r="W40" s="895"/>
      <c r="X40" s="941"/>
      <c r="Y40" s="941"/>
      <c r="Z40" s="941"/>
      <c r="AA40" s="895"/>
    </row>
    <row r="41" spans="1:27" s="943" customFormat="1" ht="18.95" customHeight="1" x14ac:dyDescent="0.25">
      <c r="A41" s="894" t="s">
        <v>647</v>
      </c>
      <c r="B41" s="940"/>
      <c r="C41" s="940"/>
      <c r="D41" s="940"/>
      <c r="E41" s="940"/>
      <c r="F41" s="940"/>
      <c r="G41" s="940"/>
      <c r="H41" s="940"/>
      <c r="I41" s="940"/>
      <c r="J41" s="940"/>
      <c r="K41" s="940"/>
      <c r="L41" s="940"/>
      <c r="M41" s="940"/>
      <c r="N41" s="940"/>
      <c r="O41" s="940"/>
      <c r="P41" s="895"/>
      <c r="Q41" s="895"/>
      <c r="R41" s="895"/>
      <c r="S41" s="895"/>
      <c r="T41" s="895"/>
      <c r="U41" s="895"/>
      <c r="V41" s="895"/>
      <c r="W41" s="895"/>
      <c r="X41" s="941"/>
      <c r="Y41" s="941"/>
      <c r="Z41" s="941"/>
      <c r="AA41" s="895"/>
    </row>
    <row r="42" spans="1:27" s="917" customFormat="1" ht="18.95" customHeight="1" x14ac:dyDescent="0.25">
      <c r="A42" s="3553" t="s">
        <v>648</v>
      </c>
      <c r="B42" s="3553"/>
      <c r="C42" s="3553"/>
      <c r="D42" s="3553"/>
      <c r="E42" s="3553"/>
      <c r="F42" s="3553"/>
      <c r="G42" s="3553"/>
      <c r="H42" s="944"/>
      <c r="I42" s="944"/>
      <c r="J42" s="944"/>
      <c r="K42" s="944"/>
      <c r="L42" s="944"/>
      <c r="M42" s="895"/>
      <c r="N42" s="895"/>
      <c r="O42" s="895"/>
      <c r="P42" s="895"/>
      <c r="Q42" s="895"/>
      <c r="R42" s="895"/>
      <c r="S42" s="945"/>
      <c r="T42" s="945"/>
      <c r="U42" s="945"/>
      <c r="V42" s="945"/>
      <c r="W42" s="945"/>
      <c r="X42" s="946"/>
      <c r="Y42" s="946"/>
      <c r="Z42" s="946"/>
      <c r="AA42" s="947"/>
    </row>
    <row r="43" spans="1:27" s="917" customFormat="1" ht="21.75" customHeight="1" x14ac:dyDescent="0.25">
      <c r="A43" s="3551" t="s">
        <v>290</v>
      </c>
      <c r="B43" s="3551"/>
      <c r="C43" s="3551"/>
      <c r="D43" s="3551"/>
      <c r="E43" s="3551"/>
      <c r="F43" s="3551"/>
      <c r="G43" s="3551"/>
      <c r="H43" s="944"/>
      <c r="I43" s="944"/>
      <c r="J43" s="944"/>
      <c r="K43" s="944"/>
      <c r="L43" s="944"/>
      <c r="M43" s="895"/>
      <c r="N43" s="948"/>
      <c r="O43" s="948"/>
      <c r="P43" s="895"/>
      <c r="Q43" s="895"/>
      <c r="R43" s="895"/>
      <c r="S43" s="895"/>
      <c r="T43" s="895"/>
      <c r="U43" s="895"/>
      <c r="V43" s="947"/>
      <c r="W43" s="947"/>
      <c r="X43" s="949"/>
      <c r="Y43" s="949"/>
      <c r="Z43" s="949"/>
      <c r="AA43" s="895"/>
    </row>
    <row r="44" spans="1:27" ht="22.5" customHeight="1" x14ac:dyDescent="0.25">
      <c r="B44" s="950"/>
      <c r="C44" s="950"/>
      <c r="D44" s="950"/>
      <c r="E44" s="950"/>
      <c r="F44" s="950"/>
      <c r="G44" s="950"/>
      <c r="H44" s="950"/>
      <c r="I44" s="950"/>
      <c r="J44" s="950"/>
      <c r="K44" s="950"/>
      <c r="L44" s="950"/>
      <c r="M44" s="950"/>
      <c r="N44" s="950"/>
      <c r="O44" s="950"/>
      <c r="P44" s="950"/>
      <c r="Q44" s="950"/>
      <c r="R44" s="950"/>
    </row>
    <row r="45" spans="1:27" x14ac:dyDescent="0.25">
      <c r="B45" s="951"/>
      <c r="C45" s="951"/>
      <c r="D45" s="951"/>
      <c r="E45" s="951"/>
      <c r="F45" s="951"/>
      <c r="G45" s="951"/>
      <c r="H45" s="951"/>
      <c r="I45" s="951"/>
      <c r="J45" s="951"/>
      <c r="K45" s="951"/>
      <c r="L45" s="951"/>
      <c r="M45" s="951"/>
      <c r="N45" s="951"/>
      <c r="O45" s="951"/>
      <c r="P45" s="951"/>
      <c r="Q45" s="951"/>
      <c r="R45" s="951"/>
    </row>
    <row r="46" spans="1:27" x14ac:dyDescent="0.25">
      <c r="B46" s="952"/>
      <c r="C46" s="952"/>
      <c r="D46" s="952"/>
      <c r="E46" s="952"/>
      <c r="F46" s="952"/>
      <c r="G46" s="952"/>
      <c r="H46" s="952"/>
      <c r="I46" s="952"/>
      <c r="J46" s="952"/>
      <c r="K46" s="952"/>
      <c r="L46" s="952"/>
      <c r="M46" s="952"/>
      <c r="N46" s="952"/>
      <c r="O46" s="952"/>
      <c r="P46" s="952"/>
      <c r="Q46" s="952"/>
      <c r="R46" s="952"/>
    </row>
    <row r="47" spans="1:27" x14ac:dyDescent="0.25">
      <c r="B47" s="953"/>
      <c r="C47" s="953"/>
      <c r="D47" s="953"/>
      <c r="E47" s="953"/>
      <c r="F47" s="953"/>
      <c r="G47" s="953"/>
      <c r="H47" s="953"/>
      <c r="I47" s="953"/>
      <c r="J47" s="953"/>
      <c r="K47" s="953"/>
      <c r="L47" s="953"/>
      <c r="M47" s="953"/>
      <c r="N47" s="953"/>
      <c r="O47" s="953"/>
      <c r="P47" s="953"/>
      <c r="Q47" s="953"/>
      <c r="R47" s="953"/>
    </row>
    <row r="48" spans="1:27" x14ac:dyDescent="0.25">
      <c r="B48" s="950"/>
      <c r="C48" s="950"/>
      <c r="D48" s="950"/>
      <c r="E48" s="950"/>
      <c r="F48" s="950"/>
      <c r="G48" s="950"/>
      <c r="H48" s="950"/>
      <c r="I48" s="950"/>
      <c r="J48" s="950"/>
      <c r="K48" s="950"/>
      <c r="L48" s="950"/>
      <c r="M48" s="950"/>
      <c r="N48" s="950"/>
      <c r="O48" s="950"/>
      <c r="P48" s="950"/>
      <c r="Q48" s="950"/>
      <c r="R48" s="950"/>
    </row>
    <row r="51" spans="2:18" x14ac:dyDescent="0.25">
      <c r="B51" s="950"/>
      <c r="C51" s="950"/>
      <c r="D51" s="950"/>
      <c r="E51" s="950"/>
      <c r="F51" s="950"/>
      <c r="G51" s="950"/>
      <c r="H51" s="950"/>
      <c r="I51" s="950"/>
      <c r="J51" s="950"/>
      <c r="K51" s="950"/>
      <c r="L51" s="950"/>
      <c r="M51" s="950"/>
      <c r="N51" s="950"/>
      <c r="O51" s="950"/>
      <c r="P51" s="950"/>
      <c r="Q51" s="950"/>
      <c r="R51" s="950"/>
    </row>
    <row r="52" spans="2:18" x14ac:dyDescent="0.25">
      <c r="B52" s="950"/>
      <c r="C52" s="950"/>
      <c r="D52" s="950"/>
      <c r="E52" s="950"/>
      <c r="F52" s="950"/>
      <c r="G52" s="950"/>
      <c r="H52" s="950"/>
      <c r="I52" s="950"/>
      <c r="J52" s="950"/>
      <c r="K52" s="950"/>
      <c r="L52" s="950"/>
      <c r="M52" s="950"/>
      <c r="N52" s="950"/>
      <c r="O52" s="950"/>
      <c r="P52" s="950"/>
      <c r="Q52" s="950"/>
      <c r="R52" s="950"/>
    </row>
    <row r="53" spans="2:18" x14ac:dyDescent="0.25">
      <c r="B53" s="950"/>
      <c r="C53" s="950"/>
      <c r="D53" s="950"/>
      <c r="E53" s="950"/>
      <c r="F53" s="950"/>
      <c r="G53" s="950"/>
      <c r="H53" s="950"/>
      <c r="I53" s="950"/>
      <c r="J53" s="950"/>
      <c r="K53" s="950"/>
      <c r="L53" s="950"/>
      <c r="M53" s="950"/>
      <c r="N53" s="950"/>
      <c r="O53" s="950"/>
      <c r="P53" s="950"/>
      <c r="Q53" s="950"/>
      <c r="R53" s="950"/>
    </row>
    <row r="54" spans="2:18" x14ac:dyDescent="0.25">
      <c r="B54" s="950"/>
      <c r="C54" s="950"/>
      <c r="D54" s="950"/>
      <c r="E54" s="950"/>
      <c r="F54" s="950"/>
      <c r="G54" s="950"/>
      <c r="H54" s="950"/>
      <c r="I54" s="950"/>
      <c r="J54" s="950"/>
      <c r="K54" s="950"/>
      <c r="L54" s="950"/>
      <c r="M54" s="950"/>
      <c r="N54" s="950"/>
      <c r="O54" s="950"/>
      <c r="P54" s="950"/>
      <c r="Q54" s="950"/>
      <c r="R54" s="950"/>
    </row>
  </sheetData>
  <mergeCells count="7">
    <mergeCell ref="A43:G43"/>
    <mergeCell ref="A16:P16"/>
    <mergeCell ref="A18:L18"/>
    <mergeCell ref="A30:S30"/>
    <mergeCell ref="A33:H33"/>
    <mergeCell ref="A40:Q40"/>
    <mergeCell ref="A42:G42"/>
  </mergeCells>
  <pageMargins left="0.75" right="0.75" top="0.75" bottom="0.75" header="0.3" footer="0"/>
  <pageSetup paperSize="9" scale="58"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AB32"/>
  <sheetViews>
    <sheetView zoomScale="80" zoomScaleNormal="80" zoomScaleSheetLayoutView="80" workbookViewId="0">
      <selection activeCell="A38" sqref="A38"/>
    </sheetView>
  </sheetViews>
  <sheetFormatPr defaultColWidth="9.140625" defaultRowHeight="15.75" x14ac:dyDescent="0.3"/>
  <cols>
    <col min="1" max="1" width="11.85546875" style="997" customWidth="1"/>
    <col min="2" max="2" width="64.5703125" style="997" customWidth="1"/>
    <col min="3" max="19" width="9.28515625" style="997" customWidth="1"/>
    <col min="20" max="20" width="9.85546875" style="997" customWidth="1"/>
    <col min="21" max="16384" width="9.140625" style="997"/>
  </cols>
  <sheetData>
    <row r="1" spans="1:20" s="956" customFormat="1" ht="23.25" customHeight="1" x14ac:dyDescent="0.3">
      <c r="A1" s="954" t="s">
        <v>649</v>
      </c>
      <c r="B1" s="955"/>
    </row>
    <row r="2" spans="1:20" s="960" customFormat="1" ht="16.5" thickBot="1" x14ac:dyDescent="0.3">
      <c r="A2" s="862"/>
      <c r="B2" s="862"/>
      <c r="C2" s="957"/>
      <c r="D2" s="957"/>
      <c r="E2" s="958"/>
      <c r="F2" s="958"/>
      <c r="G2" s="959"/>
      <c r="H2" s="959"/>
      <c r="I2" s="959"/>
      <c r="J2" s="958"/>
      <c r="K2" s="958"/>
      <c r="L2" s="958"/>
      <c r="M2" s="958"/>
      <c r="N2" s="958"/>
      <c r="O2" s="958"/>
      <c r="P2" s="958"/>
      <c r="Q2" s="958"/>
      <c r="R2" s="958"/>
      <c r="S2" s="958"/>
      <c r="T2" s="861" t="s">
        <v>281</v>
      </c>
    </row>
    <row r="3" spans="1:20" s="960" customFormat="1" ht="32.25" customHeight="1" thickTop="1" thickBot="1" x14ac:dyDescent="0.3">
      <c r="A3" s="961" t="s">
        <v>256</v>
      </c>
      <c r="B3" s="962" t="s">
        <v>232</v>
      </c>
      <c r="C3" s="963" t="s">
        <v>598</v>
      </c>
      <c r="D3" s="964" t="s">
        <v>599</v>
      </c>
      <c r="E3" s="964" t="s">
        <v>631</v>
      </c>
      <c r="F3" s="964" t="s">
        <v>601</v>
      </c>
      <c r="G3" s="964" t="s">
        <v>602</v>
      </c>
      <c r="H3" s="964" t="s">
        <v>603</v>
      </c>
      <c r="I3" s="964" t="s">
        <v>604</v>
      </c>
      <c r="J3" s="964" t="s">
        <v>605</v>
      </c>
      <c r="K3" s="964" t="s">
        <v>606</v>
      </c>
      <c r="L3" s="964" t="s">
        <v>607</v>
      </c>
      <c r="M3" s="964" t="s">
        <v>608</v>
      </c>
      <c r="N3" s="964" t="s">
        <v>609</v>
      </c>
      <c r="O3" s="964" t="s">
        <v>639</v>
      </c>
      <c r="P3" s="964" t="s">
        <v>632</v>
      </c>
      <c r="Q3" s="964" t="s">
        <v>640</v>
      </c>
      <c r="R3" s="964" t="s">
        <v>641</v>
      </c>
      <c r="S3" s="964" t="s">
        <v>614</v>
      </c>
      <c r="T3" s="965" t="s">
        <v>615</v>
      </c>
    </row>
    <row r="4" spans="1:20" s="960" customFormat="1" ht="16.5" thickTop="1" x14ac:dyDescent="0.25">
      <c r="A4" s="966" t="s">
        <v>231</v>
      </c>
      <c r="B4" s="967" t="s">
        <v>230</v>
      </c>
      <c r="C4" s="968">
        <v>8.9</v>
      </c>
      <c r="D4" s="969">
        <v>7.47</v>
      </c>
      <c r="E4" s="969">
        <v>14.780237130000001</v>
      </c>
      <c r="F4" s="969">
        <v>19</v>
      </c>
      <c r="G4" s="969">
        <v>78.996153830000011</v>
      </c>
      <c r="H4" s="969">
        <v>18.210586170000003</v>
      </c>
      <c r="I4" s="969">
        <v>16.106306059999998</v>
      </c>
      <c r="J4" s="969">
        <v>19.248124820000001</v>
      </c>
      <c r="K4" s="969">
        <v>10.65714951</v>
      </c>
      <c r="L4" s="969">
        <v>134.0030008</v>
      </c>
      <c r="M4" s="969">
        <v>19.193997379999999</v>
      </c>
      <c r="N4" s="969">
        <v>4.5269950000000003</v>
      </c>
      <c r="O4" s="969">
        <v>7.3924256400000008</v>
      </c>
      <c r="P4" s="969">
        <v>8.7426754899999999</v>
      </c>
      <c r="Q4" s="969">
        <v>8.4457066999999988</v>
      </c>
      <c r="R4" s="969">
        <v>2.8545741000000002</v>
      </c>
      <c r="S4" s="969">
        <v>5.4026437600000001</v>
      </c>
      <c r="T4" s="970">
        <v>2.5168448300000001</v>
      </c>
    </row>
    <row r="5" spans="1:20" s="960" customFormat="1" x14ac:dyDescent="0.25">
      <c r="A5" s="971" t="s">
        <v>227</v>
      </c>
      <c r="B5" s="972" t="s">
        <v>226</v>
      </c>
      <c r="C5" s="973">
        <v>1049.7</v>
      </c>
      <c r="D5" s="974">
        <v>955.33</v>
      </c>
      <c r="E5" s="974">
        <v>1042.8954175314502</v>
      </c>
      <c r="F5" s="974">
        <v>1127</v>
      </c>
      <c r="G5" s="974">
        <v>958.83525556339998</v>
      </c>
      <c r="H5" s="974">
        <v>596.53123816864991</v>
      </c>
      <c r="I5" s="974">
        <v>957.28977509734398</v>
      </c>
      <c r="J5" s="974">
        <v>1241.2275318982504</v>
      </c>
      <c r="K5" s="974">
        <v>1195.8845678386001</v>
      </c>
      <c r="L5" s="974">
        <v>853.19703885454999</v>
      </c>
      <c r="M5" s="974">
        <v>1213.5435981691464</v>
      </c>
      <c r="N5" s="974">
        <v>1439.0025407786002</v>
      </c>
      <c r="O5" s="974">
        <v>1385.7648588443001</v>
      </c>
      <c r="P5" s="974">
        <v>1193.8584850290999</v>
      </c>
      <c r="Q5" s="974">
        <v>1136.1079080264999</v>
      </c>
      <c r="R5" s="974">
        <v>1377.5825050934714</v>
      </c>
      <c r="S5" s="974">
        <v>1495.1421819423394</v>
      </c>
      <c r="T5" s="975">
        <v>1409.0526049378266</v>
      </c>
    </row>
    <row r="6" spans="1:20" s="960" customFormat="1" x14ac:dyDescent="0.25">
      <c r="A6" s="971" t="s">
        <v>225</v>
      </c>
      <c r="B6" s="972" t="s">
        <v>224</v>
      </c>
      <c r="C6" s="976">
        <v>0.7</v>
      </c>
      <c r="D6" s="977">
        <v>0.9</v>
      </c>
      <c r="E6" s="977">
        <v>0.93160616000000007</v>
      </c>
      <c r="F6" s="977">
        <v>0.3</v>
      </c>
      <c r="G6" s="977">
        <v>101.39164359999999</v>
      </c>
      <c r="H6" s="977">
        <v>20.231880329999999</v>
      </c>
      <c r="I6" s="977">
        <v>2.0839264800000001</v>
      </c>
      <c r="J6" s="977">
        <v>5.9895915300000002</v>
      </c>
      <c r="K6" s="977">
        <v>4.1334770699999996</v>
      </c>
      <c r="L6" s="977">
        <v>4.6193629700000001</v>
      </c>
      <c r="M6" s="977">
        <v>4.5918009299999998</v>
      </c>
      <c r="N6" s="977">
        <v>0.56331399999999998</v>
      </c>
      <c r="O6" s="977">
        <v>0.3943605</v>
      </c>
      <c r="P6" s="977">
        <v>0.18837499999999999</v>
      </c>
      <c r="Q6" s="977">
        <v>0.42166900000000002</v>
      </c>
      <c r="R6" s="977">
        <v>0.36358000000000001</v>
      </c>
      <c r="S6" s="977">
        <v>0.11751</v>
      </c>
      <c r="T6" s="978">
        <v>0.10159</v>
      </c>
    </row>
    <row r="7" spans="1:20" s="960" customFormat="1" x14ac:dyDescent="0.25">
      <c r="A7" s="971" t="s">
        <v>223</v>
      </c>
      <c r="B7" s="972" t="s">
        <v>650</v>
      </c>
      <c r="C7" s="976">
        <v>0.1</v>
      </c>
      <c r="D7" s="977">
        <v>0.22</v>
      </c>
      <c r="E7" s="977">
        <v>0.236122</v>
      </c>
      <c r="F7" s="977">
        <v>0.3</v>
      </c>
      <c r="G7" s="977">
        <v>1.2190099999999999</v>
      </c>
      <c r="H7" s="977">
        <v>0.23034199999999999</v>
      </c>
      <c r="I7" s="977">
        <v>0.16384499999999999</v>
      </c>
      <c r="J7" s="977">
        <v>1.5735349999999999</v>
      </c>
      <c r="K7" s="979">
        <v>2.4032999999999999E-2</v>
      </c>
      <c r="L7" s="979">
        <v>3.8620000000000002E-2</v>
      </c>
      <c r="M7" s="979">
        <v>1.0030000000000001E-2</v>
      </c>
      <c r="N7" s="979">
        <v>1.661E-2</v>
      </c>
      <c r="O7" s="979">
        <v>1.9E-2</v>
      </c>
      <c r="P7" s="979">
        <v>1.6E-2</v>
      </c>
      <c r="Q7" s="979">
        <v>0.10011</v>
      </c>
      <c r="R7" s="979">
        <v>9.7699999999999995E-2</v>
      </c>
      <c r="S7" s="979">
        <v>0.210873</v>
      </c>
      <c r="T7" s="980">
        <v>0.17204</v>
      </c>
    </row>
    <row r="8" spans="1:20" s="960" customFormat="1" x14ac:dyDescent="0.25">
      <c r="A8" s="971" t="s">
        <v>221</v>
      </c>
      <c r="B8" s="972" t="s">
        <v>651</v>
      </c>
      <c r="C8" s="973">
        <v>147.9</v>
      </c>
      <c r="D8" s="974">
        <v>196.9</v>
      </c>
      <c r="E8" s="974">
        <v>294.24139347926496</v>
      </c>
      <c r="F8" s="974">
        <v>340</v>
      </c>
      <c r="G8" s="974">
        <v>370.68417124074585</v>
      </c>
      <c r="H8" s="974">
        <v>203.74452316598195</v>
      </c>
      <c r="I8" s="974">
        <v>361.45376900910435</v>
      </c>
      <c r="J8" s="974">
        <v>398.85295382070495</v>
      </c>
      <c r="K8" s="974">
        <v>322.14354756136026</v>
      </c>
      <c r="L8" s="974">
        <v>262.73449919917118</v>
      </c>
      <c r="M8" s="974">
        <v>331.28938649277961</v>
      </c>
      <c r="N8" s="974">
        <v>404.85182521649546</v>
      </c>
      <c r="O8" s="974">
        <v>433.71070733613834</v>
      </c>
      <c r="P8" s="974">
        <v>442.41074781560002</v>
      </c>
      <c r="Q8" s="974">
        <v>536.59967665837996</v>
      </c>
      <c r="R8" s="974">
        <v>370.14190171355381</v>
      </c>
      <c r="S8" s="974">
        <v>407.91784824860002</v>
      </c>
      <c r="T8" s="975">
        <v>321.33774389919751</v>
      </c>
    </row>
    <row r="9" spans="1:20" s="960" customFormat="1" x14ac:dyDescent="0.25">
      <c r="A9" s="971" t="s">
        <v>219</v>
      </c>
      <c r="B9" s="972" t="s">
        <v>218</v>
      </c>
      <c r="C9" s="973">
        <v>6.1</v>
      </c>
      <c r="D9" s="974">
        <v>12.05</v>
      </c>
      <c r="E9" s="974">
        <v>15.528665149999998</v>
      </c>
      <c r="F9" s="974">
        <v>10</v>
      </c>
      <c r="G9" s="974">
        <v>9.4688753600000002</v>
      </c>
      <c r="H9" s="974">
        <v>11.093140639999998</v>
      </c>
      <c r="I9" s="974">
        <v>22.498824189999997</v>
      </c>
      <c r="J9" s="974">
        <v>16.348521229999999</v>
      </c>
      <c r="K9" s="974">
        <v>15.788189979999999</v>
      </c>
      <c r="L9" s="974">
        <v>13.19557861</v>
      </c>
      <c r="M9" s="974">
        <v>7.5736186600000002</v>
      </c>
      <c r="N9" s="974">
        <v>10.31432094</v>
      </c>
      <c r="O9" s="974">
        <v>10.039659030000001</v>
      </c>
      <c r="P9" s="974">
        <v>13.706770480000001</v>
      </c>
      <c r="Q9" s="974">
        <v>16.530924161600002</v>
      </c>
      <c r="R9" s="974">
        <v>24.718487250000003</v>
      </c>
      <c r="S9" s="974">
        <v>15.20241255</v>
      </c>
      <c r="T9" s="975">
        <v>5.4775623445326911</v>
      </c>
    </row>
    <row r="10" spans="1:20" s="960" customFormat="1" x14ac:dyDescent="0.25">
      <c r="A10" s="971" t="s">
        <v>217</v>
      </c>
      <c r="B10" s="972" t="s">
        <v>216</v>
      </c>
      <c r="C10" s="973">
        <v>1.9394359099999998</v>
      </c>
      <c r="D10" s="974">
        <v>5.15</v>
      </c>
      <c r="E10" s="974">
        <v>4.1880182900000005</v>
      </c>
      <c r="F10" s="974">
        <v>9</v>
      </c>
      <c r="G10" s="974">
        <v>12.524568090000001</v>
      </c>
      <c r="H10" s="974">
        <v>12.821297900000001</v>
      </c>
      <c r="I10" s="974">
        <v>12.434656</v>
      </c>
      <c r="J10" s="974">
        <v>14.857350890000001</v>
      </c>
      <c r="K10" s="974">
        <v>18.01228957</v>
      </c>
      <c r="L10" s="974">
        <v>15.9408928</v>
      </c>
      <c r="M10" s="974">
        <v>21.194915079999998</v>
      </c>
      <c r="N10" s="974">
        <v>24.594847130000002</v>
      </c>
      <c r="O10" s="974">
        <v>15.794890129999999</v>
      </c>
      <c r="P10" s="974">
        <v>14.070876589999999</v>
      </c>
      <c r="Q10" s="974">
        <v>14.09709467010666</v>
      </c>
      <c r="R10" s="974">
        <v>16.08182774667814</v>
      </c>
      <c r="S10" s="974">
        <v>18.435882982057802</v>
      </c>
      <c r="T10" s="975">
        <v>14.815415591617066</v>
      </c>
    </row>
    <row r="11" spans="1:20" s="960" customFormat="1" x14ac:dyDescent="0.25">
      <c r="A11" s="971" t="s">
        <v>215</v>
      </c>
      <c r="B11" s="972" t="s">
        <v>214</v>
      </c>
      <c r="C11" s="973">
        <v>145.36522223800003</v>
      </c>
      <c r="D11" s="974">
        <v>115.92</v>
      </c>
      <c r="E11" s="974">
        <v>165.99783647700008</v>
      </c>
      <c r="F11" s="974">
        <v>149</v>
      </c>
      <c r="G11" s="974">
        <v>163.77117714099995</v>
      </c>
      <c r="H11" s="974">
        <v>78.239975773999987</v>
      </c>
      <c r="I11" s="974">
        <v>151.39924420533521</v>
      </c>
      <c r="J11" s="974">
        <v>148.23140200799995</v>
      </c>
      <c r="K11" s="974">
        <v>126.76186374199999</v>
      </c>
      <c r="L11" s="974">
        <v>75.230825757999995</v>
      </c>
      <c r="M11" s="974">
        <v>99.027520337000013</v>
      </c>
      <c r="N11" s="974">
        <v>116.16010090599998</v>
      </c>
      <c r="O11" s="974">
        <v>102.80244679499998</v>
      </c>
      <c r="P11" s="974">
        <v>131.21925783200001</v>
      </c>
      <c r="Q11" s="974">
        <v>125.04843364300001</v>
      </c>
      <c r="R11" s="974">
        <v>137.90696874152479</v>
      </c>
      <c r="S11" s="974">
        <v>151.69446161599998</v>
      </c>
      <c r="T11" s="975">
        <v>129.94645481471568</v>
      </c>
    </row>
    <row r="12" spans="1:20" s="960" customFormat="1" x14ac:dyDescent="0.25">
      <c r="A12" s="971" t="s">
        <v>213</v>
      </c>
      <c r="B12" s="972" t="s">
        <v>212</v>
      </c>
      <c r="C12" s="973">
        <v>15.06443222</v>
      </c>
      <c r="D12" s="974">
        <v>54.74</v>
      </c>
      <c r="E12" s="974">
        <v>19.042073690000002</v>
      </c>
      <c r="F12" s="974">
        <v>34</v>
      </c>
      <c r="G12" s="974">
        <v>16.724845340000002</v>
      </c>
      <c r="H12" s="974">
        <v>37.082220280000001</v>
      </c>
      <c r="I12" s="974">
        <v>45.750883829999992</v>
      </c>
      <c r="J12" s="974">
        <v>44.001201829999999</v>
      </c>
      <c r="K12" s="974">
        <v>41.349695355000001</v>
      </c>
      <c r="L12" s="974">
        <v>70.932814750000006</v>
      </c>
      <c r="M12" s="974">
        <v>70.65783098</v>
      </c>
      <c r="N12" s="974">
        <v>43.138819042999998</v>
      </c>
      <c r="O12" s="974">
        <v>41.715744700000002</v>
      </c>
      <c r="P12" s="974">
        <v>46.142356720000016</v>
      </c>
      <c r="Q12" s="974">
        <v>50.254806098546375</v>
      </c>
      <c r="R12" s="974">
        <v>39.086585153660693</v>
      </c>
      <c r="S12" s="974">
        <v>59.952197818551838</v>
      </c>
      <c r="T12" s="975">
        <v>44.697950514260384</v>
      </c>
    </row>
    <row r="13" spans="1:20" s="960" customFormat="1" x14ac:dyDescent="0.25">
      <c r="A13" s="971" t="s">
        <v>211</v>
      </c>
      <c r="B13" s="972" t="s">
        <v>210</v>
      </c>
      <c r="C13" s="973">
        <v>71.903440219999993</v>
      </c>
      <c r="D13" s="974">
        <v>105.13</v>
      </c>
      <c r="E13" s="974">
        <v>58.4775068</v>
      </c>
      <c r="F13" s="974">
        <v>76</v>
      </c>
      <c r="G13" s="974">
        <v>52.083736919999993</v>
      </c>
      <c r="H13" s="974">
        <v>66.502236019999998</v>
      </c>
      <c r="I13" s="974">
        <v>63.555616280000002</v>
      </c>
      <c r="J13" s="974">
        <v>110.24577348999999</v>
      </c>
      <c r="K13" s="974">
        <v>48.074008899999995</v>
      </c>
      <c r="L13" s="974">
        <v>64.401053360000006</v>
      </c>
      <c r="M13" s="974">
        <v>76.876311789999988</v>
      </c>
      <c r="N13" s="974">
        <v>28.046004000000003</v>
      </c>
      <c r="O13" s="974">
        <v>34.261442680000009</v>
      </c>
      <c r="P13" s="974">
        <v>19.3919079</v>
      </c>
      <c r="Q13" s="974">
        <v>29.002553800000001</v>
      </c>
      <c r="R13" s="974">
        <v>32.670056848591337</v>
      </c>
      <c r="S13" s="974">
        <v>41.53858512</v>
      </c>
      <c r="T13" s="975">
        <v>23.409585624012763</v>
      </c>
    </row>
    <row r="14" spans="1:20" s="960" customFormat="1" x14ac:dyDescent="0.25">
      <c r="A14" s="971" t="s">
        <v>209</v>
      </c>
      <c r="B14" s="972" t="s">
        <v>208</v>
      </c>
      <c r="C14" s="976">
        <v>1.96123048</v>
      </c>
      <c r="D14" s="977">
        <v>0.02</v>
      </c>
      <c r="E14" s="974">
        <v>1.6686492999999998</v>
      </c>
      <c r="F14" s="974">
        <v>1.29</v>
      </c>
      <c r="G14" s="974">
        <v>2.1804438337279999</v>
      </c>
      <c r="H14" s="974">
        <v>1.5927427399999998</v>
      </c>
      <c r="I14" s="974">
        <v>1.2316772499999999</v>
      </c>
      <c r="J14" s="974">
        <v>1.3442959800000003</v>
      </c>
      <c r="K14" s="974">
        <v>2.4529212499999997</v>
      </c>
      <c r="L14" s="974">
        <v>1.1177281300000002</v>
      </c>
      <c r="M14" s="974">
        <v>1.5474592600000003</v>
      </c>
      <c r="N14" s="974">
        <v>3.3626000599999997</v>
      </c>
      <c r="O14" s="974">
        <v>1.6473656299999999</v>
      </c>
      <c r="P14" s="974">
        <v>2.1960661799999999</v>
      </c>
      <c r="Q14" s="974">
        <v>2.6202290300000004</v>
      </c>
      <c r="R14" s="974">
        <v>3.3335664999999999</v>
      </c>
      <c r="S14" s="974">
        <v>3.71944973</v>
      </c>
      <c r="T14" s="981">
        <v>3.8227287400000001</v>
      </c>
    </row>
    <row r="15" spans="1:20" s="960" customFormat="1" x14ac:dyDescent="0.25">
      <c r="A15" s="971" t="s">
        <v>207</v>
      </c>
      <c r="B15" s="972" t="s">
        <v>206</v>
      </c>
      <c r="C15" s="973">
        <v>75.442349680000007</v>
      </c>
      <c r="D15" s="974">
        <v>71.36</v>
      </c>
      <c r="E15" s="974">
        <v>70.143846850000003</v>
      </c>
      <c r="F15" s="974">
        <v>86</v>
      </c>
      <c r="G15" s="974">
        <v>88.847265350000015</v>
      </c>
      <c r="H15" s="974">
        <v>65.816420719999996</v>
      </c>
      <c r="I15" s="974">
        <v>103.89999697999998</v>
      </c>
      <c r="J15" s="974">
        <v>93.914447020000011</v>
      </c>
      <c r="K15" s="974">
        <v>109.63474252999998</v>
      </c>
      <c r="L15" s="974">
        <v>123.90615688</v>
      </c>
      <c r="M15" s="974">
        <v>114.67502592000001</v>
      </c>
      <c r="N15" s="974">
        <v>70.646843900000007</v>
      </c>
      <c r="O15" s="974">
        <v>68.149923290000004</v>
      </c>
      <c r="P15" s="974">
        <v>56.832563819999997</v>
      </c>
      <c r="Q15" s="974">
        <v>55.154132770000004</v>
      </c>
      <c r="R15" s="974">
        <v>56.842753289999997</v>
      </c>
      <c r="S15" s="974">
        <v>69.20348297999999</v>
      </c>
      <c r="T15" s="975">
        <v>174.85964870000001</v>
      </c>
    </row>
    <row r="16" spans="1:20" s="960" customFormat="1" x14ac:dyDescent="0.25">
      <c r="A16" s="971" t="s">
        <v>205</v>
      </c>
      <c r="B16" s="972" t="s">
        <v>204</v>
      </c>
      <c r="C16" s="973">
        <v>15.935414640000001</v>
      </c>
      <c r="D16" s="974">
        <v>13.72</v>
      </c>
      <c r="E16" s="974">
        <v>17.156517520000001</v>
      </c>
      <c r="F16" s="974">
        <v>33</v>
      </c>
      <c r="G16" s="974">
        <v>25.155459779999997</v>
      </c>
      <c r="H16" s="974">
        <v>36.052509139999991</v>
      </c>
      <c r="I16" s="974">
        <v>31.965592269999998</v>
      </c>
      <c r="J16" s="974">
        <v>42.281263320000001</v>
      </c>
      <c r="K16" s="974">
        <v>39.865706340000003</v>
      </c>
      <c r="L16" s="974">
        <v>38.024320279999998</v>
      </c>
      <c r="M16" s="974">
        <v>33.031247710000002</v>
      </c>
      <c r="N16" s="974">
        <v>22.494828640000001</v>
      </c>
      <c r="O16" s="974">
        <v>19.120626210000001</v>
      </c>
      <c r="P16" s="974">
        <v>27.52551618</v>
      </c>
      <c r="Q16" s="974">
        <v>30.78907886</v>
      </c>
      <c r="R16" s="974">
        <v>27.957482930000001</v>
      </c>
      <c r="S16" s="974">
        <v>103.27537290482998</v>
      </c>
      <c r="T16" s="975">
        <v>101.41420237999998</v>
      </c>
    </row>
    <row r="17" spans="1:28" s="960" customFormat="1" x14ac:dyDescent="0.25">
      <c r="A17" s="971" t="s">
        <v>201</v>
      </c>
      <c r="B17" s="972" t="s">
        <v>200</v>
      </c>
      <c r="C17" s="973">
        <v>7.5313632100000003</v>
      </c>
      <c r="D17" s="974">
        <v>6.54</v>
      </c>
      <c r="E17" s="974">
        <v>4.4764829299999995</v>
      </c>
      <c r="F17" s="974">
        <v>9</v>
      </c>
      <c r="G17" s="974">
        <v>23.588946419999996</v>
      </c>
      <c r="H17" s="974">
        <v>24.373139949999999</v>
      </c>
      <c r="I17" s="974">
        <v>5.5950706099999996</v>
      </c>
      <c r="J17" s="974">
        <v>11.880206099999999</v>
      </c>
      <c r="K17" s="974">
        <v>15.513797370000001</v>
      </c>
      <c r="L17" s="974">
        <v>9.7955651200000009</v>
      </c>
      <c r="M17" s="974">
        <v>7.5847912800000001</v>
      </c>
      <c r="N17" s="974">
        <v>8.6801104299999992</v>
      </c>
      <c r="O17" s="974">
        <v>12.92141</v>
      </c>
      <c r="P17" s="974">
        <v>9.8682700099999998</v>
      </c>
      <c r="Q17" s="974">
        <v>14.691183430000004</v>
      </c>
      <c r="R17" s="974">
        <v>11.199797120000001</v>
      </c>
      <c r="S17" s="974">
        <v>25.995440250000001</v>
      </c>
      <c r="T17" s="975">
        <v>12.89478444</v>
      </c>
    </row>
    <row r="18" spans="1:28" s="960" customFormat="1" x14ac:dyDescent="0.25">
      <c r="A18" s="971" t="s">
        <v>199</v>
      </c>
      <c r="B18" s="972" t="s">
        <v>198</v>
      </c>
      <c r="C18" s="973">
        <v>16.292368310000001</v>
      </c>
      <c r="D18" s="974">
        <v>16.2</v>
      </c>
      <c r="E18" s="974">
        <v>22.534721350000002</v>
      </c>
      <c r="F18" s="974">
        <v>29</v>
      </c>
      <c r="G18" s="974">
        <v>23.496032360000005</v>
      </c>
      <c r="H18" s="974">
        <v>13.348565499999999</v>
      </c>
      <c r="I18" s="974">
        <v>17.679656860000001</v>
      </c>
      <c r="J18" s="974">
        <v>21.027428269999998</v>
      </c>
      <c r="K18" s="974">
        <v>16.946798879999999</v>
      </c>
      <c r="L18" s="974">
        <v>17.6074603</v>
      </c>
      <c r="M18" s="974">
        <v>16.003251070000001</v>
      </c>
      <c r="N18" s="974">
        <v>20.362629010000003</v>
      </c>
      <c r="O18" s="974">
        <v>20.637789390000002</v>
      </c>
      <c r="P18" s="974">
        <v>17.393991960000001</v>
      </c>
      <c r="Q18" s="974">
        <v>21.03868997</v>
      </c>
      <c r="R18" s="974">
        <v>21.930493490000003</v>
      </c>
      <c r="S18" s="974">
        <v>15.806255090000001</v>
      </c>
      <c r="T18" s="975">
        <v>17.99435102</v>
      </c>
    </row>
    <row r="19" spans="1:28" s="960" customFormat="1" x14ac:dyDescent="0.25">
      <c r="A19" s="971" t="s">
        <v>197</v>
      </c>
      <c r="B19" s="972" t="s">
        <v>196</v>
      </c>
      <c r="C19" s="973">
        <v>3.0211488515999996</v>
      </c>
      <c r="D19" s="974">
        <v>4.55</v>
      </c>
      <c r="E19" s="974">
        <v>3.5274832489200003</v>
      </c>
      <c r="F19" s="974">
        <v>5</v>
      </c>
      <c r="G19" s="974">
        <v>5.349665705944</v>
      </c>
      <c r="H19" s="974">
        <v>6.1071193637500558</v>
      </c>
      <c r="I19" s="974">
        <v>4.7488741022991814</v>
      </c>
      <c r="J19" s="974">
        <v>14.252078920971517</v>
      </c>
      <c r="K19" s="974">
        <v>2.2963925823836151</v>
      </c>
      <c r="L19" s="974">
        <v>12.187398980013958</v>
      </c>
      <c r="M19" s="974">
        <v>5.1228608466425483</v>
      </c>
      <c r="N19" s="974">
        <v>10.424979725285091</v>
      </c>
      <c r="O19" s="974">
        <v>5.390906066454491</v>
      </c>
      <c r="P19" s="974">
        <v>6.1683212651442307</v>
      </c>
      <c r="Q19" s="974">
        <v>7.270474717737951</v>
      </c>
      <c r="R19" s="974">
        <v>6.0351993498059811</v>
      </c>
      <c r="S19" s="974">
        <v>5.2231378043675161</v>
      </c>
      <c r="T19" s="975">
        <v>4.279911810399514</v>
      </c>
    </row>
    <row r="20" spans="1:28" s="960" customFormat="1" ht="16.5" thickBot="1" x14ac:dyDescent="0.3">
      <c r="A20" s="982" t="s">
        <v>195</v>
      </c>
      <c r="B20" s="983" t="s">
        <v>194</v>
      </c>
      <c r="C20" s="984">
        <v>88.935599563550014</v>
      </c>
      <c r="D20" s="985">
        <v>101.81</v>
      </c>
      <c r="E20" s="985">
        <v>77.889535447850008</v>
      </c>
      <c r="F20" s="985">
        <v>67</v>
      </c>
      <c r="G20" s="985">
        <v>80.077476552200011</v>
      </c>
      <c r="H20" s="985">
        <v>51.302438915450004</v>
      </c>
      <c r="I20" s="985">
        <v>87.247069382055415</v>
      </c>
      <c r="J20" s="985">
        <v>110.56186464451937</v>
      </c>
      <c r="K20" s="985">
        <v>88.766363850710022</v>
      </c>
      <c r="L20" s="985">
        <v>96.069299887059998</v>
      </c>
      <c r="M20" s="985">
        <v>82.330472820000011</v>
      </c>
      <c r="N20" s="985">
        <v>74.218720453799989</v>
      </c>
      <c r="O20" s="985">
        <v>82.561078001899986</v>
      </c>
      <c r="P20" s="985">
        <v>93.641239955300023</v>
      </c>
      <c r="Q20" s="985">
        <v>105.69936577649999</v>
      </c>
      <c r="R20" s="985">
        <v>98.22765857440001</v>
      </c>
      <c r="S20" s="985">
        <v>94.221595509299988</v>
      </c>
      <c r="T20" s="986">
        <v>74.9210325759</v>
      </c>
    </row>
    <row r="21" spans="1:28" s="960" customFormat="1" ht="17.25" thickTop="1" thickBot="1" x14ac:dyDescent="0.35">
      <c r="A21" s="3556" t="s">
        <v>387</v>
      </c>
      <c r="B21" s="3557"/>
      <c r="C21" s="987">
        <v>1656.7920053231505</v>
      </c>
      <c r="D21" s="988">
        <v>1668.0100000000002</v>
      </c>
      <c r="E21" s="988">
        <v>1813.7161133544848</v>
      </c>
      <c r="F21" s="988">
        <v>1994.8899999999999</v>
      </c>
      <c r="G21" s="988">
        <v>2014.3947270870183</v>
      </c>
      <c r="H21" s="988">
        <v>1243.2803767778319</v>
      </c>
      <c r="I21" s="988">
        <v>1885.104783606138</v>
      </c>
      <c r="J21" s="988">
        <v>2295.8375707724458</v>
      </c>
      <c r="K21" s="988">
        <v>2058.305545330054</v>
      </c>
      <c r="L21" s="988">
        <v>1793.0016166787946</v>
      </c>
      <c r="M21" s="988">
        <v>2104.2541187255688</v>
      </c>
      <c r="N21" s="988">
        <v>2281.4060892331809</v>
      </c>
      <c r="O21" s="988">
        <v>2242.3246342437933</v>
      </c>
      <c r="P21" s="988">
        <v>2083.3734222271446</v>
      </c>
      <c r="Q21" s="988">
        <v>2153.8720373123706</v>
      </c>
      <c r="R21" s="988">
        <v>2227.0311379016857</v>
      </c>
      <c r="S21" s="988">
        <v>2513.0593313060463</v>
      </c>
      <c r="T21" s="988">
        <v>2341.7144522224621</v>
      </c>
    </row>
    <row r="22" spans="1:28" s="990" customFormat="1" ht="33" customHeight="1" thickTop="1" x14ac:dyDescent="0.25">
      <c r="A22" s="3558" t="s">
        <v>652</v>
      </c>
      <c r="B22" s="3558"/>
      <c r="C22" s="3558"/>
      <c r="D22" s="3558"/>
      <c r="E22" s="3558"/>
      <c r="F22" s="3558"/>
      <c r="G22" s="3558"/>
      <c r="H22" s="3558"/>
      <c r="I22" s="3558"/>
      <c r="J22" s="3558"/>
      <c r="K22" s="3558"/>
      <c r="L22" s="3558"/>
      <c r="M22" s="3558"/>
      <c r="N22" s="3558"/>
      <c r="O22" s="3558"/>
      <c r="P22" s="3558"/>
      <c r="Q22" s="3558"/>
      <c r="R22" s="989"/>
      <c r="S22" s="989"/>
      <c r="T22" s="989"/>
      <c r="U22" s="989"/>
      <c r="V22" s="989"/>
      <c r="W22" s="989"/>
      <c r="X22" s="989"/>
      <c r="Y22" s="989"/>
      <c r="Z22" s="989"/>
      <c r="AA22" s="989"/>
      <c r="AB22" s="989"/>
    </row>
    <row r="23" spans="1:28" s="993" customFormat="1" ht="18" customHeight="1" x14ac:dyDescent="0.25">
      <c r="A23" s="991" t="s">
        <v>629</v>
      </c>
      <c r="B23" s="992"/>
      <c r="C23" s="992"/>
      <c r="D23" s="992"/>
      <c r="E23" s="992"/>
      <c r="F23" s="992"/>
      <c r="G23" s="992"/>
      <c r="H23" s="992"/>
      <c r="I23" s="992"/>
      <c r="J23" s="992"/>
      <c r="K23" s="992"/>
      <c r="L23" s="992"/>
      <c r="M23" s="992"/>
      <c r="N23" s="992"/>
      <c r="O23" s="992"/>
      <c r="P23" s="992"/>
      <c r="Q23" s="989"/>
      <c r="R23" s="989"/>
      <c r="S23" s="989"/>
      <c r="T23" s="989"/>
      <c r="U23" s="989"/>
      <c r="V23" s="989"/>
      <c r="W23" s="989"/>
      <c r="X23" s="989"/>
      <c r="Y23" s="989"/>
      <c r="Z23" s="989"/>
      <c r="AA23" s="989"/>
      <c r="AB23" s="989"/>
    </row>
    <row r="24" spans="1:28" s="893" customFormat="1" ht="18.95" customHeight="1" x14ac:dyDescent="0.3">
      <c r="A24" s="3553" t="s">
        <v>173</v>
      </c>
      <c r="B24" s="3553"/>
      <c r="C24" s="3553"/>
      <c r="D24" s="3553"/>
      <c r="E24" s="3553"/>
      <c r="F24" s="3553"/>
      <c r="G24" s="994"/>
      <c r="H24" s="994"/>
      <c r="I24" s="994"/>
      <c r="J24" s="994"/>
      <c r="K24" s="994"/>
      <c r="L24" s="994"/>
      <c r="M24" s="994"/>
      <c r="N24" s="994"/>
      <c r="O24" s="994"/>
      <c r="P24" s="994"/>
      <c r="Q24" s="994"/>
      <c r="R24" s="994"/>
      <c r="S24" s="994"/>
      <c r="T24" s="994"/>
      <c r="U24" s="994"/>
      <c r="V24" s="994"/>
      <c r="W24" s="994"/>
      <c r="X24" s="994"/>
      <c r="Y24" s="994"/>
      <c r="Z24" s="994"/>
      <c r="AA24" s="994"/>
      <c r="AB24" s="994"/>
    </row>
    <row r="25" spans="1:28" s="995" customFormat="1" ht="18.95" customHeight="1" x14ac:dyDescent="0.25">
      <c r="A25" s="3553" t="s">
        <v>290</v>
      </c>
      <c r="B25" s="3553"/>
      <c r="C25" s="3553"/>
      <c r="D25" s="3553"/>
      <c r="E25" s="3553"/>
      <c r="F25" s="3553"/>
      <c r="G25" s="958"/>
      <c r="H25" s="958"/>
      <c r="I25" s="958"/>
      <c r="J25" s="958"/>
      <c r="K25" s="958"/>
      <c r="L25" s="958"/>
      <c r="M25" s="958"/>
      <c r="N25" s="958"/>
      <c r="O25" s="958"/>
      <c r="P25" s="958"/>
      <c r="Q25" s="958"/>
      <c r="R25" s="958"/>
      <c r="S25" s="958"/>
      <c r="T25" s="958"/>
      <c r="U25" s="958"/>
      <c r="V25" s="958"/>
      <c r="W25" s="958"/>
      <c r="X25" s="958"/>
      <c r="Y25" s="958"/>
      <c r="Z25" s="958"/>
      <c r="AA25" s="958"/>
      <c r="AB25" s="958"/>
    </row>
    <row r="32" spans="1:28" x14ac:dyDescent="0.3">
      <c r="A32" s="996"/>
      <c r="B32" s="996"/>
      <c r="C32" s="996"/>
      <c r="D32" s="996"/>
      <c r="E32" s="996"/>
      <c r="F32" s="996"/>
      <c r="G32" s="996"/>
      <c r="H32" s="996"/>
      <c r="I32" s="996"/>
      <c r="J32" s="996"/>
      <c r="K32" s="996"/>
      <c r="L32" s="996"/>
      <c r="M32" s="996"/>
      <c r="N32" s="996"/>
      <c r="O32" s="996"/>
      <c r="P32" s="996"/>
      <c r="Q32" s="996"/>
      <c r="R32" s="996"/>
      <c r="S32" s="996"/>
      <c r="T32" s="996"/>
    </row>
  </sheetData>
  <mergeCells count="4">
    <mergeCell ref="A21:B21"/>
    <mergeCell ref="A22:Q22"/>
    <mergeCell ref="A24:F24"/>
    <mergeCell ref="A25:F25"/>
  </mergeCells>
  <pageMargins left="0.7" right="0.7" top="0.75" bottom="0.75" header="0.3" footer="0.3"/>
  <pageSetup paperSize="9" scale="53"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T94"/>
  <sheetViews>
    <sheetView zoomScale="90" zoomScaleNormal="90" zoomScaleSheetLayoutView="100" workbookViewId="0">
      <selection activeCell="A38" sqref="A38"/>
    </sheetView>
  </sheetViews>
  <sheetFormatPr defaultColWidth="9.140625" defaultRowHeight="15" x14ac:dyDescent="0.25"/>
  <cols>
    <col min="1" max="1" width="26" style="1026" customWidth="1"/>
    <col min="2" max="3" width="14.28515625" style="1026" customWidth="1"/>
    <col min="4" max="4" width="24.7109375" style="1026" customWidth="1"/>
    <col min="5" max="5" width="15.85546875" style="1026" customWidth="1"/>
    <col min="6" max="6" width="14.28515625" style="1026" customWidth="1"/>
    <col min="7" max="7" width="5.5703125" style="1001" customWidth="1"/>
    <col min="8" max="9" width="9.140625" style="1001"/>
    <col min="10" max="16384" width="9.140625" style="1026"/>
  </cols>
  <sheetData>
    <row r="1" spans="1:12" s="998" customFormat="1" ht="43.5" customHeight="1" x14ac:dyDescent="0.25">
      <c r="A1" s="3560" t="s">
        <v>653</v>
      </c>
      <c r="B1" s="3560"/>
      <c r="C1" s="3560"/>
      <c r="D1" s="3560"/>
      <c r="E1" s="3560"/>
      <c r="F1" s="3560"/>
    </row>
    <row r="2" spans="1:12" s="1001" customFormat="1" ht="24" thickBot="1" x14ac:dyDescent="0.3">
      <c r="A2" s="999"/>
      <c r="B2" s="999"/>
      <c r="C2" s="999"/>
      <c r="D2" s="999"/>
      <c r="E2" s="999"/>
      <c r="F2" s="1000" t="s">
        <v>184</v>
      </c>
    </row>
    <row r="3" spans="1:12" s="864" customFormat="1" ht="18.75" customHeight="1" thickTop="1" thickBot="1" x14ac:dyDescent="0.3">
      <c r="A3" s="3561" t="s">
        <v>654</v>
      </c>
      <c r="B3" s="3562"/>
      <c r="C3" s="3563"/>
      <c r="D3" s="3564" t="s">
        <v>655</v>
      </c>
      <c r="E3" s="3562"/>
      <c r="F3" s="3563"/>
    </row>
    <row r="4" spans="1:12" s="864" customFormat="1" ht="18.75" customHeight="1" thickBot="1" x14ac:dyDescent="0.3">
      <c r="A4" s="1002"/>
      <c r="B4" s="1003">
        <v>2020</v>
      </c>
      <c r="C4" s="1004">
        <v>2021</v>
      </c>
      <c r="D4" s="1005"/>
      <c r="E4" s="1003">
        <v>2020</v>
      </c>
      <c r="F4" s="1004">
        <v>2021</v>
      </c>
    </row>
    <row r="5" spans="1:12" s="864" customFormat="1" ht="18.75" customHeight="1" thickBot="1" x14ac:dyDescent="0.3">
      <c r="A5" s="1002" t="s">
        <v>656</v>
      </c>
      <c r="B5" s="1006">
        <v>308440.34334139753</v>
      </c>
      <c r="C5" s="1007">
        <v>347950.88985389774</v>
      </c>
      <c r="D5" s="1005" t="s">
        <v>657</v>
      </c>
      <c r="E5" s="1006">
        <v>260807.51880623508</v>
      </c>
      <c r="F5" s="1007">
        <v>304014.50342458294</v>
      </c>
      <c r="G5" s="1008"/>
    </row>
    <row r="6" spans="1:12" s="1001" customFormat="1" ht="18.75" customHeight="1" x14ac:dyDescent="0.25">
      <c r="A6" s="1009" t="s">
        <v>617</v>
      </c>
      <c r="B6" s="1010"/>
      <c r="C6" s="1011"/>
      <c r="D6" s="1012" t="s">
        <v>617</v>
      </c>
      <c r="E6" s="1010"/>
      <c r="F6" s="1011"/>
      <c r="H6" s="864"/>
      <c r="I6" s="864"/>
      <c r="J6" s="864"/>
      <c r="K6" s="864"/>
      <c r="L6" s="864"/>
    </row>
    <row r="7" spans="1:12" s="1001" customFormat="1" ht="18.75" customHeight="1" x14ac:dyDescent="0.25">
      <c r="A7" s="1013" t="s">
        <v>658</v>
      </c>
      <c r="B7" s="1014">
        <v>58571.481834418621</v>
      </c>
      <c r="C7" s="1015">
        <v>79832.025232229862</v>
      </c>
      <c r="D7" s="1016" t="s">
        <v>570</v>
      </c>
      <c r="E7" s="1014">
        <v>118009.20532237417</v>
      </c>
      <c r="F7" s="1015">
        <v>144242.12475869307</v>
      </c>
      <c r="H7" s="864"/>
      <c r="I7" s="864"/>
      <c r="J7" s="864"/>
      <c r="K7" s="864"/>
      <c r="L7" s="864"/>
    </row>
    <row r="8" spans="1:12" s="1001" customFormat="1" ht="18.75" customHeight="1" x14ac:dyDescent="0.25">
      <c r="A8" s="1013" t="s">
        <v>659</v>
      </c>
      <c r="B8" s="1014">
        <v>42633.236411104874</v>
      </c>
      <c r="C8" s="1015">
        <v>46985.236411104874</v>
      </c>
      <c r="D8" s="1016" t="s">
        <v>660</v>
      </c>
      <c r="E8" s="1014">
        <v>15824.789232816303</v>
      </c>
      <c r="F8" s="1015">
        <v>20575.730762030529</v>
      </c>
      <c r="H8" s="864"/>
      <c r="I8" s="864"/>
      <c r="J8" s="864"/>
      <c r="K8" s="864"/>
      <c r="L8" s="864"/>
    </row>
    <row r="9" spans="1:12" s="1001" customFormat="1" ht="18.75" customHeight="1" x14ac:dyDescent="0.25">
      <c r="A9" s="1013" t="s">
        <v>660</v>
      </c>
      <c r="B9" s="1014">
        <v>28220.746730215593</v>
      </c>
      <c r="C9" s="1015">
        <v>28177.205854393731</v>
      </c>
      <c r="D9" s="1016" t="s">
        <v>619</v>
      </c>
      <c r="E9" s="1014">
        <v>18678.877999240438</v>
      </c>
      <c r="F9" s="1015">
        <v>12935.325429032473</v>
      </c>
      <c r="H9" s="864"/>
      <c r="I9" s="864"/>
      <c r="J9" s="864"/>
      <c r="K9" s="864"/>
      <c r="L9" s="864"/>
    </row>
    <row r="10" spans="1:12" s="1001" customFormat="1" ht="18.75" customHeight="1" x14ac:dyDescent="0.25">
      <c r="A10" s="1013" t="s">
        <v>570</v>
      </c>
      <c r="B10" s="1014">
        <v>22613.876505861568</v>
      </c>
      <c r="C10" s="1015">
        <v>24025.221882293139</v>
      </c>
      <c r="D10" s="1016" t="s">
        <v>658</v>
      </c>
      <c r="E10" s="1014">
        <v>4744.8628391725706</v>
      </c>
      <c r="F10" s="1015">
        <v>10278.812313110002</v>
      </c>
      <c r="H10" s="864"/>
      <c r="I10" s="864"/>
      <c r="J10" s="864"/>
      <c r="K10" s="864"/>
      <c r="L10" s="864"/>
    </row>
    <row r="11" spans="1:12" s="1001" customFormat="1" ht="18.75" customHeight="1" x14ac:dyDescent="0.25">
      <c r="A11" s="1013" t="s">
        <v>619</v>
      </c>
      <c r="B11" s="1014">
        <v>17693.187650338135</v>
      </c>
      <c r="C11" s="1015">
        <v>18899.347437347686</v>
      </c>
      <c r="D11" s="1016" t="s">
        <v>661</v>
      </c>
      <c r="E11" s="1014">
        <v>8233.2771112647242</v>
      </c>
      <c r="F11" s="1015">
        <v>10169.564345815435</v>
      </c>
      <c r="H11" s="864"/>
      <c r="I11" s="864"/>
      <c r="J11" s="864"/>
      <c r="K11" s="864"/>
      <c r="L11" s="864"/>
    </row>
    <row r="12" spans="1:12" s="1001" customFormat="1" ht="18.75" customHeight="1" x14ac:dyDescent="0.25">
      <c r="A12" s="1013" t="s">
        <v>661</v>
      </c>
      <c r="B12" s="1014">
        <v>17441.386797350042</v>
      </c>
      <c r="C12" s="1015">
        <v>16222.05148949596</v>
      </c>
      <c r="D12" s="1016" t="s">
        <v>662</v>
      </c>
      <c r="E12" s="1014">
        <v>7480.4345152062424</v>
      </c>
      <c r="F12" s="1015">
        <v>8320.1428687077205</v>
      </c>
    </row>
    <row r="13" spans="1:12" s="1001" customFormat="1" ht="18.75" customHeight="1" x14ac:dyDescent="0.25">
      <c r="A13" s="1013" t="s">
        <v>663</v>
      </c>
      <c r="B13" s="1014">
        <v>11282.43606401441</v>
      </c>
      <c r="C13" s="1015">
        <v>14499.43606401441</v>
      </c>
      <c r="D13" s="1016" t="s">
        <v>659</v>
      </c>
      <c r="E13" s="1014">
        <v>4189.5205723481631</v>
      </c>
      <c r="F13" s="1015">
        <v>6819.4820054340398</v>
      </c>
    </row>
    <row r="14" spans="1:12" s="1001" customFormat="1" ht="18.75" customHeight="1" x14ac:dyDescent="0.25">
      <c r="A14" s="1013" t="s">
        <v>625</v>
      </c>
      <c r="B14" s="1014">
        <v>11409.748600577537</v>
      </c>
      <c r="C14" s="1015">
        <v>12290.188527545302</v>
      </c>
      <c r="D14" s="1016" t="s">
        <v>664</v>
      </c>
      <c r="E14" s="1014">
        <v>6004</v>
      </c>
      <c r="F14" s="1015">
        <v>6066</v>
      </c>
    </row>
    <row r="15" spans="1:12" s="1001" customFormat="1" ht="18.75" customHeight="1" x14ac:dyDescent="0.25">
      <c r="A15" s="1013" t="s">
        <v>662</v>
      </c>
      <c r="B15" s="1014">
        <v>11061.667690988299</v>
      </c>
      <c r="C15" s="1015">
        <v>10722.667690988297</v>
      </c>
      <c r="D15" s="1016" t="s">
        <v>665</v>
      </c>
      <c r="E15" s="1014">
        <v>6829.8733145537853</v>
      </c>
      <c r="F15" s="1015">
        <v>6002.3641009294533</v>
      </c>
    </row>
    <row r="16" spans="1:12" s="1001" customFormat="1" ht="18.75" customHeight="1" thickBot="1" x14ac:dyDescent="0.3">
      <c r="A16" s="1017" t="s">
        <v>666</v>
      </c>
      <c r="B16" s="1018">
        <v>7239.2446431191593</v>
      </c>
      <c r="C16" s="1019">
        <v>10507.24464311916</v>
      </c>
      <c r="D16" s="1020" t="s">
        <v>667</v>
      </c>
      <c r="E16" s="1018">
        <v>4302.1266389982538</v>
      </c>
      <c r="F16" s="1019">
        <v>5982.389780427704</v>
      </c>
    </row>
    <row r="17" spans="1:10" s="1001" customFormat="1" ht="5.25" hidden="1" customHeight="1" thickTop="1" x14ac:dyDescent="0.25">
      <c r="A17" s="3559" t="s">
        <v>668</v>
      </c>
      <c r="B17" s="3559"/>
      <c r="C17" s="3559"/>
      <c r="D17" s="3559"/>
      <c r="E17" s="3559"/>
      <c r="F17" s="3559"/>
    </row>
    <row r="18" spans="1:10" s="1001" customFormat="1" ht="5.25" customHeight="1" thickTop="1" x14ac:dyDescent="0.25">
      <c r="A18" s="1021"/>
      <c r="B18" s="1021"/>
      <c r="C18" s="1021"/>
      <c r="D18" s="1021"/>
      <c r="E18" s="1021"/>
      <c r="F18" s="1021"/>
    </row>
    <row r="19" spans="1:10" s="1022" customFormat="1" ht="29.25" customHeight="1" x14ac:dyDescent="0.25">
      <c r="A19" s="3559" t="s">
        <v>669</v>
      </c>
      <c r="B19" s="3559"/>
      <c r="C19" s="3559"/>
      <c r="D19" s="3559"/>
      <c r="E19" s="3559"/>
      <c r="F19" s="3559"/>
    </row>
    <row r="20" spans="1:10" s="1022" customFormat="1" ht="18" customHeight="1" x14ac:dyDescent="0.25">
      <c r="A20" s="3559" t="s">
        <v>290</v>
      </c>
      <c r="B20" s="3559"/>
      <c r="C20" s="3559"/>
      <c r="D20" s="3559"/>
      <c r="E20" s="3559"/>
      <c r="F20" s="3559"/>
    </row>
    <row r="21" spans="1:10" s="1001" customFormat="1" ht="12.75" customHeight="1" x14ac:dyDescent="0.25">
      <c r="A21" s="1023"/>
      <c r="B21" s="1023"/>
    </row>
    <row r="22" spans="1:10" s="1001" customFormat="1" x14ac:dyDescent="0.25"/>
    <row r="23" spans="1:10" s="1001" customFormat="1" x14ac:dyDescent="0.25">
      <c r="F23" s="1024"/>
      <c r="G23" s="1024"/>
      <c r="H23" s="1024"/>
      <c r="I23" s="1024"/>
      <c r="J23" s="1024"/>
    </row>
    <row r="24" spans="1:10" s="1001" customFormat="1" x14ac:dyDescent="0.25"/>
    <row r="25" spans="1:10" s="1001" customFormat="1" x14ac:dyDescent="0.25"/>
    <row r="26" spans="1:10" s="1001" customFormat="1" x14ac:dyDescent="0.25"/>
    <row r="27" spans="1:10" s="1001" customFormat="1" x14ac:dyDescent="0.25"/>
    <row r="28" spans="1:10" s="1001" customFormat="1" x14ac:dyDescent="0.25"/>
    <row r="29" spans="1:10" s="1001" customFormat="1" x14ac:dyDescent="0.25"/>
    <row r="30" spans="1:10" s="1001" customFormat="1" x14ac:dyDescent="0.25"/>
    <row r="31" spans="1:10" s="1001" customFormat="1" x14ac:dyDescent="0.25"/>
    <row r="32" spans="1:10" s="1001" customFormat="1" x14ac:dyDescent="0.25"/>
    <row r="33" spans="1:20" s="1001" customFormat="1" x14ac:dyDescent="0.25">
      <c r="A33" s="1025"/>
      <c r="B33" s="1025"/>
      <c r="C33" s="1025"/>
      <c r="D33" s="1025"/>
      <c r="E33" s="1025"/>
      <c r="F33" s="1025"/>
      <c r="G33" s="1025"/>
      <c r="H33" s="1025"/>
      <c r="I33" s="1025"/>
      <c r="J33" s="1025"/>
      <c r="K33" s="1025"/>
      <c r="L33" s="1025"/>
      <c r="M33" s="1025"/>
      <c r="N33" s="1025"/>
      <c r="O33" s="1025"/>
      <c r="P33" s="1025"/>
      <c r="Q33" s="1025"/>
      <c r="R33" s="1025"/>
      <c r="S33" s="1025"/>
      <c r="T33" s="1025"/>
    </row>
    <row r="34" spans="1:20" s="1001" customFormat="1" x14ac:dyDescent="0.25"/>
    <row r="35" spans="1:20" s="1001" customFormat="1" x14ac:dyDescent="0.25"/>
    <row r="36" spans="1:20" s="1001" customFormat="1" x14ac:dyDescent="0.25"/>
    <row r="37" spans="1:20" s="1001" customFormat="1" x14ac:dyDescent="0.25"/>
    <row r="38" spans="1:20" s="1001" customFormat="1" x14ac:dyDescent="0.25"/>
    <row r="39" spans="1:20" s="1001" customFormat="1" x14ac:dyDescent="0.25"/>
    <row r="40" spans="1:20" s="1001" customFormat="1" x14ac:dyDescent="0.25"/>
    <row r="41" spans="1:20" s="1001" customFormat="1" x14ac:dyDescent="0.25"/>
    <row r="42" spans="1:20" s="1001" customFormat="1" x14ac:dyDescent="0.25"/>
    <row r="43" spans="1:20" s="1001" customFormat="1" x14ac:dyDescent="0.25"/>
    <row r="44" spans="1:20" s="1001" customFormat="1" x14ac:dyDescent="0.25"/>
    <row r="45" spans="1:20" s="1001" customFormat="1" x14ac:dyDescent="0.25"/>
    <row r="46" spans="1:20" s="1001" customFormat="1" x14ac:dyDescent="0.25"/>
    <row r="47" spans="1:20" s="1001" customFormat="1" x14ac:dyDescent="0.25"/>
    <row r="48" spans="1:20" s="1001" customFormat="1" x14ac:dyDescent="0.25"/>
    <row r="49" s="1001" customFormat="1" x14ac:dyDescent="0.25"/>
    <row r="50" s="1001" customFormat="1" x14ac:dyDescent="0.25"/>
    <row r="51" s="1001" customFormat="1" x14ac:dyDescent="0.25"/>
    <row r="52" s="1001" customFormat="1" x14ac:dyDescent="0.25"/>
    <row r="53" s="1001" customFormat="1" x14ac:dyDescent="0.25"/>
    <row r="54" s="1001" customFormat="1" x14ac:dyDescent="0.25"/>
    <row r="55" s="1001" customFormat="1" x14ac:dyDescent="0.25"/>
    <row r="56" s="1001" customFormat="1" x14ac:dyDescent="0.25"/>
    <row r="57" s="1001" customFormat="1" x14ac:dyDescent="0.25"/>
    <row r="58" s="1001" customFormat="1" x14ac:dyDescent="0.25"/>
    <row r="59" s="1001" customFormat="1" x14ac:dyDescent="0.25"/>
    <row r="60" s="1001" customFormat="1" x14ac:dyDescent="0.25"/>
    <row r="61" s="1001" customFormat="1" x14ac:dyDescent="0.25"/>
    <row r="62" s="1001" customFormat="1" x14ac:dyDescent="0.25"/>
    <row r="63" s="1001" customFormat="1" x14ac:dyDescent="0.25"/>
    <row r="64" s="1001" customFormat="1" x14ac:dyDescent="0.25"/>
    <row r="65" s="1001" customFormat="1" x14ac:dyDescent="0.25"/>
    <row r="66" s="1001" customFormat="1" x14ac:dyDescent="0.25"/>
    <row r="67" s="1001" customFormat="1" x14ac:dyDescent="0.25"/>
    <row r="68" s="1001" customFormat="1" x14ac:dyDescent="0.25"/>
    <row r="69" s="1001" customFormat="1" x14ac:dyDescent="0.25"/>
    <row r="70" s="1001" customFormat="1" x14ac:dyDescent="0.25"/>
    <row r="71" s="1001" customFormat="1" x14ac:dyDescent="0.25"/>
    <row r="72" s="1001" customFormat="1" x14ac:dyDescent="0.25"/>
    <row r="73" s="1001" customFormat="1" x14ac:dyDescent="0.25"/>
    <row r="74" s="1001" customFormat="1" x14ac:dyDescent="0.25"/>
    <row r="75" s="1001" customFormat="1" x14ac:dyDescent="0.25"/>
    <row r="76" s="1001" customFormat="1" x14ac:dyDescent="0.25"/>
    <row r="77" s="1001" customFormat="1" x14ac:dyDescent="0.25"/>
    <row r="78" s="1001" customFormat="1" x14ac:dyDescent="0.25"/>
    <row r="79" s="1001" customFormat="1" x14ac:dyDescent="0.25"/>
    <row r="80" s="1001" customFormat="1" x14ac:dyDescent="0.25"/>
    <row r="81" s="1001" customFormat="1" x14ac:dyDescent="0.25"/>
    <row r="82" s="1001" customFormat="1" x14ac:dyDescent="0.25"/>
    <row r="83" s="1001" customFormat="1" x14ac:dyDescent="0.25"/>
    <row r="84" s="1001" customFormat="1" x14ac:dyDescent="0.25"/>
    <row r="85" s="1001" customFormat="1" x14ac:dyDescent="0.25"/>
    <row r="86" s="1001" customFormat="1" x14ac:dyDescent="0.25"/>
    <row r="87" s="1001" customFormat="1" x14ac:dyDescent="0.25"/>
    <row r="88" s="1001" customFormat="1" x14ac:dyDescent="0.25"/>
    <row r="89" s="1001" customFormat="1" x14ac:dyDescent="0.25"/>
    <row r="90" s="1001" customFormat="1" x14ac:dyDescent="0.25"/>
    <row r="91" s="1001" customFormat="1" x14ac:dyDescent="0.25"/>
    <row r="92" s="1001" customFormat="1" x14ac:dyDescent="0.25"/>
    <row r="93" s="1001" customFormat="1" x14ac:dyDescent="0.25"/>
    <row r="94" s="1001" customFormat="1" x14ac:dyDescent="0.25"/>
  </sheetData>
  <mergeCells count="6">
    <mergeCell ref="A20:F20"/>
    <mergeCell ref="A1:F1"/>
    <mergeCell ref="A3:C3"/>
    <mergeCell ref="D3:F3"/>
    <mergeCell ref="A17:F17"/>
    <mergeCell ref="A19:F19"/>
  </mergeCells>
  <printOptions horizontalCentered="1"/>
  <pageMargins left="0.7" right="0.2" top="0.42" bottom="0.21" header="0.3" footer="0.17"/>
  <pageSetup paperSize="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G161"/>
  <sheetViews>
    <sheetView zoomScale="80" zoomScaleNormal="80" zoomScaleSheetLayoutView="90" workbookViewId="0">
      <pane xSplit="1" ySplit="4" topLeftCell="B139" activePane="bottomRight" state="frozen"/>
      <selection activeCell="A38" sqref="A38"/>
      <selection pane="topRight" activeCell="A38" sqref="A38"/>
      <selection pane="bottomLeft" activeCell="A38" sqref="A38"/>
      <selection pane="bottomRight" activeCell="G172" sqref="G172"/>
    </sheetView>
  </sheetViews>
  <sheetFormatPr defaultRowHeight="16.5" x14ac:dyDescent="0.3"/>
  <cols>
    <col min="1" max="1" width="65.28515625" style="1028" customWidth="1"/>
    <col min="2" max="2" width="15.7109375" style="1029" customWidth="1"/>
    <col min="3" max="4" width="15.7109375" style="1125" customWidth="1"/>
    <col min="5" max="5" width="15.7109375" style="1029" customWidth="1"/>
    <col min="6" max="7" width="15.7109375" style="1125" customWidth="1"/>
    <col min="8" max="16384" width="9.140625" style="1027"/>
  </cols>
  <sheetData>
    <row r="1" spans="1:7" ht="16.5" customHeight="1" x14ac:dyDescent="0.25">
      <c r="A1" s="3570" t="s">
        <v>670</v>
      </c>
      <c r="B1" s="3570"/>
      <c r="C1" s="3570"/>
      <c r="D1" s="3570"/>
      <c r="E1" s="3570"/>
      <c r="F1" s="3570"/>
      <c r="G1" s="3570"/>
    </row>
    <row r="2" spans="1:7" ht="10.5" customHeight="1" thickBot="1" x14ac:dyDescent="0.35">
      <c r="C2" s="1030"/>
      <c r="D2" s="1030"/>
      <c r="E2" s="1030"/>
      <c r="F2" s="1030"/>
      <c r="G2" s="1030"/>
    </row>
    <row r="3" spans="1:7" ht="17.25" customHeight="1" thickTop="1" x14ac:dyDescent="0.25">
      <c r="A3" s="1031"/>
      <c r="B3" s="3569" t="s">
        <v>671</v>
      </c>
      <c r="C3" s="3567"/>
      <c r="D3" s="3568"/>
      <c r="E3" s="3569" t="s">
        <v>672</v>
      </c>
      <c r="F3" s="3567"/>
      <c r="G3" s="3568"/>
    </row>
    <row r="4" spans="1:7" ht="17.25" thickBot="1" x14ac:dyDescent="0.3">
      <c r="A4" s="1032"/>
      <c r="B4" s="1033" t="s">
        <v>673</v>
      </c>
      <c r="C4" s="1034" t="s">
        <v>674</v>
      </c>
      <c r="D4" s="1035" t="s">
        <v>675</v>
      </c>
      <c r="E4" s="1033" t="s">
        <v>673</v>
      </c>
      <c r="F4" s="1034" t="s">
        <v>674</v>
      </c>
      <c r="G4" s="1035" t="s">
        <v>675</v>
      </c>
    </row>
    <row r="5" spans="1:7" ht="17.25" thickTop="1" x14ac:dyDescent="0.25">
      <c r="A5" s="1036" t="s">
        <v>676</v>
      </c>
      <c r="B5" s="1037">
        <f>B6+B43+B53</f>
        <v>125199</v>
      </c>
      <c r="C5" s="1038">
        <f>C6+C43+C53</f>
        <v>145771</v>
      </c>
      <c r="D5" s="1039">
        <f>B5-C5</f>
        <v>-20572</v>
      </c>
      <c r="E5" s="1037">
        <f>E6+E43+E53</f>
        <v>155584</v>
      </c>
      <c r="F5" s="1038">
        <f>F6+F43+F53</f>
        <v>166250.16</v>
      </c>
      <c r="G5" s="1039">
        <f>E5-F5</f>
        <v>-10666.160000000003</v>
      </c>
    </row>
    <row r="6" spans="1:7" x14ac:dyDescent="0.25">
      <c r="A6" s="1040" t="s">
        <v>677</v>
      </c>
      <c r="B6" s="1041">
        <f>B7+B11</f>
        <v>52479</v>
      </c>
      <c r="C6" s="1042">
        <f>C7+C11</f>
        <v>90270</v>
      </c>
      <c r="D6" s="1043">
        <f t="shared" ref="D6:D10" si="0">B6-C6</f>
        <v>-37791</v>
      </c>
      <c r="E6" s="1041">
        <f>E7+E11</f>
        <v>57932</v>
      </c>
      <c r="F6" s="1042">
        <f>F7+F11</f>
        <v>91057</v>
      </c>
      <c r="G6" s="1043">
        <f t="shared" ref="G6:G10" si="1">E6-F6</f>
        <v>-33125</v>
      </c>
    </row>
    <row r="7" spans="1:7" x14ac:dyDescent="0.25">
      <c r="A7" s="1040" t="s">
        <v>678</v>
      </c>
      <c r="B7" s="1041">
        <f>B8+B10</f>
        <v>27428</v>
      </c>
      <c r="C7" s="1042">
        <f>C8+C10</f>
        <v>68911</v>
      </c>
      <c r="D7" s="1043">
        <f t="shared" si="0"/>
        <v>-41483</v>
      </c>
      <c r="E7" s="1041">
        <f>E8+E10</f>
        <v>25176</v>
      </c>
      <c r="F7" s="1042">
        <f>F8+F10</f>
        <v>68165</v>
      </c>
      <c r="G7" s="1043">
        <f t="shared" si="1"/>
        <v>-42989</v>
      </c>
    </row>
    <row r="8" spans="1:7" x14ac:dyDescent="0.25">
      <c r="A8" s="1044" t="s">
        <v>679</v>
      </c>
      <c r="B8" s="1045">
        <v>27428</v>
      </c>
      <c r="C8" s="1046">
        <v>68488</v>
      </c>
      <c r="D8" s="1047">
        <f t="shared" si="0"/>
        <v>-41060</v>
      </c>
      <c r="E8" s="1045">
        <v>25176</v>
      </c>
      <c r="F8" s="1046">
        <v>67737</v>
      </c>
      <c r="G8" s="1047">
        <f t="shared" si="1"/>
        <v>-42561</v>
      </c>
    </row>
    <row r="9" spans="1:7" x14ac:dyDescent="0.25">
      <c r="A9" s="1048" t="s">
        <v>680</v>
      </c>
      <c r="B9" s="1049">
        <v>5603</v>
      </c>
      <c r="C9" s="1050"/>
      <c r="D9" s="1051">
        <f t="shared" si="0"/>
        <v>5603</v>
      </c>
      <c r="E9" s="1049">
        <v>5929</v>
      </c>
      <c r="F9" s="1050"/>
      <c r="G9" s="1051">
        <f t="shared" si="1"/>
        <v>5929</v>
      </c>
    </row>
    <row r="10" spans="1:7" x14ac:dyDescent="0.25">
      <c r="A10" s="1044" t="s">
        <v>681</v>
      </c>
      <c r="B10" s="1045">
        <v>0</v>
      </c>
      <c r="C10" s="1046">
        <v>423</v>
      </c>
      <c r="D10" s="1047">
        <f t="shared" si="0"/>
        <v>-423</v>
      </c>
      <c r="E10" s="1045">
        <v>0</v>
      </c>
      <c r="F10" s="1046">
        <v>428</v>
      </c>
      <c r="G10" s="1047">
        <f t="shared" si="1"/>
        <v>-428</v>
      </c>
    </row>
    <row r="11" spans="1:7" x14ac:dyDescent="0.25">
      <c r="A11" s="1040" t="s">
        <v>682</v>
      </c>
      <c r="B11" s="1041">
        <f>B12+B13+B18+B21+B24+B29+B30+B31+B35+B39+B42</f>
        <v>25051</v>
      </c>
      <c r="C11" s="1042">
        <f>C12+C13+C18+C21+C24+C29+C30+C31+C35+C39+C42</f>
        <v>21359</v>
      </c>
      <c r="D11" s="1043">
        <f t="shared" ref="D11" si="2">D12+D13+D18+D21+D24+D29+D30+D31+D35+D39+D42</f>
        <v>3692</v>
      </c>
      <c r="E11" s="1041">
        <f>E12+E13+E18+E21+E24+E29+E30+E31+E35+E39+E42</f>
        <v>32756</v>
      </c>
      <c r="F11" s="1042">
        <f>F12+F13+F18+F21+F24+F29+F30+F31+F35+F39+F42</f>
        <v>22892</v>
      </c>
      <c r="G11" s="1043">
        <f t="shared" ref="G11" si="3">G12+G13+G18+G21+G24+G29+G30+G31+G35+G39+G42</f>
        <v>9864</v>
      </c>
    </row>
    <row r="12" spans="1:7" x14ac:dyDescent="0.25">
      <c r="A12" s="1040" t="s">
        <v>683</v>
      </c>
      <c r="B12" s="1041">
        <v>25</v>
      </c>
      <c r="C12" s="1042">
        <v>396</v>
      </c>
      <c r="D12" s="1043">
        <f t="shared" ref="D12:D35" si="4">B12-C12</f>
        <v>-371</v>
      </c>
      <c r="E12" s="1041">
        <v>26</v>
      </c>
      <c r="F12" s="1042">
        <v>716</v>
      </c>
      <c r="G12" s="1043">
        <f t="shared" ref="G12:G35" si="5">E12-F12</f>
        <v>-690</v>
      </c>
    </row>
    <row r="13" spans="1:7" x14ac:dyDescent="0.25">
      <c r="A13" s="1040" t="s">
        <v>684</v>
      </c>
      <c r="B13" s="1041">
        <f>B14+B15+B16+B17</f>
        <v>3046</v>
      </c>
      <c r="C13" s="1042">
        <f>C14+C15+C16+C17</f>
        <v>7959</v>
      </c>
      <c r="D13" s="1043">
        <f t="shared" si="4"/>
        <v>-4913</v>
      </c>
      <c r="E13" s="1041">
        <f>E14+E15+E16+E17</f>
        <v>3782</v>
      </c>
      <c r="F13" s="1042">
        <f>F14+F15+F16+F17</f>
        <v>6696</v>
      </c>
      <c r="G13" s="1043">
        <f t="shared" si="5"/>
        <v>-2914</v>
      </c>
    </row>
    <row r="14" spans="1:7" x14ac:dyDescent="0.25">
      <c r="A14" s="1052" t="s">
        <v>685</v>
      </c>
      <c r="B14" s="1045">
        <v>1828</v>
      </c>
      <c r="C14" s="1046">
        <v>736</v>
      </c>
      <c r="D14" s="1047">
        <f t="shared" si="4"/>
        <v>1092</v>
      </c>
      <c r="E14" s="1045">
        <v>2677</v>
      </c>
      <c r="F14" s="1046">
        <v>796</v>
      </c>
      <c r="G14" s="1047">
        <f t="shared" si="5"/>
        <v>1881</v>
      </c>
    </row>
    <row r="15" spans="1:7" x14ac:dyDescent="0.25">
      <c r="A15" s="1052" t="s">
        <v>686</v>
      </c>
      <c r="B15" s="1045">
        <v>372</v>
      </c>
      <c r="C15" s="1046">
        <v>6518</v>
      </c>
      <c r="D15" s="1047">
        <f t="shared" si="4"/>
        <v>-6146</v>
      </c>
      <c r="E15" s="1045">
        <v>277</v>
      </c>
      <c r="F15" s="1046">
        <v>4651</v>
      </c>
      <c r="G15" s="1047">
        <f t="shared" si="5"/>
        <v>-4374</v>
      </c>
    </row>
    <row r="16" spans="1:7" x14ac:dyDescent="0.25">
      <c r="A16" s="1052" t="s">
        <v>287</v>
      </c>
      <c r="B16" s="1045">
        <v>687</v>
      </c>
      <c r="C16" s="1046">
        <v>590</v>
      </c>
      <c r="D16" s="1047">
        <f t="shared" si="4"/>
        <v>97</v>
      </c>
      <c r="E16" s="1045">
        <v>700</v>
      </c>
      <c r="F16" s="1046">
        <v>1148</v>
      </c>
      <c r="G16" s="1047">
        <f t="shared" si="5"/>
        <v>-448</v>
      </c>
    </row>
    <row r="17" spans="1:7" ht="18.75" customHeight="1" x14ac:dyDescent="0.25">
      <c r="A17" s="1052" t="s">
        <v>687</v>
      </c>
      <c r="B17" s="1045">
        <v>159</v>
      </c>
      <c r="C17" s="1046">
        <v>115</v>
      </c>
      <c r="D17" s="1047">
        <f t="shared" si="4"/>
        <v>44</v>
      </c>
      <c r="E17" s="1045">
        <v>128</v>
      </c>
      <c r="F17" s="1046">
        <v>101</v>
      </c>
      <c r="G17" s="1047">
        <f t="shared" si="5"/>
        <v>27</v>
      </c>
    </row>
    <row r="18" spans="1:7" ht="18.75" customHeight="1" x14ac:dyDescent="0.25">
      <c r="A18" s="1040" t="s">
        <v>688</v>
      </c>
      <c r="B18" s="1041">
        <f>B19+B20</f>
        <v>12734</v>
      </c>
      <c r="C18" s="1042">
        <f>C19+C20</f>
        <v>4059</v>
      </c>
      <c r="D18" s="1043">
        <f t="shared" si="4"/>
        <v>8675</v>
      </c>
      <c r="E18" s="1041">
        <f>E19+E20</f>
        <v>19420</v>
      </c>
      <c r="F18" s="1042">
        <f>F19+F20</f>
        <v>5284</v>
      </c>
      <c r="G18" s="1043">
        <f t="shared" si="5"/>
        <v>14136</v>
      </c>
    </row>
    <row r="19" spans="1:7" ht="18.75" customHeight="1" x14ac:dyDescent="0.25">
      <c r="A19" s="1052" t="s">
        <v>689</v>
      </c>
      <c r="B19" s="1045">
        <v>443</v>
      </c>
      <c r="C19" s="1046">
        <v>112</v>
      </c>
      <c r="D19" s="1047">
        <f t="shared" si="4"/>
        <v>331</v>
      </c>
      <c r="E19" s="1045">
        <v>594</v>
      </c>
      <c r="F19" s="1046">
        <v>160</v>
      </c>
      <c r="G19" s="1047">
        <f t="shared" si="5"/>
        <v>434</v>
      </c>
    </row>
    <row r="20" spans="1:7" ht="18.75" customHeight="1" x14ac:dyDescent="0.25">
      <c r="A20" s="1052" t="s">
        <v>189</v>
      </c>
      <c r="B20" s="1045">
        <v>12291</v>
      </c>
      <c r="C20" s="1046">
        <v>3947</v>
      </c>
      <c r="D20" s="1047">
        <f t="shared" si="4"/>
        <v>8344</v>
      </c>
      <c r="E20" s="1045">
        <v>18826</v>
      </c>
      <c r="F20" s="1046">
        <v>5124</v>
      </c>
      <c r="G20" s="1047">
        <f t="shared" si="5"/>
        <v>13702</v>
      </c>
    </row>
    <row r="21" spans="1:7" ht="18.75" customHeight="1" x14ac:dyDescent="0.25">
      <c r="A21" s="1040" t="s">
        <v>220</v>
      </c>
      <c r="B21" s="1041">
        <f>B22+B23</f>
        <v>8</v>
      </c>
      <c r="C21" s="1042">
        <f>C22+C23</f>
        <v>26</v>
      </c>
      <c r="D21" s="1043">
        <f t="shared" si="4"/>
        <v>-18</v>
      </c>
      <c r="E21" s="1041">
        <f>E22+E23</f>
        <v>3</v>
      </c>
      <c r="F21" s="1042">
        <f>F22+F23</f>
        <v>47</v>
      </c>
      <c r="G21" s="1043">
        <f t="shared" si="5"/>
        <v>-44</v>
      </c>
    </row>
    <row r="22" spans="1:7" ht="18.75" customHeight="1" x14ac:dyDescent="0.25">
      <c r="A22" s="1052" t="s">
        <v>690</v>
      </c>
      <c r="B22" s="1045">
        <v>8</v>
      </c>
      <c r="C22" s="1046">
        <v>0</v>
      </c>
      <c r="D22" s="1047">
        <f t="shared" si="4"/>
        <v>8</v>
      </c>
      <c r="E22" s="1045">
        <v>3</v>
      </c>
      <c r="F22" s="1046">
        <v>0</v>
      </c>
      <c r="G22" s="1047">
        <f t="shared" si="5"/>
        <v>3</v>
      </c>
    </row>
    <row r="23" spans="1:7" ht="18.75" customHeight="1" x14ac:dyDescent="0.25">
      <c r="A23" s="1052" t="s">
        <v>691</v>
      </c>
      <c r="B23" s="1045">
        <v>0</v>
      </c>
      <c r="C23" s="1046">
        <v>26</v>
      </c>
      <c r="D23" s="1047">
        <f t="shared" si="4"/>
        <v>-26</v>
      </c>
      <c r="E23" s="1045">
        <v>0</v>
      </c>
      <c r="F23" s="1046">
        <v>47</v>
      </c>
      <c r="G23" s="1047">
        <f t="shared" si="5"/>
        <v>-47</v>
      </c>
    </row>
    <row r="24" spans="1:7" ht="18.75" customHeight="1" x14ac:dyDescent="0.25">
      <c r="A24" s="1040" t="s">
        <v>692</v>
      </c>
      <c r="B24" s="1041">
        <f>SUM(B25:B28)</f>
        <v>106</v>
      </c>
      <c r="C24" s="1042">
        <f>SUM(C25:C28)</f>
        <v>1118</v>
      </c>
      <c r="D24" s="1043">
        <f t="shared" si="4"/>
        <v>-1012</v>
      </c>
      <c r="E24" s="1041">
        <f>SUM(E25:E28)</f>
        <v>120</v>
      </c>
      <c r="F24" s="1042">
        <f>SUM(F25:F28)</f>
        <v>1077</v>
      </c>
      <c r="G24" s="1043">
        <f t="shared" si="5"/>
        <v>-957</v>
      </c>
    </row>
    <row r="25" spans="1:7" ht="18.75" customHeight="1" x14ac:dyDescent="0.25">
      <c r="A25" s="1052" t="s">
        <v>693</v>
      </c>
      <c r="B25" s="1045">
        <v>82</v>
      </c>
      <c r="C25" s="1046">
        <v>762</v>
      </c>
      <c r="D25" s="1047">
        <f t="shared" si="4"/>
        <v>-680</v>
      </c>
      <c r="E25" s="1045">
        <v>70</v>
      </c>
      <c r="F25" s="1046">
        <v>549</v>
      </c>
      <c r="G25" s="1047">
        <f t="shared" si="5"/>
        <v>-479</v>
      </c>
    </row>
    <row r="26" spans="1:7" ht="18.75" customHeight="1" x14ac:dyDescent="0.25">
      <c r="A26" s="1052" t="s">
        <v>694</v>
      </c>
      <c r="B26" s="1045">
        <v>1</v>
      </c>
      <c r="C26" s="1046">
        <v>302</v>
      </c>
      <c r="D26" s="1047">
        <f t="shared" si="4"/>
        <v>-301</v>
      </c>
      <c r="E26" s="1045">
        <v>35</v>
      </c>
      <c r="F26" s="1046">
        <v>482</v>
      </c>
      <c r="G26" s="1047">
        <f t="shared" si="5"/>
        <v>-447</v>
      </c>
    </row>
    <row r="27" spans="1:7" ht="18.75" customHeight="1" x14ac:dyDescent="0.25">
      <c r="A27" s="1052" t="s">
        <v>695</v>
      </c>
      <c r="B27" s="1045">
        <v>23</v>
      </c>
      <c r="C27" s="1046">
        <v>54</v>
      </c>
      <c r="D27" s="1047">
        <f t="shared" si="4"/>
        <v>-31</v>
      </c>
      <c r="E27" s="1045">
        <v>15</v>
      </c>
      <c r="F27" s="1046">
        <v>46</v>
      </c>
      <c r="G27" s="1047">
        <f t="shared" si="5"/>
        <v>-31</v>
      </c>
    </row>
    <row r="28" spans="1:7" ht="18.75" hidden="1" customHeight="1" x14ac:dyDescent="0.25">
      <c r="A28" s="1052" t="s">
        <v>696</v>
      </c>
      <c r="B28" s="1045">
        <v>0</v>
      </c>
      <c r="C28" s="1046">
        <v>0</v>
      </c>
      <c r="D28" s="1047">
        <f t="shared" si="4"/>
        <v>0</v>
      </c>
      <c r="E28" s="1045">
        <v>0</v>
      </c>
      <c r="F28" s="1046">
        <v>0</v>
      </c>
      <c r="G28" s="1047">
        <f t="shared" si="5"/>
        <v>0</v>
      </c>
    </row>
    <row r="29" spans="1:7" x14ac:dyDescent="0.25">
      <c r="A29" s="1040" t="s">
        <v>697</v>
      </c>
      <c r="B29" s="1041">
        <v>2189</v>
      </c>
      <c r="C29" s="1042">
        <v>721</v>
      </c>
      <c r="D29" s="1043">
        <f t="shared" si="4"/>
        <v>1468</v>
      </c>
      <c r="E29" s="1041">
        <v>2512</v>
      </c>
      <c r="F29" s="1042">
        <v>1189</v>
      </c>
      <c r="G29" s="1043">
        <f t="shared" si="5"/>
        <v>1323</v>
      </c>
    </row>
    <row r="30" spans="1:7" ht="18.75" customHeight="1" x14ac:dyDescent="0.3">
      <c r="A30" s="1053" t="s">
        <v>698</v>
      </c>
      <c r="B30" s="1054">
        <v>5</v>
      </c>
      <c r="C30" s="1055">
        <v>100</v>
      </c>
      <c r="D30" s="1056">
        <f t="shared" si="4"/>
        <v>-95</v>
      </c>
      <c r="E30" s="1054">
        <v>3</v>
      </c>
      <c r="F30" s="1055">
        <v>74</v>
      </c>
      <c r="G30" s="1056">
        <f t="shared" si="5"/>
        <v>-71</v>
      </c>
    </row>
    <row r="31" spans="1:7" ht="19.5" customHeight="1" x14ac:dyDescent="0.25">
      <c r="A31" s="1040" t="s">
        <v>699</v>
      </c>
      <c r="B31" s="1041">
        <f>B32+B33+B34</f>
        <v>1793</v>
      </c>
      <c r="C31" s="1042">
        <f>C32+C33+C34</f>
        <v>1683</v>
      </c>
      <c r="D31" s="1043">
        <f t="shared" si="4"/>
        <v>110</v>
      </c>
      <c r="E31" s="1041">
        <f>E32+E33+E34</f>
        <v>1729</v>
      </c>
      <c r="F31" s="1042">
        <f>F32+F33+F34</f>
        <v>2173</v>
      </c>
      <c r="G31" s="1043">
        <f t="shared" si="5"/>
        <v>-444</v>
      </c>
    </row>
    <row r="32" spans="1:7" ht="18.75" customHeight="1" x14ac:dyDescent="0.25">
      <c r="A32" s="1052" t="s">
        <v>700</v>
      </c>
      <c r="B32" s="1045">
        <v>693</v>
      </c>
      <c r="C32" s="1046">
        <v>349</v>
      </c>
      <c r="D32" s="1047">
        <f t="shared" si="4"/>
        <v>344</v>
      </c>
      <c r="E32" s="1045">
        <v>944</v>
      </c>
      <c r="F32" s="1046">
        <v>554</v>
      </c>
      <c r="G32" s="1047">
        <f t="shared" si="5"/>
        <v>390</v>
      </c>
    </row>
    <row r="33" spans="1:7" x14ac:dyDescent="0.25">
      <c r="A33" s="1052" t="s">
        <v>701</v>
      </c>
      <c r="B33" s="1045">
        <v>1099</v>
      </c>
      <c r="C33" s="1046">
        <v>1142</v>
      </c>
      <c r="D33" s="1047">
        <f t="shared" si="4"/>
        <v>-43</v>
      </c>
      <c r="E33" s="1045">
        <v>785</v>
      </c>
      <c r="F33" s="1046">
        <v>1234</v>
      </c>
      <c r="G33" s="1047">
        <f t="shared" si="5"/>
        <v>-449</v>
      </c>
    </row>
    <row r="34" spans="1:7" x14ac:dyDescent="0.25">
      <c r="A34" s="1052" t="s">
        <v>702</v>
      </c>
      <c r="B34" s="1045">
        <v>1</v>
      </c>
      <c r="C34" s="1046">
        <v>192</v>
      </c>
      <c r="D34" s="1047">
        <f t="shared" si="4"/>
        <v>-191</v>
      </c>
      <c r="E34" s="1045">
        <v>0</v>
      </c>
      <c r="F34" s="1046">
        <v>385</v>
      </c>
      <c r="G34" s="1047">
        <f t="shared" si="5"/>
        <v>-385</v>
      </c>
    </row>
    <row r="35" spans="1:7" x14ac:dyDescent="0.25">
      <c r="A35" s="1040" t="s">
        <v>703</v>
      </c>
      <c r="B35" s="1041">
        <f>B36+B37+B38</f>
        <v>4869</v>
      </c>
      <c r="C35" s="1042">
        <f>C36+C37+C38</f>
        <v>4603</v>
      </c>
      <c r="D35" s="1043">
        <f t="shared" si="4"/>
        <v>266</v>
      </c>
      <c r="E35" s="1041">
        <f>E36+E37+E38</f>
        <v>4979</v>
      </c>
      <c r="F35" s="1042">
        <f>F36+F37+F38</f>
        <v>5117</v>
      </c>
      <c r="G35" s="1043">
        <f t="shared" si="5"/>
        <v>-138</v>
      </c>
    </row>
    <row r="36" spans="1:7" x14ac:dyDescent="0.25">
      <c r="A36" s="1052" t="s">
        <v>704</v>
      </c>
      <c r="B36" s="1045">
        <v>23</v>
      </c>
      <c r="C36" s="1046">
        <v>5</v>
      </c>
      <c r="D36" s="1047">
        <f>B36-C36</f>
        <v>18</v>
      </c>
      <c r="E36" s="1045">
        <v>37</v>
      </c>
      <c r="F36" s="1046">
        <v>5</v>
      </c>
      <c r="G36" s="1047">
        <f>E36-F36</f>
        <v>32</v>
      </c>
    </row>
    <row r="37" spans="1:7" x14ac:dyDescent="0.25">
      <c r="A37" s="1052" t="s">
        <v>705</v>
      </c>
      <c r="B37" s="1045">
        <v>1283</v>
      </c>
      <c r="C37" s="1046">
        <v>1421</v>
      </c>
      <c r="D37" s="1047">
        <f t="shared" ref="D37:D39" si="6">B37-C37</f>
        <v>-138</v>
      </c>
      <c r="E37" s="1045">
        <v>1415</v>
      </c>
      <c r="F37" s="1046">
        <v>1568</v>
      </c>
      <c r="G37" s="1047">
        <f t="shared" ref="G37:G39" si="7">E37-F37</f>
        <v>-153</v>
      </c>
    </row>
    <row r="38" spans="1:7" x14ac:dyDescent="0.25">
      <c r="A38" s="1052" t="s">
        <v>706</v>
      </c>
      <c r="B38" s="1045">
        <v>3563</v>
      </c>
      <c r="C38" s="1046">
        <v>3177</v>
      </c>
      <c r="D38" s="1047">
        <f t="shared" si="6"/>
        <v>386</v>
      </c>
      <c r="E38" s="1045">
        <v>3527</v>
      </c>
      <c r="F38" s="1046">
        <v>3544</v>
      </c>
      <c r="G38" s="1047">
        <f t="shared" si="7"/>
        <v>-17</v>
      </c>
    </row>
    <row r="39" spans="1:7" x14ac:dyDescent="0.25">
      <c r="A39" s="1040" t="s">
        <v>707</v>
      </c>
      <c r="B39" s="1041">
        <f>B40+B41</f>
        <v>255</v>
      </c>
      <c r="C39" s="1042">
        <f>C40+C41</f>
        <v>692</v>
      </c>
      <c r="D39" s="1043">
        <f t="shared" si="6"/>
        <v>-437</v>
      </c>
      <c r="E39" s="1041">
        <f>E40+E41</f>
        <v>147</v>
      </c>
      <c r="F39" s="1042">
        <f>F40+F41</f>
        <v>517</v>
      </c>
      <c r="G39" s="1043">
        <f t="shared" si="7"/>
        <v>-370</v>
      </c>
    </row>
    <row r="40" spans="1:7" x14ac:dyDescent="0.25">
      <c r="A40" s="1052" t="s">
        <v>708</v>
      </c>
      <c r="B40" s="1045">
        <v>200</v>
      </c>
      <c r="C40" s="1046">
        <v>312</v>
      </c>
      <c r="D40" s="1047">
        <f>B40-C40</f>
        <v>-112</v>
      </c>
      <c r="E40" s="1045">
        <v>42</v>
      </c>
      <c r="F40" s="1046">
        <v>155</v>
      </c>
      <c r="G40" s="1047">
        <f>E40-F40</f>
        <v>-113</v>
      </c>
    </row>
    <row r="41" spans="1:7" x14ac:dyDescent="0.25">
      <c r="A41" s="1052" t="s">
        <v>709</v>
      </c>
      <c r="B41" s="1045">
        <v>55</v>
      </c>
      <c r="C41" s="1046">
        <v>380</v>
      </c>
      <c r="D41" s="1047">
        <f>B41-C41</f>
        <v>-325</v>
      </c>
      <c r="E41" s="1045">
        <v>105</v>
      </c>
      <c r="F41" s="1046">
        <v>362</v>
      </c>
      <c r="G41" s="1047">
        <f>E41-F41</f>
        <v>-257</v>
      </c>
    </row>
    <row r="42" spans="1:7" x14ac:dyDescent="0.25">
      <c r="A42" s="1040" t="s">
        <v>710</v>
      </c>
      <c r="B42" s="1041">
        <v>21</v>
      </c>
      <c r="C42" s="1042">
        <v>2</v>
      </c>
      <c r="D42" s="1043">
        <f>B42-C42</f>
        <v>19</v>
      </c>
      <c r="E42" s="1041">
        <v>35</v>
      </c>
      <c r="F42" s="1042">
        <v>2</v>
      </c>
      <c r="G42" s="1043">
        <f>E42-F42</f>
        <v>33</v>
      </c>
    </row>
    <row r="43" spans="1:7" x14ac:dyDescent="0.25">
      <c r="A43" s="1040" t="s">
        <v>711</v>
      </c>
      <c r="B43" s="1041">
        <f>B44+B45</f>
        <v>69850</v>
      </c>
      <c r="C43" s="1042">
        <f>C44+C45</f>
        <v>47621</v>
      </c>
      <c r="D43" s="1043">
        <f t="shared" ref="D43" si="8">B43-C43</f>
        <v>22229</v>
      </c>
      <c r="E43" s="1041">
        <f>E44+E45</f>
        <v>93958</v>
      </c>
      <c r="F43" s="1042">
        <f>F44+F45</f>
        <v>66011</v>
      </c>
      <c r="G43" s="1043">
        <f t="shared" ref="G43" si="9">E43-F43</f>
        <v>27947</v>
      </c>
    </row>
    <row r="44" spans="1:7" x14ac:dyDescent="0.25">
      <c r="A44" s="1044" t="s">
        <v>712</v>
      </c>
      <c r="B44" s="1045">
        <v>11</v>
      </c>
      <c r="C44" s="1046">
        <v>49</v>
      </c>
      <c r="D44" s="1047">
        <f>B44-C44</f>
        <v>-38</v>
      </c>
      <c r="E44" s="1045">
        <v>14</v>
      </c>
      <c r="F44" s="1046">
        <v>49</v>
      </c>
      <c r="G44" s="1047">
        <f>E44-F44</f>
        <v>-35</v>
      </c>
    </row>
    <row r="45" spans="1:7" x14ac:dyDescent="0.25">
      <c r="A45" s="1044" t="s">
        <v>713</v>
      </c>
      <c r="B45" s="1045">
        <v>69839</v>
      </c>
      <c r="C45" s="1046">
        <v>47572</v>
      </c>
      <c r="D45" s="1047">
        <f>B45-C45</f>
        <v>22267</v>
      </c>
      <c r="E45" s="1045">
        <v>93944</v>
      </c>
      <c r="F45" s="1046">
        <v>65962</v>
      </c>
      <c r="G45" s="1047">
        <f>E45-F45</f>
        <v>27982</v>
      </c>
    </row>
    <row r="46" spans="1:7" x14ac:dyDescent="0.25">
      <c r="A46" s="1052" t="s">
        <v>714</v>
      </c>
      <c r="B46" s="1045">
        <v>47420</v>
      </c>
      <c r="C46" s="1046">
        <v>34322</v>
      </c>
      <c r="D46" s="1047">
        <f>B46-C46</f>
        <v>13098</v>
      </c>
      <c r="E46" s="1045">
        <v>51284</v>
      </c>
      <c r="F46" s="1046">
        <v>41137</v>
      </c>
      <c r="G46" s="1047">
        <f>E46-F46</f>
        <v>10147</v>
      </c>
    </row>
    <row r="47" spans="1:7" s="1058" customFormat="1" x14ac:dyDescent="0.25">
      <c r="A47" s="1057" t="s">
        <v>715</v>
      </c>
      <c r="B47" s="1049">
        <v>47408</v>
      </c>
      <c r="C47" s="1050">
        <v>33008</v>
      </c>
      <c r="D47" s="1051">
        <f>B47-C47</f>
        <v>14400</v>
      </c>
      <c r="E47" s="1049">
        <v>51264</v>
      </c>
      <c r="F47" s="1050">
        <v>36237</v>
      </c>
      <c r="G47" s="1051">
        <f>E47-F47</f>
        <v>15027</v>
      </c>
    </row>
    <row r="48" spans="1:7" ht="17.25" customHeight="1" x14ac:dyDescent="0.25">
      <c r="A48" s="1052" t="s">
        <v>716</v>
      </c>
      <c r="B48" s="1045">
        <v>11066</v>
      </c>
      <c r="C48" s="1046">
        <v>6067</v>
      </c>
      <c r="D48" s="1047">
        <f t="shared" ref="D48:D53" si="10">B48-C48</f>
        <v>4999</v>
      </c>
      <c r="E48" s="1045">
        <v>18304</v>
      </c>
      <c r="F48" s="1046">
        <v>8689</v>
      </c>
      <c r="G48" s="1047">
        <f t="shared" ref="G48:G53" si="11">E48-F48</f>
        <v>9615</v>
      </c>
    </row>
    <row r="49" spans="1:7" s="1058" customFormat="1" x14ac:dyDescent="0.25">
      <c r="A49" s="1057" t="s">
        <v>715</v>
      </c>
      <c r="B49" s="1049">
        <v>9787</v>
      </c>
      <c r="C49" s="1050">
        <v>5508</v>
      </c>
      <c r="D49" s="1051">
        <f t="shared" si="10"/>
        <v>4279</v>
      </c>
      <c r="E49" s="1049">
        <v>13246</v>
      </c>
      <c r="F49" s="1050">
        <v>8053</v>
      </c>
      <c r="G49" s="1051">
        <f t="shared" si="11"/>
        <v>5193</v>
      </c>
    </row>
    <row r="50" spans="1:7" x14ac:dyDescent="0.25">
      <c r="A50" s="1052" t="s">
        <v>717</v>
      </c>
      <c r="B50" s="1045">
        <v>10181</v>
      </c>
      <c r="C50" s="1046">
        <v>7183</v>
      </c>
      <c r="D50" s="1047">
        <f t="shared" si="10"/>
        <v>2998</v>
      </c>
      <c r="E50" s="1045">
        <v>21589</v>
      </c>
      <c r="F50" s="1046">
        <v>16136</v>
      </c>
      <c r="G50" s="1047">
        <f t="shared" si="11"/>
        <v>5453</v>
      </c>
    </row>
    <row r="51" spans="1:7" s="1058" customFormat="1" x14ac:dyDescent="0.25">
      <c r="A51" s="1057" t="s">
        <v>715</v>
      </c>
      <c r="B51" s="1049">
        <v>5874</v>
      </c>
      <c r="C51" s="1050">
        <v>6001</v>
      </c>
      <c r="D51" s="1051">
        <f t="shared" si="10"/>
        <v>-127</v>
      </c>
      <c r="E51" s="1049">
        <v>10123</v>
      </c>
      <c r="F51" s="1050">
        <v>9995</v>
      </c>
      <c r="G51" s="1051">
        <f t="shared" si="11"/>
        <v>128</v>
      </c>
    </row>
    <row r="52" spans="1:7" x14ac:dyDescent="0.25">
      <c r="A52" s="1052" t="s">
        <v>718</v>
      </c>
      <c r="B52" s="1045">
        <v>1172</v>
      </c>
      <c r="C52" s="1046">
        <v>0</v>
      </c>
      <c r="D52" s="1047">
        <f t="shared" si="10"/>
        <v>1172</v>
      </c>
      <c r="E52" s="1045">
        <v>2767</v>
      </c>
      <c r="F52" s="1046">
        <v>0</v>
      </c>
      <c r="G52" s="1047">
        <f t="shared" si="11"/>
        <v>2767</v>
      </c>
    </row>
    <row r="53" spans="1:7" x14ac:dyDescent="0.25">
      <c r="A53" s="1040" t="s">
        <v>719</v>
      </c>
      <c r="B53" s="1041">
        <f>B54+B55</f>
        <v>2870</v>
      </c>
      <c r="C53" s="1042">
        <f>C54+C55</f>
        <v>7880</v>
      </c>
      <c r="D53" s="1043">
        <f t="shared" si="10"/>
        <v>-5010</v>
      </c>
      <c r="E53" s="1041">
        <f>E54+E55</f>
        <v>3694</v>
      </c>
      <c r="F53" s="1042">
        <f>F54+F55</f>
        <v>9182.16</v>
      </c>
      <c r="G53" s="1043">
        <f t="shared" si="11"/>
        <v>-5488.16</v>
      </c>
    </row>
    <row r="54" spans="1:7" x14ac:dyDescent="0.25">
      <c r="A54" s="1044" t="s">
        <v>720</v>
      </c>
      <c r="B54" s="1045">
        <v>81</v>
      </c>
      <c r="C54" s="1046">
        <v>6</v>
      </c>
      <c r="D54" s="1047">
        <f>B54-C54</f>
        <v>75</v>
      </c>
      <c r="E54" s="1045">
        <v>41</v>
      </c>
      <c r="F54" s="1059">
        <v>0.16</v>
      </c>
      <c r="G54" s="1047">
        <f>E54-F54</f>
        <v>40.840000000000003</v>
      </c>
    </row>
    <row r="55" spans="1:7" ht="33" x14ac:dyDescent="0.25">
      <c r="A55" s="1044" t="s">
        <v>721</v>
      </c>
      <c r="B55" s="1045">
        <v>2789</v>
      </c>
      <c r="C55" s="1046">
        <v>7874</v>
      </c>
      <c r="D55" s="1047">
        <f>B55-C55</f>
        <v>-5085</v>
      </c>
      <c r="E55" s="1045">
        <v>3653</v>
      </c>
      <c r="F55" s="1046">
        <v>9182</v>
      </c>
      <c r="G55" s="1047">
        <f>E55-F55</f>
        <v>-5529</v>
      </c>
    </row>
    <row r="56" spans="1:7" x14ac:dyDescent="0.25">
      <c r="A56" s="1052" t="s">
        <v>722</v>
      </c>
      <c r="B56" s="1045">
        <v>2789</v>
      </c>
      <c r="C56" s="1046">
        <v>7874</v>
      </c>
      <c r="D56" s="1047">
        <f>B56-C56</f>
        <v>-5085</v>
      </c>
      <c r="E56" s="1045">
        <v>3653</v>
      </c>
      <c r="F56" s="1046">
        <v>9182</v>
      </c>
      <c r="G56" s="1047">
        <f>E56-F56</f>
        <v>-5529</v>
      </c>
    </row>
    <row r="57" spans="1:7" s="1058" customFormat="1" x14ac:dyDescent="0.25">
      <c r="A57" s="1057" t="s">
        <v>715</v>
      </c>
      <c r="B57" s="1049">
        <v>0</v>
      </c>
      <c r="C57" s="1050">
        <v>3910</v>
      </c>
      <c r="D57" s="1051">
        <f t="shared" ref="D57:D58" si="12">B57-C57</f>
        <v>-3910</v>
      </c>
      <c r="E57" s="1049">
        <v>0</v>
      </c>
      <c r="F57" s="1050">
        <v>4811</v>
      </c>
      <c r="G57" s="1051">
        <f t="shared" ref="G57" si="13">E57-F57</f>
        <v>-4811</v>
      </c>
    </row>
    <row r="58" spans="1:7" s="1058" customFormat="1" ht="17.25" thickBot="1" x14ac:dyDescent="0.3">
      <c r="A58" s="1060" t="s">
        <v>723</v>
      </c>
      <c r="B58" s="1061">
        <v>722</v>
      </c>
      <c r="C58" s="1050">
        <v>2083</v>
      </c>
      <c r="D58" s="1062">
        <f t="shared" si="12"/>
        <v>-1361</v>
      </c>
      <c r="E58" s="1061">
        <v>809</v>
      </c>
      <c r="F58" s="1050">
        <v>2342</v>
      </c>
      <c r="G58" s="1062">
        <f>E58-F58</f>
        <v>-1533</v>
      </c>
    </row>
    <row r="59" spans="1:7" ht="17.25" customHeight="1" thickTop="1" x14ac:dyDescent="0.25">
      <c r="A59" s="1063"/>
      <c r="B59" s="3566" t="s">
        <v>671</v>
      </c>
      <c r="C59" s="3567"/>
      <c r="D59" s="3568"/>
      <c r="E59" s="3569" t="s">
        <v>672</v>
      </c>
      <c r="F59" s="3567"/>
      <c r="G59" s="3568"/>
    </row>
    <row r="60" spans="1:7" x14ac:dyDescent="0.25">
      <c r="A60" s="1064"/>
      <c r="B60" s="1065" t="s">
        <v>673</v>
      </c>
      <c r="C60" s="1066" t="s">
        <v>674</v>
      </c>
      <c r="D60" s="1067" t="s">
        <v>675</v>
      </c>
      <c r="E60" s="1068" t="s">
        <v>673</v>
      </c>
      <c r="F60" s="1066" t="s">
        <v>674</v>
      </c>
      <c r="G60" s="1067" t="s">
        <v>675</v>
      </c>
    </row>
    <row r="61" spans="1:7" x14ac:dyDescent="0.25">
      <c r="A61" s="1069" t="s">
        <v>724</v>
      </c>
      <c r="B61" s="1070">
        <f>B62+B63</f>
        <v>649</v>
      </c>
      <c r="C61" s="1071">
        <f t="shared" ref="C61" si="14">C62+C63</f>
        <v>0</v>
      </c>
      <c r="D61" s="1072">
        <f>B61-C61</f>
        <v>649</v>
      </c>
      <c r="E61" s="1070">
        <f>E62+E63</f>
        <v>63.289202000000003</v>
      </c>
      <c r="F61" s="1071">
        <f t="shared" ref="F61" si="15">F62+F63</f>
        <v>0</v>
      </c>
      <c r="G61" s="1072">
        <f>E61-F61</f>
        <v>63.289202000000003</v>
      </c>
    </row>
    <row r="62" spans="1:7" hidden="1" x14ac:dyDescent="0.25">
      <c r="A62" s="1073" t="s">
        <v>725</v>
      </c>
      <c r="B62" s="1074">
        <v>0</v>
      </c>
      <c r="C62" s="1075">
        <v>0</v>
      </c>
      <c r="D62" s="1076">
        <v>0</v>
      </c>
      <c r="E62" s="1074">
        <v>0</v>
      </c>
      <c r="F62" s="1075">
        <v>0</v>
      </c>
      <c r="G62" s="1076">
        <v>0</v>
      </c>
    </row>
    <row r="63" spans="1:7" x14ac:dyDescent="0.25">
      <c r="A63" s="1044" t="s">
        <v>726</v>
      </c>
      <c r="B63" s="1045">
        <f>B64+B67</f>
        <v>649</v>
      </c>
      <c r="C63" s="1046">
        <f t="shared" ref="C63" si="16">C64+C67</f>
        <v>0</v>
      </c>
      <c r="D63" s="1047">
        <f t="shared" ref="D63:D67" si="17">B63-C63</f>
        <v>649</v>
      </c>
      <c r="E63" s="1045">
        <f>E64+E67</f>
        <v>63.289202000000003</v>
      </c>
      <c r="F63" s="1046">
        <f t="shared" ref="F63" si="18">F64+F67</f>
        <v>0</v>
      </c>
      <c r="G63" s="1047">
        <f t="shared" ref="G63:G67" si="19">E63-F63</f>
        <v>63.289202000000003</v>
      </c>
    </row>
    <row r="64" spans="1:7" x14ac:dyDescent="0.25">
      <c r="A64" s="1044" t="s">
        <v>727</v>
      </c>
      <c r="B64" s="1045">
        <f>B65+B66</f>
        <v>649</v>
      </c>
      <c r="C64" s="1046">
        <f>C65+C66</f>
        <v>0</v>
      </c>
      <c r="D64" s="1047">
        <f t="shared" si="17"/>
        <v>649</v>
      </c>
      <c r="E64" s="1045">
        <f>E65+E66</f>
        <v>63.289202000000003</v>
      </c>
      <c r="F64" s="1046">
        <f>F65+F66</f>
        <v>0</v>
      </c>
      <c r="G64" s="1047">
        <f t="shared" si="19"/>
        <v>63.289202000000003</v>
      </c>
    </row>
    <row r="65" spans="1:7" hidden="1" x14ac:dyDescent="0.25">
      <c r="A65" s="1044" t="s">
        <v>728</v>
      </c>
      <c r="B65" s="1045"/>
      <c r="C65" s="1046"/>
      <c r="D65" s="1047">
        <f t="shared" si="17"/>
        <v>0</v>
      </c>
      <c r="E65" s="1045"/>
      <c r="F65" s="1046"/>
      <c r="G65" s="1047">
        <f t="shared" si="19"/>
        <v>0</v>
      </c>
    </row>
    <row r="66" spans="1:7" ht="17.25" thickBot="1" x14ac:dyDescent="0.3">
      <c r="A66" s="1044" t="s">
        <v>729</v>
      </c>
      <c r="B66" s="1045">
        <v>649</v>
      </c>
      <c r="C66" s="1046">
        <v>0</v>
      </c>
      <c r="D66" s="1047">
        <f t="shared" si="17"/>
        <v>649</v>
      </c>
      <c r="E66" s="1045">
        <v>63.289202000000003</v>
      </c>
      <c r="F66" s="1046">
        <v>0</v>
      </c>
      <c r="G66" s="1047">
        <f t="shared" si="19"/>
        <v>63.289202000000003</v>
      </c>
    </row>
    <row r="67" spans="1:7" ht="33.75" hidden="1" thickBot="1" x14ac:dyDescent="0.3">
      <c r="A67" s="1044" t="s">
        <v>730</v>
      </c>
      <c r="B67" s="1045">
        <f>B68+B69</f>
        <v>0</v>
      </c>
      <c r="C67" s="1046">
        <f>C68+C69</f>
        <v>0</v>
      </c>
      <c r="D67" s="1047">
        <f t="shared" si="17"/>
        <v>0</v>
      </c>
      <c r="E67" s="1045">
        <f t="shared" ref="E67:F67" si="20">E68+E69</f>
        <v>0</v>
      </c>
      <c r="F67" s="1046">
        <f t="shared" si="20"/>
        <v>0</v>
      </c>
      <c r="G67" s="1047">
        <f t="shared" si="19"/>
        <v>0</v>
      </c>
    </row>
    <row r="68" spans="1:7" ht="17.25" hidden="1" thickBot="1" x14ac:dyDescent="0.3">
      <c r="A68" s="1044" t="s">
        <v>728</v>
      </c>
      <c r="B68" s="1045"/>
      <c r="C68" s="1046"/>
      <c r="D68" s="1047"/>
      <c r="E68" s="1045"/>
      <c r="F68" s="1046"/>
      <c r="G68" s="1047"/>
    </row>
    <row r="69" spans="1:7" ht="17.25" hidden="1" thickBot="1" x14ac:dyDescent="0.3">
      <c r="A69" s="1044" t="s">
        <v>729</v>
      </c>
      <c r="B69" s="1045"/>
      <c r="C69" s="1046"/>
      <c r="D69" s="1047"/>
      <c r="E69" s="1045"/>
      <c r="F69" s="1046"/>
      <c r="G69" s="1047"/>
    </row>
    <row r="70" spans="1:7" ht="17.25" customHeight="1" thickTop="1" x14ac:dyDescent="0.25">
      <c r="A70" s="1063"/>
      <c r="B70" s="3566" t="s">
        <v>671</v>
      </c>
      <c r="C70" s="3567"/>
      <c r="D70" s="3568"/>
      <c r="E70" s="3569" t="s">
        <v>672</v>
      </c>
      <c r="F70" s="3567"/>
      <c r="G70" s="3568"/>
    </row>
    <row r="71" spans="1:7" ht="66" x14ac:dyDescent="0.25">
      <c r="A71" s="1064"/>
      <c r="B71" s="1077" t="s">
        <v>731</v>
      </c>
      <c r="C71" s="1078" t="s">
        <v>732</v>
      </c>
      <c r="D71" s="1079" t="s">
        <v>675</v>
      </c>
      <c r="E71" s="1080" t="s">
        <v>731</v>
      </c>
      <c r="F71" s="1078" t="s">
        <v>732</v>
      </c>
      <c r="G71" s="1079" t="s">
        <v>675</v>
      </c>
    </row>
    <row r="72" spans="1:7" x14ac:dyDescent="0.25">
      <c r="A72" s="1081" t="s">
        <v>733</v>
      </c>
      <c r="B72" s="1082"/>
      <c r="C72" s="1071"/>
      <c r="D72" s="1072">
        <f>D73+D78+D95+D101+D149</f>
        <v>-21539.371571518568</v>
      </c>
      <c r="E72" s="1082"/>
      <c r="F72" s="1071"/>
      <c r="G72" s="1072">
        <f>G73+G78+G95+G101+G149</f>
        <v>-13488.61173463217</v>
      </c>
    </row>
    <row r="73" spans="1:7" x14ac:dyDescent="0.3">
      <c r="A73" s="1083" t="s">
        <v>734</v>
      </c>
      <c r="B73" s="1084">
        <f>B74+B76</f>
        <v>103632.33951637273</v>
      </c>
      <c r="C73" s="1085">
        <f>C74+C76</f>
        <v>94408.298419369792</v>
      </c>
      <c r="D73" s="1086">
        <f t="shared" ref="D73:D136" si="21">B73-C73</f>
        <v>9224.0410970029334</v>
      </c>
      <c r="E73" s="1084">
        <f>E74+E76</f>
        <v>82504.613869320543</v>
      </c>
      <c r="F73" s="1085">
        <f>F74+F76</f>
        <v>100933.19937444059</v>
      </c>
      <c r="G73" s="1086">
        <f t="shared" ref="G73:G136" si="22">E73-F73</f>
        <v>-18428.585505120049</v>
      </c>
    </row>
    <row r="74" spans="1:7" x14ac:dyDescent="0.3">
      <c r="A74" s="1087" t="s">
        <v>735</v>
      </c>
      <c r="B74" s="1088">
        <v>82833.058691704719</v>
      </c>
      <c r="C74" s="1089">
        <v>57082.063648919611</v>
      </c>
      <c r="D74" s="1090">
        <f t="shared" si="21"/>
        <v>25750.995042785107</v>
      </c>
      <c r="E74" s="1088">
        <v>65949.755313250105</v>
      </c>
      <c r="F74" s="1089">
        <v>61129.339198535134</v>
      </c>
      <c r="G74" s="1090">
        <f t="shared" si="22"/>
        <v>4820.4161147149716</v>
      </c>
    </row>
    <row r="75" spans="1:7" s="1058" customFormat="1" x14ac:dyDescent="0.3">
      <c r="A75" s="1091" t="s">
        <v>715</v>
      </c>
      <c r="B75" s="1092">
        <v>82614.619927524342</v>
      </c>
      <c r="C75" s="1093">
        <v>54022.471467835458</v>
      </c>
      <c r="D75" s="1094">
        <f t="shared" si="21"/>
        <v>28592.148459688884</v>
      </c>
      <c r="E75" s="1092">
        <v>65787.947966631138</v>
      </c>
      <c r="F75" s="1093">
        <v>57143.402181439676</v>
      </c>
      <c r="G75" s="1094">
        <f t="shared" si="22"/>
        <v>8644.5457851914616</v>
      </c>
    </row>
    <row r="76" spans="1:7" x14ac:dyDescent="0.3">
      <c r="A76" s="1087" t="s">
        <v>736</v>
      </c>
      <c r="B76" s="1088">
        <v>20799.280824668007</v>
      </c>
      <c r="C76" s="1089">
        <v>37326.234770450181</v>
      </c>
      <c r="D76" s="1090">
        <f t="shared" si="21"/>
        <v>-16526.953945782174</v>
      </c>
      <c r="E76" s="1088">
        <v>16554.85855607043</v>
      </c>
      <c r="F76" s="1089">
        <v>39803.860175905458</v>
      </c>
      <c r="G76" s="1090">
        <f t="shared" si="22"/>
        <v>-23249.001619835028</v>
      </c>
    </row>
    <row r="77" spans="1:7" s="1058" customFormat="1" x14ac:dyDescent="0.3">
      <c r="A77" s="1091" t="s">
        <v>715</v>
      </c>
      <c r="B77" s="1092">
        <v>20653.654981881085</v>
      </c>
      <c r="C77" s="1093">
        <v>36014.980978556974</v>
      </c>
      <c r="D77" s="1094">
        <f t="shared" si="21"/>
        <v>-15361.325996675889</v>
      </c>
      <c r="E77" s="1092">
        <v>16446.986991657785</v>
      </c>
      <c r="F77" s="1093">
        <v>38095.601454293115</v>
      </c>
      <c r="G77" s="1094">
        <f t="shared" si="22"/>
        <v>-21648.614462635331</v>
      </c>
    </row>
    <row r="78" spans="1:7" x14ac:dyDescent="0.3">
      <c r="A78" s="1083" t="s">
        <v>737</v>
      </c>
      <c r="B78" s="1084">
        <f>B79+B85</f>
        <v>68929.509905482075</v>
      </c>
      <c r="C78" s="1095">
        <f>C79+C85</f>
        <v>10682.976934980052</v>
      </c>
      <c r="D78" s="1086">
        <f t="shared" si="21"/>
        <v>58246.532970502027</v>
      </c>
      <c r="E78" s="1084">
        <f>E79+E85</f>
        <v>57898.938035394312</v>
      </c>
      <c r="F78" s="1095">
        <f>F79+F85</f>
        <v>37622.243338828062</v>
      </c>
      <c r="G78" s="1086">
        <f t="shared" si="22"/>
        <v>20276.69469656625</v>
      </c>
    </row>
    <row r="79" spans="1:7" x14ac:dyDescent="0.3">
      <c r="A79" s="1087" t="s">
        <v>735</v>
      </c>
      <c r="B79" s="1096">
        <f>B81+B83</f>
        <v>8315.9560095452016</v>
      </c>
      <c r="C79" s="1097">
        <f>C81+C83</f>
        <v>4059.8873388455263</v>
      </c>
      <c r="D79" s="1090">
        <f t="shared" si="21"/>
        <v>4256.0686706996748</v>
      </c>
      <c r="E79" s="1096">
        <f>E81+E83</f>
        <v>43250.75780321913</v>
      </c>
      <c r="F79" s="1097">
        <f>F81+F83</f>
        <v>14483.981801791877</v>
      </c>
      <c r="G79" s="1090">
        <f t="shared" si="22"/>
        <v>28766.776001427254</v>
      </c>
    </row>
    <row r="80" spans="1:7" ht="16.5" hidden="1" customHeight="1" x14ac:dyDescent="0.3">
      <c r="A80" s="1098" t="s">
        <v>738</v>
      </c>
      <c r="B80" s="1096"/>
      <c r="C80" s="1097"/>
      <c r="D80" s="1090">
        <f t="shared" si="21"/>
        <v>0</v>
      </c>
      <c r="E80" s="1096"/>
      <c r="F80" s="1097"/>
      <c r="G80" s="1090">
        <f t="shared" si="22"/>
        <v>0</v>
      </c>
    </row>
    <row r="81" spans="1:7" x14ac:dyDescent="0.3">
      <c r="A81" s="1098" t="s">
        <v>739</v>
      </c>
      <c r="B81" s="1096">
        <v>-551.21391849162615</v>
      </c>
      <c r="C81" s="1097">
        <v>0</v>
      </c>
      <c r="D81" s="1090">
        <f t="shared" si="21"/>
        <v>-551.21391849162615</v>
      </c>
      <c r="E81" s="1096">
        <v>443.54242149122985</v>
      </c>
      <c r="F81" s="1097">
        <v>0</v>
      </c>
      <c r="G81" s="1090">
        <f t="shared" si="22"/>
        <v>443.54242149122985</v>
      </c>
    </row>
    <row r="82" spans="1:7" ht="16.5" hidden="1" customHeight="1" x14ac:dyDescent="0.3">
      <c r="A82" s="1098" t="s">
        <v>740</v>
      </c>
      <c r="B82" s="1096"/>
      <c r="C82" s="1097"/>
      <c r="D82" s="1090">
        <f t="shared" si="21"/>
        <v>0</v>
      </c>
      <c r="E82" s="1096"/>
      <c r="F82" s="1097"/>
      <c r="G82" s="1090">
        <f t="shared" si="22"/>
        <v>0</v>
      </c>
    </row>
    <row r="83" spans="1:7" x14ac:dyDescent="0.3">
      <c r="A83" s="1098" t="s">
        <v>741</v>
      </c>
      <c r="B83" s="1096">
        <v>8867.1699280368284</v>
      </c>
      <c r="C83" s="1097">
        <v>4059.8873388455263</v>
      </c>
      <c r="D83" s="1090">
        <f t="shared" si="21"/>
        <v>4807.2825891913017</v>
      </c>
      <c r="E83" s="1096">
        <v>42807.215381727903</v>
      </c>
      <c r="F83" s="1097">
        <v>14483.981801791877</v>
      </c>
      <c r="G83" s="1090">
        <f t="shared" si="22"/>
        <v>28323.233579936026</v>
      </c>
    </row>
    <row r="84" spans="1:7" s="1058" customFormat="1" x14ac:dyDescent="0.3">
      <c r="A84" s="1099" t="s">
        <v>715</v>
      </c>
      <c r="B84" s="1100">
        <v>8371.8812857867597</v>
      </c>
      <c r="C84" s="1101">
        <v>4355.7205214555261</v>
      </c>
      <c r="D84" s="1094">
        <f t="shared" si="21"/>
        <v>4016.1607643312336</v>
      </c>
      <c r="E84" s="1100">
        <v>42028.102752513092</v>
      </c>
      <c r="F84" s="1101">
        <v>14300.847200471877</v>
      </c>
      <c r="G84" s="1094">
        <f t="shared" si="22"/>
        <v>27727.255552041213</v>
      </c>
    </row>
    <row r="85" spans="1:7" x14ac:dyDescent="0.3">
      <c r="A85" s="1087" t="s">
        <v>742</v>
      </c>
      <c r="B85" s="1096">
        <f>B86+B89+B90+B93</f>
        <v>60613.553895936879</v>
      </c>
      <c r="C85" s="1097">
        <f>C86+C89+C90+C93</f>
        <v>6623.089596134525</v>
      </c>
      <c r="D85" s="1090">
        <f t="shared" si="21"/>
        <v>53990.464299802356</v>
      </c>
      <c r="E85" s="1096">
        <f>E86+E89+E90+E93</f>
        <v>14648.180232175182</v>
      </c>
      <c r="F85" s="1097">
        <f>F86+F89+F90+F93</f>
        <v>23138.261537036185</v>
      </c>
      <c r="G85" s="1090">
        <f t="shared" si="22"/>
        <v>-8490.0813048610034</v>
      </c>
    </row>
    <row r="86" spans="1:7" x14ac:dyDescent="0.3">
      <c r="A86" s="1098" t="s">
        <v>743</v>
      </c>
      <c r="B86" s="1096">
        <v>0</v>
      </c>
      <c r="C86" s="1097">
        <v>24.152266512672647</v>
      </c>
      <c r="D86" s="1090">
        <f t="shared" si="21"/>
        <v>-24.152266512672647</v>
      </c>
      <c r="E86" s="1096">
        <v>0</v>
      </c>
      <c r="F86" s="1097">
        <v>-1.9250400000000001</v>
      </c>
      <c r="G86" s="1090">
        <f t="shared" si="22"/>
        <v>1.9250400000000001</v>
      </c>
    </row>
    <row r="87" spans="1:7" x14ac:dyDescent="0.3">
      <c r="A87" s="1102" t="s">
        <v>744</v>
      </c>
      <c r="B87" s="1096">
        <v>0</v>
      </c>
      <c r="C87" s="1097">
        <v>24.152638000000003</v>
      </c>
      <c r="D87" s="1090">
        <f t="shared" si="21"/>
        <v>-24.152638000000003</v>
      </c>
      <c r="E87" s="1096">
        <v>0</v>
      </c>
      <c r="F87" s="1097">
        <v>-1.9250400000000001</v>
      </c>
      <c r="G87" s="1090">
        <f t="shared" si="22"/>
        <v>1.9250400000000001</v>
      </c>
    </row>
    <row r="88" spans="1:7" x14ac:dyDescent="0.3">
      <c r="A88" s="1102" t="s">
        <v>745</v>
      </c>
      <c r="B88" s="1096">
        <v>0</v>
      </c>
      <c r="C88" s="1097">
        <v>-3.7148732735658996E-4</v>
      </c>
      <c r="D88" s="1090">
        <f t="shared" si="21"/>
        <v>3.7148732735658996E-4</v>
      </c>
      <c r="E88" s="1096">
        <v>0</v>
      </c>
      <c r="F88" s="1097">
        <v>0</v>
      </c>
      <c r="G88" s="1090">
        <f t="shared" si="22"/>
        <v>0</v>
      </c>
    </row>
    <row r="89" spans="1:7" x14ac:dyDescent="0.3">
      <c r="A89" s="1098" t="s">
        <v>739</v>
      </c>
      <c r="B89" s="1096">
        <v>56619.645199261809</v>
      </c>
      <c r="C89" s="1097">
        <v>97.771223296116418</v>
      </c>
      <c r="D89" s="1090">
        <f t="shared" si="21"/>
        <v>56521.873975965696</v>
      </c>
      <c r="E89" s="1096">
        <v>5382.8102620834998</v>
      </c>
      <c r="F89" s="1097">
        <v>13305.118491442254</v>
      </c>
      <c r="G89" s="1090">
        <f t="shared" si="22"/>
        <v>-7922.308229358754</v>
      </c>
    </row>
    <row r="90" spans="1:7" x14ac:dyDescent="0.3">
      <c r="A90" s="1098" t="s">
        <v>720</v>
      </c>
      <c r="B90" s="1096">
        <v>0</v>
      </c>
      <c r="C90" s="1097">
        <v>-25.119372564072496</v>
      </c>
      <c r="D90" s="1090">
        <f t="shared" si="21"/>
        <v>25.119372564072496</v>
      </c>
      <c r="E90" s="1096">
        <v>0</v>
      </c>
      <c r="F90" s="1097">
        <v>28.540683499999542</v>
      </c>
      <c r="G90" s="1090">
        <f t="shared" si="22"/>
        <v>-28.540683499999542</v>
      </c>
    </row>
    <row r="91" spans="1:7" x14ac:dyDescent="0.3">
      <c r="A91" s="1102" t="s">
        <v>744</v>
      </c>
      <c r="B91" s="1096">
        <v>0</v>
      </c>
      <c r="C91" s="1097">
        <v>17.817314944372907</v>
      </c>
      <c r="D91" s="1090">
        <f t="shared" si="21"/>
        <v>-17.817314944372907</v>
      </c>
      <c r="E91" s="1096">
        <v>0</v>
      </c>
      <c r="F91" s="1097">
        <v>3.9411440000000013</v>
      </c>
      <c r="G91" s="1090">
        <f t="shared" si="22"/>
        <v>-3.9411440000000013</v>
      </c>
    </row>
    <row r="92" spans="1:7" x14ac:dyDescent="0.3">
      <c r="A92" s="1102" t="s">
        <v>745</v>
      </c>
      <c r="B92" s="1096">
        <v>0</v>
      </c>
      <c r="C92" s="1101">
        <v>-42.936687508445402</v>
      </c>
      <c r="D92" s="1090">
        <f t="shared" si="21"/>
        <v>42.936687508445402</v>
      </c>
      <c r="E92" s="1096">
        <v>0</v>
      </c>
      <c r="F92" s="1101">
        <v>24.59953949999954</v>
      </c>
      <c r="G92" s="1090">
        <f t="shared" si="22"/>
        <v>-24.59953949999954</v>
      </c>
    </row>
    <row r="93" spans="1:7" x14ac:dyDescent="0.3">
      <c r="A93" s="1098" t="s">
        <v>741</v>
      </c>
      <c r="B93" s="1096">
        <v>3993.9086966750715</v>
      </c>
      <c r="C93" s="1097">
        <v>6526.2854788898085</v>
      </c>
      <c r="D93" s="1090">
        <f t="shared" si="21"/>
        <v>-2532.376782214737</v>
      </c>
      <c r="E93" s="1096">
        <v>9265.3699700916823</v>
      </c>
      <c r="F93" s="1097">
        <v>9806.5274020939323</v>
      </c>
      <c r="G93" s="1090">
        <f t="shared" si="22"/>
        <v>-541.15743200225006</v>
      </c>
    </row>
    <row r="94" spans="1:7" s="1058" customFormat="1" x14ac:dyDescent="0.3">
      <c r="A94" s="1099" t="s">
        <v>715</v>
      </c>
      <c r="B94" s="1100">
        <v>3989.2845260470713</v>
      </c>
      <c r="C94" s="1101">
        <v>6508.9487396498089</v>
      </c>
      <c r="D94" s="1094">
        <f t="shared" si="21"/>
        <v>-2519.6642136027376</v>
      </c>
      <c r="E94" s="1100">
        <v>9252.3052794716823</v>
      </c>
      <c r="F94" s="1101">
        <v>9774.4636693739321</v>
      </c>
      <c r="G94" s="1094">
        <f t="shared" si="22"/>
        <v>-522.15838990224984</v>
      </c>
    </row>
    <row r="95" spans="1:7" x14ac:dyDescent="0.3">
      <c r="A95" s="1083" t="s">
        <v>746</v>
      </c>
      <c r="B95" s="1084">
        <f>B96+B97+B98+B99</f>
        <v>-49.730275187990856</v>
      </c>
      <c r="C95" s="1095">
        <f>C96+C97+C98+C99</f>
        <v>-1123.5070578383998</v>
      </c>
      <c r="D95" s="1086">
        <f t="shared" si="21"/>
        <v>1073.7767826504089</v>
      </c>
      <c r="E95" s="1084">
        <f>E96+E97+E98+E99</f>
        <v>1542.9748072843977</v>
      </c>
      <c r="F95" s="1095">
        <f>F96+F97+F98+F99</f>
        <v>698.75822713793468</v>
      </c>
      <c r="G95" s="1086">
        <f t="shared" si="22"/>
        <v>844.216580146463</v>
      </c>
    </row>
    <row r="96" spans="1:7" ht="16.5" hidden="1" customHeight="1" x14ac:dyDescent="0.3">
      <c r="A96" s="1087" t="s">
        <v>738</v>
      </c>
      <c r="B96" s="1096">
        <v>0</v>
      </c>
      <c r="C96" s="1097">
        <v>0</v>
      </c>
      <c r="D96" s="1090">
        <f t="shared" si="21"/>
        <v>0</v>
      </c>
      <c r="E96" s="1096">
        <v>0</v>
      </c>
      <c r="F96" s="1097">
        <v>0</v>
      </c>
      <c r="G96" s="1090">
        <f t="shared" si="22"/>
        <v>0</v>
      </c>
    </row>
    <row r="97" spans="1:7" x14ac:dyDescent="0.3">
      <c r="A97" s="1087" t="s">
        <v>747</v>
      </c>
      <c r="B97" s="1096">
        <v>-439.30175999956043</v>
      </c>
      <c r="C97" s="1097">
        <v>-1236.4030169005498</v>
      </c>
      <c r="D97" s="1090">
        <f t="shared" si="21"/>
        <v>797.10125690098937</v>
      </c>
      <c r="E97" s="1096">
        <v>764.90131193089303</v>
      </c>
      <c r="F97" s="1097">
        <v>464.10938073848058</v>
      </c>
      <c r="G97" s="1090">
        <f t="shared" si="22"/>
        <v>300.79193119241245</v>
      </c>
    </row>
    <row r="98" spans="1:7" ht="16.5" hidden="1" customHeight="1" x14ac:dyDescent="0.3">
      <c r="A98" s="1087" t="s">
        <v>740</v>
      </c>
      <c r="B98" s="1096">
        <v>0</v>
      </c>
      <c r="C98" s="1097">
        <v>0</v>
      </c>
      <c r="D98" s="1090">
        <f t="shared" si="21"/>
        <v>0</v>
      </c>
      <c r="E98" s="1096">
        <v>0</v>
      </c>
      <c r="F98" s="1097">
        <v>0</v>
      </c>
      <c r="G98" s="1090">
        <f t="shared" si="22"/>
        <v>0</v>
      </c>
    </row>
    <row r="99" spans="1:7" x14ac:dyDescent="0.3">
      <c r="A99" s="1087" t="s">
        <v>748</v>
      </c>
      <c r="B99" s="1096">
        <v>389.57148481156958</v>
      </c>
      <c r="C99" s="1097">
        <v>112.89595906215007</v>
      </c>
      <c r="D99" s="1090">
        <f t="shared" si="21"/>
        <v>276.67552574941953</v>
      </c>
      <c r="E99" s="1096">
        <v>778.07349535350465</v>
      </c>
      <c r="F99" s="1097">
        <v>234.64884639945413</v>
      </c>
      <c r="G99" s="1090">
        <f t="shared" si="22"/>
        <v>543.42464895405055</v>
      </c>
    </row>
    <row r="100" spans="1:7" s="1058" customFormat="1" x14ac:dyDescent="0.3">
      <c r="A100" s="1091" t="s">
        <v>715</v>
      </c>
      <c r="B100" s="1100">
        <v>389.57148481156958</v>
      </c>
      <c r="C100" s="1101">
        <v>112.89595906215007</v>
      </c>
      <c r="D100" s="1094">
        <f t="shared" si="21"/>
        <v>276.67552574941953</v>
      </c>
      <c r="E100" s="1100">
        <v>778.07349535350465</v>
      </c>
      <c r="F100" s="1101">
        <v>234.64884639945413</v>
      </c>
      <c r="G100" s="1094">
        <f t="shared" si="22"/>
        <v>543.42464895405055</v>
      </c>
    </row>
    <row r="101" spans="1:7" x14ac:dyDescent="0.3">
      <c r="A101" s="1083" t="s">
        <v>749</v>
      </c>
      <c r="B101" s="1084">
        <f>B102+B103+B114+B133+B137+B148</f>
        <v>-30657.423147926405</v>
      </c>
      <c r="C101" s="1095">
        <f>C102+C103+C114+C133+C137+C148</f>
        <v>50614.302870626758</v>
      </c>
      <c r="D101" s="1086">
        <f t="shared" si="21"/>
        <v>-81271.726018553163</v>
      </c>
      <c r="E101" s="1084">
        <f>E102+E103+E114+E133+E137+E148</f>
        <v>22064.700507177178</v>
      </c>
      <c r="F101" s="1095">
        <f>F102+F103+F114+F133+F137+F148</f>
        <v>41403.782136049187</v>
      </c>
      <c r="G101" s="1086">
        <f t="shared" si="22"/>
        <v>-19339.081628872009</v>
      </c>
    </row>
    <row r="102" spans="1:7" ht="20.25" hidden="1" customHeight="1" x14ac:dyDescent="0.3">
      <c r="A102" s="1087" t="s">
        <v>750</v>
      </c>
      <c r="B102" s="1096">
        <v>0</v>
      </c>
      <c r="C102" s="1097">
        <v>0</v>
      </c>
      <c r="D102" s="1090">
        <f t="shared" si="21"/>
        <v>0</v>
      </c>
      <c r="E102" s="1096">
        <v>0</v>
      </c>
      <c r="F102" s="1097">
        <v>0</v>
      </c>
      <c r="G102" s="1090">
        <f t="shared" si="22"/>
        <v>0</v>
      </c>
    </row>
    <row r="103" spans="1:7" x14ac:dyDescent="0.3">
      <c r="A103" s="1087" t="s">
        <v>751</v>
      </c>
      <c r="B103" s="1096">
        <f>B104+B107+B108+B109</f>
        <v>-45204.972440988247</v>
      </c>
      <c r="C103" s="1097">
        <f>C104+C107+C108+C109</f>
        <v>-13123.118832694747</v>
      </c>
      <c r="D103" s="1090">
        <f t="shared" si="21"/>
        <v>-32081.853608293502</v>
      </c>
      <c r="E103" s="1096">
        <f>E104+E107+E108+E109</f>
        <v>31574.964241307349</v>
      </c>
      <c r="F103" s="1097">
        <f>F104+F107+F108+F109</f>
        <v>6801.3265173132258</v>
      </c>
      <c r="G103" s="1090">
        <f t="shared" si="22"/>
        <v>24773.637723994121</v>
      </c>
    </row>
    <row r="104" spans="1:7" x14ac:dyDescent="0.3">
      <c r="A104" s="1098" t="s">
        <v>743</v>
      </c>
      <c r="B104" s="1096">
        <v>0</v>
      </c>
      <c r="C104" s="1097">
        <v>0</v>
      </c>
      <c r="D104" s="1090">
        <f t="shared" si="21"/>
        <v>0</v>
      </c>
      <c r="E104" s="1096">
        <v>0</v>
      </c>
      <c r="F104" s="1097">
        <v>513.71144235137467</v>
      </c>
      <c r="G104" s="1090">
        <f t="shared" si="22"/>
        <v>-513.71144235137467</v>
      </c>
    </row>
    <row r="105" spans="1:7" ht="16.5" customHeight="1" x14ac:dyDescent="0.3">
      <c r="A105" s="1102" t="s">
        <v>744</v>
      </c>
      <c r="B105" s="1096">
        <v>0</v>
      </c>
      <c r="C105" s="1097">
        <v>0</v>
      </c>
      <c r="D105" s="1090">
        <f t="shared" si="21"/>
        <v>0</v>
      </c>
      <c r="E105" s="1096">
        <v>0</v>
      </c>
      <c r="F105" s="1097">
        <v>513.71144235137467</v>
      </c>
      <c r="G105" s="1090">
        <f t="shared" si="22"/>
        <v>-513.71144235137467</v>
      </c>
    </row>
    <row r="106" spans="1:7" ht="16.5" hidden="1" customHeight="1" x14ac:dyDescent="0.3">
      <c r="A106" s="1102" t="s">
        <v>745</v>
      </c>
      <c r="B106" s="1096">
        <v>0</v>
      </c>
      <c r="C106" s="1097">
        <v>0</v>
      </c>
      <c r="D106" s="1090">
        <f t="shared" si="21"/>
        <v>0</v>
      </c>
      <c r="E106" s="1096">
        <v>0</v>
      </c>
      <c r="F106" s="1097">
        <v>0</v>
      </c>
      <c r="G106" s="1090">
        <f t="shared" si="22"/>
        <v>0</v>
      </c>
    </row>
    <row r="107" spans="1:7" x14ac:dyDescent="0.3">
      <c r="A107" s="1098" t="s">
        <v>739</v>
      </c>
      <c r="B107" s="1096">
        <v>-46286.167804695666</v>
      </c>
      <c r="C107" s="1097">
        <v>-13123.118832694747</v>
      </c>
      <c r="D107" s="1090">
        <f t="shared" si="21"/>
        <v>-33163.048972000921</v>
      </c>
      <c r="E107" s="1096">
        <v>29831.13598887948</v>
      </c>
      <c r="F107" s="1097">
        <v>6287.615074961851</v>
      </c>
      <c r="G107" s="1090">
        <f t="shared" si="22"/>
        <v>23543.52091391763</v>
      </c>
    </row>
    <row r="108" spans="1:7" ht="16.5" hidden="1" customHeight="1" x14ac:dyDescent="0.3">
      <c r="A108" s="1098" t="s">
        <v>720</v>
      </c>
      <c r="B108" s="1096">
        <v>0</v>
      </c>
      <c r="C108" s="1097">
        <v>0</v>
      </c>
      <c r="D108" s="1090">
        <f t="shared" si="21"/>
        <v>0</v>
      </c>
      <c r="E108" s="1096">
        <v>0</v>
      </c>
      <c r="F108" s="1097">
        <v>0</v>
      </c>
      <c r="G108" s="1090">
        <f t="shared" si="22"/>
        <v>0</v>
      </c>
    </row>
    <row r="109" spans="1:7" ht="15" customHeight="1" x14ac:dyDescent="0.3">
      <c r="A109" s="1098" t="s">
        <v>741</v>
      </c>
      <c r="B109" s="1096">
        <v>1081.1953637074212</v>
      </c>
      <c r="C109" s="1097">
        <v>0</v>
      </c>
      <c r="D109" s="1090">
        <f t="shared" si="21"/>
        <v>1081.1953637074212</v>
      </c>
      <c r="E109" s="1096">
        <v>1743.8282524278707</v>
      </c>
      <c r="F109" s="1097">
        <v>0</v>
      </c>
      <c r="G109" s="1090">
        <f t="shared" si="22"/>
        <v>1743.8282524278707</v>
      </c>
    </row>
    <row r="110" spans="1:7" x14ac:dyDescent="0.3">
      <c r="A110" s="1102" t="s">
        <v>752</v>
      </c>
      <c r="B110" s="1096">
        <v>1081.1953637074212</v>
      </c>
      <c r="C110" s="1097">
        <v>0</v>
      </c>
      <c r="D110" s="1090">
        <f t="shared" si="21"/>
        <v>1081.1953637074212</v>
      </c>
      <c r="E110" s="1096">
        <v>1743.8282524278707</v>
      </c>
      <c r="F110" s="1097">
        <v>0</v>
      </c>
      <c r="G110" s="1090">
        <f t="shared" si="22"/>
        <v>1743.8282524278707</v>
      </c>
    </row>
    <row r="111" spans="1:7" x14ac:dyDescent="0.3">
      <c r="A111" s="1103" t="s">
        <v>744</v>
      </c>
      <c r="B111" s="1096">
        <v>1081.1953637074212</v>
      </c>
      <c r="C111" s="1097">
        <v>0</v>
      </c>
      <c r="D111" s="1090">
        <f t="shared" si="21"/>
        <v>1081.1953637074212</v>
      </c>
      <c r="E111" s="1096">
        <v>1743.8282524278707</v>
      </c>
      <c r="F111" s="1097">
        <v>0</v>
      </c>
      <c r="G111" s="1090">
        <f t="shared" si="22"/>
        <v>1743.8282524278707</v>
      </c>
    </row>
    <row r="112" spans="1:7" s="1058" customFormat="1" ht="14.25" customHeight="1" x14ac:dyDescent="0.3">
      <c r="A112" s="1104" t="s">
        <v>715</v>
      </c>
      <c r="B112" s="1100">
        <v>1081.1953637074212</v>
      </c>
      <c r="C112" s="1101">
        <v>0</v>
      </c>
      <c r="D112" s="1094">
        <f t="shared" si="21"/>
        <v>1081.1953637074212</v>
      </c>
      <c r="E112" s="1100">
        <v>1743.8282524278707</v>
      </c>
      <c r="F112" s="1101">
        <v>0</v>
      </c>
      <c r="G112" s="1094">
        <f t="shared" si="22"/>
        <v>1743.8282524278707</v>
      </c>
    </row>
    <row r="113" spans="1:7" ht="16.5" hidden="1" customHeight="1" x14ac:dyDescent="0.3">
      <c r="A113" s="1105" t="s">
        <v>745</v>
      </c>
      <c r="B113" s="1096">
        <v>0</v>
      </c>
      <c r="C113" s="1097">
        <v>0</v>
      </c>
      <c r="D113" s="1090">
        <f t="shared" si="21"/>
        <v>0</v>
      </c>
      <c r="E113" s="1096">
        <v>0</v>
      </c>
      <c r="F113" s="1097">
        <v>0</v>
      </c>
      <c r="G113" s="1090">
        <f t="shared" si="22"/>
        <v>0</v>
      </c>
    </row>
    <row r="114" spans="1:7" x14ac:dyDescent="0.3">
      <c r="A114" s="1087" t="s">
        <v>753</v>
      </c>
      <c r="B114" s="1096">
        <f>B115+B116+B119+B123</f>
        <v>15062.767358374731</v>
      </c>
      <c r="C114" s="1097">
        <f>C115+C116+C119+C123</f>
        <v>50389.781570491148</v>
      </c>
      <c r="D114" s="1090">
        <f t="shared" si="21"/>
        <v>-35327.014212116417</v>
      </c>
      <c r="E114" s="1096">
        <f>E115+E116+E119+E123</f>
        <v>-11117.083819587693</v>
      </c>
      <c r="F114" s="1097">
        <f>F115+F116+F119+F123</f>
        <v>29246.379161204975</v>
      </c>
      <c r="G114" s="1090">
        <f t="shared" si="22"/>
        <v>-40363.462980792669</v>
      </c>
    </row>
    <row r="115" spans="1:7" ht="14.25" customHeight="1" x14ac:dyDescent="0.3">
      <c r="A115" s="1098" t="s">
        <v>743</v>
      </c>
      <c r="B115" s="1096">
        <v>0</v>
      </c>
      <c r="C115" s="1097">
        <v>11769.544637948211</v>
      </c>
      <c r="D115" s="1090">
        <f t="shared" si="21"/>
        <v>-11769.544637948211</v>
      </c>
      <c r="E115" s="1096">
        <v>0</v>
      </c>
      <c r="F115" s="1097">
        <v>9202.2260188613018</v>
      </c>
      <c r="G115" s="1090">
        <f t="shared" si="22"/>
        <v>-9202.2260188613018</v>
      </c>
    </row>
    <row r="116" spans="1:7" ht="14.25" customHeight="1" x14ac:dyDescent="0.3">
      <c r="A116" s="1098" t="s">
        <v>739</v>
      </c>
      <c r="B116" s="1096">
        <v>12030.959096988363</v>
      </c>
      <c r="C116" s="1097">
        <v>32255.321838796761</v>
      </c>
      <c r="D116" s="1090">
        <f t="shared" si="21"/>
        <v>-20224.3627418084</v>
      </c>
      <c r="E116" s="1096">
        <v>-16305.956223062774</v>
      </c>
      <c r="F116" s="1097">
        <v>8450.7812679371182</v>
      </c>
      <c r="G116" s="1090">
        <f t="shared" si="22"/>
        <v>-24756.737490999891</v>
      </c>
    </row>
    <row r="117" spans="1:7" ht="16.5" hidden="1" customHeight="1" x14ac:dyDescent="0.3">
      <c r="A117" s="1102" t="s">
        <v>744</v>
      </c>
      <c r="B117" s="1096">
        <v>0</v>
      </c>
      <c r="C117" s="1097">
        <v>0</v>
      </c>
      <c r="D117" s="1090">
        <f t="shared" si="21"/>
        <v>0</v>
      </c>
      <c r="E117" s="1096">
        <v>0</v>
      </c>
      <c r="F117" s="1097">
        <v>0</v>
      </c>
      <c r="G117" s="1090">
        <f t="shared" si="22"/>
        <v>0</v>
      </c>
    </row>
    <row r="118" spans="1:7" ht="15" customHeight="1" x14ac:dyDescent="0.3">
      <c r="A118" s="1102" t="s">
        <v>745</v>
      </c>
      <c r="B118" s="1096">
        <v>12030.959096988363</v>
      </c>
      <c r="C118" s="1097">
        <v>32255.321838796761</v>
      </c>
      <c r="D118" s="1090">
        <f t="shared" si="21"/>
        <v>-20224.3627418084</v>
      </c>
      <c r="E118" s="1096">
        <v>-16305.956223062774</v>
      </c>
      <c r="F118" s="1097">
        <v>8450.7812679371182</v>
      </c>
      <c r="G118" s="1090">
        <f t="shared" si="22"/>
        <v>-24756.737490999891</v>
      </c>
    </row>
    <row r="119" spans="1:7" ht="14.25" customHeight="1" x14ac:dyDescent="0.3">
      <c r="A119" s="1098" t="s">
        <v>720</v>
      </c>
      <c r="B119" s="1096">
        <v>0</v>
      </c>
      <c r="C119" s="1097">
        <v>56</v>
      </c>
      <c r="D119" s="1090">
        <f t="shared" si="21"/>
        <v>-56</v>
      </c>
      <c r="E119" s="1096">
        <v>0</v>
      </c>
      <c r="F119" s="1097">
        <v>-494</v>
      </c>
      <c r="G119" s="1090">
        <f t="shared" si="22"/>
        <v>494</v>
      </c>
    </row>
    <row r="120" spans="1:7" ht="16.5" hidden="1" customHeight="1" x14ac:dyDescent="0.3">
      <c r="A120" s="1102" t="s">
        <v>754</v>
      </c>
      <c r="B120" s="1096">
        <v>0</v>
      </c>
      <c r="C120" s="1097">
        <v>0</v>
      </c>
      <c r="D120" s="1090">
        <f t="shared" si="21"/>
        <v>0</v>
      </c>
      <c r="E120" s="1096">
        <v>0</v>
      </c>
      <c r="F120" s="1097">
        <v>0</v>
      </c>
      <c r="G120" s="1090">
        <f t="shared" si="22"/>
        <v>0</v>
      </c>
    </row>
    <row r="121" spans="1:7" ht="16.5" hidden="1" customHeight="1" x14ac:dyDescent="0.3">
      <c r="A121" s="1102" t="s">
        <v>755</v>
      </c>
      <c r="B121" s="1096">
        <v>0</v>
      </c>
      <c r="C121" s="1097">
        <v>0</v>
      </c>
      <c r="D121" s="1090">
        <f t="shared" si="21"/>
        <v>0</v>
      </c>
      <c r="E121" s="1096">
        <v>0</v>
      </c>
      <c r="F121" s="1097">
        <v>0</v>
      </c>
      <c r="G121" s="1090">
        <f t="shared" si="22"/>
        <v>0</v>
      </c>
    </row>
    <row r="122" spans="1:7" x14ac:dyDescent="0.3">
      <c r="A122" s="1102" t="s">
        <v>756</v>
      </c>
      <c r="B122" s="1096">
        <v>0</v>
      </c>
      <c r="C122" s="1097">
        <v>56</v>
      </c>
      <c r="D122" s="1090">
        <f t="shared" si="21"/>
        <v>-56</v>
      </c>
      <c r="E122" s="1096">
        <v>0</v>
      </c>
      <c r="F122" s="1097">
        <v>-494</v>
      </c>
      <c r="G122" s="1090">
        <f t="shared" si="22"/>
        <v>494</v>
      </c>
    </row>
    <row r="123" spans="1:7" x14ac:dyDescent="0.3">
      <c r="A123" s="1098" t="s">
        <v>741</v>
      </c>
      <c r="B123" s="1096">
        <f t="shared" ref="B123:C123" si="23">B124+B125</f>
        <v>3031.808261386368</v>
      </c>
      <c r="C123" s="1097">
        <f t="shared" si="23"/>
        <v>6308.9150937461718</v>
      </c>
      <c r="D123" s="1090">
        <f t="shared" si="21"/>
        <v>-3277.1068323598038</v>
      </c>
      <c r="E123" s="1096">
        <f t="shared" ref="E123:F123" si="24">E124+E125</f>
        <v>5188.8724034750812</v>
      </c>
      <c r="F123" s="1097">
        <f t="shared" si="24"/>
        <v>12087.371874406555</v>
      </c>
      <c r="G123" s="1090">
        <f t="shared" si="22"/>
        <v>-6898.4994709314742</v>
      </c>
    </row>
    <row r="124" spans="1:7" ht="16.5" hidden="1" customHeight="1" x14ac:dyDescent="0.3">
      <c r="A124" s="1102" t="s">
        <v>744</v>
      </c>
      <c r="B124" s="1096">
        <v>0</v>
      </c>
      <c r="C124" s="1097">
        <v>0</v>
      </c>
      <c r="D124" s="1090">
        <f t="shared" si="21"/>
        <v>0</v>
      </c>
      <c r="E124" s="1096">
        <v>0</v>
      </c>
      <c r="F124" s="1097">
        <v>0</v>
      </c>
      <c r="G124" s="1090">
        <f t="shared" si="22"/>
        <v>0</v>
      </c>
    </row>
    <row r="125" spans="1:7" x14ac:dyDescent="0.3">
      <c r="A125" s="1102" t="s">
        <v>745</v>
      </c>
      <c r="B125" s="1096">
        <v>3031.808261386368</v>
      </c>
      <c r="C125" s="1097">
        <v>6308.9150937461718</v>
      </c>
      <c r="D125" s="1090">
        <f t="shared" si="21"/>
        <v>-3277.1068323598038</v>
      </c>
      <c r="E125" s="1096">
        <v>5188.8724034750812</v>
      </c>
      <c r="F125" s="1097">
        <v>12087.371874406555</v>
      </c>
      <c r="G125" s="1090">
        <f t="shared" si="22"/>
        <v>-6898.4994709314742</v>
      </c>
    </row>
    <row r="126" spans="1:7" x14ac:dyDescent="0.3">
      <c r="A126" s="1102" t="s">
        <v>752</v>
      </c>
      <c r="B126" s="1096">
        <v>3031.808261386368</v>
      </c>
      <c r="C126" s="1097">
        <v>4754.9546893193765</v>
      </c>
      <c r="D126" s="1090">
        <f t="shared" si="21"/>
        <v>-1723.1464279330085</v>
      </c>
      <c r="E126" s="1096">
        <v>5188.8724034750812</v>
      </c>
      <c r="F126" s="1097">
        <v>12448.936088931427</v>
      </c>
      <c r="G126" s="1090">
        <f t="shared" si="22"/>
        <v>-7260.0636854563454</v>
      </c>
    </row>
    <row r="127" spans="1:7" ht="16.5" hidden="1" customHeight="1" x14ac:dyDescent="0.3">
      <c r="A127" s="1103" t="s">
        <v>744</v>
      </c>
      <c r="B127" s="1096">
        <v>0</v>
      </c>
      <c r="C127" s="1097">
        <v>0</v>
      </c>
      <c r="D127" s="1090">
        <f t="shared" si="21"/>
        <v>0</v>
      </c>
      <c r="E127" s="1096">
        <v>0</v>
      </c>
      <c r="F127" s="1097">
        <v>0</v>
      </c>
      <c r="G127" s="1090">
        <f t="shared" si="22"/>
        <v>0</v>
      </c>
    </row>
    <row r="128" spans="1:7" x14ac:dyDescent="0.3">
      <c r="A128" s="1103" t="s">
        <v>745</v>
      </c>
      <c r="B128" s="1096">
        <v>3031.808261386368</v>
      </c>
      <c r="C128" s="1097">
        <v>4754.9546893193765</v>
      </c>
      <c r="D128" s="1090">
        <f t="shared" si="21"/>
        <v>-1723.1464279330085</v>
      </c>
      <c r="E128" s="1096">
        <v>5188.8724034750812</v>
      </c>
      <c r="F128" s="1097">
        <v>12448.936088931427</v>
      </c>
      <c r="G128" s="1090">
        <f t="shared" si="22"/>
        <v>-7260.0636854563454</v>
      </c>
    </row>
    <row r="129" spans="1:7" s="1058" customFormat="1" ht="15" customHeight="1" x14ac:dyDescent="0.3">
      <c r="A129" s="1106" t="s">
        <v>715</v>
      </c>
      <c r="B129" s="1100">
        <v>3031.808261386368</v>
      </c>
      <c r="C129" s="1101">
        <v>4754.9546893193765</v>
      </c>
      <c r="D129" s="1094">
        <f t="shared" si="21"/>
        <v>-1723.1464279330085</v>
      </c>
      <c r="E129" s="1100">
        <v>5188.8724034750812</v>
      </c>
      <c r="F129" s="1101">
        <v>12448.936088931427</v>
      </c>
      <c r="G129" s="1094">
        <f t="shared" si="22"/>
        <v>-7260.0636854563454</v>
      </c>
    </row>
    <row r="130" spans="1:7" s="1058" customFormat="1" ht="15.75" customHeight="1" x14ac:dyDescent="0.3">
      <c r="A130" s="1102" t="s">
        <v>757</v>
      </c>
      <c r="B130" s="1096">
        <v>0</v>
      </c>
      <c r="C130" s="1097">
        <v>1553.9604044267953</v>
      </c>
      <c r="D130" s="1090">
        <f t="shared" si="21"/>
        <v>-1553.9604044267953</v>
      </c>
      <c r="E130" s="1096">
        <v>0</v>
      </c>
      <c r="F130" s="1097">
        <v>-361.5642145248712</v>
      </c>
      <c r="G130" s="1090">
        <f t="shared" si="22"/>
        <v>361.5642145248712</v>
      </c>
    </row>
    <row r="131" spans="1:7" s="1107" customFormat="1" ht="15.75" hidden="1" customHeight="1" x14ac:dyDescent="0.3">
      <c r="A131" s="1103" t="s">
        <v>744</v>
      </c>
      <c r="B131" s="1096">
        <v>0</v>
      </c>
      <c r="C131" s="1097">
        <v>0</v>
      </c>
      <c r="D131" s="1090">
        <f t="shared" si="21"/>
        <v>0</v>
      </c>
      <c r="E131" s="1096">
        <v>0</v>
      </c>
      <c r="F131" s="1097">
        <v>0</v>
      </c>
      <c r="G131" s="1090">
        <f t="shared" si="22"/>
        <v>0</v>
      </c>
    </row>
    <row r="132" spans="1:7" s="1107" customFormat="1" ht="15.75" customHeight="1" x14ac:dyDescent="0.3">
      <c r="A132" s="1103" t="s">
        <v>745</v>
      </c>
      <c r="B132" s="1096">
        <v>0</v>
      </c>
      <c r="C132" s="1097">
        <v>1553.9604044267953</v>
      </c>
      <c r="D132" s="1090">
        <f t="shared" si="21"/>
        <v>-1553.9604044267953</v>
      </c>
      <c r="E132" s="1096">
        <v>0</v>
      </c>
      <c r="F132" s="1097">
        <v>-361.5642145248712</v>
      </c>
      <c r="G132" s="1090">
        <f t="shared" si="22"/>
        <v>361.5642145248712</v>
      </c>
    </row>
    <row r="133" spans="1:7" x14ac:dyDescent="0.3">
      <c r="A133" s="1087" t="s">
        <v>758</v>
      </c>
      <c r="B133" s="1096">
        <f>B134</f>
        <v>-242.60011583778319</v>
      </c>
      <c r="C133" s="1097">
        <f>C134</f>
        <v>7793.8605055436037</v>
      </c>
      <c r="D133" s="1090">
        <f t="shared" si="21"/>
        <v>-8036.4606213813868</v>
      </c>
      <c r="E133" s="1096">
        <f>E134</f>
        <v>-465.93047122746663</v>
      </c>
      <c r="F133" s="1097">
        <f>F134</f>
        <v>192.60905458378897</v>
      </c>
      <c r="G133" s="1090">
        <f t="shared" si="22"/>
        <v>-658.53952581125554</v>
      </c>
    </row>
    <row r="134" spans="1:7" ht="17.25" customHeight="1" x14ac:dyDescent="0.3">
      <c r="A134" s="1098" t="s">
        <v>741</v>
      </c>
      <c r="B134" s="1096">
        <f>B135+B136</f>
        <v>-242.60011583778319</v>
      </c>
      <c r="C134" s="1097">
        <f>C135+C136</f>
        <v>7793.8605055436037</v>
      </c>
      <c r="D134" s="1090">
        <f t="shared" si="21"/>
        <v>-8036.4606213813868</v>
      </c>
      <c r="E134" s="1096">
        <f>E135+E136</f>
        <v>-465.93047122746663</v>
      </c>
      <c r="F134" s="1097">
        <f>F135+F136</f>
        <v>192.60905458378897</v>
      </c>
      <c r="G134" s="1090">
        <f t="shared" si="22"/>
        <v>-658.53952581125554</v>
      </c>
    </row>
    <row r="135" spans="1:7" x14ac:dyDescent="0.3">
      <c r="A135" s="1102" t="s">
        <v>744</v>
      </c>
      <c r="B135" s="1096">
        <v>-242.60011583778319</v>
      </c>
      <c r="C135" s="1097">
        <v>7793.8605055436037</v>
      </c>
      <c r="D135" s="1090">
        <f t="shared" si="21"/>
        <v>-8036.4606213813868</v>
      </c>
      <c r="E135" s="1096">
        <v>-465.93047122746663</v>
      </c>
      <c r="F135" s="1097">
        <v>192.60905458378897</v>
      </c>
      <c r="G135" s="1090">
        <f t="shared" si="22"/>
        <v>-658.53952581125554</v>
      </c>
    </row>
    <row r="136" spans="1:7" ht="16.5" hidden="1" customHeight="1" x14ac:dyDescent="0.3">
      <c r="A136" s="1102" t="s">
        <v>745</v>
      </c>
      <c r="B136" s="1096">
        <v>0</v>
      </c>
      <c r="C136" s="1097">
        <v>0</v>
      </c>
      <c r="D136" s="1090">
        <f t="shared" si="21"/>
        <v>0</v>
      </c>
      <c r="E136" s="1096">
        <v>0</v>
      </c>
      <c r="F136" s="1097">
        <v>0</v>
      </c>
      <c r="G136" s="1090">
        <f t="shared" si="22"/>
        <v>0</v>
      </c>
    </row>
    <row r="137" spans="1:7" x14ac:dyDescent="0.3">
      <c r="A137" s="1087" t="s">
        <v>759</v>
      </c>
      <c r="B137" s="1096">
        <f>B138+B141</f>
        <v>-272.61794947510407</v>
      </c>
      <c r="C137" s="1097">
        <f>C138+C141</f>
        <v>5553.7796272867508</v>
      </c>
      <c r="D137" s="1090">
        <f t="shared" ref="D137:D155" si="25">B137-C137</f>
        <v>-5826.3975767618549</v>
      </c>
      <c r="E137" s="1096">
        <f>E138+E141</f>
        <v>2072.7505566849895</v>
      </c>
      <c r="F137" s="1097">
        <f>F138+F141</f>
        <v>5163.4674029471989</v>
      </c>
      <c r="G137" s="1090">
        <f t="shared" ref="G137:G155" si="26">E137-F137</f>
        <v>-3090.7168462622094</v>
      </c>
    </row>
    <row r="138" spans="1:7" x14ac:dyDescent="0.3">
      <c r="A138" s="1098" t="s">
        <v>739</v>
      </c>
      <c r="B138" s="1096">
        <f>B139+B140</f>
        <v>-1757.5558051883181</v>
      </c>
      <c r="C138" s="1097">
        <f>C139+C140</f>
        <v>2567.769306584376</v>
      </c>
      <c r="D138" s="1090">
        <f t="shared" si="25"/>
        <v>-4325.3251117726941</v>
      </c>
      <c r="E138" s="1096">
        <f>E139+E140</f>
        <v>-516.61992719726697</v>
      </c>
      <c r="F138" s="1097">
        <f>F139+F140</f>
        <v>496.23204462585261</v>
      </c>
      <c r="G138" s="1090">
        <f t="shared" si="26"/>
        <v>-1012.8519718231196</v>
      </c>
    </row>
    <row r="139" spans="1:7" x14ac:dyDescent="0.3">
      <c r="A139" s="1102" t="s">
        <v>744</v>
      </c>
      <c r="B139" s="1096">
        <v>-1757.5558051883181</v>
      </c>
      <c r="C139" s="1097">
        <v>2567.769306584376</v>
      </c>
      <c r="D139" s="1090">
        <f t="shared" si="25"/>
        <v>-4325.3251117726941</v>
      </c>
      <c r="E139" s="1096">
        <v>-516.61992719726697</v>
      </c>
      <c r="F139" s="1097">
        <v>496.23204462585261</v>
      </c>
      <c r="G139" s="1090">
        <f t="shared" si="26"/>
        <v>-1012.8519718231196</v>
      </c>
    </row>
    <row r="140" spans="1:7" ht="16.5" hidden="1" customHeight="1" x14ac:dyDescent="0.3">
      <c r="A140" s="1102" t="s">
        <v>745</v>
      </c>
      <c r="B140" s="1096">
        <v>0</v>
      </c>
      <c r="C140" s="1097">
        <v>0</v>
      </c>
      <c r="D140" s="1090">
        <f t="shared" si="25"/>
        <v>0</v>
      </c>
      <c r="E140" s="1096">
        <v>0</v>
      </c>
      <c r="F140" s="1097">
        <v>0</v>
      </c>
      <c r="G140" s="1090">
        <f t="shared" si="26"/>
        <v>0</v>
      </c>
    </row>
    <row r="141" spans="1:7" x14ac:dyDescent="0.3">
      <c r="A141" s="1098" t="s">
        <v>741</v>
      </c>
      <c r="B141" s="1096">
        <f>B142+B143</f>
        <v>1484.937855713214</v>
      </c>
      <c r="C141" s="1097">
        <f>C142+C143</f>
        <v>2986.0103207023749</v>
      </c>
      <c r="D141" s="1090">
        <f t="shared" si="25"/>
        <v>-1501.0724649891608</v>
      </c>
      <c r="E141" s="1096">
        <f>E142+E143</f>
        <v>2589.3704838822564</v>
      </c>
      <c r="F141" s="1097">
        <f>F142+F143</f>
        <v>4667.2353583213462</v>
      </c>
      <c r="G141" s="1090">
        <f t="shared" si="26"/>
        <v>-2077.8648744390898</v>
      </c>
    </row>
    <row r="142" spans="1:7" ht="16.5" hidden="1" customHeight="1" x14ac:dyDescent="0.3">
      <c r="A142" s="1102" t="s">
        <v>744</v>
      </c>
      <c r="B142" s="1096">
        <v>0</v>
      </c>
      <c r="C142" s="1097">
        <v>0</v>
      </c>
      <c r="D142" s="1090">
        <f t="shared" si="25"/>
        <v>0</v>
      </c>
      <c r="E142" s="1096">
        <v>0</v>
      </c>
      <c r="F142" s="1097">
        <v>0</v>
      </c>
      <c r="G142" s="1090">
        <f t="shared" si="26"/>
        <v>0</v>
      </c>
    </row>
    <row r="143" spans="1:7" ht="15.75" customHeight="1" x14ac:dyDescent="0.3">
      <c r="A143" s="1102" t="s">
        <v>745</v>
      </c>
      <c r="B143" s="1096">
        <v>1484.937855713214</v>
      </c>
      <c r="C143" s="1097">
        <v>2986.0103207023749</v>
      </c>
      <c r="D143" s="1090">
        <f t="shared" si="25"/>
        <v>-1501.0724649891608</v>
      </c>
      <c r="E143" s="1096">
        <v>2589.3704838822564</v>
      </c>
      <c r="F143" s="1097">
        <v>4667.2353583213462</v>
      </c>
      <c r="G143" s="1090">
        <f t="shared" si="26"/>
        <v>-2077.8648744390898</v>
      </c>
    </row>
    <row r="144" spans="1:7" x14ac:dyDescent="0.3">
      <c r="A144" s="1102" t="s">
        <v>752</v>
      </c>
      <c r="B144" s="1096">
        <f>B145+B146</f>
        <v>1484.937855713214</v>
      </c>
      <c r="C144" s="1097">
        <f>C145+C146</f>
        <v>2986.0103207023749</v>
      </c>
      <c r="D144" s="1090">
        <f t="shared" si="25"/>
        <v>-1501.0724649891608</v>
      </c>
      <c r="E144" s="1096">
        <f>E145+E146</f>
        <v>2589.3704838822564</v>
      </c>
      <c r="F144" s="1097">
        <f>F145+F146</f>
        <v>4667.2353583213462</v>
      </c>
      <c r="G144" s="1090">
        <f t="shared" si="26"/>
        <v>-2077.8648744390898</v>
      </c>
    </row>
    <row r="145" spans="1:7" ht="16.5" hidden="1" customHeight="1" x14ac:dyDescent="0.3">
      <c r="A145" s="1103" t="s">
        <v>744</v>
      </c>
      <c r="B145" s="1096">
        <v>0</v>
      </c>
      <c r="C145" s="1097">
        <v>0</v>
      </c>
      <c r="D145" s="1090">
        <f t="shared" si="25"/>
        <v>0</v>
      </c>
      <c r="E145" s="1096">
        <v>0</v>
      </c>
      <c r="F145" s="1097">
        <v>0</v>
      </c>
      <c r="G145" s="1090">
        <f t="shared" si="26"/>
        <v>0</v>
      </c>
    </row>
    <row r="146" spans="1:7" ht="15" customHeight="1" x14ac:dyDescent="0.3">
      <c r="A146" s="1103" t="s">
        <v>745</v>
      </c>
      <c r="B146" s="1096">
        <v>1484.937855713214</v>
      </c>
      <c r="C146" s="1097">
        <v>2986.0103207023749</v>
      </c>
      <c r="D146" s="1090">
        <f t="shared" si="25"/>
        <v>-1501.0724649891608</v>
      </c>
      <c r="E146" s="1096">
        <v>2589.3704838822564</v>
      </c>
      <c r="F146" s="1097">
        <v>4667.2353583213462</v>
      </c>
      <c r="G146" s="1090">
        <f t="shared" si="26"/>
        <v>-2077.8648744390898</v>
      </c>
    </row>
    <row r="147" spans="1:7" s="1058" customFormat="1" x14ac:dyDescent="0.3">
      <c r="A147" s="1104" t="s">
        <v>715</v>
      </c>
      <c r="B147" s="1100">
        <v>1484.937855713214</v>
      </c>
      <c r="C147" s="1101">
        <v>2986.0103207023749</v>
      </c>
      <c r="D147" s="1094">
        <f t="shared" si="25"/>
        <v>-1501.0724649891608</v>
      </c>
      <c r="E147" s="1100">
        <v>2589.3704838822564</v>
      </c>
      <c r="F147" s="1101">
        <v>4667.2353583213462</v>
      </c>
      <c r="G147" s="1094">
        <f t="shared" si="26"/>
        <v>-2077.8648744390898</v>
      </c>
    </row>
    <row r="148" spans="1:7" s="1107" customFormat="1" ht="16.5" hidden="1" customHeight="1" x14ac:dyDescent="0.3">
      <c r="A148" s="1087" t="s">
        <v>760</v>
      </c>
      <c r="B148" s="1096">
        <v>0</v>
      </c>
      <c r="C148" s="1097">
        <v>0</v>
      </c>
      <c r="D148" s="1090">
        <f t="shared" si="25"/>
        <v>0</v>
      </c>
      <c r="E148" s="1096">
        <v>0</v>
      </c>
      <c r="F148" s="1097">
        <v>0</v>
      </c>
      <c r="G148" s="1090">
        <f t="shared" si="26"/>
        <v>0</v>
      </c>
    </row>
    <row r="149" spans="1:7" x14ac:dyDescent="0.3">
      <c r="A149" s="1083" t="s">
        <v>761</v>
      </c>
      <c r="B149" s="1084">
        <f t="shared" ref="B149" si="27">B150+B153+B154+B155</f>
        <v>-8811.9964031207764</v>
      </c>
      <c r="C149" s="1095"/>
      <c r="D149" s="1086">
        <f t="shared" si="25"/>
        <v>-8811.9964031207764</v>
      </c>
      <c r="E149" s="1084">
        <f t="shared" ref="E149" si="28">E150+E153+E154+E155</f>
        <v>3158.1441226471766</v>
      </c>
      <c r="F149" s="1095"/>
      <c r="G149" s="1086">
        <f t="shared" si="26"/>
        <v>3158.1441226471766</v>
      </c>
    </row>
    <row r="150" spans="1:7" x14ac:dyDescent="0.3">
      <c r="A150" s="1087" t="s">
        <v>762</v>
      </c>
      <c r="B150" s="1096">
        <v>8.9792627578496926</v>
      </c>
      <c r="C150" s="1097">
        <v>0</v>
      </c>
      <c r="D150" s="1090">
        <f t="shared" si="25"/>
        <v>8.9792627578496926</v>
      </c>
      <c r="E150" s="1096">
        <v>-10.047692192712784</v>
      </c>
      <c r="F150" s="1097">
        <v>0</v>
      </c>
      <c r="G150" s="1090">
        <f t="shared" si="26"/>
        <v>-10.047692192712784</v>
      </c>
    </row>
    <row r="151" spans="1:7" ht="16.5" hidden="1" customHeight="1" x14ac:dyDescent="0.3">
      <c r="A151" s="1098" t="s">
        <v>763</v>
      </c>
      <c r="B151" s="1096">
        <v>8.9792627578496926</v>
      </c>
      <c r="C151" s="1097">
        <v>0</v>
      </c>
      <c r="D151" s="1090">
        <f t="shared" si="25"/>
        <v>8.9792627578496926</v>
      </c>
      <c r="E151" s="1096">
        <v>-10.047692192712784</v>
      </c>
      <c r="F151" s="1097">
        <v>0</v>
      </c>
      <c r="G151" s="1090">
        <f t="shared" si="26"/>
        <v>-10.047692192712784</v>
      </c>
    </row>
    <row r="152" spans="1:7" ht="16.5" hidden="1" customHeight="1" x14ac:dyDescent="0.3">
      <c r="A152" s="1098" t="s">
        <v>764</v>
      </c>
      <c r="B152" s="1096">
        <v>0</v>
      </c>
      <c r="C152" s="1097">
        <v>0</v>
      </c>
      <c r="D152" s="1090">
        <f t="shared" si="25"/>
        <v>0</v>
      </c>
      <c r="E152" s="1096">
        <v>0</v>
      </c>
      <c r="F152" s="1097">
        <v>0</v>
      </c>
      <c r="G152" s="1090">
        <f t="shared" si="26"/>
        <v>0</v>
      </c>
    </row>
    <row r="153" spans="1:7" x14ac:dyDescent="0.3">
      <c r="A153" s="1087" t="s">
        <v>760</v>
      </c>
      <c r="B153" s="1096">
        <v>11.292957444010675</v>
      </c>
      <c r="C153" s="1097">
        <v>0</v>
      </c>
      <c r="D153" s="1090">
        <f t="shared" si="25"/>
        <v>11.292957444010675</v>
      </c>
      <c r="E153" s="1096">
        <v>-29.793155963464081</v>
      </c>
      <c r="F153" s="1097">
        <v>0</v>
      </c>
      <c r="G153" s="1090">
        <f t="shared" si="26"/>
        <v>-29.793155963464081</v>
      </c>
    </row>
    <row r="154" spans="1:7" x14ac:dyDescent="0.3">
      <c r="A154" s="1087" t="s">
        <v>765</v>
      </c>
      <c r="B154" s="1096">
        <v>0</v>
      </c>
      <c r="C154" s="1097">
        <v>0</v>
      </c>
      <c r="D154" s="1090">
        <f t="shared" si="25"/>
        <v>0</v>
      </c>
      <c r="E154" s="1096">
        <v>9.2535957698000004</v>
      </c>
      <c r="F154" s="1097">
        <v>0</v>
      </c>
      <c r="G154" s="1090">
        <f t="shared" si="26"/>
        <v>9.2535957698000004</v>
      </c>
    </row>
    <row r="155" spans="1:7" ht="17.25" thickBot="1" x14ac:dyDescent="0.35">
      <c r="A155" s="1108" t="s">
        <v>766</v>
      </c>
      <c r="B155" s="1096">
        <v>-8832.2686233226377</v>
      </c>
      <c r="C155" s="1109">
        <v>0</v>
      </c>
      <c r="D155" s="1110">
        <f t="shared" si="25"/>
        <v>-8832.2686233226377</v>
      </c>
      <c r="E155" s="1096">
        <v>3188.7313750335534</v>
      </c>
      <c r="F155" s="1109">
        <v>0</v>
      </c>
      <c r="G155" s="1111">
        <f t="shared" si="26"/>
        <v>3188.7313750335534</v>
      </c>
    </row>
    <row r="156" spans="1:7" ht="18" thickTop="1" thickBot="1" x14ac:dyDescent="0.35">
      <c r="A156" s="1112" t="s">
        <v>767</v>
      </c>
      <c r="B156" s="1113"/>
      <c r="C156" s="1114"/>
      <c r="D156" s="1115">
        <f>D72-(D61+D5)</f>
        <v>-1616.3715715185681</v>
      </c>
      <c r="E156" s="1113"/>
      <c r="F156" s="1114"/>
      <c r="G156" s="1115">
        <f>G72-(G61+G5)</f>
        <v>-2885.7409366321663</v>
      </c>
    </row>
    <row r="157" spans="1:7" s="1118" customFormat="1" thickTop="1" x14ac:dyDescent="0.25">
      <c r="A157" s="1116" t="s">
        <v>768</v>
      </c>
      <c r="B157" s="3565"/>
      <c r="C157" s="3565"/>
      <c r="D157" s="3565"/>
      <c r="E157" s="3565"/>
      <c r="F157" s="3565"/>
      <c r="G157" s="3565"/>
    </row>
    <row r="158" spans="1:7" s="1121" customFormat="1" ht="14.25" x14ac:dyDescent="0.25">
      <c r="A158" s="1119" t="s">
        <v>769</v>
      </c>
      <c r="B158" s="1120"/>
      <c r="C158" s="1120"/>
      <c r="D158" s="1120"/>
      <c r="E158" s="1120"/>
      <c r="F158" s="1120"/>
      <c r="G158" s="1120"/>
    </row>
    <row r="159" spans="1:7" s="1121" customFormat="1" ht="14.25" x14ac:dyDescent="0.25">
      <c r="A159" s="1122" t="s">
        <v>290</v>
      </c>
      <c r="B159" s="1123"/>
      <c r="C159" s="1117"/>
      <c r="D159" s="1117"/>
      <c r="E159" s="1123"/>
      <c r="F159" s="1117"/>
      <c r="G159" s="1117"/>
    </row>
    <row r="160" spans="1:7" x14ac:dyDescent="0.3">
      <c r="B160" s="1124"/>
      <c r="C160" s="1030"/>
      <c r="D160" s="1030"/>
      <c r="E160" s="1124"/>
      <c r="F160" s="1030"/>
      <c r="G160" s="1030"/>
    </row>
    <row r="161" spans="2:7" x14ac:dyDescent="0.3">
      <c r="B161" s="1124"/>
      <c r="C161" s="1030"/>
      <c r="D161" s="1030"/>
      <c r="E161" s="1124"/>
      <c r="F161" s="1030"/>
      <c r="G161" s="1030"/>
    </row>
  </sheetData>
  <mergeCells count="8">
    <mergeCell ref="B157:G157"/>
    <mergeCell ref="B70:D70"/>
    <mergeCell ref="E70:G70"/>
    <mergeCell ref="A1:G1"/>
    <mergeCell ref="B3:D3"/>
    <mergeCell ref="E3:G3"/>
    <mergeCell ref="B59:D59"/>
    <mergeCell ref="E59:G59"/>
  </mergeCells>
  <printOptions horizontalCentered="1"/>
  <pageMargins left="0.5" right="0.5" top="0.5" bottom="0.5" header="0" footer="0"/>
  <pageSetup paperSize="9" scale="57" fitToHeight="0" orientation="portrait" r:id="rId1"/>
  <rowBreaks count="1" manualBreakCount="1">
    <brk id="66" max="6"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F166"/>
  <sheetViews>
    <sheetView showGridLines="0" topLeftCell="A153" zoomScale="90" zoomScaleNormal="90" zoomScaleSheetLayoutView="100" workbookViewId="0">
      <selection activeCell="E177" sqref="E177"/>
    </sheetView>
  </sheetViews>
  <sheetFormatPr defaultColWidth="11.42578125" defaultRowHeight="16.5" x14ac:dyDescent="0.3"/>
  <cols>
    <col min="1" max="1" width="73.5703125" style="477" customWidth="1"/>
    <col min="2" max="5" width="15.28515625" style="421" customWidth="1"/>
    <col min="6" max="6" width="14.5703125" style="421" customWidth="1"/>
    <col min="7" max="16384" width="11.42578125" style="421"/>
  </cols>
  <sheetData>
    <row r="1" spans="1:6" ht="23.25" customHeight="1" x14ac:dyDescent="0.25">
      <c r="A1" s="3571" t="s">
        <v>770</v>
      </c>
      <c r="B1" s="3571"/>
      <c r="C1" s="3571"/>
      <c r="D1" s="3571"/>
      <c r="E1" s="1126"/>
      <c r="F1" s="1126"/>
    </row>
    <row r="2" spans="1:6" s="1130" customFormat="1" thickBot="1" x14ac:dyDescent="0.35">
      <c r="A2" s="1127"/>
      <c r="B2" s="1127"/>
      <c r="C2" s="1127"/>
      <c r="D2" s="1127"/>
      <c r="E2" s="1128"/>
      <c r="F2" s="1129" t="s">
        <v>281</v>
      </c>
    </row>
    <row r="3" spans="1:6" s="1130" customFormat="1" ht="18" thickBot="1" x14ac:dyDescent="0.35">
      <c r="A3" s="1131"/>
      <c r="B3" s="1131">
        <v>2018</v>
      </c>
      <c r="C3" s="1131">
        <v>2019</v>
      </c>
      <c r="D3" s="1131">
        <v>2020</v>
      </c>
      <c r="E3" s="1131">
        <v>2021</v>
      </c>
      <c r="F3" s="1131" t="s">
        <v>771</v>
      </c>
    </row>
    <row r="4" spans="1:6" s="1130" customFormat="1" thickBot="1" x14ac:dyDescent="0.35">
      <c r="A4" s="1132" t="s">
        <v>772</v>
      </c>
      <c r="B4" s="1133">
        <f>B5-B86</f>
        <v>1097546.875</v>
      </c>
      <c r="C4" s="1133">
        <f>C5-C86</f>
        <v>992219</v>
      </c>
      <c r="D4" s="1133">
        <f>D5-D86</f>
        <v>726765.30000000075</v>
      </c>
      <c r="E4" s="1133">
        <f>E5-E86</f>
        <v>1818961.8999999985</v>
      </c>
      <c r="F4" s="1133">
        <f>F5-F86</f>
        <v>1431562.3528884798</v>
      </c>
    </row>
    <row r="5" spans="1:6" s="1130" customFormat="1" thickTop="1" x14ac:dyDescent="0.3">
      <c r="A5" s="1134" t="s">
        <v>773</v>
      </c>
      <c r="B5" s="1135">
        <f>B6+B21+B39+B43+B78</f>
        <v>16333167.875</v>
      </c>
      <c r="C5" s="1135">
        <f>C6+C21+C39+C43+C78</f>
        <v>17316177</v>
      </c>
      <c r="D5" s="1135">
        <f>D6+D21+D39+D43+D78</f>
        <v>19282343.300000001</v>
      </c>
      <c r="E5" s="1135">
        <f>E6+E21+E39+E43+E78</f>
        <v>25112456</v>
      </c>
      <c r="F5" s="1135">
        <f>F6+F21+F39+F43+F78</f>
        <v>25734401.443229225</v>
      </c>
    </row>
    <row r="6" spans="1:6" s="1130" customFormat="1" ht="15.75" x14ac:dyDescent="0.3">
      <c r="A6" s="1136" t="s">
        <v>734</v>
      </c>
      <c r="B6" s="1137">
        <f>B7+B14</f>
        <v>8983083.875</v>
      </c>
      <c r="C6" s="1137">
        <f>C7+C14</f>
        <v>9947461</v>
      </c>
      <c r="D6" s="1137">
        <f>D7+D14</f>
        <v>11215737.300000001</v>
      </c>
      <c r="E6" s="1137">
        <f>E7+E14</f>
        <v>14149038</v>
      </c>
      <c r="F6" s="1137">
        <f>F7+F14</f>
        <v>14715154.410293255</v>
      </c>
    </row>
    <row r="7" spans="1:6" s="1130" customFormat="1" ht="15.75" x14ac:dyDescent="0.3">
      <c r="A7" s="1138" t="s">
        <v>735</v>
      </c>
      <c r="B7" s="1137">
        <f>B8+B10+B12</f>
        <v>6992699</v>
      </c>
      <c r="C7" s="1137">
        <f>C8+C10+C12</f>
        <v>7799580</v>
      </c>
      <c r="D7" s="1137">
        <f>D8+D10+D12</f>
        <v>8972527</v>
      </c>
      <c r="E7" s="1137">
        <f>E8+E10+E12</f>
        <v>11778980</v>
      </c>
      <c r="F7" s="1137">
        <f>F8+F10+F12</f>
        <v>12027800.264963297</v>
      </c>
    </row>
    <row r="8" spans="1:6" s="1130" customFormat="1" ht="14.45" customHeight="1" x14ac:dyDescent="0.3">
      <c r="A8" s="1139" t="s">
        <v>774</v>
      </c>
      <c r="B8" s="1140">
        <v>6960847</v>
      </c>
      <c r="C8" s="1140">
        <v>7758624</v>
      </c>
      <c r="D8" s="1140">
        <v>8822911</v>
      </c>
      <c r="E8" s="1140">
        <v>11520676</v>
      </c>
      <c r="F8" s="1140">
        <v>11702106.042963298</v>
      </c>
    </row>
    <row r="9" spans="1:6" s="1130" customFormat="1" ht="14.45" customHeight="1" x14ac:dyDescent="0.3">
      <c r="A9" s="1141" t="s">
        <v>715</v>
      </c>
      <c r="B9" s="1142">
        <v>6943936.4259978803</v>
      </c>
      <c r="C9" s="1142">
        <v>7741653.3252415098</v>
      </c>
      <c r="D9" s="1142">
        <v>8795271.5999999996</v>
      </c>
      <c r="E9" s="1142">
        <v>11488584</v>
      </c>
      <c r="F9" s="1142">
        <v>11668236.920699999</v>
      </c>
    </row>
    <row r="10" spans="1:6" s="1130" customFormat="1" ht="14.45" customHeight="1" x14ac:dyDescent="0.3">
      <c r="A10" s="1139" t="s">
        <v>775</v>
      </c>
      <c r="B10" s="1140">
        <v>3562</v>
      </c>
      <c r="C10" s="1140">
        <v>1647</v>
      </c>
      <c r="D10" s="1140">
        <v>949</v>
      </c>
      <c r="E10" s="1140">
        <v>6399</v>
      </c>
      <c r="F10" s="1140">
        <v>0</v>
      </c>
    </row>
    <row r="11" spans="1:6" s="1130" customFormat="1" ht="14.45" customHeight="1" x14ac:dyDescent="0.3">
      <c r="A11" s="1141" t="s">
        <v>715</v>
      </c>
      <c r="B11" s="1142">
        <v>3562</v>
      </c>
      <c r="C11" s="1142">
        <v>1647</v>
      </c>
      <c r="D11" s="1142">
        <v>948.7</v>
      </c>
      <c r="E11" s="1142">
        <v>6399</v>
      </c>
      <c r="F11" s="1142">
        <v>0</v>
      </c>
    </row>
    <row r="12" spans="1:6" s="1130" customFormat="1" ht="14.45" customHeight="1" x14ac:dyDescent="0.3">
      <c r="A12" s="1139" t="s">
        <v>776</v>
      </c>
      <c r="B12" s="1140">
        <v>28290</v>
      </c>
      <c r="C12" s="1140">
        <v>39309</v>
      </c>
      <c r="D12" s="1140">
        <v>148667</v>
      </c>
      <c r="E12" s="1140">
        <v>251905</v>
      </c>
      <c r="F12" s="1140">
        <v>325694.22200000001</v>
      </c>
    </row>
    <row r="13" spans="1:6" s="1130" customFormat="1" ht="14.45" customHeight="1" x14ac:dyDescent="0.3">
      <c r="A13" s="1141" t="s">
        <v>715</v>
      </c>
      <c r="B13" s="1142">
        <v>28290</v>
      </c>
      <c r="C13" s="1142">
        <v>39309</v>
      </c>
      <c r="D13" s="1142">
        <v>148667.1</v>
      </c>
      <c r="E13" s="1142">
        <v>251905</v>
      </c>
      <c r="F13" s="1142">
        <v>325694.22200000001</v>
      </c>
    </row>
    <row r="14" spans="1:6" s="1130" customFormat="1" ht="14.45" customHeight="1" x14ac:dyDescent="0.3">
      <c r="A14" s="1138" t="s">
        <v>736</v>
      </c>
      <c r="B14" s="1137">
        <f>B15+B17+B19</f>
        <v>1990384.875</v>
      </c>
      <c r="C14" s="1137">
        <f>C15+C17+C19</f>
        <v>2147881</v>
      </c>
      <c r="D14" s="1137">
        <f>D15+D17+D19</f>
        <v>2243210.2999999998</v>
      </c>
      <c r="E14" s="1137">
        <f>E15+E17+E19</f>
        <v>2370058</v>
      </c>
      <c r="F14" s="1137">
        <f>F15+F17+F19</f>
        <v>2687354.1453299578</v>
      </c>
    </row>
    <row r="15" spans="1:6" s="1130" customFormat="1" ht="14.45" customHeight="1" x14ac:dyDescent="0.3">
      <c r="A15" s="1139" t="s">
        <v>774</v>
      </c>
      <c r="B15" s="1140">
        <v>1279844.575</v>
      </c>
      <c r="C15" s="1140">
        <v>1518751.8419999999</v>
      </c>
      <c r="D15" s="1140">
        <v>1463567</v>
      </c>
      <c r="E15" s="1140">
        <v>1832650</v>
      </c>
      <c r="F15" s="1140">
        <v>2135993.8108046153</v>
      </c>
    </row>
    <row r="16" spans="1:6" s="1130" customFormat="1" ht="14.45" customHeight="1" x14ac:dyDescent="0.3">
      <c r="A16" s="1141" t="s">
        <v>715</v>
      </c>
      <c r="B16" s="1142">
        <v>1275609.875</v>
      </c>
      <c r="C16" s="1142">
        <v>1513157.6126999999</v>
      </c>
      <c r="D16" s="1142">
        <v>1457459</v>
      </c>
      <c r="E16" s="1142">
        <v>1823360</v>
      </c>
      <c r="F16" s="1142">
        <v>2124254.9695000001</v>
      </c>
    </row>
    <row r="17" spans="1:6" s="1130" customFormat="1" ht="14.45" customHeight="1" x14ac:dyDescent="0.3">
      <c r="A17" s="1139" t="s">
        <v>775</v>
      </c>
      <c r="B17" s="1140">
        <v>112953.97500000001</v>
      </c>
      <c r="C17" s="1140">
        <v>109284.393</v>
      </c>
      <c r="D17" s="1140">
        <v>5285</v>
      </c>
      <c r="E17" s="1140">
        <v>5569</v>
      </c>
      <c r="F17" s="1140">
        <v>5738.3495217815398</v>
      </c>
    </row>
    <row r="18" spans="1:6" s="1130" customFormat="1" ht="14.45" customHeight="1" x14ac:dyDescent="0.3">
      <c r="A18" s="1141" t="s">
        <v>715</v>
      </c>
      <c r="B18" s="1142">
        <v>112096</v>
      </c>
      <c r="C18" s="1142">
        <v>108556</v>
      </c>
      <c r="D18" s="1142">
        <v>4190</v>
      </c>
      <c r="E18" s="1142">
        <v>4832</v>
      </c>
      <c r="F18" s="1142">
        <v>5003.9274000000005</v>
      </c>
    </row>
    <row r="19" spans="1:6" s="1130" customFormat="1" ht="14.45" customHeight="1" x14ac:dyDescent="0.3">
      <c r="A19" s="1139" t="s">
        <v>776</v>
      </c>
      <c r="B19" s="1140">
        <v>597586.32499999995</v>
      </c>
      <c r="C19" s="1140">
        <v>519844.76500000001</v>
      </c>
      <c r="D19" s="1140">
        <v>774358.3</v>
      </c>
      <c r="E19" s="1140">
        <v>531839</v>
      </c>
      <c r="F19" s="1140">
        <v>545621.98500356136</v>
      </c>
    </row>
    <row r="20" spans="1:6" s="1130" customFormat="1" ht="16.5" customHeight="1" x14ac:dyDescent="0.3">
      <c r="A20" s="1141" t="s">
        <v>715</v>
      </c>
      <c r="B20" s="1142">
        <v>596237</v>
      </c>
      <c r="C20" s="1142">
        <v>517635</v>
      </c>
      <c r="D20" s="1142">
        <v>772033.1</v>
      </c>
      <c r="E20" s="1142">
        <v>529535</v>
      </c>
      <c r="F20" s="1142">
        <v>542882.22880000004</v>
      </c>
    </row>
    <row r="21" spans="1:6" s="1130" customFormat="1" ht="14.45" customHeight="1" x14ac:dyDescent="0.3">
      <c r="A21" s="1136" t="s">
        <v>737</v>
      </c>
      <c r="B21" s="1137">
        <f>B22+B28</f>
        <v>4905073</v>
      </c>
      <c r="C21" s="1137">
        <f>C22+C28</f>
        <v>4756630</v>
      </c>
      <c r="D21" s="1137">
        <f>D22+D28</f>
        <v>5384281</v>
      </c>
      <c r="E21" s="1137">
        <f>E22+E28</f>
        <v>7855910</v>
      </c>
      <c r="F21" s="1137">
        <f>F22+F28</f>
        <v>7802772.6151404856</v>
      </c>
    </row>
    <row r="22" spans="1:6" s="1130" customFormat="1" ht="14.45" customHeight="1" x14ac:dyDescent="0.3">
      <c r="A22" s="1138" t="s">
        <v>735</v>
      </c>
      <c r="B22" s="1137">
        <f>B23+B24+B25+B26</f>
        <v>4191501</v>
      </c>
      <c r="C22" s="1137">
        <f>C23+C24+C25+C26</f>
        <v>4253072</v>
      </c>
      <c r="D22" s="1137">
        <f>D23+D24+D25+D26</f>
        <v>4793560</v>
      </c>
      <c r="E22" s="1137">
        <f>E23+E24+E25+E26</f>
        <v>7043311</v>
      </c>
      <c r="F22" s="1137">
        <f>F23+F24+F25+F26</f>
        <v>6746336.2198171839</v>
      </c>
    </row>
    <row r="23" spans="1:6" s="1130" customFormat="1" ht="14.45" customHeight="1" x14ac:dyDescent="0.3">
      <c r="A23" s="1139" t="s">
        <v>743</v>
      </c>
      <c r="B23" s="1140">
        <v>920</v>
      </c>
      <c r="C23" s="1140">
        <v>1120</v>
      </c>
      <c r="D23" s="1140">
        <v>1331</v>
      </c>
      <c r="E23" s="1140">
        <v>1656</v>
      </c>
      <c r="F23" s="1140">
        <v>1807.1913348199998</v>
      </c>
    </row>
    <row r="24" spans="1:6" s="1130" customFormat="1" ht="14.45" customHeight="1" x14ac:dyDescent="0.3">
      <c r="A24" s="1139" t="s">
        <v>777</v>
      </c>
      <c r="B24" s="1140">
        <v>7212</v>
      </c>
      <c r="C24" s="1140">
        <v>2650</v>
      </c>
      <c r="D24" s="1140">
        <v>4310</v>
      </c>
      <c r="E24" s="1140">
        <v>5453</v>
      </c>
      <c r="F24" s="1140">
        <v>4648.4623544108963</v>
      </c>
    </row>
    <row r="25" spans="1:6" s="1130" customFormat="1" ht="14.45" customHeight="1" x14ac:dyDescent="0.3">
      <c r="A25" s="1139" t="s">
        <v>720</v>
      </c>
      <c r="B25" s="1140">
        <v>840</v>
      </c>
      <c r="C25" s="1140">
        <v>893</v>
      </c>
      <c r="D25" s="1140">
        <v>5144</v>
      </c>
      <c r="E25" s="1140">
        <v>5599</v>
      </c>
      <c r="F25" s="1140">
        <v>6383.6647954025993</v>
      </c>
    </row>
    <row r="26" spans="1:6" s="1130" customFormat="1" ht="14.45" customHeight="1" x14ac:dyDescent="0.3">
      <c r="A26" s="1139" t="s">
        <v>741</v>
      </c>
      <c r="B26" s="1140">
        <v>4182529</v>
      </c>
      <c r="C26" s="1140">
        <v>4248409</v>
      </c>
      <c r="D26" s="1140">
        <v>4782775</v>
      </c>
      <c r="E26" s="1140">
        <v>7030603</v>
      </c>
      <c r="F26" s="1140">
        <v>6733496.9013325507</v>
      </c>
    </row>
    <row r="27" spans="1:6" s="1130" customFormat="1" ht="14.45" customHeight="1" x14ac:dyDescent="0.3">
      <c r="A27" s="1141" t="s">
        <v>715</v>
      </c>
      <c r="B27" s="1142">
        <v>4157647.7517430009</v>
      </c>
      <c r="C27" s="1142">
        <v>4219442.5284999991</v>
      </c>
      <c r="D27" s="1142">
        <v>4737503</v>
      </c>
      <c r="E27" s="1142">
        <v>6983465</v>
      </c>
      <c r="F27" s="1142">
        <v>6699468.6948000006</v>
      </c>
    </row>
    <row r="28" spans="1:6" s="1130" customFormat="1" ht="14.45" customHeight="1" x14ac:dyDescent="0.3">
      <c r="A28" s="1138" t="s">
        <v>742</v>
      </c>
      <c r="B28" s="1137">
        <f t="shared" ref="B28:C28" si="0">B29+B32+B34</f>
        <v>713572</v>
      </c>
      <c r="C28" s="1137">
        <f t="shared" si="0"/>
        <v>503558</v>
      </c>
      <c r="D28" s="1137">
        <f>D29+D32+D34</f>
        <v>590721</v>
      </c>
      <c r="E28" s="1137">
        <f>E29+E32+E34</f>
        <v>812599</v>
      </c>
      <c r="F28" s="1137">
        <f>F29+F32+F34</f>
        <v>1056436.3953233017</v>
      </c>
    </row>
    <row r="29" spans="1:6" s="1130" customFormat="1" ht="14.45" customHeight="1" x14ac:dyDescent="0.3">
      <c r="A29" s="1139" t="s">
        <v>777</v>
      </c>
      <c r="B29" s="1140">
        <f t="shared" ref="B29:C29" si="1">B30+B31</f>
        <v>165862</v>
      </c>
      <c r="C29" s="1140">
        <f t="shared" si="1"/>
        <v>200473</v>
      </c>
      <c r="D29" s="1140">
        <f>D30+D31</f>
        <v>257163</v>
      </c>
      <c r="E29" s="1140">
        <f>E30+E31</f>
        <v>360830</v>
      </c>
      <c r="F29" s="1140">
        <f>F30+F31</f>
        <v>524801.50828977826</v>
      </c>
    </row>
    <row r="30" spans="1:6" s="1130" customFormat="1" ht="14.45" customHeight="1" x14ac:dyDescent="0.3">
      <c r="A30" s="1143" t="s">
        <v>744</v>
      </c>
      <c r="B30" s="1140">
        <v>94295</v>
      </c>
      <c r="C30" s="1140">
        <v>121889</v>
      </c>
      <c r="D30" s="1140">
        <v>141022</v>
      </c>
      <c r="E30" s="1140">
        <v>207034</v>
      </c>
      <c r="F30" s="1140">
        <v>308068.38486414688</v>
      </c>
    </row>
    <row r="31" spans="1:6" s="1130" customFormat="1" ht="14.45" customHeight="1" x14ac:dyDescent="0.3">
      <c r="A31" s="1143" t="s">
        <v>745</v>
      </c>
      <c r="B31" s="1140">
        <v>71567</v>
      </c>
      <c r="C31" s="1140">
        <v>78584</v>
      </c>
      <c r="D31" s="1140">
        <v>116141</v>
      </c>
      <c r="E31" s="1140">
        <v>153796</v>
      </c>
      <c r="F31" s="1140">
        <v>216733.12342563141</v>
      </c>
    </row>
    <row r="32" spans="1:6" s="1130" customFormat="1" ht="14.45" customHeight="1" x14ac:dyDescent="0.3">
      <c r="A32" s="1139" t="s">
        <v>720</v>
      </c>
      <c r="B32" s="1140">
        <f t="shared" ref="B32:C32" si="2">B33</f>
        <v>15441</v>
      </c>
      <c r="C32" s="1140">
        <f t="shared" si="2"/>
        <v>20978</v>
      </c>
      <c r="D32" s="1140">
        <f>D33</f>
        <v>28378</v>
      </c>
      <c r="E32" s="1140">
        <f>E33</f>
        <v>21160</v>
      </c>
      <c r="F32" s="1140">
        <f>F33</f>
        <v>17782.988788999999</v>
      </c>
    </row>
    <row r="33" spans="1:6" s="1130" customFormat="1" ht="14.45" customHeight="1" x14ac:dyDescent="0.3">
      <c r="A33" s="1143" t="s">
        <v>745</v>
      </c>
      <c r="B33" s="1140">
        <v>15441</v>
      </c>
      <c r="C33" s="1140">
        <v>20978</v>
      </c>
      <c r="D33" s="1140">
        <v>28378</v>
      </c>
      <c r="E33" s="1140">
        <v>21160</v>
      </c>
      <c r="F33" s="1140">
        <v>17782.988788999999</v>
      </c>
    </row>
    <row r="34" spans="1:6" s="1130" customFormat="1" ht="14.45" customHeight="1" x14ac:dyDescent="0.3">
      <c r="A34" s="1139" t="s">
        <v>741</v>
      </c>
      <c r="B34" s="1140">
        <f t="shared" ref="B34:C34" si="3">B35+B37</f>
        <v>532269</v>
      </c>
      <c r="C34" s="1140">
        <f t="shared" si="3"/>
        <v>282107</v>
      </c>
      <c r="D34" s="1140">
        <f>D35+D37</f>
        <v>305180</v>
      </c>
      <c r="E34" s="1140">
        <f>E35+E37</f>
        <v>430609</v>
      </c>
      <c r="F34" s="1140">
        <f>F35+F37</f>
        <v>513851.89824452339</v>
      </c>
    </row>
    <row r="35" spans="1:6" s="1130" customFormat="1" ht="14.45" customHeight="1" x14ac:dyDescent="0.3">
      <c r="A35" s="1143" t="s">
        <v>744</v>
      </c>
      <c r="B35" s="1140">
        <v>29538</v>
      </c>
      <c r="C35" s="1140">
        <v>21346</v>
      </c>
      <c r="D35" s="1140">
        <v>36722</v>
      </c>
      <c r="E35" s="1140">
        <v>58112</v>
      </c>
      <c r="F35" s="1140">
        <v>48020.145400000001</v>
      </c>
    </row>
    <row r="36" spans="1:6" s="1130" customFormat="1" ht="14.45" customHeight="1" x14ac:dyDescent="0.3">
      <c r="A36" s="1141" t="s">
        <v>715</v>
      </c>
      <c r="B36" s="1142">
        <v>29474.517280000004</v>
      </c>
      <c r="C36" s="1142">
        <v>21264.658099999997</v>
      </c>
      <c r="D36" s="1142">
        <v>36683</v>
      </c>
      <c r="E36" s="1142">
        <v>57938</v>
      </c>
      <c r="F36" s="1142">
        <v>47888.463100000001</v>
      </c>
    </row>
    <row r="37" spans="1:6" s="1130" customFormat="1" ht="14.45" customHeight="1" x14ac:dyDescent="0.3">
      <c r="A37" s="1143" t="s">
        <v>745</v>
      </c>
      <c r="B37" s="1140">
        <v>502731</v>
      </c>
      <c r="C37" s="1140">
        <v>260761</v>
      </c>
      <c r="D37" s="1140">
        <v>268458</v>
      </c>
      <c r="E37" s="1140">
        <v>372497</v>
      </c>
      <c r="F37" s="1140">
        <v>465831.75284452341</v>
      </c>
    </row>
    <row r="38" spans="1:6" s="1130" customFormat="1" ht="14.45" customHeight="1" x14ac:dyDescent="0.3">
      <c r="A38" s="1141" t="s">
        <v>715</v>
      </c>
      <c r="B38" s="1142">
        <v>496902.13968000002</v>
      </c>
      <c r="C38" s="1142">
        <v>253528.8927</v>
      </c>
      <c r="D38" s="1142">
        <v>260189</v>
      </c>
      <c r="E38" s="1142">
        <v>362818</v>
      </c>
      <c r="F38" s="1142">
        <v>456674.21640000003</v>
      </c>
    </row>
    <row r="39" spans="1:6" s="1130" customFormat="1" ht="14.45" customHeight="1" x14ac:dyDescent="0.3">
      <c r="A39" s="1144" t="s">
        <v>778</v>
      </c>
      <c r="B39" s="1145">
        <f>B40+B41</f>
        <v>85743</v>
      </c>
      <c r="C39" s="1145">
        <f>C40+C41</f>
        <v>117292</v>
      </c>
      <c r="D39" s="1145">
        <f>D40+D41</f>
        <v>119187</v>
      </c>
      <c r="E39" s="1145">
        <f>E40+E41</f>
        <v>159429</v>
      </c>
      <c r="F39" s="1145">
        <f>F40+F41</f>
        <v>160585.29110608736</v>
      </c>
    </row>
    <row r="40" spans="1:6" s="1130" customFormat="1" ht="14.45" customHeight="1" x14ac:dyDescent="0.3">
      <c r="A40" s="1139" t="s">
        <v>739</v>
      </c>
      <c r="B40" s="1140">
        <v>1685</v>
      </c>
      <c r="C40" s="1140">
        <v>1855</v>
      </c>
      <c r="D40" s="1140">
        <v>1827</v>
      </c>
      <c r="E40" s="1140">
        <v>2070</v>
      </c>
      <c r="F40" s="1140">
        <v>2522.6370060873464</v>
      </c>
    </row>
    <row r="41" spans="1:6" s="1130" customFormat="1" ht="14.45" customHeight="1" x14ac:dyDescent="0.3">
      <c r="A41" s="1139" t="s">
        <v>741</v>
      </c>
      <c r="B41" s="1140">
        <f t="shared" ref="B41:C41" si="4">B42</f>
        <v>84058</v>
      </c>
      <c r="C41" s="1140">
        <f t="shared" si="4"/>
        <v>115437</v>
      </c>
      <c r="D41" s="1140">
        <v>117360</v>
      </c>
      <c r="E41" s="1140">
        <v>157359</v>
      </c>
      <c r="F41" s="1140">
        <v>158062.65410000001</v>
      </c>
    </row>
    <row r="42" spans="1:6" s="1130" customFormat="1" ht="14.45" customHeight="1" x14ac:dyDescent="0.3">
      <c r="A42" s="1141" t="s">
        <v>715</v>
      </c>
      <c r="B42" s="1142">
        <v>84058</v>
      </c>
      <c r="C42" s="1142">
        <v>115437</v>
      </c>
      <c r="D42" s="1142">
        <v>117360</v>
      </c>
      <c r="E42" s="1142">
        <v>157359</v>
      </c>
      <c r="F42" s="1142">
        <v>158062.65410000001</v>
      </c>
    </row>
    <row r="43" spans="1:6" s="1130" customFormat="1" ht="14.45" customHeight="1" x14ac:dyDescent="0.3">
      <c r="A43" s="1136" t="s">
        <v>749</v>
      </c>
      <c r="B43" s="1137">
        <f t="shared" ref="B43:D43" si="5">B44+B49+B66+B69+B62</f>
        <v>2141683</v>
      </c>
      <c r="C43" s="1137">
        <f t="shared" si="5"/>
        <v>2225300</v>
      </c>
      <c r="D43" s="1137">
        <f t="shared" si="5"/>
        <v>2274898</v>
      </c>
      <c r="E43" s="1137">
        <f>E44+E49+E66+E69+E62</f>
        <v>2575382</v>
      </c>
      <c r="F43" s="1137">
        <f>F44+F49+F66+F69+F62</f>
        <v>2713679.2847000477</v>
      </c>
    </row>
    <row r="44" spans="1:6" s="1130" customFormat="1" ht="14.45" customHeight="1" x14ac:dyDescent="0.3">
      <c r="A44" s="1138" t="s">
        <v>751</v>
      </c>
      <c r="B44" s="1137">
        <f t="shared" ref="B44:C44" si="6">B45+B46</f>
        <v>584954</v>
      </c>
      <c r="C44" s="1137">
        <f t="shared" si="6"/>
        <v>646127</v>
      </c>
      <c r="D44" s="1137">
        <f>D45+D46</f>
        <v>634306</v>
      </c>
      <c r="E44" s="1137">
        <f>E45+E46</f>
        <v>692483</v>
      </c>
      <c r="F44" s="1137">
        <f>F45+F46</f>
        <v>632359.80338607146</v>
      </c>
    </row>
    <row r="45" spans="1:6" s="1130" customFormat="1" ht="14.45" customHeight="1" x14ac:dyDescent="0.3">
      <c r="A45" s="1139" t="s">
        <v>777</v>
      </c>
      <c r="B45" s="1140">
        <v>215262</v>
      </c>
      <c r="C45" s="1140">
        <v>282413</v>
      </c>
      <c r="D45" s="1140">
        <v>308380</v>
      </c>
      <c r="E45" s="1140">
        <v>339619</v>
      </c>
      <c r="F45" s="1140">
        <v>251237.89305838032</v>
      </c>
    </row>
    <row r="46" spans="1:6" s="1130" customFormat="1" ht="14.45" customHeight="1" x14ac:dyDescent="0.3">
      <c r="A46" s="1139" t="s">
        <v>741</v>
      </c>
      <c r="B46" s="1140">
        <f t="shared" ref="B46:C46" si="7">B47</f>
        <v>369692</v>
      </c>
      <c r="C46" s="1140">
        <f t="shared" si="7"/>
        <v>363714</v>
      </c>
      <c r="D46" s="1140">
        <f>D47</f>
        <v>325926</v>
      </c>
      <c r="E46" s="1140">
        <f>E47</f>
        <v>352864</v>
      </c>
      <c r="F46" s="1140">
        <f>F47</f>
        <v>381121.91032769118</v>
      </c>
    </row>
    <row r="47" spans="1:6" s="1130" customFormat="1" ht="14.45" customHeight="1" x14ac:dyDescent="0.3">
      <c r="A47" s="1143" t="s">
        <v>744</v>
      </c>
      <c r="B47" s="1140">
        <v>369692</v>
      </c>
      <c r="C47" s="1140">
        <v>363714</v>
      </c>
      <c r="D47" s="1140">
        <v>325926</v>
      </c>
      <c r="E47" s="1140">
        <v>352864</v>
      </c>
      <c r="F47" s="1140">
        <v>381121.91032769118</v>
      </c>
    </row>
    <row r="48" spans="1:6" s="1130" customFormat="1" ht="14.45" customHeight="1" x14ac:dyDescent="0.3">
      <c r="A48" s="1141" t="s">
        <v>715</v>
      </c>
      <c r="B48" s="1142">
        <v>369684.21244044497</v>
      </c>
      <c r="C48" s="1142">
        <v>363695.1937</v>
      </c>
      <c r="D48" s="1142">
        <v>325716</v>
      </c>
      <c r="E48" s="1142">
        <v>352675</v>
      </c>
      <c r="F48" s="1142">
        <v>380605.74110000004</v>
      </c>
    </row>
    <row r="49" spans="1:6" s="1130" customFormat="1" ht="14.45" customHeight="1" x14ac:dyDescent="0.3">
      <c r="A49" s="1138" t="s">
        <v>753</v>
      </c>
      <c r="B49" s="1137">
        <f t="shared" ref="B49:C49" si="8">B50+B52</f>
        <v>1165358</v>
      </c>
      <c r="C49" s="1137">
        <f t="shared" si="8"/>
        <v>1148597</v>
      </c>
      <c r="D49" s="1137">
        <f>D50+D52</f>
        <v>1185051</v>
      </c>
      <c r="E49" s="1137">
        <f>E50+E52</f>
        <v>1353223</v>
      </c>
      <c r="F49" s="1137">
        <f>F50+F52</f>
        <v>1481150.7441041921</v>
      </c>
    </row>
    <row r="50" spans="1:6" s="1130" customFormat="1" ht="14.45" customHeight="1" x14ac:dyDescent="0.3">
      <c r="A50" s="1139" t="s">
        <v>739</v>
      </c>
      <c r="B50" s="1140">
        <f t="shared" ref="B50:C50" si="9">B51</f>
        <v>261988</v>
      </c>
      <c r="C50" s="1140">
        <f t="shared" si="9"/>
        <v>259596</v>
      </c>
      <c r="D50" s="1140">
        <f>D51</f>
        <v>271545</v>
      </c>
      <c r="E50" s="1140">
        <f>E51</f>
        <v>303561</v>
      </c>
      <c r="F50" s="1140">
        <f>F51</f>
        <v>343562.9763301725</v>
      </c>
    </row>
    <row r="51" spans="1:6" s="1130" customFormat="1" ht="14.45" customHeight="1" x14ac:dyDescent="0.3">
      <c r="A51" s="1143" t="s">
        <v>745</v>
      </c>
      <c r="B51" s="1140">
        <v>261988</v>
      </c>
      <c r="C51" s="1140">
        <v>259596</v>
      </c>
      <c r="D51" s="1140">
        <v>271545</v>
      </c>
      <c r="E51" s="1140">
        <v>303561</v>
      </c>
      <c r="F51" s="1140">
        <v>343562.9763301725</v>
      </c>
    </row>
    <row r="52" spans="1:6" s="1130" customFormat="1" ht="14.45" customHeight="1" x14ac:dyDescent="0.3">
      <c r="A52" s="1139" t="s">
        <v>741</v>
      </c>
      <c r="B52" s="1140">
        <f t="shared" ref="B52:C52" si="10">B53+B54</f>
        <v>903370</v>
      </c>
      <c r="C52" s="1140">
        <f t="shared" si="10"/>
        <v>889001</v>
      </c>
      <c r="D52" s="1140">
        <f>D53+D54</f>
        <v>913506</v>
      </c>
      <c r="E52" s="1140">
        <f>E53+E54</f>
        <v>1049662</v>
      </c>
      <c r="F52" s="1140">
        <f>F53+F54</f>
        <v>1137587.7677740196</v>
      </c>
    </row>
    <row r="53" spans="1:6" s="1130" customFormat="1" ht="14.45" customHeight="1" x14ac:dyDescent="0.3">
      <c r="A53" s="1143" t="s">
        <v>744</v>
      </c>
      <c r="B53" s="1140">
        <f t="shared" ref="B53:C53" si="11">B60</f>
        <v>161</v>
      </c>
      <c r="C53" s="1140">
        <f t="shared" si="11"/>
        <v>171</v>
      </c>
      <c r="D53" s="1140">
        <f>D60</f>
        <v>106</v>
      </c>
      <c r="E53" s="1140">
        <v>157</v>
      </c>
      <c r="F53" s="1140">
        <f>F60+F56</f>
        <v>375.18832489502347</v>
      </c>
    </row>
    <row r="54" spans="1:6" s="1130" customFormat="1" ht="14.45" customHeight="1" x14ac:dyDescent="0.3">
      <c r="A54" s="1143" t="s">
        <v>745</v>
      </c>
      <c r="B54" s="1140">
        <f t="shared" ref="B54:C54" si="12">B57+B61</f>
        <v>903209</v>
      </c>
      <c r="C54" s="1140">
        <f t="shared" si="12"/>
        <v>888830</v>
      </c>
      <c r="D54" s="1140">
        <f>D57+D61</f>
        <v>913400</v>
      </c>
      <c r="E54" s="1140">
        <f>E57+E61</f>
        <v>1049505</v>
      </c>
      <c r="F54" s="1140">
        <f>F57+F61</f>
        <v>1137212.5794491246</v>
      </c>
    </row>
    <row r="55" spans="1:6" s="1130" customFormat="1" ht="14.45" customHeight="1" x14ac:dyDescent="0.3">
      <c r="A55" s="1146" t="s">
        <v>752</v>
      </c>
      <c r="B55" s="1140">
        <f>B57</f>
        <v>902227</v>
      </c>
      <c r="C55" s="1140">
        <f>C57</f>
        <v>887846</v>
      </c>
      <c r="D55" s="1140">
        <f>D57</f>
        <v>913348</v>
      </c>
      <c r="E55" s="1140">
        <f>E57</f>
        <v>1049407</v>
      </c>
      <c r="F55" s="1140">
        <f>F56+F57</f>
        <v>1137311.4823687135</v>
      </c>
    </row>
    <row r="56" spans="1:6" s="1130" customFormat="1" ht="14.45" customHeight="1" x14ac:dyDescent="0.3">
      <c r="A56" s="1143" t="s">
        <v>744</v>
      </c>
      <c r="B56" s="1140"/>
      <c r="C56" s="1140"/>
      <c r="D56" s="1140"/>
      <c r="E56" s="1147"/>
      <c r="F56" s="1140">
        <v>205.50301219694342</v>
      </c>
    </row>
    <row r="57" spans="1:6" s="1130" customFormat="1" ht="14.45" customHeight="1" x14ac:dyDescent="0.3">
      <c r="A57" s="1143" t="s">
        <v>745</v>
      </c>
      <c r="B57" s="1140">
        <f t="shared" ref="B57:E57" si="13">B58</f>
        <v>902227</v>
      </c>
      <c r="C57" s="1140">
        <f t="shared" si="13"/>
        <v>887846</v>
      </c>
      <c r="D57" s="1140">
        <f t="shared" si="13"/>
        <v>913348</v>
      </c>
      <c r="E57" s="1140">
        <f t="shared" si="13"/>
        <v>1049407</v>
      </c>
      <c r="F57" s="1140">
        <v>1137105.9793565166</v>
      </c>
    </row>
    <row r="58" spans="1:6" s="1130" customFormat="1" ht="14.45" customHeight="1" x14ac:dyDescent="0.3">
      <c r="A58" s="1141" t="s">
        <v>715</v>
      </c>
      <c r="B58" s="1142">
        <v>902227</v>
      </c>
      <c r="C58" s="1142">
        <v>887846</v>
      </c>
      <c r="D58" s="1142">
        <v>913348</v>
      </c>
      <c r="E58" s="1142">
        <v>1049407</v>
      </c>
      <c r="F58" s="1142">
        <v>1136988.8722999999</v>
      </c>
    </row>
    <row r="59" spans="1:6" s="1130" customFormat="1" ht="14.45" customHeight="1" x14ac:dyDescent="0.3">
      <c r="A59" s="1148" t="s">
        <v>779</v>
      </c>
      <c r="B59" s="1140">
        <f t="shared" ref="B59:C59" si="14">B60+B61</f>
        <v>1143</v>
      </c>
      <c r="C59" s="1140">
        <f t="shared" si="14"/>
        <v>1155</v>
      </c>
      <c r="D59" s="1140">
        <f>D60+D61</f>
        <v>158</v>
      </c>
      <c r="E59" s="1140">
        <f>E60+E61</f>
        <v>255</v>
      </c>
      <c r="F59" s="1140">
        <f>F60+F61</f>
        <v>276.28540530618437</v>
      </c>
    </row>
    <row r="60" spans="1:6" s="1130" customFormat="1" ht="14.45" customHeight="1" x14ac:dyDescent="0.3">
      <c r="A60" s="1149" t="s">
        <v>744</v>
      </c>
      <c r="B60" s="1140">
        <v>161</v>
      </c>
      <c r="C60" s="1140">
        <v>171</v>
      </c>
      <c r="D60" s="1140">
        <v>106</v>
      </c>
      <c r="E60" s="1140">
        <v>157</v>
      </c>
      <c r="F60" s="1140">
        <v>169.68531269808003</v>
      </c>
    </row>
    <row r="61" spans="1:6" s="1130" customFormat="1" ht="14.45" customHeight="1" x14ac:dyDescent="0.3">
      <c r="A61" s="1149" t="s">
        <v>745</v>
      </c>
      <c r="B61" s="1140">
        <v>982</v>
      </c>
      <c r="C61" s="1140">
        <v>984</v>
      </c>
      <c r="D61" s="1140">
        <v>52</v>
      </c>
      <c r="E61" s="1140">
        <v>98</v>
      </c>
      <c r="F61" s="1140">
        <v>106.60009260810435</v>
      </c>
    </row>
    <row r="62" spans="1:6" s="1130" customFormat="1" ht="14.45" customHeight="1" x14ac:dyDescent="0.3">
      <c r="A62" s="1138" t="s">
        <v>780</v>
      </c>
      <c r="B62" s="1137">
        <f>B63</f>
        <v>0</v>
      </c>
      <c r="C62" s="1137">
        <f t="shared" ref="C62" si="15">C63</f>
        <v>0</v>
      </c>
      <c r="D62" s="1137">
        <f>D63</f>
        <v>0</v>
      </c>
      <c r="E62" s="1137">
        <f>E63</f>
        <v>0</v>
      </c>
      <c r="F62" s="1137">
        <f>F63</f>
        <v>6369.4504867990263</v>
      </c>
    </row>
    <row r="63" spans="1:6" s="1130" customFormat="1" ht="14.45" customHeight="1" x14ac:dyDescent="0.3">
      <c r="A63" s="1143" t="s">
        <v>781</v>
      </c>
      <c r="B63" s="1140">
        <f t="shared" ref="B63:D63" si="16">B64+B65</f>
        <v>0</v>
      </c>
      <c r="C63" s="1140">
        <f t="shared" si="16"/>
        <v>0</v>
      </c>
      <c r="D63" s="1140">
        <f t="shared" si="16"/>
        <v>0</v>
      </c>
      <c r="E63" s="1140">
        <f>E64+E65</f>
        <v>0</v>
      </c>
      <c r="F63" s="1140">
        <f>F64+F65</f>
        <v>6369.4504867990263</v>
      </c>
    </row>
    <row r="64" spans="1:6" s="1130" customFormat="1" ht="14.45" customHeight="1" x14ac:dyDescent="0.3">
      <c r="A64" s="1143" t="s">
        <v>782</v>
      </c>
      <c r="B64" s="1140"/>
      <c r="C64" s="1140"/>
      <c r="D64" s="1140"/>
      <c r="E64" s="1140"/>
      <c r="F64" s="1140">
        <v>6369.4504867990263</v>
      </c>
    </row>
    <row r="65" spans="1:6" s="1130" customFormat="1" ht="14.45" customHeight="1" x14ac:dyDescent="0.3">
      <c r="A65" s="1143" t="s">
        <v>783</v>
      </c>
      <c r="B65" s="1140"/>
      <c r="C65" s="1140"/>
      <c r="D65" s="1140"/>
      <c r="E65" s="1140"/>
      <c r="F65" s="1140"/>
    </row>
    <row r="66" spans="1:6" s="1130" customFormat="1" ht="14.45" customHeight="1" x14ac:dyDescent="0.3">
      <c r="A66" s="1138" t="s">
        <v>784</v>
      </c>
      <c r="B66" s="1137">
        <f t="shared" ref="B66:F67" si="17">B67</f>
        <v>6138</v>
      </c>
      <c r="C66" s="1137">
        <f t="shared" si="17"/>
        <v>6663</v>
      </c>
      <c r="D66" s="1137">
        <f t="shared" si="17"/>
        <v>6316</v>
      </c>
      <c r="E66" s="1137">
        <f t="shared" si="17"/>
        <v>4954</v>
      </c>
      <c r="F66" s="1137">
        <f t="shared" si="17"/>
        <v>5712.6575000000003</v>
      </c>
    </row>
    <row r="67" spans="1:6" s="1130" customFormat="1" ht="14.45" customHeight="1" x14ac:dyDescent="0.3">
      <c r="A67" s="1139" t="s">
        <v>741</v>
      </c>
      <c r="B67" s="1140">
        <f t="shared" si="17"/>
        <v>6138</v>
      </c>
      <c r="C67" s="1140">
        <f t="shared" si="17"/>
        <v>6663</v>
      </c>
      <c r="D67" s="1140">
        <f t="shared" si="17"/>
        <v>6316</v>
      </c>
      <c r="E67" s="1140">
        <f t="shared" si="17"/>
        <v>4954</v>
      </c>
      <c r="F67" s="1140">
        <f t="shared" si="17"/>
        <v>5712.6575000000003</v>
      </c>
    </row>
    <row r="68" spans="1:6" s="1130" customFormat="1" ht="14.45" customHeight="1" x14ac:dyDescent="0.3">
      <c r="A68" s="1143" t="s">
        <v>744</v>
      </c>
      <c r="B68" s="1140">
        <v>6138</v>
      </c>
      <c r="C68" s="1140">
        <v>6663</v>
      </c>
      <c r="D68" s="1140">
        <v>6316</v>
      </c>
      <c r="E68" s="1140">
        <v>4954</v>
      </c>
      <c r="F68" s="1140">
        <v>5712.6575000000003</v>
      </c>
    </row>
    <row r="69" spans="1:6" s="1130" customFormat="1" ht="14.45" customHeight="1" x14ac:dyDescent="0.3">
      <c r="A69" s="1138" t="s">
        <v>785</v>
      </c>
      <c r="B69" s="1137">
        <f t="shared" ref="B69:C69" si="18">B70+B72</f>
        <v>385233</v>
      </c>
      <c r="C69" s="1137">
        <f t="shared" si="18"/>
        <v>423913</v>
      </c>
      <c r="D69" s="1137">
        <f>D70+D72</f>
        <v>449225</v>
      </c>
      <c r="E69" s="1137">
        <f>E70+E72</f>
        <v>524722</v>
      </c>
      <c r="F69" s="1137">
        <f>F70+F72</f>
        <v>588086.62922298477</v>
      </c>
    </row>
    <row r="70" spans="1:6" s="1130" customFormat="1" ht="14.45" customHeight="1" x14ac:dyDescent="0.3">
      <c r="A70" s="1139" t="s">
        <v>777</v>
      </c>
      <c r="B70" s="1140">
        <f t="shared" ref="B70:C70" si="19">B71</f>
        <v>2045</v>
      </c>
      <c r="C70" s="1140">
        <f t="shared" si="19"/>
        <v>1731</v>
      </c>
      <c r="D70" s="1140">
        <f>D71</f>
        <v>1880</v>
      </c>
      <c r="E70" s="1140">
        <f>E71</f>
        <v>1043</v>
      </c>
      <c r="F70" s="1140">
        <f>F71</f>
        <v>850.35199298051998</v>
      </c>
    </row>
    <row r="71" spans="1:6" s="1130" customFormat="1" ht="14.45" customHeight="1" x14ac:dyDescent="0.3">
      <c r="A71" s="1143" t="s">
        <v>744</v>
      </c>
      <c r="B71" s="1140">
        <v>2045</v>
      </c>
      <c r="C71" s="1140">
        <v>1731</v>
      </c>
      <c r="D71" s="1140">
        <v>1880</v>
      </c>
      <c r="E71" s="1140">
        <v>1043</v>
      </c>
      <c r="F71" s="1140">
        <v>850.35199298051998</v>
      </c>
    </row>
    <row r="72" spans="1:6" s="1130" customFormat="1" ht="16.5" customHeight="1" x14ac:dyDescent="0.3">
      <c r="A72" s="1139" t="s">
        <v>741</v>
      </c>
      <c r="B72" s="1140">
        <f t="shared" ref="B72:E72" si="20">B73</f>
        <v>383188</v>
      </c>
      <c r="C72" s="1140">
        <f t="shared" si="20"/>
        <v>422182</v>
      </c>
      <c r="D72" s="1140">
        <f t="shared" si="20"/>
        <v>447345</v>
      </c>
      <c r="E72" s="1140">
        <f t="shared" si="20"/>
        <v>523679</v>
      </c>
      <c r="F72" s="1140">
        <f>F73</f>
        <v>587236.2772300042</v>
      </c>
    </row>
    <row r="73" spans="1:6" s="1130" customFormat="1" ht="14.45" customHeight="1" x14ac:dyDescent="0.3">
      <c r="A73" s="1146" t="s">
        <v>752</v>
      </c>
      <c r="B73" s="1140">
        <f t="shared" ref="B73:D73" si="21">B74+B76</f>
        <v>383188</v>
      </c>
      <c r="C73" s="1140">
        <f t="shared" si="21"/>
        <v>422182</v>
      </c>
      <c r="D73" s="1140">
        <f t="shared" si="21"/>
        <v>447345</v>
      </c>
      <c r="E73" s="1140">
        <f>E74+E76</f>
        <v>523679</v>
      </c>
      <c r="F73" s="1140">
        <f>F74+F76</f>
        <v>587236.2772300042</v>
      </c>
    </row>
    <row r="74" spans="1:6" s="1130" customFormat="1" ht="14.45" customHeight="1" x14ac:dyDescent="0.3">
      <c r="A74" s="1143" t="s">
        <v>744</v>
      </c>
      <c r="B74" s="1140"/>
      <c r="C74" s="1140"/>
      <c r="D74" s="1140"/>
      <c r="E74" s="1140"/>
      <c r="F74" s="1140">
        <v>1513.4068300041633</v>
      </c>
    </row>
    <row r="75" spans="1:6" s="1130" customFormat="1" ht="14.45" customHeight="1" x14ac:dyDescent="0.3">
      <c r="A75" s="1141" t="s">
        <v>715</v>
      </c>
      <c r="B75" s="1140"/>
      <c r="C75" s="1140"/>
      <c r="D75" s="1140"/>
      <c r="E75" s="1140"/>
      <c r="F75" s="1142"/>
    </row>
    <row r="76" spans="1:6" s="1130" customFormat="1" ht="14.45" customHeight="1" x14ac:dyDescent="0.3">
      <c r="A76" s="1143" t="s">
        <v>745</v>
      </c>
      <c r="B76" s="1140">
        <v>383188</v>
      </c>
      <c r="C76" s="1140">
        <v>422182</v>
      </c>
      <c r="D76" s="1140">
        <v>447345</v>
      </c>
      <c r="E76" s="1140">
        <v>523679</v>
      </c>
      <c r="F76" s="1140">
        <v>585722.87040000001</v>
      </c>
    </row>
    <row r="77" spans="1:6" s="1130" customFormat="1" ht="14.45" customHeight="1" x14ac:dyDescent="0.3">
      <c r="A77" s="1141" t="s">
        <v>715</v>
      </c>
      <c r="B77" s="1142">
        <v>383188</v>
      </c>
      <c r="C77" s="1142">
        <v>422182</v>
      </c>
      <c r="D77" s="1142">
        <v>447345</v>
      </c>
      <c r="E77" s="1142">
        <v>523679</v>
      </c>
      <c r="F77" s="1142">
        <v>585722.87040000001</v>
      </c>
    </row>
    <row r="78" spans="1:6" s="1130" customFormat="1" ht="14.45" customHeight="1" x14ac:dyDescent="0.3">
      <c r="A78" s="1136" t="s">
        <v>761</v>
      </c>
      <c r="B78" s="1137">
        <f t="shared" ref="B78:C78" si="22">B79+B80+B81+B82</f>
        <v>217585</v>
      </c>
      <c r="C78" s="1137">
        <f t="shared" si="22"/>
        <v>269494</v>
      </c>
      <c r="D78" s="1137">
        <f>D79+D80+D81+D82</f>
        <v>288240</v>
      </c>
      <c r="E78" s="1137">
        <f>E79+E80+E81+E82</f>
        <v>372697</v>
      </c>
      <c r="F78" s="1137">
        <f>F79+F80+F81+F82</f>
        <v>342209.8419893508</v>
      </c>
    </row>
    <row r="79" spans="1:6" s="1130" customFormat="1" ht="14.45" customHeight="1" x14ac:dyDescent="0.3">
      <c r="A79" s="1150" t="s">
        <v>762</v>
      </c>
      <c r="B79" s="1140">
        <v>17549</v>
      </c>
      <c r="C79" s="1140">
        <v>22322</v>
      </c>
      <c r="D79" s="1140">
        <v>29918</v>
      </c>
      <c r="E79" s="1140">
        <v>31636</v>
      </c>
      <c r="F79" s="1140">
        <v>31874.571515334042</v>
      </c>
    </row>
    <row r="80" spans="1:6" s="1130" customFormat="1" ht="14.45" customHeight="1" x14ac:dyDescent="0.3">
      <c r="A80" s="1150" t="s">
        <v>760</v>
      </c>
      <c r="B80" s="1140">
        <v>4288</v>
      </c>
      <c r="C80" s="1140">
        <v>4560</v>
      </c>
      <c r="D80" s="1140">
        <v>5135</v>
      </c>
      <c r="E80" s="1140">
        <v>13801</v>
      </c>
      <c r="F80" s="1140">
        <v>12798.18948598</v>
      </c>
    </row>
    <row r="81" spans="1:6" s="1130" customFormat="1" ht="14.45" customHeight="1" x14ac:dyDescent="0.3">
      <c r="A81" s="1150" t="s">
        <v>786</v>
      </c>
      <c r="B81" s="1140">
        <v>1026</v>
      </c>
      <c r="C81" s="1140">
        <v>1259</v>
      </c>
      <c r="D81" s="1140">
        <v>1977</v>
      </c>
      <c r="E81" s="1140">
        <v>2132</v>
      </c>
      <c r="F81" s="1140">
        <v>2414.7389791199998</v>
      </c>
    </row>
    <row r="82" spans="1:6" s="1130" customFormat="1" ht="14.45" customHeight="1" x14ac:dyDescent="0.3">
      <c r="A82" s="1150" t="s">
        <v>787</v>
      </c>
      <c r="B82" s="1140">
        <f>B83+B84+B85</f>
        <v>194722</v>
      </c>
      <c r="C82" s="1140">
        <f>C83+C84+C85</f>
        <v>241353</v>
      </c>
      <c r="D82" s="1140">
        <f>D83+D84+D85</f>
        <v>251210</v>
      </c>
      <c r="E82" s="1140">
        <f>E83+E84+E85</f>
        <v>325128</v>
      </c>
      <c r="F82" s="1140">
        <f>F83+F84+F85</f>
        <v>295122.34200891678</v>
      </c>
    </row>
    <row r="83" spans="1:6" s="1130" customFormat="1" ht="14.45" customHeight="1" x14ac:dyDescent="0.3">
      <c r="A83" s="1139" t="s">
        <v>788</v>
      </c>
      <c r="B83" s="1140">
        <v>21240</v>
      </c>
      <c r="C83" s="1140">
        <v>48037</v>
      </c>
      <c r="D83" s="1140">
        <v>48475</v>
      </c>
      <c r="E83" s="1140">
        <v>111098</v>
      </c>
      <c r="F83" s="1140">
        <v>97750.461995286852</v>
      </c>
    </row>
    <row r="84" spans="1:6" s="1130" customFormat="1" ht="14.45" customHeight="1" x14ac:dyDescent="0.3">
      <c r="A84" s="1139" t="s">
        <v>789</v>
      </c>
      <c r="B84" s="1140">
        <v>161495</v>
      </c>
      <c r="C84" s="1140">
        <v>176813</v>
      </c>
      <c r="D84" s="1140">
        <v>202735</v>
      </c>
      <c r="E84" s="1140">
        <v>214030</v>
      </c>
      <c r="F84" s="1140">
        <v>197371.88001362991</v>
      </c>
    </row>
    <row r="85" spans="1:6" s="1130" customFormat="1" ht="14.45" customHeight="1" x14ac:dyDescent="0.3">
      <c r="A85" s="1139" t="s">
        <v>790</v>
      </c>
      <c r="B85" s="1140">
        <v>11987</v>
      </c>
      <c r="C85" s="1140">
        <v>16503</v>
      </c>
      <c r="D85" s="1140">
        <v>0</v>
      </c>
      <c r="E85" s="1140">
        <v>0</v>
      </c>
      <c r="F85" s="1140">
        <v>0</v>
      </c>
    </row>
    <row r="86" spans="1:6" s="1130" customFormat="1" ht="15.75" x14ac:dyDescent="0.3">
      <c r="A86" s="1151" t="s">
        <v>791</v>
      </c>
      <c r="B86" s="1137">
        <f>B87+B102+B120+B124</f>
        <v>15235621</v>
      </c>
      <c r="C86" s="1137">
        <f>C87+C102+C120+C124</f>
        <v>16323958</v>
      </c>
      <c r="D86" s="1137">
        <f>D87+D102+D120+D124</f>
        <v>18555578</v>
      </c>
      <c r="E86" s="1137">
        <f>E87+E102+E120+E124</f>
        <v>23293494.100000001</v>
      </c>
      <c r="F86" s="1137">
        <f>F87+F102+F120+F124</f>
        <v>24302839.090340745</v>
      </c>
    </row>
    <row r="87" spans="1:6" s="1130" customFormat="1" ht="15.75" x14ac:dyDescent="0.3">
      <c r="A87" s="1136" t="s">
        <v>734</v>
      </c>
      <c r="B87" s="1137">
        <f>B88+B95</f>
        <v>10971450</v>
      </c>
      <c r="C87" s="1137">
        <f>C88+C95</f>
        <v>11816540</v>
      </c>
      <c r="D87" s="1137">
        <f>D88+D95</f>
        <v>13080264</v>
      </c>
      <c r="E87" s="1137">
        <f>E88+E95</f>
        <v>15939259</v>
      </c>
      <c r="F87" s="1152">
        <f>F88+F95</f>
        <v>16440519.743823132</v>
      </c>
    </row>
    <row r="88" spans="1:6" s="1130" customFormat="1" ht="15.75" x14ac:dyDescent="0.3">
      <c r="A88" s="1138" t="s">
        <v>735</v>
      </c>
      <c r="B88" s="1137">
        <f>B89+B91+B93</f>
        <v>6347782</v>
      </c>
      <c r="C88" s="1137">
        <f>C89+C91+C93</f>
        <v>7477662</v>
      </c>
      <c r="D88" s="1137">
        <f>D89+D91+D93</f>
        <v>9645992</v>
      </c>
      <c r="E88" s="1137">
        <f>E89+E91+E93</f>
        <v>12207563</v>
      </c>
      <c r="F88" s="1152">
        <f>F89+F91+F93</f>
        <v>12629255.630484851</v>
      </c>
    </row>
    <row r="89" spans="1:6" s="1130" customFormat="1" ht="14.45" customHeight="1" x14ac:dyDescent="0.3">
      <c r="A89" s="1139" t="s">
        <v>792</v>
      </c>
      <c r="B89" s="1140">
        <v>6181778</v>
      </c>
      <c r="C89" s="1140">
        <v>7337777</v>
      </c>
      <c r="D89" s="1140">
        <v>9606266</v>
      </c>
      <c r="E89" s="1140">
        <v>12141006</v>
      </c>
      <c r="F89" s="1147">
        <v>12562799.963084852</v>
      </c>
    </row>
    <row r="90" spans="1:6" s="1130" customFormat="1" ht="14.45" customHeight="1" x14ac:dyDescent="0.3">
      <c r="A90" s="1141" t="s">
        <v>715</v>
      </c>
      <c r="B90" s="1142">
        <v>6008629.3288601618</v>
      </c>
      <c r="C90" s="1142">
        <v>7140496.8487430466</v>
      </c>
      <c r="D90" s="1142">
        <v>9400217</v>
      </c>
      <c r="E90" s="1142">
        <v>11913039</v>
      </c>
      <c r="F90" s="1153">
        <v>12304806.277599001</v>
      </c>
    </row>
    <row r="91" spans="1:6" s="1130" customFormat="1" ht="14.45" customHeight="1" x14ac:dyDescent="0.3">
      <c r="A91" s="1139" t="s">
        <v>775</v>
      </c>
      <c r="B91" s="1140">
        <v>1747</v>
      </c>
      <c r="C91" s="1140">
        <v>1793</v>
      </c>
      <c r="D91" s="1140">
        <v>3123</v>
      </c>
      <c r="E91" s="1140">
        <v>3439</v>
      </c>
      <c r="F91" s="1147">
        <v>4960.0333000000001</v>
      </c>
    </row>
    <row r="92" spans="1:6" s="1130" customFormat="1" ht="14.45" customHeight="1" x14ac:dyDescent="0.3">
      <c r="A92" s="1141" t="s">
        <v>715</v>
      </c>
      <c r="B92" s="1142">
        <v>1747</v>
      </c>
      <c r="C92" s="1142">
        <v>1793</v>
      </c>
      <c r="D92" s="1142">
        <v>3123</v>
      </c>
      <c r="E92" s="1142">
        <v>3439</v>
      </c>
      <c r="F92" s="1153">
        <v>4960.0333000000001</v>
      </c>
    </row>
    <row r="93" spans="1:6" s="1130" customFormat="1" ht="14.45" customHeight="1" x14ac:dyDescent="0.3">
      <c r="A93" s="1139" t="s">
        <v>776</v>
      </c>
      <c r="B93" s="1140">
        <v>164257</v>
      </c>
      <c r="C93" s="1140">
        <v>138092</v>
      </c>
      <c r="D93" s="1140">
        <v>36603</v>
      </c>
      <c r="E93" s="1140">
        <v>63118</v>
      </c>
      <c r="F93" s="1147">
        <v>61495.634100000003</v>
      </c>
    </row>
    <row r="94" spans="1:6" s="1130" customFormat="1" ht="14.45" customHeight="1" x14ac:dyDescent="0.3">
      <c r="A94" s="1141" t="s">
        <v>715</v>
      </c>
      <c r="B94" s="1142">
        <v>164257</v>
      </c>
      <c r="C94" s="1142">
        <v>138092</v>
      </c>
      <c r="D94" s="1142">
        <v>36603</v>
      </c>
      <c r="E94" s="1142">
        <v>63118</v>
      </c>
      <c r="F94" s="1153">
        <v>61495.634100000003</v>
      </c>
    </row>
    <row r="95" spans="1:6" s="1130" customFormat="1" ht="14.45" customHeight="1" x14ac:dyDescent="0.3">
      <c r="A95" s="1138" t="s">
        <v>736</v>
      </c>
      <c r="B95" s="1137">
        <f>B96+B98+B100</f>
        <v>4623668</v>
      </c>
      <c r="C95" s="1137">
        <f>C96+C98+C100</f>
        <v>4338878</v>
      </c>
      <c r="D95" s="1137">
        <f>D96+D98+D100</f>
        <v>3434272</v>
      </c>
      <c r="E95" s="1137">
        <f>E96+E98+E100</f>
        <v>3731696</v>
      </c>
      <c r="F95" s="1152">
        <f>F96+F98+F100</f>
        <v>3811264.11333828</v>
      </c>
    </row>
    <row r="96" spans="1:6" s="1130" customFormat="1" ht="14.45" customHeight="1" x14ac:dyDescent="0.3">
      <c r="A96" s="1139" t="s">
        <v>774</v>
      </c>
      <c r="B96" s="1140">
        <v>3855755.41</v>
      </c>
      <c r="C96" s="1140">
        <v>3624464.7209500005</v>
      </c>
      <c r="D96" s="1140">
        <v>2581255</v>
      </c>
      <c r="E96" s="1140">
        <v>2881224</v>
      </c>
      <c r="F96" s="1147">
        <v>2880285.107548588</v>
      </c>
    </row>
    <row r="97" spans="1:6" s="1130" customFormat="1" ht="14.45" customHeight="1" x14ac:dyDescent="0.3">
      <c r="A97" s="1141" t="s">
        <v>715</v>
      </c>
      <c r="B97" s="1142">
        <v>3844568.449</v>
      </c>
      <c r="C97" s="1142">
        <v>3612612.7493700003</v>
      </c>
      <c r="D97" s="1142">
        <v>2566948</v>
      </c>
      <c r="E97" s="1142">
        <v>2864235</v>
      </c>
      <c r="F97" s="1153">
        <v>2863087.9226970002</v>
      </c>
    </row>
    <row r="98" spans="1:6" s="1130" customFormat="1" ht="14.45" customHeight="1" x14ac:dyDescent="0.3">
      <c r="A98" s="1139" t="s">
        <v>775</v>
      </c>
      <c r="B98" s="1140">
        <v>27543.915000000001</v>
      </c>
      <c r="C98" s="1140">
        <v>28259.13</v>
      </c>
      <c r="D98" s="1140">
        <v>124611</v>
      </c>
      <c r="E98" s="1140">
        <v>125294</v>
      </c>
      <c r="F98" s="1147">
        <v>134808.72971936999</v>
      </c>
    </row>
    <row r="99" spans="1:6" s="1130" customFormat="1" ht="14.45" customHeight="1" x14ac:dyDescent="0.3">
      <c r="A99" s="1141" t="s">
        <v>715</v>
      </c>
      <c r="B99" s="1142">
        <v>24317</v>
      </c>
      <c r="C99" s="1142">
        <v>26755</v>
      </c>
      <c r="D99" s="1142">
        <v>123290</v>
      </c>
      <c r="E99" s="1142">
        <v>124538</v>
      </c>
      <c r="F99" s="1153">
        <v>134052.5814</v>
      </c>
    </row>
    <row r="100" spans="1:6" s="1130" customFormat="1" ht="14.45" customHeight="1" x14ac:dyDescent="0.3">
      <c r="A100" s="1139" t="s">
        <v>776</v>
      </c>
      <c r="B100" s="1140">
        <v>740368.67500000005</v>
      </c>
      <c r="C100" s="1140">
        <v>686154.14905000001</v>
      </c>
      <c r="D100" s="1140">
        <v>728406</v>
      </c>
      <c r="E100" s="1140">
        <v>725178</v>
      </c>
      <c r="F100" s="1147">
        <v>796170.27607032191</v>
      </c>
    </row>
    <row r="101" spans="1:6" s="1130" customFormat="1" ht="14.45" customHeight="1" x14ac:dyDescent="0.3">
      <c r="A101" s="1141" t="s">
        <v>715</v>
      </c>
      <c r="B101" s="1142">
        <v>739911</v>
      </c>
      <c r="C101" s="1142">
        <v>685227</v>
      </c>
      <c r="D101" s="1142">
        <v>727524</v>
      </c>
      <c r="E101" s="1142">
        <v>723589</v>
      </c>
      <c r="F101" s="1153">
        <v>794536.32186100003</v>
      </c>
    </row>
    <row r="102" spans="1:6" s="1130" customFormat="1" ht="14.45" customHeight="1" x14ac:dyDescent="0.3">
      <c r="A102" s="1136" t="s">
        <v>737</v>
      </c>
      <c r="B102" s="1137">
        <f t="shared" ref="B102:C102" si="23">B103+B107</f>
        <v>1109542</v>
      </c>
      <c r="C102" s="1137">
        <f t="shared" si="23"/>
        <v>1153758</v>
      </c>
      <c r="D102" s="1137">
        <f>D103+D107</f>
        <v>2570091</v>
      </c>
      <c r="E102" s="1137">
        <f>E103+E107</f>
        <v>3964191.8</v>
      </c>
      <c r="F102" s="1152">
        <f>F103+F107</f>
        <v>3797517.5265616076</v>
      </c>
    </row>
    <row r="103" spans="1:6" s="1130" customFormat="1" ht="14.45" customHeight="1" x14ac:dyDescent="0.3">
      <c r="A103" s="1138" t="s">
        <v>735</v>
      </c>
      <c r="B103" s="1137">
        <f t="shared" ref="B103:C103" si="24">B104+B105</f>
        <v>705352</v>
      </c>
      <c r="C103" s="1137">
        <f t="shared" si="24"/>
        <v>733270</v>
      </c>
      <c r="D103" s="1137">
        <f>D104+D105</f>
        <v>2285057</v>
      </c>
      <c r="E103" s="1137">
        <f>E104+E105</f>
        <v>3604196</v>
      </c>
      <c r="F103" s="1152">
        <f>F104+F105</f>
        <v>3344334.1059494885</v>
      </c>
    </row>
    <row r="104" spans="1:6" s="1130" customFormat="1" ht="14.45" customHeight="1" x14ac:dyDescent="0.3">
      <c r="A104" s="1139" t="s">
        <v>777</v>
      </c>
      <c r="B104" s="1140">
        <v>175</v>
      </c>
      <c r="C104" s="1140">
        <v>244</v>
      </c>
      <c r="D104" s="1140">
        <v>160</v>
      </c>
      <c r="E104" s="1140">
        <v>155</v>
      </c>
      <c r="F104" s="1147">
        <v>404.38413951555827</v>
      </c>
    </row>
    <row r="105" spans="1:6" s="1130" customFormat="1" ht="14.45" customHeight="1" x14ac:dyDescent="0.3">
      <c r="A105" s="1139" t="s">
        <v>741</v>
      </c>
      <c r="B105" s="1140">
        <v>705177</v>
      </c>
      <c r="C105" s="1140">
        <v>733026</v>
      </c>
      <c r="D105" s="1140">
        <v>2284897</v>
      </c>
      <c r="E105" s="1140">
        <v>3604041</v>
      </c>
      <c r="F105" s="1147">
        <v>3343929.721809973</v>
      </c>
    </row>
    <row r="106" spans="1:6" s="1130" customFormat="1" ht="14.45" customHeight="1" x14ac:dyDescent="0.3">
      <c r="A106" s="1141" t="s">
        <v>715</v>
      </c>
      <c r="B106" s="1142">
        <v>658829</v>
      </c>
      <c r="C106" s="1142">
        <v>708688</v>
      </c>
      <c r="D106" s="1142">
        <v>2266609</v>
      </c>
      <c r="E106" s="1142">
        <v>3582470</v>
      </c>
      <c r="F106" s="1153">
        <v>3308825.0462000002</v>
      </c>
    </row>
    <row r="107" spans="1:6" s="1130" customFormat="1" ht="14.45" customHeight="1" x14ac:dyDescent="0.3">
      <c r="A107" s="1138" t="s">
        <v>742</v>
      </c>
      <c r="B107" s="1137">
        <f t="shared" ref="B107:C107" si="25">B108+B111+B114+B117</f>
        <v>404190</v>
      </c>
      <c r="C107" s="1137">
        <f t="shared" si="25"/>
        <v>420488</v>
      </c>
      <c r="D107" s="1137">
        <f>D108+D111+D114+D117</f>
        <v>285034</v>
      </c>
      <c r="E107" s="1137">
        <f>E108+E111+E114+E117</f>
        <v>359995.80000000005</v>
      </c>
      <c r="F107" s="1152">
        <f>F108+F111+F114+F117</f>
        <v>453183.42061211891</v>
      </c>
    </row>
    <row r="108" spans="1:6" s="1130" customFormat="1" ht="14.45" customHeight="1" x14ac:dyDescent="0.3">
      <c r="A108" s="1139" t="s">
        <v>743</v>
      </c>
      <c r="B108" s="1140">
        <f t="shared" ref="B108:C108" si="26">B109+B110</f>
        <v>55</v>
      </c>
      <c r="C108" s="1140">
        <f t="shared" si="26"/>
        <v>78</v>
      </c>
      <c r="D108" s="1140">
        <f>D109+D110</f>
        <v>43</v>
      </c>
      <c r="E108" s="1140">
        <f>E109+E110</f>
        <v>49.4</v>
      </c>
      <c r="F108" s="1147">
        <f>F109+F110</f>
        <v>51.75</v>
      </c>
    </row>
    <row r="109" spans="1:6" s="1154" customFormat="1" ht="14.45" customHeight="1" x14ac:dyDescent="0.3">
      <c r="A109" s="1143" t="s">
        <v>744</v>
      </c>
      <c r="B109" s="1140">
        <v>34</v>
      </c>
      <c r="C109" s="1140">
        <v>57</v>
      </c>
      <c r="D109" s="1140">
        <v>36</v>
      </c>
      <c r="E109" s="1140">
        <v>44</v>
      </c>
      <c r="F109" s="1147">
        <v>46.85</v>
      </c>
    </row>
    <row r="110" spans="1:6" s="1130" customFormat="1" ht="14.45" customHeight="1" x14ac:dyDescent="0.3">
      <c r="A110" s="1143" t="s">
        <v>745</v>
      </c>
      <c r="B110" s="1140">
        <v>21</v>
      </c>
      <c r="C110" s="1140">
        <v>21</v>
      </c>
      <c r="D110" s="1140">
        <v>7</v>
      </c>
      <c r="E110" s="1140">
        <v>5.4</v>
      </c>
      <c r="F110" s="1147">
        <v>4.9000000000000004</v>
      </c>
    </row>
    <row r="111" spans="1:6" s="1130" customFormat="1" ht="14.45" customHeight="1" x14ac:dyDescent="0.3">
      <c r="A111" s="1139" t="s">
        <v>777</v>
      </c>
      <c r="B111" s="1140">
        <f t="shared" ref="B111:C111" si="27">B113+B112</f>
        <v>8698</v>
      </c>
      <c r="C111" s="1140">
        <f t="shared" si="27"/>
        <v>14983</v>
      </c>
      <c r="D111" s="1140">
        <f>D113+D112</f>
        <v>14217</v>
      </c>
      <c r="E111" s="1140">
        <f>E113+E112</f>
        <v>14625</v>
      </c>
      <c r="F111" s="1147">
        <f>F113+F112</f>
        <v>14282.30161347391</v>
      </c>
    </row>
    <row r="112" spans="1:6" s="1130" customFormat="1" ht="14.45" customHeight="1" x14ac:dyDescent="0.3">
      <c r="A112" s="1143" t="s">
        <v>744</v>
      </c>
      <c r="B112" s="1140">
        <v>0</v>
      </c>
      <c r="C112" s="1140">
        <v>0</v>
      </c>
      <c r="D112" s="1140">
        <v>1</v>
      </c>
      <c r="E112" s="1140">
        <v>19.899999999999999</v>
      </c>
      <c r="F112" s="1147">
        <v>103.46380453</v>
      </c>
    </row>
    <row r="113" spans="1:6" s="1154" customFormat="1" ht="14.45" customHeight="1" x14ac:dyDescent="0.3">
      <c r="A113" s="1143" t="s">
        <v>745</v>
      </c>
      <c r="B113" s="1140">
        <v>8698</v>
      </c>
      <c r="C113" s="1140">
        <v>14983</v>
      </c>
      <c r="D113" s="1140">
        <v>14216</v>
      </c>
      <c r="E113" s="1140">
        <v>14605.1</v>
      </c>
      <c r="F113" s="1147">
        <v>14178.83780894391</v>
      </c>
    </row>
    <row r="114" spans="1:6" s="1130" customFormat="1" ht="14.45" customHeight="1" x14ac:dyDescent="0.3">
      <c r="A114" s="1139" t="s">
        <v>720</v>
      </c>
      <c r="B114" s="1140">
        <f t="shared" ref="B114:C114" si="28">B115+B116</f>
        <v>270</v>
      </c>
      <c r="C114" s="1140">
        <f t="shared" si="28"/>
        <v>301</v>
      </c>
      <c r="D114" s="1140">
        <f>D115+D116</f>
        <v>325</v>
      </c>
      <c r="E114" s="1140">
        <f>E115+E116</f>
        <v>404</v>
      </c>
      <c r="F114" s="1147">
        <f>F115+F116</f>
        <v>342.45</v>
      </c>
    </row>
    <row r="115" spans="1:6" s="1130" customFormat="1" ht="14.45" customHeight="1" x14ac:dyDescent="0.3">
      <c r="A115" s="1143" t="s">
        <v>744</v>
      </c>
      <c r="B115" s="1140">
        <v>17</v>
      </c>
      <c r="C115" s="1140">
        <v>36</v>
      </c>
      <c r="D115" s="1140">
        <v>25</v>
      </c>
      <c r="E115" s="1140">
        <v>31</v>
      </c>
      <c r="F115" s="1147">
        <v>38.450000000000003</v>
      </c>
    </row>
    <row r="116" spans="1:6" s="1130" customFormat="1" ht="14.45" customHeight="1" x14ac:dyDescent="0.3">
      <c r="A116" s="1143" t="s">
        <v>745</v>
      </c>
      <c r="B116" s="1140">
        <v>253</v>
      </c>
      <c r="C116" s="1140">
        <v>265</v>
      </c>
      <c r="D116" s="1140">
        <v>300</v>
      </c>
      <c r="E116" s="1140">
        <v>373</v>
      </c>
      <c r="F116" s="1147">
        <v>304</v>
      </c>
    </row>
    <row r="117" spans="1:6" s="1130" customFormat="1" ht="14.45" customHeight="1" x14ac:dyDescent="0.3">
      <c r="A117" s="1139" t="s">
        <v>741</v>
      </c>
      <c r="B117" s="1140">
        <f t="shared" ref="B117:C117" si="29">B118</f>
        <v>395167</v>
      </c>
      <c r="C117" s="1140">
        <f t="shared" si="29"/>
        <v>405126</v>
      </c>
      <c r="D117" s="1140">
        <f>D118</f>
        <v>270449</v>
      </c>
      <c r="E117" s="1140">
        <f>E118</f>
        <v>344917.4</v>
      </c>
      <c r="F117" s="1147">
        <f>F118</f>
        <v>438506.91899864498</v>
      </c>
    </row>
    <row r="118" spans="1:6" s="1130" customFormat="1" ht="14.45" customHeight="1" x14ac:dyDescent="0.3">
      <c r="A118" s="1143" t="s">
        <v>745</v>
      </c>
      <c r="B118" s="1140">
        <v>395167</v>
      </c>
      <c r="C118" s="1140">
        <v>405126</v>
      </c>
      <c r="D118" s="1140">
        <v>270449</v>
      </c>
      <c r="E118" s="1140">
        <v>344917.4</v>
      </c>
      <c r="F118" s="1147">
        <v>438506.91899864498</v>
      </c>
    </row>
    <row r="119" spans="1:6" s="1130" customFormat="1" ht="14.45" customHeight="1" x14ac:dyDescent="0.3">
      <c r="A119" s="1141" t="s">
        <v>715</v>
      </c>
      <c r="B119" s="1142">
        <v>393298</v>
      </c>
      <c r="C119" s="1142">
        <v>402967</v>
      </c>
      <c r="D119" s="1142">
        <v>268913</v>
      </c>
      <c r="E119" s="1142">
        <v>342924.6</v>
      </c>
      <c r="F119" s="1153">
        <v>436614.6127</v>
      </c>
    </row>
    <row r="120" spans="1:6" s="1130" customFormat="1" ht="14.45" customHeight="1" x14ac:dyDescent="0.3">
      <c r="A120" s="1155" t="s">
        <v>778</v>
      </c>
      <c r="B120" s="1145">
        <f t="shared" ref="B120:C120" si="30">B121+B122</f>
        <v>98041</v>
      </c>
      <c r="C120" s="1145">
        <f t="shared" si="30"/>
        <v>30543</v>
      </c>
      <c r="D120" s="1145">
        <f>D121+D122</f>
        <v>46359</v>
      </c>
      <c r="E120" s="1145">
        <f>E121+E122</f>
        <v>39491</v>
      </c>
      <c r="F120" s="1156">
        <f>F121+F122</f>
        <v>33710.93160152746</v>
      </c>
    </row>
    <row r="121" spans="1:6" s="1130" customFormat="1" ht="14.45" customHeight="1" x14ac:dyDescent="0.3">
      <c r="A121" s="1139" t="s">
        <v>777</v>
      </c>
      <c r="B121" s="1140">
        <v>2041</v>
      </c>
      <c r="C121" s="1140">
        <v>2800</v>
      </c>
      <c r="D121" s="1140">
        <v>3154</v>
      </c>
      <c r="E121" s="1140">
        <v>1707</v>
      </c>
      <c r="F121" s="1147">
        <v>1799.9209015274607</v>
      </c>
    </row>
    <row r="122" spans="1:6" s="1130" customFormat="1" ht="14.45" customHeight="1" x14ac:dyDescent="0.3">
      <c r="A122" s="1139" t="s">
        <v>741</v>
      </c>
      <c r="B122" s="1140">
        <f t="shared" ref="B122:C122" si="31">B123</f>
        <v>96000</v>
      </c>
      <c r="C122" s="1140">
        <f t="shared" si="31"/>
        <v>27743</v>
      </c>
      <c r="D122" s="1140">
        <f>D123</f>
        <v>43205</v>
      </c>
      <c r="E122" s="1140">
        <f>E123</f>
        <v>37784</v>
      </c>
      <c r="F122" s="1147">
        <v>31911.010700000003</v>
      </c>
    </row>
    <row r="123" spans="1:6" s="1130" customFormat="1" ht="14.45" customHeight="1" x14ac:dyDescent="0.3">
      <c r="A123" s="1141" t="s">
        <v>715</v>
      </c>
      <c r="B123" s="1142">
        <v>96000</v>
      </c>
      <c r="C123" s="1142">
        <v>27743</v>
      </c>
      <c r="D123" s="1142">
        <v>43205</v>
      </c>
      <c r="E123" s="1142">
        <v>37784</v>
      </c>
      <c r="F123" s="1153">
        <v>31911.010700000003</v>
      </c>
    </row>
    <row r="124" spans="1:6" s="1130" customFormat="1" ht="14.45" customHeight="1" x14ac:dyDescent="0.3">
      <c r="A124" s="1136" t="s">
        <v>749</v>
      </c>
      <c r="B124" s="1137">
        <f>B125+B129+B150+B153+B163</f>
        <v>3056588</v>
      </c>
      <c r="C124" s="1137">
        <f>C125+C129+C150+C153+C163</f>
        <v>3323117</v>
      </c>
      <c r="D124" s="1137">
        <f>D125+D129+D150+D153+D163</f>
        <v>2858864</v>
      </c>
      <c r="E124" s="1137">
        <f>E125+E129+E150+E153+E163</f>
        <v>3350552.3</v>
      </c>
      <c r="F124" s="1152">
        <f>F125+F129+F150+F153+F163+F146</f>
        <v>4031090.8883544756</v>
      </c>
    </row>
    <row r="125" spans="1:6" s="1130" customFormat="1" ht="14.45" customHeight="1" x14ac:dyDescent="0.3">
      <c r="A125" s="1138" t="s">
        <v>751</v>
      </c>
      <c r="B125" s="1137">
        <f t="shared" ref="B125:C125" si="32">B126+B128</f>
        <v>175816</v>
      </c>
      <c r="C125" s="1137">
        <f t="shared" si="32"/>
        <v>225800</v>
      </c>
      <c r="D125" s="1137">
        <f>D126+D128</f>
        <v>254818</v>
      </c>
      <c r="E125" s="1137">
        <f>E126+E128</f>
        <v>327165</v>
      </c>
      <c r="F125" s="1152">
        <f>F126+F128</f>
        <v>372380.32391804882</v>
      </c>
    </row>
    <row r="126" spans="1:6" s="1130" customFormat="1" ht="14.45" customHeight="1" x14ac:dyDescent="0.3">
      <c r="A126" s="1139" t="s">
        <v>793</v>
      </c>
      <c r="B126" s="1140">
        <f>B127</f>
        <v>476</v>
      </c>
      <c r="C126" s="1140">
        <f>C127</f>
        <v>247</v>
      </c>
      <c r="D126" s="1140">
        <f>D127</f>
        <v>711</v>
      </c>
      <c r="E126" s="1140">
        <f>E127</f>
        <v>446</v>
      </c>
      <c r="F126" s="1147">
        <f>F127</f>
        <v>662.59421597720893</v>
      </c>
    </row>
    <row r="127" spans="1:6" s="1130" customFormat="1" ht="14.45" customHeight="1" x14ac:dyDescent="0.3">
      <c r="A127" s="1143" t="s">
        <v>744</v>
      </c>
      <c r="B127" s="1140">
        <v>476</v>
      </c>
      <c r="C127" s="1140">
        <v>247</v>
      </c>
      <c r="D127" s="1140">
        <v>711</v>
      </c>
      <c r="E127" s="1140">
        <v>446</v>
      </c>
      <c r="F127" s="1147">
        <v>662.59421597720893</v>
      </c>
    </row>
    <row r="128" spans="1:6" s="1130" customFormat="1" ht="14.45" customHeight="1" x14ac:dyDescent="0.3">
      <c r="A128" s="1139" t="s">
        <v>739</v>
      </c>
      <c r="B128" s="1140">
        <v>175340</v>
      </c>
      <c r="C128" s="1140">
        <v>225553</v>
      </c>
      <c r="D128" s="1140">
        <v>254107</v>
      </c>
      <c r="E128" s="1140">
        <v>326719</v>
      </c>
      <c r="F128" s="1147">
        <v>371717.72970207164</v>
      </c>
    </row>
    <row r="129" spans="1:6" s="1130" customFormat="1" ht="14.45" customHeight="1" x14ac:dyDescent="0.3">
      <c r="A129" s="1138" t="s">
        <v>753</v>
      </c>
      <c r="B129" s="1137">
        <f t="shared" ref="B129:C129" si="33">B133+B135+B137+B130</f>
        <v>1920903</v>
      </c>
      <c r="C129" s="1137">
        <f t="shared" si="33"/>
        <v>1933337</v>
      </c>
      <c r="D129" s="1137">
        <f>D133+D135+D137+D130</f>
        <v>2008160</v>
      </c>
      <c r="E129" s="1137">
        <f>E133+E135+E137+E130</f>
        <v>2245944</v>
      </c>
      <c r="F129" s="1152">
        <f>F133+F135+F137+F130</f>
        <v>2747981.7946622856</v>
      </c>
    </row>
    <row r="130" spans="1:6" s="1130" customFormat="1" ht="14.45" customHeight="1" x14ac:dyDescent="0.3">
      <c r="A130" s="1139" t="s">
        <v>743</v>
      </c>
      <c r="B130" s="1140">
        <f t="shared" ref="B130:C130" si="34">B131+B132</f>
        <v>0</v>
      </c>
      <c r="C130" s="1140">
        <f t="shared" si="34"/>
        <v>0</v>
      </c>
      <c r="D130" s="1140">
        <f>D131+D132</f>
        <v>1977</v>
      </c>
      <c r="E130" s="1140">
        <f>E131+E132</f>
        <v>34824</v>
      </c>
      <c r="F130" s="1140">
        <f>F131+F132</f>
        <v>50478.214999999997</v>
      </c>
    </row>
    <row r="131" spans="1:6" s="1154" customFormat="1" ht="14.45" customHeight="1" x14ac:dyDescent="0.3">
      <c r="A131" s="1143" t="s">
        <v>744</v>
      </c>
      <c r="B131" s="1140">
        <v>0</v>
      </c>
      <c r="C131" s="1140">
        <v>0</v>
      </c>
      <c r="D131" s="1140">
        <v>1977</v>
      </c>
      <c r="E131" s="1140">
        <v>0</v>
      </c>
      <c r="F131" s="1140">
        <v>0</v>
      </c>
    </row>
    <row r="132" spans="1:6" s="1130" customFormat="1" ht="14.45" customHeight="1" x14ac:dyDescent="0.3">
      <c r="A132" s="1143" t="s">
        <v>745</v>
      </c>
      <c r="B132" s="1140">
        <v>0</v>
      </c>
      <c r="C132" s="1140">
        <v>0</v>
      </c>
      <c r="D132" s="1140">
        <v>0</v>
      </c>
      <c r="E132" s="1140">
        <v>34824</v>
      </c>
      <c r="F132" s="1140">
        <v>50478.214999999997</v>
      </c>
    </row>
    <row r="133" spans="1:6" s="1130" customFormat="1" ht="14.45" customHeight="1" x14ac:dyDescent="0.3">
      <c r="A133" s="1139" t="s">
        <v>739</v>
      </c>
      <c r="B133" s="1140">
        <f t="shared" ref="B133:C133" si="35">B134</f>
        <v>117182</v>
      </c>
      <c r="C133" s="1140">
        <f t="shared" si="35"/>
        <v>128946</v>
      </c>
      <c r="D133" s="1140">
        <f>D134</f>
        <v>107784</v>
      </c>
      <c r="E133" s="1140">
        <f>E134</f>
        <v>115771</v>
      </c>
      <c r="F133" s="1140">
        <f>F134</f>
        <v>167082.66294344087</v>
      </c>
    </row>
    <row r="134" spans="1:6" s="1130" customFormat="1" ht="14.45" customHeight="1" x14ac:dyDescent="0.3">
      <c r="A134" s="1143" t="s">
        <v>745</v>
      </c>
      <c r="B134" s="1140">
        <v>117182</v>
      </c>
      <c r="C134" s="1140">
        <v>128946</v>
      </c>
      <c r="D134" s="1140">
        <v>107784</v>
      </c>
      <c r="E134" s="1140">
        <v>115771</v>
      </c>
      <c r="F134" s="1140">
        <v>167082.66294344087</v>
      </c>
    </row>
    <row r="135" spans="1:6" s="1130" customFormat="1" ht="14.45" customHeight="1" x14ac:dyDescent="0.3">
      <c r="A135" s="1139" t="s">
        <v>720</v>
      </c>
      <c r="B135" s="1140">
        <f t="shared" ref="B135:C135" si="36">B136</f>
        <v>36690</v>
      </c>
      <c r="C135" s="1140">
        <f t="shared" si="36"/>
        <v>34439</v>
      </c>
      <c r="D135" s="1140">
        <f>D136</f>
        <v>53977</v>
      </c>
      <c r="E135" s="1140">
        <f>E136</f>
        <v>62409</v>
      </c>
      <c r="F135" s="1140">
        <f>F136</f>
        <v>67829</v>
      </c>
    </row>
    <row r="136" spans="1:6" s="1130" customFormat="1" ht="14.45" customHeight="1" x14ac:dyDescent="0.3">
      <c r="A136" s="1143" t="s">
        <v>756</v>
      </c>
      <c r="B136" s="1140">
        <v>36690</v>
      </c>
      <c r="C136" s="1140">
        <v>34439</v>
      </c>
      <c r="D136" s="1140">
        <v>53977</v>
      </c>
      <c r="E136" s="1140">
        <v>62409</v>
      </c>
      <c r="F136" s="1140">
        <v>67829</v>
      </c>
    </row>
    <row r="137" spans="1:6" s="1130" customFormat="1" ht="14.45" customHeight="1" x14ac:dyDescent="0.3">
      <c r="A137" s="1139" t="s">
        <v>741</v>
      </c>
      <c r="B137" s="1140">
        <f t="shared" ref="B137:C137" si="37">B138+B139</f>
        <v>1767031</v>
      </c>
      <c r="C137" s="1140">
        <f t="shared" si="37"/>
        <v>1769952</v>
      </c>
      <c r="D137" s="1140">
        <f>D138+D139</f>
        <v>1844422</v>
      </c>
      <c r="E137" s="1140">
        <f>E138+E139</f>
        <v>2032940</v>
      </c>
      <c r="F137" s="1140">
        <f>F138+F139</f>
        <v>2462591.9167188448</v>
      </c>
    </row>
    <row r="138" spans="1:6" s="1130" customFormat="1" ht="14.45" customHeight="1" x14ac:dyDescent="0.3">
      <c r="A138" s="1143" t="s">
        <v>744</v>
      </c>
      <c r="B138" s="1140">
        <f t="shared" ref="B138:C138" si="38">B144</f>
        <v>249</v>
      </c>
      <c r="C138" s="1140">
        <f t="shared" si="38"/>
        <v>108</v>
      </c>
      <c r="D138" s="1140">
        <v>187</v>
      </c>
      <c r="E138" s="1140">
        <v>155</v>
      </c>
      <c r="F138" s="1140">
        <v>198.74576984460612</v>
      </c>
    </row>
    <row r="139" spans="1:6" s="1130" customFormat="1" ht="14.45" customHeight="1" x14ac:dyDescent="0.3">
      <c r="A139" s="1143" t="s">
        <v>745</v>
      </c>
      <c r="B139" s="1140">
        <f t="shared" ref="B139:C139" si="39">B141+B145</f>
        <v>1766782</v>
      </c>
      <c r="C139" s="1140">
        <f t="shared" si="39"/>
        <v>1769844</v>
      </c>
      <c r="D139" s="1140">
        <v>1844235</v>
      </c>
      <c r="E139" s="1140">
        <v>2032785</v>
      </c>
      <c r="F139" s="1140">
        <v>2462393.1709490004</v>
      </c>
    </row>
    <row r="140" spans="1:6" s="1130" customFormat="1" ht="14.45" customHeight="1" x14ac:dyDescent="0.3">
      <c r="A140" s="1146" t="s">
        <v>752</v>
      </c>
      <c r="B140" s="1140">
        <f t="shared" ref="B140:E141" si="40">B141</f>
        <v>1752752</v>
      </c>
      <c r="C140" s="1140">
        <f t="shared" si="40"/>
        <v>1752119</v>
      </c>
      <c r="D140" s="1140">
        <f t="shared" si="40"/>
        <v>1819699</v>
      </c>
      <c r="E140" s="1140">
        <f t="shared" si="40"/>
        <v>2004572.4</v>
      </c>
      <c r="F140" s="1147">
        <f>F141</f>
        <v>2430858.1709490004</v>
      </c>
    </row>
    <row r="141" spans="1:6" s="1154" customFormat="1" ht="14.45" customHeight="1" x14ac:dyDescent="0.3">
      <c r="A141" s="1143" t="s">
        <v>745</v>
      </c>
      <c r="B141" s="1140">
        <f t="shared" si="40"/>
        <v>1752752</v>
      </c>
      <c r="C141" s="1140">
        <f t="shared" si="40"/>
        <v>1752119</v>
      </c>
      <c r="D141" s="1140">
        <f t="shared" si="40"/>
        <v>1819699</v>
      </c>
      <c r="E141" s="1140">
        <f t="shared" si="40"/>
        <v>2004572.4</v>
      </c>
      <c r="F141" s="1140">
        <v>2430858.1709490004</v>
      </c>
    </row>
    <row r="142" spans="1:6" s="1130" customFormat="1" ht="14.45" customHeight="1" x14ac:dyDescent="0.3">
      <c r="A142" s="1141" t="s">
        <v>715</v>
      </c>
      <c r="B142" s="1142">
        <v>1752752</v>
      </c>
      <c r="C142" s="1142">
        <v>1752119</v>
      </c>
      <c r="D142" s="1142">
        <v>1819699</v>
      </c>
      <c r="E142" s="1142">
        <v>2004572.4</v>
      </c>
      <c r="F142" s="1142">
        <v>2430679.6816000002</v>
      </c>
    </row>
    <row r="143" spans="1:6" s="1130" customFormat="1" ht="14.45" customHeight="1" x14ac:dyDescent="0.3">
      <c r="A143" s="1146" t="s">
        <v>779</v>
      </c>
      <c r="B143" s="1140">
        <f>B144+B145</f>
        <v>14279</v>
      </c>
      <c r="C143" s="1140">
        <f t="shared" ref="C143" si="41">C144+C145</f>
        <v>17833</v>
      </c>
      <c r="D143" s="1140">
        <f>D144+D145</f>
        <v>24723.600000000002</v>
      </c>
      <c r="E143" s="1140">
        <f>E144+E145</f>
        <v>28367.9</v>
      </c>
      <c r="F143" s="1140">
        <f>F144+F145</f>
        <v>31733.745769844605</v>
      </c>
    </row>
    <row r="144" spans="1:6" s="1130" customFormat="1" ht="14.45" customHeight="1" x14ac:dyDescent="0.3">
      <c r="A144" s="1143" t="s">
        <v>744</v>
      </c>
      <c r="B144" s="1140">
        <v>249</v>
      </c>
      <c r="C144" s="1140">
        <v>108</v>
      </c>
      <c r="D144" s="1140">
        <v>187.4</v>
      </c>
      <c r="E144" s="1140">
        <v>155.4</v>
      </c>
      <c r="F144" s="1140">
        <v>198.74576984460612</v>
      </c>
    </row>
    <row r="145" spans="1:6" s="1130" customFormat="1" ht="14.45" customHeight="1" x14ac:dyDescent="0.3">
      <c r="A145" s="1143" t="s">
        <v>745</v>
      </c>
      <c r="B145" s="1140">
        <v>14030</v>
      </c>
      <c r="C145" s="1140">
        <v>17725</v>
      </c>
      <c r="D145" s="1140">
        <v>24536.2</v>
      </c>
      <c r="E145" s="1140">
        <v>28212.5</v>
      </c>
      <c r="F145" s="1140">
        <v>31535</v>
      </c>
    </row>
    <row r="146" spans="1:6" s="1157" customFormat="1" ht="14.45" customHeight="1" x14ac:dyDescent="0.25">
      <c r="A146" s="1138" t="s">
        <v>780</v>
      </c>
      <c r="B146" s="1140">
        <f t="shared" ref="B146:D146" si="42">B147</f>
        <v>0</v>
      </c>
      <c r="C146" s="1140">
        <f t="shared" si="42"/>
        <v>0</v>
      </c>
      <c r="D146" s="1140">
        <f t="shared" si="42"/>
        <v>0</v>
      </c>
      <c r="E146" s="1140">
        <f>E147</f>
        <v>0</v>
      </c>
      <c r="F146" s="1137">
        <f>F147</f>
        <v>601.56145251893395</v>
      </c>
    </row>
    <row r="147" spans="1:6" s="1157" customFormat="1" ht="14.45" customHeight="1" x14ac:dyDescent="0.25">
      <c r="A147" s="1143" t="s">
        <v>781</v>
      </c>
      <c r="B147" s="1140">
        <f t="shared" ref="B147:D147" si="43">B148+B149</f>
        <v>0</v>
      </c>
      <c r="C147" s="1140">
        <f t="shared" si="43"/>
        <v>0</v>
      </c>
      <c r="D147" s="1140">
        <f t="shared" si="43"/>
        <v>0</v>
      </c>
      <c r="E147" s="1140">
        <f>E148+E149</f>
        <v>0</v>
      </c>
      <c r="F147" s="1140">
        <f>F148+F149</f>
        <v>601.56145251893395</v>
      </c>
    </row>
    <row r="148" spans="1:6" s="1157" customFormat="1" ht="14.45" customHeight="1" x14ac:dyDescent="0.25">
      <c r="A148" s="1143" t="s">
        <v>782</v>
      </c>
      <c r="B148" s="1140"/>
      <c r="C148" s="1140"/>
      <c r="D148" s="1140"/>
      <c r="E148" s="1140"/>
      <c r="F148" s="1140">
        <v>601.56145251893395</v>
      </c>
    </row>
    <row r="149" spans="1:6" s="1157" customFormat="1" ht="14.45" customHeight="1" x14ac:dyDescent="0.25">
      <c r="A149" s="1143" t="s">
        <v>783</v>
      </c>
      <c r="B149" s="1140"/>
      <c r="C149" s="1140"/>
      <c r="D149" s="1140"/>
      <c r="E149" s="1140"/>
      <c r="F149" s="1140"/>
    </row>
    <row r="150" spans="1:6" s="1157" customFormat="1" ht="15.75" x14ac:dyDescent="0.25">
      <c r="A150" s="1138" t="s">
        <v>784</v>
      </c>
      <c r="B150" s="1137">
        <f>B151</f>
        <v>5532</v>
      </c>
      <c r="C150" s="1137">
        <f>C151</f>
        <v>4819</v>
      </c>
      <c r="D150" s="1137">
        <f>D151</f>
        <v>5789</v>
      </c>
      <c r="E150" s="1137">
        <f>E151</f>
        <v>6925</v>
      </c>
      <c r="F150" s="1137">
        <f>F151</f>
        <v>9232.26</v>
      </c>
    </row>
    <row r="151" spans="1:6" s="1157" customFormat="1" ht="15.75" x14ac:dyDescent="0.25">
      <c r="A151" s="1139" t="s">
        <v>741</v>
      </c>
      <c r="B151" s="1140">
        <v>5532</v>
      </c>
      <c r="C151" s="1140">
        <v>4819</v>
      </c>
      <c r="D151" s="1140">
        <f>D152</f>
        <v>5789</v>
      </c>
      <c r="E151" s="1140">
        <f>E152</f>
        <v>6925</v>
      </c>
      <c r="F151" s="1140">
        <f>F152</f>
        <v>9232.26</v>
      </c>
    </row>
    <row r="152" spans="1:6" s="1158" customFormat="1" ht="15.75" x14ac:dyDescent="0.25">
      <c r="A152" s="1143" t="s">
        <v>744</v>
      </c>
      <c r="B152" s="1140">
        <v>5532</v>
      </c>
      <c r="C152" s="1140">
        <v>4819</v>
      </c>
      <c r="D152" s="1140">
        <v>5789</v>
      </c>
      <c r="E152" s="1140">
        <v>6925</v>
      </c>
      <c r="F152" s="1140">
        <v>9232.26</v>
      </c>
    </row>
    <row r="153" spans="1:6" s="1157" customFormat="1" ht="15.75" customHeight="1" x14ac:dyDescent="0.25">
      <c r="A153" s="1138" t="s">
        <v>794</v>
      </c>
      <c r="B153" s="1137">
        <f t="shared" ref="B153:C153" si="44">B155+B157+B154</f>
        <v>949726</v>
      </c>
      <c r="C153" s="1137">
        <f t="shared" si="44"/>
        <v>1154262</v>
      </c>
      <c r="D153" s="1137">
        <f>D155+D157+D154</f>
        <v>584586</v>
      </c>
      <c r="E153" s="1137">
        <f>E155+E157+E154</f>
        <v>756317.3</v>
      </c>
      <c r="F153" s="1137">
        <f>F155+F157+F154</f>
        <v>887277.94832162233</v>
      </c>
    </row>
    <row r="154" spans="1:6" s="1157" customFormat="1" ht="15.75" customHeight="1" x14ac:dyDescent="0.25">
      <c r="A154" s="1139" t="s">
        <v>743</v>
      </c>
      <c r="B154" s="1137"/>
      <c r="C154" s="1137"/>
      <c r="D154" s="1140">
        <v>2</v>
      </c>
      <c r="E154" s="1140">
        <v>2.2999999999999998</v>
      </c>
      <c r="F154" s="1140">
        <v>2.3045300000000002</v>
      </c>
    </row>
    <row r="155" spans="1:6" s="1157" customFormat="1" ht="15.75" customHeight="1" x14ac:dyDescent="0.25">
      <c r="A155" s="1139" t="s">
        <v>777</v>
      </c>
      <c r="B155" s="1140">
        <f t="shared" ref="B155:C155" si="45">B156</f>
        <v>6226</v>
      </c>
      <c r="C155" s="1140">
        <f t="shared" si="45"/>
        <v>4360</v>
      </c>
      <c r="D155" s="1140">
        <f>D156</f>
        <v>4027</v>
      </c>
      <c r="E155" s="1140">
        <f>E156</f>
        <v>4780</v>
      </c>
      <c r="F155" s="1140">
        <f>F156</f>
        <v>7440.1158857285154</v>
      </c>
    </row>
    <row r="156" spans="1:6" ht="15.75" x14ac:dyDescent="0.25">
      <c r="A156" s="1143" t="s">
        <v>744</v>
      </c>
      <c r="B156" s="1140">
        <v>6226</v>
      </c>
      <c r="C156" s="1140">
        <v>4360</v>
      </c>
      <c r="D156" s="1140">
        <v>4027</v>
      </c>
      <c r="E156" s="1140">
        <v>4780</v>
      </c>
      <c r="F156" s="1140">
        <v>7440.1158857285154</v>
      </c>
    </row>
    <row r="157" spans="1:6" ht="15.75" x14ac:dyDescent="0.25">
      <c r="A157" s="1139" t="s">
        <v>741</v>
      </c>
      <c r="B157" s="1140">
        <f t="shared" ref="B157:F161" si="46">B158</f>
        <v>943500</v>
      </c>
      <c r="C157" s="1140">
        <f t="shared" si="46"/>
        <v>1149902</v>
      </c>
      <c r="D157" s="1140">
        <f t="shared" si="46"/>
        <v>580557</v>
      </c>
      <c r="E157" s="1140">
        <f t="shared" si="46"/>
        <v>751535</v>
      </c>
      <c r="F157" s="1140">
        <f t="shared" si="46"/>
        <v>879835.52790589386</v>
      </c>
    </row>
    <row r="158" spans="1:6" ht="15.75" x14ac:dyDescent="0.25">
      <c r="A158" s="1146" t="s">
        <v>752</v>
      </c>
      <c r="B158" s="1140">
        <f t="shared" ref="B158:C158" si="47">B161</f>
        <v>943500</v>
      </c>
      <c r="C158" s="1140">
        <f t="shared" si="47"/>
        <v>1149902</v>
      </c>
      <c r="D158" s="1140">
        <f>D161</f>
        <v>580557</v>
      </c>
      <c r="E158" s="1140">
        <f>E161+E159</f>
        <v>751535</v>
      </c>
      <c r="F158" s="1140">
        <f>F161+F159</f>
        <v>879835.52790589386</v>
      </c>
    </row>
    <row r="159" spans="1:6" ht="15.75" x14ac:dyDescent="0.25">
      <c r="A159" s="1149" t="s">
        <v>744</v>
      </c>
      <c r="B159" s="1147"/>
      <c r="C159" s="1147"/>
      <c r="D159" s="1147"/>
      <c r="E159" s="1147"/>
      <c r="F159" s="1147">
        <v>1031.7518058938924</v>
      </c>
    </row>
    <row r="160" spans="1:6" ht="15.75" x14ac:dyDescent="0.25">
      <c r="A160" s="1159" t="s">
        <v>715</v>
      </c>
      <c r="B160" s="1153"/>
      <c r="C160" s="1153"/>
      <c r="D160" s="1153"/>
      <c r="E160" s="1153"/>
      <c r="F160" s="1153"/>
    </row>
    <row r="161" spans="1:6" ht="15.75" x14ac:dyDescent="0.25">
      <c r="A161" s="1143" t="s">
        <v>745</v>
      </c>
      <c r="B161" s="1140">
        <f t="shared" ref="B161:C161" si="48">B162</f>
        <v>943500</v>
      </c>
      <c r="C161" s="1140">
        <f t="shared" si="48"/>
        <v>1149902</v>
      </c>
      <c r="D161" s="1140">
        <f t="shared" si="46"/>
        <v>580557</v>
      </c>
      <c r="E161" s="1140">
        <f t="shared" si="46"/>
        <v>751535</v>
      </c>
      <c r="F161" s="1140">
        <f>F162</f>
        <v>878803.77610000002</v>
      </c>
    </row>
    <row r="162" spans="1:6" ht="15.75" x14ac:dyDescent="0.25">
      <c r="A162" s="1141" t="s">
        <v>715</v>
      </c>
      <c r="B162" s="1142">
        <v>943500</v>
      </c>
      <c r="C162" s="1142">
        <v>1149902</v>
      </c>
      <c r="D162" s="1142">
        <v>580557</v>
      </c>
      <c r="E162" s="1142">
        <v>751535</v>
      </c>
      <c r="F162" s="1142">
        <v>878803.77610000002</v>
      </c>
    </row>
    <row r="163" spans="1:6" thickBot="1" x14ac:dyDescent="0.3">
      <c r="A163" s="1160" t="s">
        <v>795</v>
      </c>
      <c r="B163" s="1161">
        <v>4611</v>
      </c>
      <c r="C163" s="1161">
        <v>4899</v>
      </c>
      <c r="D163" s="1161">
        <v>5511</v>
      </c>
      <c r="E163" s="1161">
        <v>14201</v>
      </c>
      <c r="F163" s="1161">
        <v>13617</v>
      </c>
    </row>
    <row r="164" spans="1:6" s="423" customFormat="1" ht="29.25" customHeight="1" x14ac:dyDescent="0.25">
      <c r="A164" s="3572" t="s">
        <v>796</v>
      </c>
      <c r="B164" s="3572"/>
      <c r="C164" s="3572"/>
      <c r="D164" s="3572"/>
      <c r="E164" s="3572"/>
      <c r="F164" s="3572"/>
    </row>
    <row r="165" spans="1:6" ht="15.75" x14ac:dyDescent="0.25">
      <c r="A165" s="1162" t="s">
        <v>797</v>
      </c>
      <c r="B165" s="1163"/>
      <c r="C165" s="1163"/>
      <c r="D165" s="1163"/>
      <c r="E165" s="1163"/>
      <c r="F165" s="1163"/>
    </row>
    <row r="166" spans="1:6" ht="15.75" x14ac:dyDescent="0.25">
      <c r="A166" s="307" t="s">
        <v>290</v>
      </c>
      <c r="B166" s="1163"/>
      <c r="C166" s="1163"/>
      <c r="D166" s="1164"/>
      <c r="E166" s="1164"/>
      <c r="F166" s="1164"/>
    </row>
  </sheetData>
  <mergeCells count="2">
    <mergeCell ref="A1:D1"/>
    <mergeCell ref="A164:F164"/>
  </mergeCells>
  <pageMargins left="0.75" right="0.75" top="0.57999999999999996" bottom="0.02" header="0.31496062992126" footer="0.31496062992126"/>
  <pageSetup paperSize="9" scale="57" fitToHeight="0" orientation="portrait" r:id="rId1"/>
  <rowBreaks count="1" manualBreakCount="1">
    <brk id="85"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YH65"/>
  <sheetViews>
    <sheetView showGridLines="0" zoomScale="70" zoomScaleNormal="70" zoomScaleSheetLayoutView="80" workbookViewId="0">
      <pane xSplit="2" ySplit="3" topLeftCell="EX58" activePane="bottomRight" state="frozen"/>
      <selection activeCell="A38" sqref="A38"/>
      <selection pane="topRight" activeCell="A38" sqref="A38"/>
      <selection pane="bottomLeft" activeCell="A38" sqref="A38"/>
      <selection pane="bottomRight" activeCell="A38" sqref="A38"/>
    </sheetView>
  </sheetViews>
  <sheetFormatPr defaultRowHeight="16.5" x14ac:dyDescent="0.3"/>
  <cols>
    <col min="1" max="1" width="8.28515625" style="1692" customWidth="1"/>
    <col min="2" max="2" width="64.28515625" style="1692" customWidth="1"/>
    <col min="3" max="7" width="16.5703125" style="1692" hidden="1" customWidth="1"/>
    <col min="8" max="8" width="12.85546875" style="1692" hidden="1" customWidth="1"/>
    <col min="9" max="153" width="16.5703125" style="1692" hidden="1" customWidth="1"/>
    <col min="154" max="154" width="15.140625" style="1692" hidden="1" customWidth="1"/>
    <col min="155" max="167" width="14.28515625" style="1692" customWidth="1"/>
    <col min="168" max="294" width="9.140625" style="1692"/>
    <col min="295" max="295" width="5.140625" style="1692" customWidth="1"/>
    <col min="296" max="296" width="63.42578125" style="1692" customWidth="1"/>
    <col min="297" max="334" width="9.140625" style="1692" hidden="1" customWidth="1"/>
    <col min="335" max="345" width="10.85546875" style="1692" customWidth="1"/>
    <col min="346" max="347" width="10.7109375" style="1692" customWidth="1"/>
    <col min="348" max="550" width="9.140625" style="1692"/>
    <col min="551" max="551" width="5.140625" style="1692" customWidth="1"/>
    <col min="552" max="552" width="63.42578125" style="1692" customWidth="1"/>
    <col min="553" max="590" width="9.140625" style="1692" hidden="1" customWidth="1"/>
    <col min="591" max="601" width="10.85546875" style="1692" customWidth="1"/>
    <col min="602" max="603" width="10.7109375" style="1692" customWidth="1"/>
    <col min="604" max="806" width="9.140625" style="1692"/>
    <col min="807" max="807" width="5.140625" style="1692" customWidth="1"/>
    <col min="808" max="808" width="63.42578125" style="1692" customWidth="1"/>
    <col min="809" max="846" width="9.140625" style="1692" hidden="1" customWidth="1"/>
    <col min="847" max="857" width="10.85546875" style="1692" customWidth="1"/>
    <col min="858" max="859" width="10.7109375" style="1692" customWidth="1"/>
    <col min="860" max="1062" width="9.140625" style="1692"/>
    <col min="1063" max="1063" width="5.140625" style="1692" customWidth="1"/>
    <col min="1064" max="1064" width="63.42578125" style="1692" customWidth="1"/>
    <col min="1065" max="1102" width="9.140625" style="1692" hidden="1" customWidth="1"/>
    <col min="1103" max="1113" width="10.85546875" style="1692" customWidth="1"/>
    <col min="1114" max="1115" width="10.7109375" style="1692" customWidth="1"/>
    <col min="1116" max="1318" width="9.140625" style="1692"/>
    <col min="1319" max="1319" width="5.140625" style="1692" customWidth="1"/>
    <col min="1320" max="1320" width="63.42578125" style="1692" customWidth="1"/>
    <col min="1321" max="1358" width="9.140625" style="1692" hidden="1" customWidth="1"/>
    <col min="1359" max="1369" width="10.85546875" style="1692" customWidth="1"/>
    <col min="1370" max="1371" width="10.7109375" style="1692" customWidth="1"/>
    <col min="1372" max="1574" width="9.140625" style="1692"/>
    <col min="1575" max="1575" width="5.140625" style="1692" customWidth="1"/>
    <col min="1576" max="1576" width="63.42578125" style="1692" customWidth="1"/>
    <col min="1577" max="1614" width="9.140625" style="1692" hidden="1" customWidth="1"/>
    <col min="1615" max="1625" width="10.85546875" style="1692" customWidth="1"/>
    <col min="1626" max="1627" width="10.7109375" style="1692" customWidth="1"/>
    <col min="1628" max="1830" width="9.140625" style="1692"/>
    <col min="1831" max="1831" width="5.140625" style="1692" customWidth="1"/>
    <col min="1832" max="1832" width="63.42578125" style="1692" customWidth="1"/>
    <col min="1833" max="1870" width="9.140625" style="1692" hidden="1" customWidth="1"/>
    <col min="1871" max="1881" width="10.85546875" style="1692" customWidth="1"/>
    <col min="1882" max="1883" width="10.7109375" style="1692" customWidth="1"/>
    <col min="1884" max="2086" width="9.140625" style="1692"/>
    <col min="2087" max="2087" width="5.140625" style="1692" customWidth="1"/>
    <col min="2088" max="2088" width="63.42578125" style="1692" customWidth="1"/>
    <col min="2089" max="2126" width="9.140625" style="1692" hidden="1" customWidth="1"/>
    <col min="2127" max="2137" width="10.85546875" style="1692" customWidth="1"/>
    <col min="2138" max="2139" width="10.7109375" style="1692" customWidth="1"/>
    <col min="2140" max="2342" width="9.140625" style="1692"/>
    <col min="2343" max="2343" width="5.140625" style="1692" customWidth="1"/>
    <col min="2344" max="2344" width="63.42578125" style="1692" customWidth="1"/>
    <col min="2345" max="2382" width="9.140625" style="1692" hidden="1" customWidth="1"/>
    <col min="2383" max="2393" width="10.85546875" style="1692" customWidth="1"/>
    <col min="2394" max="2395" width="10.7109375" style="1692" customWidth="1"/>
    <col min="2396" max="2598" width="9.140625" style="1692"/>
    <col min="2599" max="2599" width="5.140625" style="1692" customWidth="1"/>
    <col min="2600" max="2600" width="63.42578125" style="1692" customWidth="1"/>
    <col min="2601" max="2638" width="9.140625" style="1692" hidden="1" customWidth="1"/>
    <col min="2639" max="2649" width="10.85546875" style="1692" customWidth="1"/>
    <col min="2650" max="2651" width="10.7109375" style="1692" customWidth="1"/>
    <col min="2652" max="2854" width="9.140625" style="1692"/>
    <col min="2855" max="2855" width="5.140625" style="1692" customWidth="1"/>
    <col min="2856" max="2856" width="63.42578125" style="1692" customWidth="1"/>
    <col min="2857" max="2894" width="9.140625" style="1692" hidden="1" customWidth="1"/>
    <col min="2895" max="2905" width="10.85546875" style="1692" customWidth="1"/>
    <col min="2906" max="2907" width="10.7109375" style="1692" customWidth="1"/>
    <col min="2908" max="3110" width="9.140625" style="1692"/>
    <col min="3111" max="3111" width="5.140625" style="1692" customWidth="1"/>
    <col min="3112" max="3112" width="63.42578125" style="1692" customWidth="1"/>
    <col min="3113" max="3150" width="9.140625" style="1692" hidden="1" customWidth="1"/>
    <col min="3151" max="3161" width="10.85546875" style="1692" customWidth="1"/>
    <col min="3162" max="3163" width="10.7109375" style="1692" customWidth="1"/>
    <col min="3164" max="3366" width="9.140625" style="1692"/>
    <col min="3367" max="3367" width="5.140625" style="1692" customWidth="1"/>
    <col min="3368" max="3368" width="63.42578125" style="1692" customWidth="1"/>
    <col min="3369" max="3406" width="9.140625" style="1692" hidden="1" customWidth="1"/>
    <col min="3407" max="3417" width="10.85546875" style="1692" customWidth="1"/>
    <col min="3418" max="3419" width="10.7109375" style="1692" customWidth="1"/>
    <col min="3420" max="3622" width="9.140625" style="1692"/>
    <col min="3623" max="3623" width="5.140625" style="1692" customWidth="1"/>
    <col min="3624" max="3624" width="63.42578125" style="1692" customWidth="1"/>
    <col min="3625" max="3662" width="9.140625" style="1692" hidden="1" customWidth="1"/>
    <col min="3663" max="3673" width="10.85546875" style="1692" customWidth="1"/>
    <col min="3674" max="3675" width="10.7109375" style="1692" customWidth="1"/>
    <col min="3676" max="3878" width="9.140625" style="1692"/>
    <col min="3879" max="3879" width="5.140625" style="1692" customWidth="1"/>
    <col min="3880" max="3880" width="63.42578125" style="1692" customWidth="1"/>
    <col min="3881" max="3918" width="9.140625" style="1692" hidden="1" customWidth="1"/>
    <col min="3919" max="3929" width="10.85546875" style="1692" customWidth="1"/>
    <col min="3930" max="3931" width="10.7109375" style="1692" customWidth="1"/>
    <col min="3932" max="4134" width="9.140625" style="1692"/>
    <col min="4135" max="4135" width="5.140625" style="1692" customWidth="1"/>
    <col min="4136" max="4136" width="63.42578125" style="1692" customWidth="1"/>
    <col min="4137" max="4174" width="9.140625" style="1692" hidden="1" customWidth="1"/>
    <col min="4175" max="4185" width="10.85546875" style="1692" customWidth="1"/>
    <col min="4186" max="4187" width="10.7109375" style="1692" customWidth="1"/>
    <col min="4188" max="4390" width="9.140625" style="1692"/>
    <col min="4391" max="4391" width="5.140625" style="1692" customWidth="1"/>
    <col min="4392" max="4392" width="63.42578125" style="1692" customWidth="1"/>
    <col min="4393" max="4430" width="9.140625" style="1692" hidden="1" customWidth="1"/>
    <col min="4431" max="4441" width="10.85546875" style="1692" customWidth="1"/>
    <col min="4442" max="4443" width="10.7109375" style="1692" customWidth="1"/>
    <col min="4444" max="4646" width="9.140625" style="1692"/>
    <col min="4647" max="4647" width="5.140625" style="1692" customWidth="1"/>
    <col min="4648" max="4648" width="63.42578125" style="1692" customWidth="1"/>
    <col min="4649" max="4686" width="9.140625" style="1692" hidden="1" customWidth="1"/>
    <col min="4687" max="4697" width="10.85546875" style="1692" customWidth="1"/>
    <col min="4698" max="4699" width="10.7109375" style="1692" customWidth="1"/>
    <col min="4700" max="4902" width="9.140625" style="1692"/>
    <col min="4903" max="4903" width="5.140625" style="1692" customWidth="1"/>
    <col min="4904" max="4904" width="63.42578125" style="1692" customWidth="1"/>
    <col min="4905" max="4942" width="9.140625" style="1692" hidden="1" customWidth="1"/>
    <col min="4943" max="4953" width="10.85546875" style="1692" customWidth="1"/>
    <col min="4954" max="4955" width="10.7109375" style="1692" customWidth="1"/>
    <col min="4956" max="5158" width="9.140625" style="1692"/>
    <col min="5159" max="5159" width="5.140625" style="1692" customWidth="1"/>
    <col min="5160" max="5160" width="63.42578125" style="1692" customWidth="1"/>
    <col min="5161" max="5198" width="9.140625" style="1692" hidden="1" customWidth="1"/>
    <col min="5199" max="5209" width="10.85546875" style="1692" customWidth="1"/>
    <col min="5210" max="5211" width="10.7109375" style="1692" customWidth="1"/>
    <col min="5212" max="5414" width="9.140625" style="1692"/>
    <col min="5415" max="5415" width="5.140625" style="1692" customWidth="1"/>
    <col min="5416" max="5416" width="63.42578125" style="1692" customWidth="1"/>
    <col min="5417" max="5454" width="9.140625" style="1692" hidden="1" customWidth="1"/>
    <col min="5455" max="5465" width="10.85546875" style="1692" customWidth="1"/>
    <col min="5466" max="5467" width="10.7109375" style="1692" customWidth="1"/>
    <col min="5468" max="5670" width="9.140625" style="1692"/>
    <col min="5671" max="5671" width="5.140625" style="1692" customWidth="1"/>
    <col min="5672" max="5672" width="63.42578125" style="1692" customWidth="1"/>
    <col min="5673" max="5710" width="9.140625" style="1692" hidden="1" customWidth="1"/>
    <col min="5711" max="5721" width="10.85546875" style="1692" customWidth="1"/>
    <col min="5722" max="5723" width="10.7109375" style="1692" customWidth="1"/>
    <col min="5724" max="5926" width="9.140625" style="1692"/>
    <col min="5927" max="5927" width="5.140625" style="1692" customWidth="1"/>
    <col min="5928" max="5928" width="63.42578125" style="1692" customWidth="1"/>
    <col min="5929" max="5966" width="9.140625" style="1692" hidden="1" customWidth="1"/>
    <col min="5967" max="5977" width="10.85546875" style="1692" customWidth="1"/>
    <col min="5978" max="5979" width="10.7109375" style="1692" customWidth="1"/>
    <col min="5980" max="6182" width="9.140625" style="1692"/>
    <col min="6183" max="6183" width="5.140625" style="1692" customWidth="1"/>
    <col min="6184" max="6184" width="63.42578125" style="1692" customWidth="1"/>
    <col min="6185" max="6222" width="9.140625" style="1692" hidden="1" customWidth="1"/>
    <col min="6223" max="6233" width="10.85546875" style="1692" customWidth="1"/>
    <col min="6234" max="6235" width="10.7109375" style="1692" customWidth="1"/>
    <col min="6236" max="6438" width="9.140625" style="1692"/>
    <col min="6439" max="6439" width="5.140625" style="1692" customWidth="1"/>
    <col min="6440" max="6440" width="63.42578125" style="1692" customWidth="1"/>
    <col min="6441" max="6478" width="9.140625" style="1692" hidden="1" customWidth="1"/>
    <col min="6479" max="6489" width="10.85546875" style="1692" customWidth="1"/>
    <col min="6490" max="6491" width="10.7109375" style="1692" customWidth="1"/>
    <col min="6492" max="6694" width="9.140625" style="1692"/>
    <col min="6695" max="6695" width="5.140625" style="1692" customWidth="1"/>
    <col min="6696" max="6696" width="63.42578125" style="1692" customWidth="1"/>
    <col min="6697" max="6734" width="9.140625" style="1692" hidden="1" customWidth="1"/>
    <col min="6735" max="6745" width="10.85546875" style="1692" customWidth="1"/>
    <col min="6746" max="6747" width="10.7109375" style="1692" customWidth="1"/>
    <col min="6748" max="6950" width="9.140625" style="1692"/>
    <col min="6951" max="6951" width="5.140625" style="1692" customWidth="1"/>
    <col min="6952" max="6952" width="63.42578125" style="1692" customWidth="1"/>
    <col min="6953" max="6990" width="9.140625" style="1692" hidden="1" customWidth="1"/>
    <col min="6991" max="7001" width="10.85546875" style="1692" customWidth="1"/>
    <col min="7002" max="7003" width="10.7109375" style="1692" customWidth="1"/>
    <col min="7004" max="7206" width="9.140625" style="1692"/>
    <col min="7207" max="7207" width="5.140625" style="1692" customWidth="1"/>
    <col min="7208" max="7208" width="63.42578125" style="1692" customWidth="1"/>
    <col min="7209" max="7246" width="9.140625" style="1692" hidden="1" customWidth="1"/>
    <col min="7247" max="7257" width="10.85546875" style="1692" customWidth="1"/>
    <col min="7258" max="7259" width="10.7109375" style="1692" customWidth="1"/>
    <col min="7260" max="7462" width="9.140625" style="1692"/>
    <col min="7463" max="7463" width="5.140625" style="1692" customWidth="1"/>
    <col min="7464" max="7464" width="63.42578125" style="1692" customWidth="1"/>
    <col min="7465" max="7502" width="9.140625" style="1692" hidden="1" customWidth="1"/>
    <col min="7503" max="7513" width="10.85546875" style="1692" customWidth="1"/>
    <col min="7514" max="7515" width="10.7109375" style="1692" customWidth="1"/>
    <col min="7516" max="7718" width="9.140625" style="1692"/>
    <col min="7719" max="7719" width="5.140625" style="1692" customWidth="1"/>
    <col min="7720" max="7720" width="63.42578125" style="1692" customWidth="1"/>
    <col min="7721" max="7758" width="9.140625" style="1692" hidden="1" customWidth="1"/>
    <col min="7759" max="7769" width="10.85546875" style="1692" customWidth="1"/>
    <col min="7770" max="7771" width="10.7109375" style="1692" customWidth="1"/>
    <col min="7772" max="7974" width="9.140625" style="1692"/>
    <col min="7975" max="7975" width="5.140625" style="1692" customWidth="1"/>
    <col min="7976" max="7976" width="63.42578125" style="1692" customWidth="1"/>
    <col min="7977" max="8014" width="9.140625" style="1692" hidden="1" customWidth="1"/>
    <col min="8015" max="8025" width="10.85546875" style="1692" customWidth="1"/>
    <col min="8026" max="8027" width="10.7109375" style="1692" customWidth="1"/>
    <col min="8028" max="8230" width="9.140625" style="1692"/>
    <col min="8231" max="8231" width="5.140625" style="1692" customWidth="1"/>
    <col min="8232" max="8232" width="63.42578125" style="1692" customWidth="1"/>
    <col min="8233" max="8270" width="9.140625" style="1692" hidden="1" customWidth="1"/>
    <col min="8271" max="8281" width="10.85546875" style="1692" customWidth="1"/>
    <col min="8282" max="8283" width="10.7109375" style="1692" customWidth="1"/>
    <col min="8284" max="8486" width="9.140625" style="1692"/>
    <col min="8487" max="8487" width="5.140625" style="1692" customWidth="1"/>
    <col min="8488" max="8488" width="63.42578125" style="1692" customWidth="1"/>
    <col min="8489" max="8526" width="9.140625" style="1692" hidden="1" customWidth="1"/>
    <col min="8527" max="8537" width="10.85546875" style="1692" customWidth="1"/>
    <col min="8538" max="8539" width="10.7109375" style="1692" customWidth="1"/>
    <col min="8540" max="8742" width="9.140625" style="1692"/>
    <col min="8743" max="8743" width="5.140625" style="1692" customWidth="1"/>
    <col min="8744" max="8744" width="63.42578125" style="1692" customWidth="1"/>
    <col min="8745" max="8782" width="9.140625" style="1692" hidden="1" customWidth="1"/>
    <col min="8783" max="8793" width="10.85546875" style="1692" customWidth="1"/>
    <col min="8794" max="8795" width="10.7109375" style="1692" customWidth="1"/>
    <col min="8796" max="8998" width="9.140625" style="1692"/>
    <col min="8999" max="8999" width="5.140625" style="1692" customWidth="1"/>
    <col min="9000" max="9000" width="63.42578125" style="1692" customWidth="1"/>
    <col min="9001" max="9038" width="9.140625" style="1692" hidden="1" customWidth="1"/>
    <col min="9039" max="9049" width="10.85546875" style="1692" customWidth="1"/>
    <col min="9050" max="9051" width="10.7109375" style="1692" customWidth="1"/>
    <col min="9052" max="9254" width="9.140625" style="1692"/>
    <col min="9255" max="9255" width="5.140625" style="1692" customWidth="1"/>
    <col min="9256" max="9256" width="63.42578125" style="1692" customWidth="1"/>
    <col min="9257" max="9294" width="9.140625" style="1692" hidden="1" customWidth="1"/>
    <col min="9295" max="9305" width="10.85546875" style="1692" customWidth="1"/>
    <col min="9306" max="9307" width="10.7109375" style="1692" customWidth="1"/>
    <col min="9308" max="9510" width="9.140625" style="1692"/>
    <col min="9511" max="9511" width="5.140625" style="1692" customWidth="1"/>
    <col min="9512" max="9512" width="63.42578125" style="1692" customWidth="1"/>
    <col min="9513" max="9550" width="9.140625" style="1692" hidden="1" customWidth="1"/>
    <col min="9551" max="9561" width="10.85546875" style="1692" customWidth="1"/>
    <col min="9562" max="9563" width="10.7109375" style="1692" customWidth="1"/>
    <col min="9564" max="9766" width="9.140625" style="1692"/>
    <col min="9767" max="9767" width="5.140625" style="1692" customWidth="1"/>
    <col min="9768" max="9768" width="63.42578125" style="1692" customWidth="1"/>
    <col min="9769" max="9806" width="9.140625" style="1692" hidden="1" customWidth="1"/>
    <col min="9807" max="9817" width="10.85546875" style="1692" customWidth="1"/>
    <col min="9818" max="9819" width="10.7109375" style="1692" customWidth="1"/>
    <col min="9820" max="10022" width="9.140625" style="1692"/>
    <col min="10023" max="10023" width="5.140625" style="1692" customWidth="1"/>
    <col min="10024" max="10024" width="63.42578125" style="1692" customWidth="1"/>
    <col min="10025" max="10062" width="9.140625" style="1692" hidden="1" customWidth="1"/>
    <col min="10063" max="10073" width="10.85546875" style="1692" customWidth="1"/>
    <col min="10074" max="10075" width="10.7109375" style="1692" customWidth="1"/>
    <col min="10076" max="10278" width="9.140625" style="1692"/>
    <col min="10279" max="10279" width="5.140625" style="1692" customWidth="1"/>
    <col min="10280" max="10280" width="63.42578125" style="1692" customWidth="1"/>
    <col min="10281" max="10318" width="9.140625" style="1692" hidden="1" customWidth="1"/>
    <col min="10319" max="10329" width="10.85546875" style="1692" customWidth="1"/>
    <col min="10330" max="10331" width="10.7109375" style="1692" customWidth="1"/>
    <col min="10332" max="10534" width="9.140625" style="1692"/>
    <col min="10535" max="10535" width="5.140625" style="1692" customWidth="1"/>
    <col min="10536" max="10536" width="63.42578125" style="1692" customWidth="1"/>
    <col min="10537" max="10574" width="9.140625" style="1692" hidden="1" customWidth="1"/>
    <col min="10575" max="10585" width="10.85546875" style="1692" customWidth="1"/>
    <col min="10586" max="10587" width="10.7109375" style="1692" customWidth="1"/>
    <col min="10588" max="10790" width="9.140625" style="1692"/>
    <col min="10791" max="10791" width="5.140625" style="1692" customWidth="1"/>
    <col min="10792" max="10792" width="63.42578125" style="1692" customWidth="1"/>
    <col min="10793" max="10830" width="9.140625" style="1692" hidden="1" customWidth="1"/>
    <col min="10831" max="10841" width="10.85546875" style="1692" customWidth="1"/>
    <col min="10842" max="10843" width="10.7109375" style="1692" customWidth="1"/>
    <col min="10844" max="11046" width="9.140625" style="1692"/>
    <col min="11047" max="11047" width="5.140625" style="1692" customWidth="1"/>
    <col min="11048" max="11048" width="63.42578125" style="1692" customWidth="1"/>
    <col min="11049" max="11086" width="9.140625" style="1692" hidden="1" customWidth="1"/>
    <col min="11087" max="11097" width="10.85546875" style="1692" customWidth="1"/>
    <col min="11098" max="11099" width="10.7109375" style="1692" customWidth="1"/>
    <col min="11100" max="11302" width="9.140625" style="1692"/>
    <col min="11303" max="11303" width="5.140625" style="1692" customWidth="1"/>
    <col min="11304" max="11304" width="63.42578125" style="1692" customWidth="1"/>
    <col min="11305" max="11342" width="9.140625" style="1692" hidden="1" customWidth="1"/>
    <col min="11343" max="11353" width="10.85546875" style="1692" customWidth="1"/>
    <col min="11354" max="11355" width="10.7109375" style="1692" customWidth="1"/>
    <col min="11356" max="11558" width="9.140625" style="1692"/>
    <col min="11559" max="11559" width="5.140625" style="1692" customWidth="1"/>
    <col min="11560" max="11560" width="63.42578125" style="1692" customWidth="1"/>
    <col min="11561" max="11598" width="9.140625" style="1692" hidden="1" customWidth="1"/>
    <col min="11599" max="11609" width="10.85546875" style="1692" customWidth="1"/>
    <col min="11610" max="11611" width="10.7109375" style="1692" customWidth="1"/>
    <col min="11612" max="11814" width="9.140625" style="1692"/>
    <col min="11815" max="11815" width="5.140625" style="1692" customWidth="1"/>
    <col min="11816" max="11816" width="63.42578125" style="1692" customWidth="1"/>
    <col min="11817" max="11854" width="9.140625" style="1692" hidden="1" customWidth="1"/>
    <col min="11855" max="11865" width="10.85546875" style="1692" customWidth="1"/>
    <col min="11866" max="11867" width="10.7109375" style="1692" customWidth="1"/>
    <col min="11868" max="12070" width="9.140625" style="1692"/>
    <col min="12071" max="12071" width="5.140625" style="1692" customWidth="1"/>
    <col min="12072" max="12072" width="63.42578125" style="1692" customWidth="1"/>
    <col min="12073" max="12110" width="9.140625" style="1692" hidden="1" customWidth="1"/>
    <col min="12111" max="12121" width="10.85546875" style="1692" customWidth="1"/>
    <col min="12122" max="12123" width="10.7109375" style="1692" customWidth="1"/>
    <col min="12124" max="12326" width="9.140625" style="1692"/>
    <col min="12327" max="12327" width="5.140625" style="1692" customWidth="1"/>
    <col min="12328" max="12328" width="63.42578125" style="1692" customWidth="1"/>
    <col min="12329" max="12366" width="9.140625" style="1692" hidden="1" customWidth="1"/>
    <col min="12367" max="12377" width="10.85546875" style="1692" customWidth="1"/>
    <col min="12378" max="12379" width="10.7109375" style="1692" customWidth="1"/>
    <col min="12380" max="12582" width="9.140625" style="1692"/>
    <col min="12583" max="12583" width="5.140625" style="1692" customWidth="1"/>
    <col min="12584" max="12584" width="63.42578125" style="1692" customWidth="1"/>
    <col min="12585" max="12622" width="9.140625" style="1692" hidden="1" customWidth="1"/>
    <col min="12623" max="12633" width="10.85546875" style="1692" customWidth="1"/>
    <col min="12634" max="12635" width="10.7109375" style="1692" customWidth="1"/>
    <col min="12636" max="12838" width="9.140625" style="1692"/>
    <col min="12839" max="12839" width="5.140625" style="1692" customWidth="1"/>
    <col min="12840" max="12840" width="63.42578125" style="1692" customWidth="1"/>
    <col min="12841" max="12878" width="9.140625" style="1692" hidden="1" customWidth="1"/>
    <col min="12879" max="12889" width="10.85546875" style="1692" customWidth="1"/>
    <col min="12890" max="12891" width="10.7109375" style="1692" customWidth="1"/>
    <col min="12892" max="13094" width="9.140625" style="1692"/>
    <col min="13095" max="13095" width="5.140625" style="1692" customWidth="1"/>
    <col min="13096" max="13096" width="63.42578125" style="1692" customWidth="1"/>
    <col min="13097" max="13134" width="9.140625" style="1692" hidden="1" customWidth="1"/>
    <col min="13135" max="13145" width="10.85546875" style="1692" customWidth="1"/>
    <col min="13146" max="13147" width="10.7109375" style="1692" customWidth="1"/>
    <col min="13148" max="13350" width="9.140625" style="1692"/>
    <col min="13351" max="13351" width="5.140625" style="1692" customWidth="1"/>
    <col min="13352" max="13352" width="63.42578125" style="1692" customWidth="1"/>
    <col min="13353" max="13390" width="9.140625" style="1692" hidden="1" customWidth="1"/>
    <col min="13391" max="13401" width="10.85546875" style="1692" customWidth="1"/>
    <col min="13402" max="13403" width="10.7109375" style="1692" customWidth="1"/>
    <col min="13404" max="13606" width="9.140625" style="1692"/>
    <col min="13607" max="13607" width="5.140625" style="1692" customWidth="1"/>
    <col min="13608" max="13608" width="63.42578125" style="1692" customWidth="1"/>
    <col min="13609" max="13646" width="9.140625" style="1692" hidden="1" customWidth="1"/>
    <col min="13647" max="13657" width="10.85546875" style="1692" customWidth="1"/>
    <col min="13658" max="13659" width="10.7109375" style="1692" customWidth="1"/>
    <col min="13660" max="13862" width="9.140625" style="1692"/>
    <col min="13863" max="13863" width="5.140625" style="1692" customWidth="1"/>
    <col min="13864" max="13864" width="63.42578125" style="1692" customWidth="1"/>
    <col min="13865" max="13902" width="9.140625" style="1692" hidden="1" customWidth="1"/>
    <col min="13903" max="13913" width="10.85546875" style="1692" customWidth="1"/>
    <col min="13914" max="13915" width="10.7109375" style="1692" customWidth="1"/>
    <col min="13916" max="14118" width="9.140625" style="1692"/>
    <col min="14119" max="14119" width="5.140625" style="1692" customWidth="1"/>
    <col min="14120" max="14120" width="63.42578125" style="1692" customWidth="1"/>
    <col min="14121" max="14158" width="9.140625" style="1692" hidden="1" customWidth="1"/>
    <col min="14159" max="14169" width="10.85546875" style="1692" customWidth="1"/>
    <col min="14170" max="14171" width="10.7109375" style="1692" customWidth="1"/>
    <col min="14172" max="14374" width="9.140625" style="1692"/>
    <col min="14375" max="14375" width="5.140625" style="1692" customWidth="1"/>
    <col min="14376" max="14376" width="63.42578125" style="1692" customWidth="1"/>
    <col min="14377" max="14414" width="9.140625" style="1692" hidden="1" customWidth="1"/>
    <col min="14415" max="14425" width="10.85546875" style="1692" customWidth="1"/>
    <col min="14426" max="14427" width="10.7109375" style="1692" customWidth="1"/>
    <col min="14428" max="14630" width="9.140625" style="1692"/>
    <col min="14631" max="14631" width="5.140625" style="1692" customWidth="1"/>
    <col min="14632" max="14632" width="63.42578125" style="1692" customWidth="1"/>
    <col min="14633" max="14670" width="9.140625" style="1692" hidden="1" customWidth="1"/>
    <col min="14671" max="14681" width="10.85546875" style="1692" customWidth="1"/>
    <col min="14682" max="14683" width="10.7109375" style="1692" customWidth="1"/>
    <col min="14684" max="14886" width="9.140625" style="1692"/>
    <col min="14887" max="14887" width="5.140625" style="1692" customWidth="1"/>
    <col min="14888" max="14888" width="63.42578125" style="1692" customWidth="1"/>
    <col min="14889" max="14926" width="9.140625" style="1692" hidden="1" customWidth="1"/>
    <col min="14927" max="14937" width="10.85546875" style="1692" customWidth="1"/>
    <col min="14938" max="14939" width="10.7109375" style="1692" customWidth="1"/>
    <col min="14940" max="15142" width="9.140625" style="1692"/>
    <col min="15143" max="15143" width="5.140625" style="1692" customWidth="1"/>
    <col min="15144" max="15144" width="63.42578125" style="1692" customWidth="1"/>
    <col min="15145" max="15182" width="9.140625" style="1692" hidden="1" customWidth="1"/>
    <col min="15183" max="15193" width="10.85546875" style="1692" customWidth="1"/>
    <col min="15194" max="15195" width="10.7109375" style="1692" customWidth="1"/>
    <col min="15196" max="15398" width="9.140625" style="1692"/>
    <col min="15399" max="15399" width="5.140625" style="1692" customWidth="1"/>
    <col min="15400" max="15400" width="63.42578125" style="1692" customWidth="1"/>
    <col min="15401" max="15438" width="9.140625" style="1692" hidden="1" customWidth="1"/>
    <col min="15439" max="15449" width="10.85546875" style="1692" customWidth="1"/>
    <col min="15450" max="15451" width="10.7109375" style="1692" customWidth="1"/>
    <col min="15452" max="15654" width="9.140625" style="1692"/>
    <col min="15655" max="15655" width="5.140625" style="1692" customWidth="1"/>
    <col min="15656" max="15656" width="63.42578125" style="1692" customWidth="1"/>
    <col min="15657" max="15694" width="9.140625" style="1692" hidden="1" customWidth="1"/>
    <col min="15695" max="15705" width="10.85546875" style="1692" customWidth="1"/>
    <col min="15706" max="15707" width="10.7109375" style="1692" customWidth="1"/>
    <col min="15708" max="15910" width="9.140625" style="1692"/>
    <col min="15911" max="15911" width="5.140625" style="1692" customWidth="1"/>
    <col min="15912" max="15912" width="63.42578125" style="1692" customWidth="1"/>
    <col min="15913" max="15950" width="9.140625" style="1692" hidden="1" customWidth="1"/>
    <col min="15951" max="15961" width="10.85546875" style="1692" customWidth="1"/>
    <col min="15962" max="15963" width="10.7109375" style="1692" customWidth="1"/>
    <col min="15964" max="16166" width="9.140625" style="1692"/>
    <col min="16167" max="16167" width="5.140625" style="1692" customWidth="1"/>
    <col min="16168" max="16168" width="63.42578125" style="1692" customWidth="1"/>
    <col min="16169" max="16206" width="9.140625" style="1692" hidden="1" customWidth="1"/>
    <col min="16207" max="16217" width="10.85546875" style="1692" customWidth="1"/>
    <col min="16218" max="16219" width="10.7109375" style="1692" customWidth="1"/>
    <col min="16220" max="16384" width="9.140625" style="1692"/>
  </cols>
  <sheetData>
    <row r="1" spans="1:168" s="1987" customFormat="1" ht="26.25" customHeight="1" x14ac:dyDescent="0.25">
      <c r="A1" s="2648" t="s">
        <v>2501</v>
      </c>
      <c r="B1" s="2648"/>
    </row>
    <row r="2" spans="1:168" ht="17.25" thickBot="1" x14ac:dyDescent="0.35">
      <c r="A2" s="2649"/>
      <c r="B2" s="2649"/>
      <c r="C2" s="2650"/>
      <c r="D2" s="2650"/>
      <c r="E2" s="2650"/>
      <c r="F2" s="2650"/>
      <c r="G2" s="2650"/>
      <c r="H2" s="2650"/>
      <c r="I2" s="2650"/>
      <c r="J2" s="2650"/>
      <c r="K2" s="2650"/>
      <c r="L2" s="2650"/>
      <c r="M2" s="2650"/>
      <c r="N2" s="2650"/>
      <c r="O2" s="2650"/>
      <c r="P2" s="2650"/>
      <c r="Q2" s="2650"/>
      <c r="R2" s="2650"/>
      <c r="S2" s="2650"/>
      <c r="T2" s="2650"/>
      <c r="U2" s="2650"/>
      <c r="V2" s="2650"/>
      <c r="W2" s="2650"/>
      <c r="X2" s="2650"/>
      <c r="Y2" s="2650"/>
      <c r="Z2" s="2650"/>
      <c r="AA2" s="2650"/>
      <c r="AB2" s="2650"/>
      <c r="AC2" s="2650"/>
      <c r="AD2" s="2650"/>
      <c r="AE2" s="2650"/>
      <c r="AF2" s="2650"/>
      <c r="AG2" s="2650"/>
      <c r="AH2" s="2650"/>
      <c r="AI2" s="2650"/>
      <c r="AJ2" s="2650"/>
      <c r="AK2" s="2650"/>
      <c r="AL2" s="2650"/>
      <c r="AM2" s="2650"/>
      <c r="AN2" s="2650"/>
      <c r="AO2" s="2650"/>
      <c r="AP2" s="2650"/>
      <c r="AQ2" s="2650"/>
      <c r="AR2" s="2650"/>
      <c r="AS2" s="2650"/>
      <c r="AT2" s="2650"/>
      <c r="AU2" s="2650"/>
      <c r="AV2" s="2650"/>
      <c r="AW2" s="2650"/>
      <c r="AX2" s="2650"/>
      <c r="AY2" s="2650"/>
      <c r="AZ2" s="2650"/>
      <c r="BA2" s="2650"/>
      <c r="BB2" s="2650"/>
      <c r="BC2" s="2650"/>
      <c r="BD2" s="2650"/>
      <c r="BE2" s="2650"/>
      <c r="BF2" s="2650"/>
      <c r="BG2" s="2650"/>
      <c r="BH2" s="2650"/>
      <c r="BI2" s="2650"/>
      <c r="BJ2" s="2650"/>
      <c r="BK2" s="2650"/>
      <c r="BL2" s="2650"/>
      <c r="BM2" s="2650"/>
      <c r="BN2" s="2650"/>
      <c r="BO2" s="2650"/>
      <c r="BP2" s="2650"/>
      <c r="BQ2" s="2650"/>
      <c r="BR2" s="2650"/>
      <c r="BS2" s="2650"/>
      <c r="BT2" s="2650"/>
      <c r="BU2" s="2650"/>
      <c r="BV2" s="2650"/>
      <c r="BW2" s="2650"/>
      <c r="BX2" s="2650"/>
      <c r="BY2" s="2650"/>
      <c r="BZ2" s="2650"/>
      <c r="CA2" s="2650"/>
      <c r="CB2" s="2650"/>
      <c r="CC2" s="2650"/>
      <c r="CD2" s="2650"/>
      <c r="CE2" s="2650"/>
      <c r="CF2" s="2650"/>
      <c r="CG2" s="2650"/>
      <c r="CH2" s="2650"/>
      <c r="CI2" s="2650"/>
      <c r="CJ2" s="2650"/>
      <c r="CK2" s="2650"/>
      <c r="CL2" s="2650"/>
      <c r="CM2" s="2650"/>
      <c r="CN2" s="2650"/>
      <c r="CO2" s="2650"/>
      <c r="CP2" s="2650"/>
      <c r="CQ2" s="2650"/>
      <c r="CR2" s="2650"/>
      <c r="CS2" s="2650"/>
      <c r="CT2" s="2650"/>
      <c r="CU2" s="2650"/>
      <c r="CV2" s="2650"/>
      <c r="CW2" s="2650"/>
      <c r="CX2" s="2650"/>
      <c r="CY2" s="2650"/>
      <c r="CZ2" s="2650"/>
      <c r="DA2" s="2650"/>
      <c r="DB2" s="2650"/>
      <c r="DC2" s="2650"/>
      <c r="DD2" s="2650"/>
      <c r="DE2" s="2650"/>
      <c r="DF2" s="2650"/>
      <c r="DG2" s="2650"/>
      <c r="DH2" s="2650"/>
      <c r="DI2" s="2650"/>
      <c r="DJ2" s="2650"/>
      <c r="DK2" s="2650"/>
      <c r="DL2" s="2650"/>
      <c r="DM2" s="2650"/>
      <c r="DN2" s="2650"/>
      <c r="DO2" s="2650"/>
      <c r="DP2" s="2650"/>
      <c r="DQ2" s="2650"/>
      <c r="DR2" s="2650"/>
      <c r="DS2" s="2650"/>
      <c r="DT2" s="2650"/>
      <c r="DU2" s="2650"/>
      <c r="DV2" s="2650"/>
      <c r="DW2" s="2650"/>
      <c r="DX2" s="2650"/>
      <c r="DY2" s="2650"/>
      <c r="DZ2" s="2650"/>
      <c r="EA2" s="2650"/>
      <c r="EB2" s="2650"/>
      <c r="EC2" s="2650"/>
      <c r="ED2" s="2650"/>
      <c r="EE2" s="2650"/>
      <c r="EF2" s="2650"/>
      <c r="EG2" s="2650"/>
      <c r="EH2" s="2650"/>
      <c r="EI2" s="2650"/>
      <c r="EJ2" s="2650"/>
      <c r="EK2" s="2650"/>
      <c r="EL2" s="2650"/>
      <c r="EM2" s="2650"/>
      <c r="EN2" s="2650"/>
      <c r="EO2" s="2650"/>
      <c r="EP2" s="2650"/>
      <c r="EQ2" s="2650"/>
      <c r="ER2" s="2650"/>
      <c r="ES2" s="2650"/>
      <c r="ET2" s="2650"/>
      <c r="EU2" s="2650"/>
      <c r="EV2" s="2650"/>
      <c r="EW2" s="2650"/>
      <c r="EX2" s="2650"/>
      <c r="EY2" s="2650"/>
      <c r="EZ2" s="2650"/>
      <c r="FA2" s="2650"/>
      <c r="FB2" s="2650"/>
      <c r="FC2" s="2650"/>
      <c r="FD2" s="2650"/>
      <c r="FE2" s="2650"/>
      <c r="FF2" s="2650"/>
      <c r="FG2" s="2650"/>
      <c r="FH2" s="2650"/>
      <c r="FI2" s="2650"/>
      <c r="FJ2" s="2650"/>
      <c r="FK2" s="2650" t="s">
        <v>281</v>
      </c>
    </row>
    <row r="3" spans="1:168" ht="24.75" customHeight="1" thickTop="1" thickBot="1" x14ac:dyDescent="0.35">
      <c r="A3" s="2651" t="s">
        <v>2502</v>
      </c>
      <c r="B3" s="2651" t="s">
        <v>773</v>
      </c>
      <c r="C3" s="2652">
        <v>40179</v>
      </c>
      <c r="D3" s="2652">
        <v>40211</v>
      </c>
      <c r="E3" s="2652">
        <v>40239</v>
      </c>
      <c r="F3" s="2652">
        <v>40270</v>
      </c>
      <c r="G3" s="2652">
        <v>40300</v>
      </c>
      <c r="H3" s="2652">
        <v>40331</v>
      </c>
      <c r="I3" s="2652">
        <v>40361</v>
      </c>
      <c r="J3" s="2652">
        <v>40392</v>
      </c>
      <c r="K3" s="2652">
        <v>40423</v>
      </c>
      <c r="L3" s="2652">
        <v>40453</v>
      </c>
      <c r="M3" s="2652">
        <v>40484</v>
      </c>
      <c r="N3" s="2652">
        <v>40514</v>
      </c>
      <c r="O3" s="2652">
        <v>40545</v>
      </c>
      <c r="P3" s="2652">
        <v>40576</v>
      </c>
      <c r="Q3" s="2652">
        <v>40604</v>
      </c>
      <c r="R3" s="2652">
        <v>40635</v>
      </c>
      <c r="S3" s="2652">
        <v>40665</v>
      </c>
      <c r="T3" s="2652">
        <v>40696</v>
      </c>
      <c r="U3" s="2652">
        <v>40726</v>
      </c>
      <c r="V3" s="2652">
        <v>40757</v>
      </c>
      <c r="W3" s="2652">
        <v>40788</v>
      </c>
      <c r="X3" s="2652">
        <v>40818</v>
      </c>
      <c r="Y3" s="2652">
        <v>40849</v>
      </c>
      <c r="Z3" s="2652">
        <v>40879</v>
      </c>
      <c r="AA3" s="2652">
        <v>40910</v>
      </c>
      <c r="AB3" s="2652">
        <v>40941</v>
      </c>
      <c r="AC3" s="2652">
        <v>40970</v>
      </c>
      <c r="AD3" s="2652">
        <v>41001</v>
      </c>
      <c r="AE3" s="2652">
        <v>41031</v>
      </c>
      <c r="AF3" s="2652">
        <v>41062</v>
      </c>
      <c r="AG3" s="2652">
        <v>41092</v>
      </c>
      <c r="AH3" s="2652">
        <v>41123</v>
      </c>
      <c r="AI3" s="2652">
        <v>41154</v>
      </c>
      <c r="AJ3" s="2652">
        <v>41184</v>
      </c>
      <c r="AK3" s="2652">
        <v>41215</v>
      </c>
      <c r="AL3" s="2652">
        <v>41245</v>
      </c>
      <c r="AM3" s="2652">
        <v>41276</v>
      </c>
      <c r="AN3" s="2652">
        <v>41307</v>
      </c>
      <c r="AO3" s="2652">
        <v>41335</v>
      </c>
      <c r="AP3" s="2652">
        <v>41366</v>
      </c>
      <c r="AQ3" s="2652">
        <v>41396</v>
      </c>
      <c r="AR3" s="2652">
        <v>41427</v>
      </c>
      <c r="AS3" s="2652">
        <v>41457</v>
      </c>
      <c r="AT3" s="2652">
        <v>41488</v>
      </c>
      <c r="AU3" s="2652">
        <v>41519</v>
      </c>
      <c r="AV3" s="2652">
        <v>41549</v>
      </c>
      <c r="AW3" s="2652">
        <v>41580</v>
      </c>
      <c r="AX3" s="2652">
        <v>41610</v>
      </c>
      <c r="AY3" s="2652">
        <v>41641</v>
      </c>
      <c r="AZ3" s="2652">
        <v>41672</v>
      </c>
      <c r="BA3" s="2652">
        <v>41700</v>
      </c>
      <c r="BB3" s="2652">
        <v>41731</v>
      </c>
      <c r="BC3" s="2652">
        <v>41761</v>
      </c>
      <c r="BD3" s="2652">
        <v>41791</v>
      </c>
      <c r="BE3" s="2652">
        <v>41822</v>
      </c>
      <c r="BF3" s="2652">
        <v>41853</v>
      </c>
      <c r="BG3" s="2652">
        <v>41884</v>
      </c>
      <c r="BH3" s="2652">
        <v>41914</v>
      </c>
      <c r="BI3" s="2652">
        <v>41945</v>
      </c>
      <c r="BJ3" s="2652">
        <v>41975</v>
      </c>
      <c r="BK3" s="2652">
        <v>42006</v>
      </c>
      <c r="BL3" s="2652">
        <v>42037</v>
      </c>
      <c r="BM3" s="2652">
        <v>42065</v>
      </c>
      <c r="BN3" s="2652">
        <v>42096</v>
      </c>
      <c r="BO3" s="2652">
        <v>42126</v>
      </c>
      <c r="BP3" s="2652">
        <v>42157</v>
      </c>
      <c r="BQ3" s="2652">
        <v>42187</v>
      </c>
      <c r="BR3" s="2652">
        <v>42218</v>
      </c>
      <c r="BS3" s="2652">
        <v>42249</v>
      </c>
      <c r="BT3" s="2652">
        <v>42279</v>
      </c>
      <c r="BU3" s="2652">
        <v>42310</v>
      </c>
      <c r="BV3" s="2652">
        <v>42340</v>
      </c>
      <c r="BW3" s="2652">
        <v>42371</v>
      </c>
      <c r="BX3" s="2652">
        <v>42402</v>
      </c>
      <c r="BY3" s="2652">
        <v>42431</v>
      </c>
      <c r="BZ3" s="2652">
        <v>42462</v>
      </c>
      <c r="CA3" s="2652">
        <v>42492</v>
      </c>
      <c r="CB3" s="2652">
        <v>42523</v>
      </c>
      <c r="CC3" s="2652">
        <v>42553</v>
      </c>
      <c r="CD3" s="2652">
        <v>42584</v>
      </c>
      <c r="CE3" s="2652">
        <v>42615</v>
      </c>
      <c r="CF3" s="2652">
        <v>42645</v>
      </c>
      <c r="CG3" s="2652">
        <v>42676</v>
      </c>
      <c r="CH3" s="2652">
        <v>42706</v>
      </c>
      <c r="CI3" s="2652">
        <v>42737</v>
      </c>
      <c r="CJ3" s="2652">
        <v>42768</v>
      </c>
      <c r="CK3" s="2652">
        <v>42796</v>
      </c>
      <c r="CL3" s="2652">
        <v>42827</v>
      </c>
      <c r="CM3" s="2652">
        <v>42857</v>
      </c>
      <c r="CN3" s="2652">
        <v>42888</v>
      </c>
      <c r="CO3" s="2652">
        <v>42918</v>
      </c>
      <c r="CP3" s="2652">
        <v>42949</v>
      </c>
      <c r="CQ3" s="2652">
        <v>42980</v>
      </c>
      <c r="CR3" s="2652">
        <v>43010</v>
      </c>
      <c r="CS3" s="2652">
        <v>43041</v>
      </c>
      <c r="CT3" s="2652">
        <v>43071</v>
      </c>
      <c r="CU3" s="2652">
        <v>43102</v>
      </c>
      <c r="CV3" s="2652">
        <v>43133</v>
      </c>
      <c r="CW3" s="2652">
        <v>43161</v>
      </c>
      <c r="CX3" s="2652">
        <v>43192</v>
      </c>
      <c r="CY3" s="2652">
        <v>43222</v>
      </c>
      <c r="CZ3" s="2652" t="s">
        <v>456</v>
      </c>
      <c r="DA3" s="2652">
        <v>43283</v>
      </c>
      <c r="DB3" s="2652">
        <v>43314</v>
      </c>
      <c r="DC3" s="2652">
        <v>43345</v>
      </c>
      <c r="DD3" s="2652">
        <v>43375</v>
      </c>
      <c r="DE3" s="2652">
        <v>43406</v>
      </c>
      <c r="DF3" s="2652">
        <v>43436</v>
      </c>
      <c r="DG3" s="2652">
        <v>43467</v>
      </c>
      <c r="DH3" s="2652">
        <v>43498</v>
      </c>
      <c r="DI3" s="2652">
        <v>43526</v>
      </c>
      <c r="DJ3" s="2652">
        <v>43557</v>
      </c>
      <c r="DK3" s="2652">
        <v>43587</v>
      </c>
      <c r="DL3" s="2652">
        <v>43618</v>
      </c>
      <c r="DM3" s="2652">
        <v>43648</v>
      </c>
      <c r="DN3" s="2652">
        <v>43679</v>
      </c>
      <c r="DO3" s="2652">
        <v>43710</v>
      </c>
      <c r="DP3" s="2652">
        <v>43740</v>
      </c>
      <c r="DQ3" s="2652">
        <v>43771</v>
      </c>
      <c r="DR3" s="2652">
        <v>43801</v>
      </c>
      <c r="DS3" s="2652">
        <v>43832</v>
      </c>
      <c r="DT3" s="2652">
        <v>43863</v>
      </c>
      <c r="DU3" s="2652" t="s">
        <v>477</v>
      </c>
      <c r="DV3" s="2652" t="s">
        <v>2503</v>
      </c>
      <c r="DW3" s="2652" t="s">
        <v>2504</v>
      </c>
      <c r="DX3" s="2652" t="s">
        <v>479</v>
      </c>
      <c r="DY3" s="2652" t="s">
        <v>314</v>
      </c>
      <c r="DZ3" s="2652" t="s">
        <v>315</v>
      </c>
      <c r="EA3" s="2652" t="s">
        <v>316</v>
      </c>
      <c r="EB3" s="2652" t="s">
        <v>317</v>
      </c>
      <c r="EC3" s="2652" t="s">
        <v>318</v>
      </c>
      <c r="ED3" s="2652" t="s">
        <v>319</v>
      </c>
      <c r="EE3" s="2652" t="s">
        <v>320</v>
      </c>
      <c r="EF3" s="2652" t="s">
        <v>321</v>
      </c>
      <c r="EG3" s="2652" t="s">
        <v>322</v>
      </c>
      <c r="EH3" s="2652">
        <v>44287</v>
      </c>
      <c r="EI3" s="2652">
        <v>44317</v>
      </c>
      <c r="EJ3" s="2652">
        <v>44348</v>
      </c>
      <c r="EK3" s="2652">
        <v>44378</v>
      </c>
      <c r="EL3" s="2652">
        <v>44409</v>
      </c>
      <c r="EM3" s="2652">
        <v>44440</v>
      </c>
      <c r="EN3" s="2652">
        <v>44470</v>
      </c>
      <c r="EO3" s="2652">
        <v>44501</v>
      </c>
      <c r="EP3" s="2652">
        <v>44531</v>
      </c>
      <c r="EQ3" s="2652">
        <v>44562</v>
      </c>
      <c r="ER3" s="2652" t="s">
        <v>2505</v>
      </c>
      <c r="ES3" s="2652">
        <v>44621</v>
      </c>
      <c r="ET3" s="2652">
        <v>44652</v>
      </c>
      <c r="EU3" s="2652">
        <v>44682</v>
      </c>
      <c r="EV3" s="2652">
        <v>44713</v>
      </c>
      <c r="EW3" s="2652">
        <v>44743</v>
      </c>
      <c r="EX3" s="2652">
        <v>44774</v>
      </c>
      <c r="EY3" s="2652">
        <v>44805</v>
      </c>
      <c r="EZ3" s="2652" t="s">
        <v>2506</v>
      </c>
      <c r="FA3" s="2652">
        <v>44866</v>
      </c>
      <c r="FB3" s="2652">
        <v>44896</v>
      </c>
      <c r="FC3" s="2652">
        <v>44927</v>
      </c>
      <c r="FD3" s="2652">
        <v>44958</v>
      </c>
      <c r="FE3" s="2652">
        <v>44986</v>
      </c>
      <c r="FF3" s="2652">
        <v>45017</v>
      </c>
      <c r="FG3" s="2652">
        <v>45047</v>
      </c>
      <c r="FH3" s="2652">
        <v>45078</v>
      </c>
      <c r="FI3" s="2652">
        <v>45108</v>
      </c>
      <c r="FJ3" s="2652" t="s">
        <v>2507</v>
      </c>
      <c r="FK3" s="2652">
        <v>45170</v>
      </c>
    </row>
    <row r="4" spans="1:168" ht="10.5" customHeight="1" thickTop="1" x14ac:dyDescent="0.3">
      <c r="A4" s="2653"/>
      <c r="B4" s="2653"/>
      <c r="C4" s="2654"/>
      <c r="D4" s="2654"/>
      <c r="E4" s="2654"/>
      <c r="F4" s="2654"/>
      <c r="G4" s="2654"/>
      <c r="H4" s="2654"/>
      <c r="I4" s="2654"/>
      <c r="J4" s="2654"/>
      <c r="K4" s="2654"/>
      <c r="L4" s="2654"/>
      <c r="M4" s="2654"/>
      <c r="N4" s="2654"/>
      <c r="O4" s="2654"/>
      <c r="P4" s="2654"/>
      <c r="Q4" s="2654"/>
      <c r="R4" s="2654"/>
      <c r="S4" s="2654"/>
      <c r="T4" s="2654"/>
      <c r="U4" s="2654"/>
      <c r="V4" s="2654"/>
      <c r="W4" s="2654"/>
      <c r="X4" s="2654"/>
      <c r="Y4" s="2654"/>
      <c r="Z4" s="2654"/>
      <c r="AA4" s="2654"/>
      <c r="AB4" s="2654"/>
      <c r="AC4" s="2654"/>
      <c r="AD4" s="2654"/>
      <c r="AE4" s="2654"/>
      <c r="AF4" s="2654"/>
      <c r="AG4" s="2654"/>
      <c r="AH4" s="2654"/>
      <c r="AI4" s="2654"/>
      <c r="AJ4" s="2654"/>
      <c r="AK4" s="2654"/>
      <c r="AL4" s="2654"/>
      <c r="AM4" s="2654"/>
      <c r="AN4" s="2654"/>
      <c r="AO4" s="2654"/>
      <c r="AP4" s="2654"/>
      <c r="AQ4" s="2654"/>
      <c r="AR4" s="2654"/>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c r="BP4" s="2654"/>
      <c r="BQ4" s="2654"/>
      <c r="BR4" s="2654"/>
      <c r="BS4" s="2654"/>
      <c r="BT4" s="2654"/>
      <c r="BU4" s="2654"/>
      <c r="BV4" s="2654"/>
      <c r="BW4" s="2654"/>
      <c r="BX4" s="2654"/>
      <c r="BY4" s="2654"/>
      <c r="BZ4" s="2654"/>
      <c r="CA4" s="2654"/>
      <c r="CB4" s="2654"/>
      <c r="CC4" s="2654"/>
      <c r="CD4" s="2654"/>
      <c r="CE4" s="2654"/>
      <c r="CF4" s="2654"/>
      <c r="CG4" s="2654"/>
      <c r="CH4" s="2654"/>
      <c r="CI4" s="2654"/>
      <c r="CJ4" s="2654"/>
      <c r="CK4" s="2654"/>
      <c r="CL4" s="2654"/>
      <c r="CM4" s="2654"/>
      <c r="CN4" s="2654"/>
      <c r="CO4" s="2654"/>
      <c r="CP4" s="2654"/>
      <c r="CQ4" s="2654"/>
      <c r="CR4" s="2654"/>
      <c r="CS4" s="2654"/>
      <c r="CT4" s="2654"/>
      <c r="CU4" s="2654"/>
      <c r="CV4" s="2654"/>
      <c r="CW4" s="2654"/>
      <c r="CX4" s="2654"/>
      <c r="CY4" s="2654"/>
      <c r="CZ4" s="2654"/>
      <c r="DA4" s="2654"/>
      <c r="DB4" s="2654"/>
      <c r="DC4" s="2654"/>
      <c r="DD4" s="2654"/>
      <c r="DE4" s="2654"/>
      <c r="DF4" s="2654"/>
      <c r="DG4" s="2654"/>
      <c r="DH4" s="2654"/>
      <c r="DI4" s="2654"/>
      <c r="DJ4" s="2654"/>
      <c r="DK4" s="2654"/>
      <c r="DL4" s="2654"/>
      <c r="DM4" s="2654"/>
      <c r="DN4" s="2654"/>
      <c r="DO4" s="2654"/>
      <c r="DP4" s="2654"/>
      <c r="DQ4" s="2654"/>
      <c r="DR4" s="2654"/>
      <c r="DS4" s="2654"/>
      <c r="DT4" s="2654"/>
      <c r="DU4" s="2654"/>
      <c r="DV4" s="2654"/>
      <c r="DW4" s="2654"/>
      <c r="DX4" s="2654"/>
      <c r="DY4" s="2654"/>
      <c r="DZ4" s="2654"/>
      <c r="EA4" s="2654"/>
      <c r="EB4" s="2654"/>
      <c r="EC4" s="2654"/>
      <c r="ED4" s="2654"/>
      <c r="EE4" s="2654"/>
      <c r="EF4" s="2654"/>
      <c r="EG4" s="2654"/>
      <c r="EH4" s="2654"/>
      <c r="EI4" s="2654"/>
      <c r="EJ4" s="2654"/>
      <c r="EK4" s="2654"/>
      <c r="EL4" s="2654"/>
      <c r="EM4" s="2654"/>
      <c r="EN4" s="2654"/>
      <c r="EO4" s="2654"/>
      <c r="EP4" s="2654"/>
      <c r="EQ4" s="2654"/>
      <c r="ER4" s="2654"/>
      <c r="ES4" s="2654"/>
      <c r="ET4" s="2654"/>
      <c r="EU4" s="2654"/>
      <c r="EV4" s="2654"/>
      <c r="EW4" s="2654"/>
      <c r="EX4" s="2654"/>
      <c r="EY4" s="2654"/>
      <c r="EZ4" s="2654"/>
      <c r="FA4" s="2654"/>
      <c r="FB4" s="2654"/>
      <c r="FC4" s="2654"/>
      <c r="FD4" s="2654"/>
      <c r="FE4" s="2654"/>
      <c r="FF4" s="2654"/>
      <c r="FG4" s="2654"/>
      <c r="FH4" s="2654"/>
      <c r="FI4" s="2654"/>
      <c r="FJ4" s="2654"/>
      <c r="FK4" s="2654"/>
    </row>
    <row r="5" spans="1:168" ht="16.5" customHeight="1" x14ac:dyDescent="0.3">
      <c r="A5" s="2655" t="s">
        <v>2508</v>
      </c>
      <c r="B5" s="2655" t="s">
        <v>2509</v>
      </c>
      <c r="C5" s="2656">
        <v>8313.9230856199993</v>
      </c>
      <c r="D5" s="2656">
        <v>8554.6603705100006</v>
      </c>
      <c r="E5" s="2656">
        <v>8543.5793921799996</v>
      </c>
      <c r="F5" s="2656">
        <v>8747.1718602600013</v>
      </c>
      <c r="G5" s="2656">
        <v>9556.2360567600008</v>
      </c>
      <c r="H5" s="2656">
        <v>9176.9618582599996</v>
      </c>
      <c r="I5" s="2656">
        <v>8577.4751113599996</v>
      </c>
      <c r="J5" s="2656">
        <v>8964.9122942899994</v>
      </c>
      <c r="K5" s="2656">
        <v>9137.7338806799999</v>
      </c>
      <c r="L5" s="2656">
        <v>9189.04614253</v>
      </c>
      <c r="M5" s="2656">
        <v>9229.6837182599993</v>
      </c>
      <c r="N5" s="2656">
        <v>9525.0663255700001</v>
      </c>
      <c r="O5" s="2656">
        <v>9056.9216292099991</v>
      </c>
      <c r="P5" s="2656">
        <v>9259.0514912299986</v>
      </c>
      <c r="Q5" s="2656">
        <v>9060.6338427999981</v>
      </c>
      <c r="R5" s="2656">
        <v>9186.4692947099993</v>
      </c>
      <c r="S5" s="2656">
        <v>9355.9525099800012</v>
      </c>
      <c r="T5" s="2656">
        <v>9401.5499322600008</v>
      </c>
      <c r="U5" s="2656">
        <v>9516.6736425700001</v>
      </c>
      <c r="V5" s="2656">
        <v>10165.600383359999</v>
      </c>
      <c r="W5" s="2656">
        <v>10486.8216237</v>
      </c>
      <c r="X5" s="2656">
        <v>10793.925243599999</v>
      </c>
      <c r="Y5" s="2656">
        <v>10846.49111531</v>
      </c>
      <c r="Z5" s="2656">
        <v>10232.00808204</v>
      </c>
      <c r="AA5" s="2656">
        <v>10884.95353631</v>
      </c>
      <c r="AB5" s="2656">
        <v>10925.24783013</v>
      </c>
      <c r="AC5" s="2656">
        <v>10499.39109904</v>
      </c>
      <c r="AD5" s="2656">
        <v>10574.403858539999</v>
      </c>
      <c r="AE5" s="2656">
        <v>10378.168711709999</v>
      </c>
      <c r="AF5" s="2656">
        <v>10793.873166549998</v>
      </c>
      <c r="AG5" s="2656">
        <v>10959.584142559999</v>
      </c>
      <c r="AH5" s="2656">
        <v>10992.450605919999</v>
      </c>
      <c r="AI5" s="2656">
        <v>11502.52074158</v>
      </c>
      <c r="AJ5" s="2656">
        <v>11450.75111343</v>
      </c>
      <c r="AK5" s="2656">
        <v>11408.30600506</v>
      </c>
      <c r="AL5" s="2656">
        <v>11086.982508629999</v>
      </c>
      <c r="AM5" s="2656">
        <v>11091.524256320001</v>
      </c>
      <c r="AN5" s="2656">
        <v>10859.54273619</v>
      </c>
      <c r="AO5" s="2656">
        <v>10927.48027301</v>
      </c>
      <c r="AP5" s="2656">
        <v>10415.83919683</v>
      </c>
      <c r="AQ5" s="2656">
        <v>10192.80816008</v>
      </c>
      <c r="AR5" s="2656">
        <v>9361.1422593799998</v>
      </c>
      <c r="AS5" s="2656">
        <v>9826.8400938100003</v>
      </c>
      <c r="AT5" s="2656">
        <v>10073.589758530001</v>
      </c>
      <c r="AU5" s="2656">
        <v>9806.8217559900004</v>
      </c>
      <c r="AV5" s="2656">
        <v>9713.9569521400008</v>
      </c>
      <c r="AW5" s="2656">
        <v>9407.1533895899993</v>
      </c>
      <c r="AX5" s="2656">
        <v>9166.4078523200005</v>
      </c>
      <c r="AY5" s="2656">
        <v>9423.9782169700011</v>
      </c>
      <c r="AZ5" s="2656">
        <v>9673.3778150299986</v>
      </c>
      <c r="BA5" s="2656">
        <v>9548.3284712299992</v>
      </c>
      <c r="BB5" s="2656">
        <v>9515.1678391399983</v>
      </c>
      <c r="BC5" s="2656">
        <v>9438.9846605599996</v>
      </c>
      <c r="BD5" s="2656">
        <v>9668.9516985400005</v>
      </c>
      <c r="BE5" s="2656">
        <v>9628.0857852999998</v>
      </c>
      <c r="BF5" s="2656">
        <v>9682.6052572400004</v>
      </c>
      <c r="BG5" s="2656">
        <v>11894.207862830001</v>
      </c>
      <c r="BH5" s="2656">
        <v>12810.569558089999</v>
      </c>
      <c r="BI5" s="2656">
        <v>14072.53336646</v>
      </c>
      <c r="BJ5" s="2656">
        <v>14252.727087489999</v>
      </c>
      <c r="BK5" s="2656">
        <v>16386.981618220001</v>
      </c>
      <c r="BL5" s="2656">
        <v>16165.21224103</v>
      </c>
      <c r="BM5" s="2656">
        <v>17319.651827019999</v>
      </c>
      <c r="BN5" s="2656">
        <v>17128.454241530002</v>
      </c>
      <c r="BO5" s="2656">
        <v>16918.130501560001</v>
      </c>
      <c r="BP5" s="2656">
        <v>16754.418344040001</v>
      </c>
      <c r="BQ5" s="2656">
        <v>15887.87718121</v>
      </c>
      <c r="BR5" s="2656">
        <v>16309.029206019999</v>
      </c>
      <c r="BS5" s="2656">
        <v>16407.963294390003</v>
      </c>
      <c r="BT5" s="2656">
        <v>16761.993539340001</v>
      </c>
      <c r="BU5" s="2656">
        <v>15904.883853809999</v>
      </c>
      <c r="BV5" s="2656">
        <v>15865.742060820001</v>
      </c>
      <c r="BW5" s="2656">
        <v>16423.224682980002</v>
      </c>
      <c r="BX5" s="2656">
        <v>18464.04998295</v>
      </c>
      <c r="BY5" s="2656">
        <v>18301.903159670001</v>
      </c>
      <c r="BZ5" s="2656">
        <v>18612.095889780001</v>
      </c>
      <c r="CA5" s="2656">
        <v>18101.25427225</v>
      </c>
      <c r="CB5" s="2656">
        <v>21676.347765070001</v>
      </c>
      <c r="CC5" s="2656">
        <v>21780.851279999999</v>
      </c>
      <c r="CD5" s="2656">
        <v>21453.189424590004</v>
      </c>
      <c r="CE5" s="2656">
        <v>21711.820098050001</v>
      </c>
      <c r="CF5" s="2656">
        <v>22705.449347239999</v>
      </c>
      <c r="CG5" s="2656">
        <v>21477.49009426</v>
      </c>
      <c r="CH5" s="2656">
        <v>21012.220446519997</v>
      </c>
      <c r="CI5" s="2656">
        <v>21419.997627880002</v>
      </c>
      <c r="CJ5" s="2656">
        <v>22119.062824500001</v>
      </c>
      <c r="CK5" s="2656">
        <v>21845.375615180001</v>
      </c>
      <c r="CL5" s="2656">
        <v>22012.788021959997</v>
      </c>
      <c r="CM5" s="2656">
        <v>21882.890253439997</v>
      </c>
      <c r="CN5" s="2656">
        <v>21434.56102841</v>
      </c>
      <c r="CO5" s="2656">
        <v>21152.540818729998</v>
      </c>
      <c r="CP5" s="2656">
        <v>21234.920653519999</v>
      </c>
      <c r="CQ5" s="2656">
        <v>21715.520647429999</v>
      </c>
      <c r="CR5" s="2656">
        <v>21833.436775630002</v>
      </c>
      <c r="CS5" s="2656">
        <v>21494.353175069999</v>
      </c>
      <c r="CT5" s="2656">
        <v>21636.334058060002</v>
      </c>
      <c r="CU5" s="2656">
        <v>21480.658374660001</v>
      </c>
      <c r="CV5" s="2656">
        <v>21591.003861960002</v>
      </c>
      <c r="CW5" s="2656">
        <v>21954.76253923</v>
      </c>
      <c r="CX5" s="2656">
        <v>22450.718447179999</v>
      </c>
      <c r="CY5" s="2656">
        <v>22360.7943734</v>
      </c>
      <c r="CZ5" s="2656">
        <v>21649.390013760003</v>
      </c>
      <c r="DA5" s="2656">
        <v>20949.39389182</v>
      </c>
      <c r="DB5" s="2656">
        <v>20836.418601870002</v>
      </c>
      <c r="DC5" s="2656">
        <v>20514.21332726</v>
      </c>
      <c r="DD5" s="2656">
        <v>21059.21610238</v>
      </c>
      <c r="DE5" s="2656">
        <v>21082.430407520002</v>
      </c>
      <c r="DF5" s="2656">
        <v>21837.522978320001</v>
      </c>
      <c r="DG5" s="2656">
        <v>22291.661983980001</v>
      </c>
      <c r="DH5" s="2656">
        <v>22297.164918140003</v>
      </c>
      <c r="DI5" s="2656">
        <v>22257.754369369999</v>
      </c>
      <c r="DJ5" s="2656">
        <v>22282.704412880001</v>
      </c>
      <c r="DK5" s="2656">
        <v>22761.593563759998</v>
      </c>
      <c r="DL5" s="2656">
        <v>24434.745372279998</v>
      </c>
      <c r="DM5" s="2656">
        <v>24971.57812115</v>
      </c>
      <c r="DN5" s="2656">
        <v>26427.392238740002</v>
      </c>
      <c r="DO5" s="2656">
        <v>26167.127415210001</v>
      </c>
      <c r="DP5" s="2656">
        <v>26289.102667560001</v>
      </c>
      <c r="DQ5" s="2656">
        <v>25931.975850620001</v>
      </c>
      <c r="DR5" s="2656">
        <v>26882.355948129996</v>
      </c>
      <c r="DS5" s="2656">
        <v>27829.538352400003</v>
      </c>
      <c r="DT5" s="2656">
        <v>29260.612357899998</v>
      </c>
      <c r="DU5" s="2656">
        <v>30315.636037199998</v>
      </c>
      <c r="DV5" s="2656">
        <v>32610.167611289999</v>
      </c>
      <c r="DW5" s="2656">
        <v>32650.17150421</v>
      </c>
      <c r="DX5" s="2656">
        <v>33538.23095574</v>
      </c>
      <c r="DY5" s="2656">
        <v>36674.130878479999</v>
      </c>
      <c r="DZ5" s="2656">
        <v>36279.68782128</v>
      </c>
      <c r="EA5" s="2656">
        <v>35311.032204410003</v>
      </c>
      <c r="EB5" s="2656">
        <v>35138.173017779998</v>
      </c>
      <c r="EC5" s="2656">
        <v>33640.310472199999</v>
      </c>
      <c r="ED5" s="2656">
        <v>35052.853010980005</v>
      </c>
      <c r="EE5" s="2656">
        <v>34466.456406270001</v>
      </c>
      <c r="EF5" s="2656">
        <v>33379.591443370002</v>
      </c>
      <c r="EG5" s="2656">
        <v>32599.861505120003</v>
      </c>
      <c r="EH5" s="2656">
        <v>33947.656238100004</v>
      </c>
      <c r="EI5" s="2656">
        <v>36364.028186399999</v>
      </c>
      <c r="EJ5" s="2656">
        <v>35436.270913729997</v>
      </c>
      <c r="EK5" s="2656">
        <v>36868.025169300003</v>
      </c>
      <c r="EL5" s="2656">
        <v>44804.387695550002</v>
      </c>
      <c r="EM5" s="2656">
        <v>43317.69849278</v>
      </c>
      <c r="EN5" s="2656">
        <v>44613.646087579997</v>
      </c>
      <c r="EO5" s="2656">
        <v>44746.538324749999</v>
      </c>
      <c r="EP5" s="2656">
        <v>45435.89180854</v>
      </c>
      <c r="EQ5" s="2656">
        <v>45029.474709149996</v>
      </c>
      <c r="ER5" s="2656">
        <v>47346.480250200002</v>
      </c>
      <c r="ES5" s="2656">
        <v>48184.812265860004</v>
      </c>
      <c r="ET5" s="2656">
        <v>46199.929970789999</v>
      </c>
      <c r="EU5" s="2656">
        <v>45558.228918499997</v>
      </c>
      <c r="EV5" s="2656">
        <v>46549.704023099999</v>
      </c>
      <c r="EW5" s="2656">
        <v>45309.900180980003</v>
      </c>
      <c r="EX5" s="2656">
        <v>43974.0995339</v>
      </c>
      <c r="EY5" s="2656">
        <v>42937.7354117</v>
      </c>
      <c r="EZ5" s="2656">
        <v>41677.21072522</v>
      </c>
      <c r="FA5" s="2656">
        <v>43461.797201920002</v>
      </c>
      <c r="FB5" s="2656">
        <v>44613.774027020001</v>
      </c>
      <c r="FC5" s="2656">
        <v>47297.196689240001</v>
      </c>
      <c r="FD5" s="2656">
        <v>47117.216352199997</v>
      </c>
      <c r="FE5" s="2656">
        <v>49942.445549069998</v>
      </c>
      <c r="FF5" s="2656">
        <v>49032.139835079994</v>
      </c>
      <c r="FG5" s="2656">
        <v>49192.109829950001</v>
      </c>
      <c r="FH5" s="2656">
        <v>48232.159647839995</v>
      </c>
      <c r="FI5" s="2656">
        <v>49813.288695750001</v>
      </c>
      <c r="FJ5" s="2656">
        <v>49067.577589270004</v>
      </c>
      <c r="FK5" s="2656">
        <v>46507.994062459999</v>
      </c>
      <c r="FL5" s="2657"/>
    </row>
    <row r="6" spans="1:168" ht="16.5" customHeight="1" x14ac:dyDescent="0.3">
      <c r="A6" s="2658"/>
      <c r="B6" s="2658"/>
      <c r="C6" s="2659"/>
      <c r="D6" s="2659"/>
      <c r="E6" s="2659"/>
      <c r="F6" s="2659"/>
      <c r="G6" s="2659"/>
      <c r="H6" s="2659"/>
      <c r="I6" s="2659"/>
      <c r="J6" s="2659"/>
      <c r="K6" s="2659"/>
      <c r="L6" s="2659"/>
      <c r="M6" s="2659"/>
      <c r="N6" s="2659"/>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7"/>
    </row>
    <row r="7" spans="1:168" ht="16.5" customHeight="1" x14ac:dyDescent="0.3">
      <c r="A7" s="2655" t="s">
        <v>2510</v>
      </c>
      <c r="B7" s="2655" t="s">
        <v>2511</v>
      </c>
      <c r="C7" s="2656">
        <v>46479.690356609994</v>
      </c>
      <c r="D7" s="2656">
        <v>47338.646243449999</v>
      </c>
      <c r="E7" s="2656">
        <v>46874.403580339997</v>
      </c>
      <c r="F7" s="2656">
        <v>47113.568935839998</v>
      </c>
      <c r="G7" s="2656">
        <v>47970.326540830007</v>
      </c>
      <c r="H7" s="2656">
        <v>47749.636055729999</v>
      </c>
      <c r="I7" s="2656">
        <v>49042.936176709998</v>
      </c>
      <c r="J7" s="2656">
        <v>49332.633441409991</v>
      </c>
      <c r="K7" s="2656">
        <v>52450.741661199994</v>
      </c>
      <c r="L7" s="2656">
        <v>45739.848496799998</v>
      </c>
      <c r="M7" s="2656">
        <v>48100.089039729995</v>
      </c>
      <c r="N7" s="2656">
        <v>50558.082051600002</v>
      </c>
      <c r="O7" s="2656">
        <v>48153.005427600001</v>
      </c>
      <c r="P7" s="2656">
        <v>47983.890925710002</v>
      </c>
      <c r="Q7" s="2656">
        <v>50330.50895512999</v>
      </c>
      <c r="R7" s="2656">
        <v>49796.249027239995</v>
      </c>
      <c r="S7" s="2656">
        <v>48107.072336229998</v>
      </c>
      <c r="T7" s="2656">
        <v>50721.095615480001</v>
      </c>
      <c r="U7" s="2656">
        <v>49960.070493819992</v>
      </c>
      <c r="V7" s="2656">
        <v>49543.422391970002</v>
      </c>
      <c r="W7" s="2656">
        <v>47988.597888370001</v>
      </c>
      <c r="X7" s="2656">
        <v>50117.61087366</v>
      </c>
      <c r="Y7" s="2656">
        <v>46507.748853829995</v>
      </c>
      <c r="Z7" s="2656">
        <v>49690.326225489996</v>
      </c>
      <c r="AA7" s="2656">
        <v>48841.244741559989</v>
      </c>
      <c r="AB7" s="2656">
        <v>48768.139258179996</v>
      </c>
      <c r="AC7" s="2656">
        <v>48609.673783980004</v>
      </c>
      <c r="AD7" s="2656">
        <v>48048.578924560003</v>
      </c>
      <c r="AE7" s="2656">
        <v>47226.234658829999</v>
      </c>
      <c r="AF7" s="2656">
        <v>52892.181369340004</v>
      </c>
      <c r="AG7" s="2656">
        <v>51859.279100339991</v>
      </c>
      <c r="AH7" s="2656">
        <v>52260.86865371</v>
      </c>
      <c r="AI7" s="2656">
        <v>52486.355979999993</v>
      </c>
      <c r="AJ7" s="2656">
        <v>48261.316332099996</v>
      </c>
      <c r="AK7" s="2656">
        <v>50897.801944259998</v>
      </c>
      <c r="AL7" s="2656">
        <v>52230.276910590008</v>
      </c>
      <c r="AM7" s="2656">
        <v>54541.558988270008</v>
      </c>
      <c r="AN7" s="2656">
        <v>54460.441544789996</v>
      </c>
      <c r="AO7" s="2656">
        <v>57496.533880289993</v>
      </c>
      <c r="AP7" s="2656">
        <v>56956.475671139997</v>
      </c>
      <c r="AQ7" s="2656">
        <v>65309.752023239998</v>
      </c>
      <c r="AR7" s="2656">
        <v>65865.506923050008</v>
      </c>
      <c r="AS7" s="2656">
        <v>62442.457839729999</v>
      </c>
      <c r="AT7" s="2656">
        <v>60731.30969142</v>
      </c>
      <c r="AU7" s="2656">
        <v>62615.84372166</v>
      </c>
      <c r="AV7" s="2656">
        <v>62128.569978330001</v>
      </c>
      <c r="AW7" s="2656">
        <v>61212.090309649997</v>
      </c>
      <c r="AX7" s="2656">
        <v>65671.99359541999</v>
      </c>
      <c r="AY7" s="2656">
        <v>65001.572522259994</v>
      </c>
      <c r="AZ7" s="2656">
        <v>70325.203387729998</v>
      </c>
      <c r="BA7" s="2656">
        <v>72275.114166180007</v>
      </c>
      <c r="BB7" s="2656">
        <v>76699.570710229993</v>
      </c>
      <c r="BC7" s="2656">
        <v>79049.383966680005</v>
      </c>
      <c r="BD7" s="2656">
        <v>81250.858231420003</v>
      </c>
      <c r="BE7" s="2656">
        <v>82778.097596120002</v>
      </c>
      <c r="BF7" s="2656">
        <v>84787.815114509984</v>
      </c>
      <c r="BG7" s="2656">
        <v>82891.982579819989</v>
      </c>
      <c r="BH7" s="2656">
        <v>78762.170079570002</v>
      </c>
      <c r="BI7" s="2656">
        <v>75612.590637820002</v>
      </c>
      <c r="BJ7" s="2656">
        <v>77385.975843499997</v>
      </c>
      <c r="BK7" s="2656">
        <v>72629.630849979992</v>
      </c>
      <c r="BL7" s="2656">
        <v>62925.917202170014</v>
      </c>
      <c r="BM7" s="2656">
        <v>58480.387652580008</v>
      </c>
      <c r="BN7" s="2656">
        <v>44771.752081619998</v>
      </c>
      <c r="BO7" s="2656">
        <v>42563.058551499998</v>
      </c>
      <c r="BP7" s="2656">
        <v>38073.754578460001</v>
      </c>
      <c r="BQ7" s="2656">
        <v>42262.772240890001</v>
      </c>
      <c r="BR7" s="2656">
        <v>42864.375778319998</v>
      </c>
      <c r="BS7" s="2656">
        <v>40193.047211420009</v>
      </c>
      <c r="BT7" s="2656">
        <v>42993.967329619998</v>
      </c>
      <c r="BU7" s="2656">
        <v>45744.060463390007</v>
      </c>
      <c r="BV7" s="2656">
        <v>37567.587296919999</v>
      </c>
      <c r="BW7" s="2656">
        <v>43972.961755199998</v>
      </c>
      <c r="BX7" s="2656">
        <v>51730.241857550005</v>
      </c>
      <c r="BY7" s="2656">
        <v>53072.297125359997</v>
      </c>
      <c r="BZ7" s="2656">
        <v>50480.164341039999</v>
      </c>
      <c r="CA7" s="2656">
        <v>50099.544604170005</v>
      </c>
      <c r="CB7" s="2656">
        <v>53155.741105980007</v>
      </c>
      <c r="CC7" s="2656">
        <v>49591.107950810008</v>
      </c>
      <c r="CD7" s="2656">
        <v>25953.331185359995</v>
      </c>
      <c r="CE7" s="2656">
        <v>30204.438892050002</v>
      </c>
      <c r="CF7" s="2656">
        <v>25868.119061399993</v>
      </c>
      <c r="CG7" s="2656">
        <v>25486.071672620001</v>
      </c>
      <c r="CH7" s="2656">
        <v>29336.382384560005</v>
      </c>
      <c r="CI7" s="2656">
        <v>25846.664867020001</v>
      </c>
      <c r="CJ7" s="2656">
        <v>25910.323146860002</v>
      </c>
      <c r="CK7" s="2656">
        <v>26968.741297550001</v>
      </c>
      <c r="CL7" s="2656">
        <v>23904.167225090001</v>
      </c>
      <c r="CM7" s="2656">
        <v>19616.047523459994</v>
      </c>
      <c r="CN7" s="2656">
        <v>36110.476421989995</v>
      </c>
      <c r="CO7" s="2656">
        <v>41214.656960429995</v>
      </c>
      <c r="CP7" s="2656">
        <v>44638.545298670004</v>
      </c>
      <c r="CQ7" s="2656">
        <v>57951.403502900001</v>
      </c>
      <c r="CR7" s="2656">
        <v>20768.521938509999</v>
      </c>
      <c r="CS7" s="2656">
        <v>16200.300409190006</v>
      </c>
      <c r="CT7" s="2656">
        <v>40167.848764919996</v>
      </c>
      <c r="CU7" s="2656">
        <v>36930.029730510003</v>
      </c>
      <c r="CV7" s="2656">
        <v>20686.36145344</v>
      </c>
      <c r="CW7" s="2656">
        <v>33015.00342624</v>
      </c>
      <c r="CX7" s="2656">
        <v>28417.151371289994</v>
      </c>
      <c r="CY7" s="2656">
        <v>60987.560173774793</v>
      </c>
      <c r="CZ7" s="2656">
        <v>28044.83359966358</v>
      </c>
      <c r="DA7" s="2656">
        <v>19813.168259204609</v>
      </c>
      <c r="DB7" s="2656">
        <v>29157.11884578285</v>
      </c>
      <c r="DC7" s="2656">
        <v>24877.388861775155</v>
      </c>
      <c r="DD7" s="2656">
        <v>19988.313144882686</v>
      </c>
      <c r="DE7" s="2656">
        <v>23214.67012390948</v>
      </c>
      <c r="DF7" s="2656">
        <v>21190.230214677082</v>
      </c>
      <c r="DG7" s="2656">
        <v>22774.497088783308</v>
      </c>
      <c r="DH7" s="2656">
        <v>28874.779825214086</v>
      </c>
      <c r="DI7" s="2656">
        <v>27493.712243670649</v>
      </c>
      <c r="DJ7" s="2656">
        <v>29437.909027118338</v>
      </c>
      <c r="DK7" s="2656">
        <v>30662.416134091807</v>
      </c>
      <c r="DL7" s="2656">
        <v>49800.130808240727</v>
      </c>
      <c r="DM7" s="2656">
        <v>52811.841383703795</v>
      </c>
      <c r="DN7" s="2656">
        <v>49739.377359282786</v>
      </c>
      <c r="DO7" s="2656">
        <v>41395.074238387409</v>
      </c>
      <c r="DP7" s="2656">
        <v>39898.825465700429</v>
      </c>
      <c r="DQ7" s="2656">
        <v>48918.123072998205</v>
      </c>
      <c r="DR7" s="2656">
        <v>48045.728677939223</v>
      </c>
      <c r="DS7" s="2656">
        <v>54424.652535682711</v>
      </c>
      <c r="DT7" s="2656">
        <v>43010.871918997364</v>
      </c>
      <c r="DU7" s="2656">
        <v>57479.869647484345</v>
      </c>
      <c r="DV7" s="2656">
        <v>64506.380932019783</v>
      </c>
      <c r="DW7" s="2656">
        <v>39666.267443362951</v>
      </c>
      <c r="DX7" s="2656">
        <v>47309.352880735605</v>
      </c>
      <c r="DY7" s="2656">
        <v>50404.630621719582</v>
      </c>
      <c r="DZ7" s="2656">
        <v>52437.545989580431</v>
      </c>
      <c r="EA7" s="2656">
        <v>53343.96080799558</v>
      </c>
      <c r="EB7" s="2656">
        <v>39560.312985339311</v>
      </c>
      <c r="EC7" s="2656">
        <v>39455.049457039568</v>
      </c>
      <c r="ED7" s="2656">
        <v>48487.544591903992</v>
      </c>
      <c r="EE7" s="2656">
        <v>65472.353418301333</v>
      </c>
      <c r="EF7" s="2656">
        <v>52928.063137635319</v>
      </c>
      <c r="EG7" s="2656">
        <v>53464.033682963825</v>
      </c>
      <c r="EH7" s="2656">
        <v>63068.920930666965</v>
      </c>
      <c r="EI7" s="2656">
        <v>65172.687273433192</v>
      </c>
      <c r="EJ7" s="2656">
        <v>68732.469938451119</v>
      </c>
      <c r="EK7" s="2656">
        <v>67571.892493192427</v>
      </c>
      <c r="EL7" s="2656">
        <v>69541.940528642561</v>
      </c>
      <c r="EM7" s="2656">
        <v>82834.296188592401</v>
      </c>
      <c r="EN7" s="2656">
        <v>69986.339157327209</v>
      </c>
      <c r="EO7" s="2656">
        <v>76184.020314755267</v>
      </c>
      <c r="EP7" s="2656">
        <v>111101.3512572444</v>
      </c>
      <c r="EQ7" s="2656">
        <v>85715.94925001041</v>
      </c>
      <c r="ER7" s="2656">
        <v>82160.01866890752</v>
      </c>
      <c r="ES7" s="2656">
        <v>98353.318167483594</v>
      </c>
      <c r="ET7" s="2656">
        <v>69802.816458698187</v>
      </c>
      <c r="EU7" s="2656">
        <v>57792.489466711384</v>
      </c>
      <c r="EV7" s="2656">
        <v>91779.252758863571</v>
      </c>
      <c r="EW7" s="2656">
        <v>58836.29274722837</v>
      </c>
      <c r="EX7" s="2656">
        <v>56649.438974349563</v>
      </c>
      <c r="EY7" s="2656">
        <v>80961.174830766875</v>
      </c>
      <c r="EZ7" s="2656">
        <v>43513.666827428642</v>
      </c>
      <c r="FA7" s="2656">
        <v>64675.027258432965</v>
      </c>
      <c r="FB7" s="2656">
        <v>97761.153419410097</v>
      </c>
      <c r="FC7" s="2656">
        <v>50575.1992891181</v>
      </c>
      <c r="FD7" s="2656">
        <v>56897.137954007456</v>
      </c>
      <c r="FE7" s="2656">
        <v>66382.292240103488</v>
      </c>
      <c r="FF7" s="2656">
        <v>55590.354459981616</v>
      </c>
      <c r="FG7" s="2656">
        <v>51904.888181080758</v>
      </c>
      <c r="FH7" s="2656">
        <v>66000.594084267927</v>
      </c>
      <c r="FI7" s="2656">
        <v>57101.095493952431</v>
      </c>
      <c r="FJ7" s="2656">
        <v>59100.471115371787</v>
      </c>
      <c r="FK7" s="2656">
        <v>46587.580998295089</v>
      </c>
      <c r="FL7" s="2657"/>
    </row>
    <row r="8" spans="1:168" ht="16.5" customHeight="1" x14ac:dyDescent="0.3">
      <c r="A8" s="2658" t="s">
        <v>2512</v>
      </c>
      <c r="B8" s="2658" t="s">
        <v>2513</v>
      </c>
      <c r="C8" s="2660">
        <v>3.3162413999999996</v>
      </c>
      <c r="D8" s="2660">
        <v>3.44382162</v>
      </c>
      <c r="E8" s="2660">
        <v>0.52834817000000001</v>
      </c>
      <c r="F8" s="2660">
        <v>0.96362187999999993</v>
      </c>
      <c r="G8" s="2660">
        <v>1.61711374</v>
      </c>
      <c r="H8" s="2660">
        <v>1.58589907</v>
      </c>
      <c r="I8" s="2660">
        <v>1.69840021</v>
      </c>
      <c r="J8" s="2660">
        <v>2.0199524499999999</v>
      </c>
      <c r="K8" s="2660">
        <v>2.4689764999999997</v>
      </c>
      <c r="L8" s="2660">
        <v>2.6983453900000001</v>
      </c>
      <c r="M8" s="2660">
        <v>2.8881806699999997</v>
      </c>
      <c r="N8" s="2660">
        <v>3.0182872999999999</v>
      </c>
      <c r="O8" s="2660">
        <v>4.36494933</v>
      </c>
      <c r="P8" s="2660">
        <v>4.5159973499999992</v>
      </c>
      <c r="Q8" s="2660">
        <v>4.5201716999999997</v>
      </c>
      <c r="R8" s="2660">
        <v>4.6542414299999999</v>
      </c>
      <c r="S8" s="2660">
        <v>4.8596830799999999</v>
      </c>
      <c r="T8" s="2660">
        <v>2.1044306499999998</v>
      </c>
      <c r="U8" s="2660">
        <v>2.3229332400000002</v>
      </c>
      <c r="V8" s="2660">
        <v>1.10551946</v>
      </c>
      <c r="W8" s="2660">
        <v>1.2081790400000001</v>
      </c>
      <c r="X8" s="2660">
        <v>1.4917216399999997</v>
      </c>
      <c r="Y8" s="2660">
        <v>7.7478409999999998E-2</v>
      </c>
      <c r="Z8" s="2660">
        <v>0.20579432999999997</v>
      </c>
      <c r="AA8" s="2660">
        <v>2.08527073</v>
      </c>
      <c r="AB8" s="2660">
        <v>2.1227347000000001</v>
      </c>
      <c r="AC8" s="2660">
        <v>0.16106642000000002</v>
      </c>
      <c r="AD8" s="2660">
        <v>0.40776766999999997</v>
      </c>
      <c r="AE8" s="2660">
        <v>0.53828650999999994</v>
      </c>
      <c r="AF8" s="2660">
        <v>6.8709489999999998E-2</v>
      </c>
      <c r="AG8" s="2660">
        <v>0.28507784000000003</v>
      </c>
      <c r="AH8" s="2660">
        <v>0.38971388000000001</v>
      </c>
      <c r="AI8" s="2660">
        <v>0.61654191999999997</v>
      </c>
      <c r="AJ8" s="2660">
        <v>0.71829385999999995</v>
      </c>
      <c r="AK8" s="2660">
        <v>0.82500887999999994</v>
      </c>
      <c r="AL8" s="2660">
        <v>0.15974335999999997</v>
      </c>
      <c r="AM8" s="2660">
        <v>3.2131500000000001E-3</v>
      </c>
      <c r="AN8" s="2660">
        <v>0.21171297</v>
      </c>
      <c r="AO8" s="2660">
        <v>0.53191798000000001</v>
      </c>
      <c r="AP8" s="2660">
        <v>1.04820629</v>
      </c>
      <c r="AQ8" s="2660">
        <v>0.79720856000000007</v>
      </c>
      <c r="AR8" s="2660">
        <v>0.45030021999999997</v>
      </c>
      <c r="AS8" s="2660">
        <v>1.6454917600000001</v>
      </c>
      <c r="AT8" s="2660">
        <v>2.5353343500000003</v>
      </c>
      <c r="AU8" s="2660">
        <v>1.83243321</v>
      </c>
      <c r="AV8" s="2660">
        <v>3.2758696</v>
      </c>
      <c r="AW8" s="2660">
        <v>0.55512423</v>
      </c>
      <c r="AX8" s="2660">
        <v>1.47342814</v>
      </c>
      <c r="AY8" s="2660">
        <v>3.9064475099999996</v>
      </c>
      <c r="AZ8" s="2660">
        <v>4.9109224100000004</v>
      </c>
      <c r="BA8" s="2660">
        <v>5.9536671800000001</v>
      </c>
      <c r="BB8" s="2660">
        <v>0.9437263199999999</v>
      </c>
      <c r="BC8" s="2660">
        <v>1.9592846000000002</v>
      </c>
      <c r="BD8" s="2660">
        <v>3.2790184999999998</v>
      </c>
      <c r="BE8" s="2660">
        <v>1.0305465700000001</v>
      </c>
      <c r="BF8" s="2660">
        <v>2.1129708599999999</v>
      </c>
      <c r="BG8" s="2660">
        <v>0.99579791000000006</v>
      </c>
      <c r="BH8" s="2660">
        <v>2.09559498</v>
      </c>
      <c r="BI8" s="2660">
        <v>3.1292195699999996</v>
      </c>
      <c r="BJ8" s="2660">
        <v>0.80075947999999997</v>
      </c>
      <c r="BK8" s="2660">
        <v>3.9181357400000003</v>
      </c>
      <c r="BL8" s="2660">
        <v>1.15771402</v>
      </c>
      <c r="BM8" s="2660">
        <v>2.0793943700000002</v>
      </c>
      <c r="BN8" s="2660">
        <v>4.09080391</v>
      </c>
      <c r="BO8" s="2660">
        <v>5.0792759500000004</v>
      </c>
      <c r="BP8" s="2660">
        <v>0.53215592</v>
      </c>
      <c r="BQ8" s="2660">
        <v>1.6222477900000001</v>
      </c>
      <c r="BR8" s="2660">
        <v>3.7986197900000001</v>
      </c>
      <c r="BS8" s="2660">
        <v>0.56844960999999994</v>
      </c>
      <c r="BT8" s="2660">
        <v>2.1422187099999999</v>
      </c>
      <c r="BU8" s="2660">
        <v>3.5085658900000003</v>
      </c>
      <c r="BV8" s="2660">
        <v>0.84997544999999997</v>
      </c>
      <c r="BW8" s="2660">
        <v>5.5799382199999998</v>
      </c>
      <c r="BX8" s="2660">
        <v>6.6585110700000003</v>
      </c>
      <c r="BY8" s="2660">
        <v>8.1286054300000004</v>
      </c>
      <c r="BZ8" s="2660">
        <v>2.8538536699999999</v>
      </c>
      <c r="CA8" s="2660">
        <v>4.2383198000000002</v>
      </c>
      <c r="CB8" s="2660">
        <v>5.5956662899999996</v>
      </c>
      <c r="CC8" s="2660">
        <v>6.6103161100000003</v>
      </c>
      <c r="CD8" s="2660">
        <v>7.9118339200000003</v>
      </c>
      <c r="CE8" s="2660">
        <v>6.6625417999999996</v>
      </c>
      <c r="CF8" s="2660">
        <v>8.2792623699999996</v>
      </c>
      <c r="CG8" s="2660">
        <v>0.72698711999999999</v>
      </c>
      <c r="CH8" s="2660">
        <v>1.7118209199999999</v>
      </c>
      <c r="CI8" s="2660">
        <v>7.3309523399999996</v>
      </c>
      <c r="CJ8" s="2660">
        <v>8.2244865699999998</v>
      </c>
      <c r="CK8" s="2660">
        <v>9.7199616199999994</v>
      </c>
      <c r="CL8" s="2660">
        <v>10.654790650000001</v>
      </c>
      <c r="CM8" s="2660">
        <v>11.931114039999999</v>
      </c>
      <c r="CN8" s="2660">
        <v>13.2000545</v>
      </c>
      <c r="CO8" s="2660">
        <v>13.90434366</v>
      </c>
      <c r="CP8" s="2660">
        <v>14.580464210000001</v>
      </c>
      <c r="CQ8" s="2660">
        <v>16.02229247</v>
      </c>
      <c r="CR8" s="2660">
        <v>17.22606832</v>
      </c>
      <c r="CS8" s="2660">
        <v>17.917645370000002</v>
      </c>
      <c r="CT8" s="2660">
        <v>18.761190350000003</v>
      </c>
      <c r="CU8" s="2660">
        <v>23.155243179999999</v>
      </c>
      <c r="CV8" s="2660">
        <v>24.677085160000001</v>
      </c>
      <c r="CW8" s="2660">
        <v>26.284842210000001</v>
      </c>
      <c r="CX8" s="2660">
        <v>28.126177819999999</v>
      </c>
      <c r="CY8" s="2660">
        <v>19.17165039</v>
      </c>
      <c r="CZ8" s="2660">
        <v>20.428884489999998</v>
      </c>
      <c r="DA8" s="2660">
        <v>21.312925530000001</v>
      </c>
      <c r="DB8" s="2660">
        <v>22.417444270000001</v>
      </c>
      <c r="DC8" s="2660">
        <v>23.23131566</v>
      </c>
      <c r="DD8" s="2660">
        <v>3.7692603</v>
      </c>
      <c r="DE8" s="2660">
        <v>4.4197067699999995</v>
      </c>
      <c r="DF8" s="2660">
        <v>5.2128988099999995</v>
      </c>
      <c r="DG8" s="2660">
        <v>11.12005241</v>
      </c>
      <c r="DH8" s="2660">
        <v>12.727241710000001</v>
      </c>
      <c r="DI8" s="2660">
        <v>14.307861039999999</v>
      </c>
      <c r="DJ8" s="2660">
        <v>15.543937140000001</v>
      </c>
      <c r="DK8" s="2660">
        <v>5.7532942699999996</v>
      </c>
      <c r="DL8" s="2660">
        <v>6.49962076</v>
      </c>
      <c r="DM8" s="2660">
        <v>7.8449877800000003</v>
      </c>
      <c r="DN8" s="2660">
        <v>9.4197354400000002</v>
      </c>
      <c r="DO8" s="2660">
        <v>10.903498369999999</v>
      </c>
      <c r="DP8" s="2660">
        <v>12.328909939999999</v>
      </c>
      <c r="DQ8" s="2660">
        <v>6.5975193799999996</v>
      </c>
      <c r="DR8" s="2660">
        <v>7.1667985999999999</v>
      </c>
      <c r="DS8" s="2660">
        <v>15.75958484</v>
      </c>
      <c r="DT8" s="2660">
        <v>16.97671811</v>
      </c>
      <c r="DU8" s="2660">
        <v>7.3655315999999997</v>
      </c>
      <c r="DV8" s="2660">
        <v>7.5035066100000005</v>
      </c>
      <c r="DW8" s="2660">
        <v>7.5346126399999998</v>
      </c>
      <c r="DX8" s="2660">
        <v>8.1824657300000005</v>
      </c>
      <c r="DY8" s="2660">
        <v>9.046703599999999</v>
      </c>
      <c r="DZ8" s="2660">
        <v>9.3908576099999994</v>
      </c>
      <c r="EA8" s="2660">
        <v>9.9991276400000011</v>
      </c>
      <c r="EB8" s="2660">
        <v>10.37393906</v>
      </c>
      <c r="EC8" s="2660">
        <v>10.632759460000001</v>
      </c>
      <c r="ED8" s="2660">
        <v>11.301359470000001</v>
      </c>
      <c r="EE8" s="2660">
        <v>17.81347835</v>
      </c>
      <c r="EF8" s="2660">
        <v>18.28006354</v>
      </c>
      <c r="EG8" s="2660">
        <v>18.696578300000002</v>
      </c>
      <c r="EH8" s="2660">
        <v>7.7827115199999994</v>
      </c>
      <c r="EI8" s="2660">
        <v>8.008532240000001</v>
      </c>
      <c r="EJ8" s="2660">
        <v>8.3866510999999999</v>
      </c>
      <c r="EK8" s="2660">
        <v>8.6753242499999992</v>
      </c>
      <c r="EL8" s="2660">
        <v>8.7889614900000002</v>
      </c>
      <c r="EM8" s="2660">
        <v>0.97288589000000003</v>
      </c>
      <c r="EN8" s="2660">
        <v>1.0924475</v>
      </c>
      <c r="EO8" s="2660">
        <v>1.2080429399999999</v>
      </c>
      <c r="EP8" s="2660">
        <v>1.3998141100000001</v>
      </c>
      <c r="EQ8" s="2660">
        <v>7.5053936100000005</v>
      </c>
      <c r="ER8" s="2660">
        <v>7.6268699599999996</v>
      </c>
      <c r="ES8" s="2660">
        <v>7.9933416900000003</v>
      </c>
      <c r="ET8" s="2660">
        <v>7.7587451600000001</v>
      </c>
      <c r="EU8" s="2660">
        <v>8.0167022199999991</v>
      </c>
      <c r="EV8" s="2660">
        <v>8.5459265799999997</v>
      </c>
      <c r="EW8" s="2660">
        <v>8.6799144000000013</v>
      </c>
      <c r="EX8" s="2660">
        <v>12.815298029999999</v>
      </c>
      <c r="EY8" s="2660">
        <v>12.95367703</v>
      </c>
      <c r="EZ8" s="2660">
        <v>13.24313867</v>
      </c>
      <c r="FA8" s="2660">
        <v>11.976296039999999</v>
      </c>
      <c r="FB8" s="2660">
        <v>8.9841933000000012</v>
      </c>
      <c r="FC8" s="2660">
        <v>13.691134679999999</v>
      </c>
      <c r="FD8" s="2660">
        <v>14.770478630000001</v>
      </c>
      <c r="FE8" s="2660">
        <v>14.88025094</v>
      </c>
      <c r="FF8" s="2660">
        <v>14.765497829999999</v>
      </c>
      <c r="FG8" s="2660">
        <v>2.4631115299999999</v>
      </c>
      <c r="FH8" s="2660">
        <v>2.94370318</v>
      </c>
      <c r="FI8" s="2660">
        <v>3.0897609400000001</v>
      </c>
      <c r="FJ8" s="2660">
        <v>3.3474528599999998</v>
      </c>
      <c r="FK8" s="2660">
        <v>3.66095923</v>
      </c>
      <c r="FL8" s="2657"/>
    </row>
    <row r="9" spans="1:168" ht="16.5" customHeight="1" x14ac:dyDescent="0.3">
      <c r="A9" s="2658" t="s">
        <v>2514</v>
      </c>
      <c r="B9" s="2658" t="s">
        <v>2515</v>
      </c>
      <c r="C9" s="2660">
        <v>8132.1138869999995</v>
      </c>
      <c r="D9" s="2660">
        <v>16165.038531259999</v>
      </c>
      <c r="E9" s="2660">
        <v>16415.657714739998</v>
      </c>
      <c r="F9" s="2660">
        <v>16282.483959679997</v>
      </c>
      <c r="G9" s="2660">
        <v>16384.195707950003</v>
      </c>
      <c r="H9" s="2660">
        <v>13563.80866162</v>
      </c>
      <c r="I9" s="2660">
        <v>13263.44750547</v>
      </c>
      <c r="J9" s="2660">
        <v>17475.175109269996</v>
      </c>
      <c r="K9" s="2660">
        <v>20950.598344339996</v>
      </c>
      <c r="L9" s="2660">
        <v>15807.355569879999</v>
      </c>
      <c r="M9" s="2660">
        <v>14252.397320960001</v>
      </c>
      <c r="N9" s="2660">
        <v>12194.92374333</v>
      </c>
      <c r="O9" s="2660">
        <v>10752.475926719999</v>
      </c>
      <c r="P9" s="2660">
        <v>10561.82350036</v>
      </c>
      <c r="Q9" s="2660">
        <v>14281.521187839999</v>
      </c>
      <c r="R9" s="2660">
        <v>10431.49251593</v>
      </c>
      <c r="S9" s="2660">
        <v>6307.5945568500001</v>
      </c>
      <c r="T9" s="2660">
        <v>11907.53680729</v>
      </c>
      <c r="U9" s="2660">
        <v>11472.13786741</v>
      </c>
      <c r="V9" s="2660">
        <v>13012.974477869999</v>
      </c>
      <c r="W9" s="2660">
        <v>13957.589320569999</v>
      </c>
      <c r="X9" s="2660">
        <v>15123.004838939998</v>
      </c>
      <c r="Y9" s="2660">
        <v>16412.485419919998</v>
      </c>
      <c r="Z9" s="2660">
        <v>19677.189963389999</v>
      </c>
      <c r="AA9" s="2660">
        <v>18166.427285889997</v>
      </c>
      <c r="AB9" s="2660">
        <v>18111.28020479</v>
      </c>
      <c r="AC9" s="2660">
        <v>21015.324634590001</v>
      </c>
      <c r="AD9" s="2660">
        <v>20102.940633890001</v>
      </c>
      <c r="AE9" s="2660">
        <v>19875.265104490001</v>
      </c>
      <c r="AF9" s="2660">
        <v>23742.215005490001</v>
      </c>
      <c r="AG9" s="2660">
        <v>22304.135166609998</v>
      </c>
      <c r="AH9" s="2660">
        <v>30492.67854257</v>
      </c>
      <c r="AI9" s="2660">
        <v>32579.410856299997</v>
      </c>
      <c r="AJ9" s="2660">
        <v>28249.655219799995</v>
      </c>
      <c r="AK9" s="2660">
        <v>30932.623094929997</v>
      </c>
      <c r="AL9" s="2660">
        <v>32390.31187293</v>
      </c>
      <c r="AM9" s="2660">
        <v>34749.097609590011</v>
      </c>
      <c r="AN9" s="2660">
        <v>35733.678906399997</v>
      </c>
      <c r="AO9" s="2660">
        <v>36617.823103210001</v>
      </c>
      <c r="AP9" s="2660">
        <v>36066.585837840001</v>
      </c>
      <c r="AQ9" s="2660">
        <v>27945.119753409999</v>
      </c>
      <c r="AR9" s="2660">
        <v>24850.079792949997</v>
      </c>
      <c r="AS9" s="2660">
        <v>22944.954486690003</v>
      </c>
      <c r="AT9" s="2660">
        <v>21854.622997580005</v>
      </c>
      <c r="AU9" s="2660">
        <v>22909.898303969996</v>
      </c>
      <c r="AV9" s="2660">
        <v>22624.069642890001</v>
      </c>
      <c r="AW9" s="2660">
        <v>20028.013601069993</v>
      </c>
      <c r="AX9" s="2660">
        <v>21748.553830939989</v>
      </c>
      <c r="AY9" s="2660">
        <v>21483.132138889992</v>
      </c>
      <c r="AZ9" s="2660">
        <v>22702.178274540005</v>
      </c>
      <c r="BA9" s="2660">
        <v>24034.491288860005</v>
      </c>
      <c r="BB9" s="2660">
        <v>28635.434102369993</v>
      </c>
      <c r="BC9" s="2660">
        <v>25048.548394419995</v>
      </c>
      <c r="BD9" s="2660">
        <v>27113.099582539995</v>
      </c>
      <c r="BE9" s="2660">
        <v>29028.218064130004</v>
      </c>
      <c r="BF9" s="2660">
        <v>30285.358766379984</v>
      </c>
      <c r="BG9" s="2660">
        <v>27084.338610829989</v>
      </c>
      <c r="BH9" s="2660">
        <v>24302.270313610003</v>
      </c>
      <c r="BI9" s="2660">
        <v>21740.981760110004</v>
      </c>
      <c r="BJ9" s="2660">
        <v>34391.150536819987</v>
      </c>
      <c r="BK9" s="2660">
        <v>33755.574954980002</v>
      </c>
      <c r="BL9" s="2660">
        <v>34163.156522330013</v>
      </c>
      <c r="BM9" s="2660">
        <v>28736.155734330005</v>
      </c>
      <c r="BN9" s="2660">
        <v>24589.990091500003</v>
      </c>
      <c r="BO9" s="2660">
        <v>31729.384710990002</v>
      </c>
      <c r="BP9" s="2660">
        <v>33983.370749590002</v>
      </c>
      <c r="BQ9" s="2660">
        <v>38243.675957359999</v>
      </c>
      <c r="BR9" s="2660">
        <v>38967.190348329998</v>
      </c>
      <c r="BS9" s="2660">
        <v>36352.212677100011</v>
      </c>
      <c r="BT9" s="2660">
        <v>39021.144219899994</v>
      </c>
      <c r="BU9" s="2660">
        <v>41590.668968020007</v>
      </c>
      <c r="BV9" s="2660">
        <v>33597.301729699997</v>
      </c>
      <c r="BW9" s="2660">
        <v>43654.056733619997</v>
      </c>
      <c r="BX9" s="2660">
        <v>51279.254434360002</v>
      </c>
      <c r="BY9" s="2660">
        <v>52465.045530859999</v>
      </c>
      <c r="BZ9" s="2660">
        <v>49980.480649470002</v>
      </c>
      <c r="CA9" s="2660">
        <v>49472.729484989999</v>
      </c>
      <c r="CB9" s="2660">
        <v>52727.821885630008</v>
      </c>
      <c r="CC9" s="2660">
        <v>49087.200803900007</v>
      </c>
      <c r="CD9" s="2660">
        <v>25395.106188259997</v>
      </c>
      <c r="CE9" s="2660">
        <v>29680.779072550002</v>
      </c>
      <c r="CF9" s="2660">
        <v>25239.583883979994</v>
      </c>
      <c r="CG9" s="2660">
        <v>24858.617003920001</v>
      </c>
      <c r="CH9" s="2660">
        <v>28864.868365970004</v>
      </c>
      <c r="CI9" s="2660">
        <v>25291.837129260002</v>
      </c>
      <c r="CJ9" s="2660">
        <v>25281.70785558</v>
      </c>
      <c r="CK9" s="2660">
        <v>26355.964568439998</v>
      </c>
      <c r="CL9" s="2660">
        <v>23109.980251009998</v>
      </c>
      <c r="CM9" s="2660">
        <v>18864.081702899995</v>
      </c>
      <c r="CN9" s="2660">
        <v>35701.326989199995</v>
      </c>
      <c r="CO9" s="2660">
        <v>40731.4329488</v>
      </c>
      <c r="CP9" s="2660">
        <v>44131.742626210005</v>
      </c>
      <c r="CQ9" s="2660">
        <v>57433.15640955</v>
      </c>
      <c r="CR9" s="2660">
        <v>20169.573831329999</v>
      </c>
      <c r="CS9" s="2660">
        <v>15729.065767740005</v>
      </c>
      <c r="CT9" s="2660">
        <v>39786.488546229994</v>
      </c>
      <c r="CU9" s="2660">
        <v>36474.863029120002</v>
      </c>
      <c r="CV9" s="2660">
        <v>20213.366966549998</v>
      </c>
      <c r="CW9" s="2660">
        <v>32529.241478899999</v>
      </c>
      <c r="CX9" s="2660">
        <v>27869.925041409995</v>
      </c>
      <c r="CY9" s="2660">
        <v>60631.046591414794</v>
      </c>
      <c r="CZ9" s="2660">
        <v>27930.195568903579</v>
      </c>
      <c r="DA9" s="2660">
        <v>19768.093257024608</v>
      </c>
      <c r="DB9" s="2660">
        <v>29123.802587732851</v>
      </c>
      <c r="DC9" s="2660">
        <v>24845.162000415155</v>
      </c>
      <c r="DD9" s="2660">
        <v>19973.602906422686</v>
      </c>
      <c r="DE9" s="2660">
        <v>23207.873647799479</v>
      </c>
      <c r="DF9" s="2660">
        <v>21182.583298007081</v>
      </c>
      <c r="DG9" s="2660">
        <v>22762.33693057331</v>
      </c>
      <c r="DH9" s="2660">
        <v>28860.480685134087</v>
      </c>
      <c r="DI9" s="2660">
        <v>27477.191810470649</v>
      </c>
      <c r="DJ9" s="2660">
        <v>29419.556343968339</v>
      </c>
      <c r="DK9" s="2660">
        <v>30535.296875871805</v>
      </c>
      <c r="DL9" s="2660">
        <v>49670.98249562073</v>
      </c>
      <c r="DM9" s="2660">
        <v>52715.101461643797</v>
      </c>
      <c r="DN9" s="2660">
        <v>49635.78075610278</v>
      </c>
      <c r="DO9" s="2660">
        <v>41273.459821657416</v>
      </c>
      <c r="DP9" s="2660">
        <v>39885.643868860432</v>
      </c>
      <c r="DQ9" s="2660">
        <v>48910.667285918207</v>
      </c>
      <c r="DR9" s="2660">
        <v>40707.805125279221</v>
      </c>
      <c r="DS9" s="2660">
        <v>50716.846758362713</v>
      </c>
      <c r="DT9" s="2660">
        <v>35462.875046727364</v>
      </c>
      <c r="DU9" s="2660">
        <v>49568.419167934342</v>
      </c>
      <c r="DV9" s="2660">
        <v>60455.650988119778</v>
      </c>
      <c r="DW9" s="2660">
        <v>39657.850815842947</v>
      </c>
      <c r="DX9" s="2660">
        <v>47300.614834775603</v>
      </c>
      <c r="DY9" s="2660">
        <v>50395.583918119584</v>
      </c>
      <c r="DZ9" s="2660">
        <v>52428.15513197043</v>
      </c>
      <c r="EA9" s="2660">
        <v>53333.961680355576</v>
      </c>
      <c r="EB9" s="2660">
        <v>39549.939046279309</v>
      </c>
      <c r="EC9" s="2660">
        <v>39444.416697579567</v>
      </c>
      <c r="ED9" s="2660">
        <v>48476.24323243399</v>
      </c>
      <c r="EE9" s="2660">
        <v>65454.539939951334</v>
      </c>
      <c r="EF9" s="2660">
        <v>52909.783074095321</v>
      </c>
      <c r="EG9" s="2660">
        <v>53445.337104663828</v>
      </c>
      <c r="EH9" s="2660">
        <v>63061.138219146967</v>
      </c>
      <c r="EI9" s="2660">
        <v>65164.678741193195</v>
      </c>
      <c r="EJ9" s="2660">
        <v>68724.083287351124</v>
      </c>
      <c r="EK9" s="2660">
        <v>67563.217168942429</v>
      </c>
      <c r="EL9" s="2660">
        <v>69533.151567152556</v>
      </c>
      <c r="EM9" s="2660">
        <v>82833.323302702396</v>
      </c>
      <c r="EN9" s="2660">
        <v>69985.246709827203</v>
      </c>
      <c r="EO9" s="2660">
        <v>76182.812271815274</v>
      </c>
      <c r="EP9" s="2660">
        <v>111099.9514431344</v>
      </c>
      <c r="EQ9" s="2660">
        <v>85708.443856400409</v>
      </c>
      <c r="ER9" s="2660">
        <v>82152.391798947516</v>
      </c>
      <c r="ES9" s="2660">
        <v>98345.324825793592</v>
      </c>
      <c r="ET9" s="2660">
        <v>69795.05771353819</v>
      </c>
      <c r="EU9" s="2660">
        <v>57784.472764491387</v>
      </c>
      <c r="EV9" s="2660">
        <v>91770.706832283569</v>
      </c>
      <c r="EW9" s="2660">
        <v>58827.612832828367</v>
      </c>
      <c r="EX9" s="2660">
        <v>56636.623676319563</v>
      </c>
      <c r="EY9" s="2660">
        <v>74202.09013820687</v>
      </c>
      <c r="EZ9" s="2660">
        <v>36839.988419618647</v>
      </c>
      <c r="FA9" s="2660">
        <v>56673.286766392965</v>
      </c>
      <c r="FB9" s="2660">
        <v>89739.084729660099</v>
      </c>
      <c r="FC9" s="2660">
        <v>42346.1362503981</v>
      </c>
      <c r="FD9" s="2660">
        <v>48556.974654597456</v>
      </c>
      <c r="FE9" s="2660">
        <v>55280.669484743485</v>
      </c>
      <c r="FF9" s="2660">
        <v>45812.974452211616</v>
      </c>
      <c r="FG9" s="2660">
        <v>41906.980934720756</v>
      </c>
      <c r="FH9" s="2660">
        <v>52958.605407677926</v>
      </c>
      <c r="FI9" s="2660">
        <v>42445.336484532432</v>
      </c>
      <c r="FJ9" s="2660">
        <v>44479.022990811791</v>
      </c>
      <c r="FK9" s="2660">
        <v>35975.191234645092</v>
      </c>
      <c r="FL9" s="2657"/>
    </row>
    <row r="10" spans="1:168" ht="16.5" customHeight="1" x14ac:dyDescent="0.3">
      <c r="A10" s="2658" t="s">
        <v>2516</v>
      </c>
      <c r="B10" s="2658" t="s">
        <v>2517</v>
      </c>
      <c r="C10" s="2660">
        <v>38344.260228209998</v>
      </c>
      <c r="D10" s="2660">
        <v>31170.163890569998</v>
      </c>
      <c r="E10" s="2660">
        <v>30458.217517429999</v>
      </c>
      <c r="F10" s="2660">
        <v>30830.121354279996</v>
      </c>
      <c r="G10" s="2660">
        <v>31584.513719139999</v>
      </c>
      <c r="H10" s="2660">
        <v>34184.241495039998</v>
      </c>
      <c r="I10" s="2660">
        <v>35777.790271029997</v>
      </c>
      <c r="J10" s="2660">
        <v>31855.438379689997</v>
      </c>
      <c r="K10" s="2660">
        <v>31497.674340359998</v>
      </c>
      <c r="L10" s="2660">
        <v>29929.794581529997</v>
      </c>
      <c r="M10" s="2660">
        <v>33844.803538099994</v>
      </c>
      <c r="N10" s="2660">
        <v>38360.14002097</v>
      </c>
      <c r="O10" s="2660">
        <v>37396.164551549999</v>
      </c>
      <c r="P10" s="2660">
        <v>37417.551427999999</v>
      </c>
      <c r="Q10" s="2660">
        <v>36044.467595589995</v>
      </c>
      <c r="R10" s="2660">
        <v>39360.102269879993</v>
      </c>
      <c r="S10" s="2660">
        <v>41794.618096300001</v>
      </c>
      <c r="T10" s="2660">
        <v>38811.454377540002</v>
      </c>
      <c r="U10" s="2660">
        <v>38485.609693169994</v>
      </c>
      <c r="V10" s="2660">
        <v>36529.34239464</v>
      </c>
      <c r="W10" s="2660">
        <v>34029.800388759999</v>
      </c>
      <c r="X10" s="2660">
        <v>34993.114313079997</v>
      </c>
      <c r="Y10" s="2660">
        <v>30095.185955499997</v>
      </c>
      <c r="Z10" s="2660">
        <v>30012.930467769998</v>
      </c>
      <c r="AA10" s="2660">
        <v>30672.732184939996</v>
      </c>
      <c r="AB10" s="2660">
        <v>30654.736318689997</v>
      </c>
      <c r="AC10" s="2660">
        <v>27594.188082969999</v>
      </c>
      <c r="AD10" s="2660">
        <v>27945.230522999998</v>
      </c>
      <c r="AE10" s="2660">
        <v>27350.431267830001</v>
      </c>
      <c r="AF10" s="2660">
        <v>29149.89765436</v>
      </c>
      <c r="AG10" s="2660">
        <v>29554.858855889997</v>
      </c>
      <c r="AH10" s="2660">
        <v>21767.800397259998</v>
      </c>
      <c r="AI10" s="2660">
        <v>19906.328581779999</v>
      </c>
      <c r="AJ10" s="2660">
        <v>20010.942818439999</v>
      </c>
      <c r="AK10" s="2660">
        <v>19964.35384045</v>
      </c>
      <c r="AL10" s="2660">
        <v>19839.805294300004</v>
      </c>
      <c r="AM10" s="2660">
        <v>19792.458165529999</v>
      </c>
      <c r="AN10" s="2660">
        <v>18726.550925420001</v>
      </c>
      <c r="AO10" s="2660">
        <v>20878.178859099997</v>
      </c>
      <c r="AP10" s="2660">
        <v>20888.841627010002</v>
      </c>
      <c r="AQ10" s="2660">
        <v>37363.835061269994</v>
      </c>
      <c r="AR10" s="2660">
        <v>41014.976829880005</v>
      </c>
      <c r="AS10" s="2660">
        <v>39495.857861279997</v>
      </c>
      <c r="AT10" s="2660">
        <v>38874.151359489995</v>
      </c>
      <c r="AU10" s="2660">
        <v>39704.112984480002</v>
      </c>
      <c r="AV10" s="2660">
        <v>39501.224465840001</v>
      </c>
      <c r="AW10" s="2660">
        <v>41183.521584350005</v>
      </c>
      <c r="AX10" s="2660">
        <v>43921.966336339996</v>
      </c>
      <c r="AY10" s="2660">
        <v>43514.533935860003</v>
      </c>
      <c r="AZ10" s="2660">
        <v>47618.114190779997</v>
      </c>
      <c r="BA10" s="2660">
        <v>48234.669210139997</v>
      </c>
      <c r="BB10" s="2660">
        <v>48063.192881540002</v>
      </c>
      <c r="BC10" s="2660">
        <v>53998.876287660001</v>
      </c>
      <c r="BD10" s="2660">
        <v>54134.479630380003</v>
      </c>
      <c r="BE10" s="2660">
        <v>53748.848985420002</v>
      </c>
      <c r="BF10" s="2660">
        <v>54500.343377270001</v>
      </c>
      <c r="BG10" s="2660">
        <v>55806.64817108</v>
      </c>
      <c r="BH10" s="2660">
        <v>54457.804170980002</v>
      </c>
      <c r="BI10" s="2660">
        <v>53868.479658140001</v>
      </c>
      <c r="BJ10" s="2660">
        <v>42994.024547200002</v>
      </c>
      <c r="BK10" s="2660">
        <v>38870.137759259997</v>
      </c>
      <c r="BL10" s="2660">
        <v>28761.602965819999</v>
      </c>
      <c r="BM10" s="2660">
        <v>29742.152523880002</v>
      </c>
      <c r="BN10" s="2660">
        <v>20177.671186209998</v>
      </c>
      <c r="BO10" s="2660">
        <v>10828.594564559999</v>
      </c>
      <c r="BP10" s="2660">
        <v>4089.8516729499997</v>
      </c>
      <c r="BQ10" s="2660">
        <v>4017.4740357400001</v>
      </c>
      <c r="BR10" s="2660">
        <v>3893.3868102000001</v>
      </c>
      <c r="BS10" s="2660">
        <v>3840.2660847100001</v>
      </c>
      <c r="BT10" s="2660">
        <v>3970.6808910099999</v>
      </c>
      <c r="BU10" s="2660">
        <v>4149.8829294799998</v>
      </c>
      <c r="BV10" s="2660">
        <v>3969.43559177</v>
      </c>
      <c r="BW10" s="2660">
        <v>313.32508336000001</v>
      </c>
      <c r="BX10" s="2660">
        <v>444.32891211999998</v>
      </c>
      <c r="BY10" s="2660">
        <v>599.1229890699999</v>
      </c>
      <c r="BZ10" s="2660">
        <v>496.82983789999997</v>
      </c>
      <c r="CA10" s="2660">
        <v>622.57679938000001</v>
      </c>
      <c r="CB10" s="2660">
        <v>422.32355405999999</v>
      </c>
      <c r="CC10" s="2660">
        <v>497.29683080000001</v>
      </c>
      <c r="CD10" s="2660">
        <v>550.31316317999995</v>
      </c>
      <c r="CE10" s="2660">
        <v>516.99727770000004</v>
      </c>
      <c r="CF10" s="2660">
        <v>620.25591505</v>
      </c>
      <c r="CG10" s="2660">
        <v>626.72768157999997</v>
      </c>
      <c r="CH10" s="2660">
        <v>469.80219767</v>
      </c>
      <c r="CI10" s="2660">
        <v>547.49678541999992</v>
      </c>
      <c r="CJ10" s="2660">
        <v>620.39080471</v>
      </c>
      <c r="CK10" s="2660">
        <v>603.05676748999997</v>
      </c>
      <c r="CL10" s="2660">
        <v>783.53218343000003</v>
      </c>
      <c r="CM10" s="2660">
        <v>740.0347065200001</v>
      </c>
      <c r="CN10" s="2660">
        <v>395.94937829000003</v>
      </c>
      <c r="CO10" s="2660">
        <v>469.31966796999995</v>
      </c>
      <c r="CP10" s="2660">
        <v>492.22220824999999</v>
      </c>
      <c r="CQ10" s="2660">
        <v>502.22480087999998</v>
      </c>
      <c r="CR10" s="2660">
        <v>581.72203886</v>
      </c>
      <c r="CS10" s="2660">
        <v>453.31699607999997</v>
      </c>
      <c r="CT10" s="2660">
        <v>362.59902834000002</v>
      </c>
      <c r="CU10" s="2660">
        <v>432.01145821000006</v>
      </c>
      <c r="CV10" s="2660">
        <v>448.31740173000003</v>
      </c>
      <c r="CW10" s="2660">
        <v>459.47710512999998</v>
      </c>
      <c r="CX10" s="2660">
        <v>519.10015206000003</v>
      </c>
      <c r="CY10" s="2660">
        <v>337.34193197000002</v>
      </c>
      <c r="CZ10" s="2660">
        <v>94.209146270000005</v>
      </c>
      <c r="DA10" s="2660">
        <v>23.762076650000001</v>
      </c>
      <c r="DB10" s="2660">
        <v>10.898813779999999</v>
      </c>
      <c r="DC10" s="2660">
        <v>8.995545700000001</v>
      </c>
      <c r="DD10" s="2660">
        <v>10.94097816</v>
      </c>
      <c r="DE10" s="2660">
        <v>2.3767693400000001</v>
      </c>
      <c r="DF10" s="2660">
        <v>2.43401786</v>
      </c>
      <c r="DG10" s="2660">
        <v>1.0401058000000001</v>
      </c>
      <c r="DH10" s="2660">
        <v>1.5718983700000002</v>
      </c>
      <c r="DI10" s="2660">
        <v>2.2125721600000001</v>
      </c>
      <c r="DJ10" s="2660">
        <v>2.8087460099999997</v>
      </c>
      <c r="DK10" s="2660">
        <v>121.36596395000001</v>
      </c>
      <c r="DL10" s="2660">
        <v>122.64869186</v>
      </c>
      <c r="DM10" s="2660">
        <v>88.894934279999987</v>
      </c>
      <c r="DN10" s="2660">
        <v>94.176867739999992</v>
      </c>
      <c r="DO10" s="2660">
        <v>110.71091835999999</v>
      </c>
      <c r="DP10" s="2660">
        <v>0.85268690000000003</v>
      </c>
      <c r="DQ10" s="2660">
        <v>0.85826770000000008</v>
      </c>
      <c r="DR10" s="2660">
        <v>7330.7567540599994</v>
      </c>
      <c r="DS10" s="2660">
        <v>3692.0461924799997</v>
      </c>
      <c r="DT10" s="2660">
        <v>7531.0201541599999</v>
      </c>
      <c r="DU10" s="2660">
        <v>7904.0849479500002</v>
      </c>
      <c r="DV10" s="2660">
        <v>4043.2264372899999</v>
      </c>
      <c r="DW10" s="2660">
        <v>0.88201488000000006</v>
      </c>
      <c r="DX10" s="2660">
        <v>0.55558023000000001</v>
      </c>
      <c r="DY10" s="2660">
        <v>0</v>
      </c>
      <c r="DZ10" s="2660">
        <v>0</v>
      </c>
      <c r="EA10" s="2660">
        <v>0</v>
      </c>
      <c r="EB10" s="2660">
        <v>0</v>
      </c>
      <c r="EC10" s="2660">
        <v>0</v>
      </c>
      <c r="ED10" s="2660">
        <v>0</v>
      </c>
      <c r="EE10" s="2660">
        <v>0</v>
      </c>
      <c r="EF10" s="2660">
        <v>0</v>
      </c>
      <c r="EG10" s="2660">
        <v>0</v>
      </c>
      <c r="EH10" s="2660">
        <v>0</v>
      </c>
      <c r="EI10" s="2660">
        <v>0</v>
      </c>
      <c r="EJ10" s="2660">
        <v>0</v>
      </c>
      <c r="EK10" s="2660">
        <v>0</v>
      </c>
      <c r="EL10" s="2660">
        <v>0</v>
      </c>
      <c r="EM10" s="2660">
        <v>0</v>
      </c>
      <c r="EN10" s="2660">
        <v>0</v>
      </c>
      <c r="EO10" s="2660">
        <v>0</v>
      </c>
      <c r="EP10" s="2660">
        <v>0</v>
      </c>
      <c r="EQ10" s="2660">
        <v>0</v>
      </c>
      <c r="ER10" s="2660">
        <v>0</v>
      </c>
      <c r="ES10" s="2660">
        <v>0</v>
      </c>
      <c r="ET10" s="2660">
        <v>0</v>
      </c>
      <c r="EU10" s="2660">
        <v>0</v>
      </c>
      <c r="EV10" s="2660">
        <v>0</v>
      </c>
      <c r="EW10" s="2660">
        <v>0</v>
      </c>
      <c r="EX10" s="2660">
        <v>0</v>
      </c>
      <c r="EY10" s="2660">
        <v>6746.1310155299998</v>
      </c>
      <c r="EZ10" s="2660">
        <v>6660.4352691399999</v>
      </c>
      <c r="FA10" s="2660">
        <v>7989.7641960000001</v>
      </c>
      <c r="FB10" s="2660">
        <v>8013.0844964500002</v>
      </c>
      <c r="FC10" s="2660">
        <v>8215.3719040399992</v>
      </c>
      <c r="FD10" s="2660">
        <v>8325.39282078</v>
      </c>
      <c r="FE10" s="2660">
        <v>11086.742504420001</v>
      </c>
      <c r="FF10" s="2660">
        <v>9762.6145099400001</v>
      </c>
      <c r="FG10" s="2660">
        <v>9995.4441348300006</v>
      </c>
      <c r="FH10" s="2660">
        <v>13039.04497341</v>
      </c>
      <c r="FI10" s="2660">
        <v>14652.669248479999</v>
      </c>
      <c r="FJ10" s="2660">
        <v>14618.1006717</v>
      </c>
      <c r="FK10" s="2660">
        <v>10608.72880442</v>
      </c>
      <c r="FL10" s="2657"/>
    </row>
    <row r="11" spans="1:168" ht="16.5" customHeight="1" x14ac:dyDescent="0.3">
      <c r="A11" s="2658" t="s">
        <v>2518</v>
      </c>
      <c r="B11" s="2658" t="s">
        <v>2519</v>
      </c>
      <c r="C11" s="2660">
        <v>0</v>
      </c>
      <c r="D11" s="2660">
        <v>0</v>
      </c>
      <c r="E11" s="2660">
        <v>0</v>
      </c>
      <c r="F11" s="2660">
        <v>0</v>
      </c>
      <c r="G11" s="2660">
        <v>0</v>
      </c>
      <c r="H11" s="2660"/>
      <c r="I11" s="2660">
        <v>0</v>
      </c>
      <c r="J11" s="2660">
        <v>0</v>
      </c>
      <c r="K11" s="2660">
        <v>0</v>
      </c>
      <c r="L11" s="2660">
        <v>0</v>
      </c>
      <c r="M11" s="2660">
        <v>0</v>
      </c>
      <c r="N11" s="2660">
        <v>0</v>
      </c>
      <c r="O11" s="2660">
        <v>0</v>
      </c>
      <c r="P11" s="2660">
        <v>0</v>
      </c>
      <c r="Q11" s="2660">
        <v>0</v>
      </c>
      <c r="R11" s="2660">
        <v>0</v>
      </c>
      <c r="S11" s="2660">
        <v>0</v>
      </c>
      <c r="T11" s="2660">
        <v>0</v>
      </c>
      <c r="U11" s="2660">
        <v>0</v>
      </c>
      <c r="V11" s="2660">
        <v>0</v>
      </c>
      <c r="W11" s="2660">
        <v>0</v>
      </c>
      <c r="X11" s="2660">
        <v>0</v>
      </c>
      <c r="Y11" s="2660">
        <v>0</v>
      </c>
      <c r="Z11" s="2660">
        <v>0</v>
      </c>
      <c r="AA11" s="2660">
        <v>0</v>
      </c>
      <c r="AB11" s="2660">
        <v>0</v>
      </c>
      <c r="AC11" s="2660">
        <v>0</v>
      </c>
      <c r="AD11" s="2660">
        <v>0</v>
      </c>
      <c r="AE11" s="2660">
        <v>0</v>
      </c>
      <c r="AF11" s="2660">
        <v>0</v>
      </c>
      <c r="AG11" s="2660">
        <v>0</v>
      </c>
      <c r="AH11" s="2660">
        <v>0</v>
      </c>
      <c r="AI11" s="2660">
        <v>0</v>
      </c>
      <c r="AJ11" s="2660">
        <v>0</v>
      </c>
      <c r="AK11" s="2660">
        <v>0</v>
      </c>
      <c r="AL11" s="2660">
        <v>0</v>
      </c>
      <c r="AM11" s="2660">
        <v>0</v>
      </c>
      <c r="AN11" s="2660">
        <v>0</v>
      </c>
      <c r="AO11" s="2660">
        <v>0</v>
      </c>
      <c r="AP11" s="2660">
        <v>0</v>
      </c>
      <c r="AQ11" s="2660">
        <v>0</v>
      </c>
      <c r="AR11" s="2660">
        <v>0</v>
      </c>
      <c r="AS11" s="2660">
        <v>0</v>
      </c>
      <c r="AT11" s="2660">
        <v>0</v>
      </c>
      <c r="AU11" s="2660">
        <v>0</v>
      </c>
      <c r="AV11" s="2660">
        <v>0</v>
      </c>
      <c r="AW11" s="2660">
        <v>0</v>
      </c>
      <c r="AX11" s="2660">
        <v>0</v>
      </c>
      <c r="AY11" s="2660">
        <v>0</v>
      </c>
      <c r="AZ11" s="2660">
        <v>0</v>
      </c>
      <c r="BA11" s="2660">
        <v>0</v>
      </c>
      <c r="BB11" s="2660">
        <v>0</v>
      </c>
      <c r="BC11" s="2660">
        <v>0</v>
      </c>
      <c r="BD11" s="2660">
        <v>0</v>
      </c>
      <c r="BE11" s="2660">
        <v>0</v>
      </c>
      <c r="BF11" s="2660">
        <v>0</v>
      </c>
      <c r="BG11" s="2660">
        <v>0</v>
      </c>
      <c r="BH11" s="2660">
        <v>0</v>
      </c>
      <c r="BI11" s="2660">
        <v>0</v>
      </c>
      <c r="BJ11" s="2660">
        <v>0</v>
      </c>
      <c r="BK11" s="2660">
        <v>0</v>
      </c>
      <c r="BL11" s="2660">
        <v>0</v>
      </c>
      <c r="BM11" s="2660">
        <v>0</v>
      </c>
      <c r="BN11" s="2660">
        <v>0</v>
      </c>
      <c r="BO11" s="2660">
        <v>0</v>
      </c>
      <c r="BP11" s="2660">
        <v>0</v>
      </c>
      <c r="BQ11" s="2660">
        <v>0</v>
      </c>
      <c r="BR11" s="2660">
        <v>0</v>
      </c>
      <c r="BS11" s="2660">
        <v>0</v>
      </c>
      <c r="BT11" s="2660">
        <v>0</v>
      </c>
      <c r="BU11" s="2660">
        <v>0</v>
      </c>
      <c r="BV11" s="2660">
        <v>0</v>
      </c>
      <c r="BW11" s="2660">
        <v>0</v>
      </c>
      <c r="BX11" s="2660">
        <v>0</v>
      </c>
      <c r="BY11" s="2660">
        <v>0</v>
      </c>
      <c r="BZ11" s="2660">
        <v>0</v>
      </c>
      <c r="CA11" s="2660">
        <v>0</v>
      </c>
      <c r="CB11" s="2660">
        <v>0</v>
      </c>
      <c r="CC11" s="2660">
        <v>0</v>
      </c>
      <c r="CD11" s="2660">
        <v>0</v>
      </c>
      <c r="CE11" s="2660">
        <v>0</v>
      </c>
      <c r="CF11" s="2660">
        <v>0</v>
      </c>
      <c r="CG11" s="2660">
        <v>0</v>
      </c>
      <c r="CH11" s="2660">
        <v>0</v>
      </c>
      <c r="CI11" s="2660">
        <v>0</v>
      </c>
      <c r="CJ11" s="2660">
        <v>0</v>
      </c>
      <c r="CK11" s="2660">
        <v>0</v>
      </c>
      <c r="CL11" s="2660">
        <v>0</v>
      </c>
      <c r="CM11" s="2660">
        <v>0</v>
      </c>
      <c r="CN11" s="2660">
        <v>0</v>
      </c>
      <c r="CO11" s="2660">
        <v>0</v>
      </c>
      <c r="CP11" s="2660">
        <v>0</v>
      </c>
      <c r="CQ11" s="2660">
        <v>0</v>
      </c>
      <c r="CR11" s="2660">
        <v>0</v>
      </c>
      <c r="CS11" s="2660">
        <v>0</v>
      </c>
      <c r="CT11" s="2660">
        <v>0</v>
      </c>
      <c r="CU11" s="2660">
        <v>0</v>
      </c>
      <c r="CV11" s="2660">
        <v>0</v>
      </c>
      <c r="CW11" s="2660">
        <v>0</v>
      </c>
      <c r="CX11" s="2660">
        <v>0</v>
      </c>
      <c r="CY11" s="2660">
        <v>0</v>
      </c>
      <c r="CZ11" s="2660">
        <v>0</v>
      </c>
      <c r="DA11" s="2660">
        <v>0</v>
      </c>
      <c r="DB11" s="2660">
        <v>0</v>
      </c>
      <c r="DC11" s="2660">
        <v>0</v>
      </c>
      <c r="DD11" s="2660">
        <v>0</v>
      </c>
      <c r="DE11" s="2660">
        <v>0</v>
      </c>
      <c r="DF11" s="2660">
        <v>0</v>
      </c>
      <c r="DG11" s="2660">
        <v>0</v>
      </c>
      <c r="DH11" s="2660">
        <v>0</v>
      </c>
      <c r="DI11" s="2660">
        <v>0</v>
      </c>
      <c r="DJ11" s="2660">
        <v>0</v>
      </c>
      <c r="DK11" s="2660">
        <v>0</v>
      </c>
      <c r="DL11" s="2660">
        <v>0</v>
      </c>
      <c r="DM11" s="2660">
        <v>0</v>
      </c>
      <c r="DN11" s="2660">
        <v>0</v>
      </c>
      <c r="DO11" s="2660">
        <v>0</v>
      </c>
      <c r="DP11" s="2660">
        <v>0</v>
      </c>
      <c r="DQ11" s="2660">
        <v>0</v>
      </c>
      <c r="DR11" s="2660">
        <v>0</v>
      </c>
      <c r="DS11" s="2660">
        <v>0</v>
      </c>
      <c r="DT11" s="2660">
        <v>0</v>
      </c>
      <c r="DU11" s="2660">
        <v>0</v>
      </c>
      <c r="DV11" s="2660">
        <v>0</v>
      </c>
      <c r="DW11" s="2660">
        <v>0</v>
      </c>
      <c r="DX11" s="2660">
        <v>0</v>
      </c>
      <c r="DY11" s="2660">
        <v>0</v>
      </c>
      <c r="DZ11" s="2660">
        <v>0</v>
      </c>
      <c r="EA11" s="2660">
        <v>0</v>
      </c>
      <c r="EB11" s="2660">
        <v>0</v>
      </c>
      <c r="EC11" s="2660">
        <v>0</v>
      </c>
      <c r="ED11" s="2660">
        <v>0</v>
      </c>
      <c r="EE11" s="2660">
        <v>0</v>
      </c>
      <c r="EF11" s="2660">
        <v>0</v>
      </c>
      <c r="EG11" s="2660">
        <v>0</v>
      </c>
      <c r="EH11" s="2660">
        <v>0</v>
      </c>
      <c r="EI11" s="2660">
        <v>0</v>
      </c>
      <c r="EJ11" s="2660">
        <v>0</v>
      </c>
      <c r="EK11" s="2660">
        <v>0</v>
      </c>
      <c r="EL11" s="2660">
        <v>0</v>
      </c>
      <c r="EM11" s="2660">
        <v>0</v>
      </c>
      <c r="EN11" s="2660">
        <v>0</v>
      </c>
      <c r="EO11" s="2660">
        <v>0</v>
      </c>
      <c r="EP11" s="2660">
        <v>0</v>
      </c>
      <c r="EQ11" s="2660">
        <v>0</v>
      </c>
      <c r="ER11" s="2660">
        <v>0</v>
      </c>
      <c r="ES11" s="2660">
        <v>0</v>
      </c>
      <c r="ET11" s="2660">
        <v>0</v>
      </c>
      <c r="EU11" s="2660">
        <v>0</v>
      </c>
      <c r="EV11" s="2660">
        <v>0</v>
      </c>
      <c r="EW11" s="2660">
        <v>0</v>
      </c>
      <c r="EX11" s="2660">
        <v>0</v>
      </c>
      <c r="EY11" s="2660">
        <v>0</v>
      </c>
      <c r="EZ11" s="2660">
        <v>0</v>
      </c>
      <c r="FA11" s="2660">
        <v>0</v>
      </c>
      <c r="FB11" s="2660">
        <v>0</v>
      </c>
      <c r="FC11" s="2660">
        <v>0</v>
      </c>
      <c r="FD11" s="2660">
        <v>0</v>
      </c>
      <c r="FE11" s="2660">
        <v>0</v>
      </c>
      <c r="FF11" s="2660">
        <v>0</v>
      </c>
      <c r="FG11" s="2660">
        <v>0</v>
      </c>
      <c r="FH11" s="2660">
        <v>0</v>
      </c>
      <c r="FI11" s="2660">
        <v>0</v>
      </c>
      <c r="FJ11" s="2660">
        <v>0</v>
      </c>
      <c r="FK11" s="2660">
        <v>0</v>
      </c>
      <c r="FL11" s="2657"/>
    </row>
    <row r="12" spans="1:168" ht="16.5" customHeight="1" x14ac:dyDescent="0.3">
      <c r="A12" s="2658"/>
      <c r="B12" s="2658"/>
      <c r="C12" s="2659"/>
      <c r="D12" s="2659"/>
      <c r="E12" s="2659"/>
      <c r="F12" s="2659"/>
      <c r="G12" s="2659"/>
      <c r="H12" s="2661"/>
      <c r="I12" s="2659"/>
      <c r="J12" s="2659"/>
      <c r="K12" s="2659"/>
      <c r="L12" s="2659"/>
      <c r="M12" s="2659"/>
      <c r="N12" s="2659"/>
      <c r="O12" s="2659"/>
      <c r="P12" s="2659"/>
      <c r="Q12" s="2659"/>
      <c r="R12" s="2659"/>
      <c r="S12" s="2659"/>
      <c r="T12" s="2659"/>
      <c r="U12" s="2659"/>
      <c r="V12" s="2659"/>
      <c r="W12" s="2659"/>
      <c r="X12" s="2659"/>
      <c r="Y12" s="2659"/>
      <c r="Z12" s="2659"/>
      <c r="AA12" s="2659"/>
      <c r="AB12" s="2659"/>
      <c r="AC12" s="2659"/>
      <c r="AD12" s="2659"/>
      <c r="AE12" s="2659"/>
      <c r="AF12" s="2659"/>
      <c r="AG12" s="2659"/>
      <c r="AH12" s="2659"/>
      <c r="AI12" s="2659"/>
      <c r="AJ12" s="2659"/>
      <c r="AK12" s="2659"/>
      <c r="AL12" s="2659"/>
      <c r="AM12" s="2659"/>
      <c r="AN12" s="2659"/>
      <c r="AO12" s="2659"/>
      <c r="AP12" s="2659"/>
      <c r="AQ12" s="2659"/>
      <c r="AR12" s="2659"/>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c r="BP12" s="2659"/>
      <c r="BQ12" s="2659"/>
      <c r="BR12" s="2659"/>
      <c r="BS12" s="2659"/>
      <c r="BT12" s="2659"/>
      <c r="BU12" s="2659"/>
      <c r="BV12" s="2659"/>
      <c r="BW12" s="2659"/>
      <c r="BX12" s="2659"/>
      <c r="BY12" s="2659"/>
      <c r="BZ12" s="2659"/>
      <c r="CA12" s="2659"/>
      <c r="CB12" s="2659"/>
      <c r="CC12" s="2659"/>
      <c r="CD12" s="2659"/>
      <c r="CE12" s="2659"/>
      <c r="CF12" s="2659"/>
      <c r="CG12" s="2659"/>
      <c r="CH12" s="2659"/>
      <c r="CI12" s="2659"/>
      <c r="CJ12" s="2659"/>
      <c r="CK12" s="2659"/>
      <c r="CL12" s="2659"/>
      <c r="CM12" s="2659"/>
      <c r="CN12" s="2659"/>
      <c r="CO12" s="2659"/>
      <c r="CP12" s="2659"/>
      <c r="CQ12" s="2659"/>
      <c r="CR12" s="2659"/>
      <c r="CS12" s="2659"/>
      <c r="CT12" s="2659"/>
      <c r="CU12" s="2659"/>
      <c r="CV12" s="2659"/>
      <c r="CW12" s="2659"/>
      <c r="CX12" s="2659"/>
      <c r="CY12" s="2659"/>
      <c r="CZ12" s="2659"/>
      <c r="DA12" s="2659"/>
      <c r="DB12" s="2659"/>
      <c r="DC12" s="2659"/>
      <c r="DD12" s="2659"/>
      <c r="DE12" s="2659"/>
      <c r="DF12" s="2659"/>
      <c r="DG12" s="2659"/>
      <c r="DH12" s="2659"/>
      <c r="DI12" s="2659"/>
      <c r="DJ12" s="2659"/>
      <c r="DK12" s="2659"/>
      <c r="DL12" s="2659"/>
      <c r="DM12" s="2659"/>
      <c r="DN12" s="2659"/>
      <c r="DO12" s="2659"/>
      <c r="DP12" s="2659"/>
      <c r="DQ12" s="2659"/>
      <c r="DR12" s="2659"/>
      <c r="DS12" s="2659"/>
      <c r="DT12" s="2659"/>
      <c r="DU12" s="2659"/>
      <c r="DV12" s="2659"/>
      <c r="DW12" s="2659"/>
      <c r="DX12" s="2659"/>
      <c r="DY12" s="2659"/>
      <c r="DZ12" s="2659"/>
      <c r="EA12" s="2659"/>
      <c r="EB12" s="2659"/>
      <c r="EC12" s="2659"/>
      <c r="ED12" s="2659"/>
      <c r="EE12" s="2659"/>
      <c r="EF12" s="2659"/>
      <c r="EG12" s="2659"/>
      <c r="EH12" s="2659"/>
      <c r="EI12" s="2659"/>
      <c r="EJ12" s="2659"/>
      <c r="EK12" s="2659"/>
      <c r="EL12" s="2659"/>
      <c r="EM12" s="2659"/>
      <c r="EN12" s="2659"/>
      <c r="EO12" s="2659"/>
      <c r="EP12" s="2659"/>
      <c r="EQ12" s="2659"/>
      <c r="ER12" s="2659"/>
      <c r="ES12" s="2659"/>
      <c r="ET12" s="2659"/>
      <c r="EU12" s="2659"/>
      <c r="EV12" s="2659"/>
      <c r="EW12" s="2659"/>
      <c r="EX12" s="2659"/>
      <c r="EY12" s="2659"/>
      <c r="EZ12" s="2659"/>
      <c r="FA12" s="2659"/>
      <c r="FB12" s="2659"/>
      <c r="FC12" s="2659"/>
      <c r="FD12" s="2659"/>
      <c r="FE12" s="2659"/>
      <c r="FF12" s="2659"/>
      <c r="FG12" s="2659"/>
      <c r="FH12" s="2659"/>
      <c r="FI12" s="2659"/>
      <c r="FJ12" s="2659"/>
      <c r="FK12" s="2659"/>
      <c r="FL12" s="2657"/>
    </row>
    <row r="13" spans="1:168" ht="16.5" customHeight="1" x14ac:dyDescent="0.3">
      <c r="A13" s="2655" t="s">
        <v>2520</v>
      </c>
      <c r="B13" s="2655" t="s">
        <v>2521</v>
      </c>
      <c r="C13" s="2656">
        <v>12072.22659412</v>
      </c>
      <c r="D13" s="2656">
        <v>12310.380973459998</v>
      </c>
      <c r="E13" s="2656">
        <v>12299.3892326</v>
      </c>
      <c r="F13" s="2656">
        <v>12753.430159419999</v>
      </c>
      <c r="G13" s="2656">
        <v>14169.02264089</v>
      </c>
      <c r="H13" s="2656"/>
      <c r="I13" s="2656">
        <v>13439.258409259999</v>
      </c>
      <c r="J13" s="2656">
        <v>13996.250062699999</v>
      </c>
      <c r="K13" s="2656">
        <v>14106.46864476</v>
      </c>
      <c r="L13" s="2656">
        <v>21466.012411629996</v>
      </c>
      <c r="M13" s="2656">
        <v>22259.942895280001</v>
      </c>
      <c r="N13" s="2656">
        <v>22989.724287000001</v>
      </c>
      <c r="O13" s="2656">
        <v>22602.2319183</v>
      </c>
      <c r="P13" s="2656">
        <v>22691.09387561</v>
      </c>
      <c r="Q13" s="2656">
        <v>22352.028991380001</v>
      </c>
      <c r="R13" s="2656">
        <v>20849.54136513</v>
      </c>
      <c r="S13" s="2656">
        <v>25311.236187789997</v>
      </c>
      <c r="T13" s="2656">
        <v>25904.122945640003</v>
      </c>
      <c r="U13" s="2656">
        <v>25448.523120929996</v>
      </c>
      <c r="V13" s="2656">
        <v>26103.861314179998</v>
      </c>
      <c r="W13" s="2656">
        <v>26478.396701689999</v>
      </c>
      <c r="X13" s="2656">
        <v>26989.708329679997</v>
      </c>
      <c r="Y13" s="2656">
        <v>28710.847810829997</v>
      </c>
      <c r="Z13" s="2656">
        <v>29272.863074449997</v>
      </c>
      <c r="AA13" s="2656">
        <v>29774.367504059999</v>
      </c>
      <c r="AB13" s="2656">
        <v>29994.585717139998</v>
      </c>
      <c r="AC13" s="2656">
        <v>29716.363131129998</v>
      </c>
      <c r="AD13" s="2656">
        <v>30191.575073689997</v>
      </c>
      <c r="AE13" s="2656">
        <v>30291.892443910001</v>
      </c>
      <c r="AF13" s="2656">
        <v>30655.36253658</v>
      </c>
      <c r="AG13" s="2656">
        <v>32696.011781870002</v>
      </c>
      <c r="AH13" s="2656">
        <v>31903.367670209998</v>
      </c>
      <c r="AI13" s="2656">
        <v>31757.040021659996</v>
      </c>
      <c r="AJ13" s="2656">
        <v>35107.437926109997</v>
      </c>
      <c r="AK13" s="2656">
        <v>33233.225229119998</v>
      </c>
      <c r="AL13" s="2656">
        <v>33263.001441159999</v>
      </c>
      <c r="AM13" s="2656">
        <v>34490.790181199998</v>
      </c>
      <c r="AN13" s="2656">
        <v>34491.697270019999</v>
      </c>
      <c r="AO13" s="2656">
        <v>35028.633662579996</v>
      </c>
      <c r="AP13" s="2656">
        <v>35143.509310879999</v>
      </c>
      <c r="AQ13" s="2656">
        <v>35116.670259060003</v>
      </c>
      <c r="AR13" s="2656">
        <v>34785.282280559994</v>
      </c>
      <c r="AS13" s="2656">
        <v>34830.731261859997</v>
      </c>
      <c r="AT13" s="2656">
        <v>34803.259640700002</v>
      </c>
      <c r="AU13" s="2656">
        <v>34684.586074370003</v>
      </c>
      <c r="AV13" s="2656">
        <v>34903.114191610002</v>
      </c>
      <c r="AW13" s="2656">
        <v>35302.550363510003</v>
      </c>
      <c r="AX13" s="2656">
        <v>35206.02114995</v>
      </c>
      <c r="AY13" s="2656">
        <v>35120.570964209997</v>
      </c>
      <c r="AZ13" s="2656">
        <v>35087.762766209999</v>
      </c>
      <c r="BA13" s="2656">
        <v>35063.49077697</v>
      </c>
      <c r="BB13" s="2656">
        <v>35018.8841311</v>
      </c>
      <c r="BC13" s="2656">
        <v>34763.121082159996</v>
      </c>
      <c r="BD13" s="2656">
        <v>34924.906232589994</v>
      </c>
      <c r="BE13" s="2656">
        <v>34696.392183399999</v>
      </c>
      <c r="BF13" s="2656">
        <v>34629.470733150003</v>
      </c>
      <c r="BG13" s="2656">
        <v>31574.77115457</v>
      </c>
      <c r="BH13" s="2656">
        <v>33064.702984269999</v>
      </c>
      <c r="BI13" s="2656">
        <v>32649.264819859996</v>
      </c>
      <c r="BJ13" s="2656">
        <v>35127.371612870003</v>
      </c>
      <c r="BK13" s="2656">
        <v>34889.035530839996</v>
      </c>
      <c r="BL13" s="2656">
        <v>50644.848544829991</v>
      </c>
      <c r="BM13" s="2656">
        <v>66797.338300970005</v>
      </c>
      <c r="BN13" s="2656">
        <v>79005.39803411001</v>
      </c>
      <c r="BO13" s="2656">
        <v>81936.357049509985</v>
      </c>
      <c r="BP13" s="2656">
        <v>86952.937439709989</v>
      </c>
      <c r="BQ13" s="2656">
        <v>86949.157375989991</v>
      </c>
      <c r="BR13" s="2656">
        <v>86051.929120000001</v>
      </c>
      <c r="BS13" s="2656">
        <v>90772.343108989997</v>
      </c>
      <c r="BT13" s="2656">
        <v>91572.045293460003</v>
      </c>
      <c r="BU13" s="2656">
        <v>91319.630561269994</v>
      </c>
      <c r="BV13" s="2656">
        <v>100807.28968598002</v>
      </c>
      <c r="BW13" s="2656">
        <v>94211.988522299987</v>
      </c>
      <c r="BX13" s="2656">
        <v>87104.55853907</v>
      </c>
      <c r="BY13" s="2656">
        <v>86993.135188810003</v>
      </c>
      <c r="BZ13" s="2656">
        <v>88476.540857100001</v>
      </c>
      <c r="CA13" s="2656">
        <v>92693.395777989994</v>
      </c>
      <c r="CB13" s="2656">
        <v>92946.733204709992</v>
      </c>
      <c r="CC13" s="2656">
        <v>96612.464812959995</v>
      </c>
      <c r="CD13" s="2656">
        <v>120073.73445021</v>
      </c>
      <c r="CE13" s="2656">
        <v>118150.75114173</v>
      </c>
      <c r="CF13" s="2656">
        <v>123148.15360213998</v>
      </c>
      <c r="CG13" s="2656">
        <v>123661.41135312001</v>
      </c>
      <c r="CH13" s="2656">
        <v>124113.16470718998</v>
      </c>
      <c r="CI13" s="2656">
        <v>123926.71587837</v>
      </c>
      <c r="CJ13" s="2656">
        <v>123715.46142876</v>
      </c>
      <c r="CK13" s="2656">
        <v>120156.14693575</v>
      </c>
      <c r="CL13" s="2656">
        <v>126607.04578191003</v>
      </c>
      <c r="CM13" s="2656">
        <v>126898.63283741</v>
      </c>
      <c r="CN13" s="2656">
        <v>112932.86859763999</v>
      </c>
      <c r="CO13" s="2656">
        <v>104114.98338152999</v>
      </c>
      <c r="CP13" s="2656">
        <v>100127.16433932997</v>
      </c>
      <c r="CQ13" s="2656">
        <v>95185.754130750007</v>
      </c>
      <c r="CR13" s="2656">
        <v>135464.73574840999</v>
      </c>
      <c r="CS13" s="2656">
        <v>143557.17032844998</v>
      </c>
      <c r="CT13" s="2656">
        <v>128163.67508747001</v>
      </c>
      <c r="CU13" s="2656">
        <v>128772.98020999001</v>
      </c>
      <c r="CV13" s="2656">
        <v>149445.28742110002</v>
      </c>
      <c r="CW13" s="2656">
        <v>140528.91580125</v>
      </c>
      <c r="CX13" s="2656">
        <v>151508.43069193998</v>
      </c>
      <c r="CY13" s="2656">
        <v>126325.33361418519</v>
      </c>
      <c r="CZ13" s="2656">
        <v>148118.57198018971</v>
      </c>
      <c r="DA13" s="2656">
        <v>147125.2301788961</v>
      </c>
      <c r="DB13" s="2656">
        <v>141687.73069383728</v>
      </c>
      <c r="DC13" s="2656">
        <v>139430.88456314118</v>
      </c>
      <c r="DD13" s="2656">
        <v>141823.16205981487</v>
      </c>
      <c r="DE13" s="2656">
        <v>136696.98702932341</v>
      </c>
      <c r="DF13" s="2656">
        <v>140260.74991808756</v>
      </c>
      <c r="DG13" s="2656">
        <v>138887.57522395841</v>
      </c>
      <c r="DH13" s="2656">
        <v>134718.02301435734</v>
      </c>
      <c r="DI13" s="2656">
        <v>140066.95298663891</v>
      </c>
      <c r="DJ13" s="2656">
        <v>140315.55840746206</v>
      </c>
      <c r="DK13" s="2656">
        <v>149876.11351587894</v>
      </c>
      <c r="DL13" s="2656">
        <v>140138.77054756816</v>
      </c>
      <c r="DM13" s="2656">
        <v>141182.8787186656</v>
      </c>
      <c r="DN13" s="2656">
        <v>143643.4910501703</v>
      </c>
      <c r="DO13" s="2656">
        <v>154193.25661406579</v>
      </c>
      <c r="DP13" s="2656">
        <v>155892.66757797994</v>
      </c>
      <c r="DQ13" s="2656">
        <v>148289.36241629146</v>
      </c>
      <c r="DR13" s="2656">
        <v>148324.81455588524</v>
      </c>
      <c r="DS13" s="2656">
        <v>150708.75644677205</v>
      </c>
      <c r="DT13" s="2656">
        <v>159692.41662926984</v>
      </c>
      <c r="DU13" s="2656">
        <v>145746.53512900625</v>
      </c>
      <c r="DV13" s="2656">
        <v>153842.63926363279</v>
      </c>
      <c r="DW13" s="2656">
        <v>173500.03276056063</v>
      </c>
      <c r="DX13" s="2656">
        <v>184733.02390442844</v>
      </c>
      <c r="DY13" s="2656">
        <v>198559.45153497602</v>
      </c>
      <c r="DZ13" s="2656">
        <v>180128.32803775006</v>
      </c>
      <c r="EA13" s="2656">
        <v>183195.40076435203</v>
      </c>
      <c r="EB13" s="2656">
        <v>188471.20536435794</v>
      </c>
      <c r="EC13" s="2656">
        <v>186903.46502287849</v>
      </c>
      <c r="ED13" s="2656">
        <v>185212.8534258572</v>
      </c>
      <c r="EE13" s="2656">
        <v>188732.38147475541</v>
      </c>
      <c r="EF13" s="2656">
        <v>187405.79367697536</v>
      </c>
      <c r="EG13" s="2656">
        <v>190817.31659994583</v>
      </c>
      <c r="EH13" s="2656">
        <v>183586.56854842135</v>
      </c>
      <c r="EI13" s="2656">
        <v>185006.82639066238</v>
      </c>
      <c r="EJ13" s="2656">
        <v>185102.296588222</v>
      </c>
      <c r="EK13" s="2656">
        <v>190921.43577064827</v>
      </c>
      <c r="EL13" s="2656">
        <v>189574.42213579797</v>
      </c>
      <c r="EM13" s="2656">
        <v>188880.66458448351</v>
      </c>
      <c r="EN13" s="2656">
        <v>189512.9419978981</v>
      </c>
      <c r="EO13" s="2656">
        <v>190169.62370677837</v>
      </c>
      <c r="EP13" s="2656">
        <v>190319.22083488994</v>
      </c>
      <c r="EQ13" s="2656">
        <v>190162.75740683742</v>
      </c>
      <c r="ER13" s="2656">
        <v>188123.58863685236</v>
      </c>
      <c r="ES13" s="2656">
        <v>191789.96253555853</v>
      </c>
      <c r="ET13" s="2656">
        <v>181330.18956313585</v>
      </c>
      <c r="EU13" s="2656">
        <v>183894.74023046016</v>
      </c>
      <c r="EV13" s="2656">
        <v>188055.70908169748</v>
      </c>
      <c r="EW13" s="2656">
        <v>191612.88438651385</v>
      </c>
      <c r="EX13" s="2656">
        <v>193239.37055703855</v>
      </c>
      <c r="EY13" s="2656">
        <v>189881.82591248958</v>
      </c>
      <c r="EZ13" s="2656">
        <v>186632.82475547417</v>
      </c>
      <c r="FA13" s="2656">
        <v>171193.96394328721</v>
      </c>
      <c r="FB13" s="2656">
        <v>187697.33805949503</v>
      </c>
      <c r="FC13" s="2656">
        <v>192240.63722056296</v>
      </c>
      <c r="FD13" s="2656">
        <v>188177.45956785715</v>
      </c>
      <c r="FE13" s="2656">
        <v>182885.68495119017</v>
      </c>
      <c r="FF13" s="2656">
        <v>180281.61957552275</v>
      </c>
      <c r="FG13" s="2656">
        <v>184945.60546211671</v>
      </c>
      <c r="FH13" s="2656">
        <v>186025.67540762448</v>
      </c>
      <c r="FI13" s="2656">
        <v>192983.59298542846</v>
      </c>
      <c r="FJ13" s="2656">
        <v>197420.70886088701</v>
      </c>
      <c r="FK13" s="2656">
        <v>196566.93594769575</v>
      </c>
      <c r="FL13" s="2657"/>
    </row>
    <row r="14" spans="1:168" ht="10.15" customHeight="1" x14ac:dyDescent="0.3">
      <c r="A14" s="2658"/>
      <c r="B14" s="2658"/>
      <c r="C14" s="2659"/>
      <c r="D14" s="2659"/>
      <c r="E14" s="2659"/>
      <c r="F14" s="2659"/>
      <c r="G14" s="2659"/>
      <c r="H14" s="2659"/>
      <c r="I14" s="2659"/>
      <c r="J14" s="2659"/>
      <c r="K14" s="2659"/>
      <c r="L14" s="2659"/>
      <c r="M14" s="2659"/>
      <c r="N14" s="2659"/>
      <c r="O14" s="2659"/>
      <c r="P14" s="2659"/>
      <c r="Q14" s="2659"/>
      <c r="R14" s="2659"/>
      <c r="S14" s="2659"/>
      <c r="T14" s="2659"/>
      <c r="U14" s="2659"/>
      <c r="V14" s="2659"/>
      <c r="W14" s="2659"/>
      <c r="X14" s="2659"/>
      <c r="Y14" s="2659"/>
      <c r="Z14" s="2659"/>
      <c r="AA14" s="2659"/>
      <c r="AB14" s="2659"/>
      <c r="AC14" s="2659"/>
      <c r="AD14" s="2659"/>
      <c r="AE14" s="2659"/>
      <c r="AF14" s="2659"/>
      <c r="AG14" s="2659"/>
      <c r="AH14" s="2659"/>
      <c r="AI14" s="2659"/>
      <c r="AJ14" s="2659"/>
      <c r="AK14" s="2659"/>
      <c r="AL14" s="2659"/>
      <c r="AM14" s="2659"/>
      <c r="AN14" s="2659"/>
      <c r="AO14" s="2659"/>
      <c r="AP14" s="2659"/>
      <c r="AQ14" s="2659"/>
      <c r="AR14" s="2659"/>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c r="BP14" s="2659"/>
      <c r="BQ14" s="2659"/>
      <c r="BR14" s="2659"/>
      <c r="BS14" s="2659"/>
      <c r="BT14" s="2659"/>
      <c r="BU14" s="2659"/>
      <c r="BV14" s="2659"/>
      <c r="BW14" s="2659"/>
      <c r="BX14" s="2659"/>
      <c r="BY14" s="2659"/>
      <c r="BZ14" s="2659"/>
      <c r="CA14" s="2659"/>
      <c r="CB14" s="2659"/>
      <c r="CC14" s="2659"/>
      <c r="CD14" s="2659"/>
      <c r="CE14" s="2659"/>
      <c r="CF14" s="2659"/>
      <c r="CG14" s="2659"/>
      <c r="CH14" s="2659"/>
      <c r="CI14" s="2659"/>
      <c r="CJ14" s="2659"/>
      <c r="CK14" s="2659"/>
      <c r="CL14" s="2659"/>
      <c r="CM14" s="2659"/>
      <c r="CN14" s="2659"/>
      <c r="CO14" s="2659"/>
      <c r="CP14" s="2659"/>
      <c r="CQ14" s="2659"/>
      <c r="CR14" s="2659"/>
      <c r="CS14" s="2659"/>
      <c r="CT14" s="2659"/>
      <c r="CU14" s="2659"/>
      <c r="CV14" s="2659"/>
      <c r="CW14" s="2659"/>
      <c r="CX14" s="2659"/>
      <c r="CY14" s="2659"/>
      <c r="CZ14" s="2659"/>
      <c r="DA14" s="2659"/>
      <c r="DB14" s="2659"/>
      <c r="DC14" s="2659"/>
      <c r="DD14" s="2659"/>
      <c r="DE14" s="2659"/>
      <c r="DF14" s="2659"/>
      <c r="DG14" s="2659"/>
      <c r="DH14" s="2659"/>
      <c r="DI14" s="2659"/>
      <c r="DJ14" s="2659"/>
      <c r="DK14" s="2659"/>
      <c r="DL14" s="2659"/>
      <c r="DM14" s="2659"/>
      <c r="DN14" s="2659"/>
      <c r="DO14" s="2659"/>
      <c r="DP14" s="2659"/>
      <c r="DQ14" s="2659"/>
      <c r="DR14" s="2659"/>
      <c r="DS14" s="2659"/>
      <c r="DT14" s="2659"/>
      <c r="DU14" s="2659"/>
      <c r="DV14" s="2659"/>
      <c r="DW14" s="2659"/>
      <c r="DX14" s="2659"/>
      <c r="DY14" s="2659"/>
      <c r="DZ14" s="2659"/>
      <c r="EA14" s="2659"/>
      <c r="EB14" s="2659"/>
      <c r="EC14" s="2659"/>
      <c r="ED14" s="2659"/>
      <c r="EE14" s="2659"/>
      <c r="EF14" s="2659"/>
      <c r="EG14" s="2659"/>
      <c r="EH14" s="2659"/>
      <c r="EI14" s="2659"/>
      <c r="EJ14" s="2659"/>
      <c r="EK14" s="2659"/>
      <c r="EL14" s="2659"/>
      <c r="EM14" s="2659"/>
      <c r="EN14" s="2659"/>
      <c r="EO14" s="2659"/>
      <c r="EP14" s="2659"/>
      <c r="EQ14" s="2659"/>
      <c r="ER14" s="2659"/>
      <c r="ES14" s="2659"/>
      <c r="ET14" s="2659"/>
      <c r="EU14" s="2659"/>
      <c r="EV14" s="2659"/>
      <c r="EW14" s="2659"/>
      <c r="EX14" s="2659"/>
      <c r="EY14" s="2659"/>
      <c r="EZ14" s="2659"/>
      <c r="FA14" s="2659"/>
      <c r="FB14" s="2659"/>
      <c r="FC14" s="2659"/>
      <c r="FD14" s="2659"/>
      <c r="FE14" s="2659"/>
      <c r="FF14" s="2659"/>
      <c r="FG14" s="2659"/>
      <c r="FH14" s="2659"/>
      <c r="FI14" s="2659"/>
      <c r="FJ14" s="2659"/>
      <c r="FK14" s="2659"/>
      <c r="FL14" s="2657"/>
    </row>
    <row r="15" spans="1:168" ht="16.5" customHeight="1" x14ac:dyDescent="0.3">
      <c r="A15" s="2655" t="s">
        <v>2522</v>
      </c>
      <c r="B15" s="2655" t="s">
        <v>1057</v>
      </c>
      <c r="C15" s="2656">
        <v>491.84622338999992</v>
      </c>
      <c r="D15" s="2656">
        <v>524.90104052999993</v>
      </c>
      <c r="E15" s="2656">
        <v>473.86928965999999</v>
      </c>
      <c r="F15" s="2656">
        <v>502.70682980000004</v>
      </c>
      <c r="G15" s="2656">
        <v>478.72747143999999</v>
      </c>
      <c r="H15" s="2656">
        <v>513.68363216</v>
      </c>
      <c r="I15" s="2656">
        <v>477.29557854999996</v>
      </c>
      <c r="J15" s="2656">
        <v>507.48070460999998</v>
      </c>
      <c r="K15" s="2656">
        <v>684.1661249199999</v>
      </c>
      <c r="L15" s="2656">
        <v>747.12506561999999</v>
      </c>
      <c r="M15" s="2656">
        <v>1143.4792162199999</v>
      </c>
      <c r="N15" s="2656">
        <v>1120.76761362</v>
      </c>
      <c r="O15" s="2656">
        <v>1123.4188966800002</v>
      </c>
      <c r="P15" s="2656">
        <v>1122.3026721700001</v>
      </c>
      <c r="Q15" s="2656">
        <v>339.41735683000002</v>
      </c>
      <c r="R15" s="2656">
        <v>1831.8265738599998</v>
      </c>
      <c r="S15" s="2656">
        <v>738.01858803999994</v>
      </c>
      <c r="T15" s="2656">
        <v>319.08661459000001</v>
      </c>
      <c r="U15" s="2656">
        <v>1894.1164255000001</v>
      </c>
      <c r="V15" s="2656">
        <v>1174.0161133600002</v>
      </c>
      <c r="W15" s="2656">
        <v>856.10078765999992</v>
      </c>
      <c r="X15" s="2656">
        <v>1051.07743783</v>
      </c>
      <c r="Y15" s="2656">
        <v>1204.4816335000003</v>
      </c>
      <c r="Z15" s="2656">
        <v>1260.3841304100001</v>
      </c>
      <c r="AA15" s="2656">
        <v>1230.5332219800002</v>
      </c>
      <c r="AB15" s="2656">
        <v>1230.5164966699999</v>
      </c>
      <c r="AC15" s="2656">
        <v>1215.4940869</v>
      </c>
      <c r="AD15" s="2656">
        <v>1190.11493638</v>
      </c>
      <c r="AE15" s="2656">
        <v>174.57985774000002</v>
      </c>
      <c r="AF15" s="2656">
        <v>561.96719344000007</v>
      </c>
      <c r="AG15" s="2656">
        <v>275.87252819999998</v>
      </c>
      <c r="AH15" s="2656">
        <v>557.69373244000008</v>
      </c>
      <c r="AI15" s="2656">
        <v>867.05270255000005</v>
      </c>
      <c r="AJ15" s="2656">
        <v>1270.9848473699999</v>
      </c>
      <c r="AK15" s="2656">
        <v>1435.0759070899996</v>
      </c>
      <c r="AL15" s="2656">
        <v>1912.9682759799998</v>
      </c>
      <c r="AM15" s="2656">
        <v>2240.3772425499997</v>
      </c>
      <c r="AN15" s="2656">
        <v>2218.0704379499998</v>
      </c>
      <c r="AO15" s="2656">
        <v>2186.4500008999998</v>
      </c>
      <c r="AP15" s="2656">
        <v>2356.7966116800003</v>
      </c>
      <c r="AQ15" s="2656">
        <v>1331.9935625799999</v>
      </c>
      <c r="AR15" s="2656">
        <v>1592.3635513900001</v>
      </c>
      <c r="AS15" s="2656">
        <v>1765.0824689000001</v>
      </c>
      <c r="AT15" s="2656">
        <v>2035.90239615</v>
      </c>
      <c r="AU15" s="2656">
        <v>3043.2619443799999</v>
      </c>
      <c r="AV15" s="2656">
        <v>2549.1096988900003</v>
      </c>
      <c r="AW15" s="2656">
        <v>2687.0578584899995</v>
      </c>
      <c r="AX15" s="2656">
        <v>2678.9976269699996</v>
      </c>
      <c r="AY15" s="2656">
        <v>3515.0071536999999</v>
      </c>
      <c r="AZ15" s="2656">
        <v>3536.8521446999998</v>
      </c>
      <c r="BA15" s="2656">
        <v>3530.2889172699993</v>
      </c>
      <c r="BB15" s="2656">
        <v>3532.1077040499999</v>
      </c>
      <c r="BC15" s="2656">
        <v>2494.0585267800002</v>
      </c>
      <c r="BD15" s="2656">
        <v>2404.2688256999995</v>
      </c>
      <c r="BE15" s="2656">
        <v>1843.34392875</v>
      </c>
      <c r="BF15" s="2656">
        <v>2127.4552850299997</v>
      </c>
      <c r="BG15" s="2656">
        <v>2167.0183569299998</v>
      </c>
      <c r="BH15" s="2656">
        <v>2155.1626769200002</v>
      </c>
      <c r="BI15" s="2656">
        <v>2322.5259095099996</v>
      </c>
      <c r="BJ15" s="2656">
        <v>2302.7540793499998</v>
      </c>
      <c r="BK15" s="2656">
        <v>2287.40010093</v>
      </c>
      <c r="BL15" s="2656">
        <v>2448.8803223999998</v>
      </c>
      <c r="BM15" s="2656">
        <v>2454.0093813699996</v>
      </c>
      <c r="BN15" s="2656">
        <v>2665.1367796700001</v>
      </c>
      <c r="BO15" s="2656">
        <v>2072.2967368200002</v>
      </c>
      <c r="BP15" s="2656">
        <v>5479.9487537899995</v>
      </c>
      <c r="BQ15" s="2656">
        <v>5156.8468584199991</v>
      </c>
      <c r="BR15" s="2656">
        <v>4773.1028237399996</v>
      </c>
      <c r="BS15" s="2656">
        <v>4786.1066778499999</v>
      </c>
      <c r="BT15" s="2656">
        <v>4655.0792346200005</v>
      </c>
      <c r="BU15" s="2656">
        <v>4626.3818023900003</v>
      </c>
      <c r="BV15" s="2656">
        <v>4568.5416659399998</v>
      </c>
      <c r="BW15" s="2656">
        <v>4566.7053859300004</v>
      </c>
      <c r="BX15" s="2656">
        <v>4565.9351240899996</v>
      </c>
      <c r="BY15" s="2656">
        <v>4594.1558131900001</v>
      </c>
      <c r="BZ15" s="2656">
        <v>4584.5097460400002</v>
      </c>
      <c r="CA15" s="2656">
        <v>4575.3782852699997</v>
      </c>
      <c r="CB15" s="2656">
        <v>4597.4719768400009</v>
      </c>
      <c r="CC15" s="2656">
        <v>4591.2229257899999</v>
      </c>
      <c r="CD15" s="2656">
        <v>4588.2355261499997</v>
      </c>
      <c r="CE15" s="2656">
        <v>4601.1488419199995</v>
      </c>
      <c r="CF15" s="2656">
        <v>4595.1524889400007</v>
      </c>
      <c r="CG15" s="2656">
        <v>8172.3212049899994</v>
      </c>
      <c r="CH15" s="2656">
        <v>8088.9907719700004</v>
      </c>
      <c r="CI15" s="2656">
        <v>8057.2176511399994</v>
      </c>
      <c r="CJ15" s="2656">
        <v>8041.6574016299992</v>
      </c>
      <c r="CK15" s="2656">
        <v>11544.623044370001</v>
      </c>
      <c r="CL15" s="2656">
        <v>11492.798256770002</v>
      </c>
      <c r="CM15" s="2656">
        <v>14941.364143459999</v>
      </c>
      <c r="CN15" s="2656">
        <v>14806.03204568</v>
      </c>
      <c r="CO15" s="2656">
        <v>14499.287889290001</v>
      </c>
      <c r="CP15" s="2656">
        <v>14257.473579269999</v>
      </c>
      <c r="CQ15" s="2656">
        <v>14626.477588690001</v>
      </c>
      <c r="CR15" s="2656">
        <v>14765.671579280001</v>
      </c>
      <c r="CS15" s="2656">
        <v>14554.581966230002</v>
      </c>
      <c r="CT15" s="2656">
        <v>14443.254467459999</v>
      </c>
      <c r="CU15" s="2656">
        <v>14088.517232390001</v>
      </c>
      <c r="CV15" s="2656">
        <v>15893.028730220001</v>
      </c>
      <c r="CW15" s="2656">
        <v>16043.578703970001</v>
      </c>
      <c r="CX15" s="2656">
        <v>16392.24572472</v>
      </c>
      <c r="CY15" s="2656">
        <v>16457.027470460001</v>
      </c>
      <c r="CZ15" s="2656">
        <v>16473.488074150002</v>
      </c>
      <c r="DA15" s="2656">
        <v>16319.755025660001</v>
      </c>
      <c r="DB15" s="2656">
        <v>16351.245574909999</v>
      </c>
      <c r="DC15" s="2656">
        <v>16351.759252350001</v>
      </c>
      <c r="DD15" s="2656">
        <v>16437.37012001</v>
      </c>
      <c r="DE15" s="2656">
        <v>16392.674682049998</v>
      </c>
      <c r="DF15" s="2656">
        <v>16293.671791839999</v>
      </c>
      <c r="DG15" s="2656">
        <v>16233.31325868</v>
      </c>
      <c r="DH15" s="2656">
        <v>16213.239165849998</v>
      </c>
      <c r="DI15" s="2656">
        <v>16475.570623719999</v>
      </c>
      <c r="DJ15" s="2656">
        <v>16533.422831839998</v>
      </c>
      <c r="DK15" s="2656">
        <v>16732.058161350004</v>
      </c>
      <c r="DL15" s="2656">
        <v>16647.477633440001</v>
      </c>
      <c r="DM15" s="2656">
        <v>16825.012464660002</v>
      </c>
      <c r="DN15" s="2656">
        <v>16875.293806770002</v>
      </c>
      <c r="DO15" s="2656">
        <v>16862.759277599998</v>
      </c>
      <c r="DP15" s="2656">
        <v>16869.573699600001</v>
      </c>
      <c r="DQ15" s="2656">
        <v>20653.615206449998</v>
      </c>
      <c r="DR15" s="2656">
        <v>20535.312224640002</v>
      </c>
      <c r="DS15" s="2656">
        <v>20682.179157279999</v>
      </c>
      <c r="DT15" s="2656">
        <v>17217.51696904</v>
      </c>
      <c r="DU15" s="2656">
        <v>18407.04911869</v>
      </c>
      <c r="DV15" s="2656">
        <v>18709.923378619998</v>
      </c>
      <c r="DW15" s="2656">
        <v>18678.657738509999</v>
      </c>
      <c r="DX15" s="2656">
        <v>24262.272588320004</v>
      </c>
      <c r="DY15" s="2656">
        <v>20410.436902429999</v>
      </c>
      <c r="DZ15" s="2656">
        <v>20468.073060179995</v>
      </c>
      <c r="EA15" s="2656">
        <v>14871.71549749</v>
      </c>
      <c r="EB15" s="2656">
        <v>47835.07925534001</v>
      </c>
      <c r="EC15" s="2656">
        <v>47944.372035450004</v>
      </c>
      <c r="ED15" s="2656">
        <v>41091.43352654</v>
      </c>
      <c r="EE15" s="2656">
        <v>41119.610317240003</v>
      </c>
      <c r="EF15" s="2656">
        <v>41282.583037470002</v>
      </c>
      <c r="EG15" s="2656">
        <v>39254.214319910003</v>
      </c>
      <c r="EH15" s="2656">
        <v>86600.234254780007</v>
      </c>
      <c r="EI15" s="2656">
        <v>86790.899325050006</v>
      </c>
      <c r="EJ15" s="2656">
        <v>87035.390183439988</v>
      </c>
      <c r="EK15" s="2656">
        <v>87044.077212389995</v>
      </c>
      <c r="EL15" s="2656">
        <v>7052.3095282499999</v>
      </c>
      <c r="EM15" s="2656">
        <v>7860.6408873699993</v>
      </c>
      <c r="EN15" s="2656">
        <v>8168.9603481699996</v>
      </c>
      <c r="EO15" s="2656">
        <v>8477.32732837</v>
      </c>
      <c r="EP15" s="2656">
        <v>8487.6032720700005</v>
      </c>
      <c r="EQ15" s="2656">
        <v>8797.3415882600002</v>
      </c>
      <c r="ER15" s="2656">
        <v>8803.7928414599992</v>
      </c>
      <c r="ES15" s="2656">
        <v>8811.8700730500004</v>
      </c>
      <c r="ET15" s="2656">
        <v>8870.8914072100015</v>
      </c>
      <c r="EU15" s="2656">
        <v>9177.9272278699991</v>
      </c>
      <c r="EV15" s="2656">
        <v>9005.7212970799974</v>
      </c>
      <c r="EW15" s="2656">
        <v>8994.3287242999995</v>
      </c>
      <c r="EX15" s="2656">
        <v>8462.5421926700001</v>
      </c>
      <c r="EY15" s="2656">
        <v>8927.4939899199999</v>
      </c>
      <c r="EZ15" s="2656">
        <v>8883.2425305699999</v>
      </c>
      <c r="FA15" s="2656">
        <v>9279.1681655899993</v>
      </c>
      <c r="FB15" s="2656">
        <v>9275.8615745300012</v>
      </c>
      <c r="FC15" s="2656">
        <v>9191.2777761999987</v>
      </c>
      <c r="FD15" s="2656">
        <v>9186.8468266599994</v>
      </c>
      <c r="FE15" s="2656">
        <v>9184.3376873200014</v>
      </c>
      <c r="FF15" s="2656">
        <v>9131.6511696199977</v>
      </c>
      <c r="FG15" s="2656">
        <v>9430.0993833599987</v>
      </c>
      <c r="FH15" s="2656">
        <v>9432.2766544599999</v>
      </c>
      <c r="FI15" s="2656">
        <v>9846.1584961000008</v>
      </c>
      <c r="FJ15" s="2656">
        <v>9820.9429316799979</v>
      </c>
      <c r="FK15" s="2656">
        <v>9789.353033049998</v>
      </c>
      <c r="FL15" s="2657"/>
    </row>
    <row r="16" spans="1:168" ht="16.5" customHeight="1" x14ac:dyDescent="0.3">
      <c r="A16" s="2658"/>
      <c r="B16" s="2658"/>
      <c r="C16" s="2659"/>
      <c r="D16" s="2659"/>
      <c r="E16" s="2659"/>
      <c r="F16" s="2659"/>
      <c r="G16" s="2659"/>
      <c r="H16" s="2659"/>
      <c r="I16" s="2659"/>
      <c r="J16" s="2659"/>
      <c r="K16" s="2659"/>
      <c r="L16" s="2659"/>
      <c r="M16" s="2659"/>
      <c r="N16" s="2659"/>
      <c r="O16" s="2659"/>
      <c r="P16" s="2659"/>
      <c r="Q16" s="2659"/>
      <c r="R16" s="2659"/>
      <c r="S16" s="2659"/>
      <c r="T16" s="2659"/>
      <c r="U16" s="2659"/>
      <c r="V16" s="2659"/>
      <c r="W16" s="2659"/>
      <c r="X16" s="2659"/>
      <c r="Y16" s="2659"/>
      <c r="Z16" s="2659"/>
      <c r="AA16" s="2659"/>
      <c r="AB16" s="2659"/>
      <c r="AC16" s="2659"/>
      <c r="AD16" s="2659"/>
      <c r="AE16" s="2659"/>
      <c r="AF16" s="2659"/>
      <c r="AG16" s="2659"/>
      <c r="AH16" s="2659"/>
      <c r="AI16" s="2659"/>
      <c r="AJ16" s="2659"/>
      <c r="AK16" s="2659"/>
      <c r="AL16" s="2659"/>
      <c r="AM16" s="2659"/>
      <c r="AN16" s="2659"/>
      <c r="AO16" s="2659"/>
      <c r="AP16" s="2659"/>
      <c r="AQ16" s="2659"/>
      <c r="AR16" s="2659"/>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c r="BP16" s="2659"/>
      <c r="BQ16" s="2659"/>
      <c r="BR16" s="2659"/>
      <c r="BS16" s="2659"/>
      <c r="BT16" s="2659"/>
      <c r="BU16" s="2659"/>
      <c r="BV16" s="2659"/>
      <c r="BW16" s="2659"/>
      <c r="BX16" s="2659"/>
      <c r="BY16" s="2659"/>
      <c r="BZ16" s="2659"/>
      <c r="CA16" s="2659"/>
      <c r="CB16" s="2659"/>
      <c r="CC16" s="2659"/>
      <c r="CD16" s="2659"/>
      <c r="CE16" s="2659"/>
      <c r="CF16" s="2659"/>
      <c r="CG16" s="2659"/>
      <c r="CH16" s="2659"/>
      <c r="CI16" s="2659"/>
      <c r="CJ16" s="2659"/>
      <c r="CK16" s="2659"/>
      <c r="CL16" s="2659"/>
      <c r="CM16" s="2659"/>
      <c r="CN16" s="2659"/>
      <c r="CO16" s="2659"/>
      <c r="CP16" s="2659"/>
      <c r="CQ16" s="2659"/>
      <c r="CR16" s="2659"/>
      <c r="CS16" s="2659"/>
      <c r="CT16" s="2659"/>
      <c r="CU16" s="2659"/>
      <c r="CV16" s="2659"/>
      <c r="CW16" s="2659"/>
      <c r="CX16" s="2659"/>
      <c r="CY16" s="2659"/>
      <c r="CZ16" s="2659"/>
      <c r="DA16" s="2659"/>
      <c r="DB16" s="2659"/>
      <c r="DC16" s="2659"/>
      <c r="DD16" s="2659"/>
      <c r="DE16" s="2659"/>
      <c r="DF16" s="2659"/>
      <c r="DG16" s="2659"/>
      <c r="DH16" s="2659"/>
      <c r="DI16" s="2659"/>
      <c r="DJ16" s="2659"/>
      <c r="DK16" s="2659"/>
      <c r="DL16" s="2659"/>
      <c r="DM16" s="2659"/>
      <c r="DN16" s="2659"/>
      <c r="DO16" s="2659"/>
      <c r="DP16" s="2659"/>
      <c r="DQ16" s="2659"/>
      <c r="DR16" s="2659"/>
      <c r="DS16" s="2659"/>
      <c r="DT16" s="2659"/>
      <c r="DU16" s="2659"/>
      <c r="DV16" s="2659"/>
      <c r="DW16" s="2659"/>
      <c r="DX16" s="2659"/>
      <c r="DY16" s="2659"/>
      <c r="DZ16" s="2659"/>
      <c r="EA16" s="2659"/>
      <c r="EB16" s="2659"/>
      <c r="EC16" s="2659"/>
      <c r="ED16" s="2659"/>
      <c r="EE16" s="2659"/>
      <c r="EF16" s="2659"/>
      <c r="EG16" s="2659"/>
      <c r="EH16" s="2659"/>
      <c r="EI16" s="2659"/>
      <c r="EJ16" s="2659"/>
      <c r="EK16" s="2659"/>
      <c r="EL16" s="2659"/>
      <c r="EM16" s="2659"/>
      <c r="EN16" s="2659"/>
      <c r="EO16" s="2659"/>
      <c r="EP16" s="2659"/>
      <c r="EQ16" s="2659"/>
      <c r="ER16" s="2659"/>
      <c r="ES16" s="2659"/>
      <c r="ET16" s="2659"/>
      <c r="EU16" s="2659"/>
      <c r="EV16" s="2659"/>
      <c r="EW16" s="2659"/>
      <c r="EX16" s="2659"/>
      <c r="EY16" s="2659"/>
      <c r="EZ16" s="2659"/>
      <c r="FA16" s="2659"/>
      <c r="FB16" s="2659"/>
      <c r="FC16" s="2659"/>
      <c r="FD16" s="2659"/>
      <c r="FE16" s="2659"/>
      <c r="FF16" s="2659"/>
      <c r="FG16" s="2659"/>
      <c r="FH16" s="2659"/>
      <c r="FI16" s="2659"/>
      <c r="FJ16" s="2659"/>
      <c r="FK16" s="2659"/>
      <c r="FL16" s="2657"/>
    </row>
    <row r="17" spans="1:168" ht="16.5" customHeight="1" x14ac:dyDescent="0.3">
      <c r="A17" s="2655" t="s">
        <v>2523</v>
      </c>
      <c r="B17" s="2655" t="s">
        <v>2524</v>
      </c>
      <c r="C17" s="2656">
        <v>161.26920694999998</v>
      </c>
      <c r="D17" s="2656">
        <v>166.87536215999998</v>
      </c>
      <c r="E17" s="2656">
        <v>161.42028822999998</v>
      </c>
      <c r="F17" s="2656">
        <v>160.23152331999998</v>
      </c>
      <c r="G17" s="2656">
        <v>179.13171553999999</v>
      </c>
      <c r="H17" s="2656">
        <v>174.67062755999999</v>
      </c>
      <c r="I17" s="2656">
        <v>169.48025906000001</v>
      </c>
      <c r="J17" s="2656">
        <v>176.93580440999997</v>
      </c>
      <c r="K17" s="2656">
        <v>174.46881076</v>
      </c>
      <c r="L17" s="2656">
        <v>177.56091634000001</v>
      </c>
      <c r="M17" s="2656">
        <v>174.34058016</v>
      </c>
      <c r="N17" s="2656">
        <v>327.91928007999996</v>
      </c>
      <c r="O17" s="2656">
        <v>316.69406669</v>
      </c>
      <c r="P17" s="2656">
        <v>296.98852712000001</v>
      </c>
      <c r="Q17" s="2656">
        <v>235.19138181999998</v>
      </c>
      <c r="R17" s="2656">
        <v>228.24569933999999</v>
      </c>
      <c r="S17" s="2656">
        <v>158.11373581000001</v>
      </c>
      <c r="T17" s="2656">
        <v>160.36309102999999</v>
      </c>
      <c r="U17" s="2656">
        <v>156.48745005000001</v>
      </c>
      <c r="V17" s="2656">
        <v>157.26738781</v>
      </c>
      <c r="W17" s="2656">
        <v>163.49021656999997</v>
      </c>
      <c r="X17" s="2656">
        <v>162.04376009000001</v>
      </c>
      <c r="Y17" s="2656">
        <v>164.88998756999999</v>
      </c>
      <c r="Z17" s="2656">
        <v>165.16484383</v>
      </c>
      <c r="AA17" s="2656">
        <v>164.04060859999998</v>
      </c>
      <c r="AB17" s="2656">
        <v>161.96498192999999</v>
      </c>
      <c r="AC17" s="2656">
        <v>162.67566421000001</v>
      </c>
      <c r="AD17" s="2656">
        <v>163.50994844999997</v>
      </c>
      <c r="AE17" s="2656">
        <v>167.93374788</v>
      </c>
      <c r="AF17" s="2656">
        <v>174.45067546999999</v>
      </c>
      <c r="AG17" s="2656">
        <v>211.87972452</v>
      </c>
      <c r="AH17" s="2656">
        <v>209.07097730999999</v>
      </c>
      <c r="AI17" s="2656">
        <v>208.87521335</v>
      </c>
      <c r="AJ17" s="2656">
        <v>212.53402743999999</v>
      </c>
      <c r="AK17" s="2656">
        <v>210.95428206999998</v>
      </c>
      <c r="AL17" s="2656">
        <v>209.43874825</v>
      </c>
      <c r="AM17" s="2656">
        <v>208.60019591999998</v>
      </c>
      <c r="AN17" s="2656">
        <v>211.45628828</v>
      </c>
      <c r="AO17" s="2656">
        <v>213.75509184999999</v>
      </c>
      <c r="AP17" s="2656">
        <v>212.55079352999999</v>
      </c>
      <c r="AQ17" s="2656">
        <v>213.33963661999999</v>
      </c>
      <c r="AR17" s="2656">
        <v>212.75046890000002</v>
      </c>
      <c r="AS17" s="2656">
        <v>221.86549281000001</v>
      </c>
      <c r="AT17" s="2656">
        <v>221.81932963</v>
      </c>
      <c r="AU17" s="2656">
        <v>219.53045155999999</v>
      </c>
      <c r="AV17" s="2656">
        <v>216.52573848</v>
      </c>
      <c r="AW17" s="2656">
        <v>218.31653191000001</v>
      </c>
      <c r="AX17" s="2656">
        <v>216.73786058000002</v>
      </c>
      <c r="AY17" s="2656">
        <v>218.93019322000001</v>
      </c>
      <c r="AZ17" s="2656">
        <v>218.11275381000002</v>
      </c>
      <c r="BA17" s="2656">
        <v>218.10628134999999</v>
      </c>
      <c r="BB17" s="2656">
        <v>217.28219397000001</v>
      </c>
      <c r="BC17" s="2656">
        <v>219.29112119999999</v>
      </c>
      <c r="BD17" s="2656">
        <v>227.39741284000002</v>
      </c>
      <c r="BE17" s="2656">
        <v>228.99984716999998</v>
      </c>
      <c r="BF17" s="2656">
        <v>232.01957019</v>
      </c>
      <c r="BG17" s="2656">
        <v>235.58074550000001</v>
      </c>
      <c r="BH17" s="2656">
        <v>235.57472911000002</v>
      </c>
      <c r="BI17" s="2656">
        <v>236.62680281000002</v>
      </c>
      <c r="BJ17" s="2656">
        <v>238.56366877000002</v>
      </c>
      <c r="BK17" s="2656">
        <v>245.42686543000002</v>
      </c>
      <c r="BL17" s="2656">
        <v>250.04395</v>
      </c>
      <c r="BM17" s="2656">
        <v>337.16357664999998</v>
      </c>
      <c r="BN17" s="2656">
        <v>327.93011097999999</v>
      </c>
      <c r="BO17" s="2656">
        <v>327.53284425999999</v>
      </c>
      <c r="BP17" s="2656">
        <v>325.61210411000002</v>
      </c>
      <c r="BQ17" s="2656">
        <v>424.87167019999998</v>
      </c>
      <c r="BR17" s="2656">
        <v>421.67678138999997</v>
      </c>
      <c r="BS17" s="2656">
        <v>426.37082745999999</v>
      </c>
      <c r="BT17" s="2656">
        <v>430.32526571</v>
      </c>
      <c r="BU17" s="2656">
        <v>434.56412392000004</v>
      </c>
      <c r="BV17" s="2656">
        <v>430.70113750000002</v>
      </c>
      <c r="BW17" s="2656">
        <v>432.14307244999998</v>
      </c>
      <c r="BX17" s="2656">
        <v>429.13295411000001</v>
      </c>
      <c r="BY17" s="2656">
        <v>424.72257717000002</v>
      </c>
      <c r="BZ17" s="2656">
        <v>419.87843735000001</v>
      </c>
      <c r="CA17" s="2656">
        <v>425.07209523</v>
      </c>
      <c r="CB17" s="2656">
        <v>450.79437767000002</v>
      </c>
      <c r="CC17" s="2656">
        <v>449.47465805000002</v>
      </c>
      <c r="CD17" s="2656">
        <v>447.01364114999996</v>
      </c>
      <c r="CE17" s="2656">
        <v>449.02859986999999</v>
      </c>
      <c r="CF17" s="2656">
        <v>455.14533527999998</v>
      </c>
      <c r="CG17" s="2656">
        <v>456.44795629000004</v>
      </c>
      <c r="CH17" s="2656">
        <v>456.62419564999999</v>
      </c>
      <c r="CI17" s="2656">
        <v>451.95501432999998</v>
      </c>
      <c r="CJ17" s="2656">
        <v>451.04437363</v>
      </c>
      <c r="CK17" s="2656">
        <v>447.63276120999996</v>
      </c>
      <c r="CL17" s="2656">
        <v>443.83589957999999</v>
      </c>
      <c r="CM17" s="2656">
        <v>441.01793947000004</v>
      </c>
      <c r="CN17" s="2656">
        <v>441.62176952999999</v>
      </c>
      <c r="CO17" s="2656">
        <v>462.91946060999999</v>
      </c>
      <c r="CP17" s="2656">
        <v>792.27196059000005</v>
      </c>
      <c r="CQ17" s="2656">
        <v>820.43747261999999</v>
      </c>
      <c r="CR17" s="2656">
        <v>831.69931032000011</v>
      </c>
      <c r="CS17" s="2656">
        <v>821.83850754999992</v>
      </c>
      <c r="CT17" s="2656">
        <v>819.08493266999994</v>
      </c>
      <c r="CU17" s="2656">
        <v>790.47109610999996</v>
      </c>
      <c r="CV17" s="2656">
        <v>803.40492445000007</v>
      </c>
      <c r="CW17" s="2656">
        <v>813.07621497000002</v>
      </c>
      <c r="CX17" s="2656">
        <v>841.88489895999999</v>
      </c>
      <c r="CY17" s="2656">
        <v>847.40813234000007</v>
      </c>
      <c r="CZ17" s="2656">
        <v>21043.356040378283</v>
      </c>
      <c r="DA17" s="2656">
        <v>22854.155961629298</v>
      </c>
      <c r="DB17" s="2656">
        <v>23092.086850039876</v>
      </c>
      <c r="DC17" s="2656">
        <v>22959.197455643669</v>
      </c>
      <c r="DD17" s="2656">
        <v>23379.283991752462</v>
      </c>
      <c r="DE17" s="2656">
        <v>22494.485845347113</v>
      </c>
      <c r="DF17" s="2656">
        <v>22480.634257145379</v>
      </c>
      <c r="DG17" s="2656">
        <v>23766.529621568283</v>
      </c>
      <c r="DH17" s="2656">
        <v>22881.047536068589</v>
      </c>
      <c r="DI17" s="2656">
        <v>25358.589172310436</v>
      </c>
      <c r="DJ17" s="2656">
        <v>25733.826218769609</v>
      </c>
      <c r="DK17" s="2656">
        <v>25550.667008069409</v>
      </c>
      <c r="DL17" s="2656">
        <v>26771.058209241135</v>
      </c>
      <c r="DM17" s="2656">
        <v>27940.355168130638</v>
      </c>
      <c r="DN17" s="2656">
        <v>27566.676826876916</v>
      </c>
      <c r="DO17" s="2656">
        <v>28790.66875514682</v>
      </c>
      <c r="DP17" s="2656">
        <v>29140.031385779625</v>
      </c>
      <c r="DQ17" s="2656">
        <v>29644.539671080311</v>
      </c>
      <c r="DR17" s="2656">
        <v>29920.264318375532</v>
      </c>
      <c r="DS17" s="2656">
        <v>29691.72741636528</v>
      </c>
      <c r="DT17" s="2656">
        <v>29276.168037772812</v>
      </c>
      <c r="DU17" s="2656">
        <v>29540.949384109404</v>
      </c>
      <c r="DV17" s="2656">
        <v>30736.794765817438</v>
      </c>
      <c r="DW17" s="2656">
        <v>31197.0972477664</v>
      </c>
      <c r="DX17" s="2656">
        <v>30566.41308185595</v>
      </c>
      <c r="DY17" s="2656">
        <v>31896.823101034348</v>
      </c>
      <c r="DZ17" s="2656">
        <v>32068.847245819525</v>
      </c>
      <c r="EA17" s="2656">
        <v>32278.423302862382</v>
      </c>
      <c r="EB17" s="2656">
        <v>32155.957012292758</v>
      </c>
      <c r="EC17" s="2656">
        <v>34582.496505611954</v>
      </c>
      <c r="ED17" s="2656">
        <v>34929.84748966882</v>
      </c>
      <c r="EE17" s="2656">
        <v>35498.667466993233</v>
      </c>
      <c r="EF17" s="2656">
        <v>35566.282710619322</v>
      </c>
      <c r="EG17" s="2656">
        <v>36681.81101954035</v>
      </c>
      <c r="EH17" s="2656">
        <v>37132.037242791725</v>
      </c>
      <c r="EI17" s="2656">
        <v>38106.233635914446</v>
      </c>
      <c r="EJ17" s="2656">
        <v>40405.106841956898</v>
      </c>
      <c r="EK17" s="2656">
        <v>40126.476791669265</v>
      </c>
      <c r="EL17" s="2656">
        <v>120574.47374172941</v>
      </c>
      <c r="EM17" s="2656">
        <v>120323.69828446407</v>
      </c>
      <c r="EN17" s="2656">
        <v>121137.02349565474</v>
      </c>
      <c r="EO17" s="2656">
        <v>120673.88114443635</v>
      </c>
      <c r="EP17" s="2656">
        <v>121556.25560506564</v>
      </c>
      <c r="EQ17" s="2656">
        <v>120261.8085284422</v>
      </c>
      <c r="ER17" s="2656">
        <v>119165.12455628015</v>
      </c>
      <c r="ES17" s="2656">
        <v>118831.95753463786</v>
      </c>
      <c r="ET17" s="2656">
        <v>112659.48227663594</v>
      </c>
      <c r="EU17" s="2656">
        <v>115615.10114307844</v>
      </c>
      <c r="EV17" s="2656">
        <v>117181.62510554897</v>
      </c>
      <c r="EW17" s="2656">
        <v>118441.8884737778</v>
      </c>
      <c r="EX17" s="2656">
        <v>120760.6710597919</v>
      </c>
      <c r="EY17" s="2656">
        <v>113122.3328588536</v>
      </c>
      <c r="EZ17" s="2656">
        <v>110797.48926226716</v>
      </c>
      <c r="FA17" s="2656">
        <v>111168.86647023982</v>
      </c>
      <c r="FB17" s="2656">
        <v>107778.09369258487</v>
      </c>
      <c r="FC17" s="2656">
        <v>109673.25270677895</v>
      </c>
      <c r="FD17" s="2656">
        <v>109414.50715000539</v>
      </c>
      <c r="FE17" s="2656">
        <v>103037.91542737634</v>
      </c>
      <c r="FF17" s="2656">
        <v>101618.88706613565</v>
      </c>
      <c r="FG17" s="2656">
        <v>101481.33977209253</v>
      </c>
      <c r="FH17" s="2656">
        <v>101315.62584616763</v>
      </c>
      <c r="FI17" s="2656">
        <v>101854.83095293908</v>
      </c>
      <c r="FJ17" s="2656">
        <v>101077.1865396112</v>
      </c>
      <c r="FK17" s="2656">
        <v>99194.510869119185</v>
      </c>
      <c r="FL17" s="2657"/>
    </row>
    <row r="18" spans="1:168" ht="16.5" customHeight="1" x14ac:dyDescent="0.3">
      <c r="A18" s="2658"/>
      <c r="B18" s="2662"/>
      <c r="C18" s="2659"/>
      <c r="D18" s="2659"/>
      <c r="E18" s="2659"/>
      <c r="F18" s="2659"/>
      <c r="G18" s="2659"/>
      <c r="H18" s="2659"/>
      <c r="I18" s="2659"/>
      <c r="J18" s="2659"/>
      <c r="K18" s="2659"/>
      <c r="L18" s="2659"/>
      <c r="M18" s="2659"/>
      <c r="N18" s="2659"/>
      <c r="O18" s="2659"/>
      <c r="P18" s="2659"/>
      <c r="Q18" s="2659"/>
      <c r="R18" s="2659"/>
      <c r="S18" s="2659"/>
      <c r="T18" s="2659"/>
      <c r="U18" s="2659"/>
      <c r="V18" s="2659"/>
      <c r="W18" s="2659"/>
      <c r="X18" s="2659"/>
      <c r="Y18" s="2659"/>
      <c r="Z18" s="2659"/>
      <c r="AA18" s="2659"/>
      <c r="AB18" s="2659"/>
      <c r="AC18" s="2659"/>
      <c r="AD18" s="2659"/>
      <c r="AE18" s="2659"/>
      <c r="AF18" s="2659"/>
      <c r="AG18" s="2659"/>
      <c r="AH18" s="2659"/>
      <c r="AI18" s="2659"/>
      <c r="AJ18" s="2659"/>
      <c r="AK18" s="2659"/>
      <c r="AL18" s="2659"/>
      <c r="AM18" s="2659"/>
      <c r="AN18" s="2659"/>
      <c r="AO18" s="2659"/>
      <c r="AP18" s="2659"/>
      <c r="AQ18" s="2659"/>
      <c r="AR18" s="2659"/>
      <c r="AS18" s="2659"/>
      <c r="AT18" s="2659"/>
      <c r="AU18" s="2659"/>
      <c r="AV18" s="2659"/>
      <c r="AW18" s="2659"/>
      <c r="AX18" s="2659"/>
      <c r="AY18" s="2659"/>
      <c r="AZ18" s="2659"/>
      <c r="BA18" s="2659"/>
      <c r="BB18" s="2659"/>
      <c r="BC18" s="2659"/>
      <c r="BD18" s="2659"/>
      <c r="BE18" s="2659"/>
      <c r="BF18" s="2659"/>
      <c r="BG18" s="2659"/>
      <c r="BH18" s="2659"/>
      <c r="BI18" s="2659"/>
      <c r="BJ18" s="2659"/>
      <c r="BK18" s="2659"/>
      <c r="BL18" s="2659"/>
      <c r="BM18" s="2659"/>
      <c r="BN18" s="2659"/>
      <c r="BO18" s="2659"/>
      <c r="BP18" s="2659"/>
      <c r="BQ18" s="2659"/>
      <c r="BR18" s="2659"/>
      <c r="BS18" s="2659"/>
      <c r="BT18" s="2659"/>
      <c r="BU18" s="2659"/>
      <c r="BV18" s="2659"/>
      <c r="BW18" s="2659"/>
      <c r="BX18" s="2659"/>
      <c r="BY18" s="2659"/>
      <c r="BZ18" s="2659"/>
      <c r="CA18" s="2659"/>
      <c r="CB18" s="2659"/>
      <c r="CC18" s="2659"/>
      <c r="CD18" s="2659"/>
      <c r="CE18" s="2659"/>
      <c r="CF18" s="2659"/>
      <c r="CG18" s="2659"/>
      <c r="CH18" s="2659"/>
      <c r="CI18" s="2659"/>
      <c r="CJ18" s="2659"/>
      <c r="CK18" s="2659"/>
      <c r="CL18" s="2659"/>
      <c r="CM18" s="2659"/>
      <c r="CN18" s="2659"/>
      <c r="CO18" s="2659"/>
      <c r="CP18" s="2659"/>
      <c r="CQ18" s="2659"/>
      <c r="CR18" s="2659"/>
      <c r="CS18" s="2659"/>
      <c r="CT18" s="2659"/>
      <c r="CU18" s="2659"/>
      <c r="CV18" s="2659"/>
      <c r="CW18" s="2659"/>
      <c r="CX18" s="2659"/>
      <c r="CY18" s="2659"/>
      <c r="CZ18" s="2659"/>
      <c r="DA18" s="2659"/>
      <c r="DB18" s="2659"/>
      <c r="DC18" s="2659"/>
      <c r="DD18" s="2659"/>
      <c r="DE18" s="2659"/>
      <c r="DF18" s="2659"/>
      <c r="DG18" s="2659"/>
      <c r="DH18" s="2659"/>
      <c r="DI18" s="2659"/>
      <c r="DJ18" s="2659"/>
      <c r="DK18" s="2659"/>
      <c r="DL18" s="2659"/>
      <c r="DM18" s="2659"/>
      <c r="DN18" s="2659"/>
      <c r="DO18" s="2659"/>
      <c r="DP18" s="2659"/>
      <c r="DQ18" s="2659"/>
      <c r="DR18" s="2659"/>
      <c r="DS18" s="2659"/>
      <c r="DT18" s="2659"/>
      <c r="DU18" s="2659"/>
      <c r="DV18" s="2659"/>
      <c r="DW18" s="2659"/>
      <c r="DX18" s="2659"/>
      <c r="DY18" s="2659"/>
      <c r="DZ18" s="2659"/>
      <c r="EA18" s="2659"/>
      <c r="EB18" s="2659"/>
      <c r="EC18" s="2659"/>
      <c r="ED18" s="2659"/>
      <c r="EE18" s="2659"/>
      <c r="EF18" s="2659"/>
      <c r="EG18" s="2659"/>
      <c r="EH18" s="2659"/>
      <c r="EI18" s="2659"/>
      <c r="EJ18" s="2659"/>
      <c r="EK18" s="2659"/>
      <c r="EL18" s="2659"/>
      <c r="EM18" s="2659"/>
      <c r="EN18" s="2659"/>
      <c r="EO18" s="2659"/>
      <c r="EP18" s="2659"/>
      <c r="EQ18" s="2659"/>
      <c r="ER18" s="2659"/>
      <c r="ES18" s="2659"/>
      <c r="ET18" s="2659"/>
      <c r="EU18" s="2659"/>
      <c r="EV18" s="2659"/>
      <c r="EW18" s="2659"/>
      <c r="EX18" s="2659"/>
      <c r="EY18" s="2659"/>
      <c r="EZ18" s="2659"/>
      <c r="FA18" s="2659"/>
      <c r="FB18" s="2659"/>
      <c r="FC18" s="2659"/>
      <c r="FD18" s="2659"/>
      <c r="FE18" s="2659"/>
      <c r="FF18" s="2659"/>
      <c r="FG18" s="2659"/>
      <c r="FH18" s="2659"/>
      <c r="FI18" s="2659"/>
      <c r="FJ18" s="2659"/>
      <c r="FK18" s="2659"/>
      <c r="FL18" s="2657"/>
    </row>
    <row r="19" spans="1:168" ht="16.5" customHeight="1" x14ac:dyDescent="0.3">
      <c r="A19" s="2655" t="s">
        <v>2525</v>
      </c>
      <c r="B19" s="2655" t="s">
        <v>2526</v>
      </c>
      <c r="C19" s="2656">
        <v>0</v>
      </c>
      <c r="D19" s="2656">
        <v>0</v>
      </c>
      <c r="E19" s="2656">
        <v>0</v>
      </c>
      <c r="F19" s="2656">
        <v>0</v>
      </c>
      <c r="G19" s="2656">
        <v>0</v>
      </c>
      <c r="H19" s="2656">
        <v>0</v>
      </c>
      <c r="I19" s="2656">
        <v>0</v>
      </c>
      <c r="J19" s="2656">
        <v>0</v>
      </c>
      <c r="K19" s="2656">
        <v>0</v>
      </c>
      <c r="L19" s="2656">
        <v>0</v>
      </c>
      <c r="M19" s="2656">
        <v>0</v>
      </c>
      <c r="N19" s="2656">
        <v>0</v>
      </c>
      <c r="O19" s="2656">
        <v>0</v>
      </c>
      <c r="P19" s="2656">
        <v>0</v>
      </c>
      <c r="Q19" s="2656">
        <v>0</v>
      </c>
      <c r="R19" s="2656">
        <v>0</v>
      </c>
      <c r="S19" s="2656">
        <v>0</v>
      </c>
      <c r="T19" s="2656">
        <v>0</v>
      </c>
      <c r="U19" s="2656">
        <v>0</v>
      </c>
      <c r="V19" s="2656">
        <v>0</v>
      </c>
      <c r="W19" s="2656">
        <v>0</v>
      </c>
      <c r="X19" s="2656">
        <v>0</v>
      </c>
      <c r="Y19" s="2656">
        <v>0</v>
      </c>
      <c r="Z19" s="2656">
        <v>0</v>
      </c>
      <c r="AA19" s="2656">
        <v>0</v>
      </c>
      <c r="AB19" s="2656">
        <v>0</v>
      </c>
      <c r="AC19" s="2656">
        <v>0</v>
      </c>
      <c r="AD19" s="2656">
        <v>0</v>
      </c>
      <c r="AE19" s="2656">
        <v>0</v>
      </c>
      <c r="AF19" s="2656">
        <v>0</v>
      </c>
      <c r="AG19" s="2656">
        <v>0</v>
      </c>
      <c r="AH19" s="2656">
        <v>0</v>
      </c>
      <c r="AI19" s="2656">
        <v>0</v>
      </c>
      <c r="AJ19" s="2656">
        <v>0</v>
      </c>
      <c r="AK19" s="2656">
        <v>0</v>
      </c>
      <c r="AL19" s="2656">
        <v>0</v>
      </c>
      <c r="AM19" s="2656">
        <v>0</v>
      </c>
      <c r="AN19" s="2656">
        <v>0</v>
      </c>
      <c r="AO19" s="2656">
        <v>0</v>
      </c>
      <c r="AP19" s="2656">
        <v>0</v>
      </c>
      <c r="AQ19" s="2656">
        <v>0</v>
      </c>
      <c r="AR19" s="2656">
        <v>0</v>
      </c>
      <c r="AS19" s="2656">
        <v>0</v>
      </c>
      <c r="AT19" s="2656">
        <v>0</v>
      </c>
      <c r="AU19" s="2656">
        <v>0</v>
      </c>
      <c r="AV19" s="2656">
        <v>0</v>
      </c>
      <c r="AW19" s="2656">
        <v>0</v>
      </c>
      <c r="AX19" s="2656">
        <v>0</v>
      </c>
      <c r="AY19" s="2656">
        <v>0</v>
      </c>
      <c r="AZ19" s="2656">
        <v>0</v>
      </c>
      <c r="BA19" s="2656">
        <v>0</v>
      </c>
      <c r="BB19" s="2656">
        <v>0</v>
      </c>
      <c r="BC19" s="2656">
        <v>0</v>
      </c>
      <c r="BD19" s="2656">
        <v>0</v>
      </c>
      <c r="BE19" s="2656">
        <v>0</v>
      </c>
      <c r="BF19" s="2656">
        <v>0</v>
      </c>
      <c r="BG19" s="2656">
        <v>0</v>
      </c>
      <c r="BH19" s="2656">
        <v>0</v>
      </c>
      <c r="BI19" s="2656">
        <v>0</v>
      </c>
      <c r="BJ19" s="2656">
        <v>0</v>
      </c>
      <c r="BK19" s="2656">
        <v>0</v>
      </c>
      <c r="BL19" s="2656">
        <v>0</v>
      </c>
      <c r="BM19" s="2656">
        <v>0</v>
      </c>
      <c r="BN19" s="2656">
        <v>0</v>
      </c>
      <c r="BO19" s="2656">
        <v>0</v>
      </c>
      <c r="BP19" s="2656">
        <v>0</v>
      </c>
      <c r="BQ19" s="2656">
        <v>0</v>
      </c>
      <c r="BR19" s="2656">
        <v>0</v>
      </c>
      <c r="BS19" s="2656">
        <v>0</v>
      </c>
      <c r="BT19" s="2656">
        <v>0</v>
      </c>
      <c r="BU19" s="2656">
        <v>0</v>
      </c>
      <c r="BV19" s="2656">
        <v>0</v>
      </c>
      <c r="BW19" s="2656">
        <v>0</v>
      </c>
      <c r="BX19" s="2656">
        <v>0</v>
      </c>
      <c r="BY19" s="2656">
        <v>0</v>
      </c>
      <c r="BZ19" s="2656">
        <v>0</v>
      </c>
      <c r="CA19" s="2656">
        <v>0</v>
      </c>
      <c r="CB19" s="2656">
        <v>0</v>
      </c>
      <c r="CC19" s="2656">
        <v>0</v>
      </c>
      <c r="CD19" s="2656">
        <v>0</v>
      </c>
      <c r="CE19" s="2656">
        <v>0</v>
      </c>
      <c r="CF19" s="2656">
        <v>0</v>
      </c>
      <c r="CG19" s="2656">
        <v>0</v>
      </c>
      <c r="CH19" s="2656">
        <v>0</v>
      </c>
      <c r="CI19" s="2656">
        <v>0</v>
      </c>
      <c r="CJ19" s="2656">
        <v>0</v>
      </c>
      <c r="CK19" s="2656">
        <v>0</v>
      </c>
      <c r="CL19" s="2656">
        <v>0</v>
      </c>
      <c r="CM19" s="2656">
        <v>0</v>
      </c>
      <c r="CN19" s="2656">
        <v>0</v>
      </c>
      <c r="CO19" s="2656">
        <v>0</v>
      </c>
      <c r="CP19" s="2656">
        <v>0</v>
      </c>
      <c r="CQ19" s="2656">
        <v>0</v>
      </c>
      <c r="CR19" s="2656">
        <v>0</v>
      </c>
      <c r="CS19" s="2656">
        <v>0</v>
      </c>
      <c r="CT19" s="2656">
        <v>0</v>
      </c>
      <c r="CU19" s="2656">
        <v>0</v>
      </c>
      <c r="CV19" s="2656">
        <v>0</v>
      </c>
      <c r="CW19" s="2656">
        <v>0</v>
      </c>
      <c r="CX19" s="2656">
        <v>0</v>
      </c>
      <c r="CY19" s="2656">
        <v>0</v>
      </c>
      <c r="CZ19" s="2656">
        <v>0</v>
      </c>
      <c r="DA19" s="2656">
        <v>0</v>
      </c>
      <c r="DB19" s="2656">
        <v>0</v>
      </c>
      <c r="DC19" s="2656">
        <v>0</v>
      </c>
      <c r="DD19" s="2656">
        <v>0</v>
      </c>
      <c r="DE19" s="2656">
        <v>0</v>
      </c>
      <c r="DF19" s="2656">
        <v>0</v>
      </c>
      <c r="DG19" s="2656">
        <v>0</v>
      </c>
      <c r="DH19" s="2656">
        <v>0</v>
      </c>
      <c r="DI19" s="2656">
        <v>0</v>
      </c>
      <c r="DJ19" s="2656">
        <v>0</v>
      </c>
      <c r="DK19" s="2656">
        <v>0</v>
      </c>
      <c r="DL19" s="2656">
        <v>0</v>
      </c>
      <c r="DM19" s="2656">
        <v>0</v>
      </c>
      <c r="DN19" s="2656">
        <v>0</v>
      </c>
      <c r="DO19" s="2656">
        <v>0</v>
      </c>
      <c r="DP19" s="2656">
        <v>0</v>
      </c>
      <c r="DQ19" s="2656">
        <v>0</v>
      </c>
      <c r="DR19" s="2656">
        <v>0</v>
      </c>
      <c r="DS19" s="2656">
        <v>0</v>
      </c>
      <c r="DT19" s="2656">
        <v>0</v>
      </c>
      <c r="DU19" s="2656">
        <v>0</v>
      </c>
      <c r="DV19" s="2656">
        <v>0</v>
      </c>
      <c r="DW19" s="2656">
        <v>0</v>
      </c>
      <c r="DX19" s="2656">
        <v>0</v>
      </c>
      <c r="DY19" s="2656">
        <v>0</v>
      </c>
      <c r="DZ19" s="2656">
        <v>0</v>
      </c>
      <c r="EA19" s="2656">
        <v>0</v>
      </c>
      <c r="EB19" s="2656">
        <v>0</v>
      </c>
      <c r="EC19" s="2656">
        <v>0</v>
      </c>
      <c r="ED19" s="2656">
        <v>0</v>
      </c>
      <c r="EE19" s="2656">
        <v>0</v>
      </c>
      <c r="EF19" s="2656">
        <v>0</v>
      </c>
      <c r="EG19" s="2656">
        <v>0</v>
      </c>
      <c r="EH19" s="2656">
        <v>0</v>
      </c>
      <c r="EI19" s="2656">
        <v>0</v>
      </c>
      <c r="EJ19" s="2656">
        <v>0</v>
      </c>
      <c r="EK19" s="2656">
        <v>0</v>
      </c>
      <c r="EL19" s="2656">
        <v>0</v>
      </c>
      <c r="EM19" s="2656">
        <v>0</v>
      </c>
      <c r="EN19" s="2656">
        <v>0</v>
      </c>
      <c r="EO19" s="2656">
        <v>0</v>
      </c>
      <c r="EP19" s="2656">
        <v>0</v>
      </c>
      <c r="EQ19" s="2656">
        <v>0</v>
      </c>
      <c r="ER19" s="2656">
        <v>0</v>
      </c>
      <c r="ES19" s="2656">
        <v>0</v>
      </c>
      <c r="ET19" s="2656">
        <v>0</v>
      </c>
      <c r="EU19" s="2656">
        <v>0</v>
      </c>
      <c r="EV19" s="2656">
        <v>0</v>
      </c>
      <c r="EW19" s="2656">
        <v>0</v>
      </c>
      <c r="EX19" s="2656">
        <v>0</v>
      </c>
      <c r="EY19" s="2656">
        <v>0</v>
      </c>
      <c r="EZ19" s="2656">
        <v>0</v>
      </c>
      <c r="FA19" s="2656">
        <v>0</v>
      </c>
      <c r="FB19" s="2656">
        <v>0</v>
      </c>
      <c r="FC19" s="2656">
        <v>0</v>
      </c>
      <c r="FD19" s="2656">
        <v>0</v>
      </c>
      <c r="FE19" s="2656">
        <v>0</v>
      </c>
      <c r="FF19" s="2656">
        <v>0</v>
      </c>
      <c r="FG19" s="2656">
        <v>0</v>
      </c>
      <c r="FH19" s="2656">
        <v>0</v>
      </c>
      <c r="FI19" s="2656">
        <v>0</v>
      </c>
      <c r="FJ19" s="2656">
        <v>0</v>
      </c>
      <c r="FK19" s="2656">
        <v>0</v>
      </c>
      <c r="FL19" s="2657"/>
    </row>
    <row r="20" spans="1:168" ht="16.5" customHeight="1" x14ac:dyDescent="0.3">
      <c r="A20" s="2658"/>
      <c r="B20" s="2658"/>
      <c r="C20" s="2659"/>
      <c r="D20" s="2659"/>
      <c r="E20" s="2659"/>
      <c r="F20" s="2659"/>
      <c r="G20" s="2659"/>
      <c r="H20" s="2659"/>
      <c r="I20" s="2659"/>
      <c r="J20" s="2659"/>
      <c r="K20" s="2659"/>
      <c r="L20" s="2659"/>
      <c r="M20" s="2659"/>
      <c r="N20" s="2659"/>
      <c r="O20" s="2659"/>
      <c r="P20" s="2659"/>
      <c r="Q20" s="2659"/>
      <c r="R20" s="2659"/>
      <c r="S20" s="2659"/>
      <c r="T20" s="2659"/>
      <c r="U20" s="2659"/>
      <c r="V20" s="2659"/>
      <c r="W20" s="2659"/>
      <c r="X20" s="2659"/>
      <c r="Y20" s="2659"/>
      <c r="Z20" s="2659"/>
      <c r="AA20" s="2659"/>
      <c r="AB20" s="2659"/>
      <c r="AC20" s="2659"/>
      <c r="AD20" s="2659"/>
      <c r="AE20" s="2659"/>
      <c r="AF20" s="2659"/>
      <c r="AG20" s="2659"/>
      <c r="AH20" s="2659"/>
      <c r="AI20" s="2659"/>
      <c r="AJ20" s="2659"/>
      <c r="AK20" s="2659"/>
      <c r="AL20" s="2659"/>
      <c r="AM20" s="2659"/>
      <c r="AN20" s="2659"/>
      <c r="AO20" s="2659"/>
      <c r="AP20" s="2659"/>
      <c r="AQ20" s="2659"/>
      <c r="AR20" s="2659"/>
      <c r="AS20" s="2659"/>
      <c r="AT20" s="2659"/>
      <c r="AU20" s="2659"/>
      <c r="AV20" s="2659"/>
      <c r="AW20" s="2659"/>
      <c r="AX20" s="2659"/>
      <c r="AY20" s="2659"/>
      <c r="AZ20" s="2659"/>
      <c r="BA20" s="2659"/>
      <c r="BB20" s="2659"/>
      <c r="BC20" s="2659"/>
      <c r="BD20" s="2659"/>
      <c r="BE20" s="2659"/>
      <c r="BF20" s="2659"/>
      <c r="BG20" s="2659"/>
      <c r="BH20" s="2659"/>
      <c r="BI20" s="2659"/>
      <c r="BJ20" s="2659"/>
      <c r="BK20" s="2659"/>
      <c r="BL20" s="2659"/>
      <c r="BM20" s="2659"/>
      <c r="BN20" s="2659"/>
      <c r="BO20" s="2659"/>
      <c r="BP20" s="2659"/>
      <c r="BQ20" s="2659"/>
      <c r="BR20" s="2659"/>
      <c r="BS20" s="2659"/>
      <c r="BT20" s="2659"/>
      <c r="BU20" s="2659"/>
      <c r="BV20" s="2659"/>
      <c r="BW20" s="2659"/>
      <c r="BX20" s="2659"/>
      <c r="BY20" s="2659"/>
      <c r="BZ20" s="2659"/>
      <c r="CA20" s="2659"/>
      <c r="CB20" s="2659"/>
      <c r="CC20" s="2659"/>
      <c r="CD20" s="2659"/>
      <c r="CE20" s="2659"/>
      <c r="CF20" s="2659"/>
      <c r="CG20" s="2659"/>
      <c r="CH20" s="2659"/>
      <c r="CI20" s="2659"/>
      <c r="CJ20" s="2659"/>
      <c r="CK20" s="2659"/>
      <c r="CL20" s="2659"/>
      <c r="CM20" s="2659"/>
      <c r="CN20" s="2659"/>
      <c r="CO20" s="2659"/>
      <c r="CP20" s="2659"/>
      <c r="CQ20" s="2659"/>
      <c r="CR20" s="2659"/>
      <c r="CS20" s="2659"/>
      <c r="CT20" s="2659"/>
      <c r="CU20" s="2659"/>
      <c r="CV20" s="2659"/>
      <c r="CW20" s="2659"/>
      <c r="CX20" s="2659"/>
      <c r="CY20" s="2659"/>
      <c r="CZ20" s="2659"/>
      <c r="DA20" s="2659"/>
      <c r="DB20" s="2659"/>
      <c r="DC20" s="2659"/>
      <c r="DD20" s="2659"/>
      <c r="DE20" s="2659"/>
      <c r="DF20" s="2659"/>
      <c r="DG20" s="2659"/>
      <c r="DH20" s="2659"/>
      <c r="DI20" s="2659"/>
      <c r="DJ20" s="2659"/>
      <c r="DK20" s="2659"/>
      <c r="DL20" s="2659"/>
      <c r="DM20" s="2659"/>
      <c r="DN20" s="2659"/>
      <c r="DO20" s="2659"/>
      <c r="DP20" s="2659"/>
      <c r="DQ20" s="2659"/>
      <c r="DR20" s="2659"/>
      <c r="DS20" s="2659"/>
      <c r="DT20" s="2659"/>
      <c r="DU20" s="2659"/>
      <c r="DV20" s="2659"/>
      <c r="DW20" s="2659"/>
      <c r="DX20" s="2659"/>
      <c r="DY20" s="2659"/>
      <c r="DZ20" s="2659"/>
      <c r="EA20" s="2659"/>
      <c r="EB20" s="2659"/>
      <c r="EC20" s="2659"/>
      <c r="ED20" s="2659"/>
      <c r="EE20" s="2659"/>
      <c r="EF20" s="2659"/>
      <c r="EG20" s="2659"/>
      <c r="EH20" s="2659"/>
      <c r="EI20" s="2659"/>
      <c r="EJ20" s="2659"/>
      <c r="EK20" s="2659"/>
      <c r="EL20" s="2659"/>
      <c r="EM20" s="2659"/>
      <c r="EN20" s="2659"/>
      <c r="EO20" s="2659"/>
      <c r="EP20" s="2659"/>
      <c r="EQ20" s="2659"/>
      <c r="ER20" s="2659"/>
      <c r="ES20" s="2659"/>
      <c r="ET20" s="2659"/>
      <c r="EU20" s="2659"/>
      <c r="EV20" s="2659"/>
      <c r="EW20" s="2659"/>
      <c r="EX20" s="2659"/>
      <c r="EY20" s="2659"/>
      <c r="EZ20" s="2659"/>
      <c r="FA20" s="2659"/>
      <c r="FB20" s="2659"/>
      <c r="FC20" s="2659"/>
      <c r="FD20" s="2659"/>
      <c r="FE20" s="2659"/>
      <c r="FF20" s="2659"/>
      <c r="FG20" s="2659"/>
      <c r="FH20" s="2659"/>
      <c r="FI20" s="2659"/>
      <c r="FJ20" s="2659"/>
      <c r="FK20" s="2659"/>
      <c r="FL20" s="2657"/>
    </row>
    <row r="21" spans="1:168" ht="16.5" customHeight="1" x14ac:dyDescent="0.3">
      <c r="A21" s="2655" t="s">
        <v>2527</v>
      </c>
      <c r="B21" s="2655" t="s">
        <v>2528</v>
      </c>
      <c r="C21" s="2656">
        <v>0</v>
      </c>
      <c r="D21" s="2656">
        <v>0</v>
      </c>
      <c r="E21" s="2656">
        <v>0</v>
      </c>
      <c r="F21" s="2656">
        <v>0</v>
      </c>
      <c r="G21" s="2656">
        <v>0</v>
      </c>
      <c r="H21" s="2656">
        <v>0</v>
      </c>
      <c r="I21" s="2656">
        <v>0</v>
      </c>
      <c r="J21" s="2656">
        <v>0</v>
      </c>
      <c r="K21" s="2656">
        <v>0</v>
      </c>
      <c r="L21" s="2656">
        <v>0</v>
      </c>
      <c r="M21" s="2656">
        <v>0</v>
      </c>
      <c r="N21" s="2656">
        <v>0</v>
      </c>
      <c r="O21" s="2656">
        <v>0</v>
      </c>
      <c r="P21" s="2656">
        <v>0</v>
      </c>
      <c r="Q21" s="2656">
        <v>0</v>
      </c>
      <c r="R21" s="2656">
        <v>0</v>
      </c>
      <c r="S21" s="2656">
        <v>0</v>
      </c>
      <c r="T21" s="2656">
        <v>0</v>
      </c>
      <c r="U21" s="2656">
        <v>0</v>
      </c>
      <c r="V21" s="2656">
        <v>0</v>
      </c>
      <c r="W21" s="2656">
        <v>0</v>
      </c>
      <c r="X21" s="2656">
        <v>0</v>
      </c>
      <c r="Y21" s="2656">
        <v>0</v>
      </c>
      <c r="Z21" s="2656">
        <v>0</v>
      </c>
      <c r="AA21" s="2656">
        <v>0</v>
      </c>
      <c r="AB21" s="2656">
        <v>0</v>
      </c>
      <c r="AC21" s="2656">
        <v>0</v>
      </c>
      <c r="AD21" s="2656">
        <v>0</v>
      </c>
      <c r="AE21" s="2656">
        <v>0</v>
      </c>
      <c r="AF21" s="2656">
        <v>0</v>
      </c>
      <c r="AG21" s="2656">
        <v>0</v>
      </c>
      <c r="AH21" s="2656">
        <v>0</v>
      </c>
      <c r="AI21" s="2656">
        <v>0</v>
      </c>
      <c r="AJ21" s="2656">
        <v>0</v>
      </c>
      <c r="AK21" s="2656">
        <v>0</v>
      </c>
      <c r="AL21" s="2656">
        <v>0</v>
      </c>
      <c r="AM21" s="2656">
        <v>0</v>
      </c>
      <c r="AN21" s="2656">
        <v>0</v>
      </c>
      <c r="AO21" s="2656">
        <v>0</v>
      </c>
      <c r="AP21" s="2656">
        <v>0</v>
      </c>
      <c r="AQ21" s="2656">
        <v>0</v>
      </c>
      <c r="AR21" s="2656">
        <v>0</v>
      </c>
      <c r="AS21" s="2656">
        <v>0</v>
      </c>
      <c r="AT21" s="2656">
        <v>0</v>
      </c>
      <c r="AU21" s="2656">
        <v>0</v>
      </c>
      <c r="AV21" s="2656">
        <v>0</v>
      </c>
      <c r="AW21" s="2656">
        <v>0</v>
      </c>
      <c r="AX21" s="2656">
        <v>0</v>
      </c>
      <c r="AY21" s="2656">
        <v>0</v>
      </c>
      <c r="AZ21" s="2656">
        <v>0</v>
      </c>
      <c r="BA21" s="2656">
        <v>0</v>
      </c>
      <c r="BB21" s="2656">
        <v>0</v>
      </c>
      <c r="BC21" s="2656">
        <v>0</v>
      </c>
      <c r="BD21" s="2656">
        <v>0</v>
      </c>
      <c r="BE21" s="2656">
        <v>0</v>
      </c>
      <c r="BF21" s="2656">
        <v>0</v>
      </c>
      <c r="BG21" s="2656">
        <v>0</v>
      </c>
      <c r="BH21" s="2656">
        <v>0</v>
      </c>
      <c r="BI21" s="2656">
        <v>0</v>
      </c>
      <c r="BJ21" s="2656">
        <v>0</v>
      </c>
      <c r="BK21" s="2656">
        <v>0</v>
      </c>
      <c r="BL21" s="2656">
        <v>0</v>
      </c>
      <c r="BM21" s="2656">
        <v>0</v>
      </c>
      <c r="BN21" s="2656">
        <v>0</v>
      </c>
      <c r="BO21" s="2656">
        <v>0</v>
      </c>
      <c r="BP21" s="2656">
        <v>0</v>
      </c>
      <c r="BQ21" s="2656">
        <v>0</v>
      </c>
      <c r="BR21" s="2656">
        <v>0</v>
      </c>
      <c r="BS21" s="2656">
        <v>0</v>
      </c>
      <c r="BT21" s="2656">
        <v>0</v>
      </c>
      <c r="BU21" s="2656">
        <v>0</v>
      </c>
      <c r="BV21" s="2656">
        <v>0</v>
      </c>
      <c r="BW21" s="2656">
        <v>0</v>
      </c>
      <c r="BX21" s="2656">
        <v>0</v>
      </c>
      <c r="BY21" s="2656">
        <v>0</v>
      </c>
      <c r="BZ21" s="2656">
        <v>0</v>
      </c>
      <c r="CA21" s="2656">
        <v>0</v>
      </c>
      <c r="CB21" s="2656">
        <v>0</v>
      </c>
      <c r="CC21" s="2656">
        <v>0</v>
      </c>
      <c r="CD21" s="2656">
        <v>0</v>
      </c>
      <c r="CE21" s="2656">
        <v>0</v>
      </c>
      <c r="CF21" s="2656">
        <v>0</v>
      </c>
      <c r="CG21" s="2656">
        <v>0</v>
      </c>
      <c r="CH21" s="2656">
        <v>0</v>
      </c>
      <c r="CI21" s="2656">
        <v>0</v>
      </c>
      <c r="CJ21" s="2656">
        <v>0</v>
      </c>
      <c r="CK21" s="2656">
        <v>0</v>
      </c>
      <c r="CL21" s="2656">
        <v>0</v>
      </c>
      <c r="CM21" s="2656">
        <v>0</v>
      </c>
      <c r="CN21" s="2656">
        <v>0</v>
      </c>
      <c r="CO21" s="2656">
        <v>0</v>
      </c>
      <c r="CP21" s="2656">
        <v>0</v>
      </c>
      <c r="CQ21" s="2656">
        <v>0</v>
      </c>
      <c r="CR21" s="2656">
        <v>0</v>
      </c>
      <c r="CS21" s="2656">
        <v>0</v>
      </c>
      <c r="CT21" s="2656">
        <v>0</v>
      </c>
      <c r="CU21" s="2656">
        <v>0</v>
      </c>
      <c r="CV21" s="2656">
        <v>0</v>
      </c>
      <c r="CW21" s="2656">
        <v>0</v>
      </c>
      <c r="CX21" s="2656">
        <v>0</v>
      </c>
      <c r="CY21" s="2656">
        <v>0</v>
      </c>
      <c r="CZ21" s="2656">
        <v>0</v>
      </c>
      <c r="DA21" s="2656">
        <v>0</v>
      </c>
      <c r="DB21" s="2656">
        <v>0</v>
      </c>
      <c r="DC21" s="2656">
        <v>0</v>
      </c>
      <c r="DD21" s="2656">
        <v>0</v>
      </c>
      <c r="DE21" s="2656">
        <v>0</v>
      </c>
      <c r="DF21" s="2656">
        <v>0</v>
      </c>
      <c r="DG21" s="2656">
        <v>0</v>
      </c>
      <c r="DH21" s="2656">
        <v>0</v>
      </c>
      <c r="DI21" s="2656">
        <v>0</v>
      </c>
      <c r="DJ21" s="2656">
        <v>0</v>
      </c>
      <c r="DK21" s="2656">
        <v>0</v>
      </c>
      <c r="DL21" s="2656">
        <v>0</v>
      </c>
      <c r="DM21" s="2656">
        <v>0</v>
      </c>
      <c r="DN21" s="2656">
        <v>0</v>
      </c>
      <c r="DO21" s="2656">
        <v>0</v>
      </c>
      <c r="DP21" s="2656">
        <v>0</v>
      </c>
      <c r="DQ21" s="2656">
        <v>0</v>
      </c>
      <c r="DR21" s="2656">
        <v>0</v>
      </c>
      <c r="DS21" s="2656">
        <v>0</v>
      </c>
      <c r="DT21" s="2656">
        <v>0</v>
      </c>
      <c r="DU21" s="2656">
        <v>0</v>
      </c>
      <c r="DV21" s="2656">
        <v>0</v>
      </c>
      <c r="DW21" s="2656">
        <v>0</v>
      </c>
      <c r="DX21" s="2656">
        <v>0</v>
      </c>
      <c r="DY21" s="2656">
        <v>0</v>
      </c>
      <c r="DZ21" s="2656">
        <v>0</v>
      </c>
      <c r="EA21" s="2656">
        <v>0</v>
      </c>
      <c r="EB21" s="2656">
        <v>0</v>
      </c>
      <c r="EC21" s="2656">
        <v>0</v>
      </c>
      <c r="ED21" s="2656">
        <v>0</v>
      </c>
      <c r="EE21" s="2656">
        <v>0</v>
      </c>
      <c r="EF21" s="2656">
        <v>0</v>
      </c>
      <c r="EG21" s="2656">
        <v>0</v>
      </c>
      <c r="EH21" s="2656">
        <v>0</v>
      </c>
      <c r="EI21" s="2656">
        <v>0</v>
      </c>
      <c r="EJ21" s="2656">
        <v>0</v>
      </c>
      <c r="EK21" s="2656">
        <v>0</v>
      </c>
      <c r="EL21" s="2656">
        <v>0</v>
      </c>
      <c r="EM21" s="2656">
        <v>0</v>
      </c>
      <c r="EN21" s="2656">
        <v>0</v>
      </c>
      <c r="EO21" s="2656">
        <v>0</v>
      </c>
      <c r="EP21" s="2656">
        <v>0</v>
      </c>
      <c r="EQ21" s="2656">
        <v>0</v>
      </c>
      <c r="ER21" s="2656">
        <v>0</v>
      </c>
      <c r="ES21" s="2656">
        <v>0</v>
      </c>
      <c r="ET21" s="2656">
        <v>0</v>
      </c>
      <c r="EU21" s="2656">
        <v>0</v>
      </c>
      <c r="EV21" s="2656">
        <v>0</v>
      </c>
      <c r="EW21" s="2656">
        <v>0</v>
      </c>
      <c r="EX21" s="2656">
        <v>0</v>
      </c>
      <c r="EY21" s="2656">
        <v>0</v>
      </c>
      <c r="EZ21" s="2656">
        <v>0</v>
      </c>
      <c r="FA21" s="2656">
        <v>0</v>
      </c>
      <c r="FB21" s="2656">
        <v>0</v>
      </c>
      <c r="FC21" s="2656">
        <v>0</v>
      </c>
      <c r="FD21" s="2656">
        <v>0</v>
      </c>
      <c r="FE21" s="2656">
        <v>0</v>
      </c>
      <c r="FF21" s="2656">
        <v>0</v>
      </c>
      <c r="FG21" s="2656">
        <v>0</v>
      </c>
      <c r="FH21" s="2656">
        <v>0</v>
      </c>
      <c r="FI21" s="2656">
        <v>0</v>
      </c>
      <c r="FJ21" s="2656">
        <v>0</v>
      </c>
      <c r="FK21" s="2656">
        <v>0</v>
      </c>
      <c r="FL21" s="2657"/>
    </row>
    <row r="22" spans="1:168" ht="16.5" customHeight="1" x14ac:dyDescent="0.3">
      <c r="A22" s="2658"/>
      <c r="B22" s="2658"/>
      <c r="C22" s="2659"/>
      <c r="D22" s="2659"/>
      <c r="E22" s="2659"/>
      <c r="F22" s="2659"/>
      <c r="G22" s="2659"/>
      <c r="H22" s="2659"/>
      <c r="I22" s="2659"/>
      <c r="J22" s="2659"/>
      <c r="K22" s="2659"/>
      <c r="L22" s="2659"/>
      <c r="M22" s="2659"/>
      <c r="N22" s="2659"/>
      <c r="O22" s="2659"/>
      <c r="P22" s="2659"/>
      <c r="Q22" s="2659"/>
      <c r="R22" s="2659"/>
      <c r="S22" s="2659"/>
      <c r="T22" s="2659"/>
      <c r="U22" s="2659"/>
      <c r="V22" s="2659"/>
      <c r="W22" s="2659"/>
      <c r="X22" s="2659"/>
      <c r="Y22" s="2659"/>
      <c r="Z22" s="2659"/>
      <c r="AA22" s="2659"/>
      <c r="AB22" s="2659"/>
      <c r="AC22" s="2659"/>
      <c r="AD22" s="2659"/>
      <c r="AE22" s="2659"/>
      <c r="AF22" s="2659"/>
      <c r="AG22" s="2659"/>
      <c r="AH22" s="2659"/>
      <c r="AI22" s="2659"/>
      <c r="AJ22" s="2659"/>
      <c r="AK22" s="2659"/>
      <c r="AL22" s="2659"/>
      <c r="AM22" s="2659"/>
      <c r="AN22" s="2659"/>
      <c r="AO22" s="2659"/>
      <c r="AP22" s="2659"/>
      <c r="AQ22" s="2659"/>
      <c r="AR22" s="2659"/>
      <c r="AS22" s="2659"/>
      <c r="AT22" s="2659"/>
      <c r="AU22" s="2659"/>
      <c r="AV22" s="2659"/>
      <c r="AW22" s="2659"/>
      <c r="AX22" s="2659"/>
      <c r="AY22" s="2659"/>
      <c r="AZ22" s="2659"/>
      <c r="BA22" s="2659"/>
      <c r="BB22" s="2659"/>
      <c r="BC22" s="2659"/>
      <c r="BD22" s="2659"/>
      <c r="BE22" s="2659"/>
      <c r="BF22" s="2659"/>
      <c r="BG22" s="2659"/>
      <c r="BH22" s="2659"/>
      <c r="BI22" s="2659"/>
      <c r="BJ22" s="2659"/>
      <c r="BK22" s="2659"/>
      <c r="BL22" s="2659"/>
      <c r="BM22" s="2659"/>
      <c r="BN22" s="2659"/>
      <c r="BO22" s="2659"/>
      <c r="BP22" s="2659"/>
      <c r="BQ22" s="2659"/>
      <c r="BR22" s="2659"/>
      <c r="BS22" s="2659"/>
      <c r="BT22" s="2659"/>
      <c r="BU22" s="2659"/>
      <c r="BV22" s="2659"/>
      <c r="BW22" s="2659"/>
      <c r="BX22" s="2659"/>
      <c r="BY22" s="2659"/>
      <c r="BZ22" s="2659"/>
      <c r="CA22" s="2659"/>
      <c r="CB22" s="2659"/>
      <c r="CC22" s="2659"/>
      <c r="CD22" s="2659"/>
      <c r="CE22" s="2659"/>
      <c r="CF22" s="2659"/>
      <c r="CG22" s="2659"/>
      <c r="CH22" s="2659"/>
      <c r="CI22" s="2659"/>
      <c r="CJ22" s="2659"/>
      <c r="CK22" s="2659"/>
      <c r="CL22" s="2659"/>
      <c r="CM22" s="2659"/>
      <c r="CN22" s="2659"/>
      <c r="CO22" s="2659"/>
      <c r="CP22" s="2659"/>
      <c r="CQ22" s="2659"/>
      <c r="CR22" s="2659"/>
      <c r="CS22" s="2659"/>
      <c r="CT22" s="2659"/>
      <c r="CU22" s="2659"/>
      <c r="CV22" s="2659"/>
      <c r="CW22" s="2659"/>
      <c r="CX22" s="2659"/>
      <c r="CY22" s="2659"/>
      <c r="CZ22" s="2659"/>
      <c r="DA22" s="2659"/>
      <c r="DB22" s="2659"/>
      <c r="DC22" s="2659"/>
      <c r="DD22" s="2659"/>
      <c r="DE22" s="2659"/>
      <c r="DF22" s="2659"/>
      <c r="DG22" s="2659"/>
      <c r="DH22" s="2659"/>
      <c r="DI22" s="2659"/>
      <c r="DJ22" s="2659"/>
      <c r="DK22" s="2659"/>
      <c r="DL22" s="2659"/>
      <c r="DM22" s="2659"/>
      <c r="DN22" s="2659"/>
      <c r="DO22" s="2659"/>
      <c r="DP22" s="2659"/>
      <c r="DQ22" s="2659"/>
      <c r="DR22" s="2659"/>
      <c r="DS22" s="2659"/>
      <c r="DT22" s="2659"/>
      <c r="DU22" s="2659"/>
      <c r="DV22" s="2659"/>
      <c r="DW22" s="2659"/>
      <c r="DX22" s="2659"/>
      <c r="DY22" s="2659"/>
      <c r="DZ22" s="2659"/>
      <c r="EA22" s="2659"/>
      <c r="EB22" s="2659"/>
      <c r="EC22" s="2659"/>
      <c r="ED22" s="2659"/>
      <c r="EE22" s="2659"/>
      <c r="EF22" s="2659"/>
      <c r="EG22" s="2659"/>
      <c r="EH22" s="2659"/>
      <c r="EI22" s="2659"/>
      <c r="EJ22" s="2659"/>
      <c r="EK22" s="2659"/>
      <c r="EL22" s="2659"/>
      <c r="EM22" s="2659"/>
      <c r="EN22" s="2659"/>
      <c r="EO22" s="2659"/>
      <c r="EP22" s="2659"/>
      <c r="EQ22" s="2659"/>
      <c r="ER22" s="2659"/>
      <c r="ES22" s="2659"/>
      <c r="ET22" s="2659"/>
      <c r="EU22" s="2659"/>
      <c r="EV22" s="2659"/>
      <c r="EW22" s="2659"/>
      <c r="EX22" s="2659"/>
      <c r="EY22" s="2659"/>
      <c r="EZ22" s="2659"/>
      <c r="FA22" s="2659"/>
      <c r="FB22" s="2659"/>
      <c r="FC22" s="2659"/>
      <c r="FD22" s="2659"/>
      <c r="FE22" s="2659"/>
      <c r="FF22" s="2659"/>
      <c r="FG22" s="2659"/>
      <c r="FH22" s="2659"/>
      <c r="FI22" s="2659"/>
      <c r="FJ22" s="2659"/>
      <c r="FK22" s="2659"/>
      <c r="FL22" s="2657"/>
    </row>
    <row r="23" spans="1:168" ht="16.5" customHeight="1" x14ac:dyDescent="0.3">
      <c r="A23" s="2655" t="s">
        <v>2529</v>
      </c>
      <c r="B23" s="2655" t="s">
        <v>2530</v>
      </c>
      <c r="C23" s="2656">
        <v>100.87174853000002</v>
      </c>
      <c r="D23" s="2656">
        <v>61.454897129999992</v>
      </c>
      <c r="E23" s="2656">
        <v>161.37574275</v>
      </c>
      <c r="F23" s="2656">
        <v>34.115845870000001</v>
      </c>
      <c r="G23" s="2656">
        <v>104.31416644999999</v>
      </c>
      <c r="H23" s="2656">
        <v>94.826760669999999</v>
      </c>
      <c r="I23" s="2656">
        <v>117.08089912000001</v>
      </c>
      <c r="J23" s="2656">
        <v>17.912021249999999</v>
      </c>
      <c r="K23" s="2656">
        <v>223.52273242999996</v>
      </c>
      <c r="L23" s="2656">
        <v>154.10795172999997</v>
      </c>
      <c r="M23" s="2656">
        <v>155.91394252999999</v>
      </c>
      <c r="N23" s="2656">
        <v>172.57112454999998</v>
      </c>
      <c r="O23" s="2656">
        <v>415.07645757999995</v>
      </c>
      <c r="P23" s="2656">
        <v>143.73269343999999</v>
      </c>
      <c r="Q23" s="2656">
        <v>198.36355931999998</v>
      </c>
      <c r="R23" s="2656">
        <v>270.89756561000002</v>
      </c>
      <c r="S23" s="2656">
        <v>262.07020447999997</v>
      </c>
      <c r="T23" s="2656">
        <v>89.969799440000003</v>
      </c>
      <c r="U23" s="2656">
        <v>40.614643090000001</v>
      </c>
      <c r="V23" s="2656">
        <v>102.21225756</v>
      </c>
      <c r="W23" s="2656">
        <v>26.833478599999999</v>
      </c>
      <c r="X23" s="2656">
        <v>108.75771674999999</v>
      </c>
      <c r="Y23" s="2656">
        <v>127.08106000000001</v>
      </c>
      <c r="Z23" s="2656">
        <v>81.813073779999996</v>
      </c>
      <c r="AA23" s="2656">
        <v>181.16817865000002</v>
      </c>
      <c r="AB23" s="2656">
        <v>152.61813896000001</v>
      </c>
      <c r="AC23" s="2656">
        <v>208.72010127999999</v>
      </c>
      <c r="AD23" s="2656">
        <v>190.56597326999997</v>
      </c>
      <c r="AE23" s="2656">
        <v>276.53585465000003</v>
      </c>
      <c r="AF23" s="2656">
        <v>58.611248670000002</v>
      </c>
      <c r="AG23" s="2656">
        <v>151.15780359000001</v>
      </c>
      <c r="AH23" s="2656">
        <v>73.411701520000008</v>
      </c>
      <c r="AI23" s="2656">
        <v>111.50296273000001</v>
      </c>
      <c r="AJ23" s="2656">
        <v>107.42566719000001</v>
      </c>
      <c r="AK23" s="2656">
        <v>66.706140189999999</v>
      </c>
      <c r="AL23" s="2656">
        <v>130.50753857999999</v>
      </c>
      <c r="AM23" s="2656">
        <v>122.77166274</v>
      </c>
      <c r="AN23" s="2656">
        <v>117.70602724</v>
      </c>
      <c r="AO23" s="2656">
        <v>138.89641939000001</v>
      </c>
      <c r="AP23" s="2656">
        <v>206.63082968000001</v>
      </c>
      <c r="AQ23" s="2656">
        <v>116.23946946000001</v>
      </c>
      <c r="AR23" s="2656">
        <v>239.12644954999999</v>
      </c>
      <c r="AS23" s="2656">
        <v>178.50329379000001</v>
      </c>
      <c r="AT23" s="2656">
        <v>302.47471422000001</v>
      </c>
      <c r="AU23" s="2656">
        <v>180.52413272000001</v>
      </c>
      <c r="AV23" s="2656">
        <v>201.58305669999999</v>
      </c>
      <c r="AW23" s="2656">
        <v>225.20497719999995</v>
      </c>
      <c r="AX23" s="2656">
        <v>334.10311827999999</v>
      </c>
      <c r="AY23" s="2656">
        <v>252.25339766999997</v>
      </c>
      <c r="AZ23" s="2656">
        <v>203.01427069000002</v>
      </c>
      <c r="BA23" s="2656">
        <v>290.38413364999997</v>
      </c>
      <c r="BB23" s="2656">
        <v>155.35301681999999</v>
      </c>
      <c r="BC23" s="2656">
        <v>155.59944632999998</v>
      </c>
      <c r="BD23" s="2656">
        <v>264.22527162</v>
      </c>
      <c r="BE23" s="2656">
        <v>155.22379669</v>
      </c>
      <c r="BF23" s="2656">
        <v>148.18447637999998</v>
      </c>
      <c r="BG23" s="2656">
        <v>156.14361699</v>
      </c>
      <c r="BH23" s="2656">
        <v>185.25219944999998</v>
      </c>
      <c r="BI23" s="2656">
        <v>210.96108674000001</v>
      </c>
      <c r="BJ23" s="2656">
        <v>417.43839092999997</v>
      </c>
      <c r="BK23" s="2656">
        <v>137.61474666000001</v>
      </c>
      <c r="BL23" s="2656">
        <v>163.47300160999998</v>
      </c>
      <c r="BM23" s="2656">
        <v>187.61035182000001</v>
      </c>
      <c r="BN23" s="2656">
        <v>389.24553226999996</v>
      </c>
      <c r="BO23" s="2656">
        <v>393.67770002999987</v>
      </c>
      <c r="BP23" s="2656">
        <v>340.56190323999999</v>
      </c>
      <c r="BQ23" s="2656">
        <v>171.22489893999997</v>
      </c>
      <c r="BR23" s="2656">
        <v>230.27790598000001</v>
      </c>
      <c r="BS23" s="2656">
        <v>297.59497189999996</v>
      </c>
      <c r="BT23" s="2656">
        <v>215.58212819000002</v>
      </c>
      <c r="BU23" s="2656">
        <v>226.54815564</v>
      </c>
      <c r="BV23" s="2656">
        <v>297.47305231000007</v>
      </c>
      <c r="BW23" s="2656">
        <v>184.30287417000002</v>
      </c>
      <c r="BX23" s="2656">
        <v>215.11157694999997</v>
      </c>
      <c r="BY23" s="2656">
        <v>188.38003639999997</v>
      </c>
      <c r="BZ23" s="2656">
        <v>246.14235818</v>
      </c>
      <c r="CA23" s="2656">
        <v>201.42409343999995</v>
      </c>
      <c r="CB23" s="2656">
        <v>94.623986049999999</v>
      </c>
      <c r="CC23" s="2656">
        <v>578.99666363999995</v>
      </c>
      <c r="CD23" s="2656">
        <v>116.31063683999999</v>
      </c>
      <c r="CE23" s="2656">
        <v>132.76709568999999</v>
      </c>
      <c r="CF23" s="2656">
        <v>146.11648846999998</v>
      </c>
      <c r="CG23" s="2656">
        <v>174.48669113</v>
      </c>
      <c r="CH23" s="2656">
        <v>309.85292434000007</v>
      </c>
      <c r="CI23" s="2656">
        <v>209.36520251000002</v>
      </c>
      <c r="CJ23" s="2656">
        <v>201.80332579999998</v>
      </c>
      <c r="CK23" s="2656">
        <v>226.69423159000002</v>
      </c>
      <c r="CL23" s="2656">
        <v>213.18532532999998</v>
      </c>
      <c r="CM23" s="2656">
        <v>205.06324686000002</v>
      </c>
      <c r="CN23" s="2656">
        <v>218.92119914</v>
      </c>
      <c r="CO23" s="2656">
        <v>231.07291556000001</v>
      </c>
      <c r="CP23" s="2656">
        <v>238.44280649999999</v>
      </c>
      <c r="CQ23" s="2656">
        <v>267.28862820999996</v>
      </c>
      <c r="CR23" s="2656">
        <v>225.76911896999999</v>
      </c>
      <c r="CS23" s="2656">
        <v>237.59561436999999</v>
      </c>
      <c r="CT23" s="2656">
        <v>305.72559425999998</v>
      </c>
      <c r="CU23" s="2656">
        <v>310.27087632000001</v>
      </c>
      <c r="CV23" s="2656">
        <v>204.93398895999997</v>
      </c>
      <c r="CW23" s="2656">
        <v>234.96590846999996</v>
      </c>
      <c r="CX23" s="2656">
        <v>195.04017368999996</v>
      </c>
      <c r="CY23" s="2656">
        <v>213.31232153999997</v>
      </c>
      <c r="CZ23" s="2656">
        <v>227.61136733999999</v>
      </c>
      <c r="DA23" s="2656">
        <v>161.49822879999999</v>
      </c>
      <c r="DB23" s="2656">
        <v>187.87479436000001</v>
      </c>
      <c r="DC23" s="2656">
        <v>172.56592301999999</v>
      </c>
      <c r="DD23" s="2656">
        <v>131.95258973</v>
      </c>
      <c r="DE23" s="2656">
        <v>153.76331722</v>
      </c>
      <c r="DF23" s="2656">
        <v>167.85955718999998</v>
      </c>
      <c r="DG23" s="2656">
        <v>112.93765403</v>
      </c>
      <c r="DH23" s="2656">
        <v>132.68560528</v>
      </c>
      <c r="DI23" s="2656">
        <v>139.85173856</v>
      </c>
      <c r="DJ23" s="2656">
        <v>123.65837286999999</v>
      </c>
      <c r="DK23" s="2656">
        <v>152.68091181</v>
      </c>
      <c r="DL23" s="2656">
        <v>156.97694645999999</v>
      </c>
      <c r="DM23" s="2656">
        <v>114.79751038999999</v>
      </c>
      <c r="DN23" s="2656">
        <v>124.66131343999999</v>
      </c>
      <c r="DO23" s="2656">
        <v>191.08549248000003</v>
      </c>
      <c r="DP23" s="2656">
        <v>150.67367480999999</v>
      </c>
      <c r="DQ23" s="2656">
        <v>165.30566397000001</v>
      </c>
      <c r="DR23" s="2656">
        <v>128.31779293</v>
      </c>
      <c r="DS23" s="2656">
        <v>150.12244304000001</v>
      </c>
      <c r="DT23" s="2656">
        <v>133.49940277000002</v>
      </c>
      <c r="DU23" s="2656">
        <v>123.90771698</v>
      </c>
      <c r="DV23" s="2656">
        <v>112.68614022</v>
      </c>
      <c r="DW23" s="2656">
        <v>123.05326148</v>
      </c>
      <c r="DX23" s="2656">
        <v>74.497450489999991</v>
      </c>
      <c r="DY23" s="2656">
        <v>71.947806080000007</v>
      </c>
      <c r="DZ23" s="2656">
        <v>40059.118246569997</v>
      </c>
      <c r="EA23" s="2656">
        <v>60098.714761050003</v>
      </c>
      <c r="EB23" s="2656">
        <v>60110.862611670003</v>
      </c>
      <c r="EC23" s="2656">
        <v>60114.459679429994</v>
      </c>
      <c r="ED23" s="2656">
        <v>60167.655248119998</v>
      </c>
      <c r="EE23" s="2656">
        <v>60137.373721639997</v>
      </c>
      <c r="EF23" s="2656">
        <v>60118.729695099995</v>
      </c>
      <c r="EG23" s="2656">
        <v>60108.210879309998</v>
      </c>
      <c r="EH23" s="2656">
        <v>28137.753914869998</v>
      </c>
      <c r="EI23" s="2656">
        <v>28154.715400299996</v>
      </c>
      <c r="EJ23" s="2656">
        <v>28197.327290929999</v>
      </c>
      <c r="EK23" s="2656">
        <v>28177.565639379998</v>
      </c>
      <c r="EL23" s="2656">
        <v>28207.795582660001</v>
      </c>
      <c r="EM23" s="2656">
        <v>28181.559026939998</v>
      </c>
      <c r="EN23" s="2656">
        <v>28179.63945459</v>
      </c>
      <c r="EO23" s="2656">
        <v>5230.4212523000006</v>
      </c>
      <c r="EP23" s="2656">
        <v>5273.6725033200009</v>
      </c>
      <c r="EQ23" s="2656">
        <v>5703.492794570001</v>
      </c>
      <c r="ER23" s="2656">
        <v>5341.3537384299998</v>
      </c>
      <c r="ES23" s="2656">
        <v>5680.9529828199993</v>
      </c>
      <c r="ET23" s="2656">
        <v>5367.3113184799995</v>
      </c>
      <c r="EU23" s="2656">
        <v>5455.6357244999999</v>
      </c>
      <c r="EV23" s="2656">
        <v>474.65708437000001</v>
      </c>
      <c r="EW23" s="2656">
        <v>457.39065388999995</v>
      </c>
      <c r="EX23" s="2656">
        <v>437.33100272999997</v>
      </c>
      <c r="EY23" s="2656">
        <v>449.40510766999995</v>
      </c>
      <c r="EZ23" s="2656">
        <v>474.81482889000006</v>
      </c>
      <c r="FA23" s="2656">
        <v>483.80394138999998</v>
      </c>
      <c r="FB23" s="2656">
        <v>564.75174861000005</v>
      </c>
      <c r="FC23" s="2656">
        <v>580.30747497999994</v>
      </c>
      <c r="FD23" s="2656">
        <v>630.52958948000014</v>
      </c>
      <c r="FE23" s="2656">
        <v>652.46875736000004</v>
      </c>
      <c r="FF23" s="2656">
        <v>712.75629380000009</v>
      </c>
      <c r="FG23" s="2656">
        <v>732.39056323999989</v>
      </c>
      <c r="FH23" s="2656">
        <v>576.11657275999994</v>
      </c>
      <c r="FI23" s="2656">
        <v>579.54354406000004</v>
      </c>
      <c r="FJ23" s="2656">
        <v>579.89613022000003</v>
      </c>
      <c r="FK23" s="2656">
        <v>581.47840715999996</v>
      </c>
      <c r="FL23" s="2657"/>
    </row>
    <row r="24" spans="1:168" ht="16.5" customHeight="1" x14ac:dyDescent="0.3">
      <c r="A24" s="2658"/>
      <c r="B24" s="2658"/>
      <c r="C24" s="2659"/>
      <c r="D24" s="2659"/>
      <c r="E24" s="2659"/>
      <c r="F24" s="2659"/>
      <c r="G24" s="2659"/>
      <c r="H24" s="2659"/>
      <c r="I24" s="2659"/>
      <c r="J24" s="2659"/>
      <c r="K24" s="2659"/>
      <c r="L24" s="2659"/>
      <c r="M24" s="2659"/>
      <c r="N24" s="2659"/>
      <c r="O24" s="2659"/>
      <c r="P24" s="2659"/>
      <c r="Q24" s="2659"/>
      <c r="R24" s="2659"/>
      <c r="S24" s="2659"/>
      <c r="T24" s="2659"/>
      <c r="U24" s="2659"/>
      <c r="V24" s="2659"/>
      <c r="W24" s="2659"/>
      <c r="X24" s="2659"/>
      <c r="Y24" s="2659"/>
      <c r="Z24" s="2659"/>
      <c r="AA24" s="2659"/>
      <c r="AB24" s="2659"/>
      <c r="AC24" s="2659"/>
      <c r="AD24" s="2659"/>
      <c r="AE24" s="2659"/>
      <c r="AF24" s="2659"/>
      <c r="AG24" s="2659"/>
      <c r="AH24" s="2659"/>
      <c r="AI24" s="2659"/>
      <c r="AJ24" s="2659"/>
      <c r="AK24" s="2659"/>
      <c r="AL24" s="2659"/>
      <c r="AM24" s="2659"/>
      <c r="AN24" s="2659"/>
      <c r="AO24" s="2659"/>
      <c r="AP24" s="2659"/>
      <c r="AQ24" s="2659"/>
      <c r="AR24" s="2659"/>
      <c r="AS24" s="2659"/>
      <c r="AT24" s="2659"/>
      <c r="AU24" s="2659"/>
      <c r="AV24" s="2659"/>
      <c r="AW24" s="2659"/>
      <c r="AX24" s="2659"/>
      <c r="AY24" s="2659"/>
      <c r="AZ24" s="2659"/>
      <c r="BA24" s="2659"/>
      <c r="BB24" s="2659"/>
      <c r="BC24" s="2659"/>
      <c r="BD24" s="2659"/>
      <c r="BE24" s="2659"/>
      <c r="BF24" s="2659"/>
      <c r="BG24" s="2659"/>
      <c r="BH24" s="2659"/>
      <c r="BI24" s="2659"/>
      <c r="BJ24" s="2659"/>
      <c r="BK24" s="2659"/>
      <c r="BL24" s="2659"/>
      <c r="BM24" s="2659"/>
      <c r="BN24" s="2659"/>
      <c r="BO24" s="2659"/>
      <c r="BP24" s="2659"/>
      <c r="BQ24" s="2659"/>
      <c r="BR24" s="2659"/>
      <c r="BS24" s="2659"/>
      <c r="BT24" s="2659"/>
      <c r="BU24" s="2659"/>
      <c r="BV24" s="2659"/>
      <c r="BW24" s="2659"/>
      <c r="BX24" s="2659"/>
      <c r="BY24" s="2659"/>
      <c r="BZ24" s="2659"/>
      <c r="CA24" s="2659"/>
      <c r="CB24" s="2659"/>
      <c r="CC24" s="2659"/>
      <c r="CD24" s="2659"/>
      <c r="CE24" s="2659"/>
      <c r="CF24" s="2659"/>
      <c r="CG24" s="2659"/>
      <c r="CH24" s="2659"/>
      <c r="CI24" s="2659"/>
      <c r="CJ24" s="2659"/>
      <c r="CK24" s="2659"/>
      <c r="CL24" s="2659"/>
      <c r="CM24" s="2659"/>
      <c r="CN24" s="2659"/>
      <c r="CO24" s="2659"/>
      <c r="CP24" s="2659"/>
      <c r="CQ24" s="2659"/>
      <c r="CR24" s="2659"/>
      <c r="CS24" s="2659"/>
      <c r="CT24" s="2659"/>
      <c r="CU24" s="2659"/>
      <c r="CV24" s="2659"/>
      <c r="CW24" s="2659"/>
      <c r="CX24" s="2659"/>
      <c r="CY24" s="2659"/>
      <c r="CZ24" s="2659"/>
      <c r="DA24" s="2659"/>
      <c r="DB24" s="2659"/>
      <c r="DC24" s="2659"/>
      <c r="DD24" s="2659"/>
      <c r="DE24" s="2659"/>
      <c r="DF24" s="2659"/>
      <c r="DG24" s="2659"/>
      <c r="DH24" s="2659"/>
      <c r="DI24" s="2659"/>
      <c r="DJ24" s="2659"/>
      <c r="DK24" s="2659"/>
      <c r="DL24" s="2659"/>
      <c r="DM24" s="2659"/>
      <c r="DN24" s="2659"/>
      <c r="DO24" s="2659"/>
      <c r="DP24" s="2659"/>
      <c r="DQ24" s="2659"/>
      <c r="DR24" s="2659"/>
      <c r="DS24" s="2659"/>
      <c r="DT24" s="2659"/>
      <c r="DU24" s="2659"/>
      <c r="DV24" s="2659"/>
      <c r="DW24" s="2659"/>
      <c r="DX24" s="2659"/>
      <c r="DY24" s="2659"/>
      <c r="DZ24" s="2659"/>
      <c r="EA24" s="2659"/>
      <c r="EB24" s="2659"/>
      <c r="EC24" s="2659"/>
      <c r="ED24" s="2659"/>
      <c r="EE24" s="2659"/>
      <c r="EF24" s="2659"/>
      <c r="EG24" s="2659"/>
      <c r="EH24" s="2659"/>
      <c r="EI24" s="2659"/>
      <c r="EJ24" s="2659"/>
      <c r="EK24" s="2659"/>
      <c r="EL24" s="2659"/>
      <c r="EM24" s="2659"/>
      <c r="EN24" s="2659"/>
      <c r="EO24" s="2659"/>
      <c r="EP24" s="2659"/>
      <c r="EQ24" s="2659"/>
      <c r="ER24" s="2659"/>
      <c r="ES24" s="2659"/>
      <c r="ET24" s="2659"/>
      <c r="EU24" s="2659"/>
      <c r="EV24" s="2659"/>
      <c r="EW24" s="2659"/>
      <c r="EX24" s="2659"/>
      <c r="EY24" s="2659"/>
      <c r="EZ24" s="2659"/>
      <c r="FA24" s="2659"/>
      <c r="FB24" s="2659"/>
      <c r="FC24" s="2659"/>
      <c r="FD24" s="2659"/>
      <c r="FE24" s="2659"/>
      <c r="FF24" s="2659"/>
      <c r="FG24" s="2659"/>
      <c r="FH24" s="2659"/>
      <c r="FI24" s="2659"/>
      <c r="FJ24" s="2659"/>
      <c r="FK24" s="2659"/>
      <c r="FL24" s="2657"/>
    </row>
    <row r="25" spans="1:168" ht="16.5" customHeight="1" x14ac:dyDescent="0.3">
      <c r="A25" s="2655" t="s">
        <v>2531</v>
      </c>
      <c r="B25" s="2655" t="s">
        <v>2532</v>
      </c>
      <c r="C25" s="2656">
        <v>1976.6657630399998</v>
      </c>
      <c r="D25" s="2656">
        <v>1984.2185947199998</v>
      </c>
      <c r="E25" s="2656">
        <v>1985.61688293</v>
      </c>
      <c r="F25" s="2656">
        <v>1991.1752804099999</v>
      </c>
      <c r="G25" s="2656">
        <v>1992.6125975</v>
      </c>
      <c r="H25" s="2656">
        <v>1917.5217818799999</v>
      </c>
      <c r="I25" s="2656">
        <v>1917.4961673199998</v>
      </c>
      <c r="J25" s="2656">
        <v>1917.28120543</v>
      </c>
      <c r="K25" s="2656">
        <v>1917.2325234799998</v>
      </c>
      <c r="L25" s="2656">
        <v>1919.18921602</v>
      </c>
      <c r="M25" s="2656">
        <v>1918.9397383599999</v>
      </c>
      <c r="N25" s="2656">
        <v>1918.1092738299999</v>
      </c>
      <c r="O25" s="2656">
        <v>1918.06444788</v>
      </c>
      <c r="P25" s="2656">
        <v>1917.1917345799998</v>
      </c>
      <c r="Q25" s="2656">
        <v>1919.72773794</v>
      </c>
      <c r="R25" s="2656">
        <v>1919.4142326399999</v>
      </c>
      <c r="S25" s="2656">
        <v>1921.2854840099999</v>
      </c>
      <c r="T25" s="2656">
        <v>1996.35895349</v>
      </c>
      <c r="U25" s="2656">
        <v>1865.7395783099998</v>
      </c>
      <c r="V25" s="2656">
        <v>1865.7184242599999</v>
      </c>
      <c r="W25" s="2656">
        <v>1868.6160445899998</v>
      </c>
      <c r="X25" s="2656">
        <v>1868.3027242999999</v>
      </c>
      <c r="Y25" s="2656">
        <v>1978.7657218599998</v>
      </c>
      <c r="Z25" s="2656">
        <v>1978.4810529399999</v>
      </c>
      <c r="AA25" s="2656">
        <v>1981.11967119</v>
      </c>
      <c r="AB25" s="2656">
        <v>1982.9341981499999</v>
      </c>
      <c r="AC25" s="2656">
        <v>1982.877802</v>
      </c>
      <c r="AD25" s="2656">
        <v>1984.58480121</v>
      </c>
      <c r="AE25" s="2656">
        <v>1989.52938365</v>
      </c>
      <c r="AF25" s="2656">
        <v>1865.9288570599999</v>
      </c>
      <c r="AG25" s="2656">
        <v>1866.5775801199998</v>
      </c>
      <c r="AH25" s="2656">
        <v>1954.0414822299999</v>
      </c>
      <c r="AI25" s="2656">
        <v>1954.1670820299998</v>
      </c>
      <c r="AJ25" s="2656">
        <v>2087.27910208</v>
      </c>
      <c r="AK25" s="2656">
        <v>2104.2370903299998</v>
      </c>
      <c r="AL25" s="2656">
        <v>2097.3760829099997</v>
      </c>
      <c r="AM25" s="2656">
        <v>2095.2486594500001</v>
      </c>
      <c r="AN25" s="2656">
        <v>2099.2737472999997</v>
      </c>
      <c r="AO25" s="2656">
        <v>2094.6208616899999</v>
      </c>
      <c r="AP25" s="2656">
        <v>2113.9836782400002</v>
      </c>
      <c r="AQ25" s="2656">
        <v>2109.5643318900002</v>
      </c>
      <c r="AR25" s="2656">
        <v>1932.4942495500002</v>
      </c>
      <c r="AS25" s="2656">
        <v>1928.8543674699999</v>
      </c>
      <c r="AT25" s="2656">
        <v>1924.5813055199999</v>
      </c>
      <c r="AU25" s="2656">
        <v>1920.6146878499999</v>
      </c>
      <c r="AV25" s="2656">
        <v>1973.28626874</v>
      </c>
      <c r="AW25" s="2656">
        <v>1968.6993700200001</v>
      </c>
      <c r="AX25" s="2656">
        <v>1955.7937911900001</v>
      </c>
      <c r="AY25" s="2656">
        <v>1945.17292094</v>
      </c>
      <c r="AZ25" s="2656">
        <v>1944.5120906900002</v>
      </c>
      <c r="BA25" s="2656">
        <v>1945.5817451</v>
      </c>
      <c r="BB25" s="2656">
        <v>1950.4050652599999</v>
      </c>
      <c r="BC25" s="2656">
        <v>1949.0374773599999</v>
      </c>
      <c r="BD25" s="2656">
        <v>1843.2044038199999</v>
      </c>
      <c r="BE25" s="2656">
        <v>1843.0075791700001</v>
      </c>
      <c r="BF25" s="2656">
        <v>1848.5415386399998</v>
      </c>
      <c r="BG25" s="2656">
        <v>1845.9750228399998</v>
      </c>
      <c r="BH25" s="2656">
        <v>1842.28236945</v>
      </c>
      <c r="BI25" s="2656">
        <v>1838.3097861600002</v>
      </c>
      <c r="BJ25" s="2656">
        <v>1838.6635965099999</v>
      </c>
      <c r="BK25" s="2656">
        <v>1839.33735159</v>
      </c>
      <c r="BL25" s="2656">
        <v>1838.2578648399999</v>
      </c>
      <c r="BM25" s="2656">
        <v>1838.9161068199999</v>
      </c>
      <c r="BN25" s="2656">
        <v>1871.76677184</v>
      </c>
      <c r="BO25" s="2656">
        <v>1873.0080934099999</v>
      </c>
      <c r="BP25" s="2656">
        <v>1758.59652525</v>
      </c>
      <c r="BQ25" s="2656">
        <v>1765.1955663700001</v>
      </c>
      <c r="BR25" s="2656">
        <v>1784.7091786400001</v>
      </c>
      <c r="BS25" s="2656">
        <v>1793.1225634699997</v>
      </c>
      <c r="BT25" s="2656">
        <v>1800.69674044</v>
      </c>
      <c r="BU25" s="2656">
        <v>1812.9527837000001</v>
      </c>
      <c r="BV25" s="2656">
        <v>1825.2216799400001</v>
      </c>
      <c r="BW25" s="2656">
        <v>1837.8481110999999</v>
      </c>
      <c r="BX25" s="2656">
        <v>1840.3200148699998</v>
      </c>
      <c r="BY25" s="2656">
        <v>1841.4631023200002</v>
      </c>
      <c r="BZ25" s="2656">
        <v>1842.8854513700001</v>
      </c>
      <c r="CA25" s="2656">
        <v>1855.25130616</v>
      </c>
      <c r="CB25" s="2656">
        <v>1950.7770106699998</v>
      </c>
      <c r="CC25" s="2656">
        <v>1817.1802062500001</v>
      </c>
      <c r="CD25" s="2656">
        <v>1820.27272831</v>
      </c>
      <c r="CE25" s="2656">
        <v>1858.4220648000003</v>
      </c>
      <c r="CF25" s="2656">
        <v>1867.31848014</v>
      </c>
      <c r="CG25" s="2656">
        <v>1867.7454139500001</v>
      </c>
      <c r="CH25" s="2656">
        <v>1917.1051176200001</v>
      </c>
      <c r="CI25" s="2656">
        <v>1931.6881268400002</v>
      </c>
      <c r="CJ25" s="2656">
        <v>1949.6797471000002</v>
      </c>
      <c r="CK25" s="2656">
        <v>2017.6605561000003</v>
      </c>
      <c r="CL25" s="2656">
        <v>2048.7292062699998</v>
      </c>
      <c r="CM25" s="2656">
        <v>2068.1600349</v>
      </c>
      <c r="CN25" s="2656">
        <v>1964.2125651400002</v>
      </c>
      <c r="CO25" s="2656">
        <v>1992.6498684000001</v>
      </c>
      <c r="CP25" s="2656">
        <v>2024.3258200099999</v>
      </c>
      <c r="CQ25" s="2656">
        <v>2043.89235506</v>
      </c>
      <c r="CR25" s="2656">
        <v>2083.4067414300002</v>
      </c>
      <c r="CS25" s="2656">
        <v>2105.30215206</v>
      </c>
      <c r="CT25" s="2656">
        <v>2117.3534826</v>
      </c>
      <c r="CU25" s="2656">
        <v>2126.1563762400001</v>
      </c>
      <c r="CV25" s="2656">
        <v>2130.6462168500002</v>
      </c>
      <c r="CW25" s="2656">
        <v>2132.78491781</v>
      </c>
      <c r="CX25" s="2656">
        <v>2134.5392780899997</v>
      </c>
      <c r="CY25" s="2656">
        <v>2136.52147307</v>
      </c>
      <c r="CZ25" s="2656">
        <v>2033.90863408</v>
      </c>
      <c r="DA25" s="2656">
        <v>2034.6565531999997</v>
      </c>
      <c r="DB25" s="2656">
        <v>2049.46335555</v>
      </c>
      <c r="DC25" s="2656">
        <v>2050.6327610900003</v>
      </c>
      <c r="DD25" s="2656">
        <v>2081.6060169100001</v>
      </c>
      <c r="DE25" s="2656">
        <v>2081.62614024</v>
      </c>
      <c r="DF25" s="2656">
        <v>2083.8631646499998</v>
      </c>
      <c r="DG25" s="2656">
        <v>2108.8218909699999</v>
      </c>
      <c r="DH25" s="2656">
        <v>2132.1734901</v>
      </c>
      <c r="DI25" s="2656">
        <v>2140.08618755</v>
      </c>
      <c r="DJ25" s="2656">
        <v>2147.9134393499999</v>
      </c>
      <c r="DK25" s="2656">
        <v>2152.0999325500002</v>
      </c>
      <c r="DL25" s="2656">
        <v>2056.6157497099998</v>
      </c>
      <c r="DM25" s="2656">
        <v>2063.3416090199999</v>
      </c>
      <c r="DN25" s="2656">
        <v>2081.2235840999997</v>
      </c>
      <c r="DO25" s="2656">
        <v>2087.3680648200002</v>
      </c>
      <c r="DP25" s="2656">
        <v>2092.4276152500001</v>
      </c>
      <c r="DQ25" s="2656">
        <v>2100.9931381199999</v>
      </c>
      <c r="DR25" s="2656">
        <v>2101.29416924</v>
      </c>
      <c r="DS25" s="2656">
        <v>2106.4152265299999</v>
      </c>
      <c r="DT25" s="2656">
        <v>2107.0563370999998</v>
      </c>
      <c r="DU25" s="2656">
        <v>2107.5174071000001</v>
      </c>
      <c r="DV25" s="2656">
        <v>2107.7421171000001</v>
      </c>
      <c r="DW25" s="2656">
        <v>2108.0816927400001</v>
      </c>
      <c r="DX25" s="2656">
        <v>2057.0470939299998</v>
      </c>
      <c r="DY25" s="2656">
        <v>2058.8049848200003</v>
      </c>
      <c r="DZ25" s="2656">
        <v>2063.46499202</v>
      </c>
      <c r="EA25" s="2656">
        <v>2063.7060080199999</v>
      </c>
      <c r="EB25" s="2656">
        <v>2065.27010182</v>
      </c>
      <c r="EC25" s="2656">
        <v>2066.1116965300002</v>
      </c>
      <c r="ED25" s="2656">
        <v>2067.0118971500001</v>
      </c>
      <c r="EE25" s="2656">
        <v>2069.4063365000002</v>
      </c>
      <c r="EF25" s="2656">
        <v>2070.4567852199998</v>
      </c>
      <c r="EG25" s="2656">
        <v>2070.6062042100002</v>
      </c>
      <c r="EH25" s="2656">
        <v>2071.1973836000002</v>
      </c>
      <c r="EI25" s="2656">
        <v>2073.2062911400003</v>
      </c>
      <c r="EJ25" s="2656">
        <v>1984.7212815000003</v>
      </c>
      <c r="EK25" s="2656">
        <v>1988.8481967900002</v>
      </c>
      <c r="EL25" s="2656">
        <v>1988.8646257400001</v>
      </c>
      <c r="EM25" s="2656">
        <v>1988.7845456700002</v>
      </c>
      <c r="EN25" s="2656">
        <v>1990.3965638</v>
      </c>
      <c r="EO25" s="2656">
        <v>1994.1059560799999</v>
      </c>
      <c r="EP25" s="2656">
        <v>2001.62088825</v>
      </c>
      <c r="EQ25" s="2656">
        <v>2002.8467428999998</v>
      </c>
      <c r="ER25" s="2656">
        <v>2004.4782937300001</v>
      </c>
      <c r="ES25" s="2656">
        <v>2008.22184984</v>
      </c>
      <c r="ET25" s="2656">
        <v>2076.4445714799999</v>
      </c>
      <c r="EU25" s="2656">
        <v>2076.7731015299996</v>
      </c>
      <c r="EV25" s="2656">
        <v>1997.5217751299999</v>
      </c>
      <c r="EW25" s="2656">
        <v>1998.44010972</v>
      </c>
      <c r="EX25" s="2656">
        <v>2014.39297416</v>
      </c>
      <c r="EY25" s="2656">
        <v>2017.2266804099997</v>
      </c>
      <c r="EZ25" s="2656">
        <v>2013.3433235099999</v>
      </c>
      <c r="FA25" s="2656">
        <v>2012.84062167</v>
      </c>
      <c r="FB25" s="2656">
        <v>2039.4310467999999</v>
      </c>
      <c r="FC25" s="2656">
        <v>2041.8589800999998</v>
      </c>
      <c r="FD25" s="2656">
        <v>2051.1178745200004</v>
      </c>
      <c r="FE25" s="2656">
        <v>2061.04412245</v>
      </c>
      <c r="FF25" s="2656">
        <v>2060.7643953299998</v>
      </c>
      <c r="FG25" s="2656">
        <v>2086.9851576700003</v>
      </c>
      <c r="FH25" s="2656">
        <v>2108.1757237000002</v>
      </c>
      <c r="FI25" s="2656">
        <v>2112.24436186</v>
      </c>
      <c r="FJ25" s="2656">
        <v>2116.1433503400003</v>
      </c>
      <c r="FK25" s="2656">
        <v>2120.6936421400001</v>
      </c>
      <c r="FL25" s="2657"/>
    </row>
    <row r="26" spans="1:168" ht="16.5" customHeight="1" x14ac:dyDescent="0.3">
      <c r="A26" s="2658"/>
      <c r="B26" s="2658"/>
      <c r="C26" s="2659"/>
      <c r="D26" s="2659"/>
      <c r="E26" s="2659"/>
      <c r="F26" s="2659"/>
      <c r="G26" s="2659"/>
      <c r="H26" s="2659"/>
      <c r="I26" s="2659"/>
      <c r="J26" s="2659"/>
      <c r="K26" s="2659"/>
      <c r="L26" s="2659"/>
      <c r="M26" s="2659"/>
      <c r="N26" s="2659"/>
      <c r="O26" s="2659"/>
      <c r="P26" s="2659"/>
      <c r="Q26" s="2659"/>
      <c r="R26" s="2659"/>
      <c r="S26" s="2659"/>
      <c r="T26" s="2659"/>
      <c r="U26" s="2659"/>
      <c r="V26" s="2659"/>
      <c r="W26" s="2659"/>
      <c r="X26" s="2659"/>
      <c r="Y26" s="2659"/>
      <c r="Z26" s="2659"/>
      <c r="AA26" s="2659"/>
      <c r="AB26" s="2659"/>
      <c r="AC26" s="2659"/>
      <c r="AD26" s="2659"/>
      <c r="AE26" s="2659"/>
      <c r="AF26" s="2659"/>
      <c r="AG26" s="2659"/>
      <c r="AH26" s="2659"/>
      <c r="AI26" s="2659"/>
      <c r="AJ26" s="2659"/>
      <c r="AK26" s="2659"/>
      <c r="AL26" s="2659"/>
      <c r="AM26" s="2659"/>
      <c r="AN26" s="2659"/>
      <c r="AO26" s="2659"/>
      <c r="AP26" s="2659"/>
      <c r="AQ26" s="2659"/>
      <c r="AR26" s="2659"/>
      <c r="AS26" s="2659"/>
      <c r="AT26" s="2659"/>
      <c r="AU26" s="2659"/>
      <c r="AV26" s="2659"/>
      <c r="AW26" s="2659"/>
      <c r="AX26" s="2659"/>
      <c r="AY26" s="2659"/>
      <c r="AZ26" s="2659"/>
      <c r="BA26" s="2659"/>
      <c r="BB26" s="2659"/>
      <c r="BC26" s="2659"/>
      <c r="BD26" s="2659"/>
      <c r="BE26" s="2659"/>
      <c r="BF26" s="2659"/>
      <c r="BG26" s="2659"/>
      <c r="BH26" s="2659"/>
      <c r="BI26" s="2659"/>
      <c r="BJ26" s="2659"/>
      <c r="BK26" s="2659"/>
      <c r="BL26" s="2659"/>
      <c r="BM26" s="2659"/>
      <c r="BN26" s="2659"/>
      <c r="BO26" s="2659"/>
      <c r="BP26" s="2659"/>
      <c r="BQ26" s="2659"/>
      <c r="BR26" s="2659"/>
      <c r="BS26" s="2659"/>
      <c r="BT26" s="2659"/>
      <c r="BU26" s="2659"/>
      <c r="BV26" s="2659"/>
      <c r="BW26" s="2659"/>
      <c r="BX26" s="2659"/>
      <c r="BY26" s="2659"/>
      <c r="BZ26" s="2659"/>
      <c r="CA26" s="2659"/>
      <c r="CB26" s="2659"/>
      <c r="CC26" s="2659"/>
      <c r="CD26" s="2659"/>
      <c r="CE26" s="2659"/>
      <c r="CF26" s="2659"/>
      <c r="CG26" s="2659"/>
      <c r="CH26" s="2659"/>
      <c r="CI26" s="2659"/>
      <c r="CJ26" s="2659"/>
      <c r="CK26" s="2659"/>
      <c r="CL26" s="2659"/>
      <c r="CM26" s="2659"/>
      <c r="CN26" s="2659"/>
      <c r="CO26" s="2659"/>
      <c r="CP26" s="2659"/>
      <c r="CQ26" s="2659"/>
      <c r="CR26" s="2659"/>
      <c r="CS26" s="2659"/>
      <c r="CT26" s="2659"/>
      <c r="CU26" s="2659"/>
      <c r="CV26" s="2659"/>
      <c r="CW26" s="2659"/>
      <c r="CX26" s="2659"/>
      <c r="CY26" s="2659"/>
      <c r="CZ26" s="2659"/>
      <c r="DA26" s="2659"/>
      <c r="DB26" s="2659"/>
      <c r="DC26" s="2659"/>
      <c r="DD26" s="2659"/>
      <c r="DE26" s="2659"/>
      <c r="DF26" s="2659"/>
      <c r="DG26" s="2659"/>
      <c r="DH26" s="2659"/>
      <c r="DI26" s="2659"/>
      <c r="DJ26" s="2659"/>
      <c r="DK26" s="2659"/>
      <c r="DL26" s="2659"/>
      <c r="DM26" s="2659"/>
      <c r="DN26" s="2659"/>
      <c r="DO26" s="2659"/>
      <c r="DP26" s="2659"/>
      <c r="DQ26" s="2659"/>
      <c r="DR26" s="2659"/>
      <c r="DS26" s="2659"/>
      <c r="DT26" s="2659"/>
      <c r="DU26" s="2659"/>
      <c r="DV26" s="2659"/>
      <c r="DW26" s="2659"/>
      <c r="DX26" s="2659"/>
      <c r="DY26" s="2659"/>
      <c r="DZ26" s="2659"/>
      <c r="EA26" s="2659"/>
      <c r="EB26" s="2659"/>
      <c r="EC26" s="2659"/>
      <c r="ED26" s="2659"/>
      <c r="EE26" s="2659"/>
      <c r="EF26" s="2659"/>
      <c r="EG26" s="2659"/>
      <c r="EH26" s="2659"/>
      <c r="EI26" s="2659"/>
      <c r="EJ26" s="2659"/>
      <c r="EK26" s="2659"/>
      <c r="EL26" s="2659"/>
      <c r="EM26" s="2659"/>
      <c r="EN26" s="2659"/>
      <c r="EO26" s="2659"/>
      <c r="EP26" s="2659"/>
      <c r="EQ26" s="2659"/>
      <c r="ER26" s="2659"/>
      <c r="ES26" s="2659"/>
      <c r="ET26" s="2659"/>
      <c r="EU26" s="2659"/>
      <c r="EV26" s="2659"/>
      <c r="EW26" s="2659"/>
      <c r="EX26" s="2659"/>
      <c r="EY26" s="2659"/>
      <c r="EZ26" s="2659"/>
      <c r="FA26" s="2659"/>
      <c r="FB26" s="2659"/>
      <c r="FC26" s="2659"/>
      <c r="FD26" s="2659"/>
      <c r="FE26" s="2659"/>
      <c r="FF26" s="2659"/>
      <c r="FG26" s="2659"/>
      <c r="FH26" s="2659"/>
      <c r="FI26" s="2659"/>
      <c r="FJ26" s="2659"/>
      <c r="FK26" s="2659"/>
      <c r="FL26" s="2657"/>
    </row>
    <row r="27" spans="1:168" ht="16.5" customHeight="1" x14ac:dyDescent="0.3">
      <c r="A27" s="2655"/>
      <c r="B27" s="2655" t="s">
        <v>1060</v>
      </c>
      <c r="C27" s="2656">
        <v>69596.492978260008</v>
      </c>
      <c r="D27" s="2656">
        <v>70941.137481960002</v>
      </c>
      <c r="E27" s="2656">
        <v>70499.654408689996</v>
      </c>
      <c r="F27" s="2656">
        <v>71302.400434919982</v>
      </c>
      <c r="G27" s="2656">
        <v>74450.371189410012</v>
      </c>
      <c r="H27" s="2656">
        <v>73422.695010850002</v>
      </c>
      <c r="I27" s="2656">
        <v>73741.022601379998</v>
      </c>
      <c r="J27" s="2656">
        <v>74913.405534099991</v>
      </c>
      <c r="K27" s="2656">
        <v>78694.334378229978</v>
      </c>
      <c r="L27" s="2656">
        <v>79392.890200669979</v>
      </c>
      <c r="M27" s="2656">
        <v>82982.389130539988</v>
      </c>
      <c r="N27" s="2656">
        <v>86612.239956250007</v>
      </c>
      <c r="O27" s="2656">
        <v>83585.412843940008</v>
      </c>
      <c r="P27" s="2656">
        <v>83414.25191986002</v>
      </c>
      <c r="Q27" s="2656">
        <v>84435.871825220005</v>
      </c>
      <c r="R27" s="2656">
        <v>84082.643758529986</v>
      </c>
      <c r="S27" s="2656">
        <v>85853.749046339988</v>
      </c>
      <c r="T27" s="2656">
        <v>88592.54695193001</v>
      </c>
      <c r="U27" s="2656">
        <v>88882.225354269991</v>
      </c>
      <c r="V27" s="2656">
        <v>89112.098272500007</v>
      </c>
      <c r="W27" s="2656">
        <v>87868.856741180018</v>
      </c>
      <c r="X27" s="2656">
        <v>91091.426085909989</v>
      </c>
      <c r="Y27" s="2656">
        <v>89540.306182900007</v>
      </c>
      <c r="Z27" s="2656">
        <v>92681.040482939992</v>
      </c>
      <c r="AA27" s="2656">
        <v>93057.427462349995</v>
      </c>
      <c r="AB27" s="2656">
        <v>93216.006621159991</v>
      </c>
      <c r="AC27" s="2656">
        <v>92395.195668540007</v>
      </c>
      <c r="AD27" s="2656">
        <v>92343.3335161</v>
      </c>
      <c r="AE27" s="2656">
        <v>90504.874658370012</v>
      </c>
      <c r="AF27" s="2656">
        <v>97002.375047109992</v>
      </c>
      <c r="AG27" s="2656">
        <v>98020.362661199993</v>
      </c>
      <c r="AH27" s="2656">
        <v>97950.904823339995</v>
      </c>
      <c r="AI27" s="2656">
        <v>98887.514703899986</v>
      </c>
      <c r="AJ27" s="2656">
        <v>98497.72901571999</v>
      </c>
      <c r="AK27" s="2656">
        <v>99356.306598119991</v>
      </c>
      <c r="AL27" s="2656">
        <v>100930.55150610002</v>
      </c>
      <c r="AM27" s="2656">
        <v>104790.87118644998</v>
      </c>
      <c r="AN27" s="2656">
        <v>104458.18805176998</v>
      </c>
      <c r="AO27" s="2656">
        <v>108086.37018971</v>
      </c>
      <c r="AP27" s="2656">
        <v>107405.78609197997</v>
      </c>
      <c r="AQ27" s="2656">
        <v>114390.36744292999</v>
      </c>
      <c r="AR27" s="2656">
        <v>113988.66618238001</v>
      </c>
      <c r="AS27" s="2656">
        <v>111194.33481837</v>
      </c>
      <c r="AT27" s="2656">
        <v>110092.93683617002</v>
      </c>
      <c r="AU27" s="2656">
        <v>112471.18276853002</v>
      </c>
      <c r="AV27" s="2656">
        <v>111686.14588489001</v>
      </c>
      <c r="AW27" s="2656">
        <v>111021.07280037001</v>
      </c>
      <c r="AX27" s="2656">
        <v>115230.05499470999</v>
      </c>
      <c r="AY27" s="2656">
        <v>115477.48536897</v>
      </c>
      <c r="AZ27" s="2656">
        <v>120988.83522885997</v>
      </c>
      <c r="BA27" s="2656">
        <v>122871.29449175001</v>
      </c>
      <c r="BB27" s="2656">
        <v>127088.77066056998</v>
      </c>
      <c r="BC27" s="2656">
        <v>128069.47628107002</v>
      </c>
      <c r="BD27" s="2656">
        <v>130583.81207653</v>
      </c>
      <c r="BE27" s="2656">
        <v>131173.15071659998</v>
      </c>
      <c r="BF27" s="2656">
        <v>133456.09197514001</v>
      </c>
      <c r="BG27" s="2656">
        <v>130765.67933947999</v>
      </c>
      <c r="BH27" s="2656">
        <v>129055.71459685999</v>
      </c>
      <c r="BI27" s="2656">
        <v>126942.81240936001</v>
      </c>
      <c r="BJ27" s="2656">
        <v>131563.49427942</v>
      </c>
      <c r="BK27" s="2656">
        <v>128415.42706364999</v>
      </c>
      <c r="BL27" s="2656">
        <v>134436.63312687998</v>
      </c>
      <c r="BM27" s="2656">
        <v>147415.07719723001</v>
      </c>
      <c r="BN27" s="2656">
        <v>146159.68355202</v>
      </c>
      <c r="BO27" s="2656">
        <v>146084.06147708997</v>
      </c>
      <c r="BP27" s="2656">
        <v>149685.82964860002</v>
      </c>
      <c r="BQ27" s="2656">
        <v>152617.94579202001</v>
      </c>
      <c r="BR27" s="2656">
        <v>152435.10079409002</v>
      </c>
      <c r="BS27" s="2656">
        <v>154676.54865548003</v>
      </c>
      <c r="BT27" s="2656">
        <v>158429.68953138002</v>
      </c>
      <c r="BU27" s="2656">
        <v>160069.02174411996</v>
      </c>
      <c r="BV27" s="2656">
        <v>161362.55657941001</v>
      </c>
      <c r="BW27" s="2656">
        <v>161629.17440413</v>
      </c>
      <c r="BX27" s="2656">
        <v>164349.35004959002</v>
      </c>
      <c r="BY27" s="2656">
        <v>165416.05700292002</v>
      </c>
      <c r="BZ27" s="2656">
        <v>164662.21708086002</v>
      </c>
      <c r="CA27" s="2656">
        <v>167951.32043451001</v>
      </c>
      <c r="CB27" s="2656">
        <v>174872.48942698998</v>
      </c>
      <c r="CC27" s="2656">
        <v>175421.29849749999</v>
      </c>
      <c r="CD27" s="2656">
        <v>174452.08759261001</v>
      </c>
      <c r="CE27" s="2656">
        <v>177108.37673411</v>
      </c>
      <c r="CF27" s="2656">
        <v>178785.45480360996</v>
      </c>
      <c r="CG27" s="2656">
        <v>181295.97438636003</v>
      </c>
      <c r="CH27" s="2656">
        <v>185234.34054784998</v>
      </c>
      <c r="CI27" s="2656">
        <v>181843.60436808999</v>
      </c>
      <c r="CJ27" s="2656">
        <v>182389.03224827995</v>
      </c>
      <c r="CK27" s="2656">
        <v>183206.87444175</v>
      </c>
      <c r="CL27" s="2656">
        <v>186722.54971691006</v>
      </c>
      <c r="CM27" s="2656">
        <v>186053.17597899999</v>
      </c>
      <c r="CN27" s="2656">
        <v>187908.69362752998</v>
      </c>
      <c r="CO27" s="2656">
        <v>183668.11129454998</v>
      </c>
      <c r="CP27" s="2656">
        <v>183313.14445789001</v>
      </c>
      <c r="CQ27" s="2656">
        <v>192610.77432565999</v>
      </c>
      <c r="CR27" s="2656">
        <v>195973.24121254997</v>
      </c>
      <c r="CS27" s="2656">
        <v>198971.14215291999</v>
      </c>
      <c r="CT27" s="2656">
        <v>207653.27638744004</v>
      </c>
      <c r="CU27" s="2656">
        <v>204499.08389622002</v>
      </c>
      <c r="CV27" s="2656">
        <v>210754.66659698001</v>
      </c>
      <c r="CW27" s="2656">
        <v>214723.08751194002</v>
      </c>
      <c r="CX27" s="2656">
        <v>221940.01058587001</v>
      </c>
      <c r="CY27" s="2656">
        <v>229327.95755876997</v>
      </c>
      <c r="CZ27" s="2656">
        <v>237591.15970956156</v>
      </c>
      <c r="DA27" s="2656">
        <v>229257.85809921002</v>
      </c>
      <c r="DB27" s="2656">
        <v>233361.93871634995</v>
      </c>
      <c r="DC27" s="2656">
        <v>226356.64214428002</v>
      </c>
      <c r="DD27" s="2656">
        <v>224900.90402548001</v>
      </c>
      <c r="DE27" s="2656">
        <v>222116.63754560999</v>
      </c>
      <c r="DF27" s="2656">
        <v>224314.53188190999</v>
      </c>
      <c r="DG27" s="2656">
        <v>226175.33672197</v>
      </c>
      <c r="DH27" s="2656">
        <v>227249.11355501</v>
      </c>
      <c r="DI27" s="2656">
        <v>233932.51732182002</v>
      </c>
      <c r="DJ27" s="2656">
        <v>236574.99271028998</v>
      </c>
      <c r="DK27" s="2656">
        <v>247887.62922751013</v>
      </c>
      <c r="DL27" s="2656">
        <v>260005.77526694001</v>
      </c>
      <c r="DM27" s="2656">
        <v>265909.80497572006</v>
      </c>
      <c r="DN27" s="2656">
        <v>266458.11617938004</v>
      </c>
      <c r="DO27" s="2656">
        <v>269687.33985771006</v>
      </c>
      <c r="DP27" s="2656">
        <v>270333.30208667996</v>
      </c>
      <c r="DQ27" s="2656">
        <v>275703.91501952999</v>
      </c>
      <c r="DR27" s="2656">
        <v>275938.08768713998</v>
      </c>
      <c r="DS27" s="2656">
        <v>285593.39157807006</v>
      </c>
      <c r="DT27" s="2656">
        <v>280698.14165285003</v>
      </c>
      <c r="DU27" s="2656">
        <v>283721.46444056998</v>
      </c>
      <c r="DV27" s="2656">
        <v>302626.33420869999</v>
      </c>
      <c r="DW27" s="2656">
        <v>297923.36164862994</v>
      </c>
      <c r="DX27" s="2656">
        <v>322540.83795550006</v>
      </c>
      <c r="DY27" s="2656">
        <v>340076.22582953994</v>
      </c>
      <c r="DZ27" s="2656">
        <v>363505.06539320003</v>
      </c>
      <c r="EA27" s="2656">
        <v>381162.95334618003</v>
      </c>
      <c r="EB27" s="2656">
        <v>405336.86034859996</v>
      </c>
      <c r="EC27" s="2656">
        <v>404706.26486914</v>
      </c>
      <c r="ED27" s="2656">
        <v>407009.19919022004</v>
      </c>
      <c r="EE27" s="2656">
        <v>427496.24914169993</v>
      </c>
      <c r="EF27" s="2656">
        <v>412751.50048639002</v>
      </c>
      <c r="EG27" s="2656">
        <v>414996.05421099998</v>
      </c>
      <c r="EH27" s="2656">
        <v>434544.36851323</v>
      </c>
      <c r="EI27" s="2656">
        <v>441668.59650290001</v>
      </c>
      <c r="EJ27" s="2656">
        <v>446893.58303823002</v>
      </c>
      <c r="EK27" s="2656">
        <v>452698.32127336995</v>
      </c>
      <c r="EL27" s="2656">
        <v>461744.19383836992</v>
      </c>
      <c r="EM27" s="2656">
        <v>473387.34201029997</v>
      </c>
      <c r="EN27" s="2656">
        <v>463588.94710502005</v>
      </c>
      <c r="EO27" s="2656">
        <v>447475.91802747</v>
      </c>
      <c r="EP27" s="2656">
        <v>484175.61616938002</v>
      </c>
      <c r="EQ27" s="2656">
        <v>457673.67102017003</v>
      </c>
      <c r="ER27" s="2656">
        <v>452944.83698586002</v>
      </c>
      <c r="ES27" s="2656">
        <v>473661.09540925</v>
      </c>
      <c r="ET27" s="2656">
        <v>426307.06556642998</v>
      </c>
      <c r="EU27" s="2656">
        <v>419570.89581264998</v>
      </c>
      <c r="EV27" s="2656">
        <v>455044.19112579001</v>
      </c>
      <c r="EW27" s="2656">
        <v>425651.12527641002</v>
      </c>
      <c r="EX27" s="2656">
        <v>425537.84629463998</v>
      </c>
      <c r="EY27" s="2656">
        <v>438297.19479181</v>
      </c>
      <c r="EZ27" s="2656">
        <v>393992.59225336008</v>
      </c>
      <c r="FA27" s="2656">
        <v>402275.46760252997</v>
      </c>
      <c r="FB27" s="2656">
        <v>449730.40356844995</v>
      </c>
      <c r="FC27" s="2656">
        <v>411599.73013698001</v>
      </c>
      <c r="FD27" s="2656">
        <v>413474.81531472999</v>
      </c>
      <c r="FE27" s="2656">
        <v>414146.18873487</v>
      </c>
      <c r="FF27" s="2656">
        <v>398428.17279546999</v>
      </c>
      <c r="FG27" s="2656">
        <v>399773.41834951</v>
      </c>
      <c r="FH27" s="2656">
        <v>413690.62393682002</v>
      </c>
      <c r="FI27" s="2656">
        <v>414290.75453008997</v>
      </c>
      <c r="FJ27" s="2656">
        <v>419182.92651737999</v>
      </c>
      <c r="FK27" s="2656">
        <v>401348.54695992003</v>
      </c>
      <c r="FL27" s="2657"/>
    </row>
    <row r="28" spans="1:168" ht="4.9000000000000004" customHeight="1" thickBot="1" x14ac:dyDescent="0.35">
      <c r="A28" s="2663"/>
      <c r="B28" s="2663"/>
      <c r="C28" s="2664"/>
      <c r="D28" s="2664"/>
      <c r="E28" s="2664"/>
      <c r="F28" s="2664"/>
      <c r="G28" s="2664"/>
      <c r="H28" s="2664"/>
      <c r="I28" s="2664"/>
      <c r="J28" s="2664"/>
      <c r="K28" s="2664"/>
      <c r="L28" s="2664"/>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2664"/>
      <c r="AT28" s="2664"/>
      <c r="AU28" s="2664"/>
      <c r="AV28" s="2664"/>
      <c r="AW28" s="2664"/>
      <c r="AX28" s="2664"/>
      <c r="AY28" s="2664"/>
      <c r="AZ28" s="2664"/>
      <c r="BA28" s="2664"/>
      <c r="BB28" s="2664"/>
      <c r="BC28" s="2664"/>
      <c r="BD28" s="2664"/>
      <c r="BE28" s="2664"/>
      <c r="BF28" s="2664"/>
      <c r="BG28" s="2664"/>
      <c r="BH28" s="2664"/>
      <c r="BI28" s="2664"/>
      <c r="BJ28" s="2664"/>
      <c r="BK28" s="2664"/>
      <c r="BL28" s="2664"/>
      <c r="BM28" s="2664"/>
      <c r="BN28" s="2664"/>
      <c r="BO28" s="2664"/>
      <c r="BP28" s="2664"/>
      <c r="BQ28" s="2664"/>
      <c r="BR28" s="2664"/>
      <c r="BS28" s="2664"/>
      <c r="BT28" s="2664"/>
      <c r="BU28" s="2664"/>
      <c r="BV28" s="2664"/>
      <c r="BW28" s="2664"/>
      <c r="BX28" s="2664"/>
      <c r="BY28" s="2664"/>
      <c r="BZ28" s="2664"/>
      <c r="CA28" s="2664"/>
      <c r="CB28" s="2664"/>
      <c r="CC28" s="2664"/>
      <c r="CD28" s="2664"/>
      <c r="CE28" s="2664"/>
      <c r="CF28" s="2664"/>
      <c r="CG28" s="2664"/>
      <c r="CH28" s="2664"/>
      <c r="CI28" s="2664"/>
      <c r="CJ28" s="2664"/>
      <c r="CK28" s="2664"/>
      <c r="CL28" s="2664"/>
      <c r="CM28" s="2664"/>
      <c r="CN28" s="2664"/>
      <c r="CO28" s="2664"/>
      <c r="CP28" s="2664"/>
      <c r="CQ28" s="2664"/>
      <c r="CR28" s="2664"/>
      <c r="CS28" s="2664"/>
      <c r="CT28" s="2664"/>
      <c r="CU28" s="2664"/>
      <c r="CV28" s="2664"/>
      <c r="CW28" s="2664"/>
      <c r="CX28" s="2664"/>
      <c r="CY28" s="2664"/>
      <c r="CZ28" s="2664"/>
      <c r="DA28" s="2664"/>
      <c r="DB28" s="2664"/>
      <c r="DC28" s="2664"/>
      <c r="DD28" s="2664"/>
      <c r="DE28" s="2664"/>
      <c r="DF28" s="2664"/>
      <c r="DG28" s="2664"/>
      <c r="DH28" s="2664"/>
      <c r="DI28" s="2664"/>
      <c r="DJ28" s="2664"/>
      <c r="DK28" s="2664"/>
      <c r="DL28" s="2664"/>
      <c r="DM28" s="2664"/>
      <c r="DN28" s="2664"/>
      <c r="DO28" s="2664"/>
      <c r="DP28" s="2664"/>
      <c r="DQ28" s="2664"/>
      <c r="DR28" s="2664"/>
      <c r="DS28" s="2664"/>
      <c r="DT28" s="2664"/>
      <c r="DU28" s="2664"/>
      <c r="DV28" s="2664"/>
      <c r="DW28" s="2664"/>
      <c r="DX28" s="2664"/>
      <c r="DY28" s="2664"/>
      <c r="DZ28" s="2664"/>
      <c r="EA28" s="2664"/>
      <c r="EB28" s="2664"/>
      <c r="EC28" s="2664"/>
      <c r="ED28" s="2664"/>
      <c r="EE28" s="2664"/>
      <c r="EF28" s="2664"/>
      <c r="EG28" s="2664"/>
      <c r="EH28" s="2664"/>
      <c r="EI28" s="2664"/>
      <c r="EJ28" s="2664"/>
      <c r="EK28" s="2664"/>
      <c r="EL28" s="2664"/>
      <c r="EM28" s="2664"/>
      <c r="EN28" s="2664"/>
      <c r="EO28" s="2664"/>
      <c r="EP28" s="2664"/>
      <c r="EQ28" s="2664"/>
      <c r="ER28" s="2664"/>
      <c r="ES28" s="2664"/>
      <c r="ET28" s="2664"/>
      <c r="EU28" s="2664"/>
      <c r="EV28" s="2664"/>
      <c r="EW28" s="2664"/>
      <c r="EX28" s="2664"/>
      <c r="EY28" s="2664"/>
      <c r="EZ28" s="2664"/>
      <c r="FA28" s="2664"/>
      <c r="FB28" s="2664"/>
      <c r="FC28" s="2664"/>
      <c r="FD28" s="2664"/>
      <c r="FE28" s="2664"/>
      <c r="FF28" s="2664"/>
      <c r="FG28" s="2664"/>
      <c r="FH28" s="2664"/>
      <c r="FI28" s="2664"/>
      <c r="FJ28" s="2664"/>
      <c r="FK28" s="2664"/>
      <c r="FL28" s="2657"/>
    </row>
    <row r="29" spans="1:168" ht="12" customHeight="1" thickTop="1" x14ac:dyDescent="0.3">
      <c r="A29" s="624"/>
      <c r="B29" s="624"/>
      <c r="C29" s="2665"/>
      <c r="D29" s="2665"/>
      <c r="E29" s="2665"/>
      <c r="F29" s="2665"/>
      <c r="G29" s="2665"/>
      <c r="H29" s="2665"/>
      <c r="I29" s="2665"/>
      <c r="J29" s="2665"/>
      <c r="K29" s="2665"/>
      <c r="L29" s="2665"/>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2665"/>
      <c r="AT29" s="2665"/>
      <c r="AU29" s="2665"/>
      <c r="AV29" s="2665"/>
      <c r="AW29" s="2665"/>
      <c r="AX29" s="2665"/>
      <c r="AY29" s="2665"/>
      <c r="AZ29" s="2665"/>
      <c r="BA29" s="2665"/>
      <c r="BB29" s="2665"/>
      <c r="BC29" s="2665"/>
      <c r="BD29" s="2665"/>
      <c r="BE29" s="2665"/>
      <c r="BF29" s="2665"/>
      <c r="BG29" s="2665"/>
      <c r="BH29" s="2665"/>
      <c r="BI29" s="2665"/>
      <c r="BJ29" s="2665"/>
      <c r="BK29" s="2665"/>
      <c r="BL29" s="2665"/>
      <c r="BM29" s="2665"/>
      <c r="BN29" s="2665"/>
      <c r="BO29" s="2665"/>
      <c r="BP29" s="2665"/>
      <c r="BQ29" s="2665"/>
      <c r="BR29" s="2665"/>
      <c r="BS29" s="2665"/>
      <c r="BT29" s="2665"/>
      <c r="BU29" s="2665"/>
      <c r="BV29" s="2665"/>
      <c r="BW29" s="2665"/>
      <c r="BX29" s="2665"/>
      <c r="BY29" s="2665"/>
      <c r="BZ29" s="2665"/>
      <c r="CA29" s="2665"/>
      <c r="CB29" s="2665"/>
      <c r="CC29" s="2665"/>
      <c r="CD29" s="2665"/>
      <c r="CE29" s="2665"/>
      <c r="CF29" s="2665"/>
      <c r="CG29" s="2665"/>
      <c r="CH29" s="2665"/>
      <c r="CI29" s="2665"/>
      <c r="CJ29" s="2665"/>
      <c r="CK29" s="2665"/>
      <c r="CL29" s="2665"/>
      <c r="CM29" s="2665"/>
      <c r="CN29" s="2665"/>
      <c r="CO29" s="2665"/>
      <c r="CP29" s="2665"/>
      <c r="CQ29" s="2665"/>
      <c r="CR29" s="2665"/>
      <c r="CS29" s="2665"/>
      <c r="CT29" s="2665"/>
      <c r="CU29" s="2665"/>
      <c r="CV29" s="2665"/>
      <c r="CW29" s="2665"/>
      <c r="CX29" s="2665"/>
      <c r="CY29" s="2665"/>
      <c r="CZ29" s="2665"/>
      <c r="DA29" s="2665"/>
      <c r="DB29" s="2665"/>
      <c r="DC29" s="2665"/>
      <c r="DD29" s="2665"/>
      <c r="DE29" s="2665"/>
      <c r="DF29" s="2665"/>
      <c r="DG29" s="2665"/>
      <c r="DH29" s="2665"/>
      <c r="DI29" s="2665"/>
      <c r="DJ29" s="2665"/>
      <c r="DK29" s="2665"/>
      <c r="DL29" s="2665"/>
      <c r="DM29" s="2665"/>
      <c r="DN29" s="2665"/>
      <c r="DO29" s="2665"/>
      <c r="DP29" s="2665"/>
      <c r="DQ29" s="2665"/>
      <c r="DR29" s="2665"/>
      <c r="DS29" s="2665"/>
      <c r="DT29" s="2665"/>
      <c r="DU29" s="2665"/>
      <c r="DV29" s="2665"/>
      <c r="DW29" s="2665"/>
      <c r="DX29" s="2665"/>
      <c r="DY29" s="2665"/>
      <c r="DZ29" s="2665"/>
      <c r="EA29" s="2665"/>
      <c r="EB29" s="2665"/>
      <c r="EC29" s="2665"/>
      <c r="ED29" s="2665"/>
      <c r="EE29" s="2665"/>
      <c r="EF29" s="2665"/>
      <c r="EG29" s="2665"/>
      <c r="EH29" s="2665"/>
      <c r="EI29" s="2665"/>
      <c r="EJ29" s="2665"/>
      <c r="EK29" s="2665"/>
      <c r="EL29" s="2665"/>
      <c r="EM29" s="2665"/>
      <c r="EN29" s="2665"/>
      <c r="EO29" s="2665"/>
      <c r="EP29" s="2665"/>
      <c r="EQ29" s="2665"/>
      <c r="ER29" s="2665"/>
      <c r="ES29" s="2665"/>
      <c r="ET29" s="2665"/>
      <c r="EU29" s="2665"/>
      <c r="EV29" s="2665"/>
      <c r="EW29" s="2665"/>
      <c r="EX29" s="2665"/>
      <c r="EY29" s="2665"/>
      <c r="EZ29" s="2665"/>
      <c r="FA29" s="2665"/>
      <c r="FB29" s="2665"/>
      <c r="FC29" s="2665"/>
      <c r="FD29" s="2665"/>
      <c r="FE29" s="2665"/>
      <c r="FF29" s="2665"/>
      <c r="FG29" s="2665"/>
      <c r="FH29" s="2665"/>
      <c r="FI29" s="2665"/>
      <c r="FJ29" s="2665"/>
      <c r="FK29" s="2665"/>
      <c r="FL29" s="2657"/>
    </row>
    <row r="30" spans="1:168" ht="6.75" customHeight="1" thickBot="1" x14ac:dyDescent="0.35">
      <c r="A30" s="624"/>
      <c r="B30" s="624"/>
      <c r="C30" s="2666"/>
      <c r="D30" s="2666"/>
      <c r="E30" s="2666"/>
      <c r="F30" s="2666"/>
      <c r="G30" s="2666"/>
      <c r="H30" s="2666"/>
      <c r="I30" s="2666"/>
      <c r="J30" s="2666"/>
      <c r="K30" s="2666"/>
      <c r="L30" s="2666"/>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2666"/>
      <c r="AT30" s="2666"/>
      <c r="AU30" s="2666"/>
      <c r="AV30" s="2666"/>
      <c r="AW30" s="2666"/>
      <c r="AX30" s="2666"/>
      <c r="AY30" s="2666"/>
      <c r="AZ30" s="2666"/>
      <c r="BA30" s="2666"/>
      <c r="BB30" s="2666"/>
      <c r="BC30" s="2666"/>
      <c r="BD30" s="2666"/>
      <c r="BE30" s="2666"/>
      <c r="BF30" s="2666"/>
      <c r="BG30" s="2666"/>
      <c r="BH30" s="2666"/>
      <c r="BI30" s="2666"/>
      <c r="BJ30" s="2666"/>
      <c r="BK30" s="2666"/>
      <c r="BL30" s="2666"/>
      <c r="BM30" s="2666"/>
      <c r="BN30" s="2666"/>
      <c r="BO30" s="2666"/>
      <c r="BP30" s="2666"/>
      <c r="BQ30" s="2666"/>
      <c r="BR30" s="2666"/>
      <c r="BS30" s="2666"/>
      <c r="BT30" s="2666"/>
      <c r="BU30" s="2666"/>
      <c r="BV30" s="2666"/>
      <c r="BW30" s="2666"/>
      <c r="BX30" s="2666"/>
      <c r="BY30" s="2666"/>
      <c r="BZ30" s="2666"/>
      <c r="CA30" s="2666"/>
      <c r="CB30" s="2666"/>
      <c r="CC30" s="2666"/>
      <c r="CD30" s="2666"/>
      <c r="CE30" s="2666"/>
      <c r="CF30" s="2666"/>
      <c r="CG30" s="2666"/>
      <c r="CH30" s="2666"/>
      <c r="CI30" s="2666"/>
      <c r="CJ30" s="2666"/>
      <c r="CK30" s="2666"/>
      <c r="CL30" s="2666"/>
      <c r="CM30" s="2666"/>
      <c r="CN30" s="2666"/>
      <c r="CO30" s="2666"/>
      <c r="CP30" s="2666"/>
      <c r="CQ30" s="2666"/>
      <c r="CR30" s="2666"/>
      <c r="CS30" s="2666"/>
      <c r="CT30" s="2666"/>
      <c r="CU30" s="2666"/>
      <c r="CV30" s="2666"/>
      <c r="CW30" s="2666"/>
      <c r="CX30" s="2666"/>
      <c r="CY30" s="2666"/>
      <c r="CZ30" s="2666"/>
      <c r="DA30" s="2666"/>
      <c r="DB30" s="2666"/>
      <c r="DC30" s="2666"/>
      <c r="DD30" s="2666"/>
      <c r="DE30" s="2666"/>
      <c r="DF30" s="2666"/>
      <c r="DG30" s="2666"/>
      <c r="DH30" s="2666"/>
      <c r="DI30" s="2666"/>
      <c r="DJ30" s="2666"/>
      <c r="DK30" s="2666"/>
      <c r="DL30" s="2666"/>
      <c r="DM30" s="2666"/>
      <c r="DN30" s="2666"/>
      <c r="DO30" s="2666"/>
      <c r="DP30" s="2666"/>
      <c r="DQ30" s="2666"/>
      <c r="DR30" s="2666"/>
      <c r="DS30" s="2666"/>
      <c r="DT30" s="2666"/>
      <c r="DU30" s="2666"/>
      <c r="DV30" s="2666"/>
      <c r="DW30" s="2666"/>
      <c r="DX30" s="2666"/>
      <c r="DY30" s="2666"/>
      <c r="DZ30" s="2666"/>
      <c r="EA30" s="2666"/>
      <c r="EB30" s="2666"/>
      <c r="EC30" s="2666"/>
      <c r="ED30" s="2666"/>
      <c r="EE30" s="2666"/>
      <c r="EF30" s="2666"/>
      <c r="EG30" s="2666"/>
      <c r="EH30" s="2666"/>
      <c r="EI30" s="2666"/>
      <c r="EJ30" s="2666"/>
      <c r="EK30" s="2666"/>
      <c r="EL30" s="2666"/>
      <c r="EM30" s="2666"/>
      <c r="EN30" s="2666"/>
      <c r="EO30" s="2666"/>
      <c r="EP30" s="2666"/>
      <c r="EQ30" s="2666"/>
      <c r="ER30" s="2666"/>
      <c r="ES30" s="2666"/>
      <c r="ET30" s="2666"/>
      <c r="EU30" s="2666"/>
      <c r="EV30" s="2666"/>
      <c r="EW30" s="2666"/>
      <c r="EX30" s="2666"/>
      <c r="EY30" s="2666"/>
      <c r="EZ30" s="2666"/>
      <c r="FA30" s="2666"/>
      <c r="FB30" s="2666"/>
      <c r="FC30" s="2666"/>
      <c r="FD30" s="2666"/>
      <c r="FE30" s="2666"/>
      <c r="FF30" s="2666"/>
      <c r="FG30" s="2666"/>
      <c r="FH30" s="2666"/>
      <c r="FI30" s="2666"/>
      <c r="FJ30" s="2666"/>
      <c r="FK30" s="2666"/>
      <c r="FL30" s="2657"/>
    </row>
    <row r="31" spans="1:168" ht="24.75" customHeight="1" thickTop="1" thickBot="1" x14ac:dyDescent="0.35">
      <c r="A31" s="2651" t="s">
        <v>2502</v>
      </c>
      <c r="B31" s="2651" t="s">
        <v>791</v>
      </c>
      <c r="C31" s="2652">
        <f>C3</f>
        <v>40179</v>
      </c>
      <c r="D31" s="2652">
        <f>D3</f>
        <v>40211</v>
      </c>
      <c r="E31" s="2652">
        <f t="shared" ref="E31:AO31" si="0">E3</f>
        <v>40239</v>
      </c>
      <c r="F31" s="2652">
        <f t="shared" si="0"/>
        <v>40270</v>
      </c>
      <c r="G31" s="2652">
        <f t="shared" si="0"/>
        <v>40300</v>
      </c>
      <c r="H31" s="2652">
        <f t="shared" si="0"/>
        <v>40331</v>
      </c>
      <c r="I31" s="2652">
        <f t="shared" si="0"/>
        <v>40361</v>
      </c>
      <c r="J31" s="2652">
        <f t="shared" si="0"/>
        <v>40392</v>
      </c>
      <c r="K31" s="2652">
        <f t="shared" si="0"/>
        <v>40423</v>
      </c>
      <c r="L31" s="2652">
        <f t="shared" si="0"/>
        <v>40453</v>
      </c>
      <c r="M31" s="2652">
        <f t="shared" si="0"/>
        <v>40484</v>
      </c>
      <c r="N31" s="2652">
        <f t="shared" si="0"/>
        <v>40514</v>
      </c>
      <c r="O31" s="2652">
        <f t="shared" si="0"/>
        <v>40545</v>
      </c>
      <c r="P31" s="2652">
        <f t="shared" si="0"/>
        <v>40576</v>
      </c>
      <c r="Q31" s="2652">
        <f t="shared" si="0"/>
        <v>40604</v>
      </c>
      <c r="R31" s="2652">
        <f t="shared" si="0"/>
        <v>40635</v>
      </c>
      <c r="S31" s="2652">
        <f t="shared" si="0"/>
        <v>40665</v>
      </c>
      <c r="T31" s="2652">
        <f t="shared" si="0"/>
        <v>40696</v>
      </c>
      <c r="U31" s="2652">
        <f t="shared" si="0"/>
        <v>40726</v>
      </c>
      <c r="V31" s="2652">
        <f t="shared" si="0"/>
        <v>40757</v>
      </c>
      <c r="W31" s="2652">
        <f t="shared" si="0"/>
        <v>40788</v>
      </c>
      <c r="X31" s="2652">
        <f t="shared" si="0"/>
        <v>40818</v>
      </c>
      <c r="Y31" s="2652">
        <f t="shared" si="0"/>
        <v>40849</v>
      </c>
      <c r="Z31" s="2652">
        <f t="shared" si="0"/>
        <v>40879</v>
      </c>
      <c r="AA31" s="2652">
        <f t="shared" si="0"/>
        <v>40910</v>
      </c>
      <c r="AB31" s="2652">
        <f t="shared" si="0"/>
        <v>40941</v>
      </c>
      <c r="AC31" s="2652">
        <f t="shared" si="0"/>
        <v>40970</v>
      </c>
      <c r="AD31" s="2652">
        <f t="shared" si="0"/>
        <v>41001</v>
      </c>
      <c r="AE31" s="2652">
        <f t="shared" si="0"/>
        <v>41031</v>
      </c>
      <c r="AF31" s="2652">
        <f t="shared" si="0"/>
        <v>41062</v>
      </c>
      <c r="AG31" s="2652">
        <f t="shared" si="0"/>
        <v>41092</v>
      </c>
      <c r="AH31" s="2652">
        <f t="shared" si="0"/>
        <v>41123</v>
      </c>
      <c r="AI31" s="2652">
        <f t="shared" si="0"/>
        <v>41154</v>
      </c>
      <c r="AJ31" s="2652">
        <f t="shared" si="0"/>
        <v>41184</v>
      </c>
      <c r="AK31" s="2652">
        <f t="shared" si="0"/>
        <v>41215</v>
      </c>
      <c r="AL31" s="2652">
        <f t="shared" si="0"/>
        <v>41245</v>
      </c>
      <c r="AM31" s="2652">
        <f t="shared" si="0"/>
        <v>41276</v>
      </c>
      <c r="AN31" s="2652">
        <f t="shared" si="0"/>
        <v>41307</v>
      </c>
      <c r="AO31" s="2652">
        <f t="shared" si="0"/>
        <v>41335</v>
      </c>
      <c r="AP31" s="2652">
        <f>AP3</f>
        <v>41366</v>
      </c>
      <c r="AQ31" s="2652">
        <f>AQ3</f>
        <v>41396</v>
      </c>
      <c r="AR31" s="2652">
        <f>AR3</f>
        <v>41427</v>
      </c>
      <c r="AS31" s="2652">
        <f>AS3</f>
        <v>41457</v>
      </c>
      <c r="AT31" s="2652">
        <f>AT3</f>
        <v>41488</v>
      </c>
      <c r="AU31" s="2652">
        <v>41519</v>
      </c>
      <c r="AV31" s="2652">
        <f>AV3</f>
        <v>41549</v>
      </c>
      <c r="AW31" s="2652">
        <v>41580</v>
      </c>
      <c r="AX31" s="2652">
        <v>41610</v>
      </c>
      <c r="AY31" s="2652">
        <v>41641</v>
      </c>
      <c r="AZ31" s="2652">
        <v>41672</v>
      </c>
      <c r="BA31" s="2652">
        <v>41700</v>
      </c>
      <c r="BB31" s="2652">
        <v>41731</v>
      </c>
      <c r="BC31" s="2652">
        <v>41761</v>
      </c>
      <c r="BD31" s="2652">
        <f>BD3</f>
        <v>41791</v>
      </c>
      <c r="BE31" s="2652">
        <v>41822</v>
      </c>
      <c r="BF31" s="2652">
        <f>BF3</f>
        <v>41853</v>
      </c>
      <c r="BG31" s="2652">
        <f>BG3</f>
        <v>41884</v>
      </c>
      <c r="BH31" s="2652">
        <v>41914</v>
      </c>
      <c r="BI31" s="2652">
        <v>41945</v>
      </c>
      <c r="BJ31" s="2652">
        <v>41975</v>
      </c>
      <c r="BK31" s="2652">
        <v>42006</v>
      </c>
      <c r="BL31" s="2652">
        <v>42037</v>
      </c>
      <c r="BM31" s="2652">
        <v>42065</v>
      </c>
      <c r="BN31" s="2652">
        <v>42096</v>
      </c>
      <c r="BO31" s="2652">
        <v>42126</v>
      </c>
      <c r="BP31" s="2652">
        <v>42157</v>
      </c>
      <c r="BQ31" s="2652">
        <v>42187</v>
      </c>
      <c r="BR31" s="2652">
        <v>42218</v>
      </c>
      <c r="BS31" s="2652">
        <v>42249</v>
      </c>
      <c r="BT31" s="2652">
        <v>42279</v>
      </c>
      <c r="BU31" s="2652">
        <v>42310</v>
      </c>
      <c r="BV31" s="2652">
        <v>42340</v>
      </c>
      <c r="BW31" s="2652">
        <v>42371</v>
      </c>
      <c r="BX31" s="2652">
        <v>42402</v>
      </c>
      <c r="BY31" s="2652">
        <v>42431</v>
      </c>
      <c r="BZ31" s="2652">
        <v>42462</v>
      </c>
      <c r="CA31" s="2652">
        <v>42492</v>
      </c>
      <c r="CB31" s="2652">
        <v>42523</v>
      </c>
      <c r="CC31" s="2652">
        <v>42553</v>
      </c>
      <c r="CD31" s="2652">
        <v>42584</v>
      </c>
      <c r="CE31" s="2652">
        <v>42615</v>
      </c>
      <c r="CF31" s="2652">
        <v>42645</v>
      </c>
      <c r="CG31" s="2652">
        <v>42676</v>
      </c>
      <c r="CH31" s="2652">
        <v>42706</v>
      </c>
      <c r="CI31" s="2652">
        <v>42737</v>
      </c>
      <c r="CJ31" s="2652">
        <v>42768</v>
      </c>
      <c r="CK31" s="2652">
        <v>42796</v>
      </c>
      <c r="CL31" s="2652">
        <v>42827</v>
      </c>
      <c r="CM31" s="2652">
        <v>42857</v>
      </c>
      <c r="CN31" s="2652">
        <v>42888</v>
      </c>
      <c r="CO31" s="2652">
        <v>42918</v>
      </c>
      <c r="CP31" s="2652">
        <v>42949</v>
      </c>
      <c r="CQ31" s="2652">
        <v>42980</v>
      </c>
      <c r="CR31" s="2652">
        <v>43010</v>
      </c>
      <c r="CS31" s="2652">
        <v>43041</v>
      </c>
      <c r="CT31" s="2652">
        <v>43071</v>
      </c>
      <c r="CU31" s="2652">
        <v>43102</v>
      </c>
      <c r="CV31" s="2652">
        <v>43133</v>
      </c>
      <c r="CW31" s="2652">
        <v>43161</v>
      </c>
      <c r="CX31" s="2652">
        <v>43192</v>
      </c>
      <c r="CY31" s="2652">
        <v>43222</v>
      </c>
      <c r="CZ31" s="2652">
        <v>43253</v>
      </c>
      <c r="DA31" s="2652">
        <v>43283</v>
      </c>
      <c r="DB31" s="2652">
        <v>43314</v>
      </c>
      <c r="DC31" s="2652">
        <v>43345</v>
      </c>
      <c r="DD31" s="2652">
        <v>43375</v>
      </c>
      <c r="DE31" s="2652">
        <v>43406</v>
      </c>
      <c r="DF31" s="2652">
        <v>43436</v>
      </c>
      <c r="DG31" s="2652">
        <v>43467</v>
      </c>
      <c r="DH31" s="2652">
        <v>43498</v>
      </c>
      <c r="DI31" s="2652">
        <v>43526</v>
      </c>
      <c r="DJ31" s="2652">
        <v>43557</v>
      </c>
      <c r="DK31" s="2652">
        <f>DK3</f>
        <v>43587</v>
      </c>
      <c r="DL31" s="2652">
        <v>43618</v>
      </c>
      <c r="DM31" s="2652">
        <v>43648</v>
      </c>
      <c r="DN31" s="2652">
        <v>43679</v>
      </c>
      <c r="DO31" s="2652">
        <v>43710</v>
      </c>
      <c r="DP31" s="2652">
        <v>43740</v>
      </c>
      <c r="DQ31" s="2652">
        <v>43771</v>
      </c>
      <c r="DR31" s="2652">
        <v>43801</v>
      </c>
      <c r="DS31" s="2652">
        <v>43832</v>
      </c>
      <c r="DT31" s="2652">
        <v>43863</v>
      </c>
      <c r="DU31" s="2652" t="s">
        <v>477</v>
      </c>
      <c r="DV31" s="2652" t="s">
        <v>2503</v>
      </c>
      <c r="DW31" s="2652" t="s">
        <v>2504</v>
      </c>
      <c r="DX31" s="2652" t="s">
        <v>479</v>
      </c>
      <c r="DY31" s="2652" t="s">
        <v>314</v>
      </c>
      <c r="DZ31" s="2652" t="s">
        <v>315</v>
      </c>
      <c r="EA31" s="2652" t="s">
        <v>316</v>
      </c>
      <c r="EB31" s="2652" t="s">
        <v>317</v>
      </c>
      <c r="EC31" s="2652" t="s">
        <v>318</v>
      </c>
      <c r="ED31" s="2652" t="s">
        <v>319</v>
      </c>
      <c r="EE31" s="2652" t="s">
        <v>320</v>
      </c>
      <c r="EF31" s="2652" t="s">
        <v>321</v>
      </c>
      <c r="EG31" s="2652" t="s">
        <v>322</v>
      </c>
      <c r="EH31" s="2652">
        <v>44287</v>
      </c>
      <c r="EI31" s="2652">
        <v>44317</v>
      </c>
      <c r="EJ31" s="2652">
        <v>44348</v>
      </c>
      <c r="EK31" s="2652">
        <v>44378</v>
      </c>
      <c r="EL31" s="2652">
        <v>44409</v>
      </c>
      <c r="EM31" s="2652">
        <v>44440</v>
      </c>
      <c r="EN31" s="2652">
        <v>44470</v>
      </c>
      <c r="EO31" s="2652">
        <v>44501</v>
      </c>
      <c r="EP31" s="2652">
        <v>44531</v>
      </c>
      <c r="EQ31" s="2652">
        <v>44562</v>
      </c>
      <c r="ER31" s="2652">
        <v>44593</v>
      </c>
      <c r="ES31" s="2652">
        <v>44621</v>
      </c>
      <c r="ET31" s="2652">
        <v>44652</v>
      </c>
      <c r="EU31" s="2652">
        <v>44682</v>
      </c>
      <c r="EV31" s="2652">
        <v>44713</v>
      </c>
      <c r="EW31" s="2652">
        <v>44743</v>
      </c>
      <c r="EX31" s="2652">
        <v>44774</v>
      </c>
      <c r="EY31" s="2652">
        <v>44805</v>
      </c>
      <c r="EZ31" s="2652" t="s">
        <v>2506</v>
      </c>
      <c r="FA31" s="2652">
        <v>44866</v>
      </c>
      <c r="FB31" s="2652">
        <v>44896</v>
      </c>
      <c r="FC31" s="2652">
        <v>44927</v>
      </c>
      <c r="FD31" s="2652">
        <v>44958</v>
      </c>
      <c r="FE31" s="2652">
        <v>44986</v>
      </c>
      <c r="FF31" s="2652">
        <v>45017</v>
      </c>
      <c r="FG31" s="2652">
        <v>45047</v>
      </c>
      <c r="FH31" s="2652">
        <v>45078</v>
      </c>
      <c r="FI31" s="2652">
        <v>45108</v>
      </c>
      <c r="FJ31" s="2652">
        <v>45139</v>
      </c>
      <c r="FK31" s="2652">
        <v>45170</v>
      </c>
      <c r="FL31" s="2657"/>
    </row>
    <row r="32" spans="1:168" ht="16.5" customHeight="1" thickTop="1" x14ac:dyDescent="0.3">
      <c r="A32" s="2658"/>
      <c r="B32" s="2667"/>
      <c r="C32" s="2659"/>
      <c r="D32" s="2659"/>
      <c r="E32" s="2659"/>
      <c r="F32" s="2659"/>
      <c r="G32" s="2659"/>
      <c r="H32" s="2659"/>
      <c r="I32" s="2659"/>
      <c r="J32" s="2659"/>
      <c r="K32" s="2659"/>
      <c r="L32" s="2659"/>
      <c r="M32" s="2659"/>
      <c r="N32" s="2659"/>
      <c r="O32" s="2659"/>
      <c r="P32" s="2659"/>
      <c r="Q32" s="2659"/>
      <c r="R32" s="2659"/>
      <c r="S32" s="2659"/>
      <c r="T32" s="2659"/>
      <c r="U32" s="2659"/>
      <c r="V32" s="2659"/>
      <c r="W32" s="2659"/>
      <c r="X32" s="2659"/>
      <c r="Y32" s="2659"/>
      <c r="Z32" s="2659"/>
      <c r="AA32" s="2659"/>
      <c r="AB32" s="2659"/>
      <c r="AC32" s="2659"/>
      <c r="AD32" s="2659"/>
      <c r="AE32" s="2659"/>
      <c r="AF32" s="2659"/>
      <c r="AG32" s="2659"/>
      <c r="AH32" s="2659"/>
      <c r="AI32" s="2659"/>
      <c r="AJ32" s="2659"/>
      <c r="AK32" s="2659"/>
      <c r="AL32" s="2659"/>
      <c r="AM32" s="2659"/>
      <c r="AN32" s="2659"/>
      <c r="AO32" s="2659"/>
      <c r="AP32" s="2659"/>
      <c r="AQ32" s="2659"/>
      <c r="AR32" s="2659"/>
      <c r="AS32" s="2659"/>
      <c r="AT32" s="2659"/>
      <c r="AU32" s="2659"/>
      <c r="AV32" s="2659"/>
      <c r="AW32" s="2659"/>
      <c r="AX32" s="2659"/>
      <c r="AY32" s="2659"/>
      <c r="AZ32" s="2659"/>
      <c r="BA32" s="2659"/>
      <c r="BB32" s="2659"/>
      <c r="BC32" s="2659"/>
      <c r="BD32" s="2659"/>
      <c r="BE32" s="2659"/>
      <c r="BF32" s="2659"/>
      <c r="BG32" s="2659"/>
      <c r="BH32" s="2659"/>
      <c r="BI32" s="2659"/>
      <c r="BJ32" s="2659"/>
      <c r="BK32" s="2659"/>
      <c r="BL32" s="2659"/>
      <c r="BM32" s="2659"/>
      <c r="BN32" s="2659"/>
      <c r="BO32" s="2659"/>
      <c r="BP32" s="2659"/>
      <c r="BQ32" s="2659"/>
      <c r="BR32" s="2659"/>
      <c r="BS32" s="2659"/>
      <c r="BT32" s="2659"/>
      <c r="BU32" s="2659"/>
      <c r="BV32" s="2659"/>
      <c r="BW32" s="2659"/>
      <c r="BX32" s="2659"/>
      <c r="BY32" s="2659"/>
      <c r="BZ32" s="2659"/>
      <c r="CA32" s="2659"/>
      <c r="CB32" s="2659"/>
      <c r="CC32" s="2659"/>
      <c r="CD32" s="2659"/>
      <c r="CE32" s="2659"/>
      <c r="CF32" s="2659"/>
      <c r="CG32" s="2659"/>
      <c r="CH32" s="2659"/>
      <c r="CI32" s="2659"/>
      <c r="CJ32" s="2659"/>
      <c r="CK32" s="2659"/>
      <c r="CL32" s="2659"/>
      <c r="CM32" s="2659"/>
      <c r="CN32" s="2659"/>
      <c r="CO32" s="2659"/>
      <c r="CP32" s="2659"/>
      <c r="CQ32" s="2659"/>
      <c r="CR32" s="2659"/>
      <c r="CS32" s="2659"/>
      <c r="CT32" s="2659"/>
      <c r="CU32" s="2659"/>
      <c r="CV32" s="2659"/>
      <c r="CW32" s="2659"/>
      <c r="CX32" s="2659"/>
      <c r="CY32" s="2659"/>
      <c r="CZ32" s="2659"/>
      <c r="DA32" s="2659"/>
      <c r="DB32" s="2659"/>
      <c r="DC32" s="2659"/>
      <c r="DD32" s="2659"/>
      <c r="DE32" s="2659"/>
      <c r="DF32" s="2659"/>
      <c r="DG32" s="2659"/>
      <c r="DH32" s="2659"/>
      <c r="DI32" s="2659"/>
      <c r="DJ32" s="2659"/>
      <c r="DK32" s="2659"/>
      <c r="DL32" s="2659"/>
      <c r="DM32" s="2659"/>
      <c r="DN32" s="2659"/>
      <c r="DO32" s="2659"/>
      <c r="DP32" s="2659"/>
      <c r="DQ32" s="2659"/>
      <c r="DR32" s="2659"/>
      <c r="DS32" s="2659"/>
      <c r="DT32" s="2659"/>
      <c r="DU32" s="2659"/>
      <c r="DV32" s="2659"/>
      <c r="DW32" s="2659"/>
      <c r="DX32" s="2659"/>
      <c r="DY32" s="2659"/>
      <c r="DZ32" s="2659"/>
      <c r="EA32" s="2659"/>
      <c r="EB32" s="2659"/>
      <c r="EC32" s="2659"/>
      <c r="ED32" s="2659"/>
      <c r="EE32" s="2659"/>
      <c r="EF32" s="2659"/>
      <c r="EG32" s="2659"/>
      <c r="EH32" s="2659"/>
      <c r="EI32" s="2659"/>
      <c r="EJ32" s="2659"/>
      <c r="EK32" s="2659"/>
      <c r="EL32" s="2659"/>
      <c r="EM32" s="2659"/>
      <c r="EN32" s="2659"/>
      <c r="EO32" s="2659"/>
      <c r="EP32" s="2659"/>
      <c r="EQ32" s="2659"/>
      <c r="ER32" s="2659"/>
      <c r="ES32" s="2659"/>
      <c r="ET32" s="2659"/>
      <c r="EU32" s="2659"/>
      <c r="EV32" s="2659"/>
      <c r="EW32" s="2659"/>
      <c r="EX32" s="2659"/>
      <c r="EY32" s="2659"/>
      <c r="EZ32" s="2659"/>
      <c r="FA32" s="2659"/>
      <c r="FB32" s="2659"/>
      <c r="FC32" s="2659"/>
      <c r="FD32" s="2659"/>
      <c r="FE32" s="2659"/>
      <c r="FF32" s="2659"/>
      <c r="FG32" s="2659"/>
      <c r="FH32" s="2659"/>
      <c r="FI32" s="2659"/>
      <c r="FJ32" s="2659"/>
      <c r="FK32" s="2659"/>
      <c r="FL32" s="2657"/>
    </row>
    <row r="33" spans="1:168" ht="16.5" customHeight="1" x14ac:dyDescent="0.3">
      <c r="A33" s="2655" t="s">
        <v>2533</v>
      </c>
      <c r="B33" s="2655" t="s">
        <v>2488</v>
      </c>
      <c r="C33" s="2656">
        <v>18952.441887060002</v>
      </c>
      <c r="D33" s="2656">
        <v>18641.061393979999</v>
      </c>
      <c r="E33" s="2656">
        <v>18743.303560849996</v>
      </c>
      <c r="F33" s="2656">
        <v>18751.685785169997</v>
      </c>
      <c r="G33" s="2656">
        <v>18911.351549290001</v>
      </c>
      <c r="H33" s="2656">
        <v>18649.461355769999</v>
      </c>
      <c r="I33" s="2656">
        <v>18959.472219740001</v>
      </c>
      <c r="J33" s="2656">
        <v>19099.734956819997</v>
      </c>
      <c r="K33" s="2656">
        <v>19096.175257759998</v>
      </c>
      <c r="L33" s="2656">
        <v>19126.732547099997</v>
      </c>
      <c r="M33" s="2656">
        <v>19515.158774399999</v>
      </c>
      <c r="N33" s="2656">
        <v>22591.76147184</v>
      </c>
      <c r="O33" s="2656">
        <v>21236.65837347</v>
      </c>
      <c r="P33" s="2656">
        <v>20538.891013150002</v>
      </c>
      <c r="Q33" s="2656">
        <v>20556.85096652</v>
      </c>
      <c r="R33" s="2656">
        <v>20352.834272419997</v>
      </c>
      <c r="S33" s="2656">
        <v>20595.249062759998</v>
      </c>
      <c r="T33" s="2656">
        <v>20453.797603709998</v>
      </c>
      <c r="U33" s="2656">
        <v>20905.664051119998</v>
      </c>
      <c r="V33" s="2656">
        <v>21645.42161148</v>
      </c>
      <c r="W33" s="2656">
        <v>21156.80149025</v>
      </c>
      <c r="X33" s="2656">
        <v>21838.137164569998</v>
      </c>
      <c r="Y33" s="2656">
        <v>21414.945182689997</v>
      </c>
      <c r="Z33" s="2656">
        <v>24469.755843179999</v>
      </c>
      <c r="AA33" s="2656">
        <v>22588.058014799997</v>
      </c>
      <c r="AB33" s="2656">
        <v>22171.260158819998</v>
      </c>
      <c r="AC33" s="2656">
        <v>21862.04674324</v>
      </c>
      <c r="AD33" s="2656">
        <v>21939.357956429998</v>
      </c>
      <c r="AE33" s="2656">
        <v>22081.98990434</v>
      </c>
      <c r="AF33" s="2656">
        <v>21745.491674569999</v>
      </c>
      <c r="AG33" s="2656">
        <v>22149.626996290001</v>
      </c>
      <c r="AH33" s="2656">
        <v>22572.425488049998</v>
      </c>
      <c r="AI33" s="2656">
        <v>22452.776109720002</v>
      </c>
      <c r="AJ33" s="2656">
        <v>23032.897365330002</v>
      </c>
      <c r="AK33" s="2656">
        <v>23216.152670249998</v>
      </c>
      <c r="AL33" s="2656">
        <v>26961.314001819999</v>
      </c>
      <c r="AM33" s="2656">
        <v>25163.105337090001</v>
      </c>
      <c r="AN33" s="2656">
        <v>24498.755108590001</v>
      </c>
      <c r="AO33" s="2656">
        <v>24955.023412139999</v>
      </c>
      <c r="AP33" s="2656">
        <v>24919.571457469996</v>
      </c>
      <c r="AQ33" s="2656">
        <v>24588.03063723</v>
      </c>
      <c r="AR33" s="2656">
        <v>24405.038596909999</v>
      </c>
      <c r="AS33" s="2656">
        <v>25220.77754155</v>
      </c>
      <c r="AT33" s="2656">
        <v>25317.262526309998</v>
      </c>
      <c r="AU33" s="2656">
        <v>24906.271864289996</v>
      </c>
      <c r="AV33" s="2656">
        <v>25514.94680301</v>
      </c>
      <c r="AW33" s="2656">
        <v>25355.99961635</v>
      </c>
      <c r="AX33" s="2656">
        <v>30127.65067585</v>
      </c>
      <c r="AY33" s="2656">
        <v>27335.793403099997</v>
      </c>
      <c r="AZ33" s="2656">
        <v>26937.436175199997</v>
      </c>
      <c r="BA33" s="2656">
        <v>26769.000060089998</v>
      </c>
      <c r="BB33" s="2656">
        <v>26721.178490309998</v>
      </c>
      <c r="BC33" s="2656">
        <v>26022.338344529999</v>
      </c>
      <c r="BD33" s="2656">
        <v>26344.899356469996</v>
      </c>
      <c r="BE33" s="2656">
        <v>27338.762973989997</v>
      </c>
      <c r="BF33" s="2656">
        <v>26980.232630539998</v>
      </c>
      <c r="BG33" s="2656">
        <v>26570.910404800001</v>
      </c>
      <c r="BH33" s="2656">
        <v>26596.024344789996</v>
      </c>
      <c r="BI33" s="2656">
        <v>27231.957308459998</v>
      </c>
      <c r="BJ33" s="2656">
        <v>32530.922907949996</v>
      </c>
      <c r="BK33" s="2656">
        <v>28693.542673849999</v>
      </c>
      <c r="BL33" s="2656">
        <v>28537.310704579999</v>
      </c>
      <c r="BM33" s="2656">
        <v>28235.79267477</v>
      </c>
      <c r="BN33" s="2656">
        <v>28891.639225089999</v>
      </c>
      <c r="BO33" s="2656">
        <v>28381.598166739997</v>
      </c>
      <c r="BP33" s="2656">
        <v>28401.159025539997</v>
      </c>
      <c r="BQ33" s="2656">
        <v>29084.588811319998</v>
      </c>
      <c r="BR33" s="2656">
        <v>28788.739345999998</v>
      </c>
      <c r="BS33" s="2656">
        <v>28816.358797509998</v>
      </c>
      <c r="BT33" s="2656">
        <v>29134.156574879999</v>
      </c>
      <c r="BU33" s="2656">
        <v>29138.429183199998</v>
      </c>
      <c r="BV33" s="2656">
        <v>33337.37905756</v>
      </c>
      <c r="BW33" s="2656">
        <v>31171.009461819998</v>
      </c>
      <c r="BX33" s="2656">
        <v>30647.284968779997</v>
      </c>
      <c r="BY33" s="2656">
        <v>30743.296292809999</v>
      </c>
      <c r="BZ33" s="2656">
        <v>30447.59312302</v>
      </c>
      <c r="CA33" s="2656">
        <v>30571.560486869999</v>
      </c>
      <c r="CB33" s="2656">
        <v>30580.84748371</v>
      </c>
      <c r="CC33" s="2656">
        <v>31022.94784166</v>
      </c>
      <c r="CD33" s="2656">
        <v>31154.782347649998</v>
      </c>
      <c r="CE33" s="2656">
        <v>31412.19991146</v>
      </c>
      <c r="CF33" s="2656">
        <v>31813.8796005</v>
      </c>
      <c r="CG33" s="2656">
        <v>31992.048036119999</v>
      </c>
      <c r="CH33" s="2656">
        <v>35918.397170519995</v>
      </c>
      <c r="CI33" s="2656">
        <v>34021.84120132</v>
      </c>
      <c r="CJ33" s="2656">
        <v>33440.569531870002</v>
      </c>
      <c r="CK33" s="2656">
        <v>33640.358126409999</v>
      </c>
      <c r="CL33" s="2656">
        <v>33183.677823489998</v>
      </c>
      <c r="CM33" s="2656">
        <v>32557.513193549999</v>
      </c>
      <c r="CN33" s="2656">
        <v>33563.811729280002</v>
      </c>
      <c r="CO33" s="2656">
        <v>33350.070714089998</v>
      </c>
      <c r="CP33" s="2656">
        <v>32925.326606149996</v>
      </c>
      <c r="CQ33" s="2656">
        <v>33195.02502809</v>
      </c>
      <c r="CR33" s="2656">
        <v>34800.521369850001</v>
      </c>
      <c r="CS33" s="2656">
        <v>34608.30036668</v>
      </c>
      <c r="CT33" s="2656">
        <v>38711.487522229996</v>
      </c>
      <c r="CU33" s="2656">
        <v>37136.068104809994</v>
      </c>
      <c r="CV33" s="2656">
        <v>36152.509834080003</v>
      </c>
      <c r="CW33" s="2656">
        <v>35151.823000780001</v>
      </c>
      <c r="CX33" s="2656">
        <v>34465.873527309996</v>
      </c>
      <c r="CY33" s="2656">
        <v>34209.282211720005</v>
      </c>
      <c r="CZ33" s="2656">
        <v>33840.939583910003</v>
      </c>
      <c r="DA33" s="2656">
        <v>34354.436784220001</v>
      </c>
      <c r="DB33" s="2656">
        <v>33981.630423590002</v>
      </c>
      <c r="DC33" s="2656">
        <v>33490.009091289998</v>
      </c>
      <c r="DD33" s="2656">
        <v>34513.611328470004</v>
      </c>
      <c r="DE33" s="2656">
        <v>34749.692863690005</v>
      </c>
      <c r="DF33" s="2656">
        <v>39340.472129850001</v>
      </c>
      <c r="DG33" s="2656">
        <v>37248.48744307</v>
      </c>
      <c r="DH33" s="2656">
        <v>35669.852744309996</v>
      </c>
      <c r="DI33" s="2656">
        <v>36175.575864860002</v>
      </c>
      <c r="DJ33" s="2656">
        <v>36335.002560349996</v>
      </c>
      <c r="DK33" s="2656">
        <v>36329.981773430001</v>
      </c>
      <c r="DL33" s="2656">
        <v>35893.39228421</v>
      </c>
      <c r="DM33" s="2656">
        <v>36452.5215704</v>
      </c>
      <c r="DN33" s="2656">
        <v>36472.006218720002</v>
      </c>
      <c r="DO33" s="2656">
        <v>35863.320522440001</v>
      </c>
      <c r="DP33" s="2656">
        <v>37885.514226650004</v>
      </c>
      <c r="DQ33" s="2656">
        <v>37486.875528690005</v>
      </c>
      <c r="DR33" s="2656">
        <v>42909.155061279998</v>
      </c>
      <c r="DS33" s="2656">
        <v>39910.772255479998</v>
      </c>
      <c r="DT33" s="2656">
        <v>39384.515622779996</v>
      </c>
      <c r="DU33" s="2656">
        <v>40531.515348909998</v>
      </c>
      <c r="DV33" s="2656">
        <v>42371.915842529997</v>
      </c>
      <c r="DW33" s="2656">
        <v>42552.193212419996</v>
      </c>
      <c r="DX33" s="2656">
        <v>41855.520518819998</v>
      </c>
      <c r="DY33" s="2656">
        <v>42116.495948699994</v>
      </c>
      <c r="DZ33" s="2656">
        <v>41580.369955940005</v>
      </c>
      <c r="EA33" s="2656">
        <v>41766.725282209998</v>
      </c>
      <c r="EB33" s="2656">
        <v>42101.064163249997</v>
      </c>
      <c r="EC33" s="2656">
        <v>42301.685575169999</v>
      </c>
      <c r="ED33" s="2656">
        <v>46561.469153729995</v>
      </c>
      <c r="EE33" s="2656">
        <v>44509.239605659997</v>
      </c>
      <c r="EF33" s="2656">
        <v>43570.631886510004</v>
      </c>
      <c r="EG33" s="2656">
        <v>44859.021304490001</v>
      </c>
      <c r="EH33" s="2656">
        <v>45474.997122109999</v>
      </c>
      <c r="EI33" s="2656">
        <v>45652.290638890001</v>
      </c>
      <c r="EJ33" s="2656">
        <v>45253.418362540004</v>
      </c>
      <c r="EK33" s="2656">
        <v>45396.058863369995</v>
      </c>
      <c r="EL33" s="2656">
        <v>45485.625681690006</v>
      </c>
      <c r="EM33" s="2656">
        <v>45203.814371940003</v>
      </c>
      <c r="EN33" s="2656">
        <v>46601.951965640001</v>
      </c>
      <c r="EO33" s="2656">
        <v>46807.790540039998</v>
      </c>
      <c r="EP33" s="2656">
        <v>50200.431737760002</v>
      </c>
      <c r="EQ33" s="2656">
        <v>48639.714801449998</v>
      </c>
      <c r="ER33" s="2656">
        <v>48611.263719930001</v>
      </c>
      <c r="ES33" s="2656">
        <v>48541.727019010003</v>
      </c>
      <c r="ET33" s="2656">
        <v>48689.346931010004</v>
      </c>
      <c r="EU33" s="2656">
        <v>48831.133845379998</v>
      </c>
      <c r="EV33" s="2656">
        <v>48687.141473080002</v>
      </c>
      <c r="EW33" s="2656">
        <v>49016.160588749997</v>
      </c>
      <c r="EX33" s="2656">
        <v>49284.513097319999</v>
      </c>
      <c r="EY33" s="2656">
        <v>49259.972189779997</v>
      </c>
      <c r="EZ33" s="2656">
        <v>49605.813785729995</v>
      </c>
      <c r="FA33" s="2656">
        <v>49671.25370044</v>
      </c>
      <c r="FB33" s="2656">
        <v>54641.723932839996</v>
      </c>
      <c r="FC33" s="2656">
        <v>52660.591759669995</v>
      </c>
      <c r="FD33" s="2656">
        <v>52443.415701170001</v>
      </c>
      <c r="FE33" s="2656">
        <v>52368.205912429999</v>
      </c>
      <c r="FF33" s="2656">
        <v>52379.285073710002</v>
      </c>
      <c r="FG33" s="2656">
        <v>52270.869680789998</v>
      </c>
      <c r="FH33" s="2656">
        <v>52226.330739780002</v>
      </c>
      <c r="FI33" s="2656">
        <v>52370.301967909996</v>
      </c>
      <c r="FJ33" s="2656">
        <v>52804.042302589995</v>
      </c>
      <c r="FK33" s="2656">
        <v>52968.305682639999</v>
      </c>
      <c r="FL33" s="2657"/>
    </row>
    <row r="34" spans="1:168" ht="16.5" customHeight="1" x14ac:dyDescent="0.3">
      <c r="A34" s="2658"/>
      <c r="B34" s="2658"/>
      <c r="C34" s="2659"/>
      <c r="D34" s="2659"/>
      <c r="E34" s="2659"/>
      <c r="F34" s="2659"/>
      <c r="G34" s="2659"/>
      <c r="H34" s="2659"/>
      <c r="I34" s="2659"/>
      <c r="J34" s="2659"/>
      <c r="K34" s="2659"/>
      <c r="L34" s="2659"/>
      <c r="M34" s="2659"/>
      <c r="N34" s="2659"/>
      <c r="O34" s="2659"/>
      <c r="P34" s="2659"/>
      <c r="Q34" s="2659"/>
      <c r="R34" s="2659"/>
      <c r="S34" s="2659"/>
      <c r="T34" s="2659"/>
      <c r="U34" s="2659"/>
      <c r="V34" s="2659"/>
      <c r="W34" s="2659"/>
      <c r="X34" s="2659"/>
      <c r="Y34" s="2659"/>
      <c r="Z34" s="2659"/>
      <c r="AA34" s="2659"/>
      <c r="AB34" s="2659"/>
      <c r="AC34" s="2659"/>
      <c r="AD34" s="2659"/>
      <c r="AE34" s="2659"/>
      <c r="AF34" s="2659"/>
      <c r="AG34" s="2659"/>
      <c r="AH34" s="2659"/>
      <c r="AI34" s="2659"/>
      <c r="AJ34" s="2659"/>
      <c r="AK34" s="2659"/>
      <c r="AL34" s="2659"/>
      <c r="AM34" s="2659"/>
      <c r="AN34" s="2659"/>
      <c r="AO34" s="2659"/>
      <c r="AP34" s="2659"/>
      <c r="AQ34" s="2659"/>
      <c r="AR34" s="2659"/>
      <c r="AS34" s="2659"/>
      <c r="AT34" s="2659"/>
      <c r="AU34" s="2659"/>
      <c r="AV34" s="2659"/>
      <c r="AW34" s="2659"/>
      <c r="AX34" s="2659"/>
      <c r="AY34" s="2659"/>
      <c r="AZ34" s="2659"/>
      <c r="BA34" s="2659"/>
      <c r="BB34" s="2659"/>
      <c r="BC34" s="2659"/>
      <c r="BD34" s="2659"/>
      <c r="BE34" s="2659"/>
      <c r="BF34" s="2659"/>
      <c r="BG34" s="2659"/>
      <c r="BH34" s="2659"/>
      <c r="BI34" s="2659"/>
      <c r="BJ34" s="2659"/>
      <c r="BK34" s="2659"/>
      <c r="BL34" s="2659"/>
      <c r="BM34" s="2659"/>
      <c r="BN34" s="2659"/>
      <c r="BO34" s="2659"/>
      <c r="BP34" s="2659"/>
      <c r="BQ34" s="2659"/>
      <c r="BR34" s="2659"/>
      <c r="BS34" s="2659"/>
      <c r="BT34" s="2659"/>
      <c r="BU34" s="2659"/>
      <c r="BV34" s="2659"/>
      <c r="BW34" s="2659"/>
      <c r="BX34" s="2659"/>
      <c r="BY34" s="2659"/>
      <c r="BZ34" s="2659"/>
      <c r="CA34" s="2659"/>
      <c r="CB34" s="2659"/>
      <c r="CC34" s="2659"/>
      <c r="CD34" s="2659"/>
      <c r="CE34" s="2659"/>
      <c r="CF34" s="2659"/>
      <c r="CG34" s="2659"/>
      <c r="CH34" s="2659"/>
      <c r="CI34" s="2659"/>
      <c r="CJ34" s="2659"/>
      <c r="CK34" s="2659"/>
      <c r="CL34" s="2659"/>
      <c r="CM34" s="2659"/>
      <c r="CN34" s="2659"/>
      <c r="CO34" s="2659"/>
      <c r="CP34" s="2659"/>
      <c r="CQ34" s="2659"/>
      <c r="CR34" s="2659"/>
      <c r="CS34" s="2659"/>
      <c r="CT34" s="2659"/>
      <c r="CU34" s="2659"/>
      <c r="CV34" s="2659"/>
      <c r="CW34" s="2659"/>
      <c r="CX34" s="2659"/>
      <c r="CY34" s="2659"/>
      <c r="CZ34" s="2659"/>
      <c r="DA34" s="2659"/>
      <c r="DB34" s="2659"/>
      <c r="DC34" s="2659"/>
      <c r="DD34" s="2659"/>
      <c r="DE34" s="2659"/>
      <c r="DF34" s="2659"/>
      <c r="DG34" s="2659"/>
      <c r="DH34" s="2659"/>
      <c r="DI34" s="2659"/>
      <c r="DJ34" s="2659"/>
      <c r="DK34" s="2659"/>
      <c r="DL34" s="2659"/>
      <c r="DM34" s="2659"/>
      <c r="DN34" s="2659"/>
      <c r="DO34" s="2659"/>
      <c r="DP34" s="2659"/>
      <c r="DQ34" s="2659"/>
      <c r="DR34" s="2659"/>
      <c r="DS34" s="2659"/>
      <c r="DT34" s="2659"/>
      <c r="DU34" s="2659"/>
      <c r="DV34" s="2659"/>
      <c r="DW34" s="2659"/>
      <c r="DX34" s="2659"/>
      <c r="DY34" s="2659"/>
      <c r="DZ34" s="2659"/>
      <c r="EA34" s="2659"/>
      <c r="EB34" s="2659"/>
      <c r="EC34" s="2659"/>
      <c r="ED34" s="2659"/>
      <c r="EE34" s="2659"/>
      <c r="EF34" s="2659"/>
      <c r="EG34" s="2659"/>
      <c r="EH34" s="2659"/>
      <c r="EI34" s="2659"/>
      <c r="EJ34" s="2659"/>
      <c r="EK34" s="2659"/>
      <c r="EL34" s="2659"/>
      <c r="EM34" s="2659"/>
      <c r="EN34" s="2659"/>
      <c r="EO34" s="2659"/>
      <c r="EP34" s="2659"/>
      <c r="EQ34" s="2659"/>
      <c r="ER34" s="2659"/>
      <c r="ES34" s="2659"/>
      <c r="ET34" s="2659"/>
      <c r="EU34" s="2659"/>
      <c r="EV34" s="2659"/>
      <c r="EW34" s="2659"/>
      <c r="EX34" s="2659"/>
      <c r="EY34" s="2659"/>
      <c r="EZ34" s="2659"/>
      <c r="FA34" s="2659"/>
      <c r="FB34" s="2659"/>
      <c r="FC34" s="2659"/>
      <c r="FD34" s="2659"/>
      <c r="FE34" s="2659"/>
      <c r="FF34" s="2659"/>
      <c r="FG34" s="2659"/>
      <c r="FH34" s="2659"/>
      <c r="FI34" s="2659"/>
      <c r="FJ34" s="2659"/>
      <c r="FK34" s="2659"/>
      <c r="FL34" s="2657"/>
    </row>
    <row r="35" spans="1:168" ht="16.5" customHeight="1" x14ac:dyDescent="0.3">
      <c r="A35" s="2655" t="s">
        <v>2534</v>
      </c>
      <c r="B35" s="2655" t="s">
        <v>2535</v>
      </c>
      <c r="C35" s="2656">
        <v>173.77583848999998</v>
      </c>
      <c r="D35" s="2656">
        <v>102.15030181408299</v>
      </c>
      <c r="E35" s="2656">
        <v>107.57548442879599</v>
      </c>
      <c r="F35" s="2656">
        <v>96.970545829999992</v>
      </c>
      <c r="G35" s="2656">
        <v>92.457328589252</v>
      </c>
      <c r="H35" s="2656">
        <v>440.817523815794</v>
      </c>
      <c r="I35" s="2656">
        <v>144.695107660503</v>
      </c>
      <c r="J35" s="2656">
        <v>139.61848140775101</v>
      </c>
      <c r="K35" s="2656">
        <v>267.13934071788196</v>
      </c>
      <c r="L35" s="2656">
        <v>140.39613334605099</v>
      </c>
      <c r="M35" s="2656">
        <v>147.65538167153198</v>
      </c>
      <c r="N35" s="2656">
        <v>156.18358312016798</v>
      </c>
      <c r="O35" s="2656">
        <v>141.37216390342701</v>
      </c>
      <c r="P35" s="2656">
        <v>165.14521648076197</v>
      </c>
      <c r="Q35" s="2656">
        <v>156.283154672509</v>
      </c>
      <c r="R35" s="2656">
        <v>170.538513680878</v>
      </c>
      <c r="S35" s="2656">
        <v>118.92258400263799</v>
      </c>
      <c r="T35" s="2656">
        <v>227.06391243610898</v>
      </c>
      <c r="U35" s="2656">
        <v>147.606747109975</v>
      </c>
      <c r="V35" s="2656">
        <v>145.05270454831998</v>
      </c>
      <c r="W35" s="2656">
        <v>178.60699340812801</v>
      </c>
      <c r="X35" s="2656">
        <v>228.86708454979401</v>
      </c>
      <c r="Y35" s="2656">
        <v>145.94768976260698</v>
      </c>
      <c r="Z35" s="2656">
        <v>144.74181716741302</v>
      </c>
      <c r="AA35" s="2656">
        <v>134.190323829216</v>
      </c>
      <c r="AB35" s="2656">
        <v>122.79770026911299</v>
      </c>
      <c r="AC35" s="2656">
        <v>128.30850091761698</v>
      </c>
      <c r="AD35" s="2656">
        <v>125.31778668365899</v>
      </c>
      <c r="AE35" s="2656">
        <v>104.85266671033099</v>
      </c>
      <c r="AF35" s="2656">
        <v>188.10748455776599</v>
      </c>
      <c r="AG35" s="2656">
        <v>198.07162782</v>
      </c>
      <c r="AH35" s="2656">
        <v>71.810326250000003</v>
      </c>
      <c r="AI35" s="2656">
        <v>223.63965296000001</v>
      </c>
      <c r="AJ35" s="2656">
        <v>238.61876867999996</v>
      </c>
      <c r="AK35" s="2656">
        <v>151.47403553999999</v>
      </c>
      <c r="AL35" s="2656">
        <v>146.47737080000002</v>
      </c>
      <c r="AM35" s="2656">
        <v>69.348740169999985</v>
      </c>
      <c r="AN35" s="2656">
        <v>65.960218440000006</v>
      </c>
      <c r="AO35" s="2656">
        <v>64.97840020999999</v>
      </c>
      <c r="AP35" s="2656">
        <v>65.584209119999997</v>
      </c>
      <c r="AQ35" s="2656">
        <v>68.513367979999998</v>
      </c>
      <c r="AR35" s="2656">
        <v>311.48284962999998</v>
      </c>
      <c r="AS35" s="2656">
        <v>90.367219909999989</v>
      </c>
      <c r="AT35" s="2656">
        <v>88.740492129999993</v>
      </c>
      <c r="AU35" s="2656">
        <v>165.29868494999999</v>
      </c>
      <c r="AV35" s="2656">
        <v>96.820067709999989</v>
      </c>
      <c r="AW35" s="2656">
        <v>176.07912083000002</v>
      </c>
      <c r="AX35" s="2656">
        <v>327.56298057999999</v>
      </c>
      <c r="AY35" s="2656">
        <v>68.868365640000007</v>
      </c>
      <c r="AZ35" s="2656">
        <v>92.072264139999987</v>
      </c>
      <c r="BA35" s="2656">
        <v>87.70549441</v>
      </c>
      <c r="BB35" s="2656">
        <v>85.291687549999992</v>
      </c>
      <c r="BC35" s="2656">
        <v>79.022807060000005</v>
      </c>
      <c r="BD35" s="2656">
        <v>286.60368328999999</v>
      </c>
      <c r="BE35" s="2656">
        <v>117.17449668</v>
      </c>
      <c r="BF35" s="2656">
        <v>93.580257980000013</v>
      </c>
      <c r="BG35" s="2656">
        <v>174.95850214999999</v>
      </c>
      <c r="BH35" s="2656">
        <v>198.19834580999998</v>
      </c>
      <c r="BI35" s="2656">
        <v>116.58136098999999</v>
      </c>
      <c r="BJ35" s="2656">
        <v>132.96940228</v>
      </c>
      <c r="BK35" s="2656">
        <v>90.140118959999995</v>
      </c>
      <c r="BL35" s="2656">
        <v>98.214010599999995</v>
      </c>
      <c r="BM35" s="2656">
        <v>287.49325514999998</v>
      </c>
      <c r="BN35" s="2656">
        <v>106.17286981999999</v>
      </c>
      <c r="BO35" s="2656">
        <v>119.60855578000002</v>
      </c>
      <c r="BP35" s="2656">
        <v>205.71154525</v>
      </c>
      <c r="BQ35" s="2656">
        <v>303.37492168</v>
      </c>
      <c r="BR35" s="2656">
        <v>973.68625691</v>
      </c>
      <c r="BS35" s="2656">
        <v>160.70164977000002</v>
      </c>
      <c r="BT35" s="2656">
        <v>111.26486164000001</v>
      </c>
      <c r="BU35" s="2656">
        <v>94.175746759999996</v>
      </c>
      <c r="BV35" s="2656">
        <v>269.32090277000003</v>
      </c>
      <c r="BW35" s="2656">
        <v>87.858485169999994</v>
      </c>
      <c r="BX35" s="2656">
        <v>94.195966089999999</v>
      </c>
      <c r="BY35" s="2656">
        <v>94.053120899999996</v>
      </c>
      <c r="BZ35" s="2656">
        <v>161.28891437999999</v>
      </c>
      <c r="CA35" s="2656">
        <v>89.757791629999986</v>
      </c>
      <c r="CB35" s="2656">
        <v>179.93911718000001</v>
      </c>
      <c r="CC35" s="2656">
        <v>146.21655204999999</v>
      </c>
      <c r="CD35" s="2656">
        <v>272.51439976</v>
      </c>
      <c r="CE35" s="2656">
        <v>201.026970912292</v>
      </c>
      <c r="CF35" s="2656">
        <v>108.05774693229202</v>
      </c>
      <c r="CG35" s="2656">
        <v>123.29075911229199</v>
      </c>
      <c r="CH35" s="2656">
        <v>501.94194608229202</v>
      </c>
      <c r="CI35" s="2656">
        <v>100.121209352292</v>
      </c>
      <c r="CJ35" s="2656">
        <v>123.23431674229201</v>
      </c>
      <c r="CK35" s="2656">
        <v>188.695070572292</v>
      </c>
      <c r="CL35" s="2656">
        <v>124.155907852292</v>
      </c>
      <c r="CM35" s="2656">
        <v>116.71135166229199</v>
      </c>
      <c r="CN35" s="2656">
        <v>154.50991295229201</v>
      </c>
      <c r="CO35" s="2656">
        <v>135.60562615229202</v>
      </c>
      <c r="CP35" s="2656">
        <v>119.37766276229199</v>
      </c>
      <c r="CQ35" s="2656">
        <v>161.25076070229198</v>
      </c>
      <c r="CR35" s="2656">
        <v>123.792049482292</v>
      </c>
      <c r="CS35" s="2656">
        <v>96.785139372292008</v>
      </c>
      <c r="CT35" s="2656">
        <v>117.1509110622919</v>
      </c>
      <c r="CU35" s="2656">
        <v>102.42437505161277</v>
      </c>
      <c r="CV35" s="2656">
        <v>102.68574928999996</v>
      </c>
      <c r="CW35" s="2656">
        <v>90.992883340000006</v>
      </c>
      <c r="CX35" s="2656">
        <v>136.97165480000001</v>
      </c>
      <c r="CY35" s="2656">
        <v>90.161154210000007</v>
      </c>
      <c r="CZ35" s="2656">
        <v>181.81452732</v>
      </c>
      <c r="DA35" s="2656">
        <v>244.34909191</v>
      </c>
      <c r="DB35" s="2656">
        <v>88.388957700000006</v>
      </c>
      <c r="DC35" s="2656">
        <v>158.43232340999998</v>
      </c>
      <c r="DD35" s="2656">
        <v>92.67600542000001</v>
      </c>
      <c r="DE35" s="2656">
        <v>94.416789629999997</v>
      </c>
      <c r="DF35" s="2656">
        <v>125.31831032999997</v>
      </c>
      <c r="DG35" s="2656">
        <v>94.889142859999993</v>
      </c>
      <c r="DH35" s="2656">
        <v>97.602569751300095</v>
      </c>
      <c r="DI35" s="2656">
        <v>171.87512075000001</v>
      </c>
      <c r="DJ35" s="2656">
        <v>113.19360673999999</v>
      </c>
      <c r="DK35" s="2656">
        <v>87.118590710000007</v>
      </c>
      <c r="DL35" s="2656">
        <v>174.29209967000003</v>
      </c>
      <c r="DM35" s="2656">
        <v>139.92875448999999</v>
      </c>
      <c r="DN35" s="2656">
        <v>153.06926948</v>
      </c>
      <c r="DO35" s="2656">
        <v>151.49676460052194</v>
      </c>
      <c r="DP35" s="2656">
        <v>124.37545290999998</v>
      </c>
      <c r="DQ35" s="2656">
        <v>180.39076556999999</v>
      </c>
      <c r="DR35" s="2656">
        <v>209.11658635000001</v>
      </c>
      <c r="DS35" s="2656">
        <v>112.00605301321792</v>
      </c>
      <c r="DT35" s="2656">
        <v>134.80012464999999</v>
      </c>
      <c r="DU35" s="2656">
        <v>129.51373888999998</v>
      </c>
      <c r="DV35" s="2656">
        <v>204.09779483000003</v>
      </c>
      <c r="DW35" s="2656">
        <v>152.48577488000001</v>
      </c>
      <c r="DX35" s="2656">
        <v>157.5809311400001</v>
      </c>
      <c r="DY35" s="2656">
        <v>1031.3103779999999</v>
      </c>
      <c r="DZ35" s="2656">
        <v>1032.36337</v>
      </c>
      <c r="EA35" s="2656">
        <v>1031.980763</v>
      </c>
      <c r="EB35" s="2656">
        <v>33834.113019000004</v>
      </c>
      <c r="EC35" s="2656">
        <v>33834.016367999997</v>
      </c>
      <c r="ED35" s="2656">
        <v>33332.021075000004</v>
      </c>
      <c r="EE35" s="2656">
        <v>33246.989805999998</v>
      </c>
      <c r="EF35" s="2656">
        <v>33185.131032000005</v>
      </c>
      <c r="EG35" s="2656">
        <v>31909.062534999997</v>
      </c>
      <c r="EH35" s="2656">
        <v>78706.811833999993</v>
      </c>
      <c r="EI35" s="2656">
        <v>77827.165803000011</v>
      </c>
      <c r="EJ35" s="2656">
        <v>71934.215039000002</v>
      </c>
      <c r="EK35" s="2656">
        <v>70796.857119999986</v>
      </c>
      <c r="EL35" s="2656">
        <v>70169.741037</v>
      </c>
      <c r="EM35" s="2656">
        <v>68839.380646000005</v>
      </c>
      <c r="EN35" s="2656">
        <v>68523.906892000014</v>
      </c>
      <c r="EO35" s="2656">
        <v>67161.058815000011</v>
      </c>
      <c r="EP35" s="2656">
        <v>39839.013949</v>
      </c>
      <c r="EQ35" s="2656">
        <v>39480.955552000007</v>
      </c>
      <c r="ER35" s="2656">
        <v>37110.784702999998</v>
      </c>
      <c r="ES35" s="2656">
        <v>36650.064293000003</v>
      </c>
      <c r="ET35" s="2656">
        <v>36180.174591000003</v>
      </c>
      <c r="EU35" s="2656">
        <v>35914.128110999998</v>
      </c>
      <c r="EV35" s="2656">
        <v>35032.008352000004</v>
      </c>
      <c r="EW35" s="2656">
        <v>35245.001592999994</v>
      </c>
      <c r="EX35" s="2656">
        <v>34651.411825999996</v>
      </c>
      <c r="EY35" s="2656">
        <v>34524.163858</v>
      </c>
      <c r="EZ35" s="2656">
        <v>33982.540440999997</v>
      </c>
      <c r="FA35" s="2656">
        <v>33430.652405000001</v>
      </c>
      <c r="FB35" s="2656">
        <v>32784.238464999995</v>
      </c>
      <c r="FC35" s="2656">
        <v>32870.899613000001</v>
      </c>
      <c r="FD35" s="2656">
        <v>32787.777039000001</v>
      </c>
      <c r="FE35" s="2656">
        <v>32560.799097000003</v>
      </c>
      <c r="FF35" s="2656">
        <v>32292.811020000001</v>
      </c>
      <c r="FG35" s="2656">
        <v>32186.775706</v>
      </c>
      <c r="FH35" s="2656">
        <v>31603.700853000002</v>
      </c>
      <c r="FI35" s="2656">
        <v>31505.18129</v>
      </c>
      <c r="FJ35" s="2656">
        <v>31229.882414</v>
      </c>
      <c r="FK35" s="2656">
        <v>30452.923485000003</v>
      </c>
      <c r="FL35" s="2657"/>
    </row>
    <row r="36" spans="1:168" ht="16.5" customHeight="1" x14ac:dyDescent="0.3">
      <c r="A36" s="2658" t="s">
        <v>2536</v>
      </c>
      <c r="B36" s="2658" t="s">
        <v>2537</v>
      </c>
      <c r="C36" s="2660">
        <v>22.587345850000002</v>
      </c>
      <c r="D36" s="2660">
        <v>24.744540514082999</v>
      </c>
      <c r="E36" s="2660">
        <v>23.849837548796</v>
      </c>
      <c r="F36" s="2660">
        <v>18.228978470000001</v>
      </c>
      <c r="G36" s="2660">
        <v>18.263779599251997</v>
      </c>
      <c r="H36" s="2660">
        <v>20.765367005793998</v>
      </c>
      <c r="I36" s="2660">
        <v>19.718758210502997</v>
      </c>
      <c r="J36" s="2660">
        <v>24.796664857751008</v>
      </c>
      <c r="K36" s="2660">
        <v>24.287037047881995</v>
      </c>
      <c r="L36" s="2660">
        <v>19.542466706051002</v>
      </c>
      <c r="M36" s="2660">
        <v>21.999239441531991</v>
      </c>
      <c r="N36" s="2660">
        <v>24.493795200167998</v>
      </c>
      <c r="O36" s="2660">
        <v>14.350253283427008</v>
      </c>
      <c r="P36" s="2660">
        <v>12.139555840761995</v>
      </c>
      <c r="Q36" s="2660">
        <v>11.978865682509007</v>
      </c>
      <c r="R36" s="2660">
        <v>10.738506780878001</v>
      </c>
      <c r="S36" s="2660">
        <v>11.205565562638004</v>
      </c>
      <c r="T36" s="2660">
        <v>10.587319066109</v>
      </c>
      <c r="U36" s="2660">
        <v>14.109763349974992</v>
      </c>
      <c r="V36" s="2660">
        <v>13.63773414832</v>
      </c>
      <c r="W36" s="2660">
        <v>15.698556618128009</v>
      </c>
      <c r="X36" s="2660">
        <v>14.606797769794008</v>
      </c>
      <c r="Y36" s="2660">
        <v>15.119194412606996</v>
      </c>
      <c r="Z36" s="2660">
        <v>16.387315327413003</v>
      </c>
      <c r="AA36" s="2660">
        <v>19.396711529215999</v>
      </c>
      <c r="AB36" s="2660">
        <v>15.694678129113001</v>
      </c>
      <c r="AC36" s="2660">
        <v>15.629992317616994</v>
      </c>
      <c r="AD36" s="2660">
        <v>8.5982636536590107</v>
      </c>
      <c r="AE36" s="2660">
        <v>8.3524888203310006</v>
      </c>
      <c r="AF36" s="2660">
        <v>10.438192297765998</v>
      </c>
      <c r="AG36" s="2660">
        <v>8.942154580000004</v>
      </c>
      <c r="AH36" s="2660">
        <v>12.123119959999997</v>
      </c>
      <c r="AI36" s="2660">
        <v>9.9914872199999998</v>
      </c>
      <c r="AJ36" s="2660">
        <v>10.633213389999991</v>
      </c>
      <c r="AK36" s="2660">
        <v>15.135496139999999</v>
      </c>
      <c r="AL36" s="2660">
        <v>12.26796014</v>
      </c>
      <c r="AM36" s="2660">
        <v>9.4486492399999911</v>
      </c>
      <c r="AN36" s="2660">
        <v>8.5116829600000106</v>
      </c>
      <c r="AO36" s="2660">
        <v>8.9783699599999913</v>
      </c>
      <c r="AP36" s="2660">
        <v>9.1002109599999983</v>
      </c>
      <c r="AQ36" s="2660">
        <v>9.4573140000000002</v>
      </c>
      <c r="AR36" s="2660">
        <v>12.949643999999999</v>
      </c>
      <c r="AS36" s="2660">
        <v>15.529333999999999</v>
      </c>
      <c r="AT36" s="2660">
        <v>12.122377</v>
      </c>
      <c r="AU36" s="2660">
        <v>10.837873999999999</v>
      </c>
      <c r="AV36" s="2660">
        <v>12.407376999999999</v>
      </c>
      <c r="AW36" s="2660">
        <v>13.756131</v>
      </c>
      <c r="AX36" s="2660">
        <v>11.081707</v>
      </c>
      <c r="AY36" s="2660">
        <v>12.787836</v>
      </c>
      <c r="AZ36" s="2660">
        <v>19.284112</v>
      </c>
      <c r="BA36" s="2660">
        <v>20.909382000000001</v>
      </c>
      <c r="BB36" s="2660">
        <v>20.245926999999998</v>
      </c>
      <c r="BC36" s="2660">
        <v>20.801047000000001</v>
      </c>
      <c r="BD36" s="2660">
        <v>22.928493</v>
      </c>
      <c r="BE36" s="2660">
        <v>21.38899</v>
      </c>
      <c r="BF36" s="2660">
        <v>21.812104999999999</v>
      </c>
      <c r="BG36" s="2660">
        <v>22.688719000000003</v>
      </c>
      <c r="BH36" s="2660">
        <v>23.482017999999997</v>
      </c>
      <c r="BI36" s="2660">
        <v>24.858671999999999</v>
      </c>
      <c r="BJ36" s="2660">
        <v>27.873531999999997</v>
      </c>
      <c r="BK36" s="2660">
        <v>27.794181999999999</v>
      </c>
      <c r="BL36" s="2660">
        <v>27.968121999999997</v>
      </c>
      <c r="BM36" s="2660">
        <v>28.234946000000001</v>
      </c>
      <c r="BN36" s="2660">
        <v>27.068202000000003</v>
      </c>
      <c r="BO36" s="2660">
        <v>28.037162000000002</v>
      </c>
      <c r="BP36" s="2660">
        <v>21.76407</v>
      </c>
      <c r="BQ36" s="2660">
        <v>21.726244000000001</v>
      </c>
      <c r="BR36" s="2660">
        <v>23.647455000000001</v>
      </c>
      <c r="BS36" s="2660">
        <v>27.880478</v>
      </c>
      <c r="BT36" s="2660">
        <v>28.179905999999999</v>
      </c>
      <c r="BU36" s="2660">
        <v>27.275673999999999</v>
      </c>
      <c r="BV36" s="2660">
        <v>25.929378</v>
      </c>
      <c r="BW36" s="2660">
        <v>24.763244</v>
      </c>
      <c r="BX36" s="2660">
        <v>18.885643000000002</v>
      </c>
      <c r="BY36" s="2660">
        <v>20.920655999999997</v>
      </c>
      <c r="BZ36" s="2660">
        <v>20.846422999999998</v>
      </c>
      <c r="CA36" s="2660">
        <v>20.751145999999999</v>
      </c>
      <c r="CB36" s="2660">
        <v>22.350980999999997</v>
      </c>
      <c r="CC36" s="2660">
        <v>23.163017999999997</v>
      </c>
      <c r="CD36" s="2660">
        <v>25.491909999999997</v>
      </c>
      <c r="CE36" s="2660">
        <v>37.445918952292004</v>
      </c>
      <c r="CF36" s="2660">
        <v>40.065726952292003</v>
      </c>
      <c r="CG36" s="2660">
        <v>42.518680952292002</v>
      </c>
      <c r="CH36" s="2660">
        <v>31.871081952291998</v>
      </c>
      <c r="CI36" s="2660">
        <v>31.220807952291999</v>
      </c>
      <c r="CJ36" s="2660">
        <v>32.009434952291997</v>
      </c>
      <c r="CK36" s="2660">
        <v>34.669512952292003</v>
      </c>
      <c r="CL36" s="2660">
        <v>30.455868952291997</v>
      </c>
      <c r="CM36" s="2660">
        <v>30.404271952291996</v>
      </c>
      <c r="CN36" s="2660">
        <v>31.989065952291998</v>
      </c>
      <c r="CO36" s="2660">
        <v>33.733735952292001</v>
      </c>
      <c r="CP36" s="2660">
        <v>31.506537952291996</v>
      </c>
      <c r="CQ36" s="2660">
        <v>32.778923952292004</v>
      </c>
      <c r="CR36" s="2660">
        <v>31.676142952291997</v>
      </c>
      <c r="CS36" s="2660">
        <v>31.230207952291998</v>
      </c>
      <c r="CT36" s="2660">
        <v>31.605047952291997</v>
      </c>
      <c r="CU36" s="2660">
        <v>33.656144952292003</v>
      </c>
      <c r="CV36" s="2660">
        <v>24.347820000000002</v>
      </c>
      <c r="CW36" s="2660">
        <v>24.983936000000003</v>
      </c>
      <c r="CX36" s="2660">
        <v>26.005782000000004</v>
      </c>
      <c r="CY36" s="2660">
        <v>26.523624000000002</v>
      </c>
      <c r="CZ36" s="2660">
        <v>28.50403</v>
      </c>
      <c r="DA36" s="2660">
        <v>24.378238</v>
      </c>
      <c r="DB36" s="2660">
        <v>26.233623000000001</v>
      </c>
      <c r="DC36" s="2660">
        <v>28.143712000000001</v>
      </c>
      <c r="DD36" s="2660">
        <v>27.972768000000002</v>
      </c>
      <c r="DE36" s="2660">
        <v>31.004217000000001</v>
      </c>
      <c r="DF36" s="2660">
        <v>29.855588999999998</v>
      </c>
      <c r="DG36" s="2660">
        <v>34.069088000000001</v>
      </c>
      <c r="DH36" s="2660">
        <v>34.293087</v>
      </c>
      <c r="DI36" s="2660">
        <v>36.117815</v>
      </c>
      <c r="DJ36" s="2660">
        <v>30.671852999999999</v>
      </c>
      <c r="DK36" s="2660">
        <v>28.818100000000001</v>
      </c>
      <c r="DL36" s="2660">
        <v>37.232635999999999</v>
      </c>
      <c r="DM36" s="2660">
        <v>38.707521999999997</v>
      </c>
      <c r="DN36" s="2660">
        <v>29.148284</v>
      </c>
      <c r="DO36" s="2660">
        <v>30.095746999999999</v>
      </c>
      <c r="DP36" s="2660">
        <v>33.730979999999995</v>
      </c>
      <c r="DQ36" s="2660">
        <v>28.341699000000002</v>
      </c>
      <c r="DR36" s="2660">
        <v>32.858111999999998</v>
      </c>
      <c r="DS36" s="2660">
        <v>34.490670999999999</v>
      </c>
      <c r="DT36" s="2660">
        <v>34.139313999999999</v>
      </c>
      <c r="DU36" s="2660">
        <v>36.981038999999996</v>
      </c>
      <c r="DV36" s="2660">
        <v>44.435594999999999</v>
      </c>
      <c r="DW36" s="2660">
        <v>43.218471000000008</v>
      </c>
      <c r="DX36" s="2660">
        <v>31.811841999999999</v>
      </c>
      <c r="DY36" s="2660">
        <v>1031.3103779999999</v>
      </c>
      <c r="DZ36" s="2660">
        <v>1032.36337</v>
      </c>
      <c r="EA36" s="2660">
        <v>1031.980763</v>
      </c>
      <c r="EB36" s="2660">
        <v>33834.113019000004</v>
      </c>
      <c r="EC36" s="2660">
        <v>33834.016367999997</v>
      </c>
      <c r="ED36" s="2660">
        <v>33332.021075000004</v>
      </c>
      <c r="EE36" s="2660">
        <v>33246.989805999998</v>
      </c>
      <c r="EF36" s="2660">
        <v>33185.131032000005</v>
      </c>
      <c r="EG36" s="2660">
        <v>31909.062534999997</v>
      </c>
      <c r="EH36" s="2660">
        <v>78706.811833999993</v>
      </c>
      <c r="EI36" s="2660">
        <v>77827.165803000011</v>
      </c>
      <c r="EJ36" s="2660">
        <v>71934.215039000002</v>
      </c>
      <c r="EK36" s="2660">
        <v>70796.857119999986</v>
      </c>
      <c r="EL36" s="2660">
        <v>70169.741037</v>
      </c>
      <c r="EM36" s="2660">
        <v>68839.380646000005</v>
      </c>
      <c r="EN36" s="2660">
        <v>68523.906892000014</v>
      </c>
      <c r="EO36" s="2660">
        <v>67161.058815000011</v>
      </c>
      <c r="EP36" s="2660">
        <v>39839.013949</v>
      </c>
      <c r="EQ36" s="2660">
        <v>39480.955552000007</v>
      </c>
      <c r="ER36" s="2660">
        <v>37110.784702999998</v>
      </c>
      <c r="ES36" s="2660">
        <v>36650.064293000003</v>
      </c>
      <c r="ET36" s="2660">
        <v>36180.174591000003</v>
      </c>
      <c r="EU36" s="2660">
        <v>35914.128110999998</v>
      </c>
      <c r="EV36" s="2660">
        <v>35032.008352000004</v>
      </c>
      <c r="EW36" s="2660">
        <v>35245.001592999994</v>
      </c>
      <c r="EX36" s="2660">
        <v>34651.411825999996</v>
      </c>
      <c r="EY36" s="2660">
        <v>34524.163858</v>
      </c>
      <c r="EZ36" s="2660">
        <v>33982.540440999997</v>
      </c>
      <c r="FA36" s="2660">
        <v>33430.652405000001</v>
      </c>
      <c r="FB36" s="2660">
        <v>32784.238464999995</v>
      </c>
      <c r="FC36" s="2660">
        <v>32870.899613000001</v>
      </c>
      <c r="FD36" s="2660">
        <v>32787.777039000001</v>
      </c>
      <c r="FE36" s="2660">
        <v>32560.799097000003</v>
      </c>
      <c r="FF36" s="2660">
        <v>32292.811020000001</v>
      </c>
      <c r="FG36" s="2660">
        <v>32186.775706</v>
      </c>
      <c r="FH36" s="2660">
        <v>31603.700853000002</v>
      </c>
      <c r="FI36" s="2660">
        <v>31505.18129</v>
      </c>
      <c r="FJ36" s="2660">
        <v>31229.882414</v>
      </c>
      <c r="FK36" s="2660">
        <v>30452.923485000003</v>
      </c>
      <c r="FL36" s="2657"/>
    </row>
    <row r="37" spans="1:168" ht="16.5" customHeight="1" x14ac:dyDescent="0.3">
      <c r="A37" s="2658" t="s">
        <v>2538</v>
      </c>
      <c r="B37" s="2658" t="s">
        <v>2539</v>
      </c>
      <c r="C37" s="2660">
        <v>0</v>
      </c>
      <c r="D37" s="2660">
        <v>0</v>
      </c>
      <c r="E37" s="2660">
        <v>0</v>
      </c>
      <c r="F37" s="2660">
        <v>0</v>
      </c>
      <c r="G37" s="2660">
        <v>0</v>
      </c>
      <c r="H37" s="2660">
        <v>0</v>
      </c>
      <c r="I37" s="2660">
        <v>0</v>
      </c>
      <c r="J37" s="2660">
        <v>0</v>
      </c>
      <c r="K37" s="2660">
        <v>0</v>
      </c>
      <c r="L37" s="2660">
        <v>0</v>
      </c>
      <c r="M37" s="2660">
        <v>0</v>
      </c>
      <c r="N37" s="2660">
        <v>0</v>
      </c>
      <c r="O37" s="2660">
        <v>0</v>
      </c>
      <c r="P37" s="2660">
        <v>0</v>
      </c>
      <c r="Q37" s="2660">
        <v>0</v>
      </c>
      <c r="R37" s="2660">
        <v>0</v>
      </c>
      <c r="S37" s="2660">
        <v>0</v>
      </c>
      <c r="T37" s="2660">
        <v>0</v>
      </c>
      <c r="U37" s="2660">
        <v>0</v>
      </c>
      <c r="V37" s="2660">
        <v>0</v>
      </c>
      <c r="W37" s="2660">
        <v>0</v>
      </c>
      <c r="X37" s="2660">
        <v>0</v>
      </c>
      <c r="Y37" s="2660">
        <v>0</v>
      </c>
      <c r="Z37" s="2660">
        <v>0</v>
      </c>
      <c r="AA37" s="2660">
        <v>0</v>
      </c>
      <c r="AB37" s="2660">
        <v>0</v>
      </c>
      <c r="AC37" s="2660">
        <v>0</v>
      </c>
      <c r="AD37" s="2660">
        <v>0</v>
      </c>
      <c r="AE37" s="2660">
        <v>0</v>
      </c>
      <c r="AF37" s="2660">
        <v>0</v>
      </c>
      <c r="AG37" s="2660">
        <v>0</v>
      </c>
      <c r="AH37" s="2660">
        <v>0</v>
      </c>
      <c r="AI37" s="2660">
        <v>0</v>
      </c>
      <c r="AJ37" s="2660">
        <v>0</v>
      </c>
      <c r="AK37" s="2660">
        <v>0</v>
      </c>
      <c r="AL37" s="2660">
        <v>0</v>
      </c>
      <c r="AM37" s="2660">
        <v>0</v>
      </c>
      <c r="AN37" s="2660">
        <v>0</v>
      </c>
      <c r="AO37" s="2660">
        <v>0</v>
      </c>
      <c r="AP37" s="2660">
        <v>0</v>
      </c>
      <c r="AQ37" s="2660">
        <v>0</v>
      </c>
      <c r="AR37" s="2660">
        <v>0</v>
      </c>
      <c r="AS37" s="2660">
        <v>0</v>
      </c>
      <c r="AT37" s="2660">
        <v>0</v>
      </c>
      <c r="AU37" s="2660">
        <v>0</v>
      </c>
      <c r="AV37" s="2660">
        <v>0</v>
      </c>
      <c r="AW37" s="2660">
        <v>0</v>
      </c>
      <c r="AX37" s="2660">
        <v>0</v>
      </c>
      <c r="AY37" s="2660">
        <v>0</v>
      </c>
      <c r="AZ37" s="2660">
        <v>0</v>
      </c>
      <c r="BA37" s="2660">
        <v>0</v>
      </c>
      <c r="BB37" s="2660">
        <v>0</v>
      </c>
      <c r="BC37" s="2660">
        <v>0</v>
      </c>
      <c r="BD37" s="2660">
        <v>0</v>
      </c>
      <c r="BE37" s="2660">
        <v>0</v>
      </c>
      <c r="BF37" s="2660">
        <v>0</v>
      </c>
      <c r="BG37" s="2660">
        <v>0</v>
      </c>
      <c r="BH37" s="2660">
        <v>0</v>
      </c>
      <c r="BI37" s="2660">
        <v>0</v>
      </c>
      <c r="BJ37" s="2660">
        <v>0</v>
      </c>
      <c r="BK37" s="2660">
        <v>0</v>
      </c>
      <c r="BL37" s="2660">
        <v>0</v>
      </c>
      <c r="BM37" s="2660">
        <v>0</v>
      </c>
      <c r="BN37" s="2660">
        <v>0</v>
      </c>
      <c r="BO37" s="2660">
        <v>0</v>
      </c>
      <c r="BP37" s="2660">
        <v>0</v>
      </c>
      <c r="BQ37" s="2660">
        <v>0</v>
      </c>
      <c r="BR37" s="2660">
        <v>0</v>
      </c>
      <c r="BS37" s="2660">
        <v>0</v>
      </c>
      <c r="BT37" s="2660">
        <v>0</v>
      </c>
      <c r="BU37" s="2660">
        <v>0</v>
      </c>
      <c r="BV37" s="2660">
        <v>0</v>
      </c>
      <c r="BW37" s="2660">
        <v>0</v>
      </c>
      <c r="BX37" s="2660">
        <v>0</v>
      </c>
      <c r="BY37" s="2660">
        <v>0</v>
      </c>
      <c r="BZ37" s="2660">
        <v>0</v>
      </c>
      <c r="CA37" s="2660">
        <v>0</v>
      </c>
      <c r="CB37" s="2660">
        <v>0</v>
      </c>
      <c r="CC37" s="2660">
        <v>0</v>
      </c>
      <c r="CD37" s="2660">
        <v>0</v>
      </c>
      <c r="CE37" s="2660">
        <v>0</v>
      </c>
      <c r="CF37" s="2660">
        <v>0</v>
      </c>
      <c r="CG37" s="2660">
        <v>0</v>
      </c>
      <c r="CH37" s="2660">
        <v>0</v>
      </c>
      <c r="CI37" s="2660">
        <v>0</v>
      </c>
      <c r="CJ37" s="2660">
        <v>0</v>
      </c>
      <c r="CK37" s="2660">
        <v>0</v>
      </c>
      <c r="CL37" s="2660">
        <v>0</v>
      </c>
      <c r="CM37" s="2660">
        <v>0</v>
      </c>
      <c r="CN37" s="2660">
        <v>0</v>
      </c>
      <c r="CO37" s="2660">
        <v>0</v>
      </c>
      <c r="CP37" s="2660">
        <v>0</v>
      </c>
      <c r="CQ37" s="2660">
        <v>0</v>
      </c>
      <c r="CR37" s="2660">
        <v>0</v>
      </c>
      <c r="CS37" s="2660">
        <v>0</v>
      </c>
      <c r="CT37" s="2660">
        <v>0</v>
      </c>
      <c r="CU37" s="2660">
        <v>0</v>
      </c>
      <c r="CV37" s="2660">
        <v>0</v>
      </c>
      <c r="CW37" s="2660">
        <v>0</v>
      </c>
      <c r="CX37" s="2660">
        <v>0</v>
      </c>
      <c r="CY37" s="2660">
        <v>0</v>
      </c>
      <c r="CZ37" s="2660">
        <v>0</v>
      </c>
      <c r="DA37" s="2660">
        <v>0</v>
      </c>
      <c r="DB37" s="2660">
        <v>0</v>
      </c>
      <c r="DC37" s="2660">
        <v>0</v>
      </c>
      <c r="DD37" s="2660">
        <v>0</v>
      </c>
      <c r="DE37" s="2660">
        <v>0</v>
      </c>
      <c r="DF37" s="2660">
        <v>0</v>
      </c>
      <c r="DG37" s="2660">
        <v>0</v>
      </c>
      <c r="DH37" s="2660">
        <v>0</v>
      </c>
      <c r="DI37" s="2660">
        <v>0</v>
      </c>
      <c r="DJ37" s="2660">
        <v>0</v>
      </c>
      <c r="DK37" s="2660">
        <v>0</v>
      </c>
      <c r="DL37" s="2660">
        <v>0</v>
      </c>
      <c r="DM37" s="2660">
        <v>0</v>
      </c>
      <c r="DN37" s="2660">
        <v>0</v>
      </c>
      <c r="DO37" s="2660">
        <v>0</v>
      </c>
      <c r="DP37" s="2660">
        <v>0</v>
      </c>
      <c r="DQ37" s="2660">
        <v>0</v>
      </c>
      <c r="DR37" s="2660">
        <v>0</v>
      </c>
      <c r="DS37" s="2660">
        <v>0</v>
      </c>
      <c r="DT37" s="2660">
        <v>0</v>
      </c>
      <c r="DU37" s="2660">
        <v>0</v>
      </c>
      <c r="DV37" s="2660">
        <v>0</v>
      </c>
      <c r="DW37" s="2660">
        <v>0</v>
      </c>
      <c r="DX37" s="2660">
        <v>0</v>
      </c>
      <c r="DY37" s="2660">
        <v>0</v>
      </c>
      <c r="DZ37" s="2660">
        <v>0</v>
      </c>
      <c r="EA37" s="2660">
        <v>0</v>
      </c>
      <c r="EB37" s="2660">
        <v>0</v>
      </c>
      <c r="EC37" s="2660">
        <v>0</v>
      </c>
      <c r="ED37" s="2660">
        <v>0</v>
      </c>
      <c r="EE37" s="2660">
        <v>0</v>
      </c>
      <c r="EF37" s="2660">
        <v>0</v>
      </c>
      <c r="EG37" s="2660">
        <v>0</v>
      </c>
      <c r="EH37" s="2660">
        <v>0</v>
      </c>
      <c r="EI37" s="2660">
        <v>0</v>
      </c>
      <c r="EJ37" s="2660">
        <v>0</v>
      </c>
      <c r="EK37" s="2660">
        <v>0</v>
      </c>
      <c r="EL37" s="2660">
        <v>0</v>
      </c>
      <c r="EM37" s="2660">
        <v>0</v>
      </c>
      <c r="EN37" s="2660">
        <v>0</v>
      </c>
      <c r="EO37" s="2660">
        <v>0</v>
      </c>
      <c r="EP37" s="2660">
        <v>0</v>
      </c>
      <c r="EQ37" s="2660">
        <v>0</v>
      </c>
      <c r="ER37" s="2660">
        <v>0</v>
      </c>
      <c r="ES37" s="2660">
        <v>0</v>
      </c>
      <c r="ET37" s="2660">
        <v>0</v>
      </c>
      <c r="EU37" s="2660">
        <v>0</v>
      </c>
      <c r="EV37" s="2660">
        <v>0</v>
      </c>
      <c r="EW37" s="2660">
        <v>0</v>
      </c>
      <c r="EX37" s="2660">
        <v>0</v>
      </c>
      <c r="EY37" s="2660">
        <v>0</v>
      </c>
      <c r="EZ37" s="2660">
        <v>0</v>
      </c>
      <c r="FA37" s="2660">
        <v>0</v>
      </c>
      <c r="FB37" s="2660">
        <v>0</v>
      </c>
      <c r="FC37" s="2660">
        <v>0</v>
      </c>
      <c r="FD37" s="2660">
        <v>0</v>
      </c>
      <c r="FE37" s="2660">
        <v>0</v>
      </c>
      <c r="FF37" s="2660">
        <v>0</v>
      </c>
      <c r="FG37" s="2660">
        <v>0</v>
      </c>
      <c r="FH37" s="2660">
        <v>0</v>
      </c>
      <c r="FI37" s="2660">
        <v>0</v>
      </c>
      <c r="FJ37" s="2660">
        <v>0</v>
      </c>
      <c r="FK37" s="2660">
        <v>0</v>
      </c>
      <c r="FL37" s="2657"/>
    </row>
    <row r="38" spans="1:168" ht="16.5" customHeight="1" x14ac:dyDescent="0.3">
      <c r="A38" s="2658" t="s">
        <v>2540</v>
      </c>
      <c r="B38" s="2658" t="s">
        <v>2541</v>
      </c>
      <c r="C38" s="2660">
        <v>151.18849263999999</v>
      </c>
      <c r="D38" s="2660">
        <v>77.405761299999995</v>
      </c>
      <c r="E38" s="2660">
        <v>83.725646879999985</v>
      </c>
      <c r="F38" s="2660">
        <v>78.741567359999991</v>
      </c>
      <c r="G38" s="2660">
        <v>74.193548989999996</v>
      </c>
      <c r="H38" s="2660">
        <v>420.05215680999999</v>
      </c>
      <c r="I38" s="2660">
        <v>124.97634945</v>
      </c>
      <c r="J38" s="2660">
        <v>114.82181654999999</v>
      </c>
      <c r="K38" s="2660">
        <v>242.85230366999997</v>
      </c>
      <c r="L38" s="2660">
        <v>120.85366664</v>
      </c>
      <c r="M38" s="2660">
        <v>125.65614223</v>
      </c>
      <c r="N38" s="2660">
        <v>131.68978791999999</v>
      </c>
      <c r="O38" s="2660">
        <v>127.02191062</v>
      </c>
      <c r="P38" s="2660">
        <v>153.00566063999997</v>
      </c>
      <c r="Q38" s="2660">
        <v>144.30428899</v>
      </c>
      <c r="R38" s="2660">
        <v>159.8000069</v>
      </c>
      <c r="S38" s="2660">
        <v>107.71701843999999</v>
      </c>
      <c r="T38" s="2660">
        <v>216.47659336999999</v>
      </c>
      <c r="U38" s="2660">
        <v>133.49698376000001</v>
      </c>
      <c r="V38" s="2660">
        <v>131.41497039999999</v>
      </c>
      <c r="W38" s="2660">
        <v>162.90843679</v>
      </c>
      <c r="X38" s="2660">
        <v>214.26028678</v>
      </c>
      <c r="Y38" s="2660">
        <v>130.82849535</v>
      </c>
      <c r="Z38" s="2660">
        <v>128.35450184000001</v>
      </c>
      <c r="AA38" s="2660">
        <v>114.79361229999999</v>
      </c>
      <c r="AB38" s="2660">
        <v>107.10302213999999</v>
      </c>
      <c r="AC38" s="2660">
        <v>112.67850859999999</v>
      </c>
      <c r="AD38" s="2660">
        <v>116.71952302999999</v>
      </c>
      <c r="AE38" s="2660">
        <v>96.500177889999989</v>
      </c>
      <c r="AF38" s="2660">
        <v>177.66929225999999</v>
      </c>
      <c r="AG38" s="2660">
        <v>189.12947324000001</v>
      </c>
      <c r="AH38" s="2660">
        <v>59.687206289999999</v>
      </c>
      <c r="AI38" s="2660">
        <v>213.64816574</v>
      </c>
      <c r="AJ38" s="2660">
        <v>227.98555528999998</v>
      </c>
      <c r="AK38" s="2660">
        <v>136.3385394</v>
      </c>
      <c r="AL38" s="2660">
        <v>134.20941066</v>
      </c>
      <c r="AM38" s="2660">
        <v>59.900090929999998</v>
      </c>
      <c r="AN38" s="2660">
        <v>57.448535479999997</v>
      </c>
      <c r="AO38" s="2660">
        <v>56.000030250000002</v>
      </c>
      <c r="AP38" s="2660">
        <v>56.483998159999999</v>
      </c>
      <c r="AQ38" s="2660">
        <v>59.056053979999994</v>
      </c>
      <c r="AR38" s="2660">
        <v>298.53320563</v>
      </c>
      <c r="AS38" s="2660">
        <v>74.837885909999997</v>
      </c>
      <c r="AT38" s="2660">
        <v>76.618115129999993</v>
      </c>
      <c r="AU38" s="2660">
        <v>154.46081095</v>
      </c>
      <c r="AV38" s="2660">
        <v>84.412690709999993</v>
      </c>
      <c r="AW38" s="2660">
        <v>162.32298983000001</v>
      </c>
      <c r="AX38" s="2660">
        <v>316.48127357999999</v>
      </c>
      <c r="AY38" s="2660">
        <v>56.080529640000002</v>
      </c>
      <c r="AZ38" s="2660">
        <v>72.788152139999994</v>
      </c>
      <c r="BA38" s="2660">
        <v>66.796112409999992</v>
      </c>
      <c r="BB38" s="2660">
        <v>65.045760549999997</v>
      </c>
      <c r="BC38" s="2660">
        <v>58.221760060000001</v>
      </c>
      <c r="BD38" s="2660">
        <v>263.67519028999999</v>
      </c>
      <c r="BE38" s="2660">
        <v>95.785506680000012</v>
      </c>
      <c r="BF38" s="2660">
        <v>71.768152980000011</v>
      </c>
      <c r="BG38" s="2660">
        <v>152.26978314999999</v>
      </c>
      <c r="BH38" s="2660">
        <v>174.71632781</v>
      </c>
      <c r="BI38" s="2660">
        <v>91.722688989999995</v>
      </c>
      <c r="BJ38" s="2660">
        <v>105.09587028</v>
      </c>
      <c r="BK38" s="2660">
        <v>62.345936960000003</v>
      </c>
      <c r="BL38" s="2660">
        <v>70.245888600000001</v>
      </c>
      <c r="BM38" s="2660">
        <v>259.25830915</v>
      </c>
      <c r="BN38" s="2660">
        <v>79.104667819999989</v>
      </c>
      <c r="BO38" s="2660">
        <v>91.571393780000008</v>
      </c>
      <c r="BP38" s="2660">
        <v>183.94747525</v>
      </c>
      <c r="BQ38" s="2660">
        <v>281.64867767999999</v>
      </c>
      <c r="BR38" s="2660">
        <v>950.03880190999996</v>
      </c>
      <c r="BS38" s="2660">
        <v>132.82117177000001</v>
      </c>
      <c r="BT38" s="2660">
        <v>83.084955640000004</v>
      </c>
      <c r="BU38" s="2660">
        <v>66.90007276</v>
      </c>
      <c r="BV38" s="2660">
        <v>243.39152477000002</v>
      </c>
      <c r="BW38" s="2660">
        <v>63.095241170000001</v>
      </c>
      <c r="BX38" s="2660">
        <v>75.310323089999997</v>
      </c>
      <c r="BY38" s="2660">
        <v>73.132464900000002</v>
      </c>
      <c r="BZ38" s="2660">
        <v>140.44249138000001</v>
      </c>
      <c r="CA38" s="2660">
        <v>69.006645629999994</v>
      </c>
      <c r="CB38" s="2660">
        <v>157.58813618000002</v>
      </c>
      <c r="CC38" s="2660">
        <v>123.05353405</v>
      </c>
      <c r="CD38" s="2660">
        <v>247.02248975999998</v>
      </c>
      <c r="CE38" s="2660">
        <v>163.58105196</v>
      </c>
      <c r="CF38" s="2660">
        <v>67.992019980000009</v>
      </c>
      <c r="CG38" s="2660">
        <v>80.772078159999992</v>
      </c>
      <c r="CH38" s="2660">
        <v>470.07086413000002</v>
      </c>
      <c r="CI38" s="2660">
        <v>68.900401400000007</v>
      </c>
      <c r="CJ38" s="2660">
        <v>91.224881790000012</v>
      </c>
      <c r="CK38" s="2660">
        <v>154.02555762</v>
      </c>
      <c r="CL38" s="2660">
        <v>93.70003890000001</v>
      </c>
      <c r="CM38" s="2660">
        <v>86.307079709999996</v>
      </c>
      <c r="CN38" s="2660">
        <v>122.520847</v>
      </c>
      <c r="CO38" s="2660">
        <v>101.87189020000001</v>
      </c>
      <c r="CP38" s="2660">
        <v>87.871124809999998</v>
      </c>
      <c r="CQ38" s="2660">
        <v>128.47183674999999</v>
      </c>
      <c r="CR38" s="2660">
        <v>92.115906530000004</v>
      </c>
      <c r="CS38" s="2660">
        <v>65.554931420000003</v>
      </c>
      <c r="CT38" s="2660">
        <v>85.5458631099999</v>
      </c>
      <c r="CU38" s="2660">
        <v>68.768230099320775</v>
      </c>
      <c r="CV38" s="2660">
        <v>78.337929289999963</v>
      </c>
      <c r="CW38" s="2660">
        <v>66.008947340000006</v>
      </c>
      <c r="CX38" s="2660">
        <v>110.9658728</v>
      </c>
      <c r="CY38" s="2660">
        <v>63.637530210000001</v>
      </c>
      <c r="CZ38" s="2660">
        <v>153.31049732</v>
      </c>
      <c r="DA38" s="2660">
        <v>219.97085390999999</v>
      </c>
      <c r="DB38" s="2660">
        <v>62.155334700000004</v>
      </c>
      <c r="DC38" s="2660">
        <v>130.28861140999999</v>
      </c>
      <c r="DD38" s="2660">
        <v>64.703237420000008</v>
      </c>
      <c r="DE38" s="2660">
        <v>63.412572629999993</v>
      </c>
      <c r="DF38" s="2660">
        <v>95.46272132999998</v>
      </c>
      <c r="DG38" s="2660">
        <v>60.820054859999999</v>
      </c>
      <c r="DH38" s="2660">
        <v>63.309482751300095</v>
      </c>
      <c r="DI38" s="2660">
        <v>135.75730575</v>
      </c>
      <c r="DJ38" s="2660">
        <v>82.521753739999994</v>
      </c>
      <c r="DK38" s="2660">
        <v>58.300490709999998</v>
      </c>
      <c r="DL38" s="2660">
        <v>137.05946367000001</v>
      </c>
      <c r="DM38" s="2660">
        <v>101.22123248999999</v>
      </c>
      <c r="DN38" s="2660">
        <v>123.92098548</v>
      </c>
      <c r="DO38" s="2660">
        <v>121.40101760052195</v>
      </c>
      <c r="DP38" s="2660">
        <v>90.64447290999999</v>
      </c>
      <c r="DQ38" s="2660">
        <v>152.04906656999998</v>
      </c>
      <c r="DR38" s="2660">
        <v>176.25847435</v>
      </c>
      <c r="DS38" s="2660">
        <v>77.515382013217931</v>
      </c>
      <c r="DT38" s="2660">
        <v>100.66081064999997</v>
      </c>
      <c r="DU38" s="2660">
        <v>92.532699889999989</v>
      </c>
      <c r="DV38" s="2660">
        <v>159.66219983000002</v>
      </c>
      <c r="DW38" s="2660">
        <v>109.26730388</v>
      </c>
      <c r="DX38" s="2660">
        <v>125.7690891400001</v>
      </c>
      <c r="DY38" s="2660">
        <v>0</v>
      </c>
      <c r="DZ38" s="2660">
        <v>0</v>
      </c>
      <c r="EA38" s="2660">
        <v>0</v>
      </c>
      <c r="EB38" s="2660">
        <v>0</v>
      </c>
      <c r="EC38" s="2660">
        <v>0</v>
      </c>
      <c r="ED38" s="2660">
        <v>0</v>
      </c>
      <c r="EE38" s="2660">
        <v>0</v>
      </c>
      <c r="EF38" s="2660">
        <v>0</v>
      </c>
      <c r="EG38" s="2660">
        <v>0</v>
      </c>
      <c r="EH38" s="2660">
        <v>0</v>
      </c>
      <c r="EI38" s="2660">
        <v>0</v>
      </c>
      <c r="EJ38" s="2660">
        <v>0</v>
      </c>
      <c r="EK38" s="2660">
        <v>0</v>
      </c>
      <c r="EL38" s="2660">
        <v>0</v>
      </c>
      <c r="EM38" s="2660">
        <v>0</v>
      </c>
      <c r="EN38" s="2660">
        <v>0</v>
      </c>
      <c r="EO38" s="2660">
        <v>0</v>
      </c>
      <c r="EP38" s="2660">
        <v>0</v>
      </c>
      <c r="EQ38" s="2660">
        <v>0</v>
      </c>
      <c r="ER38" s="2660">
        <v>0</v>
      </c>
      <c r="ES38" s="2660">
        <v>0</v>
      </c>
      <c r="ET38" s="2660">
        <v>0</v>
      </c>
      <c r="EU38" s="2660">
        <v>0</v>
      </c>
      <c r="EV38" s="2660">
        <v>0</v>
      </c>
      <c r="EW38" s="2660">
        <v>0</v>
      </c>
      <c r="EX38" s="2660">
        <v>0</v>
      </c>
      <c r="EY38" s="2660">
        <v>0</v>
      </c>
      <c r="EZ38" s="2660">
        <v>0</v>
      </c>
      <c r="FA38" s="2660">
        <v>0</v>
      </c>
      <c r="FB38" s="2660">
        <v>0</v>
      </c>
      <c r="FC38" s="2660">
        <v>0</v>
      </c>
      <c r="FD38" s="2660">
        <v>0</v>
      </c>
      <c r="FE38" s="2660">
        <v>0</v>
      </c>
      <c r="FF38" s="2660">
        <v>0</v>
      </c>
      <c r="FG38" s="2660">
        <v>0</v>
      </c>
      <c r="FH38" s="2660">
        <v>0</v>
      </c>
      <c r="FI38" s="2660">
        <v>0</v>
      </c>
      <c r="FJ38" s="2660">
        <v>0</v>
      </c>
      <c r="FK38" s="2660">
        <v>0</v>
      </c>
      <c r="FL38" s="2657"/>
    </row>
    <row r="39" spans="1:168" ht="16.5" customHeight="1" x14ac:dyDescent="0.3">
      <c r="A39" s="2658"/>
      <c r="B39" s="2658"/>
      <c r="C39" s="2659"/>
      <c r="D39" s="2659"/>
      <c r="E39" s="2659"/>
      <c r="F39" s="2659"/>
      <c r="G39" s="2659"/>
      <c r="H39" s="2659"/>
      <c r="I39" s="2659"/>
      <c r="J39" s="2659"/>
      <c r="K39" s="2659"/>
      <c r="L39" s="2659"/>
      <c r="M39" s="2659"/>
      <c r="N39" s="2659"/>
      <c r="O39" s="2659"/>
      <c r="P39" s="2659"/>
      <c r="Q39" s="2659"/>
      <c r="R39" s="2659"/>
      <c r="S39" s="2659"/>
      <c r="T39" s="2659"/>
      <c r="U39" s="2659"/>
      <c r="V39" s="2659"/>
      <c r="W39" s="2659"/>
      <c r="X39" s="2659"/>
      <c r="Y39" s="2659"/>
      <c r="Z39" s="2659"/>
      <c r="AA39" s="2659"/>
      <c r="AB39" s="2659"/>
      <c r="AC39" s="2659"/>
      <c r="AD39" s="2659"/>
      <c r="AE39" s="2659"/>
      <c r="AF39" s="2659"/>
      <c r="AG39" s="2659"/>
      <c r="AH39" s="2659"/>
      <c r="AI39" s="2659"/>
      <c r="AJ39" s="2659"/>
      <c r="AK39" s="2659"/>
      <c r="AL39" s="2659"/>
      <c r="AM39" s="2659"/>
      <c r="AN39" s="2659"/>
      <c r="AO39" s="2659"/>
      <c r="AP39" s="2659"/>
      <c r="AQ39" s="2659"/>
      <c r="AR39" s="2659"/>
      <c r="AS39" s="2659"/>
      <c r="AT39" s="2659"/>
      <c r="AU39" s="2659"/>
      <c r="AV39" s="2659"/>
      <c r="AW39" s="2659"/>
      <c r="AX39" s="2659"/>
      <c r="AY39" s="2659"/>
      <c r="AZ39" s="2659"/>
      <c r="BA39" s="2659"/>
      <c r="BB39" s="2659"/>
      <c r="BC39" s="2659"/>
      <c r="BD39" s="2659"/>
      <c r="BE39" s="2659"/>
      <c r="BF39" s="2659"/>
      <c r="BG39" s="2659"/>
      <c r="BH39" s="2659"/>
      <c r="BI39" s="2659"/>
      <c r="BJ39" s="2659"/>
      <c r="BK39" s="2659"/>
      <c r="BL39" s="2659"/>
      <c r="BM39" s="2659"/>
      <c r="BN39" s="2659"/>
      <c r="BO39" s="2659"/>
      <c r="BP39" s="2659"/>
      <c r="BQ39" s="2659"/>
      <c r="BR39" s="2659"/>
      <c r="BS39" s="2659"/>
      <c r="BT39" s="2659"/>
      <c r="BU39" s="2659"/>
      <c r="BV39" s="2659"/>
      <c r="BW39" s="2659"/>
      <c r="BX39" s="2659"/>
      <c r="BY39" s="2659"/>
      <c r="BZ39" s="2659"/>
      <c r="CA39" s="2659"/>
      <c r="CB39" s="2659"/>
      <c r="CC39" s="2659"/>
      <c r="CD39" s="2659"/>
      <c r="CE39" s="2659"/>
      <c r="CF39" s="2659"/>
      <c r="CG39" s="2659"/>
      <c r="CH39" s="2659"/>
      <c r="CI39" s="2659"/>
      <c r="CJ39" s="2659"/>
      <c r="CK39" s="2659"/>
      <c r="CL39" s="2659"/>
      <c r="CM39" s="2659"/>
      <c r="CN39" s="2659"/>
      <c r="CO39" s="2659"/>
      <c r="CP39" s="2659"/>
      <c r="CQ39" s="2659"/>
      <c r="CR39" s="2659"/>
      <c r="CS39" s="2659"/>
      <c r="CT39" s="2659"/>
      <c r="CU39" s="2659"/>
      <c r="CV39" s="2659"/>
      <c r="CW39" s="2659"/>
      <c r="CX39" s="2659"/>
      <c r="CY39" s="2659"/>
      <c r="CZ39" s="2659"/>
      <c r="DA39" s="2659"/>
      <c r="DB39" s="2659"/>
      <c r="DC39" s="2659"/>
      <c r="DD39" s="2659"/>
      <c r="DE39" s="2659"/>
      <c r="DF39" s="2659"/>
      <c r="DG39" s="2659"/>
      <c r="DH39" s="2659"/>
      <c r="DI39" s="2659"/>
      <c r="DJ39" s="2659"/>
      <c r="DK39" s="2659"/>
      <c r="DL39" s="2659"/>
      <c r="DM39" s="2659"/>
      <c r="DN39" s="2659"/>
      <c r="DO39" s="2659"/>
      <c r="DP39" s="2659"/>
      <c r="DQ39" s="2659"/>
      <c r="DR39" s="2659"/>
      <c r="DS39" s="2659"/>
      <c r="DT39" s="2659"/>
      <c r="DU39" s="2659"/>
      <c r="DV39" s="2659"/>
      <c r="DW39" s="2659"/>
      <c r="DX39" s="2659"/>
      <c r="DY39" s="2659"/>
      <c r="DZ39" s="2659"/>
      <c r="EA39" s="2659"/>
      <c r="EB39" s="2659"/>
      <c r="EC39" s="2659"/>
      <c r="ED39" s="2659"/>
      <c r="EE39" s="2659"/>
      <c r="EF39" s="2659"/>
      <c r="EG39" s="2659"/>
      <c r="EH39" s="2659"/>
      <c r="EI39" s="2659"/>
      <c r="EJ39" s="2659"/>
      <c r="EK39" s="2659"/>
      <c r="EL39" s="2659"/>
      <c r="EM39" s="2659"/>
      <c r="EN39" s="2659"/>
      <c r="EO39" s="2659"/>
      <c r="EP39" s="2659"/>
      <c r="EQ39" s="2659"/>
      <c r="ER39" s="2659"/>
      <c r="ES39" s="2659"/>
      <c r="ET39" s="2659"/>
      <c r="EU39" s="2659"/>
      <c r="EV39" s="2659"/>
      <c r="EW39" s="2659"/>
      <c r="EX39" s="2659"/>
      <c r="EY39" s="2659"/>
      <c r="EZ39" s="2659"/>
      <c r="FA39" s="2659"/>
      <c r="FB39" s="2659"/>
      <c r="FC39" s="2659"/>
      <c r="FD39" s="2659"/>
      <c r="FE39" s="2659"/>
      <c r="FF39" s="2659"/>
      <c r="FG39" s="2659"/>
      <c r="FH39" s="2659"/>
      <c r="FI39" s="2659"/>
      <c r="FJ39" s="2659"/>
      <c r="FK39" s="2659"/>
      <c r="FL39" s="2657"/>
    </row>
    <row r="40" spans="1:168" ht="16.5" customHeight="1" x14ac:dyDescent="0.3">
      <c r="A40" s="2655" t="s">
        <v>2542</v>
      </c>
      <c r="B40" s="2655" t="s">
        <v>2543</v>
      </c>
      <c r="C40" s="2656">
        <v>29966.975270430004</v>
      </c>
      <c r="D40" s="2656">
        <v>31254.647347658003</v>
      </c>
      <c r="E40" s="2656">
        <v>30372.563617634001</v>
      </c>
      <c r="F40" s="2656">
        <v>30963.920489230004</v>
      </c>
      <c r="G40" s="2656">
        <v>30613.226018459998</v>
      </c>
      <c r="H40" s="2656">
        <v>33128.330575418004</v>
      </c>
      <c r="I40" s="2656">
        <v>33789.267421356002</v>
      </c>
      <c r="J40" s="2656">
        <v>33020.689187719807</v>
      </c>
      <c r="K40" s="2656">
        <v>30534.132591883994</v>
      </c>
      <c r="L40" s="2656">
        <v>31544.458324931002</v>
      </c>
      <c r="M40" s="2656">
        <v>34977.812640402</v>
      </c>
      <c r="N40" s="2656">
        <v>35949.448974421</v>
      </c>
      <c r="O40" s="2656">
        <v>35192.75877875572</v>
      </c>
      <c r="P40" s="2656">
        <v>34541.421341773646</v>
      </c>
      <c r="Q40" s="2656">
        <v>36939.507580827478</v>
      </c>
      <c r="R40" s="2656">
        <v>36646.860198302456</v>
      </c>
      <c r="S40" s="2656">
        <v>36053.616068564763</v>
      </c>
      <c r="T40" s="2656">
        <v>36084.724062089997</v>
      </c>
      <c r="U40" s="2656">
        <v>36239.179683970557</v>
      </c>
      <c r="V40" s="2656">
        <v>35220.694716186779</v>
      </c>
      <c r="W40" s="2656">
        <v>35968.445858579995</v>
      </c>
      <c r="X40" s="2656">
        <v>36491.476768018532</v>
      </c>
      <c r="Y40" s="2656">
        <v>36444.609430624776</v>
      </c>
      <c r="Z40" s="2656">
        <v>38789.824571191995</v>
      </c>
      <c r="AA40" s="2656">
        <v>38832.313905730829</v>
      </c>
      <c r="AB40" s="2656">
        <v>39201.650866966433</v>
      </c>
      <c r="AC40" s="2656">
        <v>39598.520794407035</v>
      </c>
      <c r="AD40" s="2656">
        <v>39343.312606860163</v>
      </c>
      <c r="AE40" s="2656">
        <v>39252.326794396096</v>
      </c>
      <c r="AF40" s="2656">
        <v>42619.680820155401</v>
      </c>
      <c r="AG40" s="2656">
        <v>42577.058093508051</v>
      </c>
      <c r="AH40" s="2656">
        <v>43504.518758566446</v>
      </c>
      <c r="AI40" s="2656">
        <v>43201.277614377948</v>
      </c>
      <c r="AJ40" s="2656">
        <v>42159.302407638199</v>
      </c>
      <c r="AK40" s="2656">
        <v>42910.437745755764</v>
      </c>
      <c r="AL40" s="2656">
        <v>40614.66020448348</v>
      </c>
      <c r="AM40" s="2656">
        <v>42825.937377875787</v>
      </c>
      <c r="AN40" s="2656">
        <v>43964.981252033365</v>
      </c>
      <c r="AO40" s="2656">
        <v>42932.13565626496</v>
      </c>
      <c r="AP40" s="2656">
        <v>40830.506188844367</v>
      </c>
      <c r="AQ40" s="2656">
        <v>47274.165556918102</v>
      </c>
      <c r="AR40" s="2656">
        <v>48436.776476322426</v>
      </c>
      <c r="AS40" s="2656">
        <v>44985.178309535302</v>
      </c>
      <c r="AT40" s="2656">
        <v>41348.617100414427</v>
      </c>
      <c r="AU40" s="2656">
        <v>44235.655758825626</v>
      </c>
      <c r="AV40" s="2656">
        <v>43755.652114609475</v>
      </c>
      <c r="AW40" s="2656">
        <v>44181.708255133148</v>
      </c>
      <c r="AX40" s="2656">
        <v>45777.675150546376</v>
      </c>
      <c r="AY40" s="2656">
        <v>47958.153422024698</v>
      </c>
      <c r="AZ40" s="2656">
        <v>52887.297649936125</v>
      </c>
      <c r="BA40" s="2656">
        <v>52134.949325764224</v>
      </c>
      <c r="BB40" s="2656">
        <v>56217.050935438325</v>
      </c>
      <c r="BC40" s="2656">
        <v>55100.478066376672</v>
      </c>
      <c r="BD40" s="2656">
        <v>56440.796463404222</v>
      </c>
      <c r="BE40" s="2656">
        <v>58292.819903318996</v>
      </c>
      <c r="BF40" s="2656">
        <v>62112.201600465844</v>
      </c>
      <c r="BG40" s="2656">
        <v>63458.390614410375</v>
      </c>
      <c r="BH40" s="2656">
        <v>62322.811491108325</v>
      </c>
      <c r="BI40" s="2656">
        <v>56410.697808099874</v>
      </c>
      <c r="BJ40" s="2656">
        <v>55987.2849719515</v>
      </c>
      <c r="BK40" s="2656">
        <v>59825.179798573226</v>
      </c>
      <c r="BL40" s="2656">
        <v>65161.407995931448</v>
      </c>
      <c r="BM40" s="2656">
        <v>71010.513358596872</v>
      </c>
      <c r="BN40" s="2656">
        <v>70912.953684895256</v>
      </c>
      <c r="BO40" s="2656">
        <v>68932.392346479101</v>
      </c>
      <c r="BP40" s="2656">
        <v>68217.023590271958</v>
      </c>
      <c r="BQ40" s="2656">
        <v>69100.952125154843</v>
      </c>
      <c r="BR40" s="2656">
        <v>66000.244530413009</v>
      </c>
      <c r="BS40" s="2656">
        <v>68660.186618714753</v>
      </c>
      <c r="BT40" s="2656">
        <v>71708.192215308474</v>
      </c>
      <c r="BU40" s="2656">
        <v>74485.847071344557</v>
      </c>
      <c r="BV40" s="2656">
        <v>72494.120712716802</v>
      </c>
      <c r="BW40" s="2656">
        <v>73387.265660208053</v>
      </c>
      <c r="BX40" s="2656">
        <v>74779.201230639548</v>
      </c>
      <c r="BY40" s="2656">
        <v>73618.696646692566</v>
      </c>
      <c r="BZ40" s="2656">
        <v>74155.979837397506</v>
      </c>
      <c r="CA40" s="2656">
        <v>77765.312972637301</v>
      </c>
      <c r="CB40" s="2656">
        <v>80644.360184238016</v>
      </c>
      <c r="CC40" s="2656">
        <v>80603.676751099105</v>
      </c>
      <c r="CD40" s="2656">
        <v>82223.716535257263</v>
      </c>
      <c r="CE40" s="2656">
        <v>83744.208376581228</v>
      </c>
      <c r="CF40" s="2656">
        <v>84213.721441161208</v>
      </c>
      <c r="CG40" s="2656">
        <v>88118.834941231224</v>
      </c>
      <c r="CH40" s="2656">
        <v>88441.479207051219</v>
      </c>
      <c r="CI40" s="2656">
        <v>87189.950623401237</v>
      </c>
      <c r="CJ40" s="2656">
        <v>86446.309018551226</v>
      </c>
      <c r="CK40" s="2656">
        <v>87765.205659631218</v>
      </c>
      <c r="CL40" s="2656">
        <v>94547.000497511224</v>
      </c>
      <c r="CM40" s="2656">
        <v>93214.983486141224</v>
      </c>
      <c r="CN40" s="2656">
        <v>85749.731818561224</v>
      </c>
      <c r="CO40" s="2656">
        <v>80021.470131171227</v>
      </c>
      <c r="CP40" s="2656">
        <v>79842.054960191221</v>
      </c>
      <c r="CQ40" s="2656">
        <v>82004.631570521218</v>
      </c>
      <c r="CR40" s="2656">
        <v>80426.787731071207</v>
      </c>
      <c r="CS40" s="2656">
        <v>87997.723998171219</v>
      </c>
      <c r="CT40" s="2656">
        <v>91699.870868191225</v>
      </c>
      <c r="CU40" s="2656">
        <v>91794.271166041901</v>
      </c>
      <c r="CV40" s="2656">
        <v>89607.067906263779</v>
      </c>
      <c r="CW40" s="2656">
        <v>87277.837543327871</v>
      </c>
      <c r="CX40" s="2656">
        <v>89416.484585948914</v>
      </c>
      <c r="CY40" s="2656">
        <v>96826.287207250585</v>
      </c>
      <c r="CZ40" s="2656">
        <v>110083.65593103829</v>
      </c>
      <c r="DA40" s="2656">
        <v>104521.73196517759</v>
      </c>
      <c r="DB40" s="2656">
        <v>111179.29981891498</v>
      </c>
      <c r="DC40" s="2656">
        <v>100384.61095970873</v>
      </c>
      <c r="DD40" s="2656">
        <v>96881.238664737524</v>
      </c>
      <c r="DE40" s="2656">
        <v>98755.429046798628</v>
      </c>
      <c r="DF40" s="2656">
        <v>89842.427578938485</v>
      </c>
      <c r="DG40" s="2656">
        <v>94472.661701492703</v>
      </c>
      <c r="DH40" s="2656">
        <v>92116.511822538974</v>
      </c>
      <c r="DI40" s="2656">
        <v>89379.092453990248</v>
      </c>
      <c r="DJ40" s="2656">
        <v>86924.16093317153</v>
      </c>
      <c r="DK40" s="2656">
        <v>89164.075766510097</v>
      </c>
      <c r="DL40" s="2656">
        <v>90186.905101146898</v>
      </c>
      <c r="DM40" s="2656">
        <v>94961.859608127881</v>
      </c>
      <c r="DN40" s="2656">
        <v>92789.454825870358</v>
      </c>
      <c r="DO40" s="2656">
        <v>92399.072075251941</v>
      </c>
      <c r="DP40" s="2656">
        <v>87849.508281443021</v>
      </c>
      <c r="DQ40" s="2656">
        <v>92477.068743999524</v>
      </c>
      <c r="DR40" s="2656">
        <v>104079.68957931641</v>
      </c>
      <c r="DS40" s="2656">
        <v>103808.54192417515</v>
      </c>
      <c r="DT40" s="2656">
        <v>99321.660716402374</v>
      </c>
      <c r="DU40" s="2656">
        <v>108290.62750661823</v>
      </c>
      <c r="DV40" s="2656">
        <v>127204.3819319218</v>
      </c>
      <c r="DW40" s="2656">
        <v>139211.25360189262</v>
      </c>
      <c r="DX40" s="2656">
        <v>149810.62329122334</v>
      </c>
      <c r="DY40" s="2656">
        <v>151394.32557434798</v>
      </c>
      <c r="DZ40" s="2656">
        <v>162334.11951294233</v>
      </c>
      <c r="EA40" s="2656">
        <v>162309.61818441364</v>
      </c>
      <c r="EB40" s="2656">
        <v>159670.28013665378</v>
      </c>
      <c r="EC40" s="2656">
        <v>157656.04203595335</v>
      </c>
      <c r="ED40" s="2656">
        <v>157597.88016278105</v>
      </c>
      <c r="EE40" s="2656">
        <v>176296.23557296811</v>
      </c>
      <c r="EF40" s="2656">
        <v>161998.09108637981</v>
      </c>
      <c r="EG40" s="2656">
        <v>169381.18306503288</v>
      </c>
      <c r="EH40" s="2656">
        <v>155455.59569384682</v>
      </c>
      <c r="EI40" s="2656">
        <v>157849.54888044443</v>
      </c>
      <c r="EJ40" s="2656">
        <v>166495.42911737776</v>
      </c>
      <c r="EK40" s="2656">
        <v>162548.25643135665</v>
      </c>
      <c r="EL40" s="2656">
        <v>172812.80254865339</v>
      </c>
      <c r="EM40" s="2656">
        <v>191391.84090220457</v>
      </c>
      <c r="EN40" s="2656">
        <v>159139.24118355167</v>
      </c>
      <c r="EO40" s="2656">
        <v>163102.51353140167</v>
      </c>
      <c r="EP40" s="2656">
        <v>210263.84533576661</v>
      </c>
      <c r="EQ40" s="2656">
        <v>189712.01469178518</v>
      </c>
      <c r="ER40" s="2656">
        <v>178234.65447479495</v>
      </c>
      <c r="ES40" s="2656">
        <v>196521.49971640267</v>
      </c>
      <c r="ET40" s="2656">
        <v>164327.97598361602</v>
      </c>
      <c r="EU40" s="2656">
        <v>160373.44133405847</v>
      </c>
      <c r="EV40" s="2656">
        <v>194492.66169199688</v>
      </c>
      <c r="EW40" s="2656">
        <v>156764.11794681396</v>
      </c>
      <c r="EX40" s="2656">
        <v>161621.13510699652</v>
      </c>
      <c r="EY40" s="2656">
        <v>174688.1532465569</v>
      </c>
      <c r="EZ40" s="2656">
        <v>130638.11503242815</v>
      </c>
      <c r="FA40" s="2656">
        <v>128447.19468561922</v>
      </c>
      <c r="FB40" s="2656">
        <v>188917.56715140719</v>
      </c>
      <c r="FC40" s="2656">
        <v>138264.42458675243</v>
      </c>
      <c r="FD40" s="2656">
        <v>126779.01436197801</v>
      </c>
      <c r="FE40" s="2656">
        <v>120209.57505323425</v>
      </c>
      <c r="FF40" s="2656">
        <v>114866.88017945994</v>
      </c>
      <c r="FG40" s="2656">
        <v>113313.34819421514</v>
      </c>
      <c r="FH40" s="2656">
        <v>115976.52746769258</v>
      </c>
      <c r="FI40" s="2656">
        <v>191932.54644708044</v>
      </c>
      <c r="FJ40" s="2656">
        <v>175587.14068402461</v>
      </c>
      <c r="FK40" s="2656">
        <v>135995.47653014015</v>
      </c>
      <c r="FL40" s="2657"/>
    </row>
    <row r="41" spans="1:168" ht="16.5" customHeight="1" x14ac:dyDescent="0.3">
      <c r="A41" s="2658" t="s">
        <v>2544</v>
      </c>
      <c r="B41" s="2658" t="s">
        <v>2537</v>
      </c>
      <c r="C41" s="2660">
        <v>29905.948359430004</v>
      </c>
      <c r="D41" s="2660">
        <v>31193.630936658003</v>
      </c>
      <c r="E41" s="2660">
        <v>27311.545206634</v>
      </c>
      <c r="F41" s="2660">
        <v>29202.901078230003</v>
      </c>
      <c r="G41" s="2660">
        <v>30552.205607459997</v>
      </c>
      <c r="H41" s="2660">
        <v>31067.309164418002</v>
      </c>
      <c r="I41" s="2660">
        <v>33728.246010356001</v>
      </c>
      <c r="J41" s="2660">
        <v>32959.665776719805</v>
      </c>
      <c r="K41" s="2660">
        <v>30473.108180883995</v>
      </c>
      <c r="L41" s="2660">
        <v>31483.433913931003</v>
      </c>
      <c r="M41" s="2660">
        <v>34916.786229402001</v>
      </c>
      <c r="N41" s="2660">
        <v>35888.421563420998</v>
      </c>
      <c r="O41" s="2660">
        <v>35131.730367755721</v>
      </c>
      <c r="P41" s="2660">
        <v>34480.391930773643</v>
      </c>
      <c r="Q41" s="2660">
        <v>36878.477169827478</v>
      </c>
      <c r="R41" s="2660">
        <v>36585.829787302457</v>
      </c>
      <c r="S41" s="2660">
        <v>35982.459657564759</v>
      </c>
      <c r="T41" s="2660">
        <v>36017.19423909</v>
      </c>
      <c r="U41" s="2660">
        <v>36171.64986097056</v>
      </c>
      <c r="V41" s="2660">
        <v>35153.164893186782</v>
      </c>
      <c r="W41" s="2660">
        <v>35900.916035579998</v>
      </c>
      <c r="X41" s="2660">
        <v>36423.946945018535</v>
      </c>
      <c r="Y41" s="2660">
        <v>36377.079607624779</v>
      </c>
      <c r="Z41" s="2660">
        <v>38722.294748191998</v>
      </c>
      <c r="AA41" s="2660">
        <v>38764.784082730832</v>
      </c>
      <c r="AB41" s="2660">
        <v>39134.121043966436</v>
      </c>
      <c r="AC41" s="2660">
        <v>39530.990971407038</v>
      </c>
      <c r="AD41" s="2660">
        <v>39275.779788860164</v>
      </c>
      <c r="AE41" s="2660">
        <v>39184.793976396097</v>
      </c>
      <c r="AF41" s="2660">
        <v>42552.138171155399</v>
      </c>
      <c r="AG41" s="2660">
        <v>42506.010275508052</v>
      </c>
      <c r="AH41" s="2660">
        <v>43433.470940566447</v>
      </c>
      <c r="AI41" s="2660">
        <v>43130.22012637795</v>
      </c>
      <c r="AJ41" s="2660">
        <v>42088.247914638203</v>
      </c>
      <c r="AK41" s="2660">
        <v>42839.383252755768</v>
      </c>
      <c r="AL41" s="2660">
        <v>40543.605711483484</v>
      </c>
      <c r="AM41" s="2660">
        <v>42754.882884875791</v>
      </c>
      <c r="AN41" s="2660">
        <v>43897.441759033369</v>
      </c>
      <c r="AO41" s="2660">
        <v>42864.596163264956</v>
      </c>
      <c r="AP41" s="2660">
        <v>40762.96669584437</v>
      </c>
      <c r="AQ41" s="2660">
        <v>47206.626063918106</v>
      </c>
      <c r="AR41" s="2660">
        <v>48369.236983322422</v>
      </c>
      <c r="AS41" s="2660">
        <v>44917.638816535298</v>
      </c>
      <c r="AT41" s="2660">
        <v>41281.077607414431</v>
      </c>
      <c r="AU41" s="2660">
        <v>44168.116265825622</v>
      </c>
      <c r="AV41" s="2660">
        <v>43688.112621609478</v>
      </c>
      <c r="AW41" s="2660">
        <v>44114.168762133151</v>
      </c>
      <c r="AX41" s="2660">
        <v>45710.135657546372</v>
      </c>
      <c r="AY41" s="2660">
        <v>47890.613929024701</v>
      </c>
      <c r="AZ41" s="2660">
        <v>52715.362689936119</v>
      </c>
      <c r="BA41" s="2660">
        <v>51963.014365764218</v>
      </c>
      <c r="BB41" s="2660">
        <v>56048.243475438321</v>
      </c>
      <c r="BC41" s="2660">
        <v>54931.670606376669</v>
      </c>
      <c r="BD41" s="2660">
        <v>56271.989003404218</v>
      </c>
      <c r="BE41" s="2660">
        <v>58124.012443318992</v>
      </c>
      <c r="BF41" s="2660">
        <v>61943.39414046584</v>
      </c>
      <c r="BG41" s="2660">
        <v>63289.583154410371</v>
      </c>
      <c r="BH41" s="2660">
        <v>62154.004031108321</v>
      </c>
      <c r="BI41" s="2660">
        <v>56241.890348099871</v>
      </c>
      <c r="BJ41" s="2660">
        <v>55818.477511951496</v>
      </c>
      <c r="BK41" s="2660">
        <v>59094.987338573228</v>
      </c>
      <c r="BL41" s="2660">
        <v>63683.215535931449</v>
      </c>
      <c r="BM41" s="2660">
        <v>68422.250898596874</v>
      </c>
      <c r="BN41" s="2660">
        <v>68324.691224895258</v>
      </c>
      <c r="BO41" s="2660">
        <v>64352.684886479095</v>
      </c>
      <c r="BP41" s="2660">
        <v>62659.31613027196</v>
      </c>
      <c r="BQ41" s="2660">
        <v>63293.244665154845</v>
      </c>
      <c r="BR41" s="2660">
        <v>59949.981070413007</v>
      </c>
      <c r="BS41" s="2660">
        <v>62006.423158714751</v>
      </c>
      <c r="BT41" s="2660">
        <v>64354.428755308472</v>
      </c>
      <c r="BU41" s="2660">
        <v>67032.083611344569</v>
      </c>
      <c r="BV41" s="2660">
        <v>65040.3572527168</v>
      </c>
      <c r="BW41" s="2660">
        <v>65457.187200208049</v>
      </c>
      <c r="BX41" s="2660">
        <v>66468.772770639553</v>
      </c>
      <c r="BY41" s="2660">
        <v>65458.33818669257</v>
      </c>
      <c r="BZ41" s="2660">
        <v>65995.621377397518</v>
      </c>
      <c r="CA41" s="2660">
        <v>70596.399512637305</v>
      </c>
      <c r="CB41" s="2660">
        <v>71028.93172423802</v>
      </c>
      <c r="CC41" s="2660">
        <v>71238.268291099099</v>
      </c>
      <c r="CD41" s="2660">
        <v>72748.864075257254</v>
      </c>
      <c r="CE41" s="2660">
        <v>73340.119916581229</v>
      </c>
      <c r="CF41" s="2660">
        <v>74509.632981161209</v>
      </c>
      <c r="CG41" s="2660">
        <v>78514.746481231225</v>
      </c>
      <c r="CH41" s="2660">
        <v>77932.39074705122</v>
      </c>
      <c r="CI41" s="2660">
        <v>75207.001663401228</v>
      </c>
      <c r="CJ41" s="2660">
        <v>75656.610058551218</v>
      </c>
      <c r="CK41" s="2660">
        <v>76515.506699631209</v>
      </c>
      <c r="CL41" s="2660">
        <v>83297.301537511215</v>
      </c>
      <c r="CM41" s="2660">
        <v>80388.284526141215</v>
      </c>
      <c r="CN41" s="2660">
        <v>75647.062858561214</v>
      </c>
      <c r="CO41" s="2660">
        <v>69918.801171171217</v>
      </c>
      <c r="CP41" s="2660">
        <v>68597.386000191211</v>
      </c>
      <c r="CQ41" s="2660">
        <v>72292.698610521213</v>
      </c>
      <c r="CR41" s="2660">
        <v>70714.854771071216</v>
      </c>
      <c r="CS41" s="2660">
        <v>78285.791038171214</v>
      </c>
      <c r="CT41" s="2660">
        <v>81872.937908191219</v>
      </c>
      <c r="CU41" s="2660">
        <v>81505.338206041895</v>
      </c>
      <c r="CV41" s="2660">
        <v>78180.495446263769</v>
      </c>
      <c r="CW41" s="2660">
        <v>73403.365083327881</v>
      </c>
      <c r="CX41" s="2660">
        <v>72978.51212594891</v>
      </c>
      <c r="CY41" s="2660">
        <v>76790.314747250581</v>
      </c>
      <c r="CZ41" s="2660">
        <v>90233.968471038286</v>
      </c>
      <c r="DA41" s="2660">
        <v>84672.04450517759</v>
      </c>
      <c r="DB41" s="2660">
        <v>92823.612358914979</v>
      </c>
      <c r="DC41" s="2660">
        <v>82028.923499708733</v>
      </c>
      <c r="DD41" s="2660">
        <v>78525.551204737523</v>
      </c>
      <c r="DE41" s="2660">
        <v>80399.741586798627</v>
      </c>
      <c r="DF41" s="2660">
        <v>72007.784085938474</v>
      </c>
      <c r="DG41" s="2660">
        <v>77299.518208492707</v>
      </c>
      <c r="DH41" s="2660">
        <v>77116.96832953897</v>
      </c>
      <c r="DI41" s="2660">
        <v>76247.448960990252</v>
      </c>
      <c r="DJ41" s="2660">
        <v>75660.017440171519</v>
      </c>
      <c r="DK41" s="2660">
        <v>82074.932273510087</v>
      </c>
      <c r="DL41" s="2660">
        <v>77373.361608146894</v>
      </c>
      <c r="DM41" s="2660">
        <v>81069.816115127876</v>
      </c>
      <c r="DN41" s="2660">
        <v>78897.411332870353</v>
      </c>
      <c r="DO41" s="2660">
        <v>78507.028582251936</v>
      </c>
      <c r="DP41" s="2660">
        <v>73957.464788443016</v>
      </c>
      <c r="DQ41" s="2660">
        <v>78585.025250999533</v>
      </c>
      <c r="DR41" s="2660">
        <v>90703.64608631641</v>
      </c>
      <c r="DS41" s="2660">
        <v>90475.373414125148</v>
      </c>
      <c r="DT41" s="2660">
        <v>86950.363470642376</v>
      </c>
      <c r="DU41" s="2660">
        <v>91651.782427168218</v>
      </c>
      <c r="DV41" s="2660">
        <v>111291.7697130318</v>
      </c>
      <c r="DW41" s="2660">
        <v>123422.30060090261</v>
      </c>
      <c r="DX41" s="2660">
        <v>138222.08218350334</v>
      </c>
      <c r="DY41" s="2660">
        <v>144783.21386216796</v>
      </c>
      <c r="DZ41" s="2660">
        <v>155704.42054048233</v>
      </c>
      <c r="EA41" s="2660">
        <v>155661.93154073364</v>
      </c>
      <c r="EB41" s="2660">
        <v>153004.00623268378</v>
      </c>
      <c r="EC41" s="2660">
        <v>150971.78046076334</v>
      </c>
      <c r="ED41" s="2660">
        <v>150895.03132732105</v>
      </c>
      <c r="EE41" s="2660">
        <v>169574.79947722811</v>
      </c>
      <c r="EF41" s="2660">
        <v>155259.8664974898</v>
      </c>
      <c r="EG41" s="2660">
        <v>164698.57121587289</v>
      </c>
      <c r="EH41" s="2660">
        <v>150760.99617344682</v>
      </c>
      <c r="EI41" s="2660">
        <v>155220.84100388442</v>
      </c>
      <c r="EJ41" s="2660">
        <v>166437.38562437776</v>
      </c>
      <c r="EK41" s="2660">
        <v>162490.21293835665</v>
      </c>
      <c r="EL41" s="2660">
        <v>172754.75905565338</v>
      </c>
      <c r="EM41" s="2660">
        <v>191333.79740920456</v>
      </c>
      <c r="EN41" s="2660">
        <v>159081.19769055166</v>
      </c>
      <c r="EO41" s="2660">
        <v>163044.47003840166</v>
      </c>
      <c r="EP41" s="2660">
        <v>210205.80184276661</v>
      </c>
      <c r="EQ41" s="2660">
        <v>189653.97119878518</v>
      </c>
      <c r="ER41" s="2660">
        <v>178176.61098179495</v>
      </c>
      <c r="ES41" s="2660">
        <v>196463.45622340267</v>
      </c>
      <c r="ET41" s="2660">
        <v>164269.93249061602</v>
      </c>
      <c r="EU41" s="2660">
        <v>160315.39784105847</v>
      </c>
      <c r="EV41" s="2660">
        <v>194436.94694899689</v>
      </c>
      <c r="EW41" s="2660">
        <v>156708.40320381397</v>
      </c>
      <c r="EX41" s="2660">
        <v>161565.42036399653</v>
      </c>
      <c r="EY41" s="2660">
        <v>174632.43850355691</v>
      </c>
      <c r="EZ41" s="2660">
        <v>130582.39591942815</v>
      </c>
      <c r="FA41" s="2660">
        <v>128391.47557261922</v>
      </c>
      <c r="FB41" s="2660">
        <v>188861.84803840719</v>
      </c>
      <c r="FC41" s="2660">
        <v>127932.72019977242</v>
      </c>
      <c r="FD41" s="2660">
        <v>125348.16339966802</v>
      </c>
      <c r="FE41" s="2660">
        <v>118228.67135119425</v>
      </c>
      <c r="FF41" s="2660">
        <v>112076.75534727995</v>
      </c>
      <c r="FG41" s="2660">
        <v>110612.74429010514</v>
      </c>
      <c r="FH41" s="2660">
        <v>108495.46520742257</v>
      </c>
      <c r="FI41" s="2660">
        <v>106552.18448818043</v>
      </c>
      <c r="FJ41" s="2660">
        <v>102965.82732786459</v>
      </c>
      <c r="FK41" s="2660">
        <v>100702.67592740017</v>
      </c>
      <c r="FL41" s="2657"/>
    </row>
    <row r="42" spans="1:168" ht="16.5" customHeight="1" x14ac:dyDescent="0.3">
      <c r="A42" s="2658" t="s">
        <v>2545</v>
      </c>
      <c r="B42" s="2658" t="s">
        <v>2539</v>
      </c>
      <c r="C42" s="2660">
        <v>61.026910999999927</v>
      </c>
      <c r="D42" s="2660">
        <v>61.016411000000062</v>
      </c>
      <c r="E42" s="2660">
        <v>61.018411000000015</v>
      </c>
      <c r="F42" s="2660">
        <v>61.019411000000218</v>
      </c>
      <c r="G42" s="2660">
        <v>61.020410999999967</v>
      </c>
      <c r="H42" s="2660">
        <v>61.021410999999716</v>
      </c>
      <c r="I42" s="2660">
        <v>61.021411000000171</v>
      </c>
      <c r="J42" s="2660">
        <v>61.023411000000124</v>
      </c>
      <c r="K42" s="2660">
        <v>61.024410999999873</v>
      </c>
      <c r="L42" s="2660">
        <v>61.024410999999873</v>
      </c>
      <c r="M42" s="2660">
        <v>61.026410999999825</v>
      </c>
      <c r="N42" s="2660">
        <v>61.027411000000029</v>
      </c>
      <c r="O42" s="2660">
        <v>61.028410999999778</v>
      </c>
      <c r="P42" s="2660">
        <v>61.029410999999982</v>
      </c>
      <c r="Q42" s="2660">
        <v>61.030411000000186</v>
      </c>
      <c r="R42" s="2660">
        <v>61.030411000000186</v>
      </c>
      <c r="S42" s="2660">
        <v>71.156410999999935</v>
      </c>
      <c r="T42" s="2660">
        <v>67.529822999999851</v>
      </c>
      <c r="U42" s="2660">
        <v>67.529822999999851</v>
      </c>
      <c r="V42" s="2660">
        <v>67.529822999999851</v>
      </c>
      <c r="W42" s="2660">
        <v>67.529822999999851</v>
      </c>
      <c r="X42" s="2660">
        <v>67.529822999999851</v>
      </c>
      <c r="Y42" s="2660">
        <v>67.529822999999851</v>
      </c>
      <c r="Z42" s="2660">
        <v>67.529822999999851</v>
      </c>
      <c r="AA42" s="2660">
        <v>67.529822999999851</v>
      </c>
      <c r="AB42" s="2660">
        <v>67.529822999999851</v>
      </c>
      <c r="AC42" s="2660">
        <v>67.529822999999851</v>
      </c>
      <c r="AD42" s="2660">
        <v>67.532818000000134</v>
      </c>
      <c r="AE42" s="2660">
        <v>67.532818000000134</v>
      </c>
      <c r="AF42" s="2660">
        <v>67.542648999999983</v>
      </c>
      <c r="AG42" s="2660">
        <v>67.532818000000006</v>
      </c>
      <c r="AH42" s="2660">
        <v>67.532818000000006</v>
      </c>
      <c r="AI42" s="2660">
        <v>67.542487999999921</v>
      </c>
      <c r="AJ42" s="2660">
        <v>67.539493000000093</v>
      </c>
      <c r="AK42" s="2660">
        <v>67.539493000000093</v>
      </c>
      <c r="AL42" s="2660">
        <v>67.539493000000093</v>
      </c>
      <c r="AM42" s="2660">
        <v>67.539493000000093</v>
      </c>
      <c r="AN42" s="2660">
        <v>67.53949300000022</v>
      </c>
      <c r="AO42" s="2660">
        <v>67.53949300000022</v>
      </c>
      <c r="AP42" s="2660">
        <v>67.539492999999766</v>
      </c>
      <c r="AQ42" s="2660">
        <v>67.539492999999766</v>
      </c>
      <c r="AR42" s="2660">
        <v>67.53949300000022</v>
      </c>
      <c r="AS42" s="2660">
        <v>67.53949300000022</v>
      </c>
      <c r="AT42" s="2660">
        <v>67.53949300000022</v>
      </c>
      <c r="AU42" s="2660">
        <v>67.53949300000022</v>
      </c>
      <c r="AV42" s="2660">
        <v>67.539492999999766</v>
      </c>
      <c r="AW42" s="2660">
        <v>67.539492999999766</v>
      </c>
      <c r="AX42" s="2660">
        <v>67.53949300000022</v>
      </c>
      <c r="AY42" s="2660">
        <v>67.53949300000022</v>
      </c>
      <c r="AZ42" s="2660">
        <v>64.790993000000043</v>
      </c>
      <c r="BA42" s="2660">
        <v>64.790993000000043</v>
      </c>
      <c r="BB42" s="2660">
        <v>58.063492999999994</v>
      </c>
      <c r="BC42" s="2660">
        <v>58.063492999999994</v>
      </c>
      <c r="BD42" s="2660">
        <v>58.063492999999994</v>
      </c>
      <c r="BE42" s="2660">
        <v>58.063492999999994</v>
      </c>
      <c r="BF42" s="2660">
        <v>58.063492999999994</v>
      </c>
      <c r="BG42" s="2660">
        <v>58.063492999999994</v>
      </c>
      <c r="BH42" s="2660">
        <v>58.063492999999994</v>
      </c>
      <c r="BI42" s="2660">
        <v>58.063492999999994</v>
      </c>
      <c r="BJ42" s="2660">
        <v>58.063492999999994</v>
      </c>
      <c r="BK42" s="2660">
        <v>58.063493000000221</v>
      </c>
      <c r="BL42" s="2660">
        <v>58.063492999999653</v>
      </c>
      <c r="BM42" s="2660">
        <v>58.063493000000562</v>
      </c>
      <c r="BN42" s="2660">
        <v>58.063492999999653</v>
      </c>
      <c r="BO42" s="2660">
        <v>58.063492999998743</v>
      </c>
      <c r="BP42" s="2660">
        <v>58.063492999998743</v>
      </c>
      <c r="BQ42" s="2660">
        <v>58.063492999998743</v>
      </c>
      <c r="BR42" s="2660">
        <v>58.063492999998743</v>
      </c>
      <c r="BS42" s="2660">
        <v>58.063493000000562</v>
      </c>
      <c r="BT42" s="2660">
        <v>58.063492999998743</v>
      </c>
      <c r="BU42" s="2660">
        <v>58.063492999998743</v>
      </c>
      <c r="BV42" s="2660">
        <v>58.063492999998743</v>
      </c>
      <c r="BW42" s="2660">
        <v>58.063492999998743</v>
      </c>
      <c r="BX42" s="2660">
        <v>58.063492999999653</v>
      </c>
      <c r="BY42" s="2660">
        <v>58.063492999999653</v>
      </c>
      <c r="BZ42" s="2660">
        <v>58.063492999999653</v>
      </c>
      <c r="CA42" s="2660">
        <v>58.063492999999653</v>
      </c>
      <c r="CB42" s="2660">
        <v>58.063492999999653</v>
      </c>
      <c r="CC42" s="2660">
        <v>58.043492999999216</v>
      </c>
      <c r="CD42" s="2660">
        <v>58.043492999999216</v>
      </c>
      <c r="CE42" s="2660">
        <v>58.043492999999216</v>
      </c>
      <c r="CF42" s="2660">
        <v>58.043492999999216</v>
      </c>
      <c r="CG42" s="2660">
        <v>58.043492999999216</v>
      </c>
      <c r="CH42" s="2660">
        <v>58.043492999999216</v>
      </c>
      <c r="CI42" s="2660">
        <v>58.043492999999216</v>
      </c>
      <c r="CJ42" s="2660">
        <v>58.043492999997397</v>
      </c>
      <c r="CK42" s="2660">
        <v>58.043492999999216</v>
      </c>
      <c r="CL42" s="2660">
        <v>58.043493000001035</v>
      </c>
      <c r="CM42" s="2660">
        <v>58.043492999999216</v>
      </c>
      <c r="CN42" s="2660">
        <v>58.043492999999216</v>
      </c>
      <c r="CO42" s="2660">
        <v>58.043492999999216</v>
      </c>
      <c r="CP42" s="2660">
        <v>58.043492999999216</v>
      </c>
      <c r="CQ42" s="2660">
        <v>58.043492999999216</v>
      </c>
      <c r="CR42" s="2660">
        <v>58.043492999997397</v>
      </c>
      <c r="CS42" s="2660">
        <v>58.043492999997397</v>
      </c>
      <c r="CT42" s="2660">
        <v>58.043493000001035</v>
      </c>
      <c r="CU42" s="2660">
        <v>58.043492999999216</v>
      </c>
      <c r="CV42" s="2660">
        <v>58.043492999999216</v>
      </c>
      <c r="CW42" s="2660">
        <v>58.043492999997397</v>
      </c>
      <c r="CX42" s="2660">
        <v>58.043492999997397</v>
      </c>
      <c r="CY42" s="2660">
        <v>58.043493000001035</v>
      </c>
      <c r="CZ42" s="2660">
        <v>58.043493000001035</v>
      </c>
      <c r="DA42" s="2660">
        <v>58.043493000001035</v>
      </c>
      <c r="DB42" s="2660">
        <v>58.043493000001035</v>
      </c>
      <c r="DC42" s="2660">
        <v>58.043493000001035</v>
      </c>
      <c r="DD42" s="2660">
        <v>58.043493000001035</v>
      </c>
      <c r="DE42" s="2660">
        <v>58.043493000001035</v>
      </c>
      <c r="DF42" s="2660">
        <v>58.043493000001035</v>
      </c>
      <c r="DG42" s="2660">
        <v>58.043493000001035</v>
      </c>
      <c r="DH42" s="2660">
        <v>58.043493000001035</v>
      </c>
      <c r="DI42" s="2660">
        <v>58.043492999997397</v>
      </c>
      <c r="DJ42" s="2660">
        <v>58.043492999999216</v>
      </c>
      <c r="DK42" s="2660">
        <v>58.043492999999216</v>
      </c>
      <c r="DL42" s="2660">
        <v>58.043492999999216</v>
      </c>
      <c r="DM42" s="2660">
        <v>58.043492999999216</v>
      </c>
      <c r="DN42" s="2660">
        <v>58.043492999999216</v>
      </c>
      <c r="DO42" s="2660">
        <v>58.043493000001035</v>
      </c>
      <c r="DP42" s="2660">
        <v>58.043492999999216</v>
      </c>
      <c r="DQ42" s="2660">
        <v>58.043492999997397</v>
      </c>
      <c r="DR42" s="2660">
        <v>58.043492999997397</v>
      </c>
      <c r="DS42" s="2660">
        <v>58.043492999997397</v>
      </c>
      <c r="DT42" s="2660">
        <v>58.043492999999216</v>
      </c>
      <c r="DU42" s="2660">
        <v>58.043493000001035</v>
      </c>
      <c r="DV42" s="2660">
        <v>58.043492999997397</v>
      </c>
      <c r="DW42" s="2660">
        <v>58.043492999999216</v>
      </c>
      <c r="DX42" s="2660">
        <v>58.043492999999216</v>
      </c>
      <c r="DY42" s="2660">
        <v>58.043493000000126</v>
      </c>
      <c r="DZ42" s="2660">
        <v>58.043493000001035</v>
      </c>
      <c r="EA42" s="2660">
        <v>58.043492999999216</v>
      </c>
      <c r="EB42" s="2660">
        <v>58.043493000001035</v>
      </c>
      <c r="EC42" s="2660">
        <v>58.043493000001035</v>
      </c>
      <c r="ED42" s="2660">
        <v>58.043493000000126</v>
      </c>
      <c r="EE42" s="2660">
        <v>58.043492999999216</v>
      </c>
      <c r="EF42" s="2660">
        <v>58.043492999999216</v>
      </c>
      <c r="EG42" s="2660">
        <v>58.043492999999216</v>
      </c>
      <c r="EH42" s="2660">
        <v>58.043493000000126</v>
      </c>
      <c r="EI42" s="2660">
        <v>58.043493000000126</v>
      </c>
      <c r="EJ42" s="2660">
        <v>58.043493000000126</v>
      </c>
      <c r="EK42" s="2660">
        <v>58.043493000000126</v>
      </c>
      <c r="EL42" s="2660">
        <v>58.043492999999216</v>
      </c>
      <c r="EM42" s="2660">
        <v>58.043492999999216</v>
      </c>
      <c r="EN42" s="2660">
        <v>58.043492999999216</v>
      </c>
      <c r="EO42" s="2660">
        <v>58.043492999999216</v>
      </c>
      <c r="EP42" s="2660">
        <v>58.043492999999216</v>
      </c>
      <c r="EQ42" s="2660">
        <v>58.043492999999216</v>
      </c>
      <c r="ER42" s="2660">
        <v>58.043492999999216</v>
      </c>
      <c r="ES42" s="2660">
        <v>58.043492999999216</v>
      </c>
      <c r="ET42" s="2660">
        <v>58.043492999999216</v>
      </c>
      <c r="EU42" s="2660">
        <v>58.043492999999216</v>
      </c>
      <c r="EV42" s="2660">
        <v>55.714743000000453</v>
      </c>
      <c r="EW42" s="2660">
        <v>55.714743000000453</v>
      </c>
      <c r="EX42" s="2660">
        <v>55.714743000000453</v>
      </c>
      <c r="EY42" s="2660">
        <v>55.714743000000453</v>
      </c>
      <c r="EZ42" s="2660">
        <v>55.719112999999197</v>
      </c>
      <c r="FA42" s="2660">
        <v>55.719112999999197</v>
      </c>
      <c r="FB42" s="2660">
        <v>55.719112999999197</v>
      </c>
      <c r="FC42" s="2660">
        <v>55.719113000001016</v>
      </c>
      <c r="FD42" s="2660">
        <v>55.719112999999879</v>
      </c>
      <c r="FE42" s="2660">
        <v>55.719112999999197</v>
      </c>
      <c r="FF42" s="2660">
        <v>49.336612999999488</v>
      </c>
      <c r="FG42" s="2660">
        <v>0.34499999999934516</v>
      </c>
      <c r="FH42" s="2660">
        <v>0.34499999999843567</v>
      </c>
      <c r="FI42" s="2660">
        <v>0.34500000000116415</v>
      </c>
      <c r="FJ42" s="2660">
        <v>0.34500000000116415</v>
      </c>
      <c r="FK42" s="2660">
        <v>0</v>
      </c>
      <c r="FL42" s="2657"/>
    </row>
    <row r="43" spans="1:168" ht="16.5" customHeight="1" x14ac:dyDescent="0.3">
      <c r="A43" s="2658" t="s">
        <v>2546</v>
      </c>
      <c r="B43" s="2658" t="s">
        <v>2541</v>
      </c>
      <c r="C43" s="2660">
        <v>0</v>
      </c>
      <c r="D43" s="2660">
        <v>0</v>
      </c>
      <c r="E43" s="2660">
        <v>3000</v>
      </c>
      <c r="F43" s="2660">
        <v>1700</v>
      </c>
      <c r="G43" s="2660">
        <v>0</v>
      </c>
      <c r="H43" s="2660">
        <v>2000</v>
      </c>
      <c r="I43" s="2660">
        <v>0</v>
      </c>
      <c r="J43" s="2660">
        <v>0</v>
      </c>
      <c r="K43" s="2660">
        <v>0</v>
      </c>
      <c r="L43" s="2660">
        <v>0</v>
      </c>
      <c r="M43" s="2660">
        <v>0</v>
      </c>
      <c r="N43" s="2660">
        <v>0</v>
      </c>
      <c r="O43" s="2660">
        <v>0</v>
      </c>
      <c r="P43" s="2660">
        <v>0</v>
      </c>
      <c r="Q43" s="2660">
        <v>0</v>
      </c>
      <c r="R43" s="2660">
        <v>0</v>
      </c>
      <c r="S43" s="2660">
        <v>0</v>
      </c>
      <c r="T43" s="2660">
        <v>0</v>
      </c>
      <c r="U43" s="2660">
        <v>0</v>
      </c>
      <c r="V43" s="2660">
        <v>0</v>
      </c>
      <c r="W43" s="2660">
        <v>0</v>
      </c>
      <c r="X43" s="2660">
        <v>0</v>
      </c>
      <c r="Y43" s="2660">
        <v>0</v>
      </c>
      <c r="Z43" s="2660">
        <v>0</v>
      </c>
      <c r="AA43" s="2660">
        <v>0</v>
      </c>
      <c r="AB43" s="2660">
        <v>0</v>
      </c>
      <c r="AC43" s="2660">
        <v>0</v>
      </c>
      <c r="AD43" s="2660">
        <v>0</v>
      </c>
      <c r="AE43" s="2660">
        <v>0</v>
      </c>
      <c r="AF43" s="2660">
        <v>0</v>
      </c>
      <c r="AG43" s="2660">
        <v>3.5150000000000001</v>
      </c>
      <c r="AH43" s="2660">
        <v>3.5150000000000001</v>
      </c>
      <c r="AI43" s="2660">
        <v>3.5150000000000001</v>
      </c>
      <c r="AJ43" s="2660">
        <v>3.5150000000000001</v>
      </c>
      <c r="AK43" s="2660">
        <v>3.5150000000000001</v>
      </c>
      <c r="AL43" s="2660">
        <v>3.5150000000000001</v>
      </c>
      <c r="AM43" s="2660">
        <v>3.5150000000000001</v>
      </c>
      <c r="AN43" s="2660">
        <v>0</v>
      </c>
      <c r="AO43" s="2660">
        <v>0</v>
      </c>
      <c r="AP43" s="2660">
        <v>0</v>
      </c>
      <c r="AQ43" s="2660">
        <v>0</v>
      </c>
      <c r="AR43" s="2660">
        <v>0</v>
      </c>
      <c r="AS43" s="2660">
        <v>0</v>
      </c>
      <c r="AT43" s="2660">
        <v>0</v>
      </c>
      <c r="AU43" s="2660">
        <v>0</v>
      </c>
      <c r="AV43" s="2660">
        <v>0</v>
      </c>
      <c r="AW43" s="2660">
        <v>0</v>
      </c>
      <c r="AX43" s="2660">
        <v>0</v>
      </c>
      <c r="AY43" s="2660">
        <v>0</v>
      </c>
      <c r="AZ43" s="2660">
        <v>107.143967</v>
      </c>
      <c r="BA43" s="2660">
        <v>107.143967</v>
      </c>
      <c r="BB43" s="2660">
        <v>110.743967</v>
      </c>
      <c r="BC43" s="2660">
        <v>110.743967</v>
      </c>
      <c r="BD43" s="2660">
        <v>110.743967</v>
      </c>
      <c r="BE43" s="2660">
        <v>110.743967</v>
      </c>
      <c r="BF43" s="2660">
        <v>110.743967</v>
      </c>
      <c r="BG43" s="2660">
        <v>110.743967</v>
      </c>
      <c r="BH43" s="2660">
        <v>110.743967</v>
      </c>
      <c r="BI43" s="2660">
        <v>110.743967</v>
      </c>
      <c r="BJ43" s="2660">
        <v>110.743967</v>
      </c>
      <c r="BK43" s="2660">
        <v>672.12896699999999</v>
      </c>
      <c r="BL43" s="2660">
        <v>1420.1289670000001</v>
      </c>
      <c r="BM43" s="2660">
        <v>2530.1989669999998</v>
      </c>
      <c r="BN43" s="2660">
        <v>2530.1989669999998</v>
      </c>
      <c r="BO43" s="2660">
        <v>4521.643967</v>
      </c>
      <c r="BP43" s="2660">
        <v>5499.643967</v>
      </c>
      <c r="BQ43" s="2660">
        <v>5749.643967</v>
      </c>
      <c r="BR43" s="2660">
        <v>5992.1999669999996</v>
      </c>
      <c r="BS43" s="2660">
        <v>6595.6999669999996</v>
      </c>
      <c r="BT43" s="2660">
        <v>7295.6999669999996</v>
      </c>
      <c r="BU43" s="2660">
        <v>7395.6999669999996</v>
      </c>
      <c r="BV43" s="2660">
        <v>7395.6999669999996</v>
      </c>
      <c r="BW43" s="2660">
        <v>7872.0149670000001</v>
      </c>
      <c r="BX43" s="2660">
        <v>8252.3649669999995</v>
      </c>
      <c r="BY43" s="2660">
        <v>8102.2949669999998</v>
      </c>
      <c r="BZ43" s="2660">
        <v>8102.2949669999998</v>
      </c>
      <c r="CA43" s="2660">
        <v>7110.8499670000001</v>
      </c>
      <c r="CB43" s="2660">
        <v>9557.3649669999995</v>
      </c>
      <c r="CC43" s="2660">
        <v>9307.3649669999995</v>
      </c>
      <c r="CD43" s="2660">
        <v>9416.8089670000008</v>
      </c>
      <c r="CE43" s="2660">
        <v>10346.044967</v>
      </c>
      <c r="CF43" s="2660">
        <v>9646.0449669999998</v>
      </c>
      <c r="CG43" s="2660">
        <v>9546.0449669999998</v>
      </c>
      <c r="CH43" s="2660">
        <v>10451.044967</v>
      </c>
      <c r="CI43" s="2660">
        <v>11924.905467</v>
      </c>
      <c r="CJ43" s="2660">
        <v>10731.655467</v>
      </c>
      <c r="CK43" s="2660">
        <v>11191.655467</v>
      </c>
      <c r="CL43" s="2660">
        <v>11191.655467</v>
      </c>
      <c r="CM43" s="2660">
        <v>12768.655467</v>
      </c>
      <c r="CN43" s="2660">
        <v>10044.625467</v>
      </c>
      <c r="CO43" s="2660">
        <v>10044.625467</v>
      </c>
      <c r="CP43" s="2660">
        <v>11186.625467</v>
      </c>
      <c r="CQ43" s="2660">
        <v>9653.8894670000009</v>
      </c>
      <c r="CR43" s="2660">
        <v>9653.8894670000009</v>
      </c>
      <c r="CS43" s="2660">
        <v>9653.8894670000009</v>
      </c>
      <c r="CT43" s="2660">
        <v>9768.8894670000009</v>
      </c>
      <c r="CU43" s="2660">
        <v>10230.889467000001</v>
      </c>
      <c r="CV43" s="2660">
        <v>11368.528967</v>
      </c>
      <c r="CW43" s="2660">
        <v>13816.428967</v>
      </c>
      <c r="CX43" s="2660">
        <v>16379.928967</v>
      </c>
      <c r="CY43" s="2660">
        <v>19977.928967</v>
      </c>
      <c r="CZ43" s="2660">
        <v>19791.643967</v>
      </c>
      <c r="DA43" s="2660">
        <v>19791.643967</v>
      </c>
      <c r="DB43" s="2660">
        <v>18297.643967</v>
      </c>
      <c r="DC43" s="2660">
        <v>18297.643967</v>
      </c>
      <c r="DD43" s="2660">
        <v>18297.643967</v>
      </c>
      <c r="DE43" s="2660">
        <v>18297.643967</v>
      </c>
      <c r="DF43" s="2660">
        <v>17776.599999999999</v>
      </c>
      <c r="DG43" s="2660">
        <v>17115.099999999999</v>
      </c>
      <c r="DH43" s="2660">
        <v>14941.5</v>
      </c>
      <c r="DI43" s="2660">
        <v>13073.6</v>
      </c>
      <c r="DJ43" s="2660">
        <v>11206.1</v>
      </c>
      <c r="DK43" s="2660">
        <v>7031.1</v>
      </c>
      <c r="DL43" s="2660">
        <v>12755.5</v>
      </c>
      <c r="DM43" s="2660">
        <v>13834</v>
      </c>
      <c r="DN43" s="2660">
        <v>13834</v>
      </c>
      <c r="DO43" s="2660">
        <v>13834</v>
      </c>
      <c r="DP43" s="2660">
        <v>13834</v>
      </c>
      <c r="DQ43" s="2660">
        <v>13834</v>
      </c>
      <c r="DR43" s="2660">
        <v>13318</v>
      </c>
      <c r="DS43" s="2660">
        <v>13275.125017049999</v>
      </c>
      <c r="DT43" s="2660">
        <v>12313.25375276</v>
      </c>
      <c r="DU43" s="2660">
        <v>16580.801586450001</v>
      </c>
      <c r="DV43" s="2660">
        <v>15854.56872589</v>
      </c>
      <c r="DW43" s="2660">
        <v>15730.90950799</v>
      </c>
      <c r="DX43" s="2660">
        <v>11530.497614720001</v>
      </c>
      <c r="DY43" s="2660">
        <v>6553.0682191800006</v>
      </c>
      <c r="DZ43" s="2660">
        <v>6571.6554794599997</v>
      </c>
      <c r="EA43" s="2660">
        <v>6589.64315068</v>
      </c>
      <c r="EB43" s="2660">
        <v>6608.2304109699999</v>
      </c>
      <c r="EC43" s="2660">
        <v>6626.2180821899992</v>
      </c>
      <c r="ED43" s="2660">
        <v>6644.8053424600002</v>
      </c>
      <c r="EE43" s="2660">
        <v>6663.3926027399993</v>
      </c>
      <c r="EF43" s="2660">
        <v>6680.1810958900005</v>
      </c>
      <c r="EG43" s="2660">
        <v>4624.5683561599999</v>
      </c>
      <c r="EH43" s="2660">
        <v>4636.5560273999999</v>
      </c>
      <c r="EI43" s="2660">
        <v>2570.6643835599998</v>
      </c>
      <c r="EJ43" s="2660">
        <v>0</v>
      </c>
      <c r="EK43" s="2660">
        <v>0</v>
      </c>
      <c r="EL43" s="2660">
        <v>0</v>
      </c>
      <c r="EM43" s="2660">
        <v>0</v>
      </c>
      <c r="EN43" s="2660">
        <v>0</v>
      </c>
      <c r="EO43" s="2660">
        <v>0</v>
      </c>
      <c r="EP43" s="2660">
        <v>0</v>
      </c>
      <c r="EQ43" s="2660">
        <v>0</v>
      </c>
      <c r="ER43" s="2660">
        <v>0</v>
      </c>
      <c r="ES43" s="2660">
        <v>0</v>
      </c>
      <c r="ET43" s="2660">
        <v>0</v>
      </c>
      <c r="EU43" s="2660">
        <v>0</v>
      </c>
      <c r="EV43" s="2660">
        <v>0</v>
      </c>
      <c r="EW43" s="2660">
        <v>0</v>
      </c>
      <c r="EX43" s="2660">
        <v>0</v>
      </c>
      <c r="EY43" s="2660">
        <v>0</v>
      </c>
      <c r="EZ43" s="2660">
        <v>0</v>
      </c>
      <c r="FA43" s="2660">
        <v>0</v>
      </c>
      <c r="FB43" s="2660">
        <v>0</v>
      </c>
      <c r="FC43" s="2660">
        <v>10275.985273979999</v>
      </c>
      <c r="FD43" s="2660">
        <v>1375.13184931</v>
      </c>
      <c r="FE43" s="2660">
        <v>1925.18458904</v>
      </c>
      <c r="FF43" s="2660">
        <v>2740.7882191799999</v>
      </c>
      <c r="FG43" s="2660">
        <v>2700.25890411</v>
      </c>
      <c r="FH43" s="2660">
        <v>7480.7172602700002</v>
      </c>
      <c r="FI43" s="2660">
        <v>85380.0169589</v>
      </c>
      <c r="FJ43" s="2660">
        <v>72620.96835616001</v>
      </c>
      <c r="FK43" s="2660">
        <v>35292.800602739997</v>
      </c>
      <c r="FL43" s="2657"/>
    </row>
    <row r="44" spans="1:168" ht="16.5" customHeight="1" x14ac:dyDescent="0.3">
      <c r="A44" s="2658"/>
      <c r="B44" s="2658"/>
      <c r="C44" s="2659"/>
      <c r="D44" s="2659"/>
      <c r="E44" s="2659"/>
      <c r="F44" s="2659"/>
      <c r="G44" s="2659"/>
      <c r="H44" s="2659"/>
      <c r="I44" s="2659"/>
      <c r="J44" s="2659"/>
      <c r="K44" s="2659"/>
      <c r="L44" s="2659"/>
      <c r="M44" s="2659"/>
      <c r="N44" s="2659"/>
      <c r="O44" s="2659"/>
      <c r="P44" s="2659"/>
      <c r="Q44" s="2659"/>
      <c r="R44" s="2659"/>
      <c r="S44" s="2659"/>
      <c r="T44" s="2659"/>
      <c r="U44" s="2659"/>
      <c r="V44" s="2659"/>
      <c r="W44" s="2659"/>
      <c r="X44" s="2659"/>
      <c r="Y44" s="2659"/>
      <c r="Z44" s="2659"/>
      <c r="AA44" s="2659"/>
      <c r="AB44" s="2659"/>
      <c r="AC44" s="2659"/>
      <c r="AD44" s="2659"/>
      <c r="AE44" s="2659"/>
      <c r="AF44" s="2659"/>
      <c r="AG44" s="2659"/>
      <c r="AH44" s="2659"/>
      <c r="AI44" s="2659"/>
      <c r="AJ44" s="2659"/>
      <c r="AK44" s="2659"/>
      <c r="AL44" s="2659"/>
      <c r="AM44" s="2659"/>
      <c r="AN44" s="2659"/>
      <c r="AO44" s="2659"/>
      <c r="AP44" s="2659"/>
      <c r="AQ44" s="2659"/>
      <c r="AR44" s="2659"/>
      <c r="AS44" s="2659"/>
      <c r="AT44" s="2659"/>
      <c r="AU44" s="2659"/>
      <c r="AV44" s="2659"/>
      <c r="AW44" s="2659"/>
      <c r="AX44" s="2659"/>
      <c r="AY44" s="2659"/>
      <c r="AZ44" s="2659"/>
      <c r="BA44" s="2659"/>
      <c r="BB44" s="2659"/>
      <c r="BC44" s="2659"/>
      <c r="BD44" s="2659"/>
      <c r="BE44" s="2659"/>
      <c r="BF44" s="2659"/>
      <c r="BG44" s="2659"/>
      <c r="BH44" s="2659"/>
      <c r="BI44" s="2659"/>
      <c r="BJ44" s="2659"/>
      <c r="BK44" s="2659"/>
      <c r="BL44" s="2659"/>
      <c r="BM44" s="2659"/>
      <c r="BN44" s="2659"/>
      <c r="BO44" s="2659"/>
      <c r="BP44" s="2659"/>
      <c r="BQ44" s="2659"/>
      <c r="BR44" s="2659"/>
      <c r="BS44" s="2659"/>
      <c r="BT44" s="2659"/>
      <c r="BU44" s="2659"/>
      <c r="BV44" s="2659"/>
      <c r="BW44" s="2659"/>
      <c r="BX44" s="2659"/>
      <c r="BY44" s="2659"/>
      <c r="BZ44" s="2659"/>
      <c r="CA44" s="2659"/>
      <c r="CB44" s="2659"/>
      <c r="CC44" s="2659"/>
      <c r="CD44" s="2659"/>
      <c r="CE44" s="2659"/>
      <c r="CF44" s="2659"/>
      <c r="CG44" s="2659"/>
      <c r="CH44" s="2659"/>
      <c r="CI44" s="2659"/>
      <c r="CJ44" s="2659"/>
      <c r="CK44" s="2659"/>
      <c r="CL44" s="2659"/>
      <c r="CM44" s="2659"/>
      <c r="CN44" s="2659"/>
      <c r="CO44" s="2659"/>
      <c r="CP44" s="2659"/>
      <c r="CQ44" s="2659"/>
      <c r="CR44" s="2659"/>
      <c r="CS44" s="2659"/>
      <c r="CT44" s="2659"/>
      <c r="CU44" s="2659"/>
      <c r="CV44" s="2659"/>
      <c r="CW44" s="2659"/>
      <c r="CX44" s="2659"/>
      <c r="CY44" s="2659"/>
      <c r="CZ44" s="2659"/>
      <c r="DA44" s="2659"/>
      <c r="DB44" s="2659"/>
      <c r="DC44" s="2659"/>
      <c r="DD44" s="2659"/>
      <c r="DE44" s="2659"/>
      <c r="DF44" s="2659"/>
      <c r="DG44" s="2659"/>
      <c r="DH44" s="2659"/>
      <c r="DI44" s="2659"/>
      <c r="DJ44" s="2659"/>
      <c r="DK44" s="2659"/>
      <c r="DL44" s="2659"/>
      <c r="DM44" s="2659"/>
      <c r="DN44" s="2659"/>
      <c r="DO44" s="2659"/>
      <c r="DP44" s="2659"/>
      <c r="DQ44" s="2659"/>
      <c r="DR44" s="2659"/>
      <c r="DS44" s="2659"/>
      <c r="DT44" s="2659"/>
      <c r="DU44" s="2659"/>
      <c r="DV44" s="2659"/>
      <c r="DW44" s="2659"/>
      <c r="DX44" s="2659"/>
      <c r="DY44" s="2659"/>
      <c r="DZ44" s="2659"/>
      <c r="EA44" s="2659"/>
      <c r="EB44" s="2659"/>
      <c r="EC44" s="2659"/>
      <c r="ED44" s="2659"/>
      <c r="EE44" s="2659"/>
      <c r="EF44" s="2659"/>
      <c r="EG44" s="2659"/>
      <c r="EH44" s="2659"/>
      <c r="EI44" s="2659"/>
      <c r="EJ44" s="2659"/>
      <c r="EK44" s="2659"/>
      <c r="EL44" s="2659"/>
      <c r="EM44" s="2659"/>
      <c r="EN44" s="2659"/>
      <c r="EO44" s="2659"/>
      <c r="EP44" s="2659"/>
      <c r="EQ44" s="2659"/>
      <c r="ER44" s="2659"/>
      <c r="ES44" s="2659"/>
      <c r="ET44" s="2659"/>
      <c r="EU44" s="2659"/>
      <c r="EV44" s="2659"/>
      <c r="EW44" s="2659"/>
      <c r="EX44" s="2659"/>
      <c r="EY44" s="2659"/>
      <c r="EZ44" s="2659"/>
      <c r="FA44" s="2659"/>
      <c r="FB44" s="2659"/>
      <c r="FC44" s="2659"/>
      <c r="FD44" s="2659"/>
      <c r="FE44" s="2659"/>
      <c r="FF44" s="2659"/>
      <c r="FG44" s="2659"/>
      <c r="FH44" s="2659"/>
      <c r="FI44" s="2659"/>
      <c r="FJ44" s="2659"/>
      <c r="FK44" s="2659"/>
      <c r="FL44" s="2657"/>
    </row>
    <row r="45" spans="1:168" ht="16.5" customHeight="1" x14ac:dyDescent="0.3">
      <c r="A45" s="2655" t="s">
        <v>2547</v>
      </c>
      <c r="B45" s="2655" t="s">
        <v>2548</v>
      </c>
      <c r="C45" s="2656">
        <v>0</v>
      </c>
      <c r="D45" s="2656">
        <v>0</v>
      </c>
      <c r="E45" s="2656">
        <v>0</v>
      </c>
      <c r="F45" s="2656">
        <v>0</v>
      </c>
      <c r="G45" s="2656">
        <v>0</v>
      </c>
      <c r="H45" s="2656">
        <v>0</v>
      </c>
      <c r="I45" s="2656">
        <v>0</v>
      </c>
      <c r="J45" s="2656">
        <v>303.74899999999991</v>
      </c>
      <c r="K45" s="2656">
        <v>502.16046600000004</v>
      </c>
      <c r="L45" s="2656">
        <v>502.16046600000004</v>
      </c>
      <c r="M45" s="2656">
        <v>502.16046600000004</v>
      </c>
      <c r="N45" s="2656">
        <v>477.37821600000007</v>
      </c>
      <c r="O45" s="2656">
        <v>522.35433200000011</v>
      </c>
      <c r="P45" s="2656">
        <v>563.02008699999988</v>
      </c>
      <c r="Q45" s="2656">
        <v>709.01456599999983</v>
      </c>
      <c r="R45" s="2656">
        <v>760.30179399999975</v>
      </c>
      <c r="S45" s="2656">
        <v>957.91281299999991</v>
      </c>
      <c r="T45" s="2656">
        <v>1111.7664229999998</v>
      </c>
      <c r="U45" s="2656">
        <v>1421.1139969999999</v>
      </c>
      <c r="V45" s="2656">
        <v>1345.9546740000001</v>
      </c>
      <c r="W45" s="2656">
        <v>1097.4000299999998</v>
      </c>
      <c r="X45" s="2656">
        <v>1147.5015679999997</v>
      </c>
      <c r="Y45" s="2656">
        <v>1074.3758809999999</v>
      </c>
      <c r="Z45" s="2656">
        <v>973.89911399999983</v>
      </c>
      <c r="AA45" s="2656">
        <v>987.01167250000026</v>
      </c>
      <c r="AB45" s="2656">
        <v>987.61469880999994</v>
      </c>
      <c r="AC45" s="2656">
        <v>987.90412218000029</v>
      </c>
      <c r="AD45" s="2656">
        <v>964.24856999999986</v>
      </c>
      <c r="AE45" s="2656">
        <v>815.01807333999989</v>
      </c>
      <c r="AF45" s="2656">
        <v>829.00589168999988</v>
      </c>
      <c r="AG45" s="2656">
        <v>879.56600669000034</v>
      </c>
      <c r="AH45" s="2656">
        <v>783.56822769379312</v>
      </c>
      <c r="AI45" s="2656">
        <v>728.4015081</v>
      </c>
      <c r="AJ45" s="2656">
        <v>626.68072635999999</v>
      </c>
      <c r="AK45" s="2656">
        <v>702.04092421000007</v>
      </c>
      <c r="AL45" s="2656">
        <v>860.31270639999991</v>
      </c>
      <c r="AM45" s="2656">
        <v>1136.02626151</v>
      </c>
      <c r="AN45" s="2656">
        <v>1214.9587380400001</v>
      </c>
      <c r="AO45" s="2656">
        <v>2300.1123070199992</v>
      </c>
      <c r="AP45" s="2656">
        <v>2583.8162419999999</v>
      </c>
      <c r="AQ45" s="2656">
        <v>2828.7816888536649</v>
      </c>
      <c r="AR45" s="2656">
        <v>2783.8348632041857</v>
      </c>
      <c r="AS45" s="2656">
        <v>2614.354993311681</v>
      </c>
      <c r="AT45" s="2656">
        <v>2994.8673294889336</v>
      </c>
      <c r="AU45" s="2656">
        <v>2660.8722954435084</v>
      </c>
      <c r="AV45" s="2656">
        <v>2610.2756306442334</v>
      </c>
      <c r="AW45" s="2656">
        <v>2571.964406937097</v>
      </c>
      <c r="AX45" s="2656">
        <v>1818.6549297441982</v>
      </c>
      <c r="AY45" s="2656">
        <v>1566.6874621341976</v>
      </c>
      <c r="AZ45" s="2656">
        <v>1518.7520036264834</v>
      </c>
      <c r="BA45" s="2656">
        <v>1626.8607322698992</v>
      </c>
      <c r="BB45" s="2656">
        <v>1542.129128801779</v>
      </c>
      <c r="BC45" s="2656">
        <v>1945.7750698424302</v>
      </c>
      <c r="BD45" s="2656">
        <v>1906.2233462202012</v>
      </c>
      <c r="BE45" s="2656">
        <v>1931.966328434846</v>
      </c>
      <c r="BF45" s="2656">
        <v>1845.619172527418</v>
      </c>
      <c r="BG45" s="2656">
        <v>1813.8576627535981</v>
      </c>
      <c r="BH45" s="2656">
        <v>1809.8412517385532</v>
      </c>
      <c r="BI45" s="2656">
        <v>1933.8905259506596</v>
      </c>
      <c r="BJ45" s="2656">
        <v>1977.8356894148478</v>
      </c>
      <c r="BK45" s="2656">
        <v>3104.4042453554771</v>
      </c>
      <c r="BL45" s="2656">
        <v>3130.5526144907531</v>
      </c>
      <c r="BM45" s="2656">
        <v>3028.5484233272427</v>
      </c>
      <c r="BN45" s="2656">
        <v>2193.1226852449554</v>
      </c>
      <c r="BO45" s="2656">
        <v>2056.4769072711374</v>
      </c>
      <c r="BP45" s="2656">
        <v>1994.7740961039547</v>
      </c>
      <c r="BQ45" s="2656">
        <v>2292.4223185635105</v>
      </c>
      <c r="BR45" s="2656">
        <v>2822.8377000452147</v>
      </c>
      <c r="BS45" s="2656">
        <v>2768.742620551197</v>
      </c>
      <c r="BT45" s="2656">
        <v>2615.7408358037405</v>
      </c>
      <c r="BU45" s="2656">
        <v>2820.2200533702671</v>
      </c>
      <c r="BV45" s="2656">
        <v>3023.7572276985466</v>
      </c>
      <c r="BW45" s="2656">
        <v>2943.8292142852647</v>
      </c>
      <c r="BX45" s="2656">
        <v>3494.0050491976053</v>
      </c>
      <c r="BY45" s="2656">
        <v>3737.6449013561714</v>
      </c>
      <c r="BZ45" s="2656">
        <v>3818.8879124726454</v>
      </c>
      <c r="CA45" s="2656">
        <v>3717.5430564371454</v>
      </c>
      <c r="CB45" s="2656">
        <v>3862.37316478393</v>
      </c>
      <c r="CC45" s="2656">
        <v>3937.9001757329943</v>
      </c>
      <c r="CD45" s="2656">
        <v>3878.4306242567982</v>
      </c>
      <c r="CE45" s="2656">
        <v>3977.0592322756002</v>
      </c>
      <c r="CF45" s="2656">
        <v>3977.6923143762651</v>
      </c>
      <c r="CG45" s="2656">
        <v>3978.3049744780105</v>
      </c>
      <c r="CH45" s="2656">
        <v>4091.5779306704781</v>
      </c>
      <c r="CI45" s="2656">
        <v>3914.7414449115086</v>
      </c>
      <c r="CJ45" s="2656">
        <v>4110.653918095888</v>
      </c>
      <c r="CK45" s="2656">
        <v>4220.9722888364267</v>
      </c>
      <c r="CL45" s="2656">
        <v>4175.4147896630084</v>
      </c>
      <c r="CM45" s="2656">
        <v>4084.4765281324408</v>
      </c>
      <c r="CN45" s="2656">
        <v>4954.407946356785</v>
      </c>
      <c r="CO45" s="2656">
        <v>5404.7101411440644</v>
      </c>
      <c r="CP45" s="2656">
        <v>5010.1609060732771</v>
      </c>
      <c r="CQ45" s="2656">
        <v>4981.4208065471712</v>
      </c>
      <c r="CR45" s="2656">
        <v>5709.8381471048251</v>
      </c>
      <c r="CS45" s="2656">
        <v>5708.0453873663128</v>
      </c>
      <c r="CT45" s="2656">
        <v>5489.1077501127265</v>
      </c>
      <c r="CU45" s="2656">
        <v>5513.8183068044691</v>
      </c>
      <c r="CV45" s="2656">
        <v>7413.2134494217898</v>
      </c>
      <c r="CW45" s="2656">
        <v>12594.456361176315</v>
      </c>
      <c r="CX45" s="2656">
        <v>15510.233448907273</v>
      </c>
      <c r="CY45" s="2656">
        <v>17476.41340155217</v>
      </c>
      <c r="CZ45" s="2656">
        <v>18257.213084227442</v>
      </c>
      <c r="DA45" s="2656">
        <v>19889.706420076684</v>
      </c>
      <c r="DB45" s="2656">
        <v>19022.095143053666</v>
      </c>
      <c r="DC45" s="2656">
        <v>20358.470923741927</v>
      </c>
      <c r="DD45" s="2656">
        <v>20875.81786602833</v>
      </c>
      <c r="DE45" s="2656">
        <v>20263.142446436872</v>
      </c>
      <c r="DF45" s="2656">
        <v>21899.842264582279</v>
      </c>
      <c r="DG45" s="2656">
        <v>21850.370016168483</v>
      </c>
      <c r="DH45" s="2656">
        <v>23248.572223132323</v>
      </c>
      <c r="DI45" s="2656">
        <v>24828.777496793307</v>
      </c>
      <c r="DJ45" s="2656">
        <v>25147.064418188154</v>
      </c>
      <c r="DK45" s="2656">
        <v>24904.207664737729</v>
      </c>
      <c r="DL45" s="2656">
        <v>26982.781655601542</v>
      </c>
      <c r="DM45" s="2656">
        <v>27150.945244588518</v>
      </c>
      <c r="DN45" s="2656">
        <v>27059.47992788527</v>
      </c>
      <c r="DO45" s="2656">
        <v>26345.787149204461</v>
      </c>
      <c r="DP45" s="2656">
        <v>26795.295921734403</v>
      </c>
      <c r="DQ45" s="2656">
        <v>26450.778124003409</v>
      </c>
      <c r="DR45" s="2656">
        <v>26822.853961766399</v>
      </c>
      <c r="DS45" s="2656">
        <v>26859.219633909466</v>
      </c>
      <c r="DT45" s="2656">
        <v>24636.230833551264</v>
      </c>
      <c r="DU45" s="2656">
        <v>23424.709441082585</v>
      </c>
      <c r="DV45" s="2656">
        <v>22177.866305366384</v>
      </c>
      <c r="DW45" s="2656">
        <v>19227.589534369341</v>
      </c>
      <c r="DX45" s="2656">
        <v>18843.372285949888</v>
      </c>
      <c r="DY45" s="2656">
        <v>19201.188432612289</v>
      </c>
      <c r="DZ45" s="2656">
        <v>18736.923989354444</v>
      </c>
      <c r="EA45" s="2656">
        <v>19016.635811612556</v>
      </c>
      <c r="EB45" s="2656">
        <v>21450.662145877915</v>
      </c>
      <c r="EC45" s="2656">
        <v>21751.216181135442</v>
      </c>
      <c r="ED45" s="2656">
        <v>20031.561868459889</v>
      </c>
      <c r="EE45" s="2656">
        <v>20614.299203660394</v>
      </c>
      <c r="EF45" s="2656">
        <v>19879.918539375511</v>
      </c>
      <c r="EG45" s="2656">
        <v>15883.987602071098</v>
      </c>
      <c r="EH45" s="2656">
        <v>13557.896337997494</v>
      </c>
      <c r="EI45" s="2656">
        <v>12828.920650047221</v>
      </c>
      <c r="EJ45" s="2656">
        <v>12653.919407783218</v>
      </c>
      <c r="EK45" s="2656">
        <v>12246.044642381976</v>
      </c>
      <c r="EL45" s="2656">
        <v>12373.695670944551</v>
      </c>
      <c r="EM45" s="2656">
        <v>11811.52549387279</v>
      </c>
      <c r="EN45" s="2656">
        <v>11554.23733883728</v>
      </c>
      <c r="EO45" s="2656">
        <v>15469.11639745494</v>
      </c>
      <c r="EP45" s="2656">
        <v>15054.262504957507</v>
      </c>
      <c r="EQ45" s="2656">
        <v>16746.851276577505</v>
      </c>
      <c r="ER45" s="2656">
        <v>15413.076274118244</v>
      </c>
      <c r="ES45" s="2656">
        <v>15188.962094308788</v>
      </c>
      <c r="ET45" s="2656">
        <v>12791.689213444419</v>
      </c>
      <c r="EU45" s="2656">
        <v>12456.371564930005</v>
      </c>
      <c r="EV45" s="2656">
        <v>12444.314617936809</v>
      </c>
      <c r="EW45" s="2656">
        <v>11188.363583198265</v>
      </c>
      <c r="EX45" s="2656">
        <v>10671.107364928288</v>
      </c>
      <c r="EY45" s="2656">
        <v>7362.5520215804936</v>
      </c>
      <c r="EZ45" s="2656">
        <v>9264.6670586601813</v>
      </c>
      <c r="FA45" s="2656">
        <v>11911.633529555258</v>
      </c>
      <c r="FB45" s="2656">
        <v>11555.727311760433</v>
      </c>
      <c r="FC45" s="2656">
        <v>5740.1505726454407</v>
      </c>
      <c r="FD45" s="2656">
        <v>6038.5554979610215</v>
      </c>
      <c r="FE45" s="2656">
        <v>8894.4755486745689</v>
      </c>
      <c r="FF45" s="2656">
        <v>9169.8648963834821</v>
      </c>
      <c r="FG45" s="2656">
        <v>11281.317329242671</v>
      </c>
      <c r="FH45" s="2656">
        <v>12680.494734395881</v>
      </c>
      <c r="FI45" s="2656">
        <v>4257.9446385535803</v>
      </c>
      <c r="FJ45" s="2656">
        <v>4386.2872362574544</v>
      </c>
      <c r="FK45" s="2656">
        <v>5045.203768528374</v>
      </c>
      <c r="FL45" s="2657"/>
    </row>
    <row r="46" spans="1:168" ht="16.5" customHeight="1" x14ac:dyDescent="0.3">
      <c r="A46" s="2658"/>
      <c r="B46" s="2658"/>
      <c r="C46" s="2659"/>
      <c r="D46" s="2659"/>
      <c r="E46" s="2659"/>
      <c r="F46" s="2659"/>
      <c r="G46" s="2659"/>
      <c r="H46" s="2659"/>
      <c r="I46" s="2659"/>
      <c r="J46" s="2659"/>
      <c r="K46" s="2659"/>
      <c r="L46" s="2659"/>
      <c r="M46" s="2659"/>
      <c r="N46" s="2659"/>
      <c r="O46" s="2659"/>
      <c r="P46" s="2659"/>
      <c r="Q46" s="2659"/>
      <c r="R46" s="2659"/>
      <c r="S46" s="2659"/>
      <c r="T46" s="2659"/>
      <c r="U46" s="2659"/>
      <c r="V46" s="2659"/>
      <c r="W46" s="2659"/>
      <c r="X46" s="2659"/>
      <c r="Y46" s="2659"/>
      <c r="Z46" s="2659"/>
      <c r="AA46" s="2659"/>
      <c r="AB46" s="2659"/>
      <c r="AC46" s="2659"/>
      <c r="AD46" s="2659"/>
      <c r="AE46" s="2659"/>
      <c r="AF46" s="2659"/>
      <c r="AG46" s="2659"/>
      <c r="AH46" s="2659"/>
      <c r="AI46" s="2659"/>
      <c r="AJ46" s="2659"/>
      <c r="AK46" s="2659"/>
      <c r="AL46" s="2659"/>
      <c r="AM46" s="2659"/>
      <c r="AN46" s="2659"/>
      <c r="AO46" s="2659"/>
      <c r="AP46" s="2659"/>
      <c r="AQ46" s="2659"/>
      <c r="AR46" s="2659"/>
      <c r="AS46" s="2659"/>
      <c r="AT46" s="2659"/>
      <c r="AU46" s="2659"/>
      <c r="AV46" s="2659"/>
      <c r="AW46" s="2659"/>
      <c r="AX46" s="2659"/>
      <c r="AY46" s="2659"/>
      <c r="AZ46" s="2659"/>
      <c r="BA46" s="2659"/>
      <c r="BB46" s="2659"/>
      <c r="BC46" s="2659"/>
      <c r="BD46" s="2659"/>
      <c r="BE46" s="2659"/>
      <c r="BF46" s="2659"/>
      <c r="BG46" s="2659"/>
      <c r="BH46" s="2659"/>
      <c r="BI46" s="2659"/>
      <c r="BJ46" s="2659"/>
      <c r="BK46" s="2659"/>
      <c r="BL46" s="2659"/>
      <c r="BM46" s="2659"/>
      <c r="BN46" s="2659"/>
      <c r="BO46" s="2659"/>
      <c r="BP46" s="2659"/>
      <c r="BQ46" s="2659"/>
      <c r="BR46" s="2659"/>
      <c r="BS46" s="2659"/>
      <c r="BT46" s="2659"/>
      <c r="BU46" s="2659"/>
      <c r="BV46" s="2659"/>
      <c r="BW46" s="2659"/>
      <c r="BX46" s="2659"/>
      <c r="BY46" s="2659"/>
      <c r="BZ46" s="2659"/>
      <c r="CA46" s="2659"/>
      <c r="CB46" s="2659"/>
      <c r="CC46" s="2659"/>
      <c r="CD46" s="2659"/>
      <c r="CE46" s="2659"/>
      <c r="CF46" s="2659"/>
      <c r="CG46" s="2659"/>
      <c r="CH46" s="2659"/>
      <c r="CI46" s="2659"/>
      <c r="CJ46" s="2659"/>
      <c r="CK46" s="2659"/>
      <c r="CL46" s="2659"/>
      <c r="CM46" s="2659"/>
      <c r="CN46" s="2659"/>
      <c r="CO46" s="2659"/>
      <c r="CP46" s="2659"/>
      <c r="CQ46" s="2659"/>
      <c r="CR46" s="2659"/>
      <c r="CS46" s="2659"/>
      <c r="CT46" s="2659"/>
      <c r="CU46" s="2659"/>
      <c r="CV46" s="2659"/>
      <c r="CW46" s="2659"/>
      <c r="CX46" s="2659"/>
      <c r="CY46" s="2659"/>
      <c r="CZ46" s="2659"/>
      <c r="DA46" s="2659"/>
      <c r="DB46" s="2659"/>
      <c r="DC46" s="2659"/>
      <c r="DD46" s="2659"/>
      <c r="DE46" s="2659"/>
      <c r="DF46" s="2659"/>
      <c r="DG46" s="2659"/>
      <c r="DH46" s="2659"/>
      <c r="DI46" s="2659"/>
      <c r="DJ46" s="2659"/>
      <c r="DK46" s="2659"/>
      <c r="DL46" s="2659"/>
      <c r="DM46" s="2659"/>
      <c r="DN46" s="2659"/>
      <c r="DO46" s="2659"/>
      <c r="DP46" s="2659"/>
      <c r="DQ46" s="2659"/>
      <c r="DR46" s="2659"/>
      <c r="DS46" s="2659"/>
      <c r="DT46" s="2659"/>
      <c r="DU46" s="2659"/>
      <c r="DV46" s="2659"/>
      <c r="DW46" s="2659"/>
      <c r="DX46" s="2659"/>
      <c r="DY46" s="2659"/>
      <c r="DZ46" s="2659"/>
      <c r="EA46" s="2659"/>
      <c r="EB46" s="2659"/>
      <c r="EC46" s="2659"/>
      <c r="ED46" s="2659"/>
      <c r="EE46" s="2659"/>
      <c r="EF46" s="2659"/>
      <c r="EG46" s="2659"/>
      <c r="EH46" s="2659"/>
      <c r="EI46" s="2659"/>
      <c r="EJ46" s="2659"/>
      <c r="EK46" s="2659"/>
      <c r="EL46" s="2659"/>
      <c r="EM46" s="2659"/>
      <c r="EN46" s="2659"/>
      <c r="EO46" s="2659"/>
      <c r="EP46" s="2659"/>
      <c r="EQ46" s="2659"/>
      <c r="ER46" s="2659"/>
      <c r="ES46" s="2659"/>
      <c r="ET46" s="2659"/>
      <c r="EU46" s="2659"/>
      <c r="EV46" s="2659"/>
      <c r="EW46" s="2659"/>
      <c r="EX46" s="2659"/>
      <c r="EY46" s="2659"/>
      <c r="EZ46" s="2659"/>
      <c r="FA46" s="2659"/>
      <c r="FB46" s="2659"/>
      <c r="FC46" s="2659"/>
      <c r="FD46" s="2659"/>
      <c r="FE46" s="2659"/>
      <c r="FF46" s="2659"/>
      <c r="FG46" s="2659"/>
      <c r="FH46" s="2659"/>
      <c r="FI46" s="2659"/>
      <c r="FJ46" s="2659"/>
      <c r="FK46" s="2659"/>
      <c r="FL46" s="2657"/>
    </row>
    <row r="47" spans="1:168" ht="22.15" customHeight="1" x14ac:dyDescent="0.3">
      <c r="A47" s="2655" t="s">
        <v>2549</v>
      </c>
      <c r="B47" s="2655" t="s">
        <v>2550</v>
      </c>
      <c r="C47" s="2656">
        <v>0.97697899999999993</v>
      </c>
      <c r="D47" s="2656">
        <v>0.97697899999999993</v>
      </c>
      <c r="E47" s="2656">
        <v>0.97697899999999993</v>
      </c>
      <c r="F47" s="2656">
        <v>0.97697899999999993</v>
      </c>
      <c r="G47" s="2656">
        <v>700.304979</v>
      </c>
      <c r="H47" s="2656">
        <v>0.97697899999999993</v>
      </c>
      <c r="I47" s="2656">
        <v>0.97697899999999993</v>
      </c>
      <c r="J47" s="2656">
        <v>1949.5115290000001</v>
      </c>
      <c r="K47" s="2656">
        <v>6727.3778899999998</v>
      </c>
      <c r="L47" s="2656">
        <v>6727.3778899999998</v>
      </c>
      <c r="M47" s="2656">
        <v>6727.3778899999998</v>
      </c>
      <c r="N47" s="2656">
        <v>5101.1285029999999</v>
      </c>
      <c r="O47" s="2656">
        <v>5899.3738249999997</v>
      </c>
      <c r="P47" s="2656">
        <v>7178.258124</v>
      </c>
      <c r="Q47" s="2656">
        <v>6962.9102419999999</v>
      </c>
      <c r="R47" s="2656">
        <v>7176.5287470000003</v>
      </c>
      <c r="S47" s="2656">
        <v>8050.2318850000011</v>
      </c>
      <c r="T47" s="2656">
        <v>9350.0623379999997</v>
      </c>
      <c r="U47" s="2656">
        <v>10061.164205000001</v>
      </c>
      <c r="V47" s="2656">
        <v>9783.8574340000014</v>
      </c>
      <c r="W47" s="2656">
        <v>8884.4224610000001</v>
      </c>
      <c r="X47" s="2656">
        <v>8906.7630180000015</v>
      </c>
      <c r="Y47" s="2656">
        <v>8989.1163437203486</v>
      </c>
      <c r="Z47" s="2656">
        <v>7621.8026020000007</v>
      </c>
      <c r="AA47" s="2656">
        <v>8098.1933754899992</v>
      </c>
      <c r="AB47" s="2656">
        <v>8103.3600904899986</v>
      </c>
      <c r="AC47" s="2656">
        <v>7987.70630239</v>
      </c>
      <c r="AD47" s="2656">
        <v>7666.8660758100004</v>
      </c>
      <c r="AE47" s="2656">
        <v>7059.1474340511413</v>
      </c>
      <c r="AF47" s="2656">
        <v>6924.8333079799986</v>
      </c>
      <c r="AG47" s="2656">
        <v>6810.575498449999</v>
      </c>
      <c r="AH47" s="2656">
        <v>5899.4714549999999</v>
      </c>
      <c r="AI47" s="2656">
        <v>5548.3711433400003</v>
      </c>
      <c r="AJ47" s="2656">
        <v>5151.53506191</v>
      </c>
      <c r="AK47" s="2656">
        <v>5432.9948068099993</v>
      </c>
      <c r="AL47" s="2656">
        <v>5650.9292838000001</v>
      </c>
      <c r="AM47" s="2656">
        <v>8292.3251740800006</v>
      </c>
      <c r="AN47" s="2656">
        <v>8229.7347259200014</v>
      </c>
      <c r="AO47" s="2656">
        <v>10911.038199100001</v>
      </c>
      <c r="AP47" s="2656">
        <v>12400.236332000002</v>
      </c>
      <c r="AQ47" s="2656">
        <v>14397.987373506336</v>
      </c>
      <c r="AR47" s="2656">
        <v>15073.430049965815</v>
      </c>
      <c r="AS47" s="2656">
        <v>14639.647727208319</v>
      </c>
      <c r="AT47" s="2656">
        <v>16841.729297471069</v>
      </c>
      <c r="AU47" s="2656">
        <v>16527.854840426491</v>
      </c>
      <c r="AV47" s="2656">
        <v>16256.050535835768</v>
      </c>
      <c r="AW47" s="2656">
        <v>16006.596918962901</v>
      </c>
      <c r="AX47" s="2656">
        <v>14816.341808295803</v>
      </c>
      <c r="AY47" s="2656">
        <v>15805.867442425804</v>
      </c>
      <c r="AZ47" s="2656">
        <v>16853.601829623516</v>
      </c>
      <c r="BA47" s="2656">
        <v>19037.1664735501</v>
      </c>
      <c r="BB47" s="2656">
        <v>19558.669342488218</v>
      </c>
      <c r="BC47" s="2656">
        <v>21690.958455277567</v>
      </c>
      <c r="BD47" s="2656">
        <v>21769.819955249801</v>
      </c>
      <c r="BE47" s="2656">
        <v>20515.969835745153</v>
      </c>
      <c r="BF47" s="2656">
        <v>18707.384725992579</v>
      </c>
      <c r="BG47" s="2656">
        <v>17194.662906816404</v>
      </c>
      <c r="BH47" s="2656">
        <v>17534.395552451446</v>
      </c>
      <c r="BI47" s="2656">
        <v>21430.804232799339</v>
      </c>
      <c r="BJ47" s="2656">
        <v>21819.989235755154</v>
      </c>
      <c r="BK47" s="2656">
        <v>18820.833436914523</v>
      </c>
      <c r="BL47" s="2656">
        <v>17561.064038939247</v>
      </c>
      <c r="BM47" s="2656">
        <v>16093.248044462756</v>
      </c>
      <c r="BN47" s="2656">
        <v>16303.566108505043</v>
      </c>
      <c r="BO47" s="2656">
        <v>20072.59277831886</v>
      </c>
      <c r="BP47" s="2656">
        <v>24761.408888216043</v>
      </c>
      <c r="BQ47" s="2656">
        <v>26468.822463576485</v>
      </c>
      <c r="BR47" s="2656">
        <v>29083.29511164478</v>
      </c>
      <c r="BS47" s="2656">
        <v>28252.173220278808</v>
      </c>
      <c r="BT47" s="2656">
        <v>27482.686239086255</v>
      </c>
      <c r="BU47" s="2656">
        <v>26705.459534849728</v>
      </c>
      <c r="BV47" s="2656">
        <v>26211.022620811455</v>
      </c>
      <c r="BW47" s="2656">
        <v>27696.718761614735</v>
      </c>
      <c r="BX47" s="2656">
        <v>28651.598215942391</v>
      </c>
      <c r="BY47" s="2656">
        <v>30398.692709023828</v>
      </c>
      <c r="BZ47" s="2656">
        <v>30329.007969927352</v>
      </c>
      <c r="CA47" s="2656">
        <v>29634.729211632854</v>
      </c>
      <c r="CB47" s="2656">
        <v>31971.949978656074</v>
      </c>
      <c r="CC47" s="2656">
        <v>31905.269878307008</v>
      </c>
      <c r="CD47" s="2656">
        <v>30472.831746993201</v>
      </c>
      <c r="CE47" s="2656">
        <v>30379.934940104398</v>
      </c>
      <c r="CF47" s="2656">
        <v>30385.224719153735</v>
      </c>
      <c r="CG47" s="2656">
        <v>30390.343860181991</v>
      </c>
      <c r="CH47" s="2656">
        <v>30282.993765139523</v>
      </c>
      <c r="CI47" s="2656">
        <v>31546.103834498485</v>
      </c>
      <c r="CJ47" s="2656">
        <v>32860.470528294114</v>
      </c>
      <c r="CK47" s="2656">
        <v>32756.792770723569</v>
      </c>
      <c r="CL47" s="2656">
        <v>30508.750524446983</v>
      </c>
      <c r="CM47" s="2656">
        <v>32368.961424007564</v>
      </c>
      <c r="CN47" s="2656">
        <v>40844.727462043214</v>
      </c>
      <c r="CO47" s="2656">
        <v>45986.866742425933</v>
      </c>
      <c r="CP47" s="2656">
        <v>49621.555652876727</v>
      </c>
      <c r="CQ47" s="2656">
        <v>51033.269060512823</v>
      </c>
      <c r="CR47" s="2656">
        <v>51593.071034535176</v>
      </c>
      <c r="CS47" s="2656">
        <v>50472.940248263694</v>
      </c>
      <c r="CT47" s="2656">
        <v>51579.364107647278</v>
      </c>
      <c r="CU47" s="2656">
        <v>54257.438472275535</v>
      </c>
      <c r="CV47" s="2656">
        <v>60010.234159538217</v>
      </c>
      <c r="CW47" s="2656">
        <v>59671.616298873691</v>
      </c>
      <c r="CX47" s="2656">
        <v>58028.980285152727</v>
      </c>
      <c r="CY47" s="2656">
        <v>57049.372761277817</v>
      </c>
      <c r="CZ47" s="2656">
        <v>53584.549816332561</v>
      </c>
      <c r="DA47" s="2656">
        <v>51582.83359155331</v>
      </c>
      <c r="DB47" s="2656">
        <v>50493.695366486339</v>
      </c>
      <c r="DC47" s="2656">
        <v>54206.639282538083</v>
      </c>
      <c r="DD47" s="2656">
        <v>53582.959091911674</v>
      </c>
      <c r="DE47" s="2656">
        <v>50607.850229043121</v>
      </c>
      <c r="DF47" s="2656">
        <v>54998.374549107721</v>
      </c>
      <c r="DG47" s="2656">
        <v>55429.512839131516</v>
      </c>
      <c r="DH47" s="2656">
        <v>57578.551645817679</v>
      </c>
      <c r="DI47" s="2656">
        <v>61194.164276256692</v>
      </c>
      <c r="DJ47" s="2656">
        <v>63878.08411063184</v>
      </c>
      <c r="DK47" s="2656">
        <v>69612.105710522272</v>
      </c>
      <c r="DL47" s="2656">
        <v>75360.160072018465</v>
      </c>
      <c r="DM47" s="2656">
        <v>72315.339936051489</v>
      </c>
      <c r="DN47" s="2656">
        <v>73142.704531894735</v>
      </c>
      <c r="DO47" s="2656">
        <v>76142.24566582554</v>
      </c>
      <c r="DP47" s="2656">
        <v>78452.586796215604</v>
      </c>
      <c r="DQ47" s="2656">
        <v>78241.230307136575</v>
      </c>
      <c r="DR47" s="2656">
        <v>77359.2021266136</v>
      </c>
      <c r="DS47" s="2656">
        <v>88187.979669040535</v>
      </c>
      <c r="DT47" s="2656">
        <v>86132.706131198735</v>
      </c>
      <c r="DU47" s="2656">
        <v>76455.1478139674</v>
      </c>
      <c r="DV47" s="2656">
        <v>66490.504989173627</v>
      </c>
      <c r="DW47" s="2656">
        <v>50785.574111570641</v>
      </c>
      <c r="DX47" s="2656">
        <v>53146.137299770111</v>
      </c>
      <c r="DY47" s="2656">
        <v>61736.460905117703</v>
      </c>
      <c r="DZ47" s="2656">
        <v>75514.236870145571</v>
      </c>
      <c r="EA47" s="2656">
        <v>89237.831491687437</v>
      </c>
      <c r="EB47" s="2656">
        <v>86262.105568022103</v>
      </c>
      <c r="EC47" s="2656">
        <v>85067.53276444455</v>
      </c>
      <c r="ED47" s="2656">
        <v>90826.842388530116</v>
      </c>
      <c r="EE47" s="2656">
        <v>94673.513946139617</v>
      </c>
      <c r="EF47" s="2656">
        <v>92350.028948794512</v>
      </c>
      <c r="EG47" s="2656">
        <v>91158.04428641891</v>
      </c>
      <c r="EH47" s="2656">
        <v>109546.51225023252</v>
      </c>
      <c r="EI47" s="2656">
        <v>111247.47423011277</v>
      </c>
      <c r="EJ47" s="2656">
        <v>101611.65625639679</v>
      </c>
      <c r="EK47" s="2656">
        <v>105832.41160251803</v>
      </c>
      <c r="EL47" s="2656">
        <v>101309.80993893543</v>
      </c>
      <c r="EM47" s="2656">
        <v>90262.363386647208</v>
      </c>
      <c r="EN47" s="2656">
        <v>104921.0231827627</v>
      </c>
      <c r="EO47" s="2656">
        <v>100642.84120152507</v>
      </c>
      <c r="EP47" s="2656">
        <v>111192.41079525249</v>
      </c>
      <c r="EQ47" s="2656">
        <v>107569.9057297525</v>
      </c>
      <c r="ER47" s="2656">
        <v>112876.70516908175</v>
      </c>
      <c r="ES47" s="2656">
        <v>114204.6510120912</v>
      </c>
      <c r="ET47" s="2656">
        <v>103427.69274953556</v>
      </c>
      <c r="EU47" s="2656">
        <v>100764.01029574999</v>
      </c>
      <c r="EV47" s="2656">
        <v>95258.936704313208</v>
      </c>
      <c r="EW47" s="2656">
        <v>103362.80767357172</v>
      </c>
      <c r="EX47" s="2656">
        <v>103642.4336699117</v>
      </c>
      <c r="EY47" s="2656">
        <v>110709.4164573795</v>
      </c>
      <c r="EZ47" s="2656">
        <v>115076.41629303983</v>
      </c>
      <c r="FA47" s="2656">
        <v>106445.13244858473</v>
      </c>
      <c r="FB47" s="2656">
        <v>83466.230462879583</v>
      </c>
      <c r="FC47" s="2656">
        <v>112767.92493137457</v>
      </c>
      <c r="FD47" s="2656">
        <v>120876.03140093897</v>
      </c>
      <c r="FE47" s="2656">
        <v>119957.86426982543</v>
      </c>
      <c r="FF47" s="2656">
        <v>118297.80169052654</v>
      </c>
      <c r="FG47" s="2656">
        <v>117004.90498092733</v>
      </c>
      <c r="FH47" s="2656">
        <v>118398.47052040414</v>
      </c>
      <c r="FI47" s="2656">
        <v>48149.839937086428</v>
      </c>
      <c r="FJ47" s="2656">
        <v>65914.631940082545</v>
      </c>
      <c r="FK47" s="2656">
        <v>100386.60696333164</v>
      </c>
      <c r="FL47" s="2657"/>
    </row>
    <row r="48" spans="1:168" ht="16.5" customHeight="1" x14ac:dyDescent="0.3">
      <c r="A48" s="2658"/>
      <c r="B48" s="2658"/>
      <c r="C48" s="2659"/>
      <c r="D48" s="2659"/>
      <c r="E48" s="2659"/>
      <c r="F48" s="2659"/>
      <c r="G48" s="2659"/>
      <c r="H48" s="2659"/>
      <c r="I48" s="2659"/>
      <c r="J48" s="2659"/>
      <c r="K48" s="2659"/>
      <c r="L48" s="2659"/>
      <c r="M48" s="2659"/>
      <c r="N48" s="2659"/>
      <c r="O48" s="2659"/>
      <c r="P48" s="2659"/>
      <c r="Q48" s="2659"/>
      <c r="R48" s="2659"/>
      <c r="S48" s="2659"/>
      <c r="T48" s="2659"/>
      <c r="U48" s="2659"/>
      <c r="V48" s="2659"/>
      <c r="W48" s="2659"/>
      <c r="X48" s="2659"/>
      <c r="Y48" s="2659"/>
      <c r="Z48" s="2659"/>
      <c r="AA48" s="2659"/>
      <c r="AB48" s="2659"/>
      <c r="AC48" s="2659"/>
      <c r="AD48" s="2659"/>
      <c r="AE48" s="2659"/>
      <c r="AF48" s="2659"/>
      <c r="AG48" s="2659"/>
      <c r="AH48" s="2659"/>
      <c r="AI48" s="2659"/>
      <c r="AJ48" s="2659"/>
      <c r="AK48" s="2659"/>
      <c r="AL48" s="2659"/>
      <c r="AM48" s="2659"/>
      <c r="AN48" s="2659"/>
      <c r="AO48" s="2659"/>
      <c r="AP48" s="2659"/>
      <c r="AQ48" s="2659"/>
      <c r="AR48" s="2659"/>
      <c r="AS48" s="2659"/>
      <c r="AT48" s="2659"/>
      <c r="AU48" s="2659"/>
      <c r="AV48" s="2659"/>
      <c r="AW48" s="2659"/>
      <c r="AX48" s="2659"/>
      <c r="AY48" s="2659"/>
      <c r="AZ48" s="2659"/>
      <c r="BA48" s="2659"/>
      <c r="BB48" s="2659"/>
      <c r="BC48" s="2659"/>
      <c r="BD48" s="2659"/>
      <c r="BE48" s="2659"/>
      <c r="BF48" s="2659"/>
      <c r="BG48" s="2659"/>
      <c r="BH48" s="2659"/>
      <c r="BI48" s="2659"/>
      <c r="BJ48" s="2659"/>
      <c r="BK48" s="2659"/>
      <c r="BL48" s="2659"/>
      <c r="BM48" s="2659"/>
      <c r="BN48" s="2659"/>
      <c r="BO48" s="2659"/>
      <c r="BP48" s="2659"/>
      <c r="BQ48" s="2659"/>
      <c r="BR48" s="2659"/>
      <c r="BS48" s="2659"/>
      <c r="BT48" s="2659"/>
      <c r="BU48" s="2659"/>
      <c r="BV48" s="2659"/>
      <c r="BW48" s="2659"/>
      <c r="BX48" s="2659"/>
      <c r="BY48" s="2659"/>
      <c r="BZ48" s="2659"/>
      <c r="CA48" s="2659"/>
      <c r="CB48" s="2659"/>
      <c r="CC48" s="2659"/>
      <c r="CD48" s="2659"/>
      <c r="CE48" s="2659"/>
      <c r="CF48" s="2659"/>
      <c r="CG48" s="2659"/>
      <c r="CH48" s="2659"/>
      <c r="CI48" s="2659"/>
      <c r="CJ48" s="2659"/>
      <c r="CK48" s="2659"/>
      <c r="CL48" s="2659"/>
      <c r="CM48" s="2659"/>
      <c r="CN48" s="2659"/>
      <c r="CO48" s="2659"/>
      <c r="CP48" s="2659"/>
      <c r="CQ48" s="2659"/>
      <c r="CR48" s="2659"/>
      <c r="CS48" s="2659"/>
      <c r="CT48" s="2659"/>
      <c r="CU48" s="2659"/>
      <c r="CV48" s="2659"/>
      <c r="CW48" s="2659"/>
      <c r="CX48" s="2659"/>
      <c r="CY48" s="2659"/>
      <c r="CZ48" s="2659"/>
      <c r="DA48" s="2659"/>
      <c r="DB48" s="2659"/>
      <c r="DC48" s="2659"/>
      <c r="DD48" s="2659"/>
      <c r="DE48" s="2659"/>
      <c r="DF48" s="2659"/>
      <c r="DG48" s="2659"/>
      <c r="DH48" s="2659"/>
      <c r="DI48" s="2659"/>
      <c r="DJ48" s="2659"/>
      <c r="DK48" s="2659"/>
      <c r="DL48" s="2659"/>
      <c r="DM48" s="2659"/>
      <c r="DN48" s="2659"/>
      <c r="DO48" s="2659"/>
      <c r="DP48" s="2659"/>
      <c r="DQ48" s="2659"/>
      <c r="DR48" s="2659"/>
      <c r="DS48" s="2659"/>
      <c r="DT48" s="2659"/>
      <c r="DU48" s="2659"/>
      <c r="DV48" s="2659"/>
      <c r="DW48" s="2659"/>
      <c r="DX48" s="2659"/>
      <c r="DY48" s="2659"/>
      <c r="DZ48" s="2659"/>
      <c r="EA48" s="2659"/>
      <c r="EB48" s="2659"/>
      <c r="EC48" s="2659"/>
      <c r="ED48" s="2659"/>
      <c r="EE48" s="2659"/>
      <c r="EF48" s="2659"/>
      <c r="EG48" s="2659"/>
      <c r="EH48" s="2659"/>
      <c r="EI48" s="2659"/>
      <c r="EJ48" s="2659"/>
      <c r="EK48" s="2659"/>
      <c r="EL48" s="2659"/>
      <c r="EM48" s="2659"/>
      <c r="EN48" s="2659"/>
      <c r="EO48" s="2659"/>
      <c r="EP48" s="2659"/>
      <c r="EQ48" s="2659"/>
      <c r="ER48" s="2659"/>
      <c r="ES48" s="2659"/>
      <c r="ET48" s="2659"/>
      <c r="EU48" s="2659"/>
      <c r="EV48" s="2659"/>
      <c r="EW48" s="2659"/>
      <c r="EX48" s="2659"/>
      <c r="EY48" s="2659"/>
      <c r="EZ48" s="2659"/>
      <c r="FA48" s="2659"/>
      <c r="FB48" s="2659"/>
      <c r="FC48" s="2659"/>
      <c r="FD48" s="2659"/>
      <c r="FE48" s="2659"/>
      <c r="FF48" s="2659"/>
      <c r="FG48" s="2659"/>
      <c r="FH48" s="2659"/>
      <c r="FI48" s="2659"/>
      <c r="FJ48" s="2659"/>
      <c r="FK48" s="2659"/>
      <c r="FL48" s="2657"/>
    </row>
    <row r="49" spans="1:168" ht="16.5" customHeight="1" x14ac:dyDescent="0.3">
      <c r="A49" s="2655" t="s">
        <v>2551</v>
      </c>
      <c r="B49" s="2655" t="s">
        <v>1057</v>
      </c>
      <c r="C49" s="2656">
        <v>0</v>
      </c>
      <c r="D49" s="2656">
        <v>0</v>
      </c>
      <c r="E49" s="2656">
        <v>0</v>
      </c>
      <c r="F49" s="2656">
        <v>0</v>
      </c>
      <c r="G49" s="2656">
        <v>0</v>
      </c>
      <c r="H49" s="2656">
        <v>0</v>
      </c>
      <c r="I49" s="2656">
        <v>0</v>
      </c>
      <c r="J49" s="2656">
        <v>0</v>
      </c>
      <c r="K49" s="2656">
        <v>0</v>
      </c>
      <c r="L49" s="2656">
        <v>0</v>
      </c>
      <c r="M49" s="2656">
        <v>0</v>
      </c>
      <c r="N49" s="2656">
        <v>0</v>
      </c>
      <c r="O49" s="2656">
        <v>0</v>
      </c>
      <c r="P49" s="2656">
        <v>0</v>
      </c>
      <c r="Q49" s="2656">
        <v>0</v>
      </c>
      <c r="R49" s="2656">
        <v>0</v>
      </c>
      <c r="S49" s="2656">
        <v>0</v>
      </c>
      <c r="T49" s="2656">
        <v>0</v>
      </c>
      <c r="U49" s="2656">
        <v>0</v>
      </c>
      <c r="V49" s="2656">
        <v>0</v>
      </c>
      <c r="W49" s="2656">
        <v>0</v>
      </c>
      <c r="X49" s="2656">
        <v>0</v>
      </c>
      <c r="Y49" s="2656">
        <v>0</v>
      </c>
      <c r="Z49" s="2656">
        <v>0</v>
      </c>
      <c r="AA49" s="2656">
        <v>0</v>
      </c>
      <c r="AB49" s="2656">
        <v>0</v>
      </c>
      <c r="AC49" s="2656">
        <v>0</v>
      </c>
      <c r="AD49" s="2656">
        <v>0</v>
      </c>
      <c r="AE49" s="2656">
        <v>0</v>
      </c>
      <c r="AF49" s="2656">
        <v>0</v>
      </c>
      <c r="AG49" s="2656">
        <v>0</v>
      </c>
      <c r="AH49" s="2656">
        <v>0</v>
      </c>
      <c r="AI49" s="2656">
        <v>0</v>
      </c>
      <c r="AJ49" s="2656">
        <v>0</v>
      </c>
      <c r="AK49" s="2656">
        <v>0</v>
      </c>
      <c r="AL49" s="2656">
        <v>0</v>
      </c>
      <c r="AM49" s="2656">
        <v>0</v>
      </c>
      <c r="AN49" s="2656">
        <v>0</v>
      </c>
      <c r="AO49" s="2656">
        <v>0</v>
      </c>
      <c r="AP49" s="2656">
        <v>0</v>
      </c>
      <c r="AQ49" s="2656">
        <v>0</v>
      </c>
      <c r="AR49" s="2656">
        <v>0</v>
      </c>
      <c r="AS49" s="2656">
        <v>0</v>
      </c>
      <c r="AT49" s="2656">
        <v>0</v>
      </c>
      <c r="AU49" s="2656">
        <v>0</v>
      </c>
      <c r="AV49" s="2656">
        <v>0</v>
      </c>
      <c r="AW49" s="2656">
        <v>0</v>
      </c>
      <c r="AX49" s="2656">
        <v>0</v>
      </c>
      <c r="AY49" s="2656">
        <v>900</v>
      </c>
      <c r="AZ49" s="2656">
        <v>0</v>
      </c>
      <c r="BA49" s="2656">
        <v>0</v>
      </c>
      <c r="BB49" s="2656">
        <v>0</v>
      </c>
      <c r="BC49" s="2656">
        <v>0</v>
      </c>
      <c r="BD49" s="2656">
        <v>0</v>
      </c>
      <c r="BE49" s="2656">
        <v>0</v>
      </c>
      <c r="BF49" s="2656">
        <v>0</v>
      </c>
      <c r="BG49" s="2656">
        <v>0</v>
      </c>
      <c r="BH49" s="2656">
        <v>0</v>
      </c>
      <c r="BI49" s="2656">
        <v>0</v>
      </c>
      <c r="BJ49" s="2656">
        <v>0</v>
      </c>
      <c r="BK49" s="2656">
        <v>0</v>
      </c>
      <c r="BL49" s="2656">
        <v>0</v>
      </c>
      <c r="BM49" s="2656">
        <v>0</v>
      </c>
      <c r="BN49" s="2656">
        <v>0</v>
      </c>
      <c r="BO49" s="2656">
        <v>0</v>
      </c>
      <c r="BP49" s="2656">
        <v>0</v>
      </c>
      <c r="BQ49" s="2656">
        <v>0</v>
      </c>
      <c r="BR49" s="2656">
        <v>0</v>
      </c>
      <c r="BS49" s="2656">
        <v>0</v>
      </c>
      <c r="BT49" s="2656">
        <v>0</v>
      </c>
      <c r="BU49" s="2656">
        <v>0</v>
      </c>
      <c r="BV49" s="2656">
        <v>0</v>
      </c>
      <c r="BW49" s="2656">
        <v>0</v>
      </c>
      <c r="BX49" s="2656">
        <v>0</v>
      </c>
      <c r="BY49" s="2656">
        <v>0</v>
      </c>
      <c r="BZ49" s="2656">
        <v>0</v>
      </c>
      <c r="CA49" s="2656">
        <v>0</v>
      </c>
      <c r="CB49" s="2656">
        <v>0</v>
      </c>
      <c r="CC49" s="2656">
        <v>0</v>
      </c>
      <c r="CD49" s="2656">
        <v>0</v>
      </c>
      <c r="CE49" s="2656">
        <v>0</v>
      </c>
      <c r="CF49" s="2656">
        <v>0</v>
      </c>
      <c r="CG49" s="2656">
        <v>0</v>
      </c>
      <c r="CH49" s="2656">
        <v>0</v>
      </c>
      <c r="CI49" s="2656">
        <v>0</v>
      </c>
      <c r="CJ49" s="2656">
        <v>0</v>
      </c>
      <c r="CK49" s="2656">
        <v>0</v>
      </c>
      <c r="CL49" s="2656">
        <v>0</v>
      </c>
      <c r="CM49" s="2656">
        <v>0</v>
      </c>
      <c r="CN49" s="2656">
        <v>0</v>
      </c>
      <c r="CO49" s="2656">
        <v>0</v>
      </c>
      <c r="CP49" s="2656">
        <v>0</v>
      </c>
      <c r="CQ49" s="2656">
        <v>0</v>
      </c>
      <c r="CR49" s="2656">
        <v>0</v>
      </c>
      <c r="CS49" s="2656">
        <v>0</v>
      </c>
      <c r="CT49" s="2656">
        <v>0</v>
      </c>
      <c r="CU49" s="2656">
        <v>0</v>
      </c>
      <c r="CV49" s="2656">
        <v>0</v>
      </c>
      <c r="CW49" s="2656">
        <v>0</v>
      </c>
      <c r="CX49" s="2656">
        <v>0</v>
      </c>
      <c r="CY49" s="2656">
        <v>0</v>
      </c>
      <c r="CZ49" s="2656">
        <v>0</v>
      </c>
      <c r="DA49" s="2656">
        <v>0</v>
      </c>
      <c r="DB49" s="2656">
        <v>0</v>
      </c>
      <c r="DC49" s="2656">
        <v>0</v>
      </c>
      <c r="DD49" s="2656">
        <v>0</v>
      </c>
      <c r="DE49" s="2656">
        <v>0</v>
      </c>
      <c r="DF49" s="2656">
        <v>0</v>
      </c>
      <c r="DG49" s="2656">
        <v>0</v>
      </c>
      <c r="DH49" s="2656">
        <v>0</v>
      </c>
      <c r="DI49" s="2656">
        <v>0</v>
      </c>
      <c r="DJ49" s="2656">
        <v>0</v>
      </c>
      <c r="DK49" s="2656">
        <v>0</v>
      </c>
      <c r="DL49" s="2656">
        <v>0</v>
      </c>
      <c r="DM49" s="2656">
        <v>0</v>
      </c>
      <c r="DN49" s="2656">
        <v>0</v>
      </c>
      <c r="DO49" s="2656">
        <v>0</v>
      </c>
      <c r="DP49" s="2656">
        <v>0</v>
      </c>
      <c r="DQ49" s="2656">
        <v>0</v>
      </c>
      <c r="DR49" s="2656">
        <v>0</v>
      </c>
      <c r="DS49" s="2656">
        <v>0</v>
      </c>
      <c r="DT49" s="2656">
        <v>0</v>
      </c>
      <c r="DU49" s="2656">
        <v>0</v>
      </c>
      <c r="DV49" s="2656">
        <v>0</v>
      </c>
      <c r="DW49" s="2656">
        <v>0</v>
      </c>
      <c r="DX49" s="2656">
        <v>9659.004697280001</v>
      </c>
      <c r="DY49" s="2656">
        <v>9604.5707403399992</v>
      </c>
      <c r="DZ49" s="2656">
        <v>9567.9555798900001</v>
      </c>
      <c r="EA49" s="2656">
        <v>9614.8623936900003</v>
      </c>
      <c r="EB49" s="2656">
        <v>9636.30553358</v>
      </c>
      <c r="EC49" s="2656">
        <v>9623.3358673099992</v>
      </c>
      <c r="ED49" s="2656">
        <v>1976.6671715999998</v>
      </c>
      <c r="EE49" s="2656">
        <v>1989.4531496500001</v>
      </c>
      <c r="EF49" s="2656">
        <v>6000.5845226299998</v>
      </c>
      <c r="EG49" s="2656">
        <v>4067.01</v>
      </c>
      <c r="EH49" s="2656">
        <v>4051.17</v>
      </c>
      <c r="EI49" s="2656">
        <v>4074.89</v>
      </c>
      <c r="EJ49" s="2656">
        <v>8526.5273692899991</v>
      </c>
      <c r="EK49" s="2656">
        <v>12860.52</v>
      </c>
      <c r="EL49" s="2656">
        <v>17096.68</v>
      </c>
      <c r="EM49" s="2656">
        <v>25660.86</v>
      </c>
      <c r="EN49" s="2656">
        <v>30114.21</v>
      </c>
      <c r="EO49" s="2656">
        <v>34624.720000000001</v>
      </c>
      <c r="EP49" s="2656">
        <v>34823.519999999997</v>
      </c>
      <c r="EQ49" s="2656">
        <v>34934.879999999997</v>
      </c>
      <c r="ER49" s="2656">
        <v>39604.230000000003</v>
      </c>
      <c r="ES49" s="2656">
        <v>40035.51</v>
      </c>
      <c r="ET49" s="2656">
        <v>49679.654999999999</v>
      </c>
      <c r="EU49" s="2656">
        <v>49989.695</v>
      </c>
      <c r="EV49" s="2656">
        <v>52090.400000000001</v>
      </c>
      <c r="EW49" s="2656">
        <v>51909.85</v>
      </c>
      <c r="EX49" s="2656">
        <v>51544.84</v>
      </c>
      <c r="EY49" s="2656">
        <v>51590.84</v>
      </c>
      <c r="EZ49" s="2656">
        <v>50689.7</v>
      </c>
      <c r="FA49" s="2656">
        <v>50533.875</v>
      </c>
      <c r="FB49" s="2656">
        <v>50478.214999999997</v>
      </c>
      <c r="FC49" s="2656">
        <v>51469.745000000003</v>
      </c>
      <c r="FD49" s="2656">
        <v>53490.525000000001</v>
      </c>
      <c r="FE49" s="2656">
        <v>52991.425000000003</v>
      </c>
      <c r="FF49" s="2656">
        <v>51828.66</v>
      </c>
      <c r="FG49" s="2656">
        <v>52774.65</v>
      </c>
      <c r="FH49" s="2656">
        <v>62021.867084690006</v>
      </c>
      <c r="FI49" s="2656">
        <v>62208.440256839996</v>
      </c>
      <c r="FJ49" s="2656">
        <v>68344.828994340001</v>
      </c>
      <c r="FK49" s="2656">
        <v>62383.306570579996</v>
      </c>
      <c r="FL49" s="2657"/>
    </row>
    <row r="50" spans="1:168" ht="16.5" customHeight="1" x14ac:dyDescent="0.3">
      <c r="A50" s="2658"/>
      <c r="B50" s="2668"/>
      <c r="C50" s="2659"/>
      <c r="D50" s="2659"/>
      <c r="E50" s="2659"/>
      <c r="F50" s="2659"/>
      <c r="G50" s="2659"/>
      <c r="H50" s="2659"/>
      <c r="I50" s="2659"/>
      <c r="J50" s="2659"/>
      <c r="K50" s="2659"/>
      <c r="L50" s="2659"/>
      <c r="M50" s="2659"/>
      <c r="N50" s="2659"/>
      <c r="O50" s="2659"/>
      <c r="P50" s="2659"/>
      <c r="Q50" s="2659"/>
      <c r="R50" s="2659"/>
      <c r="S50" s="2659"/>
      <c r="T50" s="2659"/>
      <c r="U50" s="2659"/>
      <c r="V50" s="2659"/>
      <c r="W50" s="2659"/>
      <c r="X50" s="2659"/>
      <c r="Y50" s="2659"/>
      <c r="Z50" s="2659"/>
      <c r="AA50" s="2659"/>
      <c r="AB50" s="2659"/>
      <c r="AC50" s="2659"/>
      <c r="AD50" s="2659"/>
      <c r="AE50" s="2659"/>
      <c r="AF50" s="2659"/>
      <c r="AG50" s="2659"/>
      <c r="AH50" s="2659"/>
      <c r="AI50" s="2659"/>
      <c r="AJ50" s="2659"/>
      <c r="AK50" s="2659"/>
      <c r="AL50" s="2659"/>
      <c r="AM50" s="2659"/>
      <c r="AN50" s="2659"/>
      <c r="AO50" s="2659"/>
      <c r="AP50" s="2659"/>
      <c r="AQ50" s="2659"/>
      <c r="AR50" s="2659"/>
      <c r="AS50" s="2659"/>
      <c r="AT50" s="2659"/>
      <c r="AU50" s="2659"/>
      <c r="AV50" s="2659"/>
      <c r="AW50" s="2659"/>
      <c r="AX50" s="2659"/>
      <c r="AY50" s="2659"/>
      <c r="AZ50" s="2659"/>
      <c r="BA50" s="2659"/>
      <c r="BB50" s="2659"/>
      <c r="BC50" s="2659"/>
      <c r="BD50" s="2659"/>
      <c r="BE50" s="2659"/>
      <c r="BF50" s="2659"/>
      <c r="BG50" s="2659"/>
      <c r="BH50" s="2659"/>
      <c r="BI50" s="2659"/>
      <c r="BJ50" s="2659"/>
      <c r="BK50" s="2659"/>
      <c r="BL50" s="2659"/>
      <c r="BM50" s="2659"/>
      <c r="BN50" s="2659"/>
      <c r="BO50" s="2659"/>
      <c r="BP50" s="2659"/>
      <c r="BQ50" s="2659"/>
      <c r="BR50" s="2659"/>
      <c r="BS50" s="2659"/>
      <c r="BT50" s="2659"/>
      <c r="BU50" s="2659"/>
      <c r="BV50" s="2659"/>
      <c r="BW50" s="2659"/>
      <c r="BX50" s="2659"/>
      <c r="BY50" s="2659"/>
      <c r="BZ50" s="2659"/>
      <c r="CA50" s="2659"/>
      <c r="CB50" s="2659"/>
      <c r="CC50" s="2659"/>
      <c r="CD50" s="2659"/>
      <c r="CE50" s="2659"/>
      <c r="CF50" s="2659"/>
      <c r="CG50" s="2659"/>
      <c r="CH50" s="2659"/>
      <c r="CI50" s="2659"/>
      <c r="CJ50" s="2659"/>
      <c r="CK50" s="2659"/>
      <c r="CL50" s="2659"/>
      <c r="CM50" s="2659"/>
      <c r="CN50" s="2659"/>
      <c r="CO50" s="2659"/>
      <c r="CP50" s="2659"/>
      <c r="CQ50" s="2659"/>
      <c r="CR50" s="2659"/>
      <c r="CS50" s="2659"/>
      <c r="CT50" s="2659"/>
      <c r="CU50" s="2659"/>
      <c r="CV50" s="2659"/>
      <c r="CW50" s="2659"/>
      <c r="CX50" s="2659"/>
      <c r="CY50" s="2659"/>
      <c r="CZ50" s="2659"/>
      <c r="DA50" s="2659"/>
      <c r="DB50" s="2659"/>
      <c r="DC50" s="2659"/>
      <c r="DD50" s="2659"/>
      <c r="DE50" s="2659"/>
      <c r="DF50" s="2659"/>
      <c r="DG50" s="2659"/>
      <c r="DH50" s="2659"/>
      <c r="DI50" s="2659"/>
      <c r="DJ50" s="2659"/>
      <c r="DK50" s="2659"/>
      <c r="DL50" s="2659"/>
      <c r="DM50" s="2659"/>
      <c r="DN50" s="2659"/>
      <c r="DO50" s="2659"/>
      <c r="DP50" s="2659"/>
      <c r="DQ50" s="2659"/>
      <c r="DR50" s="2659"/>
      <c r="DS50" s="2659"/>
      <c r="DT50" s="2659"/>
      <c r="DU50" s="2659"/>
      <c r="DV50" s="2659"/>
      <c r="DW50" s="2659"/>
      <c r="DX50" s="2659"/>
      <c r="DY50" s="2659"/>
      <c r="DZ50" s="2659"/>
      <c r="EA50" s="2659"/>
      <c r="EB50" s="2659"/>
      <c r="EC50" s="2659"/>
      <c r="ED50" s="2659"/>
      <c r="EE50" s="2659"/>
      <c r="EF50" s="2659"/>
      <c r="EG50" s="2659"/>
      <c r="EH50" s="2659"/>
      <c r="EI50" s="2659"/>
      <c r="EJ50" s="2659"/>
      <c r="EK50" s="2659"/>
      <c r="EL50" s="2659"/>
      <c r="EM50" s="2659"/>
      <c r="EN50" s="2659"/>
      <c r="EO50" s="2659"/>
      <c r="EP50" s="2659"/>
      <c r="EQ50" s="2659"/>
      <c r="ER50" s="2659"/>
      <c r="ES50" s="2659"/>
      <c r="ET50" s="2659"/>
      <c r="EU50" s="2659"/>
      <c r="EV50" s="2659"/>
      <c r="EW50" s="2659"/>
      <c r="EX50" s="2659"/>
      <c r="EY50" s="2659"/>
      <c r="EZ50" s="2659"/>
      <c r="FA50" s="2659"/>
      <c r="FB50" s="2659"/>
      <c r="FC50" s="2659"/>
      <c r="FD50" s="2659"/>
      <c r="FE50" s="2659"/>
      <c r="FF50" s="2659"/>
      <c r="FG50" s="2659"/>
      <c r="FH50" s="2659"/>
      <c r="FI50" s="2659"/>
      <c r="FJ50" s="2659"/>
      <c r="FK50" s="2659"/>
      <c r="FL50" s="2657"/>
    </row>
    <row r="51" spans="1:168" ht="16.5" customHeight="1" x14ac:dyDescent="0.3">
      <c r="A51" s="2655" t="s">
        <v>2552</v>
      </c>
      <c r="B51" s="2655" t="s">
        <v>2526</v>
      </c>
      <c r="C51" s="2656">
        <v>0</v>
      </c>
      <c r="D51" s="2656">
        <v>0</v>
      </c>
      <c r="E51" s="2656">
        <v>0</v>
      </c>
      <c r="F51" s="2656">
        <v>0</v>
      </c>
      <c r="G51" s="2656">
        <v>0</v>
      </c>
      <c r="H51" s="2656">
        <v>0</v>
      </c>
      <c r="I51" s="2656">
        <v>0</v>
      </c>
      <c r="J51" s="2656">
        <v>0</v>
      </c>
      <c r="K51" s="2656">
        <v>0</v>
      </c>
      <c r="L51" s="2656">
        <v>0</v>
      </c>
      <c r="M51" s="2656">
        <v>0</v>
      </c>
      <c r="N51" s="2656">
        <v>0</v>
      </c>
      <c r="O51" s="2656">
        <v>0</v>
      </c>
      <c r="P51" s="2656">
        <v>0</v>
      </c>
      <c r="Q51" s="2656">
        <v>0</v>
      </c>
      <c r="R51" s="2656">
        <v>0</v>
      </c>
      <c r="S51" s="2656">
        <v>0</v>
      </c>
      <c r="T51" s="2656">
        <v>0</v>
      </c>
      <c r="U51" s="2656">
        <v>0</v>
      </c>
      <c r="V51" s="2656">
        <v>0</v>
      </c>
      <c r="W51" s="2656">
        <v>0</v>
      </c>
      <c r="X51" s="2656">
        <v>0</v>
      </c>
      <c r="Y51" s="2656">
        <v>0</v>
      </c>
      <c r="Z51" s="2656">
        <v>0</v>
      </c>
      <c r="AA51" s="2656">
        <v>0</v>
      </c>
      <c r="AB51" s="2656">
        <v>0</v>
      </c>
      <c r="AC51" s="2656">
        <v>0</v>
      </c>
      <c r="AD51" s="2656">
        <v>0</v>
      </c>
      <c r="AE51" s="2656">
        <v>0</v>
      </c>
      <c r="AF51" s="2656">
        <v>0</v>
      </c>
      <c r="AG51" s="2656">
        <v>0</v>
      </c>
      <c r="AH51" s="2656">
        <v>0</v>
      </c>
      <c r="AI51" s="2656">
        <v>0</v>
      </c>
      <c r="AJ51" s="2656">
        <v>0</v>
      </c>
      <c r="AK51" s="2656">
        <v>0</v>
      </c>
      <c r="AL51" s="2656">
        <v>0</v>
      </c>
      <c r="AM51" s="2656">
        <v>0</v>
      </c>
      <c r="AN51" s="2656">
        <v>0</v>
      </c>
      <c r="AO51" s="2656">
        <v>0</v>
      </c>
      <c r="AP51" s="2656">
        <v>0</v>
      </c>
      <c r="AQ51" s="2656">
        <v>0</v>
      </c>
      <c r="AR51" s="2656">
        <v>0</v>
      </c>
      <c r="AS51" s="2656">
        <v>0</v>
      </c>
      <c r="AT51" s="2656">
        <v>0</v>
      </c>
      <c r="AU51" s="2656">
        <v>0</v>
      </c>
      <c r="AV51" s="2656">
        <v>0</v>
      </c>
      <c r="AW51" s="2656">
        <v>0</v>
      </c>
      <c r="AX51" s="2656">
        <v>0</v>
      </c>
      <c r="AY51" s="2656">
        <v>0</v>
      </c>
      <c r="AZ51" s="2656">
        <v>0</v>
      </c>
      <c r="BA51" s="2656">
        <v>0</v>
      </c>
      <c r="BB51" s="2656">
        <v>0</v>
      </c>
      <c r="BC51" s="2656">
        <v>0</v>
      </c>
      <c r="BD51" s="2656">
        <v>0</v>
      </c>
      <c r="BE51" s="2656">
        <v>0</v>
      </c>
      <c r="BF51" s="2656">
        <v>0</v>
      </c>
      <c r="BG51" s="2656">
        <v>0</v>
      </c>
      <c r="BH51" s="2656">
        <v>0</v>
      </c>
      <c r="BI51" s="2656">
        <v>0</v>
      </c>
      <c r="BJ51" s="2656">
        <v>0</v>
      </c>
      <c r="BK51" s="2656">
        <v>0</v>
      </c>
      <c r="BL51" s="2656">
        <v>0</v>
      </c>
      <c r="BM51" s="2656">
        <v>0</v>
      </c>
      <c r="BN51" s="2656">
        <v>0</v>
      </c>
      <c r="BO51" s="2656">
        <v>0</v>
      </c>
      <c r="BP51" s="2656">
        <v>0</v>
      </c>
      <c r="BQ51" s="2656">
        <v>0</v>
      </c>
      <c r="BR51" s="2656">
        <v>0</v>
      </c>
      <c r="BS51" s="2656">
        <v>0</v>
      </c>
      <c r="BT51" s="2656">
        <v>0</v>
      </c>
      <c r="BU51" s="2656">
        <v>0</v>
      </c>
      <c r="BV51" s="2656">
        <v>0</v>
      </c>
      <c r="BW51" s="2656">
        <v>0</v>
      </c>
      <c r="BX51" s="2656">
        <v>0</v>
      </c>
      <c r="BY51" s="2656">
        <v>0</v>
      </c>
      <c r="BZ51" s="2656">
        <v>0</v>
      </c>
      <c r="CA51" s="2656">
        <v>0</v>
      </c>
      <c r="CB51" s="2656">
        <v>0</v>
      </c>
      <c r="CC51" s="2656">
        <v>0</v>
      </c>
      <c r="CD51" s="2656">
        <v>0</v>
      </c>
      <c r="CE51" s="2656">
        <v>0</v>
      </c>
      <c r="CF51" s="2656">
        <v>0</v>
      </c>
      <c r="CG51" s="2656">
        <v>0</v>
      </c>
      <c r="CH51" s="2656">
        <v>0</v>
      </c>
      <c r="CI51" s="2656">
        <v>0</v>
      </c>
      <c r="CJ51" s="2656">
        <v>0</v>
      </c>
      <c r="CK51" s="2656">
        <v>0</v>
      </c>
      <c r="CL51" s="2656">
        <v>0</v>
      </c>
      <c r="CM51" s="2656">
        <v>0</v>
      </c>
      <c r="CN51" s="2656">
        <v>0</v>
      </c>
      <c r="CO51" s="2656">
        <v>0</v>
      </c>
      <c r="CP51" s="2656">
        <v>0</v>
      </c>
      <c r="CQ51" s="2656">
        <v>0</v>
      </c>
      <c r="CR51" s="2656">
        <v>0</v>
      </c>
      <c r="CS51" s="2656">
        <v>0</v>
      </c>
      <c r="CT51" s="2656">
        <v>0</v>
      </c>
      <c r="CU51" s="2656">
        <v>0</v>
      </c>
      <c r="CV51" s="2656">
        <v>0</v>
      </c>
      <c r="CW51" s="2656">
        <v>0</v>
      </c>
      <c r="CX51" s="2656">
        <v>0</v>
      </c>
      <c r="CY51" s="2656">
        <v>0</v>
      </c>
      <c r="CZ51" s="2656">
        <v>0</v>
      </c>
      <c r="DA51" s="2656">
        <v>0</v>
      </c>
      <c r="DB51" s="2656">
        <v>0</v>
      </c>
      <c r="DC51" s="2656">
        <v>0</v>
      </c>
      <c r="DD51" s="2656">
        <v>0</v>
      </c>
      <c r="DE51" s="2656">
        <v>0</v>
      </c>
      <c r="DF51" s="2656">
        <v>0</v>
      </c>
      <c r="DG51" s="2656">
        <v>0</v>
      </c>
      <c r="DH51" s="2656">
        <v>0</v>
      </c>
      <c r="DI51" s="2656">
        <v>0</v>
      </c>
      <c r="DJ51" s="2656">
        <v>0</v>
      </c>
      <c r="DK51" s="2656">
        <v>0</v>
      </c>
      <c r="DL51" s="2656">
        <v>0</v>
      </c>
      <c r="DM51" s="2656">
        <v>0</v>
      </c>
      <c r="DN51" s="2656">
        <v>0</v>
      </c>
      <c r="DO51" s="2656">
        <v>0</v>
      </c>
      <c r="DP51" s="2656">
        <v>0</v>
      </c>
      <c r="DQ51" s="2656">
        <v>0</v>
      </c>
      <c r="DR51" s="2656">
        <v>0</v>
      </c>
      <c r="DS51" s="2656">
        <v>0</v>
      </c>
      <c r="DT51" s="2656">
        <v>0</v>
      </c>
      <c r="DU51" s="2656">
        <v>0</v>
      </c>
      <c r="DV51" s="2656">
        <v>0</v>
      </c>
      <c r="DW51" s="2656">
        <v>0</v>
      </c>
      <c r="DX51" s="2656">
        <v>0</v>
      </c>
      <c r="DY51" s="2656">
        <v>0</v>
      </c>
      <c r="DZ51" s="2656">
        <v>0</v>
      </c>
      <c r="EA51" s="2656">
        <v>0</v>
      </c>
      <c r="EB51" s="2656">
        <v>0</v>
      </c>
      <c r="EC51" s="2656">
        <v>0</v>
      </c>
      <c r="ED51" s="2656">
        <v>0</v>
      </c>
      <c r="EE51" s="2656">
        <v>0</v>
      </c>
      <c r="EF51" s="2656">
        <v>0</v>
      </c>
      <c r="EG51" s="2656">
        <v>0</v>
      </c>
      <c r="EH51" s="2656">
        <v>0</v>
      </c>
      <c r="EI51" s="2656">
        <v>0</v>
      </c>
      <c r="EJ51" s="2656">
        <v>0</v>
      </c>
      <c r="EK51" s="2656">
        <v>0</v>
      </c>
      <c r="EL51" s="2656">
        <v>0</v>
      </c>
      <c r="EM51" s="2656">
        <v>0</v>
      </c>
      <c r="EN51" s="2656">
        <v>0</v>
      </c>
      <c r="EO51" s="2656">
        <v>0</v>
      </c>
      <c r="EP51" s="2656">
        <v>0</v>
      </c>
      <c r="EQ51" s="2656">
        <v>0</v>
      </c>
      <c r="ER51" s="2656">
        <v>0</v>
      </c>
      <c r="ES51" s="2656">
        <v>0</v>
      </c>
      <c r="ET51" s="2656">
        <v>0</v>
      </c>
      <c r="EU51" s="2656">
        <v>0</v>
      </c>
      <c r="EV51" s="2656">
        <v>0</v>
      </c>
      <c r="EW51" s="2656">
        <v>0</v>
      </c>
      <c r="EX51" s="2656">
        <v>0</v>
      </c>
      <c r="EY51" s="2656">
        <v>0</v>
      </c>
      <c r="EZ51" s="2656">
        <v>0</v>
      </c>
      <c r="FA51" s="2656">
        <v>0</v>
      </c>
      <c r="FB51" s="2656">
        <v>0</v>
      </c>
      <c r="FC51" s="2656">
        <v>0</v>
      </c>
      <c r="FD51" s="2656">
        <v>0</v>
      </c>
      <c r="FE51" s="2656">
        <v>0</v>
      </c>
      <c r="FF51" s="2656">
        <v>0</v>
      </c>
      <c r="FG51" s="2656">
        <v>0</v>
      </c>
      <c r="FH51" s="2656">
        <v>0</v>
      </c>
      <c r="FI51" s="2656">
        <v>0</v>
      </c>
      <c r="FJ51" s="2656">
        <v>0</v>
      </c>
      <c r="FK51" s="2656">
        <v>0</v>
      </c>
      <c r="FL51" s="2657"/>
    </row>
    <row r="52" spans="1:168" ht="16.5" customHeight="1" x14ac:dyDescent="0.3">
      <c r="A52" s="2658"/>
      <c r="B52" s="2658"/>
      <c r="C52" s="2659"/>
      <c r="D52" s="2659"/>
      <c r="E52" s="2659"/>
      <c r="F52" s="2659"/>
      <c r="G52" s="2659"/>
      <c r="H52" s="2659"/>
      <c r="I52" s="2659"/>
      <c r="J52" s="2659"/>
      <c r="K52" s="2659"/>
      <c r="L52" s="2659"/>
      <c r="M52" s="2659"/>
      <c r="N52" s="2659"/>
      <c r="O52" s="2659"/>
      <c r="P52" s="2659"/>
      <c r="Q52" s="2659"/>
      <c r="R52" s="2659"/>
      <c r="S52" s="2659"/>
      <c r="T52" s="2659"/>
      <c r="U52" s="2659"/>
      <c r="V52" s="2659"/>
      <c r="W52" s="2659"/>
      <c r="X52" s="2659"/>
      <c r="Y52" s="2659"/>
      <c r="Z52" s="2659"/>
      <c r="AA52" s="2659"/>
      <c r="AB52" s="2659"/>
      <c r="AC52" s="2659"/>
      <c r="AD52" s="2659"/>
      <c r="AE52" s="2659"/>
      <c r="AF52" s="2659"/>
      <c r="AG52" s="2659"/>
      <c r="AH52" s="2659"/>
      <c r="AI52" s="2659"/>
      <c r="AJ52" s="2659"/>
      <c r="AK52" s="2659"/>
      <c r="AL52" s="2659"/>
      <c r="AM52" s="2659"/>
      <c r="AN52" s="2659"/>
      <c r="AO52" s="2659"/>
      <c r="AP52" s="2659"/>
      <c r="AQ52" s="2659"/>
      <c r="AR52" s="2659"/>
      <c r="AS52" s="2659"/>
      <c r="AT52" s="2659"/>
      <c r="AU52" s="2659"/>
      <c r="AV52" s="2659"/>
      <c r="AW52" s="2659"/>
      <c r="AX52" s="2659"/>
      <c r="AY52" s="2659"/>
      <c r="AZ52" s="2659"/>
      <c r="BA52" s="2659"/>
      <c r="BB52" s="2659"/>
      <c r="BC52" s="2659"/>
      <c r="BD52" s="2659"/>
      <c r="BE52" s="2659"/>
      <c r="BF52" s="2659"/>
      <c r="BG52" s="2659"/>
      <c r="BH52" s="2659"/>
      <c r="BI52" s="2659"/>
      <c r="BJ52" s="2659"/>
      <c r="BK52" s="2659"/>
      <c r="BL52" s="2659"/>
      <c r="BM52" s="2659"/>
      <c r="BN52" s="2659"/>
      <c r="BO52" s="2659"/>
      <c r="BP52" s="2659"/>
      <c r="BQ52" s="2659"/>
      <c r="BR52" s="2659"/>
      <c r="BS52" s="2659"/>
      <c r="BT52" s="2659"/>
      <c r="BU52" s="2659"/>
      <c r="BV52" s="2659"/>
      <c r="BW52" s="2659"/>
      <c r="BX52" s="2659"/>
      <c r="BY52" s="2659"/>
      <c r="BZ52" s="2659"/>
      <c r="CA52" s="2659"/>
      <c r="CB52" s="2659"/>
      <c r="CC52" s="2659"/>
      <c r="CD52" s="2659"/>
      <c r="CE52" s="2659"/>
      <c r="CF52" s="2659"/>
      <c r="CG52" s="2659"/>
      <c r="CH52" s="2659"/>
      <c r="CI52" s="2659"/>
      <c r="CJ52" s="2659"/>
      <c r="CK52" s="2659"/>
      <c r="CL52" s="2659"/>
      <c r="CM52" s="2659"/>
      <c r="CN52" s="2659"/>
      <c r="CO52" s="2659"/>
      <c r="CP52" s="2659"/>
      <c r="CQ52" s="2659"/>
      <c r="CR52" s="2659"/>
      <c r="CS52" s="2659"/>
      <c r="CT52" s="2659"/>
      <c r="CU52" s="2659"/>
      <c r="CV52" s="2659"/>
      <c r="CW52" s="2659"/>
      <c r="CX52" s="2659"/>
      <c r="CY52" s="2659"/>
      <c r="CZ52" s="2659"/>
      <c r="DA52" s="2659"/>
      <c r="DB52" s="2659"/>
      <c r="DC52" s="2659"/>
      <c r="DD52" s="2659"/>
      <c r="DE52" s="2659"/>
      <c r="DF52" s="2659"/>
      <c r="DG52" s="2659"/>
      <c r="DH52" s="2659"/>
      <c r="DI52" s="2659"/>
      <c r="DJ52" s="2659"/>
      <c r="DK52" s="2659"/>
      <c r="DL52" s="2659"/>
      <c r="DM52" s="2659"/>
      <c r="DN52" s="2659"/>
      <c r="DO52" s="2659"/>
      <c r="DP52" s="2659"/>
      <c r="DQ52" s="2659"/>
      <c r="DR52" s="2659"/>
      <c r="DS52" s="2659"/>
      <c r="DT52" s="2659"/>
      <c r="DU52" s="2659"/>
      <c r="DV52" s="2659"/>
      <c r="DW52" s="2659"/>
      <c r="DX52" s="2659"/>
      <c r="DY52" s="2659"/>
      <c r="DZ52" s="2659"/>
      <c r="EA52" s="2659"/>
      <c r="EB52" s="2659"/>
      <c r="EC52" s="2659"/>
      <c r="ED52" s="2659"/>
      <c r="EE52" s="2659"/>
      <c r="EF52" s="2659"/>
      <c r="EG52" s="2659"/>
      <c r="EH52" s="2659"/>
      <c r="EI52" s="2659"/>
      <c r="EJ52" s="2659"/>
      <c r="EK52" s="2659"/>
      <c r="EL52" s="2659"/>
      <c r="EM52" s="2659"/>
      <c r="EN52" s="2659"/>
      <c r="EO52" s="2659"/>
      <c r="EP52" s="2659"/>
      <c r="EQ52" s="2659"/>
      <c r="ER52" s="2659"/>
      <c r="ES52" s="2659"/>
      <c r="ET52" s="2659"/>
      <c r="EU52" s="2659"/>
      <c r="EV52" s="2659"/>
      <c r="EW52" s="2659"/>
      <c r="EX52" s="2659"/>
      <c r="EY52" s="2659"/>
      <c r="EZ52" s="2659"/>
      <c r="FA52" s="2659"/>
      <c r="FB52" s="2659"/>
      <c r="FC52" s="2659"/>
      <c r="FD52" s="2659"/>
      <c r="FE52" s="2659"/>
      <c r="FF52" s="2659"/>
      <c r="FG52" s="2659"/>
      <c r="FH52" s="2659"/>
      <c r="FI52" s="2659"/>
      <c r="FJ52" s="2659"/>
      <c r="FK52" s="2659"/>
      <c r="FL52" s="2657"/>
    </row>
    <row r="53" spans="1:168" ht="16.5" customHeight="1" x14ac:dyDescent="0.3">
      <c r="A53" s="2655" t="s">
        <v>2553</v>
      </c>
      <c r="B53" s="2655" t="s">
        <v>2528</v>
      </c>
      <c r="C53" s="2656">
        <v>0</v>
      </c>
      <c r="D53" s="2656">
        <v>0</v>
      </c>
      <c r="E53" s="2656">
        <v>0</v>
      </c>
      <c r="F53" s="2656">
        <v>0</v>
      </c>
      <c r="G53" s="2656">
        <v>0</v>
      </c>
      <c r="H53" s="2656">
        <v>0</v>
      </c>
      <c r="I53" s="2656">
        <v>0</v>
      </c>
      <c r="J53" s="2656">
        <v>0</v>
      </c>
      <c r="K53" s="2656">
        <v>0</v>
      </c>
      <c r="L53" s="2656">
        <v>0</v>
      </c>
      <c r="M53" s="2656">
        <v>0</v>
      </c>
      <c r="N53" s="2656">
        <v>0</v>
      </c>
      <c r="O53" s="2656">
        <v>0</v>
      </c>
      <c r="P53" s="2656">
        <v>0</v>
      </c>
      <c r="Q53" s="2656">
        <v>0</v>
      </c>
      <c r="R53" s="2656">
        <v>0</v>
      </c>
      <c r="S53" s="2656">
        <v>0</v>
      </c>
      <c r="T53" s="2656">
        <v>0</v>
      </c>
      <c r="U53" s="2656">
        <v>0</v>
      </c>
      <c r="V53" s="2656">
        <v>0</v>
      </c>
      <c r="W53" s="2656">
        <v>0</v>
      </c>
      <c r="X53" s="2656">
        <v>0</v>
      </c>
      <c r="Y53" s="2656">
        <v>0</v>
      </c>
      <c r="Z53" s="2656">
        <v>0</v>
      </c>
      <c r="AA53" s="2656">
        <v>0</v>
      </c>
      <c r="AB53" s="2656">
        <v>0</v>
      </c>
      <c r="AC53" s="2656">
        <v>0</v>
      </c>
      <c r="AD53" s="2656">
        <v>0</v>
      </c>
      <c r="AE53" s="2656">
        <v>0</v>
      </c>
      <c r="AF53" s="2656">
        <v>0</v>
      </c>
      <c r="AG53" s="2656">
        <v>0</v>
      </c>
      <c r="AH53" s="2656">
        <v>0</v>
      </c>
      <c r="AI53" s="2656">
        <v>0</v>
      </c>
      <c r="AJ53" s="2656">
        <v>0</v>
      </c>
      <c r="AK53" s="2656">
        <v>0</v>
      </c>
      <c r="AL53" s="2656">
        <v>0</v>
      </c>
      <c r="AM53" s="2656">
        <v>0</v>
      </c>
      <c r="AN53" s="2656">
        <v>0</v>
      </c>
      <c r="AO53" s="2656">
        <v>0</v>
      </c>
      <c r="AP53" s="2656">
        <v>0</v>
      </c>
      <c r="AQ53" s="2656">
        <v>0</v>
      </c>
      <c r="AR53" s="2656">
        <v>0</v>
      </c>
      <c r="AS53" s="2656">
        <v>0</v>
      </c>
      <c r="AT53" s="2656">
        <v>0</v>
      </c>
      <c r="AU53" s="2656">
        <v>0</v>
      </c>
      <c r="AV53" s="2656">
        <v>0</v>
      </c>
      <c r="AW53" s="2656">
        <v>0</v>
      </c>
      <c r="AX53" s="2656">
        <v>0</v>
      </c>
      <c r="AY53" s="2656">
        <v>0</v>
      </c>
      <c r="AZ53" s="2656">
        <v>0</v>
      </c>
      <c r="BA53" s="2656">
        <v>0</v>
      </c>
      <c r="BB53" s="2656">
        <v>0</v>
      </c>
      <c r="BC53" s="2656">
        <v>0</v>
      </c>
      <c r="BD53" s="2656">
        <v>0</v>
      </c>
      <c r="BE53" s="2656">
        <v>0</v>
      </c>
      <c r="BF53" s="2656">
        <v>0</v>
      </c>
      <c r="BG53" s="2656">
        <v>0</v>
      </c>
      <c r="BH53" s="2656">
        <v>0</v>
      </c>
      <c r="BI53" s="2656">
        <v>0</v>
      </c>
      <c r="BJ53" s="2656">
        <v>0</v>
      </c>
      <c r="BK53" s="2656">
        <v>0</v>
      </c>
      <c r="BL53" s="2656">
        <v>0</v>
      </c>
      <c r="BM53" s="2656">
        <v>0</v>
      </c>
      <c r="BN53" s="2656">
        <v>0</v>
      </c>
      <c r="BO53" s="2656">
        <v>0</v>
      </c>
      <c r="BP53" s="2656">
        <v>0</v>
      </c>
      <c r="BQ53" s="2656">
        <v>0</v>
      </c>
      <c r="BR53" s="2656">
        <v>0</v>
      </c>
      <c r="BS53" s="2656">
        <v>0</v>
      </c>
      <c r="BT53" s="2656">
        <v>0</v>
      </c>
      <c r="BU53" s="2656">
        <v>0</v>
      </c>
      <c r="BV53" s="2656">
        <v>0</v>
      </c>
      <c r="BW53" s="2656">
        <v>0</v>
      </c>
      <c r="BX53" s="2656">
        <v>0</v>
      </c>
      <c r="BY53" s="2656">
        <v>0</v>
      </c>
      <c r="BZ53" s="2656">
        <v>0</v>
      </c>
      <c r="CA53" s="2656">
        <v>0</v>
      </c>
      <c r="CB53" s="2656">
        <v>0</v>
      </c>
      <c r="CC53" s="2656">
        <v>0</v>
      </c>
      <c r="CD53" s="2656">
        <v>0</v>
      </c>
      <c r="CE53" s="2656">
        <v>0</v>
      </c>
      <c r="CF53" s="2656">
        <v>0</v>
      </c>
      <c r="CG53" s="2656">
        <v>0</v>
      </c>
      <c r="CH53" s="2656">
        <v>0</v>
      </c>
      <c r="CI53" s="2656">
        <v>0</v>
      </c>
      <c r="CJ53" s="2656">
        <v>0</v>
      </c>
      <c r="CK53" s="2656">
        <v>0</v>
      </c>
      <c r="CL53" s="2656">
        <v>0</v>
      </c>
      <c r="CM53" s="2656">
        <v>0</v>
      </c>
      <c r="CN53" s="2656">
        <v>0</v>
      </c>
      <c r="CO53" s="2656">
        <v>0</v>
      </c>
      <c r="CP53" s="2656">
        <v>0</v>
      </c>
      <c r="CQ53" s="2656">
        <v>0</v>
      </c>
      <c r="CR53" s="2656">
        <v>0</v>
      </c>
      <c r="CS53" s="2656">
        <v>0</v>
      </c>
      <c r="CT53" s="2656">
        <v>0</v>
      </c>
      <c r="CU53" s="2656">
        <v>0</v>
      </c>
      <c r="CV53" s="2656">
        <v>0</v>
      </c>
      <c r="CW53" s="2656">
        <v>0</v>
      </c>
      <c r="CX53" s="2656">
        <v>0</v>
      </c>
      <c r="CY53" s="2656">
        <v>0</v>
      </c>
      <c r="CZ53" s="2656">
        <v>0</v>
      </c>
      <c r="DA53" s="2656">
        <v>0</v>
      </c>
      <c r="DB53" s="2656">
        <v>0</v>
      </c>
      <c r="DC53" s="2656">
        <v>0</v>
      </c>
      <c r="DD53" s="2656">
        <v>0</v>
      </c>
      <c r="DE53" s="2656">
        <v>0</v>
      </c>
      <c r="DF53" s="2656">
        <v>0</v>
      </c>
      <c r="DG53" s="2656">
        <v>0</v>
      </c>
      <c r="DH53" s="2656">
        <v>0</v>
      </c>
      <c r="DI53" s="2656">
        <v>0</v>
      </c>
      <c r="DJ53" s="2656">
        <v>0</v>
      </c>
      <c r="DK53" s="2656">
        <v>0</v>
      </c>
      <c r="DL53" s="2656">
        <v>0</v>
      </c>
      <c r="DM53" s="2656">
        <v>0</v>
      </c>
      <c r="DN53" s="2656">
        <v>0</v>
      </c>
      <c r="DO53" s="2656">
        <v>0</v>
      </c>
      <c r="DP53" s="2656">
        <v>0</v>
      </c>
      <c r="DQ53" s="2656">
        <v>0</v>
      </c>
      <c r="DR53" s="2656">
        <v>0</v>
      </c>
      <c r="DS53" s="2656">
        <v>0</v>
      </c>
      <c r="DT53" s="2656">
        <v>0</v>
      </c>
      <c r="DU53" s="2656">
        <v>0</v>
      </c>
      <c r="DV53" s="2656">
        <v>0</v>
      </c>
      <c r="DW53" s="2656">
        <v>0</v>
      </c>
      <c r="DX53" s="2656">
        <v>0</v>
      </c>
      <c r="DY53" s="2656">
        <v>0</v>
      </c>
      <c r="DZ53" s="2656">
        <v>0</v>
      </c>
      <c r="EA53" s="2656">
        <v>0</v>
      </c>
      <c r="EB53" s="2656">
        <v>0</v>
      </c>
      <c r="EC53" s="2656">
        <v>0</v>
      </c>
      <c r="ED53" s="2656">
        <v>0</v>
      </c>
      <c r="EE53" s="2656">
        <v>0</v>
      </c>
      <c r="EF53" s="2656">
        <v>0</v>
      </c>
      <c r="EG53" s="2656">
        <v>0</v>
      </c>
      <c r="EH53" s="2656">
        <v>0</v>
      </c>
      <c r="EI53" s="2656">
        <v>0</v>
      </c>
      <c r="EJ53" s="2656">
        <v>0</v>
      </c>
      <c r="EK53" s="2656">
        <v>0</v>
      </c>
      <c r="EL53" s="2656">
        <v>0</v>
      </c>
      <c r="EM53" s="2656">
        <v>0</v>
      </c>
      <c r="EN53" s="2656">
        <v>0</v>
      </c>
      <c r="EO53" s="2656">
        <v>0</v>
      </c>
      <c r="EP53" s="2656">
        <v>0</v>
      </c>
      <c r="EQ53" s="2656">
        <v>0</v>
      </c>
      <c r="ER53" s="2656">
        <v>0</v>
      </c>
      <c r="ES53" s="2656">
        <v>0</v>
      </c>
      <c r="ET53" s="2656">
        <v>0</v>
      </c>
      <c r="EU53" s="2656">
        <v>0</v>
      </c>
      <c r="EV53" s="2656">
        <v>0</v>
      </c>
      <c r="EW53" s="2656">
        <v>0</v>
      </c>
      <c r="EX53" s="2656">
        <v>0</v>
      </c>
      <c r="EY53" s="2656">
        <v>0</v>
      </c>
      <c r="EZ53" s="2656">
        <v>0</v>
      </c>
      <c r="FA53" s="2656">
        <v>0</v>
      </c>
      <c r="FB53" s="2656">
        <v>0</v>
      </c>
      <c r="FC53" s="2656">
        <v>0</v>
      </c>
      <c r="FD53" s="2656">
        <v>0</v>
      </c>
      <c r="FE53" s="2656">
        <v>0</v>
      </c>
      <c r="FF53" s="2656">
        <v>0</v>
      </c>
      <c r="FG53" s="2656">
        <v>0</v>
      </c>
      <c r="FH53" s="2656">
        <v>0</v>
      </c>
      <c r="FI53" s="2656">
        <v>0</v>
      </c>
      <c r="FJ53" s="2656">
        <v>0</v>
      </c>
      <c r="FK53" s="2656">
        <v>0</v>
      </c>
      <c r="FL53" s="2657"/>
    </row>
    <row r="54" spans="1:168" ht="16.5" customHeight="1" x14ac:dyDescent="0.3">
      <c r="A54" s="2658"/>
      <c r="B54" s="2658"/>
      <c r="C54" s="2659"/>
      <c r="D54" s="2659"/>
      <c r="E54" s="2659"/>
      <c r="F54" s="2659"/>
      <c r="G54" s="2659"/>
      <c r="H54" s="2659"/>
      <c r="I54" s="2659"/>
      <c r="J54" s="2659"/>
      <c r="K54" s="2659"/>
      <c r="L54" s="2659"/>
      <c r="M54" s="2659"/>
      <c r="N54" s="2659"/>
      <c r="O54" s="2659"/>
      <c r="P54" s="2659"/>
      <c r="Q54" s="2659"/>
      <c r="R54" s="2659"/>
      <c r="S54" s="2659"/>
      <c r="T54" s="2659"/>
      <c r="U54" s="2659"/>
      <c r="V54" s="2659"/>
      <c r="W54" s="2659"/>
      <c r="X54" s="2659"/>
      <c r="Y54" s="2659"/>
      <c r="Z54" s="2659"/>
      <c r="AA54" s="2659"/>
      <c r="AB54" s="2659"/>
      <c r="AC54" s="2659"/>
      <c r="AD54" s="2659"/>
      <c r="AE54" s="2659"/>
      <c r="AF54" s="2659"/>
      <c r="AG54" s="2659"/>
      <c r="AH54" s="2659"/>
      <c r="AI54" s="2659"/>
      <c r="AJ54" s="2659"/>
      <c r="AK54" s="2659"/>
      <c r="AL54" s="2659"/>
      <c r="AM54" s="2659"/>
      <c r="AN54" s="2659"/>
      <c r="AO54" s="2659"/>
      <c r="AP54" s="2659"/>
      <c r="AQ54" s="2659"/>
      <c r="AR54" s="2659"/>
      <c r="AS54" s="2659"/>
      <c r="AT54" s="2659"/>
      <c r="AU54" s="2659"/>
      <c r="AV54" s="2659"/>
      <c r="AW54" s="2659"/>
      <c r="AX54" s="2659"/>
      <c r="AY54" s="2659"/>
      <c r="AZ54" s="2659"/>
      <c r="BA54" s="2659"/>
      <c r="BB54" s="2659"/>
      <c r="BC54" s="2659"/>
      <c r="BD54" s="2659"/>
      <c r="BE54" s="2659"/>
      <c r="BF54" s="2659"/>
      <c r="BG54" s="2659"/>
      <c r="BH54" s="2659"/>
      <c r="BI54" s="2659"/>
      <c r="BJ54" s="2659"/>
      <c r="BK54" s="2659"/>
      <c r="BL54" s="2659"/>
      <c r="BM54" s="2659"/>
      <c r="BN54" s="2659"/>
      <c r="BO54" s="2659"/>
      <c r="BP54" s="2659"/>
      <c r="BQ54" s="2659"/>
      <c r="BR54" s="2659"/>
      <c r="BS54" s="2659"/>
      <c r="BT54" s="2659"/>
      <c r="BU54" s="2659"/>
      <c r="BV54" s="2659"/>
      <c r="BW54" s="2659"/>
      <c r="BX54" s="2659"/>
      <c r="BY54" s="2659"/>
      <c r="BZ54" s="2659"/>
      <c r="CA54" s="2659"/>
      <c r="CB54" s="2659"/>
      <c r="CC54" s="2659"/>
      <c r="CD54" s="2659"/>
      <c r="CE54" s="2659"/>
      <c r="CF54" s="2659"/>
      <c r="CG54" s="2659"/>
      <c r="CH54" s="2659"/>
      <c r="CI54" s="2659"/>
      <c r="CJ54" s="2659"/>
      <c r="CK54" s="2659"/>
      <c r="CL54" s="2659"/>
      <c r="CM54" s="2659"/>
      <c r="CN54" s="2659"/>
      <c r="CO54" s="2659"/>
      <c r="CP54" s="2659"/>
      <c r="CQ54" s="2659"/>
      <c r="CR54" s="2659"/>
      <c r="CS54" s="2659"/>
      <c r="CT54" s="2659"/>
      <c r="CU54" s="2659"/>
      <c r="CV54" s="2659"/>
      <c r="CW54" s="2659"/>
      <c r="CX54" s="2659"/>
      <c r="CY54" s="2659"/>
      <c r="CZ54" s="2659"/>
      <c r="DA54" s="2659"/>
      <c r="DB54" s="2659"/>
      <c r="DC54" s="2659"/>
      <c r="DD54" s="2659"/>
      <c r="DE54" s="2659"/>
      <c r="DF54" s="2659"/>
      <c r="DG54" s="2659"/>
      <c r="DH54" s="2659"/>
      <c r="DI54" s="2659"/>
      <c r="DJ54" s="2659"/>
      <c r="DK54" s="2659"/>
      <c r="DL54" s="2659"/>
      <c r="DM54" s="2659"/>
      <c r="DN54" s="2659"/>
      <c r="DO54" s="2659"/>
      <c r="DP54" s="2659"/>
      <c r="DQ54" s="2659"/>
      <c r="DR54" s="2659"/>
      <c r="DS54" s="2659"/>
      <c r="DT54" s="2659"/>
      <c r="DU54" s="2659"/>
      <c r="DV54" s="2659"/>
      <c r="DW54" s="2659"/>
      <c r="DX54" s="2659"/>
      <c r="DY54" s="2659"/>
      <c r="DZ54" s="2659"/>
      <c r="EA54" s="2659"/>
      <c r="EB54" s="2659"/>
      <c r="EC54" s="2659"/>
      <c r="ED54" s="2659"/>
      <c r="EE54" s="2659"/>
      <c r="EF54" s="2659"/>
      <c r="EG54" s="2659"/>
      <c r="EH54" s="2659"/>
      <c r="EI54" s="2659"/>
      <c r="EJ54" s="2659"/>
      <c r="EK54" s="2659"/>
      <c r="EL54" s="2659"/>
      <c r="EM54" s="2659"/>
      <c r="EN54" s="2659"/>
      <c r="EO54" s="2659"/>
      <c r="EP54" s="2659"/>
      <c r="EQ54" s="2659"/>
      <c r="ER54" s="2659"/>
      <c r="ES54" s="2659"/>
      <c r="ET54" s="2659"/>
      <c r="EU54" s="2659"/>
      <c r="EV54" s="2659"/>
      <c r="EW54" s="2659"/>
      <c r="EX54" s="2659"/>
      <c r="EY54" s="2659"/>
      <c r="EZ54" s="2659"/>
      <c r="FA54" s="2659"/>
      <c r="FB54" s="2659"/>
      <c r="FC54" s="2659"/>
      <c r="FD54" s="2659"/>
      <c r="FE54" s="2659"/>
      <c r="FF54" s="2659"/>
      <c r="FG54" s="2659"/>
      <c r="FH54" s="2659"/>
      <c r="FI54" s="2659"/>
      <c r="FJ54" s="2659"/>
      <c r="FK54" s="2659"/>
      <c r="FL54" s="2657"/>
    </row>
    <row r="55" spans="1:168" ht="16.5" customHeight="1" x14ac:dyDescent="0.3">
      <c r="A55" s="2655" t="s">
        <v>2554</v>
      </c>
      <c r="B55" s="2655" t="s">
        <v>2555</v>
      </c>
      <c r="C55" s="2656">
        <v>538.21283592999998</v>
      </c>
      <c r="D55" s="2656">
        <v>486.14490092999995</v>
      </c>
      <c r="E55" s="2656">
        <v>618.69126218000008</v>
      </c>
      <c r="F55" s="2656">
        <v>512.37668000999997</v>
      </c>
      <c r="G55" s="2656">
        <v>590.64657192999994</v>
      </c>
      <c r="H55" s="2656">
        <v>929.23720615000002</v>
      </c>
      <c r="I55" s="2656">
        <v>2338.0420034099998</v>
      </c>
      <c r="J55" s="2656">
        <v>927.75824321999994</v>
      </c>
      <c r="K55" s="2656">
        <v>1072.1266438399998</v>
      </c>
      <c r="L55" s="2656">
        <v>1049.9736225899999</v>
      </c>
      <c r="M55" s="2656">
        <v>921.2037224899999</v>
      </c>
      <c r="N55" s="2656">
        <v>975.29421922999995</v>
      </c>
      <c r="O55" s="2656">
        <v>1179.0680737399998</v>
      </c>
      <c r="P55" s="2656">
        <v>845.18880186000001</v>
      </c>
      <c r="Q55" s="2656">
        <v>867.82027834999997</v>
      </c>
      <c r="R55" s="2656">
        <v>1070.84335545</v>
      </c>
      <c r="S55" s="2656">
        <v>1155.9288818900002</v>
      </c>
      <c r="T55" s="2656">
        <v>1215.97244467</v>
      </c>
      <c r="U55" s="2656">
        <v>1354.25470415</v>
      </c>
      <c r="V55" s="2656">
        <v>1353.74939073</v>
      </c>
      <c r="W55" s="2656">
        <v>978.95630284999993</v>
      </c>
      <c r="X55" s="2656">
        <v>1123.9420090399999</v>
      </c>
      <c r="Y55" s="2656">
        <v>1187.4279252400001</v>
      </c>
      <c r="Z55" s="2656">
        <v>1138.04615612</v>
      </c>
      <c r="AA55" s="2656">
        <v>1126.1566596799998</v>
      </c>
      <c r="AB55" s="2656">
        <v>1034.2038716699999</v>
      </c>
      <c r="AC55" s="2656">
        <v>1047.56163956</v>
      </c>
      <c r="AD55" s="2656">
        <v>1100.7612842200001</v>
      </c>
      <c r="AE55" s="2656">
        <v>1237.1838996199999</v>
      </c>
      <c r="AF55" s="2656">
        <v>911.68682326999988</v>
      </c>
      <c r="AG55" s="2656">
        <v>1625.31888514</v>
      </c>
      <c r="AH55" s="2656">
        <v>1549.26650855</v>
      </c>
      <c r="AI55" s="2656">
        <v>1568.3670513499999</v>
      </c>
      <c r="AJ55" s="2656">
        <v>1263.2788130399999</v>
      </c>
      <c r="AK55" s="2656">
        <v>1250.9957634699999</v>
      </c>
      <c r="AL55" s="2656">
        <v>1312.9801299100004</v>
      </c>
      <c r="AM55" s="2656">
        <v>1373.2369780400002</v>
      </c>
      <c r="AN55" s="2656">
        <v>1294.51844523</v>
      </c>
      <c r="AO55" s="2656">
        <v>1309.22184118</v>
      </c>
      <c r="AP55" s="2656">
        <v>1381.3287188100001</v>
      </c>
      <c r="AQ55" s="2656">
        <v>1284.6913234800343</v>
      </c>
      <c r="AR55" s="2656">
        <v>1128.0638976000148</v>
      </c>
      <c r="AS55" s="2656">
        <v>1389.1377747299755</v>
      </c>
      <c r="AT55" s="2656">
        <v>1621.9914351249708</v>
      </c>
      <c r="AU55" s="2656">
        <v>1429.9281341417975</v>
      </c>
      <c r="AV55" s="2656">
        <v>1350.8092643812051</v>
      </c>
      <c r="AW55" s="2656">
        <v>1363.481055648788</v>
      </c>
      <c r="AX55" s="2656">
        <v>1481.0242033974096</v>
      </c>
      <c r="AY55" s="2656">
        <v>1369.1390704724565</v>
      </c>
      <c r="AZ55" s="2656">
        <v>1211.890613675366</v>
      </c>
      <c r="BA55" s="2656">
        <v>1287.3444427282561</v>
      </c>
      <c r="BB55" s="2656">
        <v>1167.436104729722</v>
      </c>
      <c r="BC55" s="2656">
        <v>1144.7062325860024</v>
      </c>
      <c r="BD55" s="2656">
        <v>1185.1920070913661</v>
      </c>
      <c r="BE55" s="2656">
        <v>1296.546781784871</v>
      </c>
      <c r="BF55" s="2656">
        <v>1254.3451458262853</v>
      </c>
      <c r="BG55" s="2656">
        <v>1264.0378001964027</v>
      </c>
      <c r="BH55" s="2656">
        <v>1616.3914386308027</v>
      </c>
      <c r="BI55" s="2656">
        <v>1627.2223627918927</v>
      </c>
      <c r="BJ55" s="2656">
        <v>1842.6271117917099</v>
      </c>
      <c r="BK55" s="2656">
        <v>1628.6121597820661</v>
      </c>
      <c r="BL55" s="2656">
        <v>1622.6072468596196</v>
      </c>
      <c r="BM55" s="2656">
        <v>1753.2287598542005</v>
      </c>
      <c r="BN55" s="2656">
        <v>1650.7368296397069</v>
      </c>
      <c r="BO55" s="2656">
        <v>1651.2165607760658</v>
      </c>
      <c r="BP55" s="2656">
        <v>1634.1071258180323</v>
      </c>
      <c r="BQ55" s="2656">
        <v>1607.1944808551614</v>
      </c>
      <c r="BR55" s="2656">
        <v>1683.5871585070154</v>
      </c>
      <c r="BS55" s="2656">
        <v>1737.6267725551986</v>
      </c>
      <c r="BT55" s="2656">
        <v>1787.4163761315695</v>
      </c>
      <c r="BU55" s="2656">
        <v>1726.2648159954565</v>
      </c>
      <c r="BV55" s="2656">
        <v>1696.2638843331699</v>
      </c>
      <c r="BW55" s="2656">
        <v>1654.1694700219739</v>
      </c>
      <c r="BX55" s="2656">
        <v>1645.8527529404216</v>
      </c>
      <c r="BY55" s="2656">
        <v>1734.638064467526</v>
      </c>
      <c r="BZ55" s="2656">
        <v>1658.682799772517</v>
      </c>
      <c r="CA55" s="2656">
        <v>1593.5124513526839</v>
      </c>
      <c r="CB55" s="2656">
        <v>1637.6252399420525</v>
      </c>
      <c r="CC55" s="2656">
        <v>1872.1568749508695</v>
      </c>
      <c r="CD55" s="2656">
        <v>1516.6241633027223</v>
      </c>
      <c r="CE55" s="2656">
        <v>1586.4102300464212</v>
      </c>
      <c r="CF55" s="2656">
        <v>2183.0596216864255</v>
      </c>
      <c r="CG55" s="2656">
        <v>2250.2051788465233</v>
      </c>
      <c r="CH55" s="2656">
        <v>2308.0768964665244</v>
      </c>
      <c r="CI55" s="2656">
        <v>1881.9393131364548</v>
      </c>
      <c r="CJ55" s="2656">
        <v>1911.0533564864943</v>
      </c>
      <c r="CK55" s="2656">
        <v>2037.3547660964705</v>
      </c>
      <c r="CL55" s="2656">
        <v>2139.0195345465113</v>
      </c>
      <c r="CM55" s="2656">
        <v>2148.7085172564502</v>
      </c>
      <c r="CN55" s="2656">
        <v>2830.0326603264839</v>
      </c>
      <c r="CO55" s="2656">
        <v>2845.1891382465219</v>
      </c>
      <c r="CP55" s="2656">
        <v>2712.7358011565466</v>
      </c>
      <c r="CQ55" s="2656">
        <v>2766.1765475265047</v>
      </c>
      <c r="CR55" s="2656">
        <v>2884.1899727164759</v>
      </c>
      <c r="CS55" s="2656">
        <v>2341.8427289465762</v>
      </c>
      <c r="CT55" s="2656">
        <v>2286.1076339160436</v>
      </c>
      <c r="CU55" s="2656">
        <v>2341.9953491364554</v>
      </c>
      <c r="CV55" s="2656">
        <v>1930.0376910963555</v>
      </c>
      <c r="CW55" s="2656">
        <v>1859.9959418120668</v>
      </c>
      <c r="CX55" s="2656">
        <v>1905.0163147011099</v>
      </c>
      <c r="CY55" s="2656">
        <v>1912.03888268941</v>
      </c>
      <c r="CZ55" s="2656">
        <v>1722.5373578516819</v>
      </c>
      <c r="DA55" s="2656">
        <v>1532.2508873923521</v>
      </c>
      <c r="DB55" s="2656">
        <v>1265.0870479198193</v>
      </c>
      <c r="DC55" s="2656">
        <v>1103.1639609812767</v>
      </c>
      <c r="DD55" s="2656">
        <v>1717.9416745223887</v>
      </c>
      <c r="DE55" s="2656">
        <v>1598.5313476312404</v>
      </c>
      <c r="DF55" s="2656">
        <v>1313.5426582514715</v>
      </c>
      <c r="DG55" s="2656">
        <v>891.60289957732687</v>
      </c>
      <c r="DH55" s="2656">
        <v>1252.0456227899999</v>
      </c>
      <c r="DI55" s="2656">
        <v>1056.2499061896556</v>
      </c>
      <c r="DJ55" s="2656">
        <v>899.67953126834391</v>
      </c>
      <c r="DK55" s="2656">
        <v>904.07432895990348</v>
      </c>
      <c r="DL55" s="2656">
        <v>612.19120356318092</v>
      </c>
      <c r="DM55" s="2656">
        <v>2640.4207892121403</v>
      </c>
      <c r="DN55" s="2656">
        <v>2578.2505624195401</v>
      </c>
      <c r="DO55" s="2656">
        <v>2473.3718218776462</v>
      </c>
      <c r="DP55" s="2656">
        <v>2408.0192686869336</v>
      </c>
      <c r="DQ55" s="2656">
        <v>2386.8891345600923</v>
      </c>
      <c r="DR55" s="2656">
        <v>2134.5995065035349</v>
      </c>
      <c r="DS55" s="2656">
        <v>1367.616504951804</v>
      </c>
      <c r="DT55" s="2656">
        <v>1173.0664875576329</v>
      </c>
      <c r="DU55" s="2656">
        <v>1623.2019536617893</v>
      </c>
      <c r="DV55" s="2656">
        <v>862.04535976816146</v>
      </c>
      <c r="DW55" s="2656">
        <v>635.51824941016127</v>
      </c>
      <c r="DX55" s="2656">
        <v>454.57915538021945</v>
      </c>
      <c r="DY55" s="2656">
        <v>3047.5280253620699</v>
      </c>
      <c r="DZ55" s="2656">
        <v>3032.207622197564</v>
      </c>
      <c r="EA55" s="2656">
        <v>7010.349267206343</v>
      </c>
      <c r="EB55" s="2656">
        <v>1234.5074823464502</v>
      </c>
      <c r="EC55" s="2656">
        <v>740.90879603649887</v>
      </c>
      <c r="ED55" s="2656">
        <v>1842.4301513489338</v>
      </c>
      <c r="EE55" s="2656">
        <v>1341.1716621715964</v>
      </c>
      <c r="EF55" s="2656">
        <v>1103.4634250198339</v>
      </c>
      <c r="EG55" s="2656">
        <v>1368.3607270971531</v>
      </c>
      <c r="EH55" s="2656">
        <v>617.19620753332504</v>
      </c>
      <c r="EI55" s="2656">
        <v>419.52602118588601</v>
      </c>
      <c r="EJ55" s="2656">
        <v>224.00052006215626</v>
      </c>
      <c r="EK55" s="2656">
        <v>2834.9588518736014</v>
      </c>
      <c r="EL55" s="2656">
        <v>2628.4679536464846</v>
      </c>
      <c r="EM55" s="2656">
        <v>2933.009351875306</v>
      </c>
      <c r="EN55" s="2656">
        <v>2721.2571710183447</v>
      </c>
      <c r="EO55" s="2656">
        <v>2091.5188870082793</v>
      </c>
      <c r="EP55" s="2656">
        <v>2376.6807474134521</v>
      </c>
      <c r="EQ55" s="2656">
        <v>2448.7904493451647</v>
      </c>
      <c r="ER55" s="2656">
        <v>1858.6771960051308</v>
      </c>
      <c r="ES55" s="2656">
        <v>1993.5152276473348</v>
      </c>
      <c r="ET55" s="2656">
        <v>1289.4983701741328</v>
      </c>
      <c r="EU55" s="2656">
        <v>1125.7190942515667</v>
      </c>
      <c r="EV55" s="2656">
        <v>4220.296202723137</v>
      </c>
      <c r="EW55" s="2656">
        <v>3866.4594752361008</v>
      </c>
      <c r="EX55" s="2656">
        <v>3555.3687317331933</v>
      </c>
      <c r="EY55" s="2656">
        <v>3375.7687253231811</v>
      </c>
      <c r="EZ55" s="2656">
        <v>3565.5983585519411</v>
      </c>
      <c r="FA55" s="2656">
        <v>16086.305599600671</v>
      </c>
      <c r="FB55" s="2656">
        <v>20818.507945022855</v>
      </c>
      <c r="FC55" s="2656">
        <v>2734.1001266676171</v>
      </c>
      <c r="FD55" s="2656">
        <v>2435.8164000421898</v>
      </c>
      <c r="FE55" s="2656">
        <v>5890.5048345157738</v>
      </c>
      <c r="FF55" s="2656">
        <v>1932.2970835701046</v>
      </c>
      <c r="FG55" s="2656">
        <v>1381.4764180048396</v>
      </c>
      <c r="FH55" s="2656">
        <v>856.42914435726959</v>
      </c>
      <c r="FI55" s="2656">
        <v>6403.0000521195971</v>
      </c>
      <c r="FJ55" s="2656">
        <v>5692.5291242755284</v>
      </c>
      <c r="FK55" s="2656">
        <v>5552.6895796198496</v>
      </c>
      <c r="FL55" s="2657"/>
    </row>
    <row r="56" spans="1:168" ht="16.5" customHeight="1" x14ac:dyDescent="0.3">
      <c r="A56" s="2658"/>
      <c r="B56" s="2658"/>
      <c r="C56" s="2659"/>
      <c r="D56" s="2659"/>
      <c r="E56" s="2659"/>
      <c r="F56" s="2659"/>
      <c r="G56" s="2659"/>
      <c r="H56" s="2659"/>
      <c r="I56" s="2659"/>
      <c r="J56" s="2659"/>
      <c r="K56" s="2659"/>
      <c r="L56" s="2659"/>
      <c r="M56" s="2659"/>
      <c r="N56" s="2659"/>
      <c r="O56" s="2659"/>
      <c r="P56" s="2659"/>
      <c r="Q56" s="2659"/>
      <c r="R56" s="2659"/>
      <c r="S56" s="2659"/>
      <c r="T56" s="2659"/>
      <c r="U56" s="2659"/>
      <c r="V56" s="2659"/>
      <c r="W56" s="2659"/>
      <c r="X56" s="2659"/>
      <c r="Y56" s="2659"/>
      <c r="Z56" s="2659"/>
      <c r="AA56" s="2659"/>
      <c r="AB56" s="2659"/>
      <c r="AC56" s="2659"/>
      <c r="AD56" s="2659"/>
      <c r="AE56" s="2659"/>
      <c r="AF56" s="2659"/>
      <c r="AG56" s="2659"/>
      <c r="AH56" s="2659"/>
      <c r="AI56" s="2659"/>
      <c r="AJ56" s="2659"/>
      <c r="AK56" s="2659"/>
      <c r="AL56" s="2659"/>
      <c r="AM56" s="2659"/>
      <c r="AN56" s="2659"/>
      <c r="AO56" s="2659"/>
      <c r="AP56" s="2659"/>
      <c r="AQ56" s="2659"/>
      <c r="AR56" s="2659"/>
      <c r="AS56" s="2659"/>
      <c r="AT56" s="2659"/>
      <c r="AU56" s="2659"/>
      <c r="AV56" s="2659"/>
      <c r="AW56" s="2659"/>
      <c r="AX56" s="2659"/>
      <c r="AY56" s="2659"/>
      <c r="AZ56" s="2659"/>
      <c r="BA56" s="2659"/>
      <c r="BB56" s="2659"/>
      <c r="BC56" s="2659"/>
      <c r="BD56" s="2659"/>
      <c r="BE56" s="2659"/>
      <c r="BF56" s="2659"/>
      <c r="BG56" s="2659"/>
      <c r="BH56" s="2659"/>
      <c r="BI56" s="2659"/>
      <c r="BJ56" s="2659"/>
      <c r="BK56" s="2659"/>
      <c r="BL56" s="2659"/>
      <c r="BM56" s="2659"/>
      <c r="BN56" s="2659"/>
      <c r="BO56" s="2659"/>
      <c r="BP56" s="2659"/>
      <c r="BQ56" s="2659"/>
      <c r="BR56" s="2659"/>
      <c r="BS56" s="2659"/>
      <c r="BT56" s="2659"/>
      <c r="BU56" s="2659"/>
      <c r="BV56" s="2659"/>
      <c r="BW56" s="2659"/>
      <c r="BX56" s="2659"/>
      <c r="BY56" s="2659"/>
      <c r="BZ56" s="2659"/>
      <c r="CA56" s="2659"/>
      <c r="CB56" s="2659"/>
      <c r="CC56" s="2659"/>
      <c r="CD56" s="2659"/>
      <c r="CE56" s="2659"/>
      <c r="CF56" s="2659"/>
      <c r="CG56" s="2659"/>
      <c r="CH56" s="2659"/>
      <c r="CI56" s="2659"/>
      <c r="CJ56" s="2659"/>
      <c r="CK56" s="2659"/>
      <c r="CL56" s="2659"/>
      <c r="CM56" s="2659"/>
      <c r="CN56" s="2659"/>
      <c r="CO56" s="2659"/>
      <c r="CP56" s="2659"/>
      <c r="CQ56" s="2659"/>
      <c r="CR56" s="2659"/>
      <c r="CS56" s="2659"/>
      <c r="CT56" s="2659"/>
      <c r="CU56" s="2659"/>
      <c r="CV56" s="2659"/>
      <c r="CW56" s="2659"/>
      <c r="CX56" s="2659"/>
      <c r="CY56" s="2659"/>
      <c r="CZ56" s="2659"/>
      <c r="DA56" s="2659"/>
      <c r="DB56" s="2659"/>
      <c r="DC56" s="2659"/>
      <c r="DD56" s="2659"/>
      <c r="DE56" s="2659"/>
      <c r="DF56" s="2659"/>
      <c r="DG56" s="2659"/>
      <c r="DH56" s="2659"/>
      <c r="DI56" s="2659"/>
      <c r="DJ56" s="2659"/>
      <c r="DK56" s="2659"/>
      <c r="DL56" s="2659"/>
      <c r="DM56" s="2659"/>
      <c r="DN56" s="2659"/>
      <c r="DO56" s="2659"/>
      <c r="DP56" s="2659"/>
      <c r="DQ56" s="2659"/>
      <c r="DR56" s="2659"/>
      <c r="DS56" s="2659"/>
      <c r="DT56" s="2659"/>
      <c r="DU56" s="2659"/>
      <c r="DV56" s="2659"/>
      <c r="DW56" s="2659"/>
      <c r="DX56" s="2659"/>
      <c r="DY56" s="2659"/>
      <c r="DZ56" s="2659"/>
      <c r="EA56" s="2659"/>
      <c r="EB56" s="2659"/>
      <c r="EC56" s="2659"/>
      <c r="ED56" s="2659"/>
      <c r="EE56" s="2659"/>
      <c r="EF56" s="2659"/>
      <c r="EG56" s="2659"/>
      <c r="EH56" s="2659"/>
      <c r="EI56" s="2659"/>
      <c r="EJ56" s="2659"/>
      <c r="EK56" s="2659"/>
      <c r="EL56" s="2659"/>
      <c r="EM56" s="2659"/>
      <c r="EN56" s="2659"/>
      <c r="EO56" s="2659"/>
      <c r="EP56" s="2659"/>
      <c r="EQ56" s="2659"/>
      <c r="ER56" s="2659"/>
      <c r="ES56" s="2659"/>
      <c r="ET56" s="2659"/>
      <c r="EU56" s="2659"/>
      <c r="EV56" s="2659"/>
      <c r="EW56" s="2659"/>
      <c r="EX56" s="2659"/>
      <c r="EY56" s="2659"/>
      <c r="EZ56" s="2659"/>
      <c r="FA56" s="2659"/>
      <c r="FB56" s="2659"/>
      <c r="FC56" s="2659"/>
      <c r="FD56" s="2659"/>
      <c r="FE56" s="2659"/>
      <c r="FF56" s="2659"/>
      <c r="FG56" s="2659"/>
      <c r="FH56" s="2659"/>
      <c r="FI56" s="2659"/>
      <c r="FJ56" s="2659"/>
      <c r="FK56" s="2659"/>
      <c r="FL56" s="2657"/>
    </row>
    <row r="57" spans="1:168" ht="16.5" customHeight="1" x14ac:dyDescent="0.3">
      <c r="A57" s="2655" t="s">
        <v>2556</v>
      </c>
      <c r="B57" s="2655" t="s">
        <v>2524</v>
      </c>
      <c r="C57" s="2656">
        <v>19964.110167409999</v>
      </c>
      <c r="D57" s="2656">
        <v>20456.15655851</v>
      </c>
      <c r="E57" s="2656">
        <v>20656.54350453</v>
      </c>
      <c r="F57" s="2656">
        <v>20976.469956159999</v>
      </c>
      <c r="G57" s="2656">
        <v>23542.384742170001</v>
      </c>
      <c r="H57" s="2656">
        <v>20273.87106505</v>
      </c>
      <c r="I57" s="2656">
        <v>18508.569286829999</v>
      </c>
      <c r="J57" s="2656">
        <v>19472.344551769998</v>
      </c>
      <c r="K57" s="2656">
        <v>20495.222189169999</v>
      </c>
      <c r="L57" s="2656">
        <v>20301.791217229998</v>
      </c>
      <c r="M57" s="2656">
        <v>20191.020255150001</v>
      </c>
      <c r="N57" s="2656">
        <v>21361.044988709997</v>
      </c>
      <c r="O57" s="2656">
        <v>19413.827296809999</v>
      </c>
      <c r="P57" s="2656">
        <v>19582.327154340001</v>
      </c>
      <c r="Q57" s="2656">
        <v>18243.485036359998</v>
      </c>
      <c r="R57" s="2656">
        <v>17904.736877859999</v>
      </c>
      <c r="S57" s="2656">
        <v>18921.887750959999</v>
      </c>
      <c r="T57" s="2656">
        <v>20149.1601701</v>
      </c>
      <c r="U57" s="2656">
        <v>18753.241767789998</v>
      </c>
      <c r="V57" s="2656">
        <v>19617.36774234</v>
      </c>
      <c r="W57" s="2656">
        <v>19604.223607199998</v>
      </c>
      <c r="X57" s="2656">
        <v>21354.738473539997</v>
      </c>
      <c r="Y57" s="2656">
        <v>20283.88373102</v>
      </c>
      <c r="Z57" s="2656">
        <v>19542.970377909998</v>
      </c>
      <c r="AA57" s="2656">
        <v>21291.50351029</v>
      </c>
      <c r="AB57" s="2656">
        <v>21595.119234289999</v>
      </c>
      <c r="AC57" s="2656">
        <v>20783.147565799998</v>
      </c>
      <c r="AD57" s="2656">
        <v>21203.46923585</v>
      </c>
      <c r="AE57" s="2656">
        <v>19954.35588607</v>
      </c>
      <c r="AF57" s="2656">
        <v>23783.569044779997</v>
      </c>
      <c r="AG57" s="2656">
        <v>23780.145553330003</v>
      </c>
      <c r="AH57" s="2656">
        <v>23569.844059790001</v>
      </c>
      <c r="AI57" s="2656">
        <v>25164.681625080102</v>
      </c>
      <c r="AJ57" s="2656">
        <v>26025.415872760001</v>
      </c>
      <c r="AK57" s="2656">
        <v>25692.210255179998</v>
      </c>
      <c r="AL57" s="2656">
        <v>25383.877467489987</v>
      </c>
      <c r="AM57" s="2656">
        <v>25930.891317520014</v>
      </c>
      <c r="AN57" s="2656">
        <v>25189.279282339961</v>
      </c>
      <c r="AO57" s="2656">
        <v>25613.860504809993</v>
      </c>
      <c r="AP57" s="2656">
        <v>25224.743159949947</v>
      </c>
      <c r="AQ57" s="2656">
        <v>23948.197494770015</v>
      </c>
      <c r="AR57" s="2656">
        <v>21850.039449129999</v>
      </c>
      <c r="AS57" s="2656">
        <v>22254.871252340021</v>
      </c>
      <c r="AT57" s="2656">
        <v>21879.72865525998</v>
      </c>
      <c r="AU57" s="2656">
        <v>22545.301191179984</v>
      </c>
      <c r="AV57" s="2656">
        <v>22101.591468449988</v>
      </c>
      <c r="AW57" s="2656">
        <v>21365.243426009973</v>
      </c>
      <c r="AX57" s="2656">
        <v>20881.14524601998</v>
      </c>
      <c r="AY57" s="2656">
        <v>20472.976203240014</v>
      </c>
      <c r="AZ57" s="2656">
        <v>21487.784692900019</v>
      </c>
      <c r="BA57" s="2656">
        <v>21928.267963229922</v>
      </c>
      <c r="BB57" s="2656">
        <v>21797.014970980046</v>
      </c>
      <c r="BC57" s="2656">
        <v>22086.19730513003</v>
      </c>
      <c r="BD57" s="2656">
        <v>22650.277264699977</v>
      </c>
      <c r="BE57" s="2656">
        <v>21679.910396959978</v>
      </c>
      <c r="BF57" s="2656">
        <v>22462.728441649982</v>
      </c>
      <c r="BG57" s="2656">
        <v>20288.861448660031</v>
      </c>
      <c r="BH57" s="2656">
        <v>18978.052171999949</v>
      </c>
      <c r="BI57" s="2656">
        <v>18191.658810679994</v>
      </c>
      <c r="BJ57" s="2656">
        <v>17271.864959959996</v>
      </c>
      <c r="BK57" s="2656">
        <v>16252.714630709965</v>
      </c>
      <c r="BL57" s="2656">
        <v>18325.476515089984</v>
      </c>
      <c r="BM57" s="2656">
        <v>27006.25268139</v>
      </c>
      <c r="BN57" s="2656">
        <v>26101.492148820111</v>
      </c>
      <c r="BO57" s="2656">
        <v>24870.176161724856</v>
      </c>
      <c r="BP57" s="2656">
        <v>24471.645377400018</v>
      </c>
      <c r="BQ57" s="2656">
        <v>23760.59067086998</v>
      </c>
      <c r="BR57" s="2656">
        <v>23082.71069057002</v>
      </c>
      <c r="BS57" s="2656">
        <v>24280.758976100049</v>
      </c>
      <c r="BT57" s="2656">
        <v>25590.232428529933</v>
      </c>
      <c r="BU57" s="2656">
        <v>25098.625338600003</v>
      </c>
      <c r="BV57" s="2656">
        <v>24330.692173520045</v>
      </c>
      <c r="BW57" s="2656">
        <v>24688.323351009974</v>
      </c>
      <c r="BX57" s="2656">
        <v>25037.211866000027</v>
      </c>
      <c r="BY57" s="2656">
        <v>25089.035267669948</v>
      </c>
      <c r="BZ57" s="2656">
        <v>24090.776523889981</v>
      </c>
      <c r="CA57" s="2656">
        <v>24578.904463949977</v>
      </c>
      <c r="CB57" s="2656">
        <v>25995.394258479944</v>
      </c>
      <c r="CC57" s="2656">
        <v>25933.130423700044</v>
      </c>
      <c r="CD57" s="2656">
        <v>24933.187775389986</v>
      </c>
      <c r="CE57" s="2656">
        <v>25807.537072730051</v>
      </c>
      <c r="CF57" s="2656">
        <v>26103.819359800116</v>
      </c>
      <c r="CG57" s="2656">
        <v>24442.946636389959</v>
      </c>
      <c r="CH57" s="2656">
        <v>23689.873631919989</v>
      </c>
      <c r="CI57" s="2656">
        <v>23188.90674147004</v>
      </c>
      <c r="CJ57" s="2656">
        <v>23496.741578239998</v>
      </c>
      <c r="CK57" s="2656">
        <v>22597.495759479989</v>
      </c>
      <c r="CL57" s="2656">
        <v>22044.530639399971</v>
      </c>
      <c r="CM57" s="2656">
        <v>21561.821478250007</v>
      </c>
      <c r="CN57" s="2656">
        <v>19811.472098009999</v>
      </c>
      <c r="CO57" s="2656">
        <v>15924.198801319966</v>
      </c>
      <c r="CP57" s="2656">
        <v>13081.932868679964</v>
      </c>
      <c r="CQ57" s="2656">
        <v>18469.000551759982</v>
      </c>
      <c r="CR57" s="2656">
        <v>20435.040907790011</v>
      </c>
      <c r="CS57" s="2656">
        <v>17745.504284119903</v>
      </c>
      <c r="CT57" s="2656">
        <v>17770.187594280058</v>
      </c>
      <c r="CU57" s="2656">
        <v>13353.068122100005</v>
      </c>
      <c r="CV57" s="2656">
        <v>15538.917807289947</v>
      </c>
      <c r="CW57" s="2656">
        <v>18076.365482630034</v>
      </c>
      <c r="CX57" s="2656">
        <v>22476.450769049956</v>
      </c>
      <c r="CY57" s="2656">
        <v>21764.401940069976</v>
      </c>
      <c r="CZ57" s="2656">
        <v>19920.449408879998</v>
      </c>
      <c r="DA57" s="2656">
        <v>17132.549358880002</v>
      </c>
      <c r="DB57" s="2656">
        <v>17331.741958690058</v>
      </c>
      <c r="DC57" s="2656">
        <v>16655.315602609982</v>
      </c>
      <c r="DD57" s="2656">
        <v>17236.659394390081</v>
      </c>
      <c r="DE57" s="2656">
        <v>16047.574822380067</v>
      </c>
      <c r="DF57" s="2656">
        <v>16794.55439085004</v>
      </c>
      <c r="DG57" s="2656">
        <v>16187.812679669985</v>
      </c>
      <c r="DH57" s="2656">
        <v>17285.976926669988</v>
      </c>
      <c r="DI57" s="2656">
        <v>21126.782202980045</v>
      </c>
      <c r="DJ57" s="2656">
        <v>23277.807549940124</v>
      </c>
      <c r="DK57" s="2656">
        <v>26886.065392700013</v>
      </c>
      <c r="DL57" s="2656">
        <v>30796.05285072992</v>
      </c>
      <c r="DM57" s="2656">
        <v>32248.78907285001</v>
      </c>
      <c r="DN57" s="2656">
        <v>34263.150843110052</v>
      </c>
      <c r="DO57" s="2656">
        <v>36312.045858509955</v>
      </c>
      <c r="DP57" s="2656">
        <v>36818.002139040036</v>
      </c>
      <c r="DQ57" s="2656">
        <v>38480.682415569943</v>
      </c>
      <c r="DR57" s="2656">
        <v>22423.470864930048</v>
      </c>
      <c r="DS57" s="2656">
        <v>25347.25553749987</v>
      </c>
      <c r="DT57" s="2656">
        <v>29915.161736709953</v>
      </c>
      <c r="DU57" s="2656">
        <v>33266.74863743993</v>
      </c>
      <c r="DV57" s="2656">
        <v>43315.521985109976</v>
      </c>
      <c r="DW57" s="2656">
        <v>45358.747164090011</v>
      </c>
      <c r="DX57" s="2656">
        <v>48614.019775939989</v>
      </c>
      <c r="DY57" s="2656">
        <v>51944.345824869946</v>
      </c>
      <c r="DZ57" s="2656">
        <v>51706.888492540071</v>
      </c>
      <c r="EA57" s="2656">
        <v>51174.950152169957</v>
      </c>
      <c r="EB57" s="2656">
        <v>51147.822299679843</v>
      </c>
      <c r="EC57" s="2656">
        <v>53731.527280900147</v>
      </c>
      <c r="ED57" s="2656">
        <v>54840.327218580074</v>
      </c>
      <c r="EE57" s="2656">
        <v>54825.346195260252</v>
      </c>
      <c r="EF57" s="2656">
        <v>54663.651045490231</v>
      </c>
      <c r="EG57" s="2656">
        <v>56369.384690699953</v>
      </c>
      <c r="EH57" s="2656">
        <v>27134.189067319825</v>
      </c>
      <c r="EI57" s="2656">
        <v>31768.780279029783</v>
      </c>
      <c r="EJ57" s="2656">
        <v>40194.416965589997</v>
      </c>
      <c r="EK57" s="2656">
        <v>40183.213761679712</v>
      </c>
      <c r="EL57" s="2656">
        <v>39867.37100731003</v>
      </c>
      <c r="EM57" s="2656">
        <v>37284.54785757004</v>
      </c>
      <c r="EN57" s="2656">
        <v>40013.119371209934</v>
      </c>
      <c r="EO57" s="2656">
        <v>17576.358655040021</v>
      </c>
      <c r="EP57" s="2656">
        <v>20425.451099229962</v>
      </c>
      <c r="EQ57" s="2656">
        <v>18140.558519259746</v>
      </c>
      <c r="ER57" s="2656">
        <v>19235.44544892991</v>
      </c>
      <c r="ES57" s="2656">
        <v>20525.166046790022</v>
      </c>
      <c r="ET57" s="2656">
        <v>9921.0327276498829</v>
      </c>
      <c r="EU57" s="2656">
        <v>10116.39656728001</v>
      </c>
      <c r="EV57" s="2656">
        <v>12818.432083740001</v>
      </c>
      <c r="EW57" s="2656">
        <v>14298.364415839853</v>
      </c>
      <c r="EX57" s="2656">
        <v>10567.036497750254</v>
      </c>
      <c r="EY57" s="2656">
        <v>6786.3282931899512</v>
      </c>
      <c r="EZ57" s="2656">
        <v>1169.7412839499593</v>
      </c>
      <c r="FA57" s="2656">
        <v>5749.4202337300976</v>
      </c>
      <c r="FB57" s="2656">
        <v>7068.193299539912</v>
      </c>
      <c r="FC57" s="2656">
        <v>15091.893546869989</v>
      </c>
      <c r="FD57" s="2656">
        <v>18623.679913639768</v>
      </c>
      <c r="FE57" s="2656">
        <v>21273.339019190058</v>
      </c>
      <c r="FF57" s="2656">
        <v>17660.572851819939</v>
      </c>
      <c r="FG57" s="2656">
        <v>19560.07604032995</v>
      </c>
      <c r="FH57" s="2656">
        <v>19926.803392500118</v>
      </c>
      <c r="FI57" s="2656">
        <v>17463.499940499863</v>
      </c>
      <c r="FJ57" s="2656">
        <v>15223.583821809923</v>
      </c>
      <c r="FK57" s="2656">
        <v>8564.0343800799419</v>
      </c>
      <c r="FL57" s="2657"/>
    </row>
    <row r="58" spans="1:168" ht="16.5" customHeight="1" x14ac:dyDescent="0.3">
      <c r="A58" s="2658"/>
      <c r="B58" s="2658"/>
      <c r="C58" s="2659"/>
      <c r="D58" s="2659"/>
      <c r="E58" s="2659"/>
      <c r="F58" s="2659"/>
      <c r="G58" s="2659"/>
      <c r="H58" s="2659"/>
      <c r="I58" s="2659"/>
      <c r="J58" s="2659"/>
      <c r="K58" s="2659"/>
      <c r="L58" s="2659"/>
      <c r="M58" s="2659"/>
      <c r="N58" s="2659"/>
      <c r="O58" s="2659"/>
      <c r="P58" s="2659"/>
      <c r="Q58" s="2659"/>
      <c r="R58" s="2659"/>
      <c r="S58" s="2659"/>
      <c r="T58" s="2659"/>
      <c r="U58" s="2659"/>
      <c r="V58" s="2659"/>
      <c r="W58" s="2659"/>
      <c r="X58" s="2659"/>
      <c r="Y58" s="2659"/>
      <c r="Z58" s="2659"/>
      <c r="AA58" s="2659"/>
      <c r="AB58" s="2659"/>
      <c r="AC58" s="2659"/>
      <c r="AD58" s="2659"/>
      <c r="AE58" s="2659"/>
      <c r="AF58" s="2659"/>
      <c r="AG58" s="2659"/>
      <c r="AH58" s="2659"/>
      <c r="AI58" s="2659"/>
      <c r="AJ58" s="2659"/>
      <c r="AK58" s="2659"/>
      <c r="AL58" s="2659"/>
      <c r="AM58" s="2659"/>
      <c r="AN58" s="2659"/>
      <c r="AO58" s="2659"/>
      <c r="AP58" s="2659"/>
      <c r="AQ58" s="2659"/>
      <c r="AR58" s="2659"/>
      <c r="AS58" s="2659"/>
      <c r="AT58" s="2659"/>
      <c r="AU58" s="2659"/>
      <c r="AV58" s="2659"/>
      <c r="AW58" s="2659"/>
      <c r="AX58" s="2659"/>
      <c r="AY58" s="2659"/>
      <c r="AZ58" s="2659"/>
      <c r="BA58" s="2659"/>
      <c r="BB58" s="2659"/>
      <c r="BC58" s="2659"/>
      <c r="BD58" s="2659"/>
      <c r="BE58" s="2659"/>
      <c r="BF58" s="2659"/>
      <c r="BG58" s="2659"/>
      <c r="BH58" s="2659"/>
      <c r="BI58" s="2659"/>
      <c r="BJ58" s="2659"/>
      <c r="BK58" s="2659"/>
      <c r="BL58" s="2659"/>
      <c r="BM58" s="2659"/>
      <c r="BN58" s="2659"/>
      <c r="BO58" s="2659"/>
      <c r="BP58" s="2659"/>
      <c r="BQ58" s="2659"/>
      <c r="BR58" s="2659"/>
      <c r="BS58" s="2659"/>
      <c r="BT58" s="2659"/>
      <c r="BU58" s="2659"/>
      <c r="BV58" s="2659"/>
      <c r="BW58" s="2659"/>
      <c r="BX58" s="2659"/>
      <c r="BY58" s="2659"/>
      <c r="BZ58" s="2659"/>
      <c r="CA58" s="2659"/>
      <c r="CB58" s="2659"/>
      <c r="CC58" s="2659"/>
      <c r="CD58" s="2659"/>
      <c r="CE58" s="2659"/>
      <c r="CF58" s="2659"/>
      <c r="CG58" s="2659"/>
      <c r="CH58" s="2659"/>
      <c r="CI58" s="2659"/>
      <c r="CJ58" s="2659"/>
      <c r="CK58" s="2659"/>
      <c r="CL58" s="2659"/>
      <c r="CM58" s="2659"/>
      <c r="CN58" s="2659"/>
      <c r="CO58" s="2659"/>
      <c r="CP58" s="2659"/>
      <c r="CQ58" s="2659"/>
      <c r="CR58" s="2659"/>
      <c r="CS58" s="2659"/>
      <c r="CT58" s="2659"/>
      <c r="CU58" s="2659"/>
      <c r="CV58" s="2659"/>
      <c r="CW58" s="2659"/>
      <c r="CX58" s="2659"/>
      <c r="CY58" s="2659"/>
      <c r="CZ58" s="2659"/>
      <c r="DA58" s="2659"/>
      <c r="DB58" s="2659"/>
      <c r="DC58" s="2659"/>
      <c r="DD58" s="2659"/>
      <c r="DE58" s="2659"/>
      <c r="DF58" s="2659"/>
      <c r="DG58" s="2659"/>
      <c r="DH58" s="2659"/>
      <c r="DI58" s="2659"/>
      <c r="DJ58" s="2659"/>
      <c r="DK58" s="2659"/>
      <c r="DL58" s="2659"/>
      <c r="DM58" s="2659"/>
      <c r="DN58" s="2659"/>
      <c r="DO58" s="2659"/>
      <c r="DP58" s="2659"/>
      <c r="DQ58" s="2659"/>
      <c r="DR58" s="2659"/>
      <c r="DS58" s="2659"/>
      <c r="DT58" s="2659"/>
      <c r="DU58" s="2659"/>
      <c r="DV58" s="2659"/>
      <c r="DW58" s="2659"/>
      <c r="DX58" s="2659"/>
      <c r="DY58" s="2659"/>
      <c r="DZ58" s="2659"/>
      <c r="EA58" s="2659"/>
      <c r="EB58" s="2659"/>
      <c r="EC58" s="2659"/>
      <c r="ED58" s="2659"/>
      <c r="EE58" s="2659"/>
      <c r="EF58" s="2659"/>
      <c r="EG58" s="2659"/>
      <c r="EH58" s="2659"/>
      <c r="EI58" s="2659"/>
      <c r="EJ58" s="2659"/>
      <c r="EK58" s="2659"/>
      <c r="EL58" s="2659"/>
      <c r="EM58" s="2659"/>
      <c r="EN58" s="2659"/>
      <c r="EO58" s="2659"/>
      <c r="EP58" s="2659"/>
      <c r="EQ58" s="2659"/>
      <c r="ER58" s="2659"/>
      <c r="ES58" s="2659"/>
      <c r="ET58" s="2659"/>
      <c r="EU58" s="2659"/>
      <c r="EV58" s="2659"/>
      <c r="EW58" s="2659"/>
      <c r="EX58" s="2659"/>
      <c r="EY58" s="2659"/>
      <c r="EZ58" s="2659"/>
      <c r="FA58" s="2659"/>
      <c r="FB58" s="2659"/>
      <c r="FC58" s="2659"/>
      <c r="FD58" s="2659"/>
      <c r="FE58" s="2659"/>
      <c r="FF58" s="2659"/>
      <c r="FG58" s="2659"/>
      <c r="FH58" s="2659"/>
      <c r="FI58" s="2659"/>
      <c r="FJ58" s="2659"/>
      <c r="FK58" s="2659"/>
      <c r="FL58" s="2657"/>
    </row>
    <row r="59" spans="1:168" ht="16.5" customHeight="1" x14ac:dyDescent="0.3">
      <c r="A59" s="2655"/>
      <c r="B59" s="2655" t="s">
        <v>1071</v>
      </c>
      <c r="C59" s="2656">
        <v>69596.492978319991</v>
      </c>
      <c r="D59" s="2656">
        <v>70941.137481892089</v>
      </c>
      <c r="E59" s="2656">
        <v>70499.654408622795</v>
      </c>
      <c r="F59" s="2656">
        <v>71302.400435399992</v>
      </c>
      <c r="G59" s="2656">
        <v>74450.371189439247</v>
      </c>
      <c r="H59" s="2656">
        <v>73422.694705203787</v>
      </c>
      <c r="I59" s="2656">
        <v>73741.023017996515</v>
      </c>
      <c r="J59" s="2656">
        <v>74913.405949937558</v>
      </c>
      <c r="K59" s="2656">
        <v>78694.334379371867</v>
      </c>
      <c r="L59" s="2656">
        <v>79392.890201197049</v>
      </c>
      <c r="M59" s="2656">
        <v>82982.38913011353</v>
      </c>
      <c r="N59" s="2656">
        <v>86612.239956321166</v>
      </c>
      <c r="O59" s="2656">
        <v>83585.412843679136</v>
      </c>
      <c r="P59" s="2656">
        <v>83414.251738604406</v>
      </c>
      <c r="Q59" s="2656">
        <v>84435.871824729984</v>
      </c>
      <c r="R59" s="2656">
        <v>84082.643758713326</v>
      </c>
      <c r="S59" s="2656">
        <v>85853.7490461774</v>
      </c>
      <c r="T59" s="2656">
        <v>88592.546954006102</v>
      </c>
      <c r="U59" s="2656">
        <v>88882.225156140514</v>
      </c>
      <c r="V59" s="2656">
        <v>89112.098273285083</v>
      </c>
      <c r="W59" s="2656">
        <v>87868.85674328811</v>
      </c>
      <c r="X59" s="2656">
        <v>91091.426085718325</v>
      </c>
      <c r="Y59" s="2656">
        <v>89540.306184057728</v>
      </c>
      <c r="Z59" s="2656">
        <v>92681.040481569406</v>
      </c>
      <c r="AA59" s="2656">
        <v>93057.427462320033</v>
      </c>
      <c r="AB59" s="2656">
        <v>93216.006621315551</v>
      </c>
      <c r="AC59" s="2656">
        <v>92395.195668494649</v>
      </c>
      <c r="AD59" s="2656">
        <v>92343.333515853825</v>
      </c>
      <c r="AE59" s="2656">
        <v>90504.874658527566</v>
      </c>
      <c r="AF59" s="2656">
        <v>97002.375047003166</v>
      </c>
      <c r="AG59" s="2656">
        <v>98020.36266122805</v>
      </c>
      <c r="AH59" s="2656">
        <v>97950.904823900244</v>
      </c>
      <c r="AI59" s="2656">
        <v>98887.514704928049</v>
      </c>
      <c r="AJ59" s="2656">
        <v>98497.729015718214</v>
      </c>
      <c r="AK59" s="2656">
        <v>99356.306201215775</v>
      </c>
      <c r="AL59" s="2656">
        <v>100930.55116470347</v>
      </c>
      <c r="AM59" s="2656">
        <v>104790.8711862858</v>
      </c>
      <c r="AN59" s="2656">
        <v>104458.18777059334</v>
      </c>
      <c r="AO59" s="2656">
        <v>108086.37032072496</v>
      </c>
      <c r="AP59" s="2656">
        <v>107405.78630819431</v>
      </c>
      <c r="AQ59" s="2656">
        <v>114390.36744273815</v>
      </c>
      <c r="AR59" s="2656">
        <v>113988.66618276245</v>
      </c>
      <c r="AS59" s="2656">
        <v>111194.3348185853</v>
      </c>
      <c r="AT59" s="2656">
        <v>110092.93683619938</v>
      </c>
      <c r="AU59" s="2656">
        <v>112471.1827692574</v>
      </c>
      <c r="AV59" s="2656">
        <v>111686.14588464067</v>
      </c>
      <c r="AW59" s="2656">
        <v>111021.07279987191</v>
      </c>
      <c r="AX59" s="2656">
        <v>115230.05499443377</v>
      </c>
      <c r="AY59" s="2656">
        <v>115477.48536903718</v>
      </c>
      <c r="AZ59" s="2656">
        <v>120988.83522910152</v>
      </c>
      <c r="BA59" s="2656">
        <v>122871.29449204239</v>
      </c>
      <c r="BB59" s="2656">
        <v>127088.77066029809</v>
      </c>
      <c r="BC59" s="2656">
        <v>128069.4762808027</v>
      </c>
      <c r="BD59" s="2656">
        <v>130583.81207642556</v>
      </c>
      <c r="BE59" s="2656">
        <v>131173.15071691383</v>
      </c>
      <c r="BF59" s="2656">
        <v>133456.09197498212</v>
      </c>
      <c r="BG59" s="2656">
        <v>130765.6793397868</v>
      </c>
      <c r="BH59" s="2656">
        <v>129055.71459652908</v>
      </c>
      <c r="BI59" s="2656">
        <v>126942.81240977174</v>
      </c>
      <c r="BJ59" s="2656">
        <v>131563.49427910321</v>
      </c>
      <c r="BK59" s="2656">
        <v>128415.42706414525</v>
      </c>
      <c r="BL59" s="2656">
        <v>134436.63312649104</v>
      </c>
      <c r="BM59" s="2656">
        <v>147415.07719755106</v>
      </c>
      <c r="BN59" s="2656">
        <v>146159.68355201508</v>
      </c>
      <c r="BO59" s="2656">
        <v>146084.06147709003</v>
      </c>
      <c r="BP59" s="2656">
        <v>149685.82964859999</v>
      </c>
      <c r="BQ59" s="2656">
        <v>152617.94579201998</v>
      </c>
      <c r="BR59" s="2656">
        <v>152435.10079409002</v>
      </c>
      <c r="BS59" s="2656">
        <v>154676.54865548</v>
      </c>
      <c r="BT59" s="2656">
        <v>158429.68953137996</v>
      </c>
      <c r="BU59" s="2656">
        <v>160069.02174412005</v>
      </c>
      <c r="BV59" s="2656">
        <v>161362.55657941001</v>
      </c>
      <c r="BW59" s="2656">
        <v>161629.17440413</v>
      </c>
      <c r="BX59" s="2656">
        <v>164349.35004958996</v>
      </c>
      <c r="BY59" s="2656">
        <v>165416.05700292002</v>
      </c>
      <c r="BZ59" s="2656">
        <v>164662.21708085999</v>
      </c>
      <c r="CA59" s="2656">
        <v>167951.32043450995</v>
      </c>
      <c r="CB59" s="2656">
        <v>174872.48942699001</v>
      </c>
      <c r="CC59" s="2656">
        <v>175421.29849750001</v>
      </c>
      <c r="CD59" s="2656">
        <v>174452.08759260995</v>
      </c>
      <c r="CE59" s="2656">
        <v>177108.37673410997</v>
      </c>
      <c r="CF59" s="2656">
        <v>178785.45480361005</v>
      </c>
      <c r="CG59" s="2656">
        <v>181295.97438636</v>
      </c>
      <c r="CH59" s="2656">
        <v>185234.34054785004</v>
      </c>
      <c r="CI59" s="2656">
        <v>181843.60436808999</v>
      </c>
      <c r="CJ59" s="2656">
        <v>182389.03224828001</v>
      </c>
      <c r="CK59" s="2656">
        <v>183206.87444175</v>
      </c>
      <c r="CL59" s="2656">
        <v>186722.54971691</v>
      </c>
      <c r="CM59" s="2656">
        <v>186053.17597899996</v>
      </c>
      <c r="CN59" s="2656">
        <v>187908.69362753001</v>
      </c>
      <c r="CO59" s="2656">
        <v>183668.11129455001</v>
      </c>
      <c r="CP59" s="2656">
        <v>183313.14445789001</v>
      </c>
      <c r="CQ59" s="2656">
        <v>192610.77432565999</v>
      </c>
      <c r="CR59" s="2656">
        <v>195973.24121254997</v>
      </c>
      <c r="CS59" s="2656">
        <v>198971.14215291999</v>
      </c>
      <c r="CT59" s="2656">
        <v>207653.2763874396</v>
      </c>
      <c r="CU59" s="2656">
        <v>204499.08389621993</v>
      </c>
      <c r="CV59" s="2656">
        <v>210754.6665969801</v>
      </c>
      <c r="CW59" s="2656">
        <v>214723.08751193993</v>
      </c>
      <c r="CX59" s="2656">
        <v>221940.01058586998</v>
      </c>
      <c r="CY59" s="2656">
        <v>229327.95755876999</v>
      </c>
      <c r="CZ59" s="2656">
        <v>237591.15970955996</v>
      </c>
      <c r="DA59" s="2656">
        <v>229257.85809920996</v>
      </c>
      <c r="DB59" s="2656">
        <v>233361.93871635484</v>
      </c>
      <c r="DC59" s="2656">
        <v>226356.64214427999</v>
      </c>
      <c r="DD59" s="2656">
        <v>224900.90402548003</v>
      </c>
      <c r="DE59" s="2656">
        <v>222116.63754560993</v>
      </c>
      <c r="DF59" s="2656">
        <v>224314.53188190999</v>
      </c>
      <c r="DG59" s="2656">
        <v>226175.33672197003</v>
      </c>
      <c r="DH59" s="2656">
        <v>227249.11355501023</v>
      </c>
      <c r="DI59" s="2656">
        <v>233932.51732181996</v>
      </c>
      <c r="DJ59" s="2656">
        <v>236574.99271028998</v>
      </c>
      <c r="DK59" s="2656">
        <v>247887.62922757003</v>
      </c>
      <c r="DL59" s="2656">
        <v>260005.77526694004</v>
      </c>
      <c r="DM59" s="2656">
        <v>265909.80497572001</v>
      </c>
      <c r="DN59" s="2656">
        <v>266458.11617937998</v>
      </c>
      <c r="DO59" s="2656">
        <v>269687.33985771006</v>
      </c>
      <c r="DP59" s="2656">
        <v>270333.30208668002</v>
      </c>
      <c r="DQ59" s="2656">
        <v>275703.91501952958</v>
      </c>
      <c r="DR59" s="2656">
        <v>275938.08768676</v>
      </c>
      <c r="DS59" s="2656">
        <v>285593.39157807006</v>
      </c>
      <c r="DT59" s="2656">
        <v>280698.14165284997</v>
      </c>
      <c r="DU59" s="2656">
        <v>283721.46444056992</v>
      </c>
      <c r="DV59" s="2656">
        <v>302626.33420869993</v>
      </c>
      <c r="DW59" s="2656">
        <v>297923.36164863274</v>
      </c>
      <c r="DX59" s="2656">
        <v>322540.83795550355</v>
      </c>
      <c r="DY59" s="2656">
        <v>340076.22582934995</v>
      </c>
      <c r="DZ59" s="2656">
        <v>363505.06539300992</v>
      </c>
      <c r="EA59" s="2656">
        <v>381162.95334598992</v>
      </c>
      <c r="EB59" s="2656">
        <v>405336.86034841009</v>
      </c>
      <c r="EC59" s="2656">
        <v>404706.26486895001</v>
      </c>
      <c r="ED59" s="2656">
        <v>407009.19919003005</v>
      </c>
      <c r="EE59" s="2656">
        <v>427496.24914150994</v>
      </c>
      <c r="EF59" s="2656">
        <v>412751.50048619986</v>
      </c>
      <c r="EG59" s="2656">
        <v>414996.05421080999</v>
      </c>
      <c r="EH59" s="2656">
        <v>434544.36851303995</v>
      </c>
      <c r="EI59" s="2656">
        <v>441668.59650271019</v>
      </c>
      <c r="EJ59" s="2656">
        <v>446893.58303803991</v>
      </c>
      <c r="EK59" s="2656">
        <v>452698.3212731799</v>
      </c>
      <c r="EL59" s="2656">
        <v>461744.19383817987</v>
      </c>
      <c r="EM59" s="2656">
        <v>473387.34201010992</v>
      </c>
      <c r="EN59" s="2656">
        <v>463588.94710501999</v>
      </c>
      <c r="EO59" s="2656">
        <v>447475.91802747</v>
      </c>
      <c r="EP59" s="2656">
        <v>484175.61616938002</v>
      </c>
      <c r="EQ59" s="2656">
        <v>457673.67102017015</v>
      </c>
      <c r="ER59" s="2656">
        <v>452944.83698585996</v>
      </c>
      <c r="ES59" s="2656">
        <v>473661.09540925</v>
      </c>
      <c r="ET59" s="2656">
        <v>426307.06556643004</v>
      </c>
      <c r="EU59" s="2656">
        <v>419570.89581265004</v>
      </c>
      <c r="EV59" s="2656">
        <v>455044.19112579006</v>
      </c>
      <c r="EW59" s="2656">
        <v>425651.12527640985</v>
      </c>
      <c r="EX59" s="2656">
        <v>425537.84629463992</v>
      </c>
      <c r="EY59" s="2656">
        <v>438297.19479181</v>
      </c>
      <c r="EZ59" s="2656">
        <v>393992.59225335997</v>
      </c>
      <c r="FA59" s="2656">
        <v>402275.46760252997</v>
      </c>
      <c r="FB59" s="2656">
        <v>449730.4035684499</v>
      </c>
      <c r="FC59" s="2656">
        <v>411599.73013698001</v>
      </c>
      <c r="FD59" s="2656">
        <v>413474.81531473005</v>
      </c>
      <c r="FE59" s="2656">
        <v>414146.18873487005</v>
      </c>
      <c r="FF59" s="2656">
        <v>398428.17279547005</v>
      </c>
      <c r="FG59" s="2656">
        <v>399773.41834950994</v>
      </c>
      <c r="FH59" s="2656">
        <v>413690.62393681996</v>
      </c>
      <c r="FI59" s="2656">
        <v>414290.75453008997</v>
      </c>
      <c r="FJ59" s="2656">
        <v>419182.92651737999</v>
      </c>
      <c r="FK59" s="2656">
        <v>401348.54695991997</v>
      </c>
      <c r="FL59" s="2657"/>
    </row>
    <row r="60" spans="1:168" ht="15" customHeight="1" thickBot="1" x14ac:dyDescent="0.35">
      <c r="A60" s="2669"/>
      <c r="B60" s="2669"/>
      <c r="C60" s="2670"/>
      <c r="D60" s="2670"/>
      <c r="E60" s="2670"/>
      <c r="F60" s="2670"/>
      <c r="G60" s="2670"/>
      <c r="H60" s="2670"/>
      <c r="I60" s="2670"/>
      <c r="J60" s="2670"/>
      <c r="K60" s="2670"/>
      <c r="L60" s="2670"/>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c r="AS60" s="2670"/>
      <c r="AT60" s="2670"/>
      <c r="AU60" s="2670"/>
      <c r="AV60" s="2670"/>
      <c r="AW60" s="2670"/>
      <c r="AX60" s="2670"/>
      <c r="AY60" s="2670"/>
      <c r="AZ60" s="2670"/>
      <c r="BA60" s="2670"/>
      <c r="BB60" s="2670"/>
      <c r="BC60" s="2670"/>
      <c r="BD60" s="2670"/>
      <c r="BE60" s="2670"/>
      <c r="BF60" s="2670"/>
      <c r="BG60" s="2670"/>
      <c r="BH60" s="2670"/>
      <c r="BI60" s="2670"/>
      <c r="BJ60" s="2670"/>
      <c r="BK60" s="2670"/>
      <c r="BL60" s="2670"/>
      <c r="BM60" s="2670"/>
      <c r="BN60" s="2670"/>
      <c r="BO60" s="2670"/>
      <c r="BP60" s="2670"/>
      <c r="BQ60" s="2670"/>
      <c r="BR60" s="2670"/>
      <c r="BS60" s="2670"/>
      <c r="BT60" s="2670"/>
      <c r="BU60" s="2670"/>
      <c r="BV60" s="2670"/>
      <c r="BW60" s="2670"/>
      <c r="BX60" s="2670"/>
      <c r="BY60" s="2670"/>
      <c r="BZ60" s="2670"/>
      <c r="CA60" s="2670"/>
      <c r="CB60" s="2670"/>
      <c r="CC60" s="2670"/>
      <c r="CD60" s="2670"/>
      <c r="CE60" s="2670"/>
      <c r="CF60" s="2670"/>
      <c r="CG60" s="2670"/>
      <c r="CH60" s="2670"/>
      <c r="CI60" s="2670"/>
      <c r="CJ60" s="2670"/>
      <c r="CK60" s="2670"/>
      <c r="CL60" s="2670"/>
      <c r="CM60" s="2670"/>
      <c r="CN60" s="2670"/>
      <c r="CO60" s="2670"/>
      <c r="CP60" s="2670"/>
      <c r="CQ60" s="2670"/>
      <c r="CR60" s="2670"/>
      <c r="CS60" s="2670"/>
      <c r="CT60" s="2670"/>
      <c r="CU60" s="2670"/>
      <c r="CV60" s="2670"/>
      <c r="CW60" s="2670"/>
      <c r="CX60" s="2670"/>
      <c r="CY60" s="2670"/>
      <c r="CZ60" s="2670"/>
      <c r="DA60" s="2670"/>
      <c r="DB60" s="2670"/>
      <c r="DC60" s="2670"/>
      <c r="DD60" s="2670"/>
      <c r="DE60" s="2670"/>
      <c r="DF60" s="2670"/>
      <c r="DG60" s="2670"/>
      <c r="DH60" s="2670"/>
      <c r="DI60" s="2670"/>
      <c r="DJ60" s="2670"/>
      <c r="DK60" s="2670"/>
      <c r="DL60" s="2670"/>
      <c r="DM60" s="2670"/>
      <c r="DN60" s="2670"/>
      <c r="DO60" s="2670"/>
      <c r="DP60" s="2670"/>
      <c r="DQ60" s="2670"/>
      <c r="DR60" s="2670"/>
      <c r="DS60" s="2670"/>
      <c r="DT60" s="2670"/>
      <c r="DU60" s="2670"/>
      <c r="DV60" s="2670"/>
      <c r="DW60" s="2670"/>
      <c r="DX60" s="2670"/>
      <c r="DY60" s="2670"/>
      <c r="DZ60" s="2670"/>
      <c r="EA60" s="2670"/>
      <c r="EB60" s="2670"/>
      <c r="EC60" s="2670"/>
      <c r="ED60" s="2670"/>
      <c r="EE60" s="2670"/>
      <c r="EF60" s="2670"/>
      <c r="EG60" s="2670"/>
      <c r="EH60" s="2670"/>
      <c r="EI60" s="2670"/>
      <c r="EJ60" s="2670"/>
      <c r="EK60" s="2670"/>
      <c r="EL60" s="2670"/>
      <c r="EM60" s="2670"/>
      <c r="EN60" s="2670"/>
      <c r="EO60" s="2670"/>
      <c r="EP60" s="2670"/>
      <c r="EQ60" s="2670"/>
      <c r="ER60" s="2670"/>
      <c r="ES60" s="2670"/>
      <c r="ET60" s="2670"/>
      <c r="EU60" s="2670"/>
      <c r="EV60" s="2670"/>
      <c r="EW60" s="2670"/>
      <c r="EX60" s="2670"/>
      <c r="EY60" s="2670"/>
      <c r="EZ60" s="2670"/>
      <c r="FA60" s="2670"/>
      <c r="FB60" s="2670"/>
      <c r="FC60" s="2670"/>
      <c r="FD60" s="2670"/>
      <c r="FE60" s="2670"/>
      <c r="FF60" s="2670"/>
      <c r="FG60" s="2670"/>
      <c r="FH60" s="2670"/>
      <c r="FI60" s="2670"/>
      <c r="FJ60" s="2670"/>
      <c r="FK60" s="2670"/>
      <c r="FL60" s="2657"/>
    </row>
    <row r="61" spans="1:168" s="1711" customFormat="1" ht="15.75" customHeight="1" thickTop="1" x14ac:dyDescent="0.3">
      <c r="A61" s="1428" t="s">
        <v>2557</v>
      </c>
      <c r="B61" s="1428"/>
      <c r="C61" s="1428"/>
      <c r="D61" s="1428"/>
      <c r="E61" s="1428"/>
      <c r="F61" s="1428"/>
      <c r="G61" s="1428"/>
      <c r="H61" s="1428"/>
      <c r="I61" s="1428"/>
      <c r="J61" s="1428"/>
      <c r="K61" s="1428"/>
      <c r="L61" s="1428"/>
      <c r="M61" s="1428"/>
      <c r="N61" s="1428"/>
      <c r="O61" s="1428"/>
      <c r="P61" s="1428"/>
      <c r="Q61" s="1428"/>
      <c r="R61" s="1428"/>
      <c r="S61" s="1428"/>
      <c r="T61" s="1428"/>
      <c r="U61" s="1428"/>
      <c r="V61" s="1428"/>
      <c r="W61" s="1428"/>
      <c r="X61" s="1428"/>
      <c r="Y61" s="1428"/>
      <c r="Z61" s="1428"/>
      <c r="AA61" s="1428"/>
      <c r="AB61" s="1428"/>
      <c r="AC61" s="1428"/>
      <c r="AD61" s="1428"/>
      <c r="AE61" s="1428"/>
      <c r="AF61" s="1428"/>
      <c r="AG61" s="1428"/>
      <c r="AH61" s="1428"/>
      <c r="AI61" s="1428"/>
      <c r="AJ61" s="1428"/>
      <c r="AK61" s="1428"/>
      <c r="AL61" s="1428"/>
      <c r="AM61" s="1428"/>
      <c r="AN61" s="1428"/>
      <c r="AO61" s="1428"/>
      <c r="AP61" s="1428"/>
      <c r="AQ61" s="1428"/>
      <c r="AR61" s="1428"/>
      <c r="AS61" s="1428"/>
      <c r="AT61" s="1428"/>
      <c r="AU61" s="1428"/>
      <c r="AV61" s="1428"/>
      <c r="AW61" s="1428"/>
      <c r="AX61" s="1428"/>
      <c r="AY61" s="1428"/>
      <c r="AZ61" s="1428"/>
      <c r="BA61" s="1428"/>
      <c r="BB61" s="1428"/>
      <c r="BC61" s="1428"/>
      <c r="BD61" s="1428"/>
      <c r="BE61" s="1428"/>
      <c r="BF61" s="1428"/>
      <c r="BG61" s="1428"/>
      <c r="BH61" s="1428"/>
      <c r="BI61" s="1428"/>
      <c r="BJ61" s="1428"/>
      <c r="BK61" s="1428"/>
      <c r="BL61" s="1428"/>
      <c r="BM61" s="1428"/>
      <c r="BN61" s="1428"/>
      <c r="BO61" s="1428"/>
      <c r="BP61" s="1428"/>
      <c r="BQ61" s="1428"/>
      <c r="BR61" s="1428"/>
      <c r="BS61" s="1428"/>
      <c r="BT61" s="1428"/>
      <c r="BU61" s="1428"/>
      <c r="BV61" s="1428"/>
      <c r="BW61" s="1428"/>
      <c r="BX61" s="1428"/>
      <c r="BY61" s="1428"/>
      <c r="BZ61" s="1428"/>
      <c r="CA61" s="1428"/>
      <c r="CB61" s="1428"/>
      <c r="CC61" s="1428"/>
      <c r="CD61" s="1428"/>
      <c r="CE61" s="1428"/>
      <c r="CF61" s="1428"/>
      <c r="CG61" s="1428"/>
      <c r="CH61" s="1428"/>
      <c r="CI61" s="1428"/>
      <c r="CJ61" s="1428"/>
      <c r="CK61" s="1428"/>
      <c r="CL61" s="1428"/>
      <c r="CM61" s="1428"/>
      <c r="CN61" s="1428"/>
      <c r="CO61" s="1428"/>
      <c r="CP61" s="1428"/>
      <c r="CQ61" s="1428"/>
      <c r="CR61" s="1428"/>
      <c r="CS61" s="1428"/>
      <c r="CT61" s="1428"/>
      <c r="CU61" s="1428"/>
      <c r="CV61" s="1428"/>
      <c r="CW61" s="1428"/>
      <c r="CX61" s="1428"/>
      <c r="CY61" s="1428"/>
      <c r="CZ61" s="1428"/>
      <c r="DA61" s="1428"/>
      <c r="DB61" s="1428"/>
      <c r="DC61" s="1428"/>
      <c r="DD61" s="1428"/>
      <c r="DE61" s="1428"/>
      <c r="DF61" s="1428"/>
      <c r="DG61" s="1428"/>
      <c r="DH61" s="1428"/>
      <c r="DI61" s="1428"/>
      <c r="DJ61" s="1428"/>
      <c r="DK61" s="1428"/>
      <c r="DL61" s="1428"/>
      <c r="DM61" s="1428"/>
      <c r="DN61" s="1428"/>
      <c r="DO61" s="1428"/>
      <c r="DP61" s="1428"/>
      <c r="DQ61" s="1428"/>
      <c r="DR61" s="1428"/>
      <c r="DS61" s="1428"/>
      <c r="DT61" s="1428"/>
      <c r="DU61" s="1428"/>
      <c r="DV61" s="1428"/>
      <c r="DW61" s="1428"/>
      <c r="DX61" s="1428"/>
      <c r="DY61" s="1428"/>
      <c r="DZ61" s="1428"/>
      <c r="EA61" s="1428"/>
      <c r="EB61" s="1428"/>
      <c r="EC61" s="1428"/>
      <c r="ED61" s="1428"/>
      <c r="EE61" s="1428"/>
      <c r="EF61" s="1428"/>
      <c r="EG61" s="1428"/>
      <c r="EH61" s="1428"/>
      <c r="EI61" s="1428"/>
      <c r="EJ61" s="1428"/>
      <c r="EK61" s="1428"/>
      <c r="EL61" s="1428"/>
      <c r="EM61" s="1428"/>
      <c r="EN61" s="1428"/>
      <c r="EO61" s="1428"/>
      <c r="EP61" s="1428"/>
      <c r="EQ61" s="1428"/>
      <c r="ER61" s="1428"/>
      <c r="ES61" s="1428"/>
      <c r="ET61" s="1428"/>
      <c r="EU61" s="1428"/>
      <c r="EV61" s="1428"/>
      <c r="EW61" s="1428"/>
      <c r="EX61" s="1428"/>
      <c r="EY61" s="1428"/>
      <c r="EZ61" s="1428"/>
      <c r="FA61" s="1428"/>
      <c r="FB61" s="1428"/>
      <c r="FC61" s="1428"/>
      <c r="FD61" s="1428"/>
      <c r="FE61" s="1428"/>
      <c r="FF61" s="1428"/>
      <c r="FG61" s="1428"/>
      <c r="FH61" s="1428"/>
      <c r="FI61" s="1428"/>
      <c r="FJ61" s="1428"/>
      <c r="FK61" s="1428"/>
    </row>
    <row r="62" spans="1:168" s="1711" customFormat="1" ht="15.75" customHeight="1" x14ac:dyDescent="0.3">
      <c r="A62" s="2671" t="s">
        <v>2558</v>
      </c>
      <c r="B62" s="1428"/>
      <c r="C62" s="1428"/>
      <c r="D62" s="1428"/>
      <c r="E62" s="1428"/>
      <c r="F62" s="1428"/>
      <c r="G62" s="1428"/>
      <c r="H62" s="1428"/>
      <c r="I62" s="1428"/>
      <c r="J62" s="1428"/>
      <c r="K62" s="1428"/>
      <c r="L62" s="1428"/>
      <c r="M62" s="1428"/>
      <c r="N62" s="1428"/>
      <c r="O62" s="1428"/>
      <c r="P62" s="1428"/>
      <c r="Q62" s="1428"/>
      <c r="R62" s="1428"/>
      <c r="S62" s="1428"/>
      <c r="T62" s="1428"/>
      <c r="U62" s="1428"/>
      <c r="V62" s="1428"/>
      <c r="W62" s="1428"/>
      <c r="X62" s="1428"/>
      <c r="Y62" s="1428"/>
      <c r="Z62" s="1428"/>
      <c r="AA62" s="1428"/>
      <c r="AB62" s="1428"/>
      <c r="AC62" s="1428"/>
      <c r="AD62" s="1428"/>
      <c r="AE62" s="1428"/>
      <c r="AF62" s="1428"/>
      <c r="AG62" s="1428"/>
      <c r="AH62" s="1428"/>
      <c r="AI62" s="1428"/>
      <c r="AJ62" s="1428"/>
      <c r="AK62" s="1428"/>
      <c r="AL62" s="1428"/>
      <c r="AM62" s="1428"/>
      <c r="AN62" s="1428"/>
      <c r="AO62" s="1428"/>
      <c r="AP62" s="1428"/>
      <c r="AQ62" s="1428"/>
      <c r="AR62" s="1428"/>
      <c r="AS62" s="1428"/>
      <c r="AT62" s="1428"/>
      <c r="AU62" s="1428"/>
      <c r="AV62" s="1428"/>
      <c r="AW62" s="1428"/>
      <c r="AX62" s="1428"/>
      <c r="AY62" s="1428"/>
      <c r="AZ62" s="1428"/>
      <c r="BA62" s="1428"/>
      <c r="BB62" s="1428"/>
      <c r="BC62" s="1428"/>
      <c r="BD62" s="1428"/>
      <c r="BE62" s="1428"/>
      <c r="BF62" s="1428"/>
      <c r="BG62" s="1428"/>
      <c r="BH62" s="1428"/>
      <c r="BI62" s="1428"/>
      <c r="BJ62" s="1428"/>
      <c r="BK62" s="1428"/>
      <c r="BL62" s="1428"/>
      <c r="BM62" s="1428"/>
      <c r="BN62" s="1428"/>
      <c r="BO62" s="1428"/>
      <c r="BP62" s="1428"/>
      <c r="BQ62" s="1428"/>
      <c r="BR62" s="1428"/>
      <c r="BS62" s="1428"/>
      <c r="BT62" s="1428"/>
      <c r="BU62" s="1428"/>
      <c r="BV62" s="1428"/>
      <c r="BW62" s="1428"/>
      <c r="BX62" s="1428"/>
      <c r="BY62" s="1428"/>
      <c r="BZ62" s="1428"/>
      <c r="CA62" s="1428"/>
      <c r="CB62" s="1428"/>
      <c r="CC62" s="1428"/>
      <c r="CD62" s="1428"/>
      <c r="CE62" s="1428"/>
      <c r="CF62" s="1428"/>
      <c r="CG62" s="1428"/>
      <c r="CH62" s="1428"/>
      <c r="CI62" s="1428"/>
      <c r="CJ62" s="1428"/>
      <c r="CK62" s="1428"/>
      <c r="CL62" s="1428"/>
      <c r="CM62" s="1428"/>
      <c r="CN62" s="1428"/>
      <c r="CO62" s="1428"/>
      <c r="CP62" s="1428"/>
      <c r="CQ62" s="1428"/>
      <c r="CR62" s="1428"/>
      <c r="CS62" s="1428"/>
      <c r="CT62" s="1428"/>
      <c r="CU62" s="1428"/>
      <c r="CV62" s="1428"/>
      <c r="CW62" s="1428"/>
      <c r="CX62" s="1428"/>
      <c r="CY62" s="1428"/>
      <c r="CZ62" s="1428"/>
      <c r="DA62" s="1428"/>
      <c r="DB62" s="1428"/>
      <c r="DC62" s="1428"/>
      <c r="DD62" s="1428"/>
      <c r="DE62" s="1428"/>
      <c r="DF62" s="1428"/>
      <c r="DG62" s="1428"/>
      <c r="DH62" s="1428"/>
      <c r="DI62" s="1428"/>
      <c r="DJ62" s="1428"/>
      <c r="DK62" s="1428"/>
      <c r="DL62" s="1428"/>
      <c r="DM62" s="1428"/>
      <c r="DN62" s="1428"/>
      <c r="DO62" s="1428"/>
      <c r="DP62" s="1428"/>
      <c r="DQ62" s="1428"/>
      <c r="DR62" s="1428"/>
      <c r="DS62" s="1428"/>
      <c r="DT62" s="1428"/>
      <c r="DU62" s="1428"/>
      <c r="DV62" s="1428"/>
      <c r="DW62" s="1428"/>
      <c r="DX62" s="1428"/>
      <c r="DY62" s="1428"/>
      <c r="DZ62" s="1428"/>
      <c r="EA62" s="1428"/>
      <c r="EB62" s="1428"/>
      <c r="EC62" s="1428"/>
      <c r="ED62" s="1428"/>
      <c r="EE62" s="1428"/>
      <c r="EF62" s="1428"/>
      <c r="EG62" s="1428"/>
      <c r="EH62" s="1428"/>
      <c r="EI62" s="1428"/>
      <c r="EJ62" s="1428"/>
      <c r="EK62" s="1428"/>
      <c r="EL62" s="1428"/>
      <c r="EM62" s="1428"/>
      <c r="EN62" s="1428"/>
      <c r="EO62" s="1428"/>
      <c r="EP62" s="1428"/>
      <c r="EQ62" s="1428"/>
      <c r="ER62" s="1428"/>
      <c r="ES62" s="1428"/>
      <c r="ET62" s="1428"/>
      <c r="EU62" s="1428"/>
      <c r="EV62" s="1428"/>
      <c r="EW62" s="1428"/>
      <c r="EX62" s="1428"/>
      <c r="EY62" s="1428"/>
      <c r="EZ62" s="1428"/>
      <c r="FA62" s="1428"/>
      <c r="FB62" s="1428"/>
      <c r="FC62" s="1428"/>
      <c r="FD62" s="1428"/>
      <c r="FE62" s="1428"/>
      <c r="FF62" s="1428"/>
      <c r="FG62" s="1428"/>
      <c r="FH62" s="1428"/>
      <c r="FI62" s="1428"/>
      <c r="FJ62" s="1428"/>
      <c r="FK62" s="1428"/>
    </row>
    <row r="63" spans="1:168" s="1711" customFormat="1" ht="15.75" customHeight="1" x14ac:dyDescent="0.3">
      <c r="A63" s="1428" t="s">
        <v>2559</v>
      </c>
      <c r="B63" s="1428"/>
      <c r="C63" s="1428"/>
      <c r="D63" s="1428"/>
      <c r="E63" s="1428"/>
      <c r="F63" s="1428"/>
      <c r="G63" s="1428"/>
      <c r="H63" s="1428"/>
      <c r="I63" s="1428"/>
      <c r="J63" s="1428"/>
      <c r="K63" s="1428"/>
      <c r="L63" s="1428"/>
      <c r="M63" s="1428"/>
      <c r="N63" s="1428"/>
      <c r="O63" s="1428"/>
      <c r="P63" s="1428"/>
      <c r="Q63" s="1428"/>
      <c r="R63" s="1428"/>
      <c r="S63" s="1428"/>
      <c r="T63" s="1428"/>
      <c r="U63" s="1428"/>
      <c r="V63" s="1428"/>
      <c r="W63" s="1428"/>
      <c r="X63" s="1428"/>
      <c r="Y63" s="1428"/>
      <c r="Z63" s="1428"/>
      <c r="AA63" s="1428"/>
      <c r="AB63" s="1428"/>
      <c r="AC63" s="1428"/>
      <c r="AD63" s="1428"/>
      <c r="AE63" s="1428"/>
      <c r="AF63" s="1428"/>
      <c r="AG63" s="1428"/>
      <c r="AH63" s="1428"/>
      <c r="AI63" s="1428"/>
      <c r="AJ63" s="1428"/>
      <c r="AK63" s="1428"/>
      <c r="AL63" s="1428"/>
      <c r="AM63" s="1428"/>
      <c r="AN63" s="1428"/>
      <c r="AO63" s="1428"/>
      <c r="AP63" s="1428"/>
      <c r="AQ63" s="1428"/>
      <c r="AR63" s="1428"/>
      <c r="AS63" s="1428"/>
      <c r="AT63" s="1428"/>
      <c r="AU63" s="1428"/>
      <c r="AV63" s="1428"/>
      <c r="AW63" s="1428"/>
      <c r="AX63" s="1428"/>
      <c r="AY63" s="1428"/>
      <c r="AZ63" s="1428"/>
      <c r="BA63" s="1428"/>
      <c r="BB63" s="1428"/>
      <c r="BC63" s="1428"/>
      <c r="BD63" s="1428"/>
      <c r="BE63" s="1428"/>
      <c r="BF63" s="1428"/>
      <c r="BG63" s="1428"/>
      <c r="BH63" s="1428"/>
      <c r="BI63" s="1428"/>
      <c r="BJ63" s="1428"/>
      <c r="BK63" s="1428"/>
      <c r="BL63" s="1428"/>
      <c r="BM63" s="1428"/>
      <c r="BN63" s="1428"/>
      <c r="BO63" s="1428"/>
      <c r="BP63" s="1428"/>
      <c r="BQ63" s="1428"/>
      <c r="BR63" s="1428"/>
      <c r="BS63" s="1428"/>
      <c r="BT63" s="1428"/>
      <c r="BU63" s="1428"/>
      <c r="BV63" s="1428"/>
      <c r="BW63" s="1428"/>
      <c r="BX63" s="1428"/>
      <c r="BY63" s="1428"/>
      <c r="BZ63" s="1428"/>
      <c r="CA63" s="1428"/>
      <c r="CB63" s="1428"/>
      <c r="CC63" s="1428"/>
      <c r="CD63" s="1428"/>
      <c r="CE63" s="1428"/>
      <c r="CF63" s="1428"/>
      <c r="CG63" s="1428"/>
      <c r="CH63" s="1428"/>
      <c r="CI63" s="1428"/>
      <c r="CJ63" s="1428"/>
      <c r="CK63" s="1428"/>
      <c r="CL63" s="1428"/>
      <c r="CM63" s="1428"/>
      <c r="CN63" s="1428"/>
      <c r="CO63" s="1428"/>
      <c r="CP63" s="1428"/>
      <c r="CQ63" s="1428"/>
      <c r="CR63" s="1428"/>
      <c r="CS63" s="1428"/>
      <c r="CT63" s="1428"/>
      <c r="CU63" s="1428"/>
      <c r="CV63" s="1428"/>
      <c r="CW63" s="1428"/>
      <c r="CX63" s="1428"/>
      <c r="CY63" s="1428"/>
      <c r="CZ63" s="1428"/>
      <c r="DA63" s="1428"/>
      <c r="DB63" s="1428"/>
      <c r="DC63" s="1428"/>
      <c r="DD63" s="1428"/>
      <c r="DE63" s="1428"/>
      <c r="DF63" s="1428"/>
      <c r="DG63" s="1428"/>
      <c r="DH63" s="1428"/>
      <c r="DI63" s="1428"/>
      <c r="DJ63" s="1428"/>
      <c r="DK63" s="1428"/>
      <c r="DL63" s="1428"/>
      <c r="DM63" s="1428"/>
      <c r="DN63" s="1428"/>
      <c r="DO63" s="1428"/>
      <c r="DP63" s="1428"/>
      <c r="DQ63" s="1428"/>
      <c r="DR63" s="1428"/>
      <c r="DS63" s="1428"/>
      <c r="DT63" s="1428"/>
      <c r="DU63" s="1428"/>
      <c r="DV63" s="1428"/>
      <c r="DW63" s="1428"/>
      <c r="DX63" s="1428"/>
      <c r="DY63" s="1428"/>
      <c r="DZ63" s="1428"/>
      <c r="EA63" s="1428"/>
      <c r="EB63" s="1428"/>
      <c r="EC63" s="1428"/>
      <c r="ED63" s="1428"/>
      <c r="EE63" s="1428"/>
      <c r="EF63" s="1428"/>
      <c r="EG63" s="1428"/>
      <c r="EH63" s="1428"/>
      <c r="EI63" s="1428"/>
      <c r="EJ63" s="1428"/>
      <c r="EK63" s="1428"/>
      <c r="EL63" s="1428"/>
      <c r="EM63" s="1428"/>
      <c r="EN63" s="1428"/>
      <c r="EO63" s="1428"/>
      <c r="EP63" s="1428"/>
      <c r="EQ63" s="1428"/>
      <c r="ER63" s="1428"/>
      <c r="ES63" s="1428"/>
      <c r="ET63" s="1428"/>
      <c r="EU63" s="1428"/>
      <c r="EV63" s="1428"/>
      <c r="EW63" s="1428"/>
      <c r="EX63" s="1428"/>
      <c r="EY63" s="1428"/>
      <c r="EZ63" s="1428"/>
      <c r="FA63" s="1428"/>
      <c r="FB63" s="1428"/>
      <c r="FC63" s="1428"/>
      <c r="FD63" s="1428"/>
      <c r="FE63" s="1428"/>
      <c r="FF63" s="1428"/>
      <c r="FG63" s="1428"/>
      <c r="FH63" s="1428"/>
      <c r="FI63" s="1428"/>
      <c r="FJ63" s="1428"/>
      <c r="FK63" s="1428"/>
    </row>
    <row r="64" spans="1:168" s="2672" customFormat="1" ht="21" customHeight="1" x14ac:dyDescent="0.25">
      <c r="A64" s="2131" t="s">
        <v>290</v>
      </c>
      <c r="B64" s="1427"/>
      <c r="C64" s="1427"/>
      <c r="D64" s="1427"/>
      <c r="E64" s="1427"/>
      <c r="F64" s="1427"/>
      <c r="G64" s="1427"/>
      <c r="H64" s="1427"/>
      <c r="I64" s="1427"/>
      <c r="J64" s="1427"/>
      <c r="K64" s="1427"/>
      <c r="L64" s="1427"/>
      <c r="M64" s="1427"/>
      <c r="N64" s="1427"/>
      <c r="O64" s="1427"/>
      <c r="P64" s="1427"/>
      <c r="Q64" s="1427"/>
      <c r="R64" s="1427"/>
      <c r="S64" s="1427"/>
      <c r="T64" s="1427"/>
      <c r="U64" s="1427"/>
      <c r="V64" s="1427"/>
      <c r="W64" s="1427"/>
      <c r="X64" s="1427"/>
      <c r="Y64" s="1427"/>
      <c r="Z64" s="1427"/>
      <c r="AA64" s="1427"/>
      <c r="AB64" s="1427"/>
      <c r="AC64" s="1427"/>
      <c r="AD64" s="1427"/>
      <c r="AE64" s="1427"/>
      <c r="AF64" s="1427"/>
      <c r="AG64" s="1427"/>
      <c r="AH64" s="1427"/>
      <c r="AI64" s="1427"/>
      <c r="AJ64" s="1427"/>
      <c r="AK64" s="1427"/>
      <c r="AL64" s="1427"/>
      <c r="AM64" s="1427"/>
      <c r="AN64" s="1427"/>
      <c r="AO64" s="1427"/>
      <c r="AP64" s="1427"/>
      <c r="AQ64" s="1427"/>
      <c r="AR64" s="1427"/>
      <c r="AS64" s="1427"/>
      <c r="AT64" s="1427"/>
      <c r="AU64" s="1427"/>
      <c r="AV64" s="1427"/>
      <c r="AW64" s="1427"/>
      <c r="AX64" s="1427"/>
      <c r="AY64" s="1427"/>
      <c r="AZ64" s="1427"/>
      <c r="BA64" s="1427"/>
      <c r="BB64" s="1427"/>
      <c r="BC64" s="1427"/>
      <c r="BD64" s="1427"/>
      <c r="BE64" s="1427"/>
      <c r="BF64" s="1427"/>
      <c r="BG64" s="1427"/>
      <c r="BH64" s="1427"/>
      <c r="BI64" s="1427"/>
      <c r="BJ64" s="1427"/>
      <c r="BK64" s="1427"/>
      <c r="BL64" s="1427"/>
      <c r="BM64" s="1427"/>
      <c r="BN64" s="1427"/>
      <c r="BO64" s="1427"/>
      <c r="BP64" s="1427"/>
      <c r="BQ64" s="1427"/>
      <c r="BR64" s="1427"/>
      <c r="BS64" s="1427"/>
      <c r="BT64" s="1427"/>
      <c r="BU64" s="1427"/>
      <c r="BV64" s="1427"/>
      <c r="BW64" s="1427"/>
      <c r="BX64" s="1427"/>
      <c r="BY64" s="1427"/>
      <c r="BZ64" s="1427"/>
      <c r="CA64" s="1427"/>
      <c r="CB64" s="1427"/>
      <c r="CC64" s="1427"/>
      <c r="CD64" s="1427"/>
      <c r="CE64" s="1427"/>
      <c r="CF64" s="1427"/>
      <c r="CG64" s="1427"/>
      <c r="CH64" s="1427"/>
      <c r="CI64" s="1427"/>
      <c r="CJ64" s="1427"/>
      <c r="CK64" s="1427"/>
      <c r="CL64" s="1427"/>
      <c r="CM64" s="1427"/>
      <c r="CN64" s="1427"/>
      <c r="CO64" s="1427"/>
      <c r="CP64" s="1427"/>
      <c r="CQ64" s="1427"/>
      <c r="CR64" s="1427"/>
      <c r="CS64" s="1427"/>
      <c r="CT64" s="1427"/>
      <c r="CU64" s="1427"/>
      <c r="CV64" s="1427"/>
      <c r="CW64" s="1427"/>
      <c r="CX64" s="1427"/>
      <c r="CY64" s="1427"/>
      <c r="CZ64" s="1427"/>
      <c r="DA64" s="1427"/>
      <c r="DB64" s="1427"/>
      <c r="DC64" s="1427"/>
      <c r="DD64" s="1427"/>
      <c r="DE64" s="1427"/>
      <c r="DF64" s="1427"/>
      <c r="DG64" s="1427"/>
      <c r="DH64" s="1427"/>
      <c r="DI64" s="1427"/>
      <c r="DJ64" s="1427"/>
      <c r="DK64" s="1427"/>
      <c r="DL64" s="1427"/>
      <c r="DM64" s="1427"/>
      <c r="DN64" s="1427"/>
      <c r="DO64" s="1427"/>
      <c r="DP64" s="1427"/>
      <c r="DQ64" s="1427"/>
      <c r="DR64" s="1427"/>
      <c r="DS64" s="1427"/>
      <c r="DT64" s="1427"/>
      <c r="DU64" s="1427"/>
      <c r="DV64" s="1427"/>
      <c r="DW64" s="1427"/>
      <c r="DX64" s="1427"/>
      <c r="DY64" s="1427"/>
      <c r="DZ64" s="1427"/>
      <c r="EA64" s="1427"/>
      <c r="EB64" s="1427"/>
      <c r="EC64" s="1427"/>
      <c r="ED64" s="1427"/>
      <c r="EE64" s="1427"/>
      <c r="EF64" s="1427"/>
      <c r="EG64" s="1427"/>
      <c r="EH64" s="1427"/>
      <c r="EI64" s="1427"/>
      <c r="EJ64" s="1427"/>
      <c r="EK64" s="1427"/>
      <c r="EL64" s="1427"/>
      <c r="EM64" s="1427"/>
      <c r="EN64" s="1427"/>
      <c r="EO64" s="1427"/>
      <c r="EP64" s="1427"/>
      <c r="EQ64" s="1427"/>
      <c r="ER64" s="1427"/>
      <c r="ES64" s="1427"/>
      <c r="ET64" s="1427"/>
      <c r="EU64" s="1427"/>
      <c r="EV64" s="1427"/>
      <c r="EW64" s="1427"/>
      <c r="EX64" s="1427"/>
      <c r="EY64" s="1427"/>
      <c r="EZ64" s="1427"/>
      <c r="FA64" s="1427"/>
      <c r="FB64" s="1427"/>
      <c r="FC64" s="1427"/>
      <c r="FD64" s="1427"/>
      <c r="FE64" s="1427"/>
      <c r="FF64" s="1427"/>
      <c r="FG64" s="1427"/>
      <c r="FH64" s="1427"/>
      <c r="FI64" s="1427"/>
      <c r="FJ64" s="1427"/>
      <c r="FK64" s="1427"/>
    </row>
    <row r="65" spans="1:167" ht="17.25" x14ac:dyDescent="0.3">
      <c r="A65" s="624"/>
      <c r="B65" s="624"/>
      <c r="C65" s="624"/>
      <c r="D65" s="624"/>
      <c r="E65" s="624"/>
      <c r="F65" s="624"/>
      <c r="G65" s="624"/>
      <c r="H65" s="624"/>
      <c r="I65" s="624"/>
      <c r="J65" s="624"/>
      <c r="K65" s="624"/>
      <c r="L65" s="624"/>
      <c r="M65" s="624"/>
      <c r="N65" s="624"/>
      <c r="O65" s="624"/>
      <c r="P65" s="624"/>
      <c r="Q65" s="624"/>
      <c r="R65" s="624"/>
      <c r="S65" s="624"/>
      <c r="T65" s="624"/>
      <c r="U65" s="624"/>
      <c r="V65" s="624"/>
      <c r="W65" s="624"/>
      <c r="X65" s="624"/>
      <c r="Y65" s="624"/>
      <c r="Z65" s="624"/>
      <c r="AA65" s="624"/>
      <c r="AB65" s="624"/>
      <c r="AC65" s="624"/>
      <c r="AD65" s="624"/>
      <c r="AE65" s="624"/>
      <c r="AF65" s="624"/>
      <c r="AG65" s="624"/>
      <c r="AH65" s="624"/>
      <c r="AI65" s="624"/>
      <c r="AJ65" s="624"/>
      <c r="AK65" s="624"/>
      <c r="AL65" s="624"/>
      <c r="AM65" s="624"/>
      <c r="AN65" s="624"/>
      <c r="AO65" s="624"/>
      <c r="AP65" s="624"/>
      <c r="AQ65" s="624"/>
      <c r="AR65" s="624"/>
      <c r="AS65" s="624"/>
      <c r="AT65" s="624"/>
      <c r="AU65" s="624"/>
      <c r="AV65" s="624"/>
      <c r="AW65" s="624"/>
      <c r="AX65" s="624"/>
      <c r="AY65" s="624"/>
      <c r="AZ65" s="624"/>
      <c r="BA65" s="624"/>
      <c r="BB65" s="624"/>
      <c r="BC65" s="624"/>
      <c r="BD65" s="624"/>
      <c r="BE65" s="624"/>
      <c r="BF65" s="624"/>
      <c r="BG65" s="624"/>
      <c r="BH65" s="624"/>
      <c r="BI65" s="624"/>
      <c r="BJ65" s="624"/>
      <c r="BK65" s="624"/>
      <c r="BL65" s="624"/>
      <c r="BM65" s="624"/>
      <c r="BN65" s="624"/>
      <c r="BO65" s="624"/>
      <c r="BP65" s="624"/>
      <c r="BQ65" s="624"/>
      <c r="BR65" s="624"/>
      <c r="BS65" s="624"/>
      <c r="BT65" s="624"/>
      <c r="BU65" s="624"/>
      <c r="BV65" s="624"/>
      <c r="BW65" s="624"/>
      <c r="BX65" s="624"/>
      <c r="BY65" s="624"/>
      <c r="BZ65" s="624"/>
      <c r="CA65" s="624"/>
      <c r="CB65" s="624"/>
      <c r="CC65" s="624"/>
      <c r="CD65" s="624"/>
      <c r="CE65" s="624"/>
      <c r="CF65" s="624"/>
      <c r="CG65" s="624"/>
      <c r="CH65" s="624"/>
      <c r="CI65" s="624"/>
      <c r="CJ65" s="624"/>
      <c r="CK65" s="624"/>
      <c r="CL65" s="624"/>
      <c r="CM65" s="624"/>
      <c r="CN65" s="624"/>
      <c r="CO65" s="624"/>
      <c r="CP65" s="624"/>
      <c r="CQ65" s="624"/>
      <c r="CR65" s="624"/>
      <c r="CS65" s="624"/>
      <c r="CT65" s="624"/>
      <c r="CU65" s="624"/>
      <c r="CV65" s="624"/>
      <c r="CW65" s="624"/>
      <c r="CX65" s="624"/>
      <c r="CY65" s="624"/>
      <c r="CZ65" s="624"/>
      <c r="DA65" s="624"/>
      <c r="DB65" s="624"/>
      <c r="DC65" s="624"/>
      <c r="DD65" s="624"/>
      <c r="DE65" s="624"/>
      <c r="DF65" s="624"/>
      <c r="DG65" s="624"/>
      <c r="DH65" s="624"/>
      <c r="DI65" s="624"/>
      <c r="DJ65" s="624"/>
      <c r="DK65" s="624"/>
      <c r="DL65" s="624"/>
      <c r="DM65" s="624"/>
      <c r="DN65" s="624"/>
      <c r="DO65" s="624"/>
      <c r="DP65" s="624"/>
      <c r="DQ65" s="624"/>
      <c r="DR65" s="624"/>
      <c r="DS65" s="624"/>
      <c r="DT65" s="624"/>
      <c r="DU65" s="624"/>
      <c r="DV65" s="624"/>
      <c r="DW65" s="624"/>
      <c r="DX65" s="624"/>
      <c r="DY65" s="624"/>
      <c r="DZ65" s="624"/>
      <c r="EA65" s="624"/>
      <c r="EB65" s="624"/>
      <c r="EC65" s="624"/>
      <c r="ED65" s="624"/>
      <c r="EE65" s="624"/>
      <c r="EF65" s="624"/>
      <c r="EG65" s="624"/>
      <c r="EH65" s="624"/>
      <c r="EI65" s="624"/>
      <c r="EJ65" s="624"/>
      <c r="EK65" s="624"/>
      <c r="EL65" s="624"/>
      <c r="EM65" s="624"/>
      <c r="EN65" s="624"/>
      <c r="EO65" s="624"/>
      <c r="EP65" s="624"/>
      <c r="EQ65" s="624"/>
      <c r="ER65" s="624"/>
      <c r="ES65" s="624"/>
      <c r="ET65" s="624"/>
      <c r="EU65" s="624"/>
      <c r="EV65" s="624"/>
      <c r="EW65" s="624"/>
      <c r="EX65" s="624"/>
      <c r="EY65" s="624"/>
      <c r="EZ65" s="624"/>
      <c r="FA65" s="624"/>
      <c r="FB65" s="624"/>
      <c r="FC65" s="624"/>
      <c r="FD65" s="624"/>
      <c r="FE65" s="624"/>
      <c r="FF65" s="624"/>
      <c r="FG65" s="624"/>
      <c r="FH65" s="624"/>
      <c r="FI65" s="624"/>
      <c r="FJ65" s="624"/>
      <c r="FK65" s="624"/>
    </row>
  </sheetData>
  <printOptions horizontalCentered="1"/>
  <pageMargins left="0.74803149606299213" right="0.23622047244094491" top="0.55118110236220474" bottom="0.74803149606299213" header="0.31496062992125984" footer="0"/>
  <pageSetup paperSize="9" scale="47" fitToHeight="0" orientation="landscape"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AQ22"/>
  <sheetViews>
    <sheetView showGridLines="0" topLeftCell="A6" zoomScale="90" zoomScaleNormal="90" zoomScaleSheetLayoutView="106" workbookViewId="0">
      <selection activeCell="AJ34" sqref="AJ34"/>
    </sheetView>
  </sheetViews>
  <sheetFormatPr defaultColWidth="13.140625" defaultRowHeight="16.5" x14ac:dyDescent="0.3"/>
  <cols>
    <col min="1" max="1" width="21.85546875" style="477" customWidth="1"/>
    <col min="2" max="3" width="14.140625" style="421" hidden="1" customWidth="1"/>
    <col min="4" max="8" width="16.140625" style="421" hidden="1" customWidth="1"/>
    <col min="9" max="9" width="10.5703125" style="421" hidden="1" customWidth="1"/>
    <col min="10" max="33" width="16.140625" style="421" hidden="1" customWidth="1"/>
    <col min="34" max="43" width="16.140625" style="421" customWidth="1"/>
    <col min="44" max="16384" width="13.140625" style="421"/>
  </cols>
  <sheetData>
    <row r="1" spans="1:43" ht="23.25" customHeight="1" x14ac:dyDescent="0.3">
      <c r="A1" s="420" t="s">
        <v>259</v>
      </c>
      <c r="B1" s="420"/>
      <c r="C1" s="420"/>
      <c r="D1" s="420"/>
      <c r="E1" s="420"/>
      <c r="F1" s="420"/>
      <c r="G1" s="420"/>
      <c r="H1" s="420"/>
      <c r="I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0"/>
      <c r="AI1" s="420"/>
      <c r="AJ1" s="420"/>
      <c r="AK1" s="420"/>
      <c r="AL1" s="420"/>
      <c r="AM1" s="420"/>
      <c r="AN1" s="420"/>
      <c r="AO1" s="420"/>
      <c r="AP1" s="420"/>
      <c r="AQ1" s="420"/>
    </row>
    <row r="2" spans="1:43" ht="15" thickBot="1" x14ac:dyDescent="0.3">
      <c r="A2" s="422"/>
      <c r="B2" s="422"/>
      <c r="C2" s="422"/>
      <c r="D2" s="422"/>
      <c r="E2" s="422"/>
      <c r="F2" s="422"/>
      <c r="G2" s="422"/>
      <c r="H2" s="422"/>
      <c r="I2" s="422"/>
      <c r="J2" s="422"/>
      <c r="K2" s="422"/>
      <c r="L2" s="423"/>
      <c r="M2" s="423"/>
      <c r="N2" s="423"/>
      <c r="O2" s="423"/>
      <c r="P2" s="423"/>
      <c r="Q2" s="423"/>
      <c r="R2" s="423"/>
      <c r="S2" s="423"/>
      <c r="T2" s="423"/>
      <c r="U2" s="423"/>
      <c r="V2" s="423"/>
      <c r="W2" s="423"/>
      <c r="X2" s="423"/>
      <c r="Y2" s="423"/>
      <c r="Z2" s="423"/>
      <c r="AA2" s="423"/>
      <c r="AB2" s="423"/>
      <c r="AC2" s="423"/>
      <c r="AD2" s="423"/>
      <c r="AE2" s="423"/>
      <c r="AF2" s="423"/>
      <c r="AG2" s="423"/>
      <c r="AH2" s="423"/>
      <c r="AI2" s="423"/>
      <c r="AJ2" s="423"/>
      <c r="AK2" s="423"/>
      <c r="AL2" s="423"/>
      <c r="AM2" s="423"/>
      <c r="AN2" s="423"/>
      <c r="AO2" s="423"/>
      <c r="AP2" s="423"/>
      <c r="AQ2" s="423"/>
    </row>
    <row r="3" spans="1:43" ht="17.25" thickTop="1" x14ac:dyDescent="0.3">
      <c r="A3" s="424"/>
      <c r="B3" s="3575" t="s">
        <v>260</v>
      </c>
      <c r="C3" s="3576"/>
      <c r="D3" s="3573" t="s">
        <v>261</v>
      </c>
      <c r="E3" s="3577"/>
      <c r="F3" s="3573" t="s">
        <v>262</v>
      </c>
      <c r="G3" s="3577"/>
      <c r="H3" s="3573" t="s">
        <v>263</v>
      </c>
      <c r="I3" s="3577"/>
      <c r="J3" s="3573" t="s">
        <v>264</v>
      </c>
      <c r="K3" s="3577"/>
      <c r="L3" s="3573" t="s">
        <v>265</v>
      </c>
      <c r="M3" s="3574"/>
      <c r="N3" s="3573" t="s">
        <v>266</v>
      </c>
      <c r="O3" s="3574"/>
      <c r="P3" s="3573" t="s">
        <v>267</v>
      </c>
      <c r="Q3" s="3574"/>
      <c r="R3" s="3573" t="s">
        <v>268</v>
      </c>
      <c r="S3" s="3574"/>
      <c r="T3" s="3573" t="s">
        <v>269</v>
      </c>
      <c r="U3" s="3574"/>
      <c r="V3" s="3573" t="s">
        <v>270</v>
      </c>
      <c r="W3" s="3574"/>
      <c r="X3" s="3573" t="s">
        <v>271</v>
      </c>
      <c r="Y3" s="3574"/>
      <c r="Z3" s="3573" t="s">
        <v>272</v>
      </c>
      <c r="AA3" s="3574"/>
      <c r="AB3" s="3573" t="s">
        <v>273</v>
      </c>
      <c r="AC3" s="3574"/>
      <c r="AD3" s="3573" t="s">
        <v>274</v>
      </c>
      <c r="AE3" s="3574"/>
      <c r="AF3" s="3573" t="s">
        <v>275</v>
      </c>
      <c r="AG3" s="3574"/>
      <c r="AH3" s="3573" t="s">
        <v>276</v>
      </c>
      <c r="AI3" s="3574"/>
      <c r="AJ3" s="3573" t="s">
        <v>277</v>
      </c>
      <c r="AK3" s="3574"/>
      <c r="AL3" s="3573" t="s">
        <v>278</v>
      </c>
      <c r="AM3" s="3574"/>
      <c r="AN3" s="3573" t="s">
        <v>279</v>
      </c>
      <c r="AO3" s="3574"/>
      <c r="AP3" s="3573" t="s">
        <v>280</v>
      </c>
      <c r="AQ3" s="3574"/>
    </row>
    <row r="4" spans="1:43" ht="17.25" thickBot="1" x14ac:dyDescent="0.3">
      <c r="A4" s="425"/>
      <c r="B4" s="426" t="s">
        <v>281</v>
      </c>
      <c r="C4" s="427" t="s">
        <v>282</v>
      </c>
      <c r="D4" s="428" t="s">
        <v>281</v>
      </c>
      <c r="E4" s="429" t="s">
        <v>282</v>
      </c>
      <c r="F4" s="428" t="s">
        <v>281</v>
      </c>
      <c r="G4" s="429" t="s">
        <v>282</v>
      </c>
      <c r="H4" s="428" t="s">
        <v>281</v>
      </c>
      <c r="I4" s="429" t="s">
        <v>282</v>
      </c>
      <c r="J4" s="428" t="s">
        <v>281</v>
      </c>
      <c r="K4" s="429" t="s">
        <v>282</v>
      </c>
      <c r="L4" s="428" t="s">
        <v>281</v>
      </c>
      <c r="M4" s="430" t="s">
        <v>282</v>
      </c>
      <c r="N4" s="428" t="s">
        <v>281</v>
      </c>
      <c r="O4" s="430" t="s">
        <v>282</v>
      </c>
      <c r="P4" s="428" t="s">
        <v>281</v>
      </c>
      <c r="Q4" s="430" t="s">
        <v>282</v>
      </c>
      <c r="R4" s="428" t="s">
        <v>281</v>
      </c>
      <c r="S4" s="430" t="s">
        <v>282</v>
      </c>
      <c r="T4" s="428" t="s">
        <v>281</v>
      </c>
      <c r="U4" s="430" t="s">
        <v>282</v>
      </c>
      <c r="V4" s="428" t="s">
        <v>281</v>
      </c>
      <c r="W4" s="430" t="s">
        <v>282</v>
      </c>
      <c r="X4" s="428" t="s">
        <v>281</v>
      </c>
      <c r="Y4" s="430" t="s">
        <v>282</v>
      </c>
      <c r="Z4" s="428" t="s">
        <v>281</v>
      </c>
      <c r="AA4" s="430" t="s">
        <v>282</v>
      </c>
      <c r="AB4" s="428" t="s">
        <v>281</v>
      </c>
      <c r="AC4" s="430" t="s">
        <v>282</v>
      </c>
      <c r="AD4" s="428" t="s">
        <v>281</v>
      </c>
      <c r="AE4" s="430" t="s">
        <v>282</v>
      </c>
      <c r="AF4" s="428" t="s">
        <v>281</v>
      </c>
      <c r="AG4" s="430" t="s">
        <v>282</v>
      </c>
      <c r="AH4" s="428" t="s">
        <v>281</v>
      </c>
      <c r="AI4" s="430" t="s">
        <v>282</v>
      </c>
      <c r="AJ4" s="428" t="s">
        <v>281</v>
      </c>
      <c r="AK4" s="430" t="s">
        <v>282</v>
      </c>
      <c r="AL4" s="428" t="s">
        <v>281</v>
      </c>
      <c r="AM4" s="430" t="s">
        <v>282</v>
      </c>
      <c r="AN4" s="428" t="s">
        <v>281</v>
      </c>
      <c r="AO4" s="430" t="s">
        <v>282</v>
      </c>
      <c r="AP4" s="428" t="s">
        <v>281</v>
      </c>
      <c r="AQ4" s="430" t="s">
        <v>282</v>
      </c>
    </row>
    <row r="5" spans="1:43" s="437" customFormat="1" ht="17.25" thickBot="1" x14ac:dyDescent="0.35">
      <c r="A5" s="431" t="s">
        <v>283</v>
      </c>
      <c r="B5" s="432">
        <v>14908.181149508031</v>
      </c>
      <c r="C5" s="433">
        <v>31620</v>
      </c>
      <c r="D5" s="434">
        <v>15472.226499364326</v>
      </c>
      <c r="E5" s="435">
        <v>32513</v>
      </c>
      <c r="F5" s="434">
        <v>15996.346761563796</v>
      </c>
      <c r="G5" s="435">
        <v>32983</v>
      </c>
      <c r="H5" s="434">
        <v>15476.124991389166</v>
      </c>
      <c r="I5" s="435">
        <v>33601</v>
      </c>
      <c r="J5" s="434">
        <v>16582.18896130372</v>
      </c>
      <c r="K5" s="435">
        <v>34910</v>
      </c>
      <c r="L5" s="434">
        <v>17185.811581534814</v>
      </c>
      <c r="M5" s="436">
        <v>35567</v>
      </c>
      <c r="N5" s="434">
        <v>18966.851299744958</v>
      </c>
      <c r="O5" s="436">
        <v>35555</v>
      </c>
      <c r="P5" s="434">
        <v>18419.382639355743</v>
      </c>
      <c r="Q5" s="436">
        <v>36439</v>
      </c>
      <c r="R5" s="434">
        <v>18014.589488085585</v>
      </c>
      <c r="S5" s="436">
        <v>36555</v>
      </c>
      <c r="T5" s="434">
        <v>18286.932862350826</v>
      </c>
      <c r="U5" s="436">
        <v>36567</v>
      </c>
      <c r="V5" s="434">
        <v>18277.910962895854</v>
      </c>
      <c r="W5" s="436">
        <v>36039</v>
      </c>
      <c r="X5" s="434">
        <v>18142.937389209997</v>
      </c>
      <c r="Y5" s="436">
        <v>35944</v>
      </c>
      <c r="Z5" s="434">
        <v>18142.599396607391</v>
      </c>
      <c r="AA5" s="436">
        <v>36001</v>
      </c>
      <c r="AB5" s="434">
        <v>18220.065253491968</v>
      </c>
      <c r="AC5" s="436">
        <v>36097</v>
      </c>
      <c r="AD5" s="434">
        <v>18226.650243643857</v>
      </c>
      <c r="AE5" s="436">
        <v>36250</v>
      </c>
      <c r="AF5" s="434">
        <v>18139.50873779301</v>
      </c>
      <c r="AG5" s="436">
        <v>35607</v>
      </c>
      <c r="AH5" s="434">
        <v>18423.495669830168</v>
      </c>
      <c r="AI5" s="436">
        <v>35838</v>
      </c>
      <c r="AJ5" s="434">
        <v>18739.754680192382</v>
      </c>
      <c r="AK5" s="436">
        <v>36287</v>
      </c>
      <c r="AL5" s="434">
        <v>19403.358538053715</v>
      </c>
      <c r="AM5" s="436">
        <v>39551</v>
      </c>
      <c r="AN5" s="434">
        <v>20145.687732378006</v>
      </c>
      <c r="AO5" s="436">
        <v>40553</v>
      </c>
      <c r="AP5" s="434">
        <v>21763.981042456078</v>
      </c>
      <c r="AQ5" s="436">
        <v>42160</v>
      </c>
    </row>
    <row r="6" spans="1:43" x14ac:dyDescent="0.3">
      <c r="A6" s="438" t="s">
        <v>284</v>
      </c>
      <c r="B6" s="439">
        <v>1703.3231020000001</v>
      </c>
      <c r="C6" s="440">
        <v>4040</v>
      </c>
      <c r="D6" s="441">
        <v>2029.4331440000001</v>
      </c>
      <c r="E6" s="442">
        <v>4665</v>
      </c>
      <c r="F6" s="441">
        <v>2009.0752500000001</v>
      </c>
      <c r="G6" s="442">
        <v>4701</v>
      </c>
      <c r="H6" s="441">
        <v>2064.6409565499998</v>
      </c>
      <c r="I6" s="442">
        <v>4856</v>
      </c>
      <c r="J6" s="441">
        <v>2033.9340511599999</v>
      </c>
      <c r="K6" s="442">
        <v>4868</v>
      </c>
      <c r="L6" s="441">
        <v>2420.0622960000001</v>
      </c>
      <c r="M6" s="443">
        <v>5692</v>
      </c>
      <c r="N6" s="441">
        <v>2581.1587541199997</v>
      </c>
      <c r="O6" s="443">
        <v>6005</v>
      </c>
      <c r="P6" s="441">
        <v>5825.2907836499999</v>
      </c>
      <c r="Q6" s="443">
        <v>13768</v>
      </c>
      <c r="R6" s="441">
        <v>5699.7036489505881</v>
      </c>
      <c r="S6" s="443">
        <v>13717</v>
      </c>
      <c r="T6" s="441">
        <v>5751.0841163888463</v>
      </c>
      <c r="U6" s="443">
        <v>14022</v>
      </c>
      <c r="V6" s="441">
        <v>5653.1123186100003</v>
      </c>
      <c r="W6" s="443">
        <v>13432</v>
      </c>
      <c r="X6" s="441">
        <v>5518.6911389999996</v>
      </c>
      <c r="Y6" s="443">
        <v>13441</v>
      </c>
      <c r="Z6" s="441">
        <v>5452.7008114319988</v>
      </c>
      <c r="AA6" s="443">
        <v>13103</v>
      </c>
      <c r="AB6" s="441">
        <v>5412.1075019920008</v>
      </c>
      <c r="AC6" s="443">
        <v>13026</v>
      </c>
      <c r="AD6" s="441">
        <v>5141.6056435899982</v>
      </c>
      <c r="AE6" s="443">
        <v>12802</v>
      </c>
      <c r="AF6" s="441">
        <v>5125.9244858900011</v>
      </c>
      <c r="AG6" s="443">
        <v>12775</v>
      </c>
      <c r="AH6" s="441">
        <v>5155.1985250699991</v>
      </c>
      <c r="AI6" s="443">
        <v>12692</v>
      </c>
      <c r="AJ6" s="441">
        <v>5154.7515708099991</v>
      </c>
      <c r="AK6" s="443">
        <v>12602</v>
      </c>
      <c r="AL6" s="441">
        <v>5369.5717917700022</v>
      </c>
      <c r="AM6" s="443">
        <v>14006</v>
      </c>
      <c r="AN6" s="441">
        <v>5699.3956270680001</v>
      </c>
      <c r="AO6" s="443">
        <v>14474</v>
      </c>
      <c r="AP6" s="441">
        <v>6596.3147712</v>
      </c>
      <c r="AQ6" s="443">
        <v>15055</v>
      </c>
    </row>
    <row r="7" spans="1:43" s="437" customFormat="1" x14ac:dyDescent="0.3">
      <c r="A7" s="444" t="s">
        <v>285</v>
      </c>
      <c r="B7" s="445">
        <v>10420.5643376034</v>
      </c>
      <c r="C7" s="446">
        <v>22568</v>
      </c>
      <c r="D7" s="447">
        <v>10509.012721594327</v>
      </c>
      <c r="E7" s="448">
        <v>22637</v>
      </c>
      <c r="F7" s="447">
        <v>10756.474941569997</v>
      </c>
      <c r="G7" s="448">
        <v>22563</v>
      </c>
      <c r="H7" s="447">
        <v>10318.047120916066</v>
      </c>
      <c r="I7" s="448">
        <v>23302</v>
      </c>
      <c r="J7" s="447">
        <v>10924.535716983723</v>
      </c>
      <c r="K7" s="448">
        <v>23935</v>
      </c>
      <c r="L7" s="447">
        <v>11110.944298624814</v>
      </c>
      <c r="M7" s="449">
        <v>23511</v>
      </c>
      <c r="N7" s="447">
        <v>12398.061572314955</v>
      </c>
      <c r="O7" s="449">
        <v>23254</v>
      </c>
      <c r="P7" s="447">
        <v>8398.4754731557423</v>
      </c>
      <c r="Q7" s="449">
        <v>16106</v>
      </c>
      <c r="R7" s="447">
        <v>8129.5443274149975</v>
      </c>
      <c r="S7" s="449">
        <v>16327</v>
      </c>
      <c r="T7" s="447">
        <v>8200.0293995619813</v>
      </c>
      <c r="U7" s="449">
        <v>15874</v>
      </c>
      <c r="V7" s="447">
        <v>8229.5316189358546</v>
      </c>
      <c r="W7" s="449">
        <v>15864</v>
      </c>
      <c r="X7" s="447">
        <v>8237.7819856499991</v>
      </c>
      <c r="Y7" s="449">
        <v>15701</v>
      </c>
      <c r="Z7" s="447">
        <v>8249.751966285392</v>
      </c>
      <c r="AA7" s="449">
        <v>16127</v>
      </c>
      <c r="AB7" s="447">
        <v>8301.8179578399668</v>
      </c>
      <c r="AC7" s="449">
        <v>16191</v>
      </c>
      <c r="AD7" s="447">
        <v>8475.9326907738559</v>
      </c>
      <c r="AE7" s="449">
        <v>16408</v>
      </c>
      <c r="AF7" s="447">
        <v>8465.7203872430073</v>
      </c>
      <c r="AG7" s="449">
        <v>15744</v>
      </c>
      <c r="AH7" s="447">
        <v>8688.9663036801685</v>
      </c>
      <c r="AI7" s="449">
        <v>15969</v>
      </c>
      <c r="AJ7" s="447">
        <v>8870.8359547623859</v>
      </c>
      <c r="AK7" s="449">
        <v>16248</v>
      </c>
      <c r="AL7" s="447">
        <v>9168.2086718437113</v>
      </c>
      <c r="AM7" s="449">
        <v>17925</v>
      </c>
      <c r="AN7" s="447">
        <v>9507.4759705699998</v>
      </c>
      <c r="AO7" s="449">
        <v>18350</v>
      </c>
      <c r="AP7" s="447">
        <v>9934.0610695960786</v>
      </c>
      <c r="AQ7" s="449">
        <v>19011</v>
      </c>
    </row>
    <row r="8" spans="1:43" ht="17.25" thickBot="1" x14ac:dyDescent="0.35">
      <c r="A8" s="450" t="s">
        <v>286</v>
      </c>
      <c r="B8" s="451">
        <v>2784.2937099046298</v>
      </c>
      <c r="C8" s="452">
        <v>5012</v>
      </c>
      <c r="D8" s="453">
        <v>2933.780633769999</v>
      </c>
      <c r="E8" s="454">
        <v>5211</v>
      </c>
      <c r="F8" s="453">
        <v>3230.796569993799</v>
      </c>
      <c r="G8" s="454">
        <v>5719</v>
      </c>
      <c r="H8" s="453">
        <v>3093.4369139230994</v>
      </c>
      <c r="I8" s="454">
        <v>5443</v>
      </c>
      <c r="J8" s="453">
        <v>3623.7191931599982</v>
      </c>
      <c r="K8" s="454">
        <v>6107</v>
      </c>
      <c r="L8" s="453">
        <v>3654.80498691</v>
      </c>
      <c r="M8" s="455">
        <v>6364</v>
      </c>
      <c r="N8" s="453">
        <v>3987.6309733100006</v>
      </c>
      <c r="O8" s="455">
        <v>6296</v>
      </c>
      <c r="P8" s="453">
        <v>4195.6163825499998</v>
      </c>
      <c r="Q8" s="455">
        <v>6565</v>
      </c>
      <c r="R8" s="453">
        <v>4185.3415117200002</v>
      </c>
      <c r="S8" s="455">
        <v>6511</v>
      </c>
      <c r="T8" s="453">
        <v>4335.8193463999987</v>
      </c>
      <c r="U8" s="455">
        <v>6671</v>
      </c>
      <c r="V8" s="453">
        <v>4395.2670253499982</v>
      </c>
      <c r="W8" s="455">
        <v>6743</v>
      </c>
      <c r="X8" s="453">
        <v>4386.4642645600006</v>
      </c>
      <c r="Y8" s="455">
        <v>6802</v>
      </c>
      <c r="Z8" s="453">
        <v>4440.1466188900013</v>
      </c>
      <c r="AA8" s="455">
        <v>6771</v>
      </c>
      <c r="AB8" s="453">
        <v>4506.1397936599997</v>
      </c>
      <c r="AC8" s="455">
        <v>6880</v>
      </c>
      <c r="AD8" s="453">
        <v>4609.1119092800027</v>
      </c>
      <c r="AE8" s="455">
        <v>7040</v>
      </c>
      <c r="AF8" s="453">
        <v>4547.8638646599993</v>
      </c>
      <c r="AG8" s="455">
        <v>7088</v>
      </c>
      <c r="AH8" s="453">
        <v>4579.33084108</v>
      </c>
      <c r="AI8" s="455">
        <v>7177</v>
      </c>
      <c r="AJ8" s="453">
        <v>4714.1671546199996</v>
      </c>
      <c r="AK8" s="455">
        <v>7437</v>
      </c>
      <c r="AL8" s="453">
        <v>4865.5780744400026</v>
      </c>
      <c r="AM8" s="455">
        <v>7620</v>
      </c>
      <c r="AN8" s="453">
        <v>4938.8161347400037</v>
      </c>
      <c r="AO8" s="455">
        <v>7729</v>
      </c>
      <c r="AP8" s="453">
        <v>5233.6052016599997</v>
      </c>
      <c r="AQ8" s="455">
        <v>8094</v>
      </c>
    </row>
    <row r="9" spans="1:43" s="437" customFormat="1" ht="17.25" thickBot="1" x14ac:dyDescent="0.35">
      <c r="A9" s="431" t="s">
        <v>287</v>
      </c>
      <c r="B9" s="432">
        <v>3321.5626322817479</v>
      </c>
      <c r="C9" s="433">
        <v>2460</v>
      </c>
      <c r="D9" s="434">
        <v>3151.6955018663712</v>
      </c>
      <c r="E9" s="435">
        <v>2523</v>
      </c>
      <c r="F9" s="434">
        <v>2900.9314859190008</v>
      </c>
      <c r="G9" s="435">
        <v>2426</v>
      </c>
      <c r="H9" s="434">
        <v>2730.0272956431154</v>
      </c>
      <c r="I9" s="435">
        <v>2464</v>
      </c>
      <c r="J9" s="434">
        <v>3106.1754653319103</v>
      </c>
      <c r="K9" s="435">
        <v>2686</v>
      </c>
      <c r="L9" s="434">
        <v>2990.8201862820347</v>
      </c>
      <c r="M9" s="436">
        <v>2494</v>
      </c>
      <c r="N9" s="434">
        <v>3070.3262415598128</v>
      </c>
      <c r="O9" s="436">
        <v>2229</v>
      </c>
      <c r="P9" s="434">
        <v>2741.1384878420799</v>
      </c>
      <c r="Q9" s="436">
        <v>2253</v>
      </c>
      <c r="R9" s="434">
        <v>2713.6471717890599</v>
      </c>
      <c r="S9" s="436">
        <v>2234</v>
      </c>
      <c r="T9" s="434">
        <v>2741.6730550373736</v>
      </c>
      <c r="U9" s="436">
        <v>2188</v>
      </c>
      <c r="V9" s="434">
        <v>2590.5566960674701</v>
      </c>
      <c r="W9" s="436">
        <v>2170</v>
      </c>
      <c r="X9" s="434">
        <v>2436.9409224700003</v>
      </c>
      <c r="Y9" s="436">
        <v>2059</v>
      </c>
      <c r="Z9" s="434">
        <v>2355.8465683107311</v>
      </c>
      <c r="AA9" s="436">
        <v>1989</v>
      </c>
      <c r="AB9" s="434">
        <v>2392.082833048556</v>
      </c>
      <c r="AC9" s="436">
        <v>2001</v>
      </c>
      <c r="AD9" s="434">
        <v>2367.0382135991599</v>
      </c>
      <c r="AE9" s="436">
        <v>1980</v>
      </c>
      <c r="AF9" s="434">
        <v>2296.1775017147938</v>
      </c>
      <c r="AG9" s="436">
        <v>1896</v>
      </c>
      <c r="AH9" s="434">
        <v>2189.0029916868398</v>
      </c>
      <c r="AI9" s="436">
        <v>1899</v>
      </c>
      <c r="AJ9" s="434">
        <v>2260.3795734864138</v>
      </c>
      <c r="AK9" s="436">
        <v>1902</v>
      </c>
      <c r="AL9" s="434">
        <v>2259.0475776943481</v>
      </c>
      <c r="AM9" s="436">
        <v>2012</v>
      </c>
      <c r="AN9" s="434">
        <v>2411.2440491676953</v>
      </c>
      <c r="AO9" s="436">
        <v>1997</v>
      </c>
      <c r="AP9" s="434">
        <v>2537.7357371638273</v>
      </c>
      <c r="AQ9" s="436">
        <v>2066</v>
      </c>
    </row>
    <row r="10" spans="1:43" x14ac:dyDescent="0.3">
      <c r="A10" s="438" t="s">
        <v>284</v>
      </c>
      <c r="B10" s="456">
        <v>11.962669</v>
      </c>
      <c r="C10" s="457">
        <v>5</v>
      </c>
      <c r="D10" s="458">
        <v>22.44595</v>
      </c>
      <c r="E10" s="459">
        <v>15</v>
      </c>
      <c r="F10" s="458">
        <v>41.458378000000003</v>
      </c>
      <c r="G10" s="459">
        <v>20</v>
      </c>
      <c r="H10" s="458">
        <v>35.628348000000003</v>
      </c>
      <c r="I10" s="459">
        <v>19</v>
      </c>
      <c r="J10" s="458">
        <v>43.6891289</v>
      </c>
      <c r="K10" s="459">
        <v>19</v>
      </c>
      <c r="L10" s="458">
        <v>77.579504999999997</v>
      </c>
      <c r="M10" s="460">
        <v>38</v>
      </c>
      <c r="N10" s="458">
        <v>66.474119000000002</v>
      </c>
      <c r="O10" s="460">
        <v>38</v>
      </c>
      <c r="P10" s="458">
        <v>710.16605507999998</v>
      </c>
      <c r="Q10" s="460">
        <v>726</v>
      </c>
      <c r="R10" s="458">
        <v>726.63999637705967</v>
      </c>
      <c r="S10" s="460">
        <v>717</v>
      </c>
      <c r="T10" s="458">
        <v>668.48370166568236</v>
      </c>
      <c r="U10" s="460">
        <v>670</v>
      </c>
      <c r="V10" s="458">
        <v>653.60237711499997</v>
      </c>
      <c r="W10" s="460">
        <v>649</v>
      </c>
      <c r="X10" s="458">
        <v>543.26307499999996</v>
      </c>
      <c r="Y10" s="460">
        <v>524</v>
      </c>
      <c r="Z10" s="458">
        <v>542.99460076000003</v>
      </c>
      <c r="AA10" s="460">
        <v>528</v>
      </c>
      <c r="AB10" s="458">
        <v>520.42875158000004</v>
      </c>
      <c r="AC10" s="460">
        <v>503</v>
      </c>
      <c r="AD10" s="458">
        <v>520.36295678999988</v>
      </c>
      <c r="AE10" s="460">
        <v>491</v>
      </c>
      <c r="AF10" s="458">
        <v>525.06803341749992</v>
      </c>
      <c r="AG10" s="460">
        <v>486</v>
      </c>
      <c r="AH10" s="458">
        <v>514.62035948350024</v>
      </c>
      <c r="AI10" s="460">
        <v>501</v>
      </c>
      <c r="AJ10" s="458">
        <v>484.26345148800004</v>
      </c>
      <c r="AK10" s="460">
        <v>465</v>
      </c>
      <c r="AL10" s="458">
        <v>501.93559291799988</v>
      </c>
      <c r="AM10" s="460">
        <v>493</v>
      </c>
      <c r="AN10" s="458">
        <v>675.6230705019999</v>
      </c>
      <c r="AO10" s="460">
        <v>510</v>
      </c>
      <c r="AP10" s="458">
        <v>752.06122073999984</v>
      </c>
      <c r="AQ10" s="460">
        <v>536</v>
      </c>
    </row>
    <row r="11" spans="1:43" x14ac:dyDescent="0.3">
      <c r="A11" s="444" t="s">
        <v>285</v>
      </c>
      <c r="B11" s="461">
        <v>2372.0958495236996</v>
      </c>
      <c r="C11" s="462">
        <v>1964</v>
      </c>
      <c r="D11" s="463">
        <v>2184.8206320372001</v>
      </c>
      <c r="E11" s="464">
        <v>1916</v>
      </c>
      <c r="F11" s="463">
        <v>2087.4965836690003</v>
      </c>
      <c r="G11" s="464">
        <v>1847</v>
      </c>
      <c r="H11" s="463">
        <v>2080.0036730198149</v>
      </c>
      <c r="I11" s="464">
        <v>2015</v>
      </c>
      <c r="J11" s="463">
        <v>2327.20173604191</v>
      </c>
      <c r="K11" s="464">
        <v>2170</v>
      </c>
      <c r="L11" s="463">
        <v>2096.9389415920346</v>
      </c>
      <c r="M11" s="465">
        <v>1953</v>
      </c>
      <c r="N11" s="463">
        <v>2228.736706369813</v>
      </c>
      <c r="O11" s="465">
        <v>1718</v>
      </c>
      <c r="P11" s="463">
        <v>1299.6293054220798</v>
      </c>
      <c r="Q11" s="465">
        <v>1056</v>
      </c>
      <c r="R11" s="463">
        <v>1285.3153288020001</v>
      </c>
      <c r="S11" s="465">
        <v>1045</v>
      </c>
      <c r="T11" s="463">
        <v>1290.5777983516912</v>
      </c>
      <c r="U11" s="465">
        <v>1028</v>
      </c>
      <c r="V11" s="463">
        <v>1182.4889201324702</v>
      </c>
      <c r="W11" s="465">
        <v>1030</v>
      </c>
      <c r="X11" s="463">
        <v>1117.33087641</v>
      </c>
      <c r="Y11" s="465">
        <v>1040</v>
      </c>
      <c r="Z11" s="463">
        <v>1065.4778315907313</v>
      </c>
      <c r="AA11" s="465">
        <v>977</v>
      </c>
      <c r="AB11" s="463">
        <v>1176.4588708385559</v>
      </c>
      <c r="AC11" s="465">
        <v>1016</v>
      </c>
      <c r="AD11" s="463">
        <v>1153.52561687916</v>
      </c>
      <c r="AE11" s="465">
        <v>1011</v>
      </c>
      <c r="AF11" s="463">
        <v>1078.4307594072939</v>
      </c>
      <c r="AG11" s="465">
        <v>928</v>
      </c>
      <c r="AH11" s="463">
        <v>1018.6729464833396</v>
      </c>
      <c r="AI11" s="465">
        <v>908</v>
      </c>
      <c r="AJ11" s="463">
        <v>1054.7986109584137</v>
      </c>
      <c r="AK11" s="465">
        <v>923</v>
      </c>
      <c r="AL11" s="463">
        <v>1050.853772196348</v>
      </c>
      <c r="AM11" s="465">
        <v>1011</v>
      </c>
      <c r="AN11" s="463">
        <v>1055.8975379156955</v>
      </c>
      <c r="AO11" s="465">
        <v>1002</v>
      </c>
      <c r="AP11" s="463">
        <v>1075.9202413538276</v>
      </c>
      <c r="AQ11" s="465">
        <v>1036</v>
      </c>
    </row>
    <row r="12" spans="1:43" ht="17.25" thickBot="1" x14ac:dyDescent="0.35">
      <c r="A12" s="450" t="s">
        <v>286</v>
      </c>
      <c r="B12" s="466">
        <v>937.50411375804833</v>
      </c>
      <c r="C12" s="467">
        <v>491</v>
      </c>
      <c r="D12" s="468">
        <v>944.42891982917115</v>
      </c>
      <c r="E12" s="469">
        <v>592</v>
      </c>
      <c r="F12" s="468">
        <v>771.97652425000081</v>
      </c>
      <c r="G12" s="469">
        <v>559</v>
      </c>
      <c r="H12" s="468">
        <v>614.39527462330011</v>
      </c>
      <c r="I12" s="469">
        <v>430</v>
      </c>
      <c r="J12" s="468">
        <v>735.28460039000015</v>
      </c>
      <c r="K12" s="469">
        <v>497</v>
      </c>
      <c r="L12" s="468">
        <v>816.30173969000009</v>
      </c>
      <c r="M12" s="470">
        <v>503</v>
      </c>
      <c r="N12" s="468">
        <v>775.11541619000002</v>
      </c>
      <c r="O12" s="470">
        <v>473</v>
      </c>
      <c r="P12" s="468">
        <v>731.34312734000002</v>
      </c>
      <c r="Q12" s="470">
        <v>471</v>
      </c>
      <c r="R12" s="468">
        <v>701.69184661000008</v>
      </c>
      <c r="S12" s="470">
        <v>472</v>
      </c>
      <c r="T12" s="468">
        <v>782.6115550200002</v>
      </c>
      <c r="U12" s="470">
        <v>490</v>
      </c>
      <c r="V12" s="468">
        <v>754.4653988199999</v>
      </c>
      <c r="W12" s="470">
        <v>491</v>
      </c>
      <c r="X12" s="468">
        <v>776.34697105999999</v>
      </c>
      <c r="Y12" s="470">
        <v>495</v>
      </c>
      <c r="Z12" s="468">
        <v>747.37413595999999</v>
      </c>
      <c r="AA12" s="470">
        <v>484</v>
      </c>
      <c r="AB12" s="468">
        <v>695.19521063000013</v>
      </c>
      <c r="AC12" s="470">
        <v>482</v>
      </c>
      <c r="AD12" s="468">
        <v>693.14963993000003</v>
      </c>
      <c r="AE12" s="470">
        <v>478</v>
      </c>
      <c r="AF12" s="468">
        <v>692.67870888999994</v>
      </c>
      <c r="AG12" s="470">
        <v>482</v>
      </c>
      <c r="AH12" s="468">
        <v>655.70968571999981</v>
      </c>
      <c r="AI12" s="470">
        <v>490</v>
      </c>
      <c r="AJ12" s="468">
        <v>721.31751104</v>
      </c>
      <c r="AK12" s="470">
        <v>514</v>
      </c>
      <c r="AL12" s="468">
        <v>706.25821258000008</v>
      </c>
      <c r="AM12" s="470">
        <v>508</v>
      </c>
      <c r="AN12" s="468">
        <v>679.72344075000001</v>
      </c>
      <c r="AO12" s="470">
        <v>485</v>
      </c>
      <c r="AP12" s="468">
        <v>709.75427506999972</v>
      </c>
      <c r="AQ12" s="470">
        <v>494</v>
      </c>
    </row>
    <row r="13" spans="1:43" s="437" customFormat="1" ht="17.25" thickBot="1" x14ac:dyDescent="0.35">
      <c r="A13" s="431" t="s">
        <v>176</v>
      </c>
      <c r="B13" s="432">
        <v>18229.743781789777</v>
      </c>
      <c r="C13" s="433">
        <v>34080</v>
      </c>
      <c r="D13" s="434">
        <v>18623.922001230698</v>
      </c>
      <c r="E13" s="435">
        <v>35036</v>
      </c>
      <c r="F13" s="434">
        <v>18897.278247482798</v>
      </c>
      <c r="G13" s="435">
        <v>35409</v>
      </c>
      <c r="H13" s="434">
        <v>18206.152287032281</v>
      </c>
      <c r="I13" s="435">
        <v>36065</v>
      </c>
      <c r="J13" s="434">
        <v>19688.364426635631</v>
      </c>
      <c r="K13" s="435">
        <v>37596</v>
      </c>
      <c r="L13" s="434">
        <v>20176.631767816849</v>
      </c>
      <c r="M13" s="436">
        <v>38061</v>
      </c>
      <c r="N13" s="434">
        <v>22037.177541304769</v>
      </c>
      <c r="O13" s="436">
        <v>37784</v>
      </c>
      <c r="P13" s="434">
        <v>21160.521127197822</v>
      </c>
      <c r="Q13" s="436">
        <v>38692</v>
      </c>
      <c r="R13" s="434">
        <v>20728.236659874645</v>
      </c>
      <c r="S13" s="436">
        <v>38789</v>
      </c>
      <c r="T13" s="434">
        <v>21028.605917388202</v>
      </c>
      <c r="U13" s="436">
        <v>38755</v>
      </c>
      <c r="V13" s="434">
        <v>20868.467658963324</v>
      </c>
      <c r="W13" s="436">
        <v>38209</v>
      </c>
      <c r="X13" s="434">
        <v>20579.87831168</v>
      </c>
      <c r="Y13" s="436">
        <v>38003</v>
      </c>
      <c r="Z13" s="434">
        <v>20498.445964918123</v>
      </c>
      <c r="AA13" s="436">
        <v>37990</v>
      </c>
      <c r="AB13" s="434">
        <v>20612.148086540525</v>
      </c>
      <c r="AC13" s="436">
        <v>38098</v>
      </c>
      <c r="AD13" s="434">
        <v>20593.688457243017</v>
      </c>
      <c r="AE13" s="436">
        <v>38230</v>
      </c>
      <c r="AF13" s="434">
        <v>20435.686239507802</v>
      </c>
      <c r="AG13" s="436">
        <v>37503</v>
      </c>
      <c r="AH13" s="434">
        <v>20612.498661517006</v>
      </c>
      <c r="AI13" s="436">
        <v>37737</v>
      </c>
      <c r="AJ13" s="434">
        <v>21000.1342536788</v>
      </c>
      <c r="AK13" s="436">
        <v>38189</v>
      </c>
      <c r="AL13" s="434">
        <v>21662.406115748068</v>
      </c>
      <c r="AM13" s="436">
        <v>41563</v>
      </c>
      <c r="AN13" s="434">
        <v>22556.931781545696</v>
      </c>
      <c r="AO13" s="436">
        <v>42550</v>
      </c>
      <c r="AP13" s="434">
        <v>24301.716779619903</v>
      </c>
      <c r="AQ13" s="436">
        <v>44226</v>
      </c>
    </row>
    <row r="14" spans="1:43" x14ac:dyDescent="0.3">
      <c r="A14" s="438" t="s">
        <v>284</v>
      </c>
      <c r="B14" s="439">
        <v>1715.2857710000001</v>
      </c>
      <c r="C14" s="440">
        <v>4045</v>
      </c>
      <c r="D14" s="441">
        <v>2051.8790939999999</v>
      </c>
      <c r="E14" s="442">
        <v>4680</v>
      </c>
      <c r="F14" s="441">
        <v>2050.5336280000001</v>
      </c>
      <c r="G14" s="442">
        <v>4721</v>
      </c>
      <c r="H14" s="441">
        <v>2100.26930455</v>
      </c>
      <c r="I14" s="442">
        <v>4875</v>
      </c>
      <c r="J14" s="441">
        <v>2077.6231800599999</v>
      </c>
      <c r="K14" s="442">
        <v>4887</v>
      </c>
      <c r="L14" s="441">
        <v>2497.6418010000002</v>
      </c>
      <c r="M14" s="443">
        <v>5730</v>
      </c>
      <c r="N14" s="441">
        <v>2647.6328731199997</v>
      </c>
      <c r="O14" s="443">
        <v>6043</v>
      </c>
      <c r="P14" s="441">
        <v>6535.4568387299996</v>
      </c>
      <c r="Q14" s="443">
        <v>14494</v>
      </c>
      <c r="R14" s="441">
        <v>6426.3436453276481</v>
      </c>
      <c r="S14" s="443">
        <v>14434</v>
      </c>
      <c r="T14" s="441">
        <v>6419.5678180545283</v>
      </c>
      <c r="U14" s="443">
        <v>14692</v>
      </c>
      <c r="V14" s="441">
        <v>6306.7146957250006</v>
      </c>
      <c r="W14" s="443">
        <v>14081</v>
      </c>
      <c r="X14" s="441">
        <v>6061.9542139999994</v>
      </c>
      <c r="Y14" s="443">
        <v>13965</v>
      </c>
      <c r="Z14" s="441">
        <v>5995.6954121919989</v>
      </c>
      <c r="AA14" s="443">
        <v>13631</v>
      </c>
      <c r="AB14" s="441">
        <v>5932.5362535720005</v>
      </c>
      <c r="AC14" s="443">
        <v>13529</v>
      </c>
      <c r="AD14" s="441">
        <v>5661.968600379998</v>
      </c>
      <c r="AE14" s="443">
        <v>13293</v>
      </c>
      <c r="AF14" s="441">
        <v>5650.9925193075014</v>
      </c>
      <c r="AG14" s="443">
        <v>13261</v>
      </c>
      <c r="AH14" s="441">
        <v>5669.8188845534996</v>
      </c>
      <c r="AI14" s="443">
        <v>13193</v>
      </c>
      <c r="AJ14" s="441">
        <v>5639.0150222979992</v>
      </c>
      <c r="AK14" s="443">
        <v>13067</v>
      </c>
      <c r="AL14" s="441">
        <v>5871.5073846880023</v>
      </c>
      <c r="AM14" s="443">
        <v>14499</v>
      </c>
      <c r="AN14" s="441">
        <v>6375.0186975699999</v>
      </c>
      <c r="AO14" s="443">
        <v>14984</v>
      </c>
      <c r="AP14" s="441">
        <v>7348.3759919399999</v>
      </c>
      <c r="AQ14" s="443">
        <v>15591</v>
      </c>
    </row>
    <row r="15" spans="1:43" x14ac:dyDescent="0.3">
      <c r="A15" s="444" t="s">
        <v>285</v>
      </c>
      <c r="B15" s="445">
        <v>12792.6601871271</v>
      </c>
      <c r="C15" s="446">
        <v>24532</v>
      </c>
      <c r="D15" s="447">
        <v>12693.833353631526</v>
      </c>
      <c r="E15" s="448">
        <v>24553</v>
      </c>
      <c r="F15" s="447">
        <v>12843.971525238998</v>
      </c>
      <c r="G15" s="448">
        <v>24410</v>
      </c>
      <c r="H15" s="447">
        <v>12398.050793935881</v>
      </c>
      <c r="I15" s="448">
        <v>25317</v>
      </c>
      <c r="J15" s="447">
        <v>13251.737453025633</v>
      </c>
      <c r="K15" s="448">
        <v>26105</v>
      </c>
      <c r="L15" s="447">
        <v>13207.883240216848</v>
      </c>
      <c r="M15" s="449">
        <v>25464</v>
      </c>
      <c r="N15" s="447">
        <v>14626.798278684768</v>
      </c>
      <c r="O15" s="449">
        <v>24972</v>
      </c>
      <c r="P15" s="447">
        <v>9698.1047785778228</v>
      </c>
      <c r="Q15" s="449">
        <v>17162</v>
      </c>
      <c r="R15" s="447">
        <v>9414.8596562169969</v>
      </c>
      <c r="S15" s="449">
        <v>17372</v>
      </c>
      <c r="T15" s="447">
        <v>9490.6071979136723</v>
      </c>
      <c r="U15" s="449">
        <v>16902</v>
      </c>
      <c r="V15" s="447">
        <v>9412.0205390683241</v>
      </c>
      <c r="W15" s="449">
        <v>16894</v>
      </c>
      <c r="X15" s="447">
        <v>9355.1128620599993</v>
      </c>
      <c r="Y15" s="449">
        <v>16741</v>
      </c>
      <c r="Z15" s="447">
        <v>9315.2297978761235</v>
      </c>
      <c r="AA15" s="449">
        <v>17104</v>
      </c>
      <c r="AB15" s="447">
        <v>9478.2768286785231</v>
      </c>
      <c r="AC15" s="449">
        <v>17207</v>
      </c>
      <c r="AD15" s="447">
        <v>9629.4583076530162</v>
      </c>
      <c r="AE15" s="449">
        <v>17419</v>
      </c>
      <c r="AF15" s="447">
        <v>9544.1511466503016</v>
      </c>
      <c r="AG15" s="449">
        <v>16672</v>
      </c>
      <c r="AH15" s="447">
        <v>9707.6392501635073</v>
      </c>
      <c r="AI15" s="449">
        <v>16877</v>
      </c>
      <c r="AJ15" s="447">
        <v>9925.6345657208003</v>
      </c>
      <c r="AK15" s="449">
        <v>17171</v>
      </c>
      <c r="AL15" s="447">
        <v>10219.062444040062</v>
      </c>
      <c r="AM15" s="449">
        <v>18936</v>
      </c>
      <c r="AN15" s="447">
        <v>10563.373508485694</v>
      </c>
      <c r="AO15" s="449">
        <v>19352</v>
      </c>
      <c r="AP15" s="447">
        <v>11009.981310949905</v>
      </c>
      <c r="AQ15" s="449">
        <v>20047</v>
      </c>
    </row>
    <row r="16" spans="1:43" ht="17.25" thickBot="1" x14ac:dyDescent="0.35">
      <c r="A16" s="450" t="s">
        <v>286</v>
      </c>
      <c r="B16" s="451">
        <v>3721.7978236626782</v>
      </c>
      <c r="C16" s="452">
        <v>5503</v>
      </c>
      <c r="D16" s="453">
        <v>3878.2095535991702</v>
      </c>
      <c r="E16" s="454">
        <v>5803</v>
      </c>
      <c r="F16" s="453">
        <v>4002.7730942437997</v>
      </c>
      <c r="G16" s="454">
        <v>6278</v>
      </c>
      <c r="H16" s="453">
        <v>3707.8321885463993</v>
      </c>
      <c r="I16" s="454">
        <v>5873</v>
      </c>
      <c r="J16" s="453">
        <v>4359.0037935499986</v>
      </c>
      <c r="K16" s="454">
        <v>6604</v>
      </c>
      <c r="L16" s="453">
        <v>4471.1067266</v>
      </c>
      <c r="M16" s="455">
        <v>6867</v>
      </c>
      <c r="N16" s="453">
        <v>4762.746389500001</v>
      </c>
      <c r="O16" s="455">
        <v>6769</v>
      </c>
      <c r="P16" s="453">
        <v>4926.9595098899999</v>
      </c>
      <c r="Q16" s="455">
        <v>7036</v>
      </c>
      <c r="R16" s="453">
        <v>4887.0333583299998</v>
      </c>
      <c r="S16" s="455">
        <v>6983</v>
      </c>
      <c r="T16" s="453">
        <v>5118.4309014199989</v>
      </c>
      <c r="U16" s="455">
        <v>7161</v>
      </c>
      <c r="V16" s="453">
        <v>5149.732424169998</v>
      </c>
      <c r="W16" s="455">
        <v>7234</v>
      </c>
      <c r="X16" s="453">
        <v>5162.8112356200008</v>
      </c>
      <c r="Y16" s="455">
        <v>7297</v>
      </c>
      <c r="Z16" s="453">
        <v>5187.5207548500011</v>
      </c>
      <c r="AA16" s="455">
        <v>7255</v>
      </c>
      <c r="AB16" s="453">
        <v>5201.3350042900001</v>
      </c>
      <c r="AC16" s="455">
        <v>7362</v>
      </c>
      <c r="AD16" s="453">
        <v>5302.2615492100031</v>
      </c>
      <c r="AE16" s="455">
        <v>7518</v>
      </c>
      <c r="AF16" s="453">
        <v>5240.5425735499994</v>
      </c>
      <c r="AG16" s="455">
        <v>7570</v>
      </c>
      <c r="AH16" s="453">
        <v>5235.0405267999995</v>
      </c>
      <c r="AI16" s="455">
        <v>7667</v>
      </c>
      <c r="AJ16" s="453">
        <v>5435.4846656599993</v>
      </c>
      <c r="AK16" s="455">
        <v>7951</v>
      </c>
      <c r="AL16" s="453">
        <v>5571.8362870200026</v>
      </c>
      <c r="AM16" s="455">
        <v>8128</v>
      </c>
      <c r="AN16" s="453">
        <v>5618.5395754900028</v>
      </c>
      <c r="AO16" s="455">
        <v>8214</v>
      </c>
      <c r="AP16" s="453">
        <v>5943.3594767299992</v>
      </c>
      <c r="AQ16" s="455">
        <v>8588</v>
      </c>
    </row>
    <row r="17" spans="1:43" s="474" customFormat="1" ht="16.5" customHeight="1" x14ac:dyDescent="0.25">
      <c r="A17" s="471" t="s">
        <v>288</v>
      </c>
      <c r="B17" s="472"/>
      <c r="C17" s="472" t="s">
        <v>289</v>
      </c>
      <c r="D17" s="472"/>
      <c r="E17" s="472"/>
      <c r="F17" s="473"/>
      <c r="G17" s="473"/>
      <c r="H17" s="473"/>
      <c r="I17" s="473"/>
      <c r="J17" s="473"/>
      <c r="K17" s="473"/>
    </row>
    <row r="18" spans="1:43" s="474" customFormat="1" ht="16.5" customHeight="1" x14ac:dyDescent="0.25">
      <c r="A18" s="475" t="s">
        <v>290</v>
      </c>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row>
    <row r="19" spans="1:43" s="474" customFormat="1" ht="17.100000000000001" customHeight="1" x14ac:dyDescent="0.25">
      <c r="A19" s="475"/>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row>
    <row r="20" spans="1:43" ht="6.75" customHeight="1" x14ac:dyDescent="0.3">
      <c r="T20"/>
      <c r="U20"/>
      <c r="V20"/>
      <c r="W20"/>
      <c r="X20"/>
      <c r="Y20"/>
      <c r="Z20"/>
      <c r="AA20"/>
      <c r="AB20"/>
      <c r="AC20"/>
      <c r="AD20"/>
      <c r="AE20"/>
      <c r="AF20"/>
      <c r="AG20"/>
      <c r="AH20"/>
      <c r="AI20"/>
      <c r="AJ20"/>
      <c r="AK20"/>
      <c r="AL20"/>
      <c r="AM20"/>
      <c r="AN20"/>
      <c r="AO20"/>
      <c r="AP20"/>
      <c r="AQ20"/>
    </row>
    <row r="21" spans="1:43" x14ac:dyDescent="0.3">
      <c r="T21"/>
      <c r="U21"/>
      <c r="V21"/>
      <c r="W21"/>
      <c r="X21"/>
      <c r="Y21"/>
      <c r="Z21"/>
      <c r="AA21"/>
      <c r="AB21"/>
      <c r="AC21"/>
      <c r="AD21"/>
      <c r="AE21"/>
      <c r="AF21"/>
      <c r="AG21"/>
      <c r="AH21"/>
      <c r="AI21"/>
      <c r="AJ21"/>
      <c r="AK21"/>
      <c r="AL21"/>
      <c r="AM21"/>
      <c r="AO21"/>
      <c r="AQ21"/>
    </row>
    <row r="22" spans="1:43" x14ac:dyDescent="0.3">
      <c r="T22"/>
      <c r="U22"/>
      <c r="V22"/>
      <c r="W22"/>
      <c r="X22"/>
      <c r="Y22"/>
      <c r="Z22"/>
      <c r="AA22"/>
      <c r="AB22"/>
      <c r="AC22"/>
      <c r="AD22"/>
      <c r="AE22"/>
      <c r="AF22"/>
      <c r="AG22"/>
      <c r="AH22"/>
      <c r="AI22"/>
      <c r="AJ22"/>
      <c r="AK22"/>
      <c r="AL22"/>
      <c r="AM22"/>
      <c r="AN22"/>
      <c r="AO22"/>
      <c r="AP22"/>
      <c r="AQ22"/>
    </row>
  </sheetData>
  <mergeCells count="21">
    <mergeCell ref="X3:Y3"/>
    <mergeCell ref="B3:C3"/>
    <mergeCell ref="D3:E3"/>
    <mergeCell ref="F3:G3"/>
    <mergeCell ref="H3:I3"/>
    <mergeCell ref="J3:K3"/>
    <mergeCell ref="L3:M3"/>
    <mergeCell ref="N3:O3"/>
    <mergeCell ref="P3:Q3"/>
    <mergeCell ref="R3:S3"/>
    <mergeCell ref="T3:U3"/>
    <mergeCell ref="V3:W3"/>
    <mergeCell ref="AL3:AM3"/>
    <mergeCell ref="AN3:AO3"/>
    <mergeCell ref="AP3:AQ3"/>
    <mergeCell ref="Z3:AA3"/>
    <mergeCell ref="AB3:AC3"/>
    <mergeCell ref="AD3:AE3"/>
    <mergeCell ref="AF3:AG3"/>
    <mergeCell ref="AH3:AI3"/>
    <mergeCell ref="AJ3:AK3"/>
  </mergeCells>
  <pageMargins left="0.7" right="0.7" top="0.75" bottom="0.75" header="0.3" footer="0.3"/>
  <pageSetup paperSize="9" scale="7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EK45"/>
  <sheetViews>
    <sheetView showGridLines="0" zoomScale="85" zoomScaleNormal="85" zoomScaleSheetLayoutView="100" workbookViewId="0">
      <pane xSplit="113" ySplit="3" topLeftCell="EX19" activePane="bottomRight" state="frozen"/>
      <selection activeCell="A38" sqref="A38"/>
      <selection pane="topRight" activeCell="A38" sqref="A38"/>
      <selection pane="bottomLeft" activeCell="A38" sqref="A38"/>
      <selection pane="bottomRight" activeCell="A38" sqref="A38"/>
    </sheetView>
  </sheetViews>
  <sheetFormatPr defaultColWidth="9.140625" defaultRowHeight="14.25" x14ac:dyDescent="0.25"/>
  <cols>
    <col min="1" max="1" width="60.140625" style="627" customWidth="1"/>
    <col min="2" max="7" width="9" style="627" hidden="1" customWidth="1"/>
    <col min="8" max="8" width="12.85546875" style="627" hidden="1" customWidth="1"/>
    <col min="9" max="13" width="9" style="627" hidden="1" customWidth="1"/>
    <col min="14" max="39" width="9.140625" style="627" hidden="1" customWidth="1"/>
    <col min="40" max="40" width="9.7109375" style="627" hidden="1" customWidth="1"/>
    <col min="41" max="90" width="11.28515625" style="627" hidden="1" customWidth="1"/>
    <col min="91" max="91" width="11.5703125" style="627" hidden="1" customWidth="1"/>
    <col min="92" max="153" width="11.28515625" style="627" hidden="1" customWidth="1"/>
    <col min="154" max="166" width="11.28515625" style="627" customWidth="1"/>
    <col min="167" max="236" width="9.140625" style="627" customWidth="1"/>
    <col min="237" max="237" width="55.28515625" style="627" customWidth="1"/>
    <col min="238" max="287" width="9.140625" style="627" hidden="1" customWidth="1"/>
    <col min="288" max="288" width="55.28515625" style="627" customWidth="1"/>
    <col min="289" max="326" width="9.140625" style="627" hidden="1" customWidth="1"/>
    <col min="327" max="492" width="9.140625" style="627" customWidth="1"/>
    <col min="493" max="493" width="55.28515625" style="627" customWidth="1"/>
    <col min="494" max="543" width="9.140625" style="627" hidden="1" customWidth="1"/>
    <col min="544" max="544" width="55.28515625" style="627" customWidth="1"/>
    <col min="545" max="582" width="9.140625" style="627" hidden="1" customWidth="1"/>
    <col min="583" max="748" width="9.140625" style="627" customWidth="1"/>
    <col min="749" max="749" width="55.28515625" style="627" customWidth="1"/>
    <col min="750" max="799" width="9.140625" style="627" hidden="1" customWidth="1"/>
    <col min="800" max="800" width="55.28515625" style="627" customWidth="1"/>
    <col min="801" max="838" width="9.140625" style="627" hidden="1" customWidth="1"/>
    <col min="839" max="1004" width="9.140625" style="627" customWidth="1"/>
    <col min="1005" max="1005" width="55.28515625" style="627" customWidth="1"/>
    <col min="1006" max="1055" width="9.140625" style="627" hidden="1" customWidth="1"/>
    <col min="1056" max="1056" width="55.28515625" style="627" customWidth="1"/>
    <col min="1057" max="1094" width="9.140625" style="627" hidden="1" customWidth="1"/>
    <col min="1095" max="1260" width="9.140625" style="627" customWidth="1"/>
    <col min="1261" max="1261" width="55.28515625" style="627" customWidth="1"/>
    <col min="1262" max="1311" width="9.140625" style="627" hidden="1" customWidth="1"/>
    <col min="1312" max="1312" width="55.28515625" style="627" customWidth="1"/>
    <col min="1313" max="1350" width="9.140625" style="627" hidden="1" customWidth="1"/>
    <col min="1351" max="1516" width="9.140625" style="627" customWidth="1"/>
    <col min="1517" max="1517" width="55.28515625" style="627" customWidth="1"/>
    <col min="1518" max="1567" width="9.140625" style="627" hidden="1" customWidth="1"/>
    <col min="1568" max="1568" width="55.28515625" style="627" customWidth="1"/>
    <col min="1569" max="1606" width="9.140625" style="627" hidden="1" customWidth="1"/>
    <col min="1607" max="1772" width="9.140625" style="627" customWidth="1"/>
    <col min="1773" max="1773" width="55.28515625" style="627" customWidth="1"/>
    <col min="1774" max="1823" width="9.140625" style="627" hidden="1" customWidth="1"/>
    <col min="1824" max="1824" width="55.28515625" style="627" customWidth="1"/>
    <col min="1825" max="1862" width="9.140625" style="627" hidden="1" customWidth="1"/>
    <col min="1863" max="2028" width="9.140625" style="627" customWidth="1"/>
    <col min="2029" max="2029" width="55.28515625" style="627" customWidth="1"/>
    <col min="2030" max="2079" width="9.140625" style="627" hidden="1" customWidth="1"/>
    <col min="2080" max="2080" width="55.28515625" style="627" customWidth="1"/>
    <col min="2081" max="2118" width="9.140625" style="627" hidden="1" customWidth="1"/>
    <col min="2119" max="2284" width="9.140625" style="627" customWidth="1"/>
    <col min="2285" max="2285" width="55.28515625" style="627" customWidth="1"/>
    <col min="2286" max="2335" width="9.140625" style="627" hidden="1" customWidth="1"/>
    <col min="2336" max="2336" width="55.28515625" style="627" customWidth="1"/>
    <col min="2337" max="2374" width="9.140625" style="627" hidden="1" customWidth="1"/>
    <col min="2375" max="2540" width="9.140625" style="627" customWidth="1"/>
    <col min="2541" max="2541" width="55.28515625" style="627" customWidth="1"/>
    <col min="2542" max="2591" width="9.140625" style="627" hidden="1" customWidth="1"/>
    <col min="2592" max="2592" width="55.28515625" style="627" customWidth="1"/>
    <col min="2593" max="2630" width="9.140625" style="627" hidden="1" customWidth="1"/>
    <col min="2631" max="2796" width="9.140625" style="627" customWidth="1"/>
    <col min="2797" max="2797" width="55.28515625" style="627" customWidth="1"/>
    <col min="2798" max="2847" width="9.140625" style="627" hidden="1" customWidth="1"/>
    <col min="2848" max="2848" width="55.28515625" style="627" customWidth="1"/>
    <col min="2849" max="2886" width="9.140625" style="627" hidden="1" customWidth="1"/>
    <col min="2887" max="3052" width="9.140625" style="627" customWidth="1"/>
    <col min="3053" max="3053" width="55.28515625" style="627" customWidth="1"/>
    <col min="3054" max="3103" width="9.140625" style="627" hidden="1" customWidth="1"/>
    <col min="3104" max="3104" width="55.28515625" style="627" customWidth="1"/>
    <col min="3105" max="3142" width="9.140625" style="627" hidden="1" customWidth="1"/>
    <col min="3143" max="3308" width="9.140625" style="627" customWidth="1"/>
    <col min="3309" max="3309" width="55.28515625" style="627" customWidth="1"/>
    <col min="3310" max="3359" width="9.140625" style="627" hidden="1" customWidth="1"/>
    <col min="3360" max="3360" width="55.28515625" style="627" customWidth="1"/>
    <col min="3361" max="3398" width="9.140625" style="627" hidden="1" customWidth="1"/>
    <col min="3399" max="3564" width="9.140625" style="627" customWidth="1"/>
    <col min="3565" max="3565" width="55.28515625" style="627" customWidth="1"/>
    <col min="3566" max="3615" width="9.140625" style="627" hidden="1" customWidth="1"/>
    <col min="3616" max="3616" width="55.28515625" style="627" customWidth="1"/>
    <col min="3617" max="3654" width="9.140625" style="627" hidden="1" customWidth="1"/>
    <col min="3655" max="3820" width="9.140625" style="627" customWidth="1"/>
    <col min="3821" max="3821" width="55.28515625" style="627" customWidth="1"/>
    <col min="3822" max="3871" width="9.140625" style="627" hidden="1" customWidth="1"/>
    <col min="3872" max="3872" width="55.28515625" style="627" customWidth="1"/>
    <col min="3873" max="3910" width="9.140625" style="627" hidden="1" customWidth="1"/>
    <col min="3911" max="4076" width="9.140625" style="627" customWidth="1"/>
    <col min="4077" max="4077" width="55.28515625" style="627" customWidth="1"/>
    <col min="4078" max="4127" width="9.140625" style="627" hidden="1" customWidth="1"/>
    <col min="4128" max="4128" width="55.28515625" style="627" customWidth="1"/>
    <col min="4129" max="4166" width="9.140625" style="627" hidden="1" customWidth="1"/>
    <col min="4167" max="4332" width="9.140625" style="627" customWidth="1"/>
    <col min="4333" max="4333" width="55.28515625" style="627" customWidth="1"/>
    <col min="4334" max="4383" width="9.140625" style="627" hidden="1" customWidth="1"/>
    <col min="4384" max="4384" width="55.28515625" style="627" customWidth="1"/>
    <col min="4385" max="4422" width="9.140625" style="627" hidden="1" customWidth="1"/>
    <col min="4423" max="4588" width="9.140625" style="627" customWidth="1"/>
    <col min="4589" max="4589" width="55.28515625" style="627" customWidth="1"/>
    <col min="4590" max="4639" width="9.140625" style="627" hidden="1" customWidth="1"/>
    <col min="4640" max="4640" width="55.28515625" style="627" customWidth="1"/>
    <col min="4641" max="4678" width="9.140625" style="627" hidden="1" customWidth="1"/>
    <col min="4679" max="4844" width="9.140625" style="627" customWidth="1"/>
    <col min="4845" max="4845" width="55.28515625" style="627" customWidth="1"/>
    <col min="4846" max="4895" width="9.140625" style="627" hidden="1" customWidth="1"/>
    <col min="4896" max="4896" width="55.28515625" style="627" customWidth="1"/>
    <col min="4897" max="4934" width="9.140625" style="627" hidden="1" customWidth="1"/>
    <col min="4935" max="5100" width="9.140625" style="627" customWidth="1"/>
    <col min="5101" max="5101" width="55.28515625" style="627" customWidth="1"/>
    <col min="5102" max="5151" width="9.140625" style="627" hidden="1" customWidth="1"/>
    <col min="5152" max="5152" width="55.28515625" style="627" customWidth="1"/>
    <col min="5153" max="5190" width="9.140625" style="627" hidden="1" customWidth="1"/>
    <col min="5191" max="5356" width="9.140625" style="627" customWidth="1"/>
    <col min="5357" max="5357" width="55.28515625" style="627" customWidth="1"/>
    <col min="5358" max="5407" width="9.140625" style="627" hidden="1" customWidth="1"/>
    <col min="5408" max="5408" width="55.28515625" style="627" customWidth="1"/>
    <col min="5409" max="5446" width="9.140625" style="627" hidden="1" customWidth="1"/>
    <col min="5447" max="5612" width="9.140625" style="627" customWidth="1"/>
    <col min="5613" max="5613" width="55.28515625" style="627" customWidth="1"/>
    <col min="5614" max="5663" width="9.140625" style="627" hidden="1" customWidth="1"/>
    <col min="5664" max="5664" width="55.28515625" style="627" customWidth="1"/>
    <col min="5665" max="5702" width="9.140625" style="627" hidden="1" customWidth="1"/>
    <col min="5703" max="5868" width="9.140625" style="627" customWidth="1"/>
    <col min="5869" max="5869" width="55.28515625" style="627" customWidth="1"/>
    <col min="5870" max="5919" width="9.140625" style="627" hidden="1" customWidth="1"/>
    <col min="5920" max="5920" width="55.28515625" style="627" customWidth="1"/>
    <col min="5921" max="5958" width="9.140625" style="627" hidden="1" customWidth="1"/>
    <col min="5959" max="6124" width="9.140625" style="627" customWidth="1"/>
    <col min="6125" max="6125" width="55.28515625" style="627" customWidth="1"/>
    <col min="6126" max="6175" width="9.140625" style="627" hidden="1" customWidth="1"/>
    <col min="6176" max="6176" width="55.28515625" style="627" customWidth="1"/>
    <col min="6177" max="6214" width="9.140625" style="627" hidden="1" customWidth="1"/>
    <col min="6215" max="6380" width="9.140625" style="627" customWidth="1"/>
    <col min="6381" max="6381" width="55.28515625" style="627" customWidth="1"/>
    <col min="6382" max="6431" width="9.140625" style="627" hidden="1" customWidth="1"/>
    <col min="6432" max="6432" width="55.28515625" style="627" customWidth="1"/>
    <col min="6433" max="6470" width="9.140625" style="627" hidden="1" customWidth="1"/>
    <col min="6471" max="6636" width="9.140625" style="627" customWidth="1"/>
    <col min="6637" max="6637" width="55.28515625" style="627" customWidth="1"/>
    <col min="6638" max="6687" width="9.140625" style="627" hidden="1" customWidth="1"/>
    <col min="6688" max="6688" width="55.28515625" style="627" customWidth="1"/>
    <col min="6689" max="6726" width="9.140625" style="627" hidden="1" customWidth="1"/>
    <col min="6727" max="6892" width="9.140625" style="627" customWidth="1"/>
    <col min="6893" max="6893" width="55.28515625" style="627" customWidth="1"/>
    <col min="6894" max="6943" width="9.140625" style="627" hidden="1" customWidth="1"/>
    <col min="6944" max="6944" width="55.28515625" style="627" customWidth="1"/>
    <col min="6945" max="6982" width="9.140625" style="627" hidden="1" customWidth="1"/>
    <col min="6983" max="7148" width="9.140625" style="627" customWidth="1"/>
    <col min="7149" max="7149" width="55.28515625" style="627" customWidth="1"/>
    <col min="7150" max="7199" width="9.140625" style="627" hidden="1" customWidth="1"/>
    <col min="7200" max="7200" width="55.28515625" style="627" customWidth="1"/>
    <col min="7201" max="7238" width="9.140625" style="627" hidden="1" customWidth="1"/>
    <col min="7239" max="7404" width="9.140625" style="627" customWidth="1"/>
    <col min="7405" max="7405" width="55.28515625" style="627" customWidth="1"/>
    <col min="7406" max="7455" width="9.140625" style="627" hidden="1" customWidth="1"/>
    <col min="7456" max="7456" width="55.28515625" style="627" customWidth="1"/>
    <col min="7457" max="7494" width="9.140625" style="627" hidden="1" customWidth="1"/>
    <col min="7495" max="7660" width="9.140625" style="627" customWidth="1"/>
    <col min="7661" max="7661" width="55.28515625" style="627" customWidth="1"/>
    <col min="7662" max="7711" width="9.140625" style="627" hidden="1" customWidth="1"/>
    <col min="7712" max="7712" width="55.28515625" style="627" customWidth="1"/>
    <col min="7713" max="7750" width="9.140625" style="627" hidden="1" customWidth="1"/>
    <col min="7751" max="7916" width="9.140625" style="627" customWidth="1"/>
    <col min="7917" max="7917" width="55.28515625" style="627" customWidth="1"/>
    <col min="7918" max="7967" width="9.140625" style="627" hidden="1" customWidth="1"/>
    <col min="7968" max="7968" width="55.28515625" style="627" customWidth="1"/>
    <col min="7969" max="8006" width="9.140625" style="627" hidden="1" customWidth="1"/>
    <col min="8007" max="8172" width="9.140625" style="627" customWidth="1"/>
    <col min="8173" max="8173" width="55.28515625" style="627" customWidth="1"/>
    <col min="8174" max="8223" width="9.140625" style="627" hidden="1" customWidth="1"/>
    <col min="8224" max="8224" width="55.28515625" style="627" customWidth="1"/>
    <col min="8225" max="8262" width="9.140625" style="627" hidden="1" customWidth="1"/>
    <col min="8263" max="8428" width="9.140625" style="627" customWidth="1"/>
    <col min="8429" max="8429" width="55.28515625" style="627" customWidth="1"/>
    <col min="8430" max="8479" width="9.140625" style="627" hidden="1" customWidth="1"/>
    <col min="8480" max="8480" width="55.28515625" style="627" customWidth="1"/>
    <col min="8481" max="8518" width="9.140625" style="627" hidden="1" customWidth="1"/>
    <col min="8519" max="8684" width="9.140625" style="627" customWidth="1"/>
    <col min="8685" max="8685" width="55.28515625" style="627" customWidth="1"/>
    <col min="8686" max="8735" width="9.140625" style="627" hidden="1" customWidth="1"/>
    <col min="8736" max="8736" width="55.28515625" style="627" customWidth="1"/>
    <col min="8737" max="8774" width="9.140625" style="627" hidden="1" customWidth="1"/>
    <col min="8775" max="8940" width="9.140625" style="627" customWidth="1"/>
    <col min="8941" max="8941" width="55.28515625" style="627" customWidth="1"/>
    <col min="8942" max="8991" width="9.140625" style="627" hidden="1" customWidth="1"/>
    <col min="8992" max="8992" width="55.28515625" style="627" customWidth="1"/>
    <col min="8993" max="9030" width="9.140625" style="627" hidden="1" customWidth="1"/>
    <col min="9031" max="9196" width="9.140625" style="627" customWidth="1"/>
    <col min="9197" max="9197" width="55.28515625" style="627" customWidth="1"/>
    <col min="9198" max="9247" width="9.140625" style="627" hidden="1" customWidth="1"/>
    <col min="9248" max="9248" width="55.28515625" style="627" customWidth="1"/>
    <col min="9249" max="9286" width="9.140625" style="627" hidden="1" customWidth="1"/>
    <col min="9287" max="9452" width="9.140625" style="627" customWidth="1"/>
    <col min="9453" max="9453" width="55.28515625" style="627" customWidth="1"/>
    <col min="9454" max="9503" width="9.140625" style="627" hidden="1" customWidth="1"/>
    <col min="9504" max="9504" width="55.28515625" style="627" customWidth="1"/>
    <col min="9505" max="9542" width="9.140625" style="627" hidden="1" customWidth="1"/>
    <col min="9543" max="9708" width="9.140625" style="627" customWidth="1"/>
    <col min="9709" max="9709" width="55.28515625" style="627" customWidth="1"/>
    <col min="9710" max="9759" width="9.140625" style="627" hidden="1" customWidth="1"/>
    <col min="9760" max="9760" width="55.28515625" style="627" customWidth="1"/>
    <col min="9761" max="9798" width="9.140625" style="627" hidden="1" customWidth="1"/>
    <col min="9799" max="9964" width="9.140625" style="627" customWidth="1"/>
    <col min="9965" max="9965" width="55.28515625" style="627" customWidth="1"/>
    <col min="9966" max="10015" width="9.140625" style="627" hidden="1" customWidth="1"/>
    <col min="10016" max="10016" width="55.28515625" style="627" customWidth="1"/>
    <col min="10017" max="10054" width="9.140625" style="627" hidden="1" customWidth="1"/>
    <col min="10055" max="10220" width="9.140625" style="627" customWidth="1"/>
    <col min="10221" max="10221" width="55.28515625" style="627" customWidth="1"/>
    <col min="10222" max="10271" width="9.140625" style="627" hidden="1" customWidth="1"/>
    <col min="10272" max="10272" width="55.28515625" style="627" customWidth="1"/>
    <col min="10273" max="10310" width="9.140625" style="627" hidden="1" customWidth="1"/>
    <col min="10311" max="10476" width="9.140625" style="627" customWidth="1"/>
    <col min="10477" max="10477" width="55.28515625" style="627" customWidth="1"/>
    <col min="10478" max="10527" width="9.140625" style="627" hidden="1" customWidth="1"/>
    <col min="10528" max="10528" width="55.28515625" style="627" customWidth="1"/>
    <col min="10529" max="10566" width="9.140625" style="627" hidden="1" customWidth="1"/>
    <col min="10567" max="10732" width="9.140625" style="627" customWidth="1"/>
    <col min="10733" max="10733" width="55.28515625" style="627" customWidth="1"/>
    <col min="10734" max="10783" width="9.140625" style="627" hidden="1" customWidth="1"/>
    <col min="10784" max="10784" width="55.28515625" style="627" customWidth="1"/>
    <col min="10785" max="10822" width="9.140625" style="627" hidden="1" customWidth="1"/>
    <col min="10823" max="10988" width="9.140625" style="627" customWidth="1"/>
    <col min="10989" max="10989" width="55.28515625" style="627" customWidth="1"/>
    <col min="10990" max="11039" width="9.140625" style="627" hidden="1" customWidth="1"/>
    <col min="11040" max="11040" width="55.28515625" style="627" customWidth="1"/>
    <col min="11041" max="11078" width="9.140625" style="627" hidden="1" customWidth="1"/>
    <col min="11079" max="11244" width="9.140625" style="627" customWidth="1"/>
    <col min="11245" max="11245" width="55.28515625" style="627" customWidth="1"/>
    <col min="11246" max="11295" width="9.140625" style="627" hidden="1" customWidth="1"/>
    <col min="11296" max="11296" width="55.28515625" style="627" customWidth="1"/>
    <col min="11297" max="11334" width="9.140625" style="627" hidden="1" customWidth="1"/>
    <col min="11335" max="11500" width="9.140625" style="627" customWidth="1"/>
    <col min="11501" max="11501" width="55.28515625" style="627" customWidth="1"/>
    <col min="11502" max="11551" width="9.140625" style="627" hidden="1" customWidth="1"/>
    <col min="11552" max="11552" width="55.28515625" style="627" customWidth="1"/>
    <col min="11553" max="11590" width="9.140625" style="627" hidden="1" customWidth="1"/>
    <col min="11591" max="11756" width="9.140625" style="627" customWidth="1"/>
    <col min="11757" max="11757" width="55.28515625" style="627" customWidth="1"/>
    <col min="11758" max="11807" width="9.140625" style="627" hidden="1" customWidth="1"/>
    <col min="11808" max="11808" width="55.28515625" style="627" customWidth="1"/>
    <col min="11809" max="11846" width="9.140625" style="627" hidden="1" customWidth="1"/>
    <col min="11847" max="12012" width="9.140625" style="627" customWidth="1"/>
    <col min="12013" max="12013" width="55.28515625" style="627" customWidth="1"/>
    <col min="12014" max="12063" width="9.140625" style="627" hidden="1" customWidth="1"/>
    <col min="12064" max="12064" width="55.28515625" style="627" customWidth="1"/>
    <col min="12065" max="12102" width="9.140625" style="627" hidden="1" customWidth="1"/>
    <col min="12103" max="12268" width="9.140625" style="627" customWidth="1"/>
    <col min="12269" max="12269" width="55.28515625" style="627" customWidth="1"/>
    <col min="12270" max="12319" width="9.140625" style="627" hidden="1" customWidth="1"/>
    <col min="12320" max="12320" width="55.28515625" style="627" customWidth="1"/>
    <col min="12321" max="12358" width="9.140625" style="627" hidden="1" customWidth="1"/>
    <col min="12359" max="12524" width="9.140625" style="627" customWidth="1"/>
    <col min="12525" max="12525" width="55.28515625" style="627" customWidth="1"/>
    <col min="12526" max="12575" width="9.140625" style="627" hidden="1" customWidth="1"/>
    <col min="12576" max="12576" width="55.28515625" style="627" customWidth="1"/>
    <col min="12577" max="12614" width="9.140625" style="627" hidden="1" customWidth="1"/>
    <col min="12615" max="12780" width="9.140625" style="627" customWidth="1"/>
    <col min="12781" max="12781" width="55.28515625" style="627" customWidth="1"/>
    <col min="12782" max="12831" width="9.140625" style="627" hidden="1" customWidth="1"/>
    <col min="12832" max="12832" width="55.28515625" style="627" customWidth="1"/>
    <col min="12833" max="12870" width="9.140625" style="627" hidden="1" customWidth="1"/>
    <col min="12871" max="13036" width="9.140625" style="627" customWidth="1"/>
    <col min="13037" max="13037" width="55.28515625" style="627" customWidth="1"/>
    <col min="13038" max="13087" width="9.140625" style="627" hidden="1" customWidth="1"/>
    <col min="13088" max="13088" width="55.28515625" style="627" customWidth="1"/>
    <col min="13089" max="13126" width="9.140625" style="627" hidden="1" customWidth="1"/>
    <col min="13127" max="13292" width="9.140625" style="627" customWidth="1"/>
    <col min="13293" max="13293" width="55.28515625" style="627" customWidth="1"/>
    <col min="13294" max="13343" width="9.140625" style="627" hidden="1" customWidth="1"/>
    <col min="13344" max="13344" width="55.28515625" style="627" customWidth="1"/>
    <col min="13345" max="13382" width="9.140625" style="627" hidden="1" customWidth="1"/>
    <col min="13383" max="13548" width="9.140625" style="627" customWidth="1"/>
    <col min="13549" max="13549" width="55.28515625" style="627" customWidth="1"/>
    <col min="13550" max="13599" width="9.140625" style="627" hidden="1" customWidth="1"/>
    <col min="13600" max="13600" width="55.28515625" style="627" customWidth="1"/>
    <col min="13601" max="13638" width="9.140625" style="627" hidden="1" customWidth="1"/>
    <col min="13639" max="13804" width="9.140625" style="627" customWidth="1"/>
    <col min="13805" max="13805" width="55.28515625" style="627" customWidth="1"/>
    <col min="13806" max="13855" width="9.140625" style="627" hidden="1" customWidth="1"/>
    <col min="13856" max="13856" width="55.28515625" style="627" customWidth="1"/>
    <col min="13857" max="13894" width="9.140625" style="627" hidden="1" customWidth="1"/>
    <col min="13895" max="14060" width="9.140625" style="627" customWidth="1"/>
    <col min="14061" max="14061" width="55.28515625" style="627" customWidth="1"/>
    <col min="14062" max="14111" width="9.140625" style="627" hidden="1" customWidth="1"/>
    <col min="14112" max="14112" width="55.28515625" style="627" customWidth="1"/>
    <col min="14113" max="14150" width="9.140625" style="627" hidden="1" customWidth="1"/>
    <col min="14151" max="14316" width="9.140625" style="627" customWidth="1"/>
    <col min="14317" max="14317" width="55.28515625" style="627" customWidth="1"/>
    <col min="14318" max="14367" width="9.140625" style="627" hidden="1" customWidth="1"/>
    <col min="14368" max="14368" width="55.28515625" style="627" customWidth="1"/>
    <col min="14369" max="14406" width="9.140625" style="627" hidden="1" customWidth="1"/>
    <col min="14407" max="14572" width="9.140625" style="627" customWidth="1"/>
    <col min="14573" max="14573" width="55.28515625" style="627" customWidth="1"/>
    <col min="14574" max="14623" width="9.140625" style="627" hidden="1" customWidth="1"/>
    <col min="14624" max="14624" width="55.28515625" style="627" customWidth="1"/>
    <col min="14625" max="14662" width="9.140625" style="627" hidden="1" customWidth="1"/>
    <col min="14663" max="14828" width="9.140625" style="627" customWidth="1"/>
    <col min="14829" max="14829" width="55.28515625" style="627" customWidth="1"/>
    <col min="14830" max="14879" width="9.140625" style="627" hidden="1" customWidth="1"/>
    <col min="14880" max="14880" width="55.28515625" style="627" customWidth="1"/>
    <col min="14881" max="14918" width="9.140625" style="627" hidden="1" customWidth="1"/>
    <col min="14919" max="15084" width="9.140625" style="627" customWidth="1"/>
    <col min="15085" max="15085" width="55.28515625" style="627" customWidth="1"/>
    <col min="15086" max="15135" width="9.140625" style="627" hidden="1" customWidth="1"/>
    <col min="15136" max="15136" width="55.28515625" style="627" customWidth="1"/>
    <col min="15137" max="15174" width="9.140625" style="627" hidden="1" customWidth="1"/>
    <col min="15175" max="15340" width="9.140625" style="627" customWidth="1"/>
    <col min="15341" max="15341" width="55.28515625" style="627" customWidth="1"/>
    <col min="15342" max="15391" width="9.140625" style="627" hidden="1" customWidth="1"/>
    <col min="15392" max="15392" width="55.28515625" style="627" customWidth="1"/>
    <col min="15393" max="15430" width="9.140625" style="627" hidden="1" customWidth="1"/>
    <col min="15431" max="15596" width="9.140625" style="627" customWidth="1"/>
    <col min="15597" max="15597" width="55.28515625" style="627" customWidth="1"/>
    <col min="15598" max="15647" width="9.140625" style="627" hidden="1" customWidth="1"/>
    <col min="15648" max="15648" width="55.28515625" style="627" customWidth="1"/>
    <col min="15649" max="15686" width="9.140625" style="627" hidden="1" customWidth="1"/>
    <col min="15687" max="15852" width="9.140625" style="627" customWidth="1"/>
    <col min="15853" max="15853" width="55.28515625" style="627" customWidth="1"/>
    <col min="15854" max="15903" width="9.140625" style="627" hidden="1" customWidth="1"/>
    <col min="15904" max="15904" width="55.28515625" style="627" customWidth="1"/>
    <col min="15905" max="15942" width="9.140625" style="627" hidden="1" customWidth="1"/>
    <col min="15943" max="16108" width="9.140625" style="627" customWidth="1"/>
    <col min="16109" max="16109" width="55.28515625" style="627" customWidth="1"/>
    <col min="16110" max="16159" width="9.140625" style="627" hidden="1" customWidth="1"/>
    <col min="16160" max="16160" width="55.28515625" style="627" customWidth="1"/>
    <col min="16161" max="16198" width="9.140625" style="627" hidden="1" customWidth="1"/>
    <col min="16199" max="16364" width="9.140625" style="627" customWidth="1"/>
    <col min="16365" max="16365" width="55.28515625" style="627" customWidth="1"/>
    <col min="16366" max="16384" width="9.140625" style="627" hidden="1" customWidth="1"/>
  </cols>
  <sheetData>
    <row r="1" spans="1:169" ht="18" customHeight="1" x14ac:dyDescent="0.3">
      <c r="A1" s="2673" t="s">
        <v>2560</v>
      </c>
    </row>
    <row r="2" spans="1:169" ht="13.5" customHeight="1" thickBot="1" x14ac:dyDescent="0.35">
      <c r="A2" s="2674"/>
      <c r="B2" s="1694"/>
      <c r="C2" s="1694"/>
      <c r="D2" s="1694"/>
      <c r="E2" s="1694"/>
      <c r="G2" s="1694"/>
      <c r="H2" s="1694"/>
      <c r="I2" s="1694"/>
      <c r="K2" s="1694"/>
      <c r="N2" s="1694"/>
      <c r="O2" s="1694"/>
      <c r="P2" s="1694"/>
      <c r="Q2" s="1694"/>
      <c r="R2" s="1694"/>
      <c r="S2" s="1694"/>
      <c r="T2" s="1694"/>
      <c r="U2" s="1694"/>
      <c r="V2" s="1694"/>
      <c r="W2" s="1694"/>
      <c r="X2" s="1694"/>
      <c r="Y2" s="2675"/>
      <c r="Z2" s="2675"/>
      <c r="AA2" s="2675"/>
      <c r="AB2" s="2675"/>
      <c r="AC2" s="2675"/>
      <c r="AD2" s="1694"/>
      <c r="AE2" s="1694"/>
      <c r="AF2" s="1694"/>
      <c r="AG2" s="1694"/>
      <c r="AH2" s="1694"/>
      <c r="AI2" s="1694"/>
      <c r="AJ2" s="1694"/>
      <c r="AK2" s="1694"/>
      <c r="AL2" s="1694"/>
      <c r="AM2" s="1694"/>
      <c r="AN2" s="1694"/>
      <c r="AO2" s="1694"/>
      <c r="AP2" s="1694"/>
      <c r="AV2" s="1694"/>
      <c r="AW2" s="1694"/>
      <c r="AX2" s="1694"/>
      <c r="BA2" s="2676"/>
      <c r="BB2" s="2676"/>
      <c r="BD2" s="2676"/>
      <c r="BE2" s="2676"/>
      <c r="BF2" s="2676"/>
      <c r="BG2" s="2676"/>
      <c r="BH2" s="2676"/>
      <c r="BY2" s="2676"/>
      <c r="CG2" s="2676"/>
      <c r="CI2" s="2676"/>
      <c r="CK2" s="2676"/>
      <c r="CO2" s="2676"/>
      <c r="DD2" s="1428"/>
      <c r="DE2" s="1428"/>
      <c r="DF2" s="1428"/>
      <c r="DH2" s="1428"/>
      <c r="DI2" s="1428"/>
      <c r="DK2" s="1428"/>
      <c r="DT2" s="1694"/>
      <c r="DY2" s="1694"/>
      <c r="EF2" s="1694"/>
      <c r="EG2" s="1694"/>
      <c r="EH2" s="1694"/>
      <c r="EI2" s="1694"/>
      <c r="EK2" s="1694"/>
      <c r="EL2" s="1694"/>
      <c r="EM2" s="1694"/>
      <c r="EN2" s="1694"/>
      <c r="EO2" s="1694"/>
      <c r="EP2" s="1694"/>
      <c r="EQ2" s="1694"/>
      <c r="ES2" s="1694"/>
      <c r="ET2" s="1694"/>
      <c r="EU2" s="1694"/>
      <c r="EV2" s="1694"/>
      <c r="EW2" s="1694"/>
      <c r="EX2" s="1694"/>
      <c r="EY2" s="1694"/>
      <c r="EZ2" s="1694"/>
      <c r="FA2" s="1694"/>
      <c r="FB2" s="1694"/>
      <c r="FC2" s="1694"/>
      <c r="FD2" s="1694"/>
      <c r="FE2" s="1694"/>
      <c r="FF2" s="1694"/>
      <c r="FG2" s="1694"/>
      <c r="FH2" s="1694"/>
      <c r="FI2" s="1694"/>
      <c r="FJ2" s="1694" t="s">
        <v>281</v>
      </c>
    </row>
    <row r="3" spans="1:169" s="1692" customFormat="1" ht="24" customHeight="1" thickTop="1" thickBot="1" x14ac:dyDescent="0.35">
      <c r="A3" s="2677"/>
      <c r="B3" s="2678">
        <v>40179</v>
      </c>
      <c r="C3" s="2678">
        <v>40211</v>
      </c>
      <c r="D3" s="2678">
        <v>40239</v>
      </c>
      <c r="E3" s="2678">
        <v>40270</v>
      </c>
      <c r="F3" s="2678">
        <v>40300</v>
      </c>
      <c r="G3" s="2678">
        <v>40331</v>
      </c>
      <c r="H3" s="2678">
        <v>40361</v>
      </c>
      <c r="I3" s="2678">
        <v>40392</v>
      </c>
      <c r="J3" s="2678">
        <v>40423</v>
      </c>
      <c r="K3" s="2678">
        <v>40453</v>
      </c>
      <c r="L3" s="2678">
        <v>40484</v>
      </c>
      <c r="M3" s="2678">
        <v>40514</v>
      </c>
      <c r="N3" s="2678">
        <v>40545</v>
      </c>
      <c r="O3" s="2678">
        <v>40576</v>
      </c>
      <c r="P3" s="2678">
        <v>40604</v>
      </c>
      <c r="Q3" s="2678">
        <v>40635</v>
      </c>
      <c r="R3" s="2678">
        <v>40665</v>
      </c>
      <c r="S3" s="2678">
        <v>40696</v>
      </c>
      <c r="T3" s="2678">
        <v>40726</v>
      </c>
      <c r="U3" s="2678">
        <v>40757</v>
      </c>
      <c r="V3" s="2678">
        <v>40788</v>
      </c>
      <c r="W3" s="2678">
        <v>40818</v>
      </c>
      <c r="X3" s="2678">
        <v>40849</v>
      </c>
      <c r="Y3" s="2678">
        <v>40879</v>
      </c>
      <c r="Z3" s="2678">
        <v>40910</v>
      </c>
      <c r="AA3" s="2678">
        <v>40941</v>
      </c>
      <c r="AB3" s="2678">
        <v>40970</v>
      </c>
      <c r="AC3" s="2678">
        <v>41001</v>
      </c>
      <c r="AD3" s="2678">
        <v>41031</v>
      </c>
      <c r="AE3" s="2678">
        <v>41062</v>
      </c>
      <c r="AF3" s="2678">
        <v>41092</v>
      </c>
      <c r="AG3" s="2678">
        <v>41123</v>
      </c>
      <c r="AH3" s="2678">
        <v>41154</v>
      </c>
      <c r="AI3" s="2678">
        <v>41184</v>
      </c>
      <c r="AJ3" s="2678">
        <v>41215</v>
      </c>
      <c r="AK3" s="2678">
        <v>41245</v>
      </c>
      <c r="AL3" s="2678">
        <v>41276</v>
      </c>
      <c r="AM3" s="2678">
        <v>41307</v>
      </c>
      <c r="AN3" s="2678">
        <v>41335</v>
      </c>
      <c r="AO3" s="2678">
        <v>41366</v>
      </c>
      <c r="AP3" s="2678">
        <v>41396</v>
      </c>
      <c r="AQ3" s="2678">
        <v>41427</v>
      </c>
      <c r="AR3" s="2678">
        <v>41457</v>
      </c>
      <c r="AS3" s="2678">
        <v>41488</v>
      </c>
      <c r="AT3" s="2678">
        <v>41519</v>
      </c>
      <c r="AU3" s="2678">
        <v>41549</v>
      </c>
      <c r="AV3" s="2678">
        <v>41580</v>
      </c>
      <c r="AW3" s="2678">
        <v>41610</v>
      </c>
      <c r="AX3" s="2678">
        <v>41641</v>
      </c>
      <c r="AY3" s="2678">
        <v>41672</v>
      </c>
      <c r="AZ3" s="2678">
        <v>41700</v>
      </c>
      <c r="BA3" s="2678">
        <v>41731</v>
      </c>
      <c r="BB3" s="2678">
        <v>41761</v>
      </c>
      <c r="BC3" s="2678">
        <v>41791</v>
      </c>
      <c r="BD3" s="2678">
        <v>41821</v>
      </c>
      <c r="BE3" s="2678">
        <v>41852</v>
      </c>
      <c r="BF3" s="2678">
        <v>41883</v>
      </c>
      <c r="BG3" s="2678">
        <v>41914</v>
      </c>
      <c r="BH3" s="2678">
        <v>41945</v>
      </c>
      <c r="BI3" s="2678">
        <v>41975</v>
      </c>
      <c r="BJ3" s="2678">
        <v>42006</v>
      </c>
      <c r="BK3" s="2678">
        <v>42037</v>
      </c>
      <c r="BL3" s="2678">
        <v>42065</v>
      </c>
      <c r="BM3" s="2678">
        <v>42096</v>
      </c>
      <c r="BN3" s="2678">
        <v>42126</v>
      </c>
      <c r="BO3" s="2678">
        <v>42157</v>
      </c>
      <c r="BP3" s="2678">
        <v>42187</v>
      </c>
      <c r="BQ3" s="2678">
        <v>42218</v>
      </c>
      <c r="BR3" s="2678">
        <v>42249</v>
      </c>
      <c r="BS3" s="2678">
        <v>42279</v>
      </c>
      <c r="BT3" s="2678">
        <v>42310</v>
      </c>
      <c r="BU3" s="2678">
        <v>42340</v>
      </c>
      <c r="BV3" s="2678">
        <v>42371</v>
      </c>
      <c r="BW3" s="2678">
        <v>42402</v>
      </c>
      <c r="BX3" s="2678">
        <v>42431</v>
      </c>
      <c r="BY3" s="2678">
        <v>42462</v>
      </c>
      <c r="BZ3" s="2678">
        <v>42492</v>
      </c>
      <c r="CA3" s="2678">
        <v>42523</v>
      </c>
      <c r="CB3" s="2678">
        <v>42553</v>
      </c>
      <c r="CC3" s="2678">
        <v>42584</v>
      </c>
      <c r="CD3" s="2678">
        <v>42615</v>
      </c>
      <c r="CE3" s="2678">
        <v>42645</v>
      </c>
      <c r="CF3" s="2678">
        <v>42676</v>
      </c>
      <c r="CG3" s="2678">
        <v>42706</v>
      </c>
      <c r="CH3" s="2678">
        <v>42737</v>
      </c>
      <c r="CI3" s="2678">
        <v>42768</v>
      </c>
      <c r="CJ3" s="2678">
        <v>42796</v>
      </c>
      <c r="CK3" s="2678">
        <v>42827</v>
      </c>
      <c r="CL3" s="2678">
        <v>42857</v>
      </c>
      <c r="CM3" s="2678">
        <v>42888</v>
      </c>
      <c r="CN3" s="2678">
        <v>42918</v>
      </c>
      <c r="CO3" s="2678">
        <v>42949</v>
      </c>
      <c r="CP3" s="2678">
        <v>42980</v>
      </c>
      <c r="CQ3" s="2678">
        <v>43010</v>
      </c>
      <c r="CR3" s="2678">
        <v>43041</v>
      </c>
      <c r="CS3" s="2678">
        <v>43071</v>
      </c>
      <c r="CT3" s="2678">
        <v>43102</v>
      </c>
      <c r="CU3" s="2678">
        <v>43133</v>
      </c>
      <c r="CV3" s="2678">
        <v>43161</v>
      </c>
      <c r="CW3" s="2678">
        <v>43192</v>
      </c>
      <c r="CX3" s="2678">
        <v>43222</v>
      </c>
      <c r="CY3" s="2678">
        <v>43253</v>
      </c>
      <c r="CZ3" s="2678">
        <v>43283</v>
      </c>
      <c r="DA3" s="2678">
        <v>43314</v>
      </c>
      <c r="DB3" s="2678">
        <v>43345</v>
      </c>
      <c r="DC3" s="2678">
        <v>43375</v>
      </c>
      <c r="DD3" s="2678">
        <v>43406</v>
      </c>
      <c r="DE3" s="2678">
        <v>43436</v>
      </c>
      <c r="DF3" s="2678">
        <v>43467</v>
      </c>
      <c r="DG3" s="2678">
        <v>43498</v>
      </c>
      <c r="DH3" s="2678">
        <v>43526</v>
      </c>
      <c r="DI3" s="2678">
        <v>43557</v>
      </c>
      <c r="DJ3" s="2678">
        <v>43587</v>
      </c>
      <c r="DK3" s="2678">
        <v>43618</v>
      </c>
      <c r="DL3" s="2678">
        <v>43648</v>
      </c>
      <c r="DM3" s="2678">
        <v>43679</v>
      </c>
      <c r="DN3" s="2678">
        <v>43710</v>
      </c>
      <c r="DO3" s="2678">
        <v>43740</v>
      </c>
      <c r="DP3" s="2678">
        <v>43771</v>
      </c>
      <c r="DQ3" s="2678">
        <v>43801</v>
      </c>
      <c r="DR3" s="2678">
        <v>43832</v>
      </c>
      <c r="DS3" s="2678">
        <v>43863</v>
      </c>
      <c r="DT3" s="2679" t="s">
        <v>477</v>
      </c>
      <c r="DU3" s="2679" t="s">
        <v>2503</v>
      </c>
      <c r="DV3" s="2679" t="s">
        <v>312</v>
      </c>
      <c r="DW3" s="2679" t="s">
        <v>2561</v>
      </c>
      <c r="DX3" s="2679" t="s">
        <v>2562</v>
      </c>
      <c r="DY3" s="2679" t="s">
        <v>2563</v>
      </c>
      <c r="DZ3" s="2679" t="s">
        <v>2564</v>
      </c>
      <c r="EA3" s="2679" t="s">
        <v>2565</v>
      </c>
      <c r="EB3" s="2679" t="s">
        <v>318</v>
      </c>
      <c r="EC3" s="2679" t="s">
        <v>319</v>
      </c>
      <c r="ED3" s="2679" t="s">
        <v>320</v>
      </c>
      <c r="EE3" s="2679" t="s">
        <v>321</v>
      </c>
      <c r="EF3" s="2679" t="s">
        <v>322</v>
      </c>
      <c r="EG3" s="2679">
        <v>44287</v>
      </c>
      <c r="EH3" s="2679">
        <v>44317</v>
      </c>
      <c r="EI3" s="2679">
        <v>44348</v>
      </c>
      <c r="EJ3" s="2679">
        <v>44378</v>
      </c>
      <c r="EK3" s="2679">
        <v>44409</v>
      </c>
      <c r="EL3" s="2679">
        <v>44440</v>
      </c>
      <c r="EM3" s="2679">
        <v>44470</v>
      </c>
      <c r="EN3" s="2679">
        <v>44501</v>
      </c>
      <c r="EO3" s="2679">
        <v>44531</v>
      </c>
      <c r="EP3" s="2679">
        <v>44562</v>
      </c>
      <c r="EQ3" s="2679">
        <v>44593</v>
      </c>
      <c r="ER3" s="2679">
        <v>44621</v>
      </c>
      <c r="ES3" s="2679">
        <v>44652</v>
      </c>
      <c r="ET3" s="2679">
        <v>44682</v>
      </c>
      <c r="EU3" s="2679">
        <v>44713</v>
      </c>
      <c r="EV3" s="2679">
        <v>44743</v>
      </c>
      <c r="EW3" s="2679">
        <v>44774</v>
      </c>
      <c r="EX3" s="2679">
        <v>44805</v>
      </c>
      <c r="EY3" s="2679" t="s">
        <v>2506</v>
      </c>
      <c r="EZ3" s="2679">
        <v>44866</v>
      </c>
      <c r="FA3" s="2679">
        <v>44896</v>
      </c>
      <c r="FB3" s="2679">
        <v>44927</v>
      </c>
      <c r="FC3" s="2679">
        <v>44958</v>
      </c>
      <c r="FD3" s="2679">
        <v>44986</v>
      </c>
      <c r="FE3" s="2679">
        <v>45017</v>
      </c>
      <c r="FF3" s="2679">
        <v>45047</v>
      </c>
      <c r="FG3" s="2679">
        <v>45078</v>
      </c>
      <c r="FH3" s="2679">
        <v>45108</v>
      </c>
      <c r="FI3" s="2652" t="s">
        <v>2566</v>
      </c>
      <c r="FJ3" s="2679">
        <v>45170</v>
      </c>
    </row>
    <row r="4" spans="1:169" ht="17.25" thickTop="1" x14ac:dyDescent="0.3">
      <c r="A4" s="2680"/>
      <c r="B4" s="2681"/>
      <c r="C4" s="2681"/>
      <c r="D4" s="2681"/>
      <c r="E4" s="2681"/>
      <c r="F4" s="2681"/>
      <c r="G4" s="2681"/>
      <c r="H4" s="2681"/>
      <c r="I4" s="2681"/>
      <c r="J4" s="2681"/>
      <c r="K4" s="2681"/>
      <c r="L4" s="2681"/>
      <c r="M4" s="2681"/>
      <c r="N4" s="2681"/>
      <c r="O4" s="2681"/>
      <c r="P4" s="2681"/>
      <c r="Q4" s="2681"/>
      <c r="R4" s="2681"/>
      <c r="S4" s="2681"/>
      <c r="T4" s="2681"/>
      <c r="U4" s="2681"/>
      <c r="V4" s="2681"/>
      <c r="W4" s="2681"/>
      <c r="X4" s="2681"/>
      <c r="Y4" s="2681"/>
      <c r="Z4" s="2681"/>
      <c r="AA4" s="2681"/>
      <c r="AB4" s="2681"/>
      <c r="AC4" s="2681"/>
      <c r="AD4" s="2681"/>
      <c r="AE4" s="2681"/>
      <c r="AF4" s="2681"/>
      <c r="AG4" s="2681"/>
      <c r="AH4" s="2681"/>
      <c r="AI4" s="2681"/>
      <c r="AJ4" s="2681"/>
      <c r="AK4" s="2681"/>
      <c r="AL4" s="2681"/>
      <c r="AM4" s="2681"/>
      <c r="AN4" s="2682"/>
      <c r="AO4" s="2682"/>
      <c r="AP4" s="2682"/>
      <c r="AQ4" s="2682"/>
      <c r="AR4" s="2682"/>
      <c r="AS4" s="2682"/>
      <c r="AT4" s="2682"/>
      <c r="AU4" s="2682"/>
      <c r="AV4" s="2682"/>
      <c r="AW4" s="2682"/>
      <c r="AX4" s="2682"/>
      <c r="AY4" s="2682"/>
      <c r="AZ4" s="2682"/>
      <c r="BA4" s="2682"/>
      <c r="BB4" s="2682"/>
      <c r="BC4" s="2682"/>
      <c r="BD4" s="2682"/>
      <c r="BE4" s="2682"/>
      <c r="BF4" s="2682"/>
      <c r="BG4" s="2682"/>
      <c r="BH4" s="2682"/>
      <c r="BI4" s="2682"/>
      <c r="BJ4" s="2682"/>
      <c r="BK4" s="2682"/>
      <c r="BL4" s="2682"/>
      <c r="BM4" s="2682"/>
      <c r="BN4" s="2682"/>
      <c r="BO4" s="2682"/>
      <c r="BP4" s="2682"/>
      <c r="BQ4" s="2682"/>
      <c r="BR4" s="2682"/>
      <c r="BS4" s="2682"/>
      <c r="BT4" s="2682"/>
      <c r="BU4" s="2682"/>
      <c r="BV4" s="2682"/>
      <c r="BW4" s="2682"/>
      <c r="BX4" s="2682"/>
      <c r="BY4" s="2682"/>
      <c r="BZ4" s="2682"/>
      <c r="CA4" s="2682"/>
      <c r="CB4" s="2682"/>
      <c r="CC4" s="2682"/>
      <c r="CD4" s="2682"/>
      <c r="CE4" s="2682"/>
      <c r="CF4" s="2682"/>
      <c r="CG4" s="2682"/>
      <c r="CH4" s="2654"/>
      <c r="CI4" s="2654"/>
      <c r="CJ4" s="2654"/>
      <c r="CK4" s="2654"/>
      <c r="CL4" s="2654"/>
      <c r="CM4" s="2654"/>
      <c r="CN4" s="2654"/>
      <c r="CO4" s="2654"/>
      <c r="CP4" s="2654"/>
      <c r="CQ4" s="2654"/>
      <c r="CR4" s="2654"/>
      <c r="CS4" s="2654"/>
      <c r="CT4" s="2654"/>
      <c r="CU4" s="2654"/>
      <c r="CV4" s="2654"/>
      <c r="CW4" s="2654"/>
      <c r="CX4" s="2654"/>
      <c r="CY4" s="2654"/>
      <c r="CZ4" s="2654"/>
      <c r="DA4" s="2654"/>
      <c r="DB4" s="2654"/>
      <c r="DC4" s="2654"/>
      <c r="DD4" s="2654"/>
      <c r="DE4" s="2654"/>
      <c r="DF4" s="2654"/>
      <c r="DG4" s="2654"/>
      <c r="DH4" s="2654"/>
      <c r="DI4" s="2654"/>
      <c r="DJ4" s="2654"/>
      <c r="DK4" s="2654"/>
      <c r="DL4" s="2654"/>
      <c r="DM4" s="2654"/>
      <c r="DN4" s="2654"/>
      <c r="DO4" s="2654"/>
      <c r="DP4" s="2654"/>
      <c r="DQ4" s="2654"/>
      <c r="DR4" s="2654"/>
      <c r="DS4" s="2654"/>
      <c r="DT4" s="2654"/>
      <c r="DU4" s="2654"/>
      <c r="DV4" s="2654"/>
      <c r="DW4" s="2654"/>
      <c r="DX4" s="2654"/>
      <c r="DY4" s="2654"/>
      <c r="DZ4" s="2654"/>
      <c r="EA4" s="2654"/>
      <c r="EB4" s="2654"/>
      <c r="EC4" s="2654"/>
      <c r="ED4" s="2654"/>
      <c r="EE4" s="2654"/>
      <c r="EF4" s="2654"/>
      <c r="EG4" s="2654"/>
      <c r="EH4" s="2654"/>
      <c r="EI4" s="2654"/>
      <c r="EJ4" s="2654"/>
      <c r="EK4" s="2654"/>
      <c r="EL4" s="2654"/>
      <c r="EM4" s="2654"/>
      <c r="EN4" s="2654"/>
      <c r="EO4" s="2654"/>
      <c r="EP4" s="2654"/>
      <c r="EQ4" s="2654"/>
      <c r="ER4" s="2654"/>
      <c r="ES4" s="2654"/>
      <c r="ET4" s="2654"/>
      <c r="EU4" s="2654"/>
      <c r="EV4" s="2654"/>
      <c r="EW4" s="2654"/>
      <c r="EX4" s="2654"/>
      <c r="EY4" s="2654"/>
      <c r="EZ4" s="2654"/>
      <c r="FA4" s="2654"/>
      <c r="FB4" s="2654"/>
      <c r="FC4" s="2654"/>
      <c r="FD4" s="2654"/>
      <c r="FE4" s="2654"/>
      <c r="FF4" s="2654"/>
      <c r="FG4" s="2654"/>
      <c r="FH4" s="2654"/>
      <c r="FI4" s="2654"/>
      <c r="FJ4" s="2654"/>
    </row>
    <row r="5" spans="1:169" ht="17.25" customHeight="1" x14ac:dyDescent="0.3">
      <c r="A5" s="2683" t="s">
        <v>2567</v>
      </c>
      <c r="B5" s="2684">
        <v>66426.303235972882</v>
      </c>
      <c r="C5" s="2684">
        <v>67813.347178623269</v>
      </c>
      <c r="D5" s="2684">
        <v>67350.55298928589</v>
      </c>
      <c r="E5" s="2684">
        <v>67898.424276395206</v>
      </c>
      <c r="F5" s="2684">
        <v>70563.533940011592</v>
      </c>
      <c r="G5" s="2684">
        <v>69029.206086238628</v>
      </c>
      <c r="H5" s="2684">
        <v>69173.827566074178</v>
      </c>
      <c r="I5" s="2684">
        <v>70109.753901685341</v>
      </c>
      <c r="J5" s="2684">
        <v>73222.669057128718</v>
      </c>
      <c r="K5" s="2684">
        <v>72628.910586909114</v>
      </c>
      <c r="L5" s="2684">
        <v>74948.541309052278</v>
      </c>
      <c r="M5" s="2684">
        <v>77907.26620021234</v>
      </c>
      <c r="N5" s="2684">
        <v>74640.649942564065</v>
      </c>
      <c r="O5" s="2684">
        <v>74618.615312754191</v>
      </c>
      <c r="P5" s="2684">
        <v>76376.735414886105</v>
      </c>
      <c r="Q5" s="2684">
        <v>75700.789623743025</v>
      </c>
      <c r="R5" s="2684">
        <v>77269.692369705648</v>
      </c>
      <c r="S5" s="2684">
        <v>79953.017943437662</v>
      </c>
      <c r="T5" s="2684">
        <v>79074.75525046949</v>
      </c>
      <c r="U5" s="2684">
        <v>79520.667822633579</v>
      </c>
      <c r="V5" s="2684">
        <v>78671.260029511788</v>
      </c>
      <c r="W5" s="2684">
        <v>81199.667306703283</v>
      </c>
      <c r="X5" s="2684">
        <v>77556.049942866448</v>
      </c>
      <c r="Y5" s="2684">
        <v>80100.875885288551</v>
      </c>
      <c r="Z5" s="2684">
        <v>80040.746933815622</v>
      </c>
      <c r="AA5" s="2684">
        <v>79939.581236785903</v>
      </c>
      <c r="AB5" s="2684">
        <v>79411.668224062698</v>
      </c>
      <c r="AC5" s="2684">
        <v>79032.748513622151</v>
      </c>
      <c r="AD5" s="2684">
        <v>78098.527743300889</v>
      </c>
      <c r="AE5" s="2684">
        <v>85159.248901662751</v>
      </c>
      <c r="AF5" s="2684">
        <v>86394.874568552084</v>
      </c>
      <c r="AG5" s="2684">
        <v>86880.112743733043</v>
      </c>
      <c r="AH5" s="2684">
        <v>87928.224802783152</v>
      </c>
      <c r="AI5" s="2684">
        <v>88106.871545446251</v>
      </c>
      <c r="AJ5" s="2684">
        <v>90488.3945909303</v>
      </c>
      <c r="AK5" s="2684">
        <v>91559.825805914632</v>
      </c>
      <c r="AL5" s="2684">
        <v>94098.106945505308</v>
      </c>
      <c r="AM5" s="2684">
        <v>93549.31388682939</v>
      </c>
      <c r="AN5" s="2685">
        <v>96754.802980609718</v>
      </c>
      <c r="AO5" s="2685">
        <v>95870.007278678371</v>
      </c>
      <c r="AP5" s="2685">
        <v>104072.51915873688</v>
      </c>
      <c r="AQ5" s="2685">
        <v>103579.9323233067</v>
      </c>
      <c r="AR5" s="2685">
        <v>100694.20800170788</v>
      </c>
      <c r="AS5" s="2685">
        <v>99291.769986535714</v>
      </c>
      <c r="AT5" s="2685">
        <v>100933.44968334469</v>
      </c>
      <c r="AU5" s="2685">
        <v>100229.18125081969</v>
      </c>
      <c r="AV5" s="2685">
        <v>99261.274187500021</v>
      </c>
      <c r="AW5" s="2685">
        <v>103497.94482550361</v>
      </c>
      <c r="AX5" s="2685">
        <v>102921.43799632388</v>
      </c>
      <c r="AY5" s="2685">
        <v>108544.33997084292</v>
      </c>
      <c r="AZ5" s="2685">
        <v>110343.08859754098</v>
      </c>
      <c r="BA5" s="2685">
        <v>114721.20755311572</v>
      </c>
      <c r="BB5" s="2685">
        <v>117055.21513527753</v>
      </c>
      <c r="BC5" s="2685">
        <v>119619.60702976644</v>
      </c>
      <c r="BD5" s="2685">
        <v>121075.74227892855</v>
      </c>
      <c r="BE5" s="2685">
        <v>123260.36938210644</v>
      </c>
      <c r="BF5" s="2685">
        <v>120752.98616916555</v>
      </c>
      <c r="BG5" s="2685">
        <v>119694.92564294937</v>
      </c>
      <c r="BH5" s="2685">
        <v>117838.97237219621</v>
      </c>
      <c r="BI5" s="2685">
        <v>122735.45625949455</v>
      </c>
      <c r="BJ5" s="2685">
        <v>120049.19112513392</v>
      </c>
      <c r="BK5" s="2685">
        <v>126047.57279302411</v>
      </c>
      <c r="BL5" s="2685">
        <v>139062.48919025276</v>
      </c>
      <c r="BM5" s="2685">
        <v>137586.09214340354</v>
      </c>
      <c r="BN5" s="2685">
        <v>138175.21268258648</v>
      </c>
      <c r="BO5" s="2685">
        <v>138628.47666558527</v>
      </c>
      <c r="BP5" s="2686">
        <v>142104.72795610214</v>
      </c>
      <c r="BQ5" s="2686">
        <v>142278.28919419972</v>
      </c>
      <c r="BR5" s="2686">
        <v>144450.61180768846</v>
      </c>
      <c r="BS5" s="2686">
        <v>148534.72719634642</v>
      </c>
      <c r="BT5" s="2686">
        <v>150438.85095480151</v>
      </c>
      <c r="BU5" s="2686">
        <v>151519.45790363476</v>
      </c>
      <c r="BV5" s="2686">
        <v>153595.05761268668</v>
      </c>
      <c r="BW5" s="2686">
        <v>156324.69065769573</v>
      </c>
      <c r="BX5" s="2686">
        <v>157406.6914241621</v>
      </c>
      <c r="BY5" s="2686">
        <v>156600.80811839449</v>
      </c>
      <c r="BZ5" s="2686">
        <v>159897.71195550862</v>
      </c>
      <c r="CA5" s="2686">
        <v>166725.92581236121</v>
      </c>
      <c r="CB5" s="2686">
        <v>166910.92624923383</v>
      </c>
      <c r="CC5" s="2686">
        <v>166395.73053723547</v>
      </c>
      <c r="CD5" s="2686">
        <v>169580.80563689113</v>
      </c>
      <c r="CE5" s="2686">
        <v>171298.85641524161</v>
      </c>
      <c r="CF5" s="2686">
        <v>173801.30735711419</v>
      </c>
      <c r="CG5" s="2686">
        <v>177668.55562032614</v>
      </c>
      <c r="CH5" s="2687">
        <v>174394.86292201749</v>
      </c>
      <c r="CI5" s="2687">
        <v>174924.25180757011</v>
      </c>
      <c r="CJ5" s="2687">
        <v>175637.22381427392</v>
      </c>
      <c r="CK5" s="2687">
        <v>179152.63008492597</v>
      </c>
      <c r="CL5" s="2687">
        <v>178461.27118693173</v>
      </c>
      <c r="CM5" s="2687">
        <v>180437.56616006474</v>
      </c>
      <c r="CN5" s="2687">
        <v>176191.51600309185</v>
      </c>
      <c r="CO5" s="2687">
        <v>175785.32195359335</v>
      </c>
      <c r="CP5" s="2687">
        <v>185058.20583007197</v>
      </c>
      <c r="CQ5" s="2687">
        <v>188375.48139406703</v>
      </c>
      <c r="CR5" s="2687">
        <v>191339.81988459302</v>
      </c>
      <c r="CS5" s="2687">
        <v>200039.4517179582</v>
      </c>
      <c r="CT5" s="2687">
        <v>196835.78700488887</v>
      </c>
      <c r="CU5" s="2687">
        <v>202954.33186410007</v>
      </c>
      <c r="CV5" s="2687">
        <v>207215.69517574867</v>
      </c>
      <c r="CW5" s="2656">
        <v>214373.48147916992</v>
      </c>
      <c r="CX5" s="2656">
        <v>221942.12390585776</v>
      </c>
      <c r="CY5" s="2656">
        <v>230238.77583979841</v>
      </c>
      <c r="CZ5" s="2656">
        <v>221922.20800793669</v>
      </c>
      <c r="DA5" s="2656">
        <v>225940.38191798772</v>
      </c>
      <c r="DB5" s="2656">
        <v>218871.25093894106</v>
      </c>
      <c r="DC5" s="2656">
        <v>217596.3036255289</v>
      </c>
      <c r="DD5" s="2656">
        <v>214815.73631158541</v>
      </c>
      <c r="DE5" s="2656">
        <v>217004.41993496372</v>
      </c>
      <c r="DF5" s="2656">
        <v>218846.8952504606</v>
      </c>
      <c r="DG5" s="2656">
        <v>219966.96050391931</v>
      </c>
      <c r="DH5" s="2656">
        <v>226576.71631358506</v>
      </c>
      <c r="DI5" s="2656">
        <v>229226.42152050519</v>
      </c>
      <c r="DJ5" s="2656">
        <v>240408.08847555952</v>
      </c>
      <c r="DK5" s="2656">
        <v>252957.68400993009</v>
      </c>
      <c r="DL5" s="2656">
        <v>258964.54538824756</v>
      </c>
      <c r="DM5" s="2656">
        <v>259427.82324653002</v>
      </c>
      <c r="DN5" s="2656">
        <v>262761.86596508219</v>
      </c>
      <c r="DO5" s="2656">
        <v>263442.84530936059</v>
      </c>
      <c r="DP5" s="2656">
        <v>268691.24890248722</v>
      </c>
      <c r="DQ5" s="2656">
        <v>269147.02911251434</v>
      </c>
      <c r="DR5" s="2656">
        <v>278812.67778411362</v>
      </c>
      <c r="DS5" s="2656">
        <v>273904.52688807907</v>
      </c>
      <c r="DT5" s="2656">
        <v>276298.97259022022</v>
      </c>
      <c r="DU5" s="2656">
        <v>280218.67607955547</v>
      </c>
      <c r="DV5" s="2688">
        <v>275540.36607464025</v>
      </c>
      <c r="DW5" s="2688">
        <v>278884.25604416308</v>
      </c>
      <c r="DX5" s="2688">
        <v>295596.05314703286</v>
      </c>
      <c r="DY5" s="2688">
        <v>278825.85957494081</v>
      </c>
      <c r="DZ5" s="2688">
        <v>277995.11736622191</v>
      </c>
      <c r="EA5" s="2688">
        <v>269143.13557219441</v>
      </c>
      <c r="EB5" s="2688">
        <v>268344.11662117584</v>
      </c>
      <c r="EC5" s="2688">
        <v>284981.4928212621</v>
      </c>
      <c r="ED5" s="2688">
        <v>305406.72245056508</v>
      </c>
      <c r="EE5" s="2688">
        <v>286606.10411991918</v>
      </c>
      <c r="EF5" s="2688">
        <v>292769.16974273225</v>
      </c>
      <c r="EG5" s="2688">
        <v>296822.91944970074</v>
      </c>
      <c r="EH5" s="2688">
        <v>304286.70241272327</v>
      </c>
      <c r="EI5" s="2688">
        <v>304753.51439039694</v>
      </c>
      <c r="EJ5" s="2688">
        <v>306323.25830701092</v>
      </c>
      <c r="EK5" s="2688">
        <v>311055.09824585548</v>
      </c>
      <c r="EL5" s="2688">
        <v>313224.63939457148</v>
      </c>
      <c r="EM5" s="2688">
        <v>298725.71976760373</v>
      </c>
      <c r="EN5" s="2688">
        <v>300724.80520937481</v>
      </c>
      <c r="EO5" s="2688">
        <v>337063.73363615904</v>
      </c>
      <c r="EP5" s="2688">
        <v>309649.12609856523</v>
      </c>
      <c r="EQ5" s="2688">
        <v>300516.18910170294</v>
      </c>
      <c r="ER5" s="2688">
        <v>320279.27609864151</v>
      </c>
      <c r="ES5" s="2688">
        <v>263897.34971547523</v>
      </c>
      <c r="ET5" s="2688">
        <v>256550.39193265548</v>
      </c>
      <c r="EU5" s="2688">
        <v>293075.70323235187</v>
      </c>
      <c r="EV5" s="2688">
        <v>264076.9690177234</v>
      </c>
      <c r="EW5" s="2688">
        <v>264594.23080340581</v>
      </c>
      <c r="EX5" s="2688">
        <v>276648.9412771822</v>
      </c>
      <c r="EY5" s="2688">
        <v>235415.07056458096</v>
      </c>
      <c r="EZ5" s="2688">
        <v>243314.95652343554</v>
      </c>
      <c r="FA5" s="2688">
        <v>290734.2678265954</v>
      </c>
      <c r="FB5" s="2688">
        <v>251591.0464090583</v>
      </c>
      <c r="FC5" s="2688">
        <v>251345.52869773973</v>
      </c>
      <c r="FD5" s="2688">
        <v>252715.58270936389</v>
      </c>
      <c r="FE5" s="2688">
        <v>238065.41002667538</v>
      </c>
      <c r="FF5" s="2688">
        <v>238131.47230902113</v>
      </c>
      <c r="FG5" s="2688">
        <v>242383.41958415843</v>
      </c>
      <c r="FH5" s="2688">
        <v>243012.7153590807</v>
      </c>
      <c r="FI5" s="2688">
        <v>241715.2005704309</v>
      </c>
      <c r="FJ5" s="2688">
        <v>229917.78406546984</v>
      </c>
      <c r="FM5" s="628"/>
    </row>
    <row r="6" spans="1:169" ht="17.25" customHeight="1" x14ac:dyDescent="0.3">
      <c r="A6" s="2689" t="s">
        <v>2568</v>
      </c>
      <c r="B6" s="2690">
        <v>66492.585799862878</v>
      </c>
      <c r="C6" s="2690">
        <v>67862.01856516127</v>
      </c>
      <c r="D6" s="2690">
        <v>67430.017346329885</v>
      </c>
      <c r="E6" s="2690">
        <v>67945.452102185212</v>
      </c>
      <c r="F6" s="2690">
        <v>70614.469927441591</v>
      </c>
      <c r="G6" s="2690">
        <v>69077.816955356626</v>
      </c>
      <c r="H6" s="2690">
        <v>69265.429972490179</v>
      </c>
      <c r="I6" s="2690">
        <v>70224.263039725134</v>
      </c>
      <c r="J6" s="2690">
        <v>73306.736101442715</v>
      </c>
      <c r="K6" s="2690">
        <v>72737.86993747011</v>
      </c>
      <c r="L6" s="2690">
        <v>75058.895358864276</v>
      </c>
      <c r="M6" s="2690">
        <v>78026.980681843343</v>
      </c>
      <c r="N6" s="2690">
        <v>74759.402480359786</v>
      </c>
      <c r="O6" s="2690">
        <v>74756.632415967833</v>
      </c>
      <c r="P6" s="2690">
        <v>76503.314619923578</v>
      </c>
      <c r="Q6" s="2690">
        <v>75822.721528235488</v>
      </c>
      <c r="R6" s="2690">
        <v>77399.73435942053</v>
      </c>
      <c r="S6" s="2690">
        <v>80428.540590047662</v>
      </c>
      <c r="T6" s="2690">
        <v>79203.946197350044</v>
      </c>
      <c r="U6" s="2690">
        <v>79650.466859240361</v>
      </c>
      <c r="V6" s="2690">
        <v>78845.458772601793</v>
      </c>
      <c r="W6" s="2690">
        <v>81365.965833621827</v>
      </c>
      <c r="X6" s="2690">
        <v>77788.750568031581</v>
      </c>
      <c r="Y6" s="2690">
        <v>80237.109940980547</v>
      </c>
      <c r="Z6" s="2690">
        <v>80176.177110206452</v>
      </c>
      <c r="AA6" s="2690">
        <v>80076.559609812335</v>
      </c>
      <c r="AB6" s="2690">
        <v>79548.29515837974</v>
      </c>
      <c r="AC6" s="2690">
        <v>79170.996508812314</v>
      </c>
      <c r="AD6" s="2690">
        <v>78259.701957858124</v>
      </c>
      <c r="AE6" s="2690">
        <v>85301.194492148148</v>
      </c>
      <c r="AF6" s="2690">
        <v>86536.615580950136</v>
      </c>
      <c r="AG6" s="2690">
        <v>86975.8829999195</v>
      </c>
      <c r="AH6" s="2690">
        <v>88031.529455901109</v>
      </c>
      <c r="AI6" s="2690">
        <v>88210.393405284456</v>
      </c>
      <c r="AJ6" s="2690">
        <v>90592.266418886065</v>
      </c>
      <c r="AK6" s="2690">
        <v>91662.001872008113</v>
      </c>
      <c r="AL6" s="2690">
        <v>94206.306852081107</v>
      </c>
      <c r="AM6" s="2690">
        <v>93652.94961204275</v>
      </c>
      <c r="AN6" s="2691">
        <v>96856.18605491468</v>
      </c>
      <c r="AO6" s="2691">
        <v>95972.828640172738</v>
      </c>
      <c r="AP6" s="2691">
        <v>104173.9</v>
      </c>
      <c r="AQ6" s="2691">
        <v>103679.96920214912</v>
      </c>
      <c r="AR6" s="2691">
        <v>100788.00224111319</v>
      </c>
      <c r="AS6" s="2691">
        <v>99389.311397990154</v>
      </c>
      <c r="AT6" s="2691">
        <v>101028.76444301031</v>
      </c>
      <c r="AU6" s="2691">
        <v>100323.77135378917</v>
      </c>
      <c r="AV6" s="2691">
        <v>99353.672925023173</v>
      </c>
      <c r="AW6" s="2691">
        <v>103588.59652304999</v>
      </c>
      <c r="AX6" s="2691">
        <v>103056.83719043</v>
      </c>
      <c r="AY6" s="2691">
        <v>108803.3230663904</v>
      </c>
      <c r="AZ6" s="2691">
        <v>110599.60209876251</v>
      </c>
      <c r="BA6" s="2691">
        <v>114974.06548828747</v>
      </c>
      <c r="BB6" s="2691">
        <v>117312.07808435091</v>
      </c>
      <c r="BC6" s="2691">
        <v>119944.65630671878</v>
      </c>
      <c r="BD6" s="2691">
        <v>121350.88133572963</v>
      </c>
      <c r="BE6" s="2691">
        <v>123535.35157167081</v>
      </c>
      <c r="BF6" s="2691">
        <v>121023.82463929077</v>
      </c>
      <c r="BG6" s="2691">
        <v>119863.62063081395</v>
      </c>
      <c r="BH6" s="2691">
        <v>118004.01682056001</v>
      </c>
      <c r="BI6" s="2691">
        <v>122902.86876265999</v>
      </c>
      <c r="BJ6" s="2691">
        <v>120224.55203825</v>
      </c>
      <c r="BK6" s="2691">
        <v>126134.09181294555</v>
      </c>
      <c r="BL6" s="2691">
        <v>139159.55671709255</v>
      </c>
      <c r="BM6" s="2691">
        <v>137675.95125165879</v>
      </c>
      <c r="BN6" s="2691">
        <v>138270.08388301558</v>
      </c>
      <c r="BO6" s="2691">
        <v>138736.36289079723</v>
      </c>
      <c r="BP6" s="2692">
        <v>142244.00566068699</v>
      </c>
      <c r="BQ6" s="2692">
        <v>142429.89123584275</v>
      </c>
      <c r="BR6" s="2692">
        <v>144610.22775594323</v>
      </c>
      <c r="BS6" s="2692">
        <v>148654.91652434878</v>
      </c>
      <c r="BT6" s="2692">
        <v>150583.3164485539</v>
      </c>
      <c r="BU6" s="2692">
        <v>151856.27698822602</v>
      </c>
      <c r="BV6" s="2692">
        <v>153914.60229189318</v>
      </c>
      <c r="BW6" s="2692">
        <v>156583.09698075289</v>
      </c>
      <c r="BX6" s="2692">
        <v>157680.25910065058</v>
      </c>
      <c r="BY6" s="2692">
        <v>156873.46849497192</v>
      </c>
      <c r="BZ6" s="2692">
        <v>160176.45902006555</v>
      </c>
      <c r="CA6" s="2692">
        <v>167032.80796707145</v>
      </c>
      <c r="CB6" s="2692">
        <v>167228.8798811645</v>
      </c>
      <c r="CC6" s="2692">
        <v>166713.84984650367</v>
      </c>
      <c r="CD6" s="2692">
        <v>169897.43033160749</v>
      </c>
      <c r="CE6" s="2692">
        <v>171612.71157636732</v>
      </c>
      <c r="CF6" s="2692">
        <v>174115.07719089411</v>
      </c>
      <c r="CG6" s="2692">
        <v>177982.24018251544</v>
      </c>
      <c r="CH6" s="2693">
        <v>174708.46037187485</v>
      </c>
      <c r="CI6" s="2693">
        <v>175237.75950683522</v>
      </c>
      <c r="CJ6" s="2693">
        <v>175952.6463087367</v>
      </c>
      <c r="CK6" s="2693">
        <v>179465.96518892606</v>
      </c>
      <c r="CL6" s="2693">
        <v>178776.51799960746</v>
      </c>
      <c r="CM6" s="2693">
        <v>180752.99820874218</v>
      </c>
      <c r="CN6" s="2693">
        <v>176506.84425811173</v>
      </c>
      <c r="CO6" s="2693">
        <v>176098.06458151151</v>
      </c>
      <c r="CP6" s="2693">
        <v>185378.11028584006</v>
      </c>
      <c r="CQ6" s="2693">
        <v>188691.11512823889</v>
      </c>
      <c r="CR6" s="2693">
        <v>191661.21439374652</v>
      </c>
      <c r="CS6" s="2693">
        <v>200357.46661399925</v>
      </c>
      <c r="CT6" s="2693">
        <v>197157.87199074042</v>
      </c>
      <c r="CU6" s="2693">
        <v>203471.97458774928</v>
      </c>
      <c r="CV6" s="2693">
        <v>207447.98402719884</v>
      </c>
      <c r="CW6" s="2660">
        <v>214698.32217989169</v>
      </c>
      <c r="CX6" s="2660">
        <v>222088.08576708025</v>
      </c>
      <c r="CY6" s="2660">
        <v>230432.73997287053</v>
      </c>
      <c r="CZ6" s="2660">
        <v>222160.49489721187</v>
      </c>
      <c r="DA6" s="2660">
        <v>226221.49445373859</v>
      </c>
      <c r="DB6" s="2660">
        <v>219198.50924069801</v>
      </c>
      <c r="DC6" s="2660">
        <v>218075.1054043551</v>
      </c>
      <c r="DD6" s="2660">
        <v>215268.48183729209</v>
      </c>
      <c r="DE6" s="2660">
        <v>217510.69066208263</v>
      </c>
      <c r="DF6" s="2660">
        <v>219398.21193510189</v>
      </c>
      <c r="DG6" s="2660">
        <v>220439.77410540599</v>
      </c>
      <c r="DH6" s="2660">
        <v>227102.08559795868</v>
      </c>
      <c r="DI6" s="2660">
        <v>229761.22258085007</v>
      </c>
      <c r="DJ6" s="2660">
        <v>241026.40656957339</v>
      </c>
      <c r="DK6" s="2660">
        <v>253277.5929358961</v>
      </c>
      <c r="DL6" s="2660">
        <v>259219.69051045697</v>
      </c>
      <c r="DM6" s="2660">
        <v>259748.62331405684</v>
      </c>
      <c r="DN6" s="2660">
        <v>263075.95954760048</v>
      </c>
      <c r="DO6" s="2660">
        <v>263768.03097987635</v>
      </c>
      <c r="DP6" s="2660">
        <v>269108.33560197346</v>
      </c>
      <c r="DQ6" s="2660">
        <v>269453.28748376196</v>
      </c>
      <c r="DR6" s="2660">
        <v>279084.50841035339</v>
      </c>
      <c r="DS6" s="2660">
        <v>274204.83236238995</v>
      </c>
      <c r="DT6" s="2660">
        <v>276646.72659501759</v>
      </c>
      <c r="DU6" s="2660">
        <v>280578.5080676424</v>
      </c>
      <c r="DV6" s="2694">
        <v>275871.48829420813</v>
      </c>
      <c r="DW6" s="2694">
        <v>288882.44123132731</v>
      </c>
      <c r="DX6" s="2694">
        <v>305567.26319742424</v>
      </c>
      <c r="DY6" s="2694">
        <v>288889.6993062853</v>
      </c>
      <c r="DZ6" s="2694">
        <v>288152.65514223417</v>
      </c>
      <c r="EA6" s="2694">
        <v>279341.9471077139</v>
      </c>
      <c r="EB6" s="2694">
        <v>278613.23768508108</v>
      </c>
      <c r="EC6" s="2694">
        <v>287690.41910373821</v>
      </c>
      <c r="ED6" s="2694">
        <v>308176.63621859223</v>
      </c>
      <c r="EE6" s="2694">
        <v>293246.91081012163</v>
      </c>
      <c r="EF6" s="2694">
        <v>297548.07623206155</v>
      </c>
      <c r="EG6" s="2694">
        <v>301706.07347049593</v>
      </c>
      <c r="EH6" s="2694">
        <v>308620.16118537349</v>
      </c>
      <c r="EI6" s="2694">
        <v>313659.4882232853</v>
      </c>
      <c r="EJ6" s="2694">
        <v>319463.4787356357</v>
      </c>
      <c r="EK6" s="2694">
        <v>328490.69763097429</v>
      </c>
      <c r="EL6" s="2694">
        <v>339256.85534684733</v>
      </c>
      <c r="EM6" s="2694">
        <v>329187.07748309575</v>
      </c>
      <c r="EN6" s="2694">
        <v>335762.89925299765</v>
      </c>
      <c r="EO6" s="2694">
        <v>372364.2217023563</v>
      </c>
      <c r="EP6" s="2694">
        <v>345256.76331949775</v>
      </c>
      <c r="EQ6" s="2694">
        <v>340867.82038900745</v>
      </c>
      <c r="ER6" s="2694">
        <v>361200.68729220377</v>
      </c>
      <c r="ES6" s="2694">
        <v>314097.26506374549</v>
      </c>
      <c r="ET6" s="2694">
        <v>306975.00079128577</v>
      </c>
      <c r="EU6" s="2694">
        <v>345672.93706331262</v>
      </c>
      <c r="EV6" s="2694">
        <v>316424.21358647448</v>
      </c>
      <c r="EW6" s="2694">
        <v>316730.29057234799</v>
      </c>
      <c r="EX6" s="2694">
        <v>328987.92561876419</v>
      </c>
      <c r="EY6" s="2694">
        <v>286644.27488965646</v>
      </c>
      <c r="EZ6" s="2694">
        <v>294550.12065394962</v>
      </c>
      <c r="FA6" s="2694">
        <v>341900.90986625169</v>
      </c>
      <c r="FB6" s="2694">
        <v>303821.67598094558</v>
      </c>
      <c r="FC6" s="2694">
        <v>305725.11311494338</v>
      </c>
      <c r="FD6" s="2694">
        <v>306340.88265757624</v>
      </c>
      <c r="FE6" s="2694">
        <v>290602.25140130403</v>
      </c>
      <c r="FF6" s="2694">
        <v>291600.89362703683</v>
      </c>
      <c r="FG6" s="2694">
        <v>305546.14864423691</v>
      </c>
      <c r="FH6" s="2694">
        <v>305782.58106703893</v>
      </c>
      <c r="FI6" s="2694">
        <v>310690.17788719549</v>
      </c>
      <c r="FJ6" s="2694">
        <v>292898.48518203001</v>
      </c>
      <c r="FM6" s="628"/>
    </row>
    <row r="7" spans="1:169" ht="17.25" customHeight="1" x14ac:dyDescent="0.3">
      <c r="A7" s="2689" t="s">
        <v>2569</v>
      </c>
      <c r="B7" s="2690">
        <v>66.282563890000006</v>
      </c>
      <c r="C7" s="2690">
        <v>48.671386537999993</v>
      </c>
      <c r="D7" s="2690">
        <v>79.464357043999996</v>
      </c>
      <c r="E7" s="2690">
        <v>47.027825789999994</v>
      </c>
      <c r="F7" s="2690">
        <v>50.935987430000004</v>
      </c>
      <c r="G7" s="2690">
        <v>48.610869118000004</v>
      </c>
      <c r="H7" s="2690">
        <v>91.602406415999994</v>
      </c>
      <c r="I7" s="2690">
        <v>114.50913803979999</v>
      </c>
      <c r="J7" s="2690">
        <v>84.067044314</v>
      </c>
      <c r="K7" s="2690">
        <v>108.95935056100001</v>
      </c>
      <c r="L7" s="2690">
        <v>110.354049812</v>
      </c>
      <c r="M7" s="2690">
        <v>119.71448163099998</v>
      </c>
      <c r="N7" s="2690">
        <v>118.75253779572</v>
      </c>
      <c r="O7" s="2690">
        <v>138.01710321363998</v>
      </c>
      <c r="P7" s="2690">
        <v>126.57920503747999</v>
      </c>
      <c r="Q7" s="2690">
        <v>121.93190449245998</v>
      </c>
      <c r="R7" s="2690">
        <v>130.04198971488</v>
      </c>
      <c r="S7" s="2690">
        <v>475.52264660999992</v>
      </c>
      <c r="T7" s="2690">
        <v>129.19094688056001</v>
      </c>
      <c r="U7" s="2690">
        <v>129.79903660677999</v>
      </c>
      <c r="V7" s="2690">
        <v>174.19874308999999</v>
      </c>
      <c r="W7" s="2690">
        <v>166.29852691854001</v>
      </c>
      <c r="X7" s="2690">
        <v>232.70062516512718</v>
      </c>
      <c r="Y7" s="2690">
        <v>136.234055692</v>
      </c>
      <c r="Z7" s="2690">
        <v>135.43017639083101</v>
      </c>
      <c r="AA7" s="2690">
        <v>136.97837302643597</v>
      </c>
      <c r="AB7" s="2690">
        <v>136.62693431704</v>
      </c>
      <c r="AC7" s="2690">
        <v>138.24799519016801</v>
      </c>
      <c r="AD7" s="2690">
        <v>161.1742145572403</v>
      </c>
      <c r="AE7" s="2690">
        <v>141.945590485396</v>
      </c>
      <c r="AF7" s="2690">
        <v>141.74101239805501</v>
      </c>
      <c r="AG7" s="2690">
        <v>95.770256186449998</v>
      </c>
      <c r="AH7" s="2690">
        <v>103.30465311795001</v>
      </c>
      <c r="AI7" s="2690">
        <v>103.5218598382</v>
      </c>
      <c r="AJ7" s="2690">
        <v>103.87182795577</v>
      </c>
      <c r="AK7" s="2690">
        <v>102.17606609348002</v>
      </c>
      <c r="AL7" s="2690">
        <v>108.19990657579299</v>
      </c>
      <c r="AM7" s="2690">
        <v>103.635725213366</v>
      </c>
      <c r="AN7" s="2691">
        <v>101.38307430495601</v>
      </c>
      <c r="AO7" s="2691">
        <v>102.82136149436799</v>
      </c>
      <c r="AP7" s="2691">
        <v>101.433573398102</v>
      </c>
      <c r="AQ7" s="2691">
        <v>100.03687884241801</v>
      </c>
      <c r="AR7" s="2691">
        <v>93.794239405303003</v>
      </c>
      <c r="AS7" s="2691">
        <v>97.541411454433984</v>
      </c>
      <c r="AT7" s="2691">
        <v>95.314759665617004</v>
      </c>
      <c r="AU7" s="2691">
        <v>94.590102969479005</v>
      </c>
      <c r="AV7" s="2691">
        <v>92.398737523146991</v>
      </c>
      <c r="AW7" s="2691">
        <v>90.651697546370997</v>
      </c>
      <c r="AX7" s="2691">
        <v>135.39919410613217</v>
      </c>
      <c r="AY7" s="2691">
        <v>258.98309554747982</v>
      </c>
      <c r="AZ7" s="2691">
        <v>256.51350122152587</v>
      </c>
      <c r="BA7" s="2691">
        <v>252.85793517174864</v>
      </c>
      <c r="BB7" s="2691">
        <v>256.86294907339197</v>
      </c>
      <c r="BC7" s="2691">
        <v>325.04927695233687</v>
      </c>
      <c r="BD7" s="2691">
        <v>275.13905680107899</v>
      </c>
      <c r="BE7" s="2691">
        <v>274.98218956436813</v>
      </c>
      <c r="BF7" s="2691">
        <v>270.83847012521659</v>
      </c>
      <c r="BG7" s="2691">
        <v>168.69498786457569</v>
      </c>
      <c r="BH7" s="2691">
        <v>165.04444836380523</v>
      </c>
      <c r="BI7" s="2691">
        <v>167.41250316544603</v>
      </c>
      <c r="BJ7" s="2691">
        <v>175.36091311607953</v>
      </c>
      <c r="BK7" s="2691">
        <v>86.519019921446016</v>
      </c>
      <c r="BL7" s="2691">
        <v>97.067526839780001</v>
      </c>
      <c r="BM7" s="2691">
        <v>89.859108255252991</v>
      </c>
      <c r="BN7" s="2691">
        <v>94.871200429091999</v>
      </c>
      <c r="BO7" s="2691">
        <v>107.886225211962</v>
      </c>
      <c r="BP7" s="2692">
        <v>139.27770458484602</v>
      </c>
      <c r="BQ7" s="2692">
        <v>151.60204164301402</v>
      </c>
      <c r="BR7" s="2692">
        <v>159.61594825475598</v>
      </c>
      <c r="BS7" s="2692">
        <v>120.1893280023761</v>
      </c>
      <c r="BT7" s="2692">
        <v>144.46549375238908</v>
      </c>
      <c r="BU7" s="2692">
        <v>336.81908459124696</v>
      </c>
      <c r="BV7" s="2692">
        <v>319.54467920649489</v>
      </c>
      <c r="BW7" s="2692">
        <v>258.40632305715008</v>
      </c>
      <c r="BX7" s="2692">
        <v>273.56767648848967</v>
      </c>
      <c r="BY7" s="2692">
        <v>272.66037657743135</v>
      </c>
      <c r="BZ7" s="2692">
        <v>278.74706455693757</v>
      </c>
      <c r="CA7" s="2692">
        <v>306.88215471024506</v>
      </c>
      <c r="CB7" s="2692">
        <v>317.95363193067419</v>
      </c>
      <c r="CC7" s="2692">
        <v>318.1193092681923</v>
      </c>
      <c r="CD7" s="2692">
        <v>316.6246947163645</v>
      </c>
      <c r="CE7" s="2692">
        <v>313.85516112571867</v>
      </c>
      <c r="CF7" s="2692">
        <v>313.76983377993281</v>
      </c>
      <c r="CG7" s="2692">
        <v>313.68456218928702</v>
      </c>
      <c r="CH7" s="2693">
        <v>313.59744985735773</v>
      </c>
      <c r="CI7" s="2693">
        <v>313.50769926511595</v>
      </c>
      <c r="CJ7" s="2693">
        <v>315.42249446278299</v>
      </c>
      <c r="CK7" s="2693">
        <v>313.33510400009231</v>
      </c>
      <c r="CL7" s="2693">
        <v>315.24681267573493</v>
      </c>
      <c r="CM7" s="2693">
        <v>315.43204867742867</v>
      </c>
      <c r="CN7" s="2693">
        <v>315.32825501987185</v>
      </c>
      <c r="CO7" s="2693">
        <v>312.74262791817512</v>
      </c>
      <c r="CP7" s="2693">
        <v>319.90445576808406</v>
      </c>
      <c r="CQ7" s="2693">
        <v>315.63373417185932</v>
      </c>
      <c r="CR7" s="2693">
        <v>321.39450915348749</v>
      </c>
      <c r="CS7" s="2693">
        <v>318.01489604105808</v>
      </c>
      <c r="CT7" s="2693">
        <v>322.08498585152984</v>
      </c>
      <c r="CU7" s="2693">
        <v>517.64272364921851</v>
      </c>
      <c r="CV7" s="2693">
        <v>232.28885145015454</v>
      </c>
      <c r="CW7" s="2660">
        <v>324.84070072176854</v>
      </c>
      <c r="CX7" s="2660">
        <v>145.96186122248486</v>
      </c>
      <c r="CY7" s="2660">
        <v>193.96413307213442</v>
      </c>
      <c r="CZ7" s="2660">
        <v>238.28688927518186</v>
      </c>
      <c r="DA7" s="2660">
        <v>281.11253575087039</v>
      </c>
      <c r="DB7" s="2660">
        <v>327.25830175696035</v>
      </c>
      <c r="DC7" s="2660">
        <v>478.80177882619785</v>
      </c>
      <c r="DD7" s="2660">
        <v>452.74552570668948</v>
      </c>
      <c r="DE7" s="2660">
        <v>506.27072711892373</v>
      </c>
      <c r="DF7" s="2660">
        <v>551.31668464129882</v>
      </c>
      <c r="DG7" s="2660">
        <v>472.81360148668875</v>
      </c>
      <c r="DH7" s="2660">
        <v>525.36928437362951</v>
      </c>
      <c r="DI7" s="2660">
        <v>534.80106034488847</v>
      </c>
      <c r="DJ7" s="2660">
        <v>618.31809401388</v>
      </c>
      <c r="DK7" s="2660">
        <v>319.90892596600099</v>
      </c>
      <c r="DL7" s="2660">
        <v>255.14512220942487</v>
      </c>
      <c r="DM7" s="2660">
        <v>320.80006752681857</v>
      </c>
      <c r="DN7" s="2660">
        <v>314.09358251828661</v>
      </c>
      <c r="DO7" s="2660">
        <v>325.18567051572711</v>
      </c>
      <c r="DP7" s="2660">
        <v>417.08669948623213</v>
      </c>
      <c r="DQ7" s="2660">
        <v>306.2583712476212</v>
      </c>
      <c r="DR7" s="2660">
        <v>271.83062623977429</v>
      </c>
      <c r="DS7" s="2660">
        <v>300.30547431085665</v>
      </c>
      <c r="DT7" s="2660">
        <v>347.75400479736288</v>
      </c>
      <c r="DU7" s="2660">
        <v>359.83198808693038</v>
      </c>
      <c r="DV7" s="2694">
        <v>331.12221956791251</v>
      </c>
      <c r="DW7" s="2694">
        <v>9998.1851871642557</v>
      </c>
      <c r="DX7" s="2694">
        <v>9971.2100503913989</v>
      </c>
      <c r="DY7" s="2694">
        <v>10063.839731344506</v>
      </c>
      <c r="DZ7" s="2694">
        <v>10157.537776012261</v>
      </c>
      <c r="EA7" s="2694">
        <v>10198.811535519491</v>
      </c>
      <c r="EB7" s="2694">
        <v>10269.121063905253</v>
      </c>
      <c r="EC7" s="2694">
        <v>2708.9262824761245</v>
      </c>
      <c r="ED7" s="2694">
        <v>2769.913768027171</v>
      </c>
      <c r="EE7" s="2694">
        <v>6640.806690202422</v>
      </c>
      <c r="EF7" s="2694">
        <v>4778.9064893293162</v>
      </c>
      <c r="EG7" s="2694">
        <v>4883.154020795183</v>
      </c>
      <c r="EH7" s="2694">
        <v>4333.4587726501932</v>
      </c>
      <c r="EI7" s="2694">
        <v>8905.9738328883705</v>
      </c>
      <c r="EJ7" s="2694">
        <v>13140.220428624796</v>
      </c>
      <c r="EK7" s="2694">
        <v>17435.599385118803</v>
      </c>
      <c r="EL7" s="2694">
        <v>26032.215952275837</v>
      </c>
      <c r="EM7" s="2694">
        <v>30461.357715492046</v>
      </c>
      <c r="EN7" s="2694">
        <v>35038.094043622819</v>
      </c>
      <c r="EO7" s="2694">
        <v>35300.488066197278</v>
      </c>
      <c r="EP7" s="2694">
        <v>35607.637220932535</v>
      </c>
      <c r="EQ7" s="2694">
        <v>40351.631287304495</v>
      </c>
      <c r="ER7" s="2694">
        <v>40921.41119356225</v>
      </c>
      <c r="ES7" s="2694">
        <v>50199.91534827026</v>
      </c>
      <c r="ET7" s="2694">
        <v>50424.608858630294</v>
      </c>
      <c r="EU7" s="2694">
        <v>52597.233830960737</v>
      </c>
      <c r="EV7" s="2694">
        <v>52347.244568751092</v>
      </c>
      <c r="EW7" s="2694">
        <v>52136.059768942185</v>
      </c>
      <c r="EX7" s="2694">
        <v>52338.984341581978</v>
      </c>
      <c r="EY7" s="2694">
        <v>51229.20432507548</v>
      </c>
      <c r="EZ7" s="2694">
        <v>51235.16413051408</v>
      </c>
      <c r="FA7" s="2694">
        <v>51166.64203965629</v>
      </c>
      <c r="FB7" s="2694">
        <v>52230.629571887286</v>
      </c>
      <c r="FC7" s="2694">
        <v>54379.584417203645</v>
      </c>
      <c r="FD7" s="2694">
        <v>53625.299948212334</v>
      </c>
      <c r="FE7" s="2694">
        <v>52536.841374628661</v>
      </c>
      <c r="FF7" s="2694">
        <v>53469.421318015695</v>
      </c>
      <c r="FG7" s="2694">
        <v>63162.729060078476</v>
      </c>
      <c r="FH7" s="2694">
        <v>62769.865707958234</v>
      </c>
      <c r="FI7" s="2694">
        <v>68974.977316764591</v>
      </c>
      <c r="FJ7" s="2694">
        <v>62980.701116560165</v>
      </c>
      <c r="FM7" s="628"/>
    </row>
    <row r="8" spans="1:169" ht="17.25" customHeight="1" x14ac:dyDescent="0.3">
      <c r="A8" s="2689"/>
      <c r="B8" s="2690"/>
      <c r="C8" s="2690"/>
      <c r="D8" s="2690"/>
      <c r="E8" s="2690"/>
      <c r="F8" s="2690"/>
      <c r="G8" s="2690"/>
      <c r="H8" s="2690"/>
      <c r="I8" s="2690"/>
      <c r="J8" s="2690"/>
      <c r="K8" s="2690"/>
      <c r="L8" s="2690"/>
      <c r="M8" s="2690"/>
      <c r="N8" s="2690"/>
      <c r="O8" s="2690"/>
      <c r="P8" s="2690"/>
      <c r="Q8" s="2690"/>
      <c r="R8" s="2690"/>
      <c r="S8" s="2690"/>
      <c r="T8" s="2690"/>
      <c r="U8" s="2690"/>
      <c r="V8" s="2690"/>
      <c r="W8" s="2690"/>
      <c r="X8" s="2690"/>
      <c r="Y8" s="2690"/>
      <c r="Z8" s="2690"/>
      <c r="AA8" s="2690"/>
      <c r="AB8" s="2690"/>
      <c r="AC8" s="2690"/>
      <c r="AD8" s="2690"/>
      <c r="AE8" s="2690"/>
      <c r="AF8" s="2690"/>
      <c r="AG8" s="2690"/>
      <c r="AH8" s="2690"/>
      <c r="AI8" s="2690"/>
      <c r="AJ8" s="2690"/>
      <c r="AK8" s="2690"/>
      <c r="AL8" s="2690"/>
      <c r="AM8" s="2690"/>
      <c r="AN8" s="2691"/>
      <c r="AO8" s="2691"/>
      <c r="AP8" s="2691"/>
      <c r="AQ8" s="2691"/>
      <c r="AR8" s="2691"/>
      <c r="AS8" s="2691"/>
      <c r="AT8" s="2691"/>
      <c r="AU8" s="2691"/>
      <c r="AV8" s="2691"/>
      <c r="AW8" s="2691"/>
      <c r="AX8" s="2691"/>
      <c r="AY8" s="2691"/>
      <c r="AZ8" s="2691"/>
      <c r="BA8" s="2691"/>
      <c r="BB8" s="2691"/>
      <c r="BC8" s="2691"/>
      <c r="BD8" s="2691"/>
      <c r="BE8" s="2691"/>
      <c r="BF8" s="2691"/>
      <c r="BG8" s="2691"/>
      <c r="BH8" s="2691"/>
      <c r="BI8" s="2691"/>
      <c r="BJ8" s="2691"/>
      <c r="BK8" s="2691"/>
      <c r="BL8" s="2691"/>
      <c r="BM8" s="2691"/>
      <c r="BN8" s="2691"/>
      <c r="BO8" s="2691"/>
      <c r="BP8" s="2692"/>
      <c r="BQ8" s="2692"/>
      <c r="BR8" s="2692"/>
      <c r="BS8" s="2692"/>
      <c r="BT8" s="2692"/>
      <c r="BU8" s="2692"/>
      <c r="BV8" s="2692"/>
      <c r="BW8" s="2692"/>
      <c r="BX8" s="2692"/>
      <c r="BY8" s="2692"/>
      <c r="BZ8" s="2692"/>
      <c r="CA8" s="2692"/>
      <c r="CB8" s="2692"/>
      <c r="CC8" s="2692"/>
      <c r="CD8" s="2692"/>
      <c r="CE8" s="2692"/>
      <c r="CF8" s="2692"/>
      <c r="CG8" s="2692"/>
      <c r="CH8" s="2693"/>
      <c r="CI8" s="2693"/>
      <c r="CJ8" s="2693"/>
      <c r="CK8" s="2693"/>
      <c r="CL8" s="2693"/>
      <c r="CM8" s="2693"/>
      <c r="CN8" s="2693"/>
      <c r="CO8" s="2693"/>
      <c r="CP8" s="2693"/>
      <c r="CQ8" s="2693"/>
      <c r="CR8" s="2693"/>
      <c r="CS8" s="2693"/>
      <c r="CT8" s="2693"/>
      <c r="CU8" s="2693"/>
      <c r="CV8" s="2693"/>
      <c r="CW8" s="2660"/>
      <c r="CX8" s="2660"/>
      <c r="CY8" s="2660"/>
      <c r="CZ8" s="2660"/>
      <c r="DA8" s="2660"/>
      <c r="DB8" s="2660"/>
      <c r="DC8" s="2660"/>
      <c r="DD8" s="2660"/>
      <c r="DE8" s="2660"/>
      <c r="DF8" s="2660"/>
      <c r="DG8" s="2660"/>
      <c r="DH8" s="2660"/>
      <c r="DI8" s="2660"/>
      <c r="DJ8" s="2660"/>
      <c r="DK8" s="2660"/>
      <c r="DL8" s="2660"/>
      <c r="DM8" s="2660"/>
      <c r="DN8" s="2660"/>
      <c r="DO8" s="2660"/>
      <c r="DP8" s="2660"/>
      <c r="DQ8" s="2660"/>
      <c r="DR8" s="2660"/>
      <c r="DS8" s="2660"/>
      <c r="DT8" s="2660"/>
      <c r="DU8" s="2660"/>
      <c r="DV8" s="2694"/>
      <c r="DW8" s="2694"/>
      <c r="DX8" s="2694"/>
      <c r="DY8" s="2694"/>
      <c r="DZ8" s="2694"/>
      <c r="EA8" s="2694"/>
      <c r="EB8" s="2694"/>
      <c r="EC8" s="2694"/>
      <c r="ED8" s="2694"/>
      <c r="EE8" s="2694"/>
      <c r="EF8" s="2694"/>
      <c r="EG8" s="2694"/>
      <c r="EH8" s="2694"/>
      <c r="EI8" s="2694"/>
      <c r="EJ8" s="2694"/>
      <c r="EK8" s="2694"/>
      <c r="EL8" s="2694"/>
      <c r="EM8" s="2694"/>
      <c r="EN8" s="2694"/>
      <c r="EO8" s="2694"/>
      <c r="EP8" s="2694"/>
      <c r="EQ8" s="2694"/>
      <c r="ER8" s="2694"/>
      <c r="ES8" s="2694"/>
      <c r="ET8" s="2694"/>
      <c r="EU8" s="2694"/>
      <c r="EV8" s="2694"/>
      <c r="EW8" s="2694"/>
      <c r="EX8" s="2694"/>
      <c r="EY8" s="2694"/>
      <c r="EZ8" s="2694"/>
      <c r="FA8" s="2694"/>
      <c r="FB8" s="2694"/>
      <c r="FC8" s="2694"/>
      <c r="FD8" s="2694"/>
      <c r="FE8" s="2694"/>
      <c r="FF8" s="2694"/>
      <c r="FG8" s="2694"/>
      <c r="FH8" s="2694"/>
      <c r="FI8" s="2694"/>
      <c r="FJ8" s="2694"/>
      <c r="FM8" s="628"/>
    </row>
    <row r="9" spans="1:169" ht="17.25" customHeight="1" x14ac:dyDescent="0.3">
      <c r="A9" s="2683" t="s">
        <v>2570</v>
      </c>
      <c r="B9" s="2684">
        <v>416.39877228</v>
      </c>
      <c r="C9" s="2684">
        <v>398.98351687999997</v>
      </c>
      <c r="D9" s="2684">
        <v>464.59303090000003</v>
      </c>
      <c r="E9" s="2684">
        <v>369.60301450999998</v>
      </c>
      <c r="F9" s="2684">
        <v>408.48481404999995</v>
      </c>
      <c r="G9" s="2684">
        <v>451.59551101999995</v>
      </c>
      <c r="H9" s="2684">
        <v>445.53247376000002</v>
      </c>
      <c r="I9" s="2684">
        <v>375.32156171000003</v>
      </c>
      <c r="J9" s="2684">
        <v>729.0334312199999</v>
      </c>
      <c r="K9" s="2684">
        <v>725.01450312999987</v>
      </c>
      <c r="L9" s="2684">
        <v>1098.9094759899999</v>
      </c>
      <c r="M9" s="2684">
        <v>992.11887309000008</v>
      </c>
      <c r="N9" s="2684">
        <v>1201.4398751599999</v>
      </c>
      <c r="O9" s="2684">
        <v>986.17518556999994</v>
      </c>
      <c r="P9" s="2684">
        <v>242.02596110999997</v>
      </c>
      <c r="Q9" s="2684">
        <v>265.07175250999995</v>
      </c>
      <c r="R9" s="2684">
        <v>629.2786777099999</v>
      </c>
      <c r="S9" s="2684">
        <v>246.32987396999999</v>
      </c>
      <c r="T9" s="2684">
        <v>1772.48621953</v>
      </c>
      <c r="U9" s="2684">
        <v>1112.8485640200001</v>
      </c>
      <c r="V9" s="2684">
        <v>719.99327042000004</v>
      </c>
      <c r="W9" s="2684">
        <v>955.00277437</v>
      </c>
      <c r="X9" s="2684">
        <v>1127.9270470100003</v>
      </c>
      <c r="Y9" s="2684">
        <v>1138.7372729100002</v>
      </c>
      <c r="Z9" s="2684">
        <v>1211.1530704200002</v>
      </c>
      <c r="AA9" s="2684">
        <v>1131.4411226499999</v>
      </c>
      <c r="AB9" s="2684">
        <v>1179.4819348599999</v>
      </c>
      <c r="AC9" s="2684">
        <v>1157.8965479799999</v>
      </c>
      <c r="AD9" s="2684">
        <v>218.86825797</v>
      </c>
      <c r="AE9" s="2684">
        <v>450.09873363999998</v>
      </c>
      <c r="AF9" s="2684">
        <v>152.5676181</v>
      </c>
      <c r="AG9" s="2684">
        <v>445.32254952000005</v>
      </c>
      <c r="AH9" s="2684">
        <v>763.68187892000003</v>
      </c>
      <c r="AI9" s="2684">
        <v>1163.6323081500002</v>
      </c>
      <c r="AJ9" s="2684">
        <v>1325.8463739199999</v>
      </c>
      <c r="AK9" s="2684">
        <v>1804.5649623700001</v>
      </c>
      <c r="AL9" s="2684">
        <v>2146.9082228399998</v>
      </c>
      <c r="AM9" s="2684">
        <v>2114.7532336799995</v>
      </c>
      <c r="AN9" s="2685">
        <v>2108.0848065299997</v>
      </c>
      <c r="AO9" s="2685">
        <v>2342.2126538799998</v>
      </c>
      <c r="AP9" s="2685">
        <v>1233.3859579699999</v>
      </c>
      <c r="AQ9" s="2685">
        <v>1546.1322582800001</v>
      </c>
      <c r="AR9" s="2685">
        <v>1729.84466681</v>
      </c>
      <c r="AS9" s="2685">
        <v>2100.3866184399999</v>
      </c>
      <c r="AT9" s="2685">
        <v>2973.8737531799998</v>
      </c>
      <c r="AU9" s="2685">
        <v>2466.6333634100001</v>
      </c>
      <c r="AV9" s="2685">
        <v>2627.7498871299995</v>
      </c>
      <c r="AW9" s="2685">
        <v>2715.6635386299995</v>
      </c>
      <c r="AX9" s="2685">
        <v>3505.64319918</v>
      </c>
      <c r="AY9" s="2685">
        <v>3459.2269215600004</v>
      </c>
      <c r="AZ9" s="2685">
        <v>3529.4347085599993</v>
      </c>
      <c r="BA9" s="2685">
        <v>3453.8968748400002</v>
      </c>
      <c r="BB9" s="2685">
        <v>2412.4059201499999</v>
      </c>
      <c r="BC9" s="2685">
        <v>2414.3403686699999</v>
      </c>
      <c r="BD9" s="2685">
        <v>1784.51822917</v>
      </c>
      <c r="BE9" s="2685">
        <v>2049.3917820399997</v>
      </c>
      <c r="BF9" s="2685">
        <v>2089.3361430999998</v>
      </c>
      <c r="BG9" s="2685">
        <v>2102.1365570700004</v>
      </c>
      <c r="BH9" s="2685">
        <v>2294.0404291999994</v>
      </c>
      <c r="BI9" s="2685">
        <v>2467.8894129999999</v>
      </c>
      <c r="BJ9" s="2685">
        <v>2207.8287976499996</v>
      </c>
      <c r="BK9" s="2685">
        <v>2382.2947444899996</v>
      </c>
      <c r="BL9" s="2685">
        <v>2443.1738772899998</v>
      </c>
      <c r="BM9" s="2685">
        <v>2611.5448260100006</v>
      </c>
      <c r="BN9" s="2685">
        <v>2007.7485255200002</v>
      </c>
      <c r="BO9" s="2685">
        <v>2027.59553033</v>
      </c>
      <c r="BP9" s="2686">
        <v>1574.8875632300001</v>
      </c>
      <c r="BQ9" s="2686">
        <v>1242.43514559</v>
      </c>
      <c r="BR9" s="2686">
        <v>1307.1408722699998</v>
      </c>
      <c r="BS9" s="2686">
        <v>1065.56092048</v>
      </c>
      <c r="BT9" s="2686">
        <v>1057.6542133000003</v>
      </c>
      <c r="BU9" s="2686">
        <v>1056.7309541700001</v>
      </c>
      <c r="BV9" s="2686">
        <v>996.92193865999991</v>
      </c>
      <c r="BW9" s="2686">
        <v>1008.8143971</v>
      </c>
      <c r="BX9" s="2686">
        <v>1011.9442757100001</v>
      </c>
      <c r="BY9" s="2686">
        <v>1066.7009175000001</v>
      </c>
      <c r="BZ9" s="2686">
        <v>1016.77921311</v>
      </c>
      <c r="CA9" s="2686">
        <v>866.98502473000008</v>
      </c>
      <c r="CB9" s="2686">
        <v>1356.7076687000001</v>
      </c>
      <c r="CC9" s="2686">
        <v>876.30193002999999</v>
      </c>
      <c r="CD9" s="2686">
        <v>902.85366694000004</v>
      </c>
      <c r="CE9" s="2686">
        <v>874.22326047999991</v>
      </c>
      <c r="CF9" s="2686">
        <v>871.67880075999994</v>
      </c>
      <c r="CG9" s="2686">
        <v>884.54086482000002</v>
      </c>
      <c r="CH9" s="2687">
        <v>764.88943096000003</v>
      </c>
      <c r="CI9" s="2687">
        <v>759.47528250999994</v>
      </c>
      <c r="CJ9" s="2687">
        <v>783.26216117999991</v>
      </c>
      <c r="CK9" s="2687">
        <v>777.68830327000012</v>
      </c>
      <c r="CL9" s="2687">
        <v>780.34392504000004</v>
      </c>
      <c r="CM9" s="2687">
        <v>666.0651149900001</v>
      </c>
      <c r="CN9" s="2687">
        <v>663.17858106999995</v>
      </c>
      <c r="CO9" s="2687">
        <v>662.97412502999987</v>
      </c>
      <c r="CP9" s="2687">
        <v>679.88341018999995</v>
      </c>
      <c r="CQ9" s="2687">
        <v>680.51631947999999</v>
      </c>
      <c r="CR9" s="2687">
        <v>686.30011655999999</v>
      </c>
      <c r="CS9" s="2687">
        <v>675.2423620400001</v>
      </c>
      <c r="CT9" s="2687">
        <v>728.38201835000007</v>
      </c>
      <c r="CU9" s="2687">
        <v>618.91564277000009</v>
      </c>
      <c r="CV9" s="2687">
        <v>647.7223449899999</v>
      </c>
      <c r="CW9" s="2656">
        <v>619.35890265</v>
      </c>
      <c r="CX9" s="2656">
        <v>615.95369096000013</v>
      </c>
      <c r="CY9" s="2656">
        <v>532.94062998999993</v>
      </c>
      <c r="CZ9" s="2656">
        <v>486.13695540999993</v>
      </c>
      <c r="DA9" s="2656">
        <v>504.09098372999995</v>
      </c>
      <c r="DB9" s="2656">
        <v>490.31621081999998</v>
      </c>
      <c r="DC9" s="2656">
        <v>486.93154324999995</v>
      </c>
      <c r="DD9" s="2656">
        <v>505.02529141000002</v>
      </c>
      <c r="DE9" s="2656">
        <v>448.45071628999995</v>
      </c>
      <c r="DF9" s="2656">
        <v>424.32515734000003</v>
      </c>
      <c r="DG9" s="2656">
        <v>415.21715676999997</v>
      </c>
      <c r="DH9" s="2656">
        <v>425.40114375000002</v>
      </c>
      <c r="DI9" s="2656">
        <v>408.29458506000003</v>
      </c>
      <c r="DJ9" s="2656">
        <v>436.04864189999995</v>
      </c>
      <c r="DK9" s="2656">
        <v>290.27401915000002</v>
      </c>
      <c r="DL9" s="2656">
        <v>262.41021176999999</v>
      </c>
      <c r="DM9" s="2656">
        <v>270.84950722999997</v>
      </c>
      <c r="DN9" s="2656">
        <v>162.27015924</v>
      </c>
      <c r="DO9" s="2656">
        <v>117.93738719999999</v>
      </c>
      <c r="DP9" s="2656">
        <v>136.1017042</v>
      </c>
      <c r="DQ9" s="2656">
        <v>22.977313389999999</v>
      </c>
      <c r="DR9" s="2656">
        <v>55.86070909</v>
      </c>
      <c r="DS9" s="2656">
        <v>37.523696020000003</v>
      </c>
      <c r="DT9" s="2656">
        <v>581.83854550000001</v>
      </c>
      <c r="DU9" s="2656">
        <v>588.79924046999997</v>
      </c>
      <c r="DV9" s="2688">
        <v>595.43215739000004</v>
      </c>
      <c r="DW9" s="2688">
        <v>12103.041259670001</v>
      </c>
      <c r="DX9" s="2688">
        <v>12052.1134747</v>
      </c>
      <c r="DY9" s="2688">
        <v>12003.757200059999</v>
      </c>
      <c r="DZ9" s="2688">
        <v>10233.65064851</v>
      </c>
      <c r="EA9" s="2688">
        <v>10266.188454180001</v>
      </c>
      <c r="EB9" s="2688">
        <v>10257.780566359997</v>
      </c>
      <c r="EC9" s="2688">
        <v>2052.56562381</v>
      </c>
      <c r="ED9" s="2688">
        <v>2039.6351765099998</v>
      </c>
      <c r="EE9" s="2688">
        <v>2037.7262019</v>
      </c>
      <c r="EF9" s="2688">
        <v>14.186722280000001</v>
      </c>
      <c r="EG9" s="2688">
        <v>29.864407589999999</v>
      </c>
      <c r="EH9" s="2688">
        <v>44.455103069999993</v>
      </c>
      <c r="EI9" s="2688">
        <v>39.964073280000001</v>
      </c>
      <c r="EJ9" s="2688">
        <v>29.675978439999998</v>
      </c>
      <c r="EK9" s="2688">
        <v>29.392868370000002</v>
      </c>
      <c r="EL9" s="2688">
        <v>24.093481529999998</v>
      </c>
      <c r="EM9" s="2688">
        <v>36.022462339999997</v>
      </c>
      <c r="EN9" s="2688">
        <v>40.506287</v>
      </c>
      <c r="EO9" s="2688">
        <v>87.685474940000006</v>
      </c>
      <c r="EP9" s="2688">
        <v>382.11966597999992</v>
      </c>
      <c r="EQ9" s="2688">
        <v>21.566645510000001</v>
      </c>
      <c r="ER9" s="2688">
        <v>366.25647111000001</v>
      </c>
      <c r="ES9" s="2688">
        <v>63.03077588</v>
      </c>
      <c r="ET9" s="2688">
        <v>85.744150080000011</v>
      </c>
      <c r="EU9" s="2688">
        <v>94.462878439999997</v>
      </c>
      <c r="EV9" s="2688">
        <v>92.229600549999986</v>
      </c>
      <c r="EW9" s="2688">
        <v>78.0770421</v>
      </c>
      <c r="EX9" s="2688">
        <v>99.663914249999991</v>
      </c>
      <c r="EY9" s="2688">
        <v>103.01158890000001</v>
      </c>
      <c r="EZ9" s="2688">
        <v>75.501157660000004</v>
      </c>
      <c r="FA9" s="2688">
        <v>117.15816676</v>
      </c>
      <c r="FB9" s="2688">
        <v>70.924585960000002</v>
      </c>
      <c r="FC9" s="2688">
        <v>67.830474670000001</v>
      </c>
      <c r="FD9" s="2688">
        <v>70.638115349999993</v>
      </c>
      <c r="FE9" s="2688">
        <v>62.620718619999998</v>
      </c>
      <c r="FF9" s="2688">
        <v>72.036034169999994</v>
      </c>
      <c r="FG9" s="2688">
        <v>99.734679599999993</v>
      </c>
      <c r="FH9" s="2688">
        <v>91.83239451</v>
      </c>
      <c r="FI9" s="2688">
        <v>64.903832809999997</v>
      </c>
      <c r="FJ9" s="2688">
        <v>52.271194129999998</v>
      </c>
      <c r="FM9" s="628"/>
    </row>
    <row r="10" spans="1:169" ht="17.25" customHeight="1" x14ac:dyDescent="0.3">
      <c r="A10" s="2689"/>
      <c r="B10" s="2690"/>
      <c r="C10" s="2690"/>
      <c r="D10" s="2690"/>
      <c r="E10" s="2690"/>
      <c r="F10" s="2690"/>
      <c r="G10" s="2690"/>
      <c r="H10" s="2690"/>
      <c r="I10" s="2690"/>
      <c r="J10" s="2690"/>
      <c r="K10" s="2690"/>
      <c r="L10" s="2690"/>
      <c r="M10" s="2690"/>
      <c r="N10" s="2690"/>
      <c r="O10" s="2690"/>
      <c r="P10" s="2690"/>
      <c r="Q10" s="2690"/>
      <c r="R10" s="2690"/>
      <c r="S10" s="2690"/>
      <c r="T10" s="2690"/>
      <c r="U10" s="2690"/>
      <c r="V10" s="2690"/>
      <c r="W10" s="2690"/>
      <c r="X10" s="2690"/>
      <c r="Y10" s="2690"/>
      <c r="Z10" s="2690"/>
      <c r="AA10" s="2690"/>
      <c r="AB10" s="2690"/>
      <c r="AC10" s="2690"/>
      <c r="AD10" s="2690"/>
      <c r="AE10" s="2690"/>
      <c r="AF10" s="2690"/>
      <c r="AG10" s="2690"/>
      <c r="AH10" s="2690"/>
      <c r="AI10" s="2690"/>
      <c r="AJ10" s="2690"/>
      <c r="AK10" s="2690"/>
      <c r="AL10" s="2690"/>
      <c r="AM10" s="2690"/>
      <c r="AN10" s="2691"/>
      <c r="AO10" s="2691"/>
      <c r="AP10" s="2691"/>
      <c r="AQ10" s="2691"/>
      <c r="AR10" s="2691"/>
      <c r="AS10" s="2691"/>
      <c r="AT10" s="2691"/>
      <c r="AU10" s="2691"/>
      <c r="AV10" s="2691"/>
      <c r="AW10" s="2691"/>
      <c r="AX10" s="2691"/>
      <c r="AY10" s="2691"/>
      <c r="AZ10" s="2691"/>
      <c r="BA10" s="2691"/>
      <c r="BB10" s="2691"/>
      <c r="BC10" s="2691"/>
      <c r="BD10" s="2691"/>
      <c r="BE10" s="2691"/>
      <c r="BF10" s="2691"/>
      <c r="BG10" s="2691"/>
      <c r="BH10" s="2691"/>
      <c r="BI10" s="2691"/>
      <c r="BJ10" s="2691"/>
      <c r="BK10" s="2691"/>
      <c r="BL10" s="2691"/>
      <c r="BM10" s="2691"/>
      <c r="BN10" s="2691"/>
      <c r="BO10" s="2691"/>
      <c r="BP10" s="2692"/>
      <c r="BQ10" s="2692"/>
      <c r="BR10" s="2692"/>
      <c r="BS10" s="2692"/>
      <c r="BT10" s="2692"/>
      <c r="BU10" s="2692"/>
      <c r="BV10" s="2692"/>
      <c r="BW10" s="2692"/>
      <c r="BX10" s="2692"/>
      <c r="BY10" s="2692"/>
      <c r="BZ10" s="2692"/>
      <c r="CA10" s="2692"/>
      <c r="CB10" s="2692"/>
      <c r="CC10" s="2692"/>
      <c r="CD10" s="2692"/>
      <c r="CE10" s="2692"/>
      <c r="CF10" s="2692"/>
      <c r="CG10" s="2692"/>
      <c r="CH10" s="2693"/>
      <c r="CI10" s="2693"/>
      <c r="CJ10" s="2693"/>
      <c r="CK10" s="2693"/>
      <c r="CL10" s="2693"/>
      <c r="CM10" s="2693"/>
      <c r="CN10" s="2693"/>
      <c r="CO10" s="2693"/>
      <c r="CP10" s="2693"/>
      <c r="CQ10" s="2693"/>
      <c r="CR10" s="2693"/>
      <c r="CS10" s="2693"/>
      <c r="CT10" s="2693"/>
      <c r="CU10" s="2693"/>
      <c r="CV10" s="2693"/>
      <c r="CW10" s="2660"/>
      <c r="CX10" s="2660"/>
      <c r="CY10" s="2660"/>
      <c r="CZ10" s="2660"/>
      <c r="DA10" s="2660"/>
      <c r="DB10" s="2660"/>
      <c r="DC10" s="2660"/>
      <c r="DD10" s="2660"/>
      <c r="DE10" s="2660"/>
      <c r="DF10" s="2660"/>
      <c r="DG10" s="2660"/>
      <c r="DH10" s="2660"/>
      <c r="DI10" s="2660"/>
      <c r="DJ10" s="2660"/>
      <c r="DK10" s="2660"/>
      <c r="DL10" s="2660"/>
      <c r="DM10" s="2660"/>
      <c r="DN10" s="2660"/>
      <c r="DO10" s="2660"/>
      <c r="DP10" s="2660"/>
      <c r="DQ10" s="2660"/>
      <c r="DR10" s="2660"/>
      <c r="DS10" s="2660"/>
      <c r="DT10" s="2660"/>
      <c r="DU10" s="2660"/>
      <c r="DV10" s="2694"/>
      <c r="DW10" s="2694"/>
      <c r="DX10" s="2694"/>
      <c r="DY10" s="2694"/>
      <c r="DZ10" s="2694"/>
      <c r="EA10" s="2694"/>
      <c r="EB10" s="2694"/>
      <c r="EC10" s="2694"/>
      <c r="ED10" s="2694"/>
      <c r="EE10" s="2694"/>
      <c r="EF10" s="2694"/>
      <c r="EG10" s="2694"/>
      <c r="EH10" s="2694"/>
      <c r="EI10" s="2694"/>
      <c r="EJ10" s="2694"/>
      <c r="EK10" s="2694"/>
      <c r="EL10" s="2694"/>
      <c r="EM10" s="2694"/>
      <c r="EN10" s="2694"/>
      <c r="EO10" s="2694"/>
      <c r="EP10" s="2694"/>
      <c r="EQ10" s="2694"/>
      <c r="ER10" s="2694"/>
      <c r="ES10" s="2694"/>
      <c r="ET10" s="2694"/>
      <c r="EU10" s="2694"/>
      <c r="EV10" s="2694"/>
      <c r="EW10" s="2694"/>
      <c r="EX10" s="2694"/>
      <c r="EY10" s="2694"/>
      <c r="EZ10" s="2694"/>
      <c r="FA10" s="2694"/>
      <c r="FB10" s="2694"/>
      <c r="FC10" s="2694"/>
      <c r="FD10" s="2694"/>
      <c r="FE10" s="2694"/>
      <c r="FF10" s="2694"/>
      <c r="FG10" s="2694"/>
      <c r="FH10" s="2694"/>
      <c r="FI10" s="2694"/>
      <c r="FJ10" s="2694"/>
      <c r="FM10" s="628"/>
    </row>
    <row r="11" spans="1:169" ht="17.25" customHeight="1" x14ac:dyDescent="0.3">
      <c r="A11" s="2683" t="s">
        <v>2571</v>
      </c>
      <c r="B11" s="2684">
        <v>-16094.591653099998</v>
      </c>
      <c r="C11" s="2684">
        <v>-15133.990915980001</v>
      </c>
      <c r="D11" s="2684">
        <v>-10574.257390679999</v>
      </c>
      <c r="E11" s="2684">
        <v>-13160.13132181</v>
      </c>
      <c r="F11" s="2684">
        <v>-13184.197336680001</v>
      </c>
      <c r="G11" s="2684">
        <v>-12603.214470860001</v>
      </c>
      <c r="H11" s="2684"/>
      <c r="I11" s="2684">
        <v>-13999.36386032</v>
      </c>
      <c r="J11" s="2684">
        <v>-12309.791425859999</v>
      </c>
      <c r="K11" s="2684">
        <v>-9506.4930552200003</v>
      </c>
      <c r="L11" s="2684">
        <v>-11316.247423609999</v>
      </c>
      <c r="M11" s="2684">
        <v>-9687.6799926800013</v>
      </c>
      <c r="N11" s="2684">
        <v>-8384.2803368000004</v>
      </c>
      <c r="O11" s="2684">
        <v>-7735.6408573600002</v>
      </c>
      <c r="P11" s="2684">
        <v>-11176.693028849997</v>
      </c>
      <c r="Q11" s="2684">
        <v>-9606.6951597400002</v>
      </c>
      <c r="R11" s="2684">
        <v>-11320.184787369999</v>
      </c>
      <c r="S11" s="2684">
        <v>-10168.74607549</v>
      </c>
      <c r="T11" s="2684">
        <v>-11201.799995440004</v>
      </c>
      <c r="U11" s="2684">
        <v>-8361.1217992800011</v>
      </c>
      <c r="V11" s="2684">
        <v>-10561.849022570001</v>
      </c>
      <c r="W11" s="2684">
        <v>-11253.339342660001</v>
      </c>
      <c r="X11" s="2684">
        <v>-9436.6171233200002</v>
      </c>
      <c r="Y11" s="2684">
        <v>-7837.3001372700001</v>
      </c>
      <c r="Z11" s="2684">
        <v>-10079.960773000003</v>
      </c>
      <c r="AA11" s="2684">
        <v>-8692.3302772299994</v>
      </c>
      <c r="AB11" s="2684">
        <v>-9372.881900270002</v>
      </c>
      <c r="AC11" s="2684">
        <v>-8880.1699302400029</v>
      </c>
      <c r="AD11" s="2684">
        <v>-8780.1530179400033</v>
      </c>
      <c r="AE11" s="2684">
        <v>-11179.910112040001</v>
      </c>
      <c r="AF11" s="2684">
        <v>-11456.030725809998</v>
      </c>
      <c r="AG11" s="2684">
        <v>-13179.341982179998</v>
      </c>
      <c r="AH11" s="2684">
        <v>-11879.09227354</v>
      </c>
      <c r="AI11" s="2684">
        <v>-13350.546611650003</v>
      </c>
      <c r="AJ11" s="2684">
        <v>-16898.939951499997</v>
      </c>
      <c r="AK11" s="2684">
        <v>-11466.967172649998</v>
      </c>
      <c r="AL11" s="2684">
        <v>-13650.276193949998</v>
      </c>
      <c r="AM11" s="2684">
        <v>-12018.874950829999</v>
      </c>
      <c r="AN11" s="2685">
        <v>-12476.195903029999</v>
      </c>
      <c r="AO11" s="2685">
        <v>-14313.36957282</v>
      </c>
      <c r="AP11" s="2685">
        <v>-17374.062681929754</v>
      </c>
      <c r="AQ11" s="2685">
        <v>-18112.053482993684</v>
      </c>
      <c r="AR11" s="2685">
        <v>-14044.60487612374</v>
      </c>
      <c r="AS11" s="2685">
        <v>-13816.06028582856</v>
      </c>
      <c r="AT11" s="2685">
        <v>-17341.511666418828</v>
      </c>
      <c r="AU11" s="2685">
        <v>-15217.901120033093</v>
      </c>
      <c r="AV11" s="2685">
        <v>-13552.266238281474</v>
      </c>
      <c r="AW11" s="2685">
        <v>-10932.694839660657</v>
      </c>
      <c r="AX11" s="2685">
        <v>-13197.887711877294</v>
      </c>
      <c r="AY11" s="2685">
        <v>-12463.583303451964</v>
      </c>
      <c r="AZ11" s="2685">
        <v>-13387.690245879574</v>
      </c>
      <c r="BA11" s="2685">
        <v>-17897.114501728862</v>
      </c>
      <c r="BB11" s="2685">
        <v>-16472.475734490621</v>
      </c>
      <c r="BC11" s="2685">
        <v>-18912.303265928196</v>
      </c>
      <c r="BD11" s="2685">
        <v>-19181.228839505362</v>
      </c>
      <c r="BE11" s="2685">
        <v>-20865.026249724659</v>
      </c>
      <c r="BF11" s="2685">
        <v>-24581.233548614022</v>
      </c>
      <c r="BG11" s="2685">
        <v>-22626.159615587952</v>
      </c>
      <c r="BH11" s="2685">
        <v>-19870.683686191223</v>
      </c>
      <c r="BI11" s="2685">
        <v>-20743.429970004472</v>
      </c>
      <c r="BJ11" s="2685">
        <v>-19352.681883520723</v>
      </c>
      <c r="BK11" s="2685">
        <v>-22349.474304150681</v>
      </c>
      <c r="BL11" s="2685">
        <v>-23502.995871067244</v>
      </c>
      <c r="BM11" s="2685">
        <v>-22661.474497705807</v>
      </c>
      <c r="BN11" s="2685">
        <v>-22878.465939326445</v>
      </c>
      <c r="BO11" s="2685">
        <v>-21714.827886328236</v>
      </c>
      <c r="BP11" s="2686">
        <v>-26328.382232080454</v>
      </c>
      <c r="BQ11" s="2686">
        <v>-25956.873075779848</v>
      </c>
      <c r="BR11" s="2686">
        <v>-26828.959248950447</v>
      </c>
      <c r="BS11" s="2686">
        <v>-25650.317494534476</v>
      </c>
      <c r="BT11" s="2686">
        <v>-29430.173450514856</v>
      </c>
      <c r="BU11" s="2686">
        <v>-28634.857079610647</v>
      </c>
      <c r="BV11" s="2686">
        <v>-26971.136303966399</v>
      </c>
      <c r="BW11" s="2686">
        <v>-29312.760556908066</v>
      </c>
      <c r="BX11" s="2686">
        <v>-31958.729724419147</v>
      </c>
      <c r="BY11" s="2686">
        <v>-34518.630189887648</v>
      </c>
      <c r="BZ11" s="2686">
        <v>-29765.040157252177</v>
      </c>
      <c r="CA11" s="2686">
        <v>-35913.45428410665</v>
      </c>
      <c r="CB11" s="2686">
        <v>-35783.323356305329</v>
      </c>
      <c r="CC11" s="2686">
        <v>-37224.626337385162</v>
      </c>
      <c r="CD11" s="2686">
        <v>-37942.026526596077</v>
      </c>
      <c r="CE11" s="2686">
        <v>-41152.21912881577</v>
      </c>
      <c r="CF11" s="2686">
        <v>-41550.868337346699</v>
      </c>
      <c r="CG11" s="2686">
        <v>-38386.59096716639</v>
      </c>
      <c r="CH11" s="2687">
        <v>-32405.033911957518</v>
      </c>
      <c r="CI11" s="2687">
        <v>-35191.526846515859</v>
      </c>
      <c r="CJ11" s="2687">
        <v>-40506.141151634103</v>
      </c>
      <c r="CK11" s="2687">
        <v>-39546.197622725238</v>
      </c>
      <c r="CL11" s="2687">
        <v>-35351.569054948355</v>
      </c>
      <c r="CM11" s="2687">
        <v>-34907.183384128431</v>
      </c>
      <c r="CN11" s="2687">
        <v>-27481.992926843894</v>
      </c>
      <c r="CO11" s="2687">
        <v>-28939.114406344157</v>
      </c>
      <c r="CP11" s="2687">
        <v>-26135.339736256545</v>
      </c>
      <c r="CQ11" s="2687">
        <v>-29274.277120821997</v>
      </c>
      <c r="CR11" s="2687">
        <v>-29484.768431556058</v>
      </c>
      <c r="CS11" s="2687">
        <v>-24932.121414385856</v>
      </c>
      <c r="CT11" s="2687">
        <v>-23701.260518967501</v>
      </c>
      <c r="CU11" s="2687">
        <v>-19829.780191346192</v>
      </c>
      <c r="CV11" s="2687">
        <v>-18394.546459666919</v>
      </c>
      <c r="CW11" s="2656">
        <v>-17571.779205522427</v>
      </c>
      <c r="CX11" s="2656">
        <v>-18573.606077410073</v>
      </c>
      <c r="CY11" s="2656">
        <v>-22246.375063844021</v>
      </c>
      <c r="CZ11" s="2656">
        <v>-25283.029247717244</v>
      </c>
      <c r="DA11" s="2656">
        <v>-21010.18099120606</v>
      </c>
      <c r="DB11" s="2656">
        <v>-22958.469095949196</v>
      </c>
      <c r="DC11" s="2656">
        <v>-22390.423569186998</v>
      </c>
      <c r="DD11" s="2656">
        <v>-19647.914046480033</v>
      </c>
      <c r="DE11" s="2656">
        <v>-19273.09610646783</v>
      </c>
      <c r="DF11" s="2656">
        <v>-20935.306592958881</v>
      </c>
      <c r="DG11" s="2656">
        <v>-19289.037028424798</v>
      </c>
      <c r="DH11" s="2656">
        <v>-20772.733527978315</v>
      </c>
      <c r="DI11" s="2656">
        <v>-18967.234455908358</v>
      </c>
      <c r="DJ11" s="2656">
        <v>-21200.26106011423</v>
      </c>
      <c r="DK11" s="2656">
        <v>-18445.956216161783</v>
      </c>
      <c r="DL11" s="2656">
        <v>-18377.2636097016</v>
      </c>
      <c r="DM11" s="2656">
        <v>-21627.090344343022</v>
      </c>
      <c r="DN11" s="2656">
        <v>-19402.232828217911</v>
      </c>
      <c r="DO11" s="2656">
        <v>-18081.413977269593</v>
      </c>
      <c r="DP11" s="2656">
        <v>-19279.206900320001</v>
      </c>
      <c r="DQ11" s="2656">
        <v>-23863.349618259625</v>
      </c>
      <c r="DR11" s="2656">
        <v>-24211.561883350314</v>
      </c>
      <c r="DS11" s="2656">
        <v>-13684.554506002109</v>
      </c>
      <c r="DT11" s="2656">
        <v>-13755.411136558921</v>
      </c>
      <c r="DU11" s="2656">
        <v>-12727.236643302333</v>
      </c>
      <c r="DV11" s="2688">
        <v>1025.7089805331761</v>
      </c>
      <c r="DW11" s="2688">
        <v>-22127.335113032943</v>
      </c>
      <c r="DX11" s="2688">
        <v>-21088.749873838813</v>
      </c>
      <c r="DY11" s="2688">
        <v>-49104.374233031187</v>
      </c>
      <c r="DZ11" s="2688">
        <v>-51513.327108830243</v>
      </c>
      <c r="EA11" s="2688">
        <v>-42431.598791852331</v>
      </c>
      <c r="EB11" s="2688">
        <v>-34259.903045684754</v>
      </c>
      <c r="EC11" s="2688">
        <v>-27032.858213989537</v>
      </c>
      <c r="ED11" s="2688">
        <v>-29267.717830482128</v>
      </c>
      <c r="EE11" s="2688">
        <v>-30965.464448109906</v>
      </c>
      <c r="EF11" s="2688">
        <v>-40247.084593347718</v>
      </c>
      <c r="EG11" s="2688">
        <v>-36882.971087025631</v>
      </c>
      <c r="EH11" s="2688">
        <v>-34161.745417146652</v>
      </c>
      <c r="EI11" s="2688">
        <v>-39984.162914329703</v>
      </c>
      <c r="EJ11" s="2688">
        <v>-31392.598979757619</v>
      </c>
      <c r="EK11" s="2688">
        <v>-41795.13414492146</v>
      </c>
      <c r="EL11" s="2688">
        <v>-39463.641038158414</v>
      </c>
      <c r="EM11" s="2688">
        <v>-19113.246569812924</v>
      </c>
      <c r="EN11" s="2688">
        <v>-21043.5530357916</v>
      </c>
      <c r="EO11" s="2688">
        <v>-32086.843034149988</v>
      </c>
      <c r="EP11" s="2688">
        <v>-47002.342001991929</v>
      </c>
      <c r="EQ11" s="2688">
        <v>-37952.780247631221</v>
      </c>
      <c r="ER11" s="2688">
        <v>-36581.001777217738</v>
      </c>
      <c r="ES11" s="2688">
        <v>-33834.173461812607</v>
      </c>
      <c r="ET11" s="2688">
        <v>-38432.212985026483</v>
      </c>
      <c r="EU11" s="2688">
        <v>-27357.031242339341</v>
      </c>
      <c r="EV11" s="2688">
        <v>-20514.277846540346</v>
      </c>
      <c r="EW11" s="2688">
        <v>-22145.320971511253</v>
      </c>
      <c r="EX11" s="2688">
        <v>-19017.166652724962</v>
      </c>
      <c r="EY11" s="2688">
        <v>-18782.588282115576</v>
      </c>
      <c r="EZ11" s="2688">
        <v>-25346.792344075191</v>
      </c>
      <c r="FA11" s="2688">
        <v>-18478.342559409499</v>
      </c>
      <c r="FB11" s="2688">
        <v>-18001.313390165986</v>
      </c>
      <c r="FC11" s="2688">
        <v>-10767.515470433402</v>
      </c>
      <c r="FD11" s="2688">
        <v>-15230.131451164722</v>
      </c>
      <c r="FE11" s="2688">
        <v>-16464.269159245589</v>
      </c>
      <c r="FF11" s="2688">
        <v>-21193.5904879882</v>
      </c>
      <c r="FG11" s="2688">
        <v>-19694.61550680381</v>
      </c>
      <c r="FH11" s="2688">
        <v>-15493.845913593652</v>
      </c>
      <c r="FI11" s="2688">
        <v>-11659.828165529691</v>
      </c>
      <c r="FJ11" s="2688">
        <v>-8675.2331357903131</v>
      </c>
      <c r="FM11" s="628"/>
    </row>
    <row r="12" spans="1:169" ht="17.25" customHeight="1" x14ac:dyDescent="0.3">
      <c r="A12" s="2689" t="s">
        <v>2572</v>
      </c>
      <c r="B12" s="2690">
        <v>549.75010699000006</v>
      </c>
      <c r="C12" s="2690">
        <v>550.85699225999997</v>
      </c>
      <c r="D12" s="2690">
        <v>477.41486412</v>
      </c>
      <c r="E12" s="2690">
        <v>858.95183839999993</v>
      </c>
      <c r="F12" s="2690">
        <v>1303.6483870500001</v>
      </c>
      <c r="G12" s="2690">
        <v>1844.10998189</v>
      </c>
      <c r="H12" s="2695"/>
      <c r="I12" s="2690">
        <v>2258.9554319200001</v>
      </c>
      <c r="J12" s="2690">
        <v>2585.9917589500001</v>
      </c>
      <c r="K12" s="2690">
        <v>3852.9324706999996</v>
      </c>
      <c r="L12" s="2690">
        <v>4715.6667137699997</v>
      </c>
      <c r="M12" s="2690">
        <v>5382.3653765999998</v>
      </c>
      <c r="N12" s="2690">
        <v>5373.29925731</v>
      </c>
      <c r="O12" s="2690">
        <v>5497.6521717300002</v>
      </c>
      <c r="P12" s="2690">
        <v>5506.0446070600001</v>
      </c>
      <c r="Q12" s="2690">
        <v>5753.6136106899994</v>
      </c>
      <c r="R12" s="2690">
        <v>5568.8466461199996</v>
      </c>
      <c r="S12" s="2690">
        <v>5785.0552399299995</v>
      </c>
      <c r="T12" s="2690">
        <v>5888.7961917399998</v>
      </c>
      <c r="U12" s="2690">
        <v>6327.5861512699994</v>
      </c>
      <c r="V12" s="2690">
        <v>6270.1117044499997</v>
      </c>
      <c r="W12" s="2690">
        <v>6681.2161204800004</v>
      </c>
      <c r="X12" s="2690">
        <v>8446.9020713999998</v>
      </c>
      <c r="Y12" s="2690">
        <v>9153.0711483899995</v>
      </c>
      <c r="Z12" s="2690">
        <v>9515.2999755599994</v>
      </c>
      <c r="AA12" s="2690">
        <v>9793.35363435</v>
      </c>
      <c r="AB12" s="2690">
        <v>9467.6423170699982</v>
      </c>
      <c r="AC12" s="2690">
        <v>9830.5223254699977</v>
      </c>
      <c r="AD12" s="2690">
        <v>9826.4607385599993</v>
      </c>
      <c r="AE12" s="2690">
        <v>9264.1876788000009</v>
      </c>
      <c r="AF12" s="2690">
        <v>9218.8616261900006</v>
      </c>
      <c r="AG12" s="2690">
        <v>8422.1579610000008</v>
      </c>
      <c r="AH12" s="2690">
        <v>7958.31289956</v>
      </c>
      <c r="AI12" s="2690">
        <v>6858.3900487000001</v>
      </c>
      <c r="AJ12" s="2690">
        <v>5187.7303872000002</v>
      </c>
      <c r="AK12" s="2690">
        <v>5183.1208412000005</v>
      </c>
      <c r="AL12" s="2690">
        <v>6185.9692967000001</v>
      </c>
      <c r="AM12" s="2690">
        <v>6441.3858202000001</v>
      </c>
      <c r="AN12" s="2691">
        <v>6886.9248842000006</v>
      </c>
      <c r="AO12" s="2691">
        <v>6821.7543517000004</v>
      </c>
      <c r="AP12" s="2691">
        <v>6745.0943592000003</v>
      </c>
      <c r="AQ12" s="2691">
        <v>6632.2029702399996</v>
      </c>
      <c r="AR12" s="2691">
        <v>6616.6135157399995</v>
      </c>
      <c r="AS12" s="2691">
        <v>6524.0395767399996</v>
      </c>
      <c r="AT12" s="2691">
        <v>6390.45828833</v>
      </c>
      <c r="AU12" s="2691">
        <v>6741.4355393300002</v>
      </c>
      <c r="AV12" s="2691">
        <v>6907.6845558300001</v>
      </c>
      <c r="AW12" s="2691">
        <v>6797.7968853299999</v>
      </c>
      <c r="AX12" s="2691">
        <v>6826.0566403299999</v>
      </c>
      <c r="AY12" s="2691">
        <v>6653.6253613299996</v>
      </c>
      <c r="AZ12" s="2691">
        <v>6637.9881083299997</v>
      </c>
      <c r="BA12" s="2691">
        <v>6548.2404078299996</v>
      </c>
      <c r="BB12" s="2691">
        <v>6228.14650463</v>
      </c>
      <c r="BC12" s="2691">
        <v>6228.1632066299999</v>
      </c>
      <c r="BD12" s="2691">
        <v>6072.2898871300004</v>
      </c>
      <c r="BE12" s="2691">
        <v>5894.4752891300004</v>
      </c>
      <c r="BF12" s="2691">
        <v>5656.9743366299999</v>
      </c>
      <c r="BG12" s="2691">
        <v>5100.8797456299999</v>
      </c>
      <c r="BH12" s="2691">
        <v>4666.6661986300005</v>
      </c>
      <c r="BI12" s="2691">
        <v>4203.0171466299998</v>
      </c>
      <c r="BJ12" s="2691">
        <v>4030.7490541300003</v>
      </c>
      <c r="BK12" s="2691">
        <v>3933.0082186300001</v>
      </c>
      <c r="BL12" s="2691">
        <v>3832.90427821</v>
      </c>
      <c r="BM12" s="2691">
        <v>3664.3168907099998</v>
      </c>
      <c r="BN12" s="2691">
        <v>3556.5026962100001</v>
      </c>
      <c r="BO12" s="2691">
        <v>3469.8331357100001</v>
      </c>
      <c r="BP12" s="2692">
        <v>3371.3919509900002</v>
      </c>
      <c r="BQ12" s="2692">
        <v>3292.2506004900001</v>
      </c>
      <c r="BR12" s="2692">
        <v>3287.7796684899999</v>
      </c>
      <c r="BS12" s="2692">
        <v>3239.0791874900001</v>
      </c>
      <c r="BT12" s="2692">
        <v>2953.8688154900001</v>
      </c>
      <c r="BU12" s="2692">
        <v>2951.3984189900002</v>
      </c>
      <c r="BV12" s="2692">
        <v>1256.1697714900001</v>
      </c>
      <c r="BW12" s="2692">
        <v>1267.1481914800002</v>
      </c>
      <c r="BX12" s="2692">
        <v>1266.68282348</v>
      </c>
      <c r="BY12" s="2692">
        <v>1267.75872918</v>
      </c>
      <c r="BZ12" s="2692">
        <v>1271.2213200800002</v>
      </c>
      <c r="CA12" s="2692">
        <v>1270.1970060400001</v>
      </c>
      <c r="CB12" s="2692">
        <v>1269.5592713799999</v>
      </c>
      <c r="CC12" s="2692">
        <v>1274.3591263799999</v>
      </c>
      <c r="CD12" s="2692">
        <v>680.20247987999994</v>
      </c>
      <c r="CE12" s="2692">
        <v>679.32373400999995</v>
      </c>
      <c r="CF12" s="2692">
        <v>679.75371801000006</v>
      </c>
      <c r="CG12" s="2692">
        <v>677.59673900999996</v>
      </c>
      <c r="CH12" s="2693">
        <v>677.5846510099999</v>
      </c>
      <c r="CI12" s="2693">
        <v>679.28750899999989</v>
      </c>
      <c r="CJ12" s="2693">
        <v>678.21470899999986</v>
      </c>
      <c r="CK12" s="2693">
        <v>675.0807329999999</v>
      </c>
      <c r="CL12" s="2693">
        <v>674.0697491599999</v>
      </c>
      <c r="CM12" s="2693">
        <v>675.40254516000005</v>
      </c>
      <c r="CN12" s="2693">
        <v>673.92669716</v>
      </c>
      <c r="CO12" s="2693">
        <v>672.50556515999995</v>
      </c>
      <c r="CP12" s="2693">
        <v>671.50418516000002</v>
      </c>
      <c r="CQ12" s="2693">
        <v>670.72260515999994</v>
      </c>
      <c r="CR12" s="2693">
        <v>673.02324915999998</v>
      </c>
      <c r="CS12" s="2693">
        <v>670.24310723000008</v>
      </c>
      <c r="CT12" s="2693">
        <v>669.13547523000011</v>
      </c>
      <c r="CU12" s="2693">
        <v>667.01135523000005</v>
      </c>
      <c r="CV12" s="2693">
        <v>658.39386723000007</v>
      </c>
      <c r="CW12" s="2660">
        <v>657.44243523</v>
      </c>
      <c r="CX12" s="2660">
        <v>657.31593656999996</v>
      </c>
      <c r="CY12" s="2660">
        <v>656.75836056999992</v>
      </c>
      <c r="CZ12" s="2660">
        <v>657.50156456999991</v>
      </c>
      <c r="DA12" s="2660">
        <v>656.84853256999997</v>
      </c>
      <c r="DB12" s="2660">
        <v>656.25362456999994</v>
      </c>
      <c r="DC12" s="2660">
        <v>345.49703656999998</v>
      </c>
      <c r="DD12" s="2660">
        <v>344.72837256999998</v>
      </c>
      <c r="DE12" s="2660">
        <v>343.61427656999996</v>
      </c>
      <c r="DF12" s="2660">
        <v>342.79893256999998</v>
      </c>
      <c r="DG12" s="2660">
        <v>342.04582856999997</v>
      </c>
      <c r="DH12" s="2660">
        <v>341.27405256999998</v>
      </c>
      <c r="DI12" s="2660">
        <v>340.43070057</v>
      </c>
      <c r="DJ12" s="2660">
        <v>339.35423749</v>
      </c>
      <c r="DK12" s="2660">
        <v>341.95275749000001</v>
      </c>
      <c r="DL12" s="2660">
        <v>341.22661338</v>
      </c>
      <c r="DM12" s="2660">
        <v>328.32999187000001</v>
      </c>
      <c r="DN12" s="2660">
        <v>328.44463454000004</v>
      </c>
      <c r="DO12" s="2660">
        <v>328.48326414000002</v>
      </c>
      <c r="DP12" s="2660">
        <v>328.52064762000003</v>
      </c>
      <c r="DQ12" s="2660">
        <v>328.55927722000001</v>
      </c>
      <c r="DR12" s="2660">
        <v>328.59790681999999</v>
      </c>
      <c r="DS12" s="2660">
        <v>328.63404418000005</v>
      </c>
      <c r="DT12" s="2660">
        <v>328.67267377999997</v>
      </c>
      <c r="DU12" s="2660">
        <v>15338.3962032</v>
      </c>
      <c r="DV12" s="2694">
        <v>15350.203978269999</v>
      </c>
      <c r="DW12" s="2694">
        <v>15363.708138739999</v>
      </c>
      <c r="DX12" s="2694">
        <v>15039.50281532</v>
      </c>
      <c r="DY12" s="2694">
        <v>15058.612404360001</v>
      </c>
      <c r="DZ12" s="2694">
        <v>15067.8589797</v>
      </c>
      <c r="EA12" s="2694">
        <v>15077.41377422</v>
      </c>
      <c r="EB12" s="2694">
        <v>15086.660349559999</v>
      </c>
      <c r="EC12" s="2694">
        <v>15096.215144080001</v>
      </c>
      <c r="ED12" s="2694">
        <v>15105.7699386</v>
      </c>
      <c r="EE12" s="2694">
        <v>15114.400075590002</v>
      </c>
      <c r="EF12" s="2694">
        <v>15123.954870110001</v>
      </c>
      <c r="EG12" s="2694">
        <v>15133.20144545</v>
      </c>
      <c r="EH12" s="2694">
        <v>15142.77223997</v>
      </c>
      <c r="EI12" s="2694">
        <v>15153.24013896</v>
      </c>
      <c r="EJ12" s="2694">
        <v>15162.79493348</v>
      </c>
      <c r="EK12" s="2694">
        <v>15172.349728000001</v>
      </c>
      <c r="EL12" s="2694">
        <v>15181.596303339998</v>
      </c>
      <c r="EM12" s="2694">
        <v>15191.15109786</v>
      </c>
      <c r="EN12" s="2694">
        <v>15200.397673199999</v>
      </c>
      <c r="EO12" s="2694">
        <v>15209.952467719999</v>
      </c>
      <c r="EP12" s="2694">
        <v>15219.50726224</v>
      </c>
      <c r="EQ12" s="2694">
        <v>15228.13739923</v>
      </c>
      <c r="ER12" s="2694">
        <v>15238.658718440001</v>
      </c>
      <c r="ES12" s="2694">
        <v>15247.905293779999</v>
      </c>
      <c r="ET12" s="2694">
        <v>15256.453378329999</v>
      </c>
      <c r="EU12" s="2694">
        <v>15265.699953679999</v>
      </c>
      <c r="EV12" s="2694">
        <v>15275.254748199999</v>
      </c>
      <c r="EW12" s="2694">
        <v>15284.809542720001</v>
      </c>
      <c r="EX12" s="2694">
        <v>15297.311833999998</v>
      </c>
      <c r="EY12" s="2694">
        <v>15306.85062852</v>
      </c>
      <c r="EZ12" s="2694">
        <v>15316.097203859999</v>
      </c>
      <c r="FA12" s="2694">
        <v>15325.64943016</v>
      </c>
      <c r="FB12" s="2694">
        <v>15335.204224680001</v>
      </c>
      <c r="FC12" s="2694">
        <v>15343.83436167</v>
      </c>
      <c r="FD12" s="2694">
        <v>15353.389156190002</v>
      </c>
      <c r="FE12" s="2694">
        <v>15362.635731529999</v>
      </c>
      <c r="FF12" s="2694">
        <v>15373.12814796</v>
      </c>
      <c r="FG12" s="2694">
        <v>15382.39072331</v>
      </c>
      <c r="FH12" s="2694">
        <v>15391.94551783</v>
      </c>
      <c r="FI12" s="2694">
        <v>15401.500312350001</v>
      </c>
      <c r="FJ12" s="2694">
        <v>15410.746887689998</v>
      </c>
      <c r="FM12" s="628"/>
    </row>
    <row r="13" spans="1:169" ht="19.899999999999999" customHeight="1" x14ac:dyDescent="0.3">
      <c r="A13" s="2689" t="s">
        <v>2573</v>
      </c>
      <c r="B13" s="2690">
        <v>16644.341760089999</v>
      </c>
      <c r="C13" s="2690">
        <v>15684.847908240001</v>
      </c>
      <c r="D13" s="2690">
        <v>11051.6722548</v>
      </c>
      <c r="E13" s="2690">
        <v>14019.083160210001</v>
      </c>
      <c r="F13" s="2690">
        <v>14487.845723730001</v>
      </c>
      <c r="G13" s="2690">
        <v>14447.324452750001</v>
      </c>
      <c r="H13" s="2690"/>
      <c r="I13" s="2690">
        <v>16258.319292239999</v>
      </c>
      <c r="J13" s="2690">
        <v>14895.78318481</v>
      </c>
      <c r="K13" s="2690">
        <v>13359.42552592</v>
      </c>
      <c r="L13" s="2690">
        <v>16031.914137379999</v>
      </c>
      <c r="M13" s="2690">
        <v>15070.04536928</v>
      </c>
      <c r="N13" s="2690">
        <v>13757.57959411</v>
      </c>
      <c r="O13" s="2690">
        <v>13233.29302909</v>
      </c>
      <c r="P13" s="2690">
        <v>16682.737635909998</v>
      </c>
      <c r="Q13" s="2690">
        <v>15360.30877043</v>
      </c>
      <c r="R13" s="2690">
        <v>16889.031433489999</v>
      </c>
      <c r="S13" s="2690">
        <v>15953.80131542</v>
      </c>
      <c r="T13" s="2690">
        <v>17090.596187180003</v>
      </c>
      <c r="U13" s="2690">
        <v>14688.707950550001</v>
      </c>
      <c r="V13" s="2690">
        <v>16831.960727019999</v>
      </c>
      <c r="W13" s="2690">
        <v>17934.555463140001</v>
      </c>
      <c r="X13" s="2690">
        <v>17883.51919472</v>
      </c>
      <c r="Y13" s="2690">
        <v>16990.37128566</v>
      </c>
      <c r="Z13" s="2690">
        <v>19595.260748560002</v>
      </c>
      <c r="AA13" s="2690">
        <v>18485.683911579999</v>
      </c>
      <c r="AB13" s="2690">
        <v>18840.52421734</v>
      </c>
      <c r="AC13" s="2690">
        <v>18710.692255710001</v>
      </c>
      <c r="AD13" s="2690">
        <v>18606.613756500003</v>
      </c>
      <c r="AE13" s="2690">
        <v>20444.097790840002</v>
      </c>
      <c r="AF13" s="2690">
        <v>20674.892351999999</v>
      </c>
      <c r="AG13" s="2690">
        <v>21601.499943179999</v>
      </c>
      <c r="AH13" s="2690">
        <v>19837.4051731</v>
      </c>
      <c r="AI13" s="2690">
        <v>20208.936660350002</v>
      </c>
      <c r="AJ13" s="2690">
        <v>22086.670338699998</v>
      </c>
      <c r="AK13" s="2690">
        <v>16650.08801385</v>
      </c>
      <c r="AL13" s="2690">
        <v>19836.245490649999</v>
      </c>
      <c r="AM13" s="2690">
        <v>18460.26077103</v>
      </c>
      <c r="AN13" s="2691">
        <v>19363.12078723</v>
      </c>
      <c r="AO13" s="2691">
        <v>21135.123924520001</v>
      </c>
      <c r="AP13" s="2691">
        <v>24119.157041129754</v>
      </c>
      <c r="AQ13" s="2691">
        <v>24744.256453233684</v>
      </c>
      <c r="AR13" s="2691">
        <v>20661.218391863738</v>
      </c>
      <c r="AS13" s="2691">
        <v>20340.099862568561</v>
      </c>
      <c r="AT13" s="2691">
        <v>23731.969954748827</v>
      </c>
      <c r="AU13" s="2691">
        <v>21959.336659363093</v>
      </c>
      <c r="AV13" s="2691">
        <v>20459.950794111475</v>
      </c>
      <c r="AW13" s="2691">
        <v>17730.491724990658</v>
      </c>
      <c r="AX13" s="2691">
        <v>20023.944352207294</v>
      </c>
      <c r="AY13" s="2691">
        <v>19117.208664781963</v>
      </c>
      <c r="AZ13" s="2691">
        <v>20025.678354209573</v>
      </c>
      <c r="BA13" s="2691">
        <v>24445.354909558861</v>
      </c>
      <c r="BB13" s="2691">
        <v>22700.622239120621</v>
      </c>
      <c r="BC13" s="2691">
        <v>25140.466472558197</v>
      </c>
      <c r="BD13" s="2691">
        <v>25253.518726635361</v>
      </c>
      <c r="BE13" s="2691">
        <v>26759.50153885466</v>
      </c>
      <c r="BF13" s="2691">
        <v>30238.207885244021</v>
      </c>
      <c r="BG13" s="2691">
        <v>27727.03936121795</v>
      </c>
      <c r="BH13" s="2691">
        <v>24537.349884821222</v>
      </c>
      <c r="BI13" s="2691">
        <v>24946.447116634474</v>
      </c>
      <c r="BJ13" s="2691">
        <v>23383.430937650723</v>
      </c>
      <c r="BK13" s="2691">
        <v>26282.48252278068</v>
      </c>
      <c r="BL13" s="2691">
        <v>27335.900149277244</v>
      </c>
      <c r="BM13" s="2691">
        <v>26325.791388415808</v>
      </c>
      <c r="BN13" s="2691">
        <v>26434.968635536447</v>
      </c>
      <c r="BO13" s="2691">
        <v>25184.661022038235</v>
      </c>
      <c r="BP13" s="2692">
        <v>29699.774183070454</v>
      </c>
      <c r="BQ13" s="2692">
        <v>29249.123676269846</v>
      </c>
      <c r="BR13" s="2692">
        <v>30116.738917440445</v>
      </c>
      <c r="BS13" s="2692">
        <v>28889.396682024475</v>
      </c>
      <c r="BT13" s="2692">
        <v>32384.042266004857</v>
      </c>
      <c r="BU13" s="2692">
        <v>31586.255498600647</v>
      </c>
      <c r="BV13" s="2692">
        <v>28227.306075456399</v>
      </c>
      <c r="BW13" s="2692">
        <v>30579.908748388065</v>
      </c>
      <c r="BX13" s="2692">
        <v>33225.412547899148</v>
      </c>
      <c r="BY13" s="2692">
        <v>35786.388919067649</v>
      </c>
      <c r="BZ13" s="2692">
        <v>31036.261477332177</v>
      </c>
      <c r="CA13" s="2692">
        <v>37183.651290146649</v>
      </c>
      <c r="CB13" s="2692">
        <v>37052.882627685329</v>
      </c>
      <c r="CC13" s="2692">
        <v>38498.985463765159</v>
      </c>
      <c r="CD13" s="2692">
        <v>38622.229006476075</v>
      </c>
      <c r="CE13" s="2692">
        <v>41831.542862825772</v>
      </c>
      <c r="CF13" s="2692">
        <v>42230.622055356696</v>
      </c>
      <c r="CG13" s="2692">
        <v>39064.187706176388</v>
      </c>
      <c r="CH13" s="2693">
        <v>33082.618562967516</v>
      </c>
      <c r="CI13" s="2693">
        <v>35870.81435551586</v>
      </c>
      <c r="CJ13" s="2693">
        <v>41184.355860634103</v>
      </c>
      <c r="CK13" s="2693">
        <v>40221.278355725241</v>
      </c>
      <c r="CL13" s="2693">
        <v>36025.638804108356</v>
      </c>
      <c r="CM13" s="2693">
        <v>35582.585929288434</v>
      </c>
      <c r="CN13" s="2693">
        <v>28155.919624003895</v>
      </c>
      <c r="CO13" s="2693">
        <v>29611.619971504158</v>
      </c>
      <c r="CP13" s="2693">
        <v>26806.843921416545</v>
      </c>
      <c r="CQ13" s="2693">
        <v>29944.999725981997</v>
      </c>
      <c r="CR13" s="2693">
        <v>30157.791680716058</v>
      </c>
      <c r="CS13" s="2693">
        <v>25602.364521615855</v>
      </c>
      <c r="CT13" s="2693">
        <v>24370.395994197501</v>
      </c>
      <c r="CU13" s="2693">
        <v>20496.791546576191</v>
      </c>
      <c r="CV13" s="2693">
        <v>19052.940326896918</v>
      </c>
      <c r="CW13" s="2660">
        <v>18229.221640752428</v>
      </c>
      <c r="CX13" s="2660">
        <v>19230.922013980075</v>
      </c>
      <c r="CY13" s="2660">
        <v>22903.13342441402</v>
      </c>
      <c r="CZ13" s="2660">
        <v>25940.530812287245</v>
      </c>
      <c r="DA13" s="2660">
        <v>21667.029523776058</v>
      </c>
      <c r="DB13" s="2660">
        <v>23614.722720519196</v>
      </c>
      <c r="DC13" s="2660">
        <v>22735.920605756997</v>
      </c>
      <c r="DD13" s="2660">
        <v>19992.642419050033</v>
      </c>
      <c r="DE13" s="2660">
        <v>19616.710383037829</v>
      </c>
      <c r="DF13" s="2660">
        <v>21278.105525528881</v>
      </c>
      <c r="DG13" s="2660">
        <v>19631.082856994799</v>
      </c>
      <c r="DH13" s="2660">
        <v>21114.007580548314</v>
      </c>
      <c r="DI13" s="2660">
        <v>19307.665156478357</v>
      </c>
      <c r="DJ13" s="2660">
        <v>21539.615297604229</v>
      </c>
      <c r="DK13" s="2660">
        <v>18787.908973651782</v>
      </c>
      <c r="DL13" s="2660">
        <v>18718.490223081601</v>
      </c>
      <c r="DM13" s="2660">
        <v>21955.420336213021</v>
      </c>
      <c r="DN13" s="2660">
        <v>19730.677462757911</v>
      </c>
      <c r="DO13" s="2660">
        <v>18409.897241409592</v>
      </c>
      <c r="DP13" s="2660">
        <v>19607.727547940001</v>
      </c>
      <c r="DQ13" s="2660">
        <v>24191.908895479624</v>
      </c>
      <c r="DR13" s="2660">
        <v>24540.159790170313</v>
      </c>
      <c r="DS13" s="2660">
        <v>14013.188550182109</v>
      </c>
      <c r="DT13" s="2660">
        <v>14084.083810338921</v>
      </c>
      <c r="DU13" s="2660">
        <v>28065.632846502333</v>
      </c>
      <c r="DV13" s="2694">
        <v>14324.494997736823</v>
      </c>
      <c r="DW13" s="2694">
        <v>37491.043251772942</v>
      </c>
      <c r="DX13" s="2694">
        <v>36128.252689158813</v>
      </c>
      <c r="DY13" s="2694">
        <v>64162.986637391186</v>
      </c>
      <c r="DZ13" s="2694">
        <v>66581.186088530245</v>
      </c>
      <c r="EA13" s="2694">
        <v>57509.012566072335</v>
      </c>
      <c r="EB13" s="2694">
        <v>49346.563395244753</v>
      </c>
      <c r="EC13" s="2694">
        <v>42129.073358069538</v>
      </c>
      <c r="ED13" s="2694">
        <v>44373.48776908213</v>
      </c>
      <c r="EE13" s="2694">
        <v>46079.864523699907</v>
      </c>
      <c r="EF13" s="2694">
        <v>55371.039463457717</v>
      </c>
      <c r="EG13" s="2694">
        <v>52016.172532475633</v>
      </c>
      <c r="EH13" s="2694">
        <v>49304.517657116652</v>
      </c>
      <c r="EI13" s="2694">
        <v>55137.403053289701</v>
      </c>
      <c r="EJ13" s="2694">
        <v>46555.393913237618</v>
      </c>
      <c r="EK13" s="2694">
        <v>56967.483872921461</v>
      </c>
      <c r="EL13" s="2694">
        <v>54645.23734149841</v>
      </c>
      <c r="EM13" s="2694">
        <v>34304.397667672922</v>
      </c>
      <c r="EN13" s="2694">
        <v>36243.950708991601</v>
      </c>
      <c r="EO13" s="2694">
        <v>47296.795501869987</v>
      </c>
      <c r="EP13" s="2694">
        <v>62221.849264231932</v>
      </c>
      <c r="EQ13" s="2694">
        <v>53180.91764686122</v>
      </c>
      <c r="ER13" s="2694">
        <v>51819.660495657736</v>
      </c>
      <c r="ES13" s="2694">
        <v>49082.078755592607</v>
      </c>
      <c r="ET13" s="2694">
        <v>53688.666363356482</v>
      </c>
      <c r="EU13" s="2694">
        <v>42622.73119601934</v>
      </c>
      <c r="EV13" s="2694">
        <v>35789.532594740347</v>
      </c>
      <c r="EW13" s="2694">
        <v>37430.130514231256</v>
      </c>
      <c r="EX13" s="2694">
        <v>34314.478486724962</v>
      </c>
      <c r="EY13" s="2694">
        <v>34089.438910635574</v>
      </c>
      <c r="EZ13" s="2694">
        <v>40662.889547935192</v>
      </c>
      <c r="FA13" s="2694">
        <v>33803.991989569498</v>
      </c>
      <c r="FB13" s="2694">
        <v>33336.517614845987</v>
      </c>
      <c r="FC13" s="2694">
        <v>26111.349832103402</v>
      </c>
      <c r="FD13" s="2694">
        <v>30583.520607354723</v>
      </c>
      <c r="FE13" s="2694">
        <v>31826.90489077559</v>
      </c>
      <c r="FF13" s="2694">
        <v>36566.7186359482</v>
      </c>
      <c r="FG13" s="2694">
        <v>35077.00623011381</v>
      </c>
      <c r="FH13" s="2694">
        <v>30885.791431423651</v>
      </c>
      <c r="FI13" s="2694">
        <v>27061.328477879691</v>
      </c>
      <c r="FJ13" s="2694">
        <v>24085.980023480312</v>
      </c>
      <c r="FM13" s="628"/>
    </row>
    <row r="14" spans="1:169" ht="17.25" customHeight="1" x14ac:dyDescent="0.3">
      <c r="A14" s="2689"/>
      <c r="B14" s="2690"/>
      <c r="C14" s="2690"/>
      <c r="D14" s="2690"/>
      <c r="E14" s="2690"/>
      <c r="F14" s="2690"/>
      <c r="G14" s="2690"/>
      <c r="H14" s="2690"/>
      <c r="I14" s="2690"/>
      <c r="J14" s="2690"/>
      <c r="K14" s="2690"/>
      <c r="L14" s="2690"/>
      <c r="M14" s="2690"/>
      <c r="N14" s="2690"/>
      <c r="O14" s="2690"/>
      <c r="P14" s="2690"/>
      <c r="Q14" s="2690"/>
      <c r="R14" s="2690"/>
      <c r="S14" s="2690"/>
      <c r="T14" s="2690"/>
      <c r="U14" s="2690"/>
      <c r="V14" s="2690"/>
      <c r="W14" s="2690"/>
      <c r="X14" s="2690"/>
      <c r="Y14" s="2690"/>
      <c r="Z14" s="2690"/>
      <c r="AA14" s="2690"/>
      <c r="AB14" s="2690"/>
      <c r="AC14" s="2690"/>
      <c r="AD14" s="2690"/>
      <c r="AE14" s="2690"/>
      <c r="AF14" s="2690"/>
      <c r="AG14" s="2690"/>
      <c r="AH14" s="2690"/>
      <c r="AI14" s="2690"/>
      <c r="AJ14" s="2690"/>
      <c r="AK14" s="2690"/>
      <c r="AL14" s="2690"/>
      <c r="AM14" s="2690"/>
      <c r="AN14" s="2691"/>
      <c r="AO14" s="2691"/>
      <c r="AP14" s="2691"/>
      <c r="AQ14" s="2691"/>
      <c r="AR14" s="2691"/>
      <c r="AS14" s="2691"/>
      <c r="AT14" s="2691"/>
      <c r="AU14" s="2691"/>
      <c r="AV14" s="2691"/>
      <c r="AW14" s="2691"/>
      <c r="AX14" s="2691"/>
      <c r="AY14" s="2691"/>
      <c r="AZ14" s="2691"/>
      <c r="BA14" s="2691"/>
      <c r="BB14" s="2691"/>
      <c r="BC14" s="2691"/>
      <c r="BD14" s="2691"/>
      <c r="BE14" s="2691"/>
      <c r="BF14" s="2691"/>
      <c r="BG14" s="2691"/>
      <c r="BH14" s="2691"/>
      <c r="BI14" s="2691"/>
      <c r="BJ14" s="2691"/>
      <c r="BK14" s="2691"/>
      <c r="BL14" s="2691"/>
      <c r="BM14" s="2691"/>
      <c r="BN14" s="2691"/>
      <c r="BO14" s="2691"/>
      <c r="BP14" s="2692"/>
      <c r="BQ14" s="2692"/>
      <c r="BR14" s="2692"/>
      <c r="BS14" s="2692"/>
      <c r="BT14" s="2692"/>
      <c r="BU14" s="2692"/>
      <c r="BV14" s="2692"/>
      <c r="BW14" s="2692"/>
      <c r="BX14" s="2692"/>
      <c r="BY14" s="2692"/>
      <c r="BZ14" s="2692"/>
      <c r="CA14" s="2692"/>
      <c r="CB14" s="2692"/>
      <c r="CC14" s="2692"/>
      <c r="CD14" s="2692"/>
      <c r="CE14" s="2692"/>
      <c r="CF14" s="2692"/>
      <c r="CG14" s="2692"/>
      <c r="CH14" s="2693"/>
      <c r="CI14" s="2693"/>
      <c r="CJ14" s="2693"/>
      <c r="CK14" s="2693"/>
      <c r="CL14" s="2693"/>
      <c r="CM14" s="2693"/>
      <c r="CN14" s="2693"/>
      <c r="CO14" s="2693"/>
      <c r="CP14" s="2693"/>
      <c r="CQ14" s="2693"/>
      <c r="CR14" s="2693"/>
      <c r="CS14" s="2693"/>
      <c r="CT14" s="2693"/>
      <c r="CU14" s="2693"/>
      <c r="CV14" s="2693"/>
      <c r="CW14" s="2660"/>
      <c r="CX14" s="2660"/>
      <c r="CY14" s="2660"/>
      <c r="CZ14" s="2660"/>
      <c r="DA14" s="2660"/>
      <c r="DB14" s="2660"/>
      <c r="DC14" s="2660"/>
      <c r="DD14" s="2660"/>
      <c r="DE14" s="2660"/>
      <c r="DF14" s="2660"/>
      <c r="DG14" s="2660"/>
      <c r="DH14" s="2660"/>
      <c r="DI14" s="2660"/>
      <c r="DJ14" s="2660"/>
      <c r="DK14" s="2660"/>
      <c r="DL14" s="2660"/>
      <c r="DM14" s="2660"/>
      <c r="DN14" s="2660"/>
      <c r="DO14" s="2660"/>
      <c r="DP14" s="2660"/>
      <c r="DQ14" s="2660"/>
      <c r="DR14" s="2660"/>
      <c r="DS14" s="2660"/>
      <c r="DT14" s="2660"/>
      <c r="DU14" s="2660"/>
      <c r="DV14" s="2694"/>
      <c r="DW14" s="2694"/>
      <c r="DX14" s="2694"/>
      <c r="DY14" s="2694"/>
      <c r="DZ14" s="2694"/>
      <c r="EA14" s="2694"/>
      <c r="EB14" s="2694"/>
      <c r="EC14" s="2694"/>
      <c r="ED14" s="2694"/>
      <c r="EE14" s="2694"/>
      <c r="EF14" s="2694"/>
      <c r="EG14" s="2694"/>
      <c r="EH14" s="2694"/>
      <c r="EI14" s="2694"/>
      <c r="EJ14" s="2694"/>
      <c r="EK14" s="2694"/>
      <c r="EL14" s="2694"/>
      <c r="EM14" s="2694"/>
      <c r="EN14" s="2694"/>
      <c r="EO14" s="2694"/>
      <c r="EP14" s="2694"/>
      <c r="EQ14" s="2694"/>
      <c r="ER14" s="2694"/>
      <c r="ES14" s="2694"/>
      <c r="ET14" s="2694"/>
      <c r="EU14" s="2694"/>
      <c r="EV14" s="2694"/>
      <c r="EW14" s="2694"/>
      <c r="EX14" s="2694"/>
      <c r="EY14" s="2694"/>
      <c r="EZ14" s="2694"/>
      <c r="FA14" s="2694"/>
      <c r="FB14" s="2694"/>
      <c r="FC14" s="2694"/>
      <c r="FD14" s="2694"/>
      <c r="FE14" s="2694"/>
      <c r="FF14" s="2694"/>
      <c r="FG14" s="2694"/>
      <c r="FH14" s="2694"/>
      <c r="FI14" s="2694"/>
      <c r="FJ14" s="2694"/>
      <c r="FM14" s="628"/>
    </row>
    <row r="15" spans="1:169" ht="17.25" customHeight="1" x14ac:dyDescent="0.3">
      <c r="A15" s="2683" t="s">
        <v>2574</v>
      </c>
      <c r="B15" s="2684">
        <v>153.19780331999999</v>
      </c>
      <c r="C15" s="2684">
        <v>154.31596911</v>
      </c>
      <c r="D15" s="2684">
        <v>138.70587049999997</v>
      </c>
      <c r="E15" s="2684">
        <v>145.20146566999998</v>
      </c>
      <c r="F15" s="2684">
        <v>139.64907062999998</v>
      </c>
      <c r="G15" s="2684">
        <v>144.54348844999998</v>
      </c>
      <c r="H15" s="2684">
        <v>136.46690247999999</v>
      </c>
      <c r="I15" s="2684">
        <v>137.70103456999999</v>
      </c>
      <c r="J15" s="2684">
        <v>166.28222216</v>
      </c>
      <c r="K15" s="2684">
        <v>164.10271523999998</v>
      </c>
      <c r="L15" s="2684">
        <v>188.36966712999998</v>
      </c>
      <c r="M15" s="2684">
        <v>289.10614802999993</v>
      </c>
      <c r="N15" s="2684">
        <v>325.25928297999997</v>
      </c>
      <c r="O15" s="2684">
        <v>266.26099159999995</v>
      </c>
      <c r="P15" s="2684">
        <v>282.16233682000001</v>
      </c>
      <c r="Q15" s="2684">
        <v>326.19289162000001</v>
      </c>
      <c r="R15" s="2684">
        <v>355.96613649</v>
      </c>
      <c r="S15" s="2684">
        <v>144.95301177000002</v>
      </c>
      <c r="T15" s="2684">
        <v>145.04960496999999</v>
      </c>
      <c r="U15" s="2684">
        <v>146.18456738</v>
      </c>
      <c r="V15" s="2684">
        <v>147.98835771</v>
      </c>
      <c r="W15" s="2684">
        <v>189.87692557</v>
      </c>
      <c r="X15" s="2684">
        <v>188.68572480999998</v>
      </c>
      <c r="Y15" s="2684">
        <v>187.66180904000001</v>
      </c>
      <c r="Z15" s="2684">
        <v>184.76241243000001</v>
      </c>
      <c r="AA15" s="2684">
        <v>235.96431477000002</v>
      </c>
      <c r="AB15" s="2684">
        <v>228.80128807000003</v>
      </c>
      <c r="AC15" s="2684">
        <v>202.30284356000001</v>
      </c>
      <c r="AD15" s="2684">
        <v>207.31680611000002</v>
      </c>
      <c r="AE15" s="2684">
        <v>142.31707372000002</v>
      </c>
      <c r="AF15" s="2684">
        <v>246.29880878</v>
      </c>
      <c r="AG15" s="2684">
        <v>157.61338316000001</v>
      </c>
      <c r="AH15" s="2684">
        <v>186.53756657</v>
      </c>
      <c r="AI15" s="2684">
        <v>186.00266166</v>
      </c>
      <c r="AJ15" s="2684">
        <v>148.20166657000001</v>
      </c>
      <c r="AK15" s="2684">
        <v>184.47326498999999</v>
      </c>
      <c r="AL15" s="2684">
        <v>158.50110899000001</v>
      </c>
      <c r="AM15" s="2684">
        <v>151.81138362999999</v>
      </c>
      <c r="AN15" s="2685">
        <v>144.74117856000001</v>
      </c>
      <c r="AO15" s="2685">
        <v>154.39851223000002</v>
      </c>
      <c r="AP15" s="2685">
        <v>135.40763834000001</v>
      </c>
      <c r="AQ15" s="2685">
        <v>198.07188681</v>
      </c>
      <c r="AR15" s="2685">
        <v>126.59522910000001</v>
      </c>
      <c r="AS15" s="2685">
        <v>150.84449430999999</v>
      </c>
      <c r="AT15" s="2685">
        <v>162.74188365000003</v>
      </c>
      <c r="AU15" s="2685">
        <v>164.49673319999999</v>
      </c>
      <c r="AV15" s="2685">
        <v>163.62766462999997</v>
      </c>
      <c r="AW15" s="2685">
        <v>172.66457023999999</v>
      </c>
      <c r="AX15" s="2685">
        <v>134.78201322999996</v>
      </c>
      <c r="AY15" s="2685">
        <v>146.16603488000001</v>
      </c>
      <c r="AZ15" s="2685">
        <v>154.80724961999994</v>
      </c>
      <c r="BA15" s="2685">
        <v>158.50427366000002</v>
      </c>
      <c r="BB15" s="2685">
        <v>161.91662781999997</v>
      </c>
      <c r="BC15" s="2685">
        <v>159.59387422</v>
      </c>
      <c r="BD15" s="2685">
        <v>117.25199542000001</v>
      </c>
      <c r="BE15" s="2685">
        <v>129.45984655000001</v>
      </c>
      <c r="BF15" s="2685">
        <v>134.73078520999996</v>
      </c>
      <c r="BG15" s="2685">
        <v>140.02408560999999</v>
      </c>
      <c r="BH15" s="2685">
        <v>139.35857369000001</v>
      </c>
      <c r="BI15" s="2685">
        <v>152.22108252999999</v>
      </c>
      <c r="BJ15" s="2685">
        <v>115.15130846999999</v>
      </c>
      <c r="BK15" s="2685">
        <v>126.01319054</v>
      </c>
      <c r="BL15" s="2685">
        <v>127.1554088</v>
      </c>
      <c r="BM15" s="2685">
        <v>371.52363643000001</v>
      </c>
      <c r="BN15" s="2685">
        <v>379.96656151999991</v>
      </c>
      <c r="BO15" s="2685">
        <v>3704.0103747000003</v>
      </c>
      <c r="BP15" s="2686">
        <v>3664.27348949</v>
      </c>
      <c r="BQ15" s="2686">
        <v>3670.1731644900001</v>
      </c>
      <c r="BR15" s="2686">
        <v>3675.21057273</v>
      </c>
      <c r="BS15" s="2686">
        <v>3683.2173269999998</v>
      </c>
      <c r="BT15" s="2686">
        <v>3657.3844738899998</v>
      </c>
      <c r="BU15" s="2686">
        <v>3668.5319508899997</v>
      </c>
      <c r="BV15" s="2686">
        <v>3617.0592188099999</v>
      </c>
      <c r="BW15" s="2686">
        <v>3626.6453938499999</v>
      </c>
      <c r="BX15" s="2686">
        <v>3623.0380289999998</v>
      </c>
      <c r="BY15" s="2686">
        <v>3622.9704508099999</v>
      </c>
      <c r="BZ15" s="2686">
        <v>3621.55255085</v>
      </c>
      <c r="CA15" s="2686">
        <v>3760.6580941399998</v>
      </c>
      <c r="CB15" s="2686">
        <v>3749.1737147999997</v>
      </c>
      <c r="CC15" s="2686">
        <v>3761.8094959199998</v>
      </c>
      <c r="CD15" s="2686">
        <v>3762.2770625399999</v>
      </c>
      <c r="CE15" s="2686">
        <v>3758.5232117199998</v>
      </c>
      <c r="CF15" s="2686">
        <v>3767.8315939099998</v>
      </c>
      <c r="CG15" s="2686">
        <v>3786.0611617799996</v>
      </c>
      <c r="CH15" s="2687">
        <v>3776.0857908899998</v>
      </c>
      <c r="CI15" s="2687">
        <v>3765.93455279</v>
      </c>
      <c r="CJ15" s="2687">
        <v>3765.1976652000003</v>
      </c>
      <c r="CK15" s="2687">
        <v>3761.3297814900002</v>
      </c>
      <c r="CL15" s="2687">
        <v>3766.3030819800001</v>
      </c>
      <c r="CM15" s="2687">
        <v>3851.56925434</v>
      </c>
      <c r="CN15" s="2687">
        <v>3838.2095615300004</v>
      </c>
      <c r="CO15" s="2687">
        <v>3841.6459451600003</v>
      </c>
      <c r="CP15" s="2687">
        <v>3854.8684223200003</v>
      </c>
      <c r="CQ15" s="2687">
        <v>3851.2765629800001</v>
      </c>
      <c r="CR15" s="2687">
        <v>3841.4149903800003</v>
      </c>
      <c r="CS15" s="2687">
        <v>3843.0021967400003</v>
      </c>
      <c r="CT15" s="2687">
        <v>3829.80791262</v>
      </c>
      <c r="CU15" s="2687">
        <v>3850.1254325200002</v>
      </c>
      <c r="CV15" s="2687">
        <v>3837.4422250600001</v>
      </c>
      <c r="CW15" s="2656">
        <v>3832.0039649100004</v>
      </c>
      <c r="CX15" s="2656">
        <v>3838.5214351200002</v>
      </c>
      <c r="CY15" s="2656">
        <v>3939.3595319200003</v>
      </c>
      <c r="CZ15" s="2656">
        <v>3924.4904188699998</v>
      </c>
      <c r="DA15" s="2656">
        <v>3928.2821452100002</v>
      </c>
      <c r="DB15" s="2656">
        <v>3940.63574281</v>
      </c>
      <c r="DC15" s="2656">
        <v>3911.6779075099998</v>
      </c>
      <c r="DD15" s="2656">
        <v>3916.1275332999999</v>
      </c>
      <c r="DE15" s="2656">
        <v>3927.1168639899997</v>
      </c>
      <c r="DF15" s="2656">
        <v>3915.7525036699999</v>
      </c>
      <c r="DG15" s="2656">
        <v>3920.3112408100001</v>
      </c>
      <c r="DH15" s="2656">
        <v>3923.40452461</v>
      </c>
      <c r="DI15" s="2656">
        <v>3926.9384735599997</v>
      </c>
      <c r="DJ15" s="2656">
        <v>3935.6997193899997</v>
      </c>
      <c r="DK15" s="2656">
        <v>4040.11773928</v>
      </c>
      <c r="DL15" s="2656">
        <v>4022.36362465</v>
      </c>
      <c r="DM15" s="2656">
        <v>4023.9363366299999</v>
      </c>
      <c r="DN15" s="2656">
        <v>4030.76345545</v>
      </c>
      <c r="DO15" s="2656">
        <v>4034.9671928500002</v>
      </c>
      <c r="DP15" s="2656">
        <v>4030.7474261400002</v>
      </c>
      <c r="DQ15" s="2656">
        <v>4032.3685415700002</v>
      </c>
      <c r="DR15" s="2656">
        <v>4021.3580319799999</v>
      </c>
      <c r="DS15" s="2656">
        <v>4031.9189057100002</v>
      </c>
      <c r="DT15" s="2656">
        <v>4036.5619587200003</v>
      </c>
      <c r="DU15" s="2656">
        <v>4021.3721522400001</v>
      </c>
      <c r="DV15" s="2688">
        <v>4021.8372684700003</v>
      </c>
      <c r="DW15" s="2688">
        <v>4119.7111005500001</v>
      </c>
      <c r="DX15" s="2688">
        <v>5379.726790910001</v>
      </c>
      <c r="DY15" s="2688">
        <v>5489.9843629499983</v>
      </c>
      <c r="DZ15" s="2688">
        <v>5645.9314230800037</v>
      </c>
      <c r="EA15" s="2688">
        <v>38584.592081740004</v>
      </c>
      <c r="EB15" s="2688">
        <v>38698.5757381</v>
      </c>
      <c r="EC15" s="2688">
        <v>40100.677529779998</v>
      </c>
      <c r="ED15" s="2688">
        <v>40111.402101599997</v>
      </c>
      <c r="EE15" s="2688">
        <v>40256.463010569998</v>
      </c>
      <c r="EF15" s="2688">
        <v>40239.019081019993</v>
      </c>
      <c r="EG15" s="2688">
        <v>87597.159286900001</v>
      </c>
      <c r="EH15" s="2688">
        <v>87788.728449970004</v>
      </c>
      <c r="EI15" s="2688">
        <v>88054.309445469989</v>
      </c>
      <c r="EJ15" s="2688">
        <v>88057.297381139986</v>
      </c>
      <c r="EK15" s="2688">
        <v>88081.807422400001</v>
      </c>
      <c r="EL15" s="2688">
        <v>88889.634003129991</v>
      </c>
      <c r="EM15" s="2688">
        <v>89198.525933700002</v>
      </c>
      <c r="EN15" s="2688">
        <v>89507.860202960001</v>
      </c>
      <c r="EO15" s="2688">
        <v>89508.707200350007</v>
      </c>
      <c r="EP15" s="2688">
        <v>89826.16432228082</v>
      </c>
      <c r="EQ15" s="2688">
        <v>89829.787301900811</v>
      </c>
      <c r="ER15" s="2688">
        <v>89837.325174030819</v>
      </c>
      <c r="ES15" s="2688">
        <v>89868.21609728082</v>
      </c>
      <c r="ET15" s="2688">
        <v>90181.337959100812</v>
      </c>
      <c r="EU15" s="2688">
        <v>91958.455836370835</v>
      </c>
      <c r="EV15" s="2688">
        <v>91927.333663390818</v>
      </c>
      <c r="EW15" s="2688">
        <v>91403.723144600823</v>
      </c>
      <c r="EX15" s="2688">
        <v>91935.046033320818</v>
      </c>
      <c r="EY15" s="2688">
        <v>89904.214665480831</v>
      </c>
      <c r="EZ15" s="2688">
        <v>90329.781715560806</v>
      </c>
      <c r="FA15" s="2688">
        <v>90348.303897829988</v>
      </c>
      <c r="FB15" s="2688">
        <v>90298.761010880815</v>
      </c>
      <c r="FC15" s="2688">
        <v>90312.291817090823</v>
      </c>
      <c r="FD15" s="2688">
        <v>90318.32576011082</v>
      </c>
      <c r="FE15" s="2688">
        <v>90297.466251250808</v>
      </c>
      <c r="FF15" s="2688">
        <v>90603.791025100814</v>
      </c>
      <c r="FG15" s="2688">
        <v>90515.911626740824</v>
      </c>
      <c r="FH15" s="2688">
        <v>90910.892294140824</v>
      </c>
      <c r="FI15" s="2688">
        <v>90908.854385790808</v>
      </c>
      <c r="FJ15" s="2688">
        <v>90903.256726590815</v>
      </c>
      <c r="FM15" s="628"/>
    </row>
    <row r="16" spans="1:169" ht="17.25" customHeight="1" x14ac:dyDescent="0.3">
      <c r="A16" s="2683"/>
      <c r="B16" s="2696"/>
      <c r="C16" s="2696"/>
      <c r="D16" s="2696"/>
      <c r="E16" s="2696"/>
      <c r="F16" s="2696"/>
      <c r="G16" s="2696"/>
      <c r="H16" s="2696"/>
      <c r="I16" s="2696"/>
      <c r="J16" s="2696"/>
      <c r="K16" s="2696"/>
      <c r="L16" s="2696"/>
      <c r="M16" s="2696"/>
      <c r="N16" s="2696"/>
      <c r="O16" s="2696"/>
      <c r="P16" s="2696"/>
      <c r="Q16" s="2696"/>
      <c r="R16" s="2696"/>
      <c r="S16" s="2696"/>
      <c r="T16" s="2696"/>
      <c r="U16" s="2696"/>
      <c r="V16" s="2696"/>
      <c r="W16" s="2696"/>
      <c r="X16" s="2696"/>
      <c r="Y16" s="2696"/>
      <c r="Z16" s="2696"/>
      <c r="AA16" s="2696"/>
      <c r="AB16" s="2696"/>
      <c r="AC16" s="2696"/>
      <c r="AD16" s="2696"/>
      <c r="AE16" s="2696"/>
      <c r="AF16" s="2696"/>
      <c r="AG16" s="2696"/>
      <c r="AH16" s="2696"/>
      <c r="AI16" s="2696"/>
      <c r="AJ16" s="2696"/>
      <c r="AK16" s="2696"/>
      <c r="AL16" s="2696"/>
      <c r="AM16" s="2696"/>
      <c r="AN16" s="2697"/>
      <c r="AO16" s="2697"/>
      <c r="AP16" s="2697"/>
      <c r="AQ16" s="2697"/>
      <c r="AR16" s="2697"/>
      <c r="AS16" s="2697"/>
      <c r="AT16" s="2697"/>
      <c r="AU16" s="2697"/>
      <c r="AV16" s="2697"/>
      <c r="AW16" s="2697"/>
      <c r="AX16" s="2697"/>
      <c r="AY16" s="2697"/>
      <c r="AZ16" s="2697"/>
      <c r="BA16" s="2697"/>
      <c r="BB16" s="2697"/>
      <c r="BC16" s="2697"/>
      <c r="BD16" s="2697"/>
      <c r="BE16" s="2697"/>
      <c r="BF16" s="2697"/>
      <c r="BG16" s="2697"/>
      <c r="BH16" s="2697"/>
      <c r="BI16" s="2697"/>
      <c r="BJ16" s="2697"/>
      <c r="BK16" s="2697"/>
      <c r="BL16" s="2697"/>
      <c r="BM16" s="2697"/>
      <c r="BN16" s="2697"/>
      <c r="BO16" s="2697"/>
      <c r="BP16" s="2698"/>
      <c r="BQ16" s="2698"/>
      <c r="BR16" s="2698"/>
      <c r="BS16" s="2698"/>
      <c r="BT16" s="2698"/>
      <c r="BU16" s="2698"/>
      <c r="BV16" s="2698"/>
      <c r="BW16" s="2698"/>
      <c r="BX16" s="2698"/>
      <c r="BY16" s="2698"/>
      <c r="BZ16" s="2698"/>
      <c r="CA16" s="2698"/>
      <c r="CB16" s="2698"/>
      <c r="CC16" s="2698"/>
      <c r="CD16" s="2698"/>
      <c r="CE16" s="2698"/>
      <c r="CF16" s="2698"/>
      <c r="CG16" s="2698"/>
      <c r="CH16" s="2699"/>
      <c r="CI16" s="2699"/>
      <c r="CJ16" s="2699"/>
      <c r="CK16" s="2699"/>
      <c r="CL16" s="2699"/>
      <c r="CM16" s="2699"/>
      <c r="CN16" s="2699"/>
      <c r="CO16" s="2699"/>
      <c r="CP16" s="2699"/>
      <c r="CQ16" s="2699"/>
      <c r="CR16" s="2699"/>
      <c r="CS16" s="2699"/>
      <c r="CT16" s="2699"/>
      <c r="CU16" s="2699"/>
      <c r="CV16" s="2699"/>
      <c r="CW16" s="2700"/>
      <c r="CX16" s="2700"/>
      <c r="CY16" s="2700"/>
      <c r="CZ16" s="2700"/>
      <c r="DA16" s="2700"/>
      <c r="DB16" s="2700"/>
      <c r="DC16" s="2700"/>
      <c r="DD16" s="2700"/>
      <c r="DE16" s="2700"/>
      <c r="DF16" s="2700"/>
      <c r="DG16" s="2700"/>
      <c r="DH16" s="2700"/>
      <c r="DI16" s="2700"/>
      <c r="DJ16" s="2700"/>
      <c r="DK16" s="2700"/>
      <c r="DL16" s="2700"/>
      <c r="DM16" s="2700"/>
      <c r="DN16" s="2700"/>
      <c r="DO16" s="2700"/>
      <c r="DP16" s="2700"/>
      <c r="DQ16" s="2700"/>
      <c r="DR16" s="2700"/>
      <c r="DS16" s="2700"/>
      <c r="DT16" s="2700"/>
      <c r="DU16" s="2700"/>
      <c r="DV16" s="2701"/>
      <c r="DW16" s="2701"/>
      <c r="DX16" s="2701"/>
      <c r="DY16" s="2701"/>
      <c r="DZ16" s="2701"/>
      <c r="EA16" s="2701"/>
      <c r="EB16" s="2701"/>
      <c r="EC16" s="2701"/>
      <c r="ED16" s="2701"/>
      <c r="EE16" s="2701"/>
      <c r="EF16" s="2701"/>
      <c r="EG16" s="2701"/>
      <c r="EH16" s="2701"/>
      <c r="EI16" s="2701"/>
      <c r="EJ16" s="2701"/>
      <c r="EK16" s="2701"/>
      <c r="EL16" s="2701"/>
      <c r="EM16" s="2701"/>
      <c r="EN16" s="2701"/>
      <c r="EO16" s="2701"/>
      <c r="EP16" s="2701"/>
      <c r="EQ16" s="2701"/>
      <c r="ER16" s="2701"/>
      <c r="ES16" s="2701"/>
      <c r="ET16" s="2701"/>
      <c r="EU16" s="2701"/>
      <c r="EV16" s="2701"/>
      <c r="EW16" s="2701"/>
      <c r="EX16" s="2701"/>
      <c r="EY16" s="2701"/>
      <c r="EZ16" s="2701"/>
      <c r="FA16" s="2701"/>
      <c r="FB16" s="2701"/>
      <c r="FC16" s="2701"/>
      <c r="FD16" s="2701"/>
      <c r="FE16" s="2701"/>
      <c r="FF16" s="2701"/>
      <c r="FG16" s="2701"/>
      <c r="FH16" s="2701"/>
      <c r="FI16" s="2701"/>
      <c r="FJ16" s="2701"/>
      <c r="FM16" s="628"/>
    </row>
    <row r="17" spans="1:169" ht="17.25" customHeight="1" x14ac:dyDescent="0.3">
      <c r="A17" s="2683" t="s">
        <v>2575</v>
      </c>
      <c r="B17" s="2684">
        <v>32306.578817460002</v>
      </c>
      <c r="C17" s="2684">
        <v>34188.331145164084</v>
      </c>
      <c r="D17" s="2684">
        <v>35018.925947288786</v>
      </c>
      <c r="E17" s="2684">
        <v>33972.916108010002</v>
      </c>
      <c r="F17" s="2684">
        <v>35004.952882689249</v>
      </c>
      <c r="G17" s="2684">
        <v>35648.822886965798</v>
      </c>
      <c r="H17" s="2684">
        <v>38111.517277910505</v>
      </c>
      <c r="I17" s="2684">
        <v>36422.298472737748</v>
      </c>
      <c r="J17" s="2684">
        <v>36444.26897664788</v>
      </c>
      <c r="K17" s="2684">
        <v>38868.215593856054</v>
      </c>
      <c r="L17" s="2684">
        <v>40023.459073151535</v>
      </c>
      <c r="M17" s="2684">
        <v>44935.527259780167</v>
      </c>
      <c r="N17" s="2684">
        <v>44220.858916383426</v>
      </c>
      <c r="O17" s="2684">
        <v>43457.966264730763</v>
      </c>
      <c r="P17" s="2684">
        <v>42616.030383652505</v>
      </c>
      <c r="Q17" s="2684">
        <v>43519.537135460872</v>
      </c>
      <c r="R17" s="2684">
        <v>41534.157818012638</v>
      </c>
      <c r="S17" s="2684">
        <v>42236.711520816105</v>
      </c>
      <c r="T17" s="2684">
        <v>42073.932665119974</v>
      </c>
      <c r="U17" s="2684">
        <v>44194.178057538316</v>
      </c>
      <c r="V17" s="2684">
        <v>42292.116241218129</v>
      </c>
      <c r="W17" s="2684">
        <v>42459.190507549785</v>
      </c>
      <c r="X17" s="2684">
        <v>41967.209032272607</v>
      </c>
      <c r="Y17" s="2684">
        <v>48280.871327637411</v>
      </c>
      <c r="Z17" s="2684">
        <v>43850.805226779208</v>
      </c>
      <c r="AA17" s="2684">
        <v>44901.044055009108</v>
      </c>
      <c r="AB17" s="2684">
        <v>44639.243475667608</v>
      </c>
      <c r="AC17" s="2684">
        <v>44527.063578133653</v>
      </c>
      <c r="AD17" s="2684">
        <v>44662.991762790327</v>
      </c>
      <c r="AE17" s="2684">
        <v>45910.968640197767</v>
      </c>
      <c r="AF17" s="2684">
        <v>46049.629763349993</v>
      </c>
      <c r="AG17" s="2684">
        <v>46185.34960224</v>
      </c>
      <c r="AH17" s="2684">
        <v>47267.960582840002</v>
      </c>
      <c r="AI17" s="2684">
        <v>46439.120953459998</v>
      </c>
      <c r="AJ17" s="2684">
        <v>45499.108851889992</v>
      </c>
      <c r="AK17" s="2684">
        <v>52622.930014159996</v>
      </c>
      <c r="AL17" s="2684">
        <v>50086.680641910003</v>
      </c>
      <c r="AM17" s="2684">
        <v>52362.476793820002</v>
      </c>
      <c r="AN17" s="2685">
        <v>51963.297140969997</v>
      </c>
      <c r="AO17" s="2685">
        <v>48815.614415420001</v>
      </c>
      <c r="AP17" s="2685">
        <v>52745.513655169998</v>
      </c>
      <c r="AQ17" s="2685">
        <v>53094.012917469998</v>
      </c>
      <c r="AR17" s="2685">
        <v>54156.365501669992</v>
      </c>
      <c r="AS17" s="2685">
        <v>51451.915537709996</v>
      </c>
      <c r="AT17" s="2685">
        <v>50185.234078640002</v>
      </c>
      <c r="AU17" s="2685">
        <v>51977.864655339996</v>
      </c>
      <c r="AV17" s="2685">
        <v>53757.247619950002</v>
      </c>
      <c r="AW17" s="2685">
        <v>62350.012214779999</v>
      </c>
      <c r="AX17" s="2685">
        <v>58668.6515592</v>
      </c>
      <c r="AY17" s="2685">
        <v>64091.710065689993</v>
      </c>
      <c r="AZ17" s="2685">
        <v>62483.452767250004</v>
      </c>
      <c r="BA17" s="2685">
        <v>62070.370892899999</v>
      </c>
      <c r="BB17" s="2685">
        <v>62582.034079030003</v>
      </c>
      <c r="BC17" s="2685">
        <v>62137.03930633</v>
      </c>
      <c r="BD17" s="2685">
        <v>64802.243488449996</v>
      </c>
      <c r="BE17" s="2685">
        <v>66521.777726829998</v>
      </c>
      <c r="BF17" s="2685">
        <v>63788.91463728001</v>
      </c>
      <c r="BG17" s="2685">
        <v>65201.016736970007</v>
      </c>
      <c r="BH17" s="2685">
        <v>63358.074917500002</v>
      </c>
      <c r="BI17" s="2685">
        <v>67933.588631679988</v>
      </c>
      <c r="BJ17" s="2685">
        <v>68888.095795009998</v>
      </c>
      <c r="BK17" s="2685">
        <v>70440.636755090003</v>
      </c>
      <c r="BL17" s="2685">
        <v>73577.833934157083</v>
      </c>
      <c r="BM17" s="2685">
        <v>75159.682994820003</v>
      </c>
      <c r="BN17" s="2685">
        <v>70803.746954400005</v>
      </c>
      <c r="BO17" s="2685">
        <v>71594.147533340001</v>
      </c>
      <c r="BP17" s="2686">
        <v>68773.183555700001</v>
      </c>
      <c r="BQ17" s="2686">
        <v>66569.861976040003</v>
      </c>
      <c r="BR17" s="2686">
        <v>66947.281883979987</v>
      </c>
      <c r="BS17" s="2686">
        <v>71167.770713139995</v>
      </c>
      <c r="BT17" s="2686">
        <v>70496.418338069998</v>
      </c>
      <c r="BU17" s="2686">
        <v>73569.047286450019</v>
      </c>
      <c r="BV17" s="2686">
        <v>74498.380112810002</v>
      </c>
      <c r="BW17" s="2686">
        <v>72917.527185889994</v>
      </c>
      <c r="BX17" s="2686">
        <v>69446.043452650003</v>
      </c>
      <c r="BY17" s="2686">
        <v>67413.995906790005</v>
      </c>
      <c r="BZ17" s="2686">
        <v>76072.559399120015</v>
      </c>
      <c r="CA17" s="2686">
        <v>70419.836853589994</v>
      </c>
      <c r="CB17" s="2686">
        <v>71811.108306740003</v>
      </c>
      <c r="CC17" s="2686">
        <v>72274.423068129996</v>
      </c>
      <c r="CD17" s="2686">
        <v>73083.794152372298</v>
      </c>
      <c r="CE17" s="2686">
        <v>71156.268825432286</v>
      </c>
      <c r="CF17" s="2686">
        <v>75050.0283712323</v>
      </c>
      <c r="CG17" s="2686">
        <v>82062.454314372284</v>
      </c>
      <c r="CH17" s="2687">
        <v>83073.876301282304</v>
      </c>
      <c r="CI17" s="2687">
        <v>79888.073268022301</v>
      </c>
      <c r="CJ17" s="2687">
        <v>76270.488560842292</v>
      </c>
      <c r="CK17" s="2687">
        <v>83832.736179042287</v>
      </c>
      <c r="CL17" s="2687">
        <v>83944.908098642292</v>
      </c>
      <c r="CM17" s="2687">
        <v>80702.470558452289</v>
      </c>
      <c r="CN17" s="2687">
        <v>82261.311799362287</v>
      </c>
      <c r="CO17" s="2687">
        <v>79068.213393302271</v>
      </c>
      <c r="CP17" s="2687">
        <v>85929.687596322285</v>
      </c>
      <c r="CQ17" s="2687">
        <v>82776.070675572293</v>
      </c>
      <c r="CR17" s="2687">
        <v>90055.720543022297</v>
      </c>
      <c r="CS17" s="2687">
        <v>102148.08102707227</v>
      </c>
      <c r="CT17" s="2687">
        <v>101146.4532061323</v>
      </c>
      <c r="CU17" s="2687">
        <v>100844.38988327001</v>
      </c>
      <c r="CV17" s="2687">
        <v>96927.471336200004</v>
      </c>
      <c r="CW17" s="2656">
        <v>96764.55682713</v>
      </c>
      <c r="CX17" s="2656">
        <v>99355.801623730003</v>
      </c>
      <c r="CY17" s="2656">
        <v>109048.86314920001</v>
      </c>
      <c r="CZ17" s="2656">
        <v>100660.04772514</v>
      </c>
      <c r="DA17" s="2656">
        <v>112956.84348928501</v>
      </c>
      <c r="DB17" s="2656">
        <v>99760.407825670001</v>
      </c>
      <c r="DC17" s="2656">
        <v>98097.455155949996</v>
      </c>
      <c r="DD17" s="2656">
        <v>103092.81229459001</v>
      </c>
      <c r="DE17" s="2656">
        <v>100867.11153924999</v>
      </c>
      <c r="DF17" s="2656">
        <v>102818.30863134001</v>
      </c>
      <c r="DG17" s="2656">
        <v>103484.58947791997</v>
      </c>
      <c r="DH17" s="2656">
        <v>101879.04529465</v>
      </c>
      <c r="DI17" s="2656">
        <v>103555.29581359999</v>
      </c>
      <c r="DJ17" s="2656">
        <v>108531.09996019001</v>
      </c>
      <c r="DK17" s="2656">
        <v>105729.95689803</v>
      </c>
      <c r="DL17" s="2656">
        <v>109852.72986275</v>
      </c>
      <c r="DM17" s="2656">
        <v>104721.8047168</v>
      </c>
      <c r="DN17" s="2656">
        <v>105737.83124584</v>
      </c>
      <c r="DO17" s="2656">
        <v>104610.96385879</v>
      </c>
      <c r="DP17" s="2656">
        <v>110785.70627631999</v>
      </c>
      <c r="DQ17" s="2656">
        <v>123351.49617376002</v>
      </c>
      <c r="DR17" s="2656">
        <v>117687.05444165999</v>
      </c>
      <c r="DS17" s="2656">
        <v>122047.23474776</v>
      </c>
      <c r="DT17" s="2656">
        <v>126402.72820919001</v>
      </c>
      <c r="DU17" s="2656">
        <v>132395.77679220002</v>
      </c>
      <c r="DV17" s="2688">
        <v>156851.00422211</v>
      </c>
      <c r="DW17" s="2688">
        <v>148346.77809906</v>
      </c>
      <c r="DX17" s="2688">
        <v>153873.26013765999</v>
      </c>
      <c r="DY17" s="2688">
        <v>137459.95647142001</v>
      </c>
      <c r="DZ17" s="2688">
        <v>135923.33982882</v>
      </c>
      <c r="EA17" s="2688">
        <v>178037.25319116001</v>
      </c>
      <c r="EB17" s="2688">
        <v>184213.58975858003</v>
      </c>
      <c r="EC17" s="2688">
        <v>194715.73296597999</v>
      </c>
      <c r="ED17" s="2688">
        <v>214151.32237446998</v>
      </c>
      <c r="EE17" s="2688">
        <v>195991.62394393003</v>
      </c>
      <c r="EF17" s="2688">
        <v>196250.02692538002</v>
      </c>
      <c r="EG17" s="2688">
        <v>235432.66699435998</v>
      </c>
      <c r="EH17" s="2688">
        <v>242527.10344161</v>
      </c>
      <c r="EI17" s="2688">
        <v>238940.32614782001</v>
      </c>
      <c r="EJ17" s="2688">
        <v>243110.72012456</v>
      </c>
      <c r="EK17" s="2688">
        <v>241688.64114866001</v>
      </c>
      <c r="EL17" s="2688">
        <v>259478.35074410311</v>
      </c>
      <c r="EM17" s="2688">
        <v>248055.04482666001</v>
      </c>
      <c r="EN17" s="2688">
        <v>250045.57459345</v>
      </c>
      <c r="EO17" s="2688">
        <v>263583.90975209</v>
      </c>
      <c r="EP17" s="2688">
        <v>234943.92992795561</v>
      </c>
      <c r="EQ17" s="2688">
        <v>228539.61849301</v>
      </c>
      <c r="ER17" s="2688">
        <v>248164.09587591561</v>
      </c>
      <c r="ES17" s="2688">
        <v>215684.19604951004</v>
      </c>
      <c r="ET17" s="2688">
        <v>205292.12414222001</v>
      </c>
      <c r="EU17" s="2688">
        <v>247231.96706224</v>
      </c>
      <c r="EV17" s="2688">
        <v>215274.61251648</v>
      </c>
      <c r="EW17" s="2688">
        <v>216750.65025109999</v>
      </c>
      <c r="EX17" s="2688">
        <v>230551.85570671811</v>
      </c>
      <c r="EY17" s="2688">
        <v>188928.4812944</v>
      </c>
      <c r="EZ17" s="2688">
        <v>177765.42426309999</v>
      </c>
      <c r="FA17" s="2688">
        <v>248164.08130338998</v>
      </c>
      <c r="FB17" s="2688">
        <v>183302.52351964999</v>
      </c>
      <c r="FC17" s="2688">
        <v>186319.62279741</v>
      </c>
      <c r="FD17" s="2688">
        <v>174826.90629076</v>
      </c>
      <c r="FE17" s="2688">
        <v>168633.77170903</v>
      </c>
      <c r="FF17" s="2688">
        <v>163148.18271093999</v>
      </c>
      <c r="FG17" s="2688">
        <v>161340.42389515002</v>
      </c>
      <c r="FH17" s="2688">
        <v>162584.33219921999</v>
      </c>
      <c r="FI17" s="2688">
        <v>162274.83313672</v>
      </c>
      <c r="FJ17" s="2688">
        <v>163023.54530003</v>
      </c>
      <c r="FM17" s="628"/>
    </row>
    <row r="18" spans="1:169" ht="17.25" customHeight="1" x14ac:dyDescent="0.3">
      <c r="A18" s="2689" t="s">
        <v>2576</v>
      </c>
      <c r="B18" s="2690">
        <v>18952.441887060002</v>
      </c>
      <c r="C18" s="2690">
        <v>18641.061393979999</v>
      </c>
      <c r="D18" s="2690">
        <v>18743.303560849996</v>
      </c>
      <c r="E18" s="2690">
        <v>18751.685785169997</v>
      </c>
      <c r="F18" s="2690">
        <v>18911.351549290001</v>
      </c>
      <c r="G18" s="2690">
        <v>18649.461355769999</v>
      </c>
      <c r="H18" s="2690">
        <v>18959.472219740001</v>
      </c>
      <c r="I18" s="2690">
        <v>19099.734956819997</v>
      </c>
      <c r="J18" s="2690">
        <v>19096.175257759998</v>
      </c>
      <c r="K18" s="2690">
        <v>19126.732547099997</v>
      </c>
      <c r="L18" s="2690">
        <v>19515.158774399999</v>
      </c>
      <c r="M18" s="2690">
        <v>22591.76147184</v>
      </c>
      <c r="N18" s="2690">
        <v>21236.65837347</v>
      </c>
      <c r="O18" s="2690">
        <v>20538.891013150002</v>
      </c>
      <c r="P18" s="2690">
        <v>20556.85096652</v>
      </c>
      <c r="Q18" s="2690">
        <v>20352.834272419997</v>
      </c>
      <c r="R18" s="2690">
        <v>20595.249062759998</v>
      </c>
      <c r="S18" s="2690">
        <v>20453.797603709998</v>
      </c>
      <c r="T18" s="2690">
        <v>20905.664051119998</v>
      </c>
      <c r="U18" s="2690">
        <v>21645.42161148</v>
      </c>
      <c r="V18" s="2690">
        <v>21156.80149025</v>
      </c>
      <c r="W18" s="2690">
        <v>21838.137164569998</v>
      </c>
      <c r="X18" s="2690">
        <v>21414.945182689997</v>
      </c>
      <c r="Y18" s="2690">
        <v>24469.755843179999</v>
      </c>
      <c r="Z18" s="2690">
        <v>22588.058014799997</v>
      </c>
      <c r="AA18" s="2690">
        <v>22171.260158819998</v>
      </c>
      <c r="AB18" s="2690">
        <v>21862.04674324</v>
      </c>
      <c r="AC18" s="2690">
        <v>21939.357956429998</v>
      </c>
      <c r="AD18" s="2690">
        <v>22081.98990434</v>
      </c>
      <c r="AE18" s="2690">
        <v>21745.491674569999</v>
      </c>
      <c r="AF18" s="2690">
        <v>22149.626996290001</v>
      </c>
      <c r="AG18" s="2690">
        <v>22572.425488049998</v>
      </c>
      <c r="AH18" s="2690">
        <v>22452.776109720002</v>
      </c>
      <c r="AI18" s="2690">
        <v>23032.897365330002</v>
      </c>
      <c r="AJ18" s="2690">
        <v>23216.152670249998</v>
      </c>
      <c r="AK18" s="2690">
        <v>26961.314001819999</v>
      </c>
      <c r="AL18" s="2690">
        <v>25163.105337090001</v>
      </c>
      <c r="AM18" s="2690">
        <v>24498.755108590001</v>
      </c>
      <c r="AN18" s="2691">
        <v>24955.023412139999</v>
      </c>
      <c r="AO18" s="2691">
        <v>24919.571457469996</v>
      </c>
      <c r="AP18" s="2691">
        <v>24588.03063723</v>
      </c>
      <c r="AQ18" s="2691">
        <v>24405.038596909999</v>
      </c>
      <c r="AR18" s="2691">
        <v>25220.77754155</v>
      </c>
      <c r="AS18" s="2691">
        <v>25317.262526309998</v>
      </c>
      <c r="AT18" s="2691">
        <v>24906.271864289996</v>
      </c>
      <c r="AU18" s="2691">
        <v>25514.94680301</v>
      </c>
      <c r="AV18" s="2691">
        <v>25355.99961635</v>
      </c>
      <c r="AW18" s="2691">
        <v>30127.65067585</v>
      </c>
      <c r="AX18" s="2691">
        <v>27335.793403099997</v>
      </c>
      <c r="AY18" s="2691">
        <v>26937.436175199997</v>
      </c>
      <c r="AZ18" s="2691">
        <v>26769.000060089998</v>
      </c>
      <c r="BA18" s="2691">
        <v>26721.178490309998</v>
      </c>
      <c r="BB18" s="2691">
        <v>26022.338344529999</v>
      </c>
      <c r="BC18" s="2691">
        <v>26344.899356469996</v>
      </c>
      <c r="BD18" s="2691">
        <v>27338.762973989997</v>
      </c>
      <c r="BE18" s="2691">
        <v>26980.232630539998</v>
      </c>
      <c r="BF18" s="2691">
        <v>26570.910404800001</v>
      </c>
      <c r="BG18" s="2691">
        <v>26596.024344789996</v>
      </c>
      <c r="BH18" s="2691">
        <v>27231.957308459998</v>
      </c>
      <c r="BI18" s="2691">
        <v>32530.922907949996</v>
      </c>
      <c r="BJ18" s="2691">
        <v>28693.542673849999</v>
      </c>
      <c r="BK18" s="2691">
        <v>28537.310704579999</v>
      </c>
      <c r="BL18" s="2691">
        <v>28235.79267477</v>
      </c>
      <c r="BM18" s="2691">
        <v>28891.639225089999</v>
      </c>
      <c r="BN18" s="2691">
        <v>28381.598166739997</v>
      </c>
      <c r="BO18" s="2691">
        <v>28401.159025539997</v>
      </c>
      <c r="BP18" s="2692">
        <v>29084.588811319998</v>
      </c>
      <c r="BQ18" s="2692">
        <v>28788.739345999998</v>
      </c>
      <c r="BR18" s="2692">
        <v>28816.358797509998</v>
      </c>
      <c r="BS18" s="2692">
        <v>29134.156574879999</v>
      </c>
      <c r="BT18" s="2692">
        <v>29138.429183199998</v>
      </c>
      <c r="BU18" s="2692">
        <v>33337.37905756</v>
      </c>
      <c r="BV18" s="2692">
        <v>31171.009461819998</v>
      </c>
      <c r="BW18" s="2692">
        <v>30647.284968779997</v>
      </c>
      <c r="BX18" s="2692">
        <v>30743.296292809999</v>
      </c>
      <c r="BY18" s="2692">
        <v>30447.59312302</v>
      </c>
      <c r="BZ18" s="2692">
        <v>30571.560486869999</v>
      </c>
      <c r="CA18" s="2692">
        <v>30580.84748371</v>
      </c>
      <c r="CB18" s="2692">
        <v>31022.94784166</v>
      </c>
      <c r="CC18" s="2692">
        <v>31154.782347649998</v>
      </c>
      <c r="CD18" s="2692">
        <v>31412.19991146</v>
      </c>
      <c r="CE18" s="2692">
        <v>31813.8796005</v>
      </c>
      <c r="CF18" s="2692">
        <v>31992.048036119999</v>
      </c>
      <c r="CG18" s="2692">
        <v>35918.397170519995</v>
      </c>
      <c r="CH18" s="2693">
        <v>34021.84120132</v>
      </c>
      <c r="CI18" s="2693">
        <v>33440.569531870002</v>
      </c>
      <c r="CJ18" s="2693">
        <v>33640.358126409999</v>
      </c>
      <c r="CK18" s="2693">
        <v>33183.677823489998</v>
      </c>
      <c r="CL18" s="2693">
        <v>32557.513193549999</v>
      </c>
      <c r="CM18" s="2693">
        <v>33563.811729280002</v>
      </c>
      <c r="CN18" s="2693">
        <v>33350.070714089998</v>
      </c>
      <c r="CO18" s="2693">
        <v>32925.326606149996</v>
      </c>
      <c r="CP18" s="2693">
        <v>33195.02502809</v>
      </c>
      <c r="CQ18" s="2693">
        <v>34800.521369850001</v>
      </c>
      <c r="CR18" s="2693">
        <v>34608.30036668</v>
      </c>
      <c r="CS18" s="2693">
        <v>38711.487522229996</v>
      </c>
      <c r="CT18" s="2693">
        <v>37136.068104809994</v>
      </c>
      <c r="CU18" s="2693">
        <v>36152.509834080003</v>
      </c>
      <c r="CV18" s="2693">
        <v>35151.823000780001</v>
      </c>
      <c r="CW18" s="2660">
        <v>34465.873527309996</v>
      </c>
      <c r="CX18" s="2660">
        <v>34209.282211720005</v>
      </c>
      <c r="CY18" s="2660">
        <v>33840.939583910003</v>
      </c>
      <c r="CZ18" s="2660">
        <v>34354.436784220001</v>
      </c>
      <c r="DA18" s="2660">
        <v>33981.630423590002</v>
      </c>
      <c r="DB18" s="2660">
        <v>33490.009091289998</v>
      </c>
      <c r="DC18" s="2660">
        <v>34513.611328470004</v>
      </c>
      <c r="DD18" s="2660">
        <v>34749.692863690005</v>
      </c>
      <c r="DE18" s="2660">
        <v>39340.472129850001</v>
      </c>
      <c r="DF18" s="2660">
        <v>37248.48744307</v>
      </c>
      <c r="DG18" s="2660">
        <v>35669.852744309996</v>
      </c>
      <c r="DH18" s="2660">
        <v>36175.575864860002</v>
      </c>
      <c r="DI18" s="2660">
        <v>36335.002560349996</v>
      </c>
      <c r="DJ18" s="2660">
        <v>36329.981773430001</v>
      </c>
      <c r="DK18" s="2660">
        <v>35893.39228421</v>
      </c>
      <c r="DL18" s="2660">
        <v>36452.5215704</v>
      </c>
      <c r="DM18" s="2660">
        <v>36472.006218720002</v>
      </c>
      <c r="DN18" s="2660">
        <v>35863.320522440001</v>
      </c>
      <c r="DO18" s="2660">
        <v>37885.514226650004</v>
      </c>
      <c r="DP18" s="2660">
        <v>37486.875528690005</v>
      </c>
      <c r="DQ18" s="2660">
        <v>42909.155061279998</v>
      </c>
      <c r="DR18" s="2660">
        <v>39910.772255479998</v>
      </c>
      <c r="DS18" s="2660">
        <v>39384.515622779996</v>
      </c>
      <c r="DT18" s="2660">
        <v>40531.515348909998</v>
      </c>
      <c r="DU18" s="2660">
        <v>42371.915842529997</v>
      </c>
      <c r="DV18" s="2694">
        <v>42552.193212419996</v>
      </c>
      <c r="DW18" s="2694">
        <v>41855.520518819998</v>
      </c>
      <c r="DX18" s="2694">
        <v>42116.495948699994</v>
      </c>
      <c r="DY18" s="2694">
        <v>41580.369955940005</v>
      </c>
      <c r="DZ18" s="2694">
        <v>41766.725282209998</v>
      </c>
      <c r="EA18" s="2694">
        <v>42101.064163249997</v>
      </c>
      <c r="EB18" s="2694">
        <v>42301.685575169999</v>
      </c>
      <c r="EC18" s="2694">
        <v>46561.469153729995</v>
      </c>
      <c r="ED18" s="2694">
        <v>44509.239605659997</v>
      </c>
      <c r="EE18" s="2694">
        <v>43570.631886510004</v>
      </c>
      <c r="EF18" s="2694">
        <v>44859.021304490001</v>
      </c>
      <c r="EG18" s="2694">
        <v>45474.997122109999</v>
      </c>
      <c r="EH18" s="2694">
        <v>45652.290638890001</v>
      </c>
      <c r="EI18" s="2694">
        <v>45253.418362540004</v>
      </c>
      <c r="EJ18" s="2694">
        <v>45396.058863369995</v>
      </c>
      <c r="EK18" s="2694">
        <v>45485.625681690006</v>
      </c>
      <c r="EL18" s="2694">
        <v>45203.814371940003</v>
      </c>
      <c r="EM18" s="2694">
        <v>46601.951965640001</v>
      </c>
      <c r="EN18" s="2694">
        <v>46807.790540039998</v>
      </c>
      <c r="EO18" s="2694">
        <v>50200.431737760002</v>
      </c>
      <c r="EP18" s="2694">
        <v>48639.714801449998</v>
      </c>
      <c r="EQ18" s="2694">
        <v>48611.263719930001</v>
      </c>
      <c r="ER18" s="2694">
        <v>48541.727019010003</v>
      </c>
      <c r="ES18" s="2694">
        <v>48689.346931010004</v>
      </c>
      <c r="ET18" s="2694">
        <v>48831.133845379998</v>
      </c>
      <c r="EU18" s="2694">
        <v>48687.141473080002</v>
      </c>
      <c r="EV18" s="2694">
        <v>49016.160588749997</v>
      </c>
      <c r="EW18" s="2694">
        <v>49284.513097319999</v>
      </c>
      <c r="EX18" s="2694">
        <v>49259.972189779997</v>
      </c>
      <c r="EY18" s="2694">
        <v>49605.813785729995</v>
      </c>
      <c r="EZ18" s="2694">
        <v>49671.25370044</v>
      </c>
      <c r="FA18" s="2694">
        <v>54641.723932839996</v>
      </c>
      <c r="FB18" s="2694">
        <v>52660.591759669995</v>
      </c>
      <c r="FC18" s="2694">
        <v>52443.415701170001</v>
      </c>
      <c r="FD18" s="2694">
        <v>52368.205912429999</v>
      </c>
      <c r="FE18" s="2694">
        <v>52379.285073710002</v>
      </c>
      <c r="FF18" s="2694">
        <v>52270.869680789998</v>
      </c>
      <c r="FG18" s="2694">
        <v>52226.330739780002</v>
      </c>
      <c r="FH18" s="2694">
        <v>52370.301967909996</v>
      </c>
      <c r="FI18" s="2694">
        <v>52804.042302589995</v>
      </c>
      <c r="FJ18" s="2694">
        <v>52968.305682639999</v>
      </c>
      <c r="FM18" s="628"/>
    </row>
    <row r="19" spans="1:169" ht="17.25" customHeight="1" x14ac:dyDescent="0.3">
      <c r="A19" s="2689" t="s">
        <v>2577</v>
      </c>
      <c r="B19" s="2690">
        <v>13180.361091909999</v>
      </c>
      <c r="C19" s="2690">
        <v>15445.119449369999</v>
      </c>
      <c r="D19" s="2690">
        <v>16168.046902009999</v>
      </c>
      <c r="E19" s="2690">
        <v>15124.25977701</v>
      </c>
      <c r="F19" s="2690">
        <v>16001.144004809998</v>
      </c>
      <c r="G19" s="2690">
        <v>16558.544007380002</v>
      </c>
      <c r="H19" s="2690">
        <v>19007.349950509997</v>
      </c>
      <c r="I19" s="2690">
        <v>17182.945034510001</v>
      </c>
      <c r="J19" s="2690">
        <v>17080.954378169998</v>
      </c>
      <c r="K19" s="2690">
        <v>19601.086913409999</v>
      </c>
      <c r="L19" s="2690">
        <v>20360.644917080001</v>
      </c>
      <c r="M19" s="2690">
        <v>22187.582204819999</v>
      </c>
      <c r="N19" s="2690">
        <v>22842.828379009999</v>
      </c>
      <c r="O19" s="2690">
        <v>22753.930035100002</v>
      </c>
      <c r="P19" s="2690">
        <v>21902.896262459999</v>
      </c>
      <c r="Q19" s="2690">
        <v>22996.164349359999</v>
      </c>
      <c r="R19" s="2690">
        <v>20819.986171249999</v>
      </c>
      <c r="S19" s="2690">
        <v>21555.850004669999</v>
      </c>
      <c r="T19" s="2690">
        <v>21020.661866890001</v>
      </c>
      <c r="U19" s="2690">
        <v>22403.703741509999</v>
      </c>
      <c r="V19" s="2690">
        <v>20956.707757559998</v>
      </c>
      <c r="W19" s="2690">
        <v>20392.186258429996</v>
      </c>
      <c r="X19" s="2690">
        <v>20406.316159820002</v>
      </c>
      <c r="Y19" s="2690">
        <v>23666.373667289998</v>
      </c>
      <c r="Z19" s="2690">
        <v>21128.55688815</v>
      </c>
      <c r="AA19" s="2690">
        <v>22606.986195919999</v>
      </c>
      <c r="AB19" s="2690">
        <v>22648.888231509998</v>
      </c>
      <c r="AC19" s="2690">
        <v>22462.387835019999</v>
      </c>
      <c r="AD19" s="2690">
        <v>22476.149191739998</v>
      </c>
      <c r="AE19" s="2690">
        <v>23977.369481069996</v>
      </c>
      <c r="AF19" s="2690">
        <v>23701.931139239998</v>
      </c>
      <c r="AG19" s="2690">
        <v>23541.113787940001</v>
      </c>
      <c r="AH19" s="2690">
        <v>24591.544820159997</v>
      </c>
      <c r="AI19" s="2690">
        <v>23167.60481945</v>
      </c>
      <c r="AJ19" s="2690">
        <v>22131.482146099999</v>
      </c>
      <c r="AK19" s="2690">
        <v>25515.138641540001</v>
      </c>
      <c r="AL19" s="2690">
        <v>24854.226564650002</v>
      </c>
      <c r="AM19" s="2690">
        <v>27797.761466790002</v>
      </c>
      <c r="AN19" s="2691">
        <v>26943.295328619999</v>
      </c>
      <c r="AO19" s="2691">
        <v>23830.458748830002</v>
      </c>
      <c r="AP19" s="2691">
        <v>28088.96964996</v>
      </c>
      <c r="AQ19" s="2691">
        <v>28377.491470929999</v>
      </c>
      <c r="AR19" s="2691">
        <v>28845.220740209999</v>
      </c>
      <c r="AS19" s="2691">
        <v>26045.912519270001</v>
      </c>
      <c r="AT19" s="2691">
        <v>25113.663529400004</v>
      </c>
      <c r="AU19" s="2691">
        <v>26366.097784619997</v>
      </c>
      <c r="AV19" s="2691">
        <v>28225.168882770002</v>
      </c>
      <c r="AW19" s="2691">
        <v>31894.798558349998</v>
      </c>
      <c r="AX19" s="2691">
        <v>31263.989790459997</v>
      </c>
      <c r="AY19" s="2691">
        <v>37062.201626349997</v>
      </c>
      <c r="AZ19" s="2691">
        <v>35626.74721275</v>
      </c>
      <c r="BA19" s="2691">
        <v>35263.900715039999</v>
      </c>
      <c r="BB19" s="2691">
        <v>36480.672927440006</v>
      </c>
      <c r="BC19" s="2691">
        <v>35505.536266570001</v>
      </c>
      <c r="BD19" s="2691">
        <v>37346.30601778</v>
      </c>
      <c r="BE19" s="2691">
        <v>39447.964838309999</v>
      </c>
      <c r="BF19" s="2691">
        <v>37043.045730330006</v>
      </c>
      <c r="BG19" s="2691">
        <v>38406.794046370007</v>
      </c>
      <c r="BH19" s="2691">
        <v>36009.536248050004</v>
      </c>
      <c r="BI19" s="2691">
        <v>35269.696321449999</v>
      </c>
      <c r="BJ19" s="2691">
        <v>40104.413002199995</v>
      </c>
      <c r="BK19" s="2691">
        <v>41805.112039910004</v>
      </c>
      <c r="BL19" s="2691">
        <v>45054.548004237091</v>
      </c>
      <c r="BM19" s="2691">
        <v>46161.870899910005</v>
      </c>
      <c r="BN19" s="2691">
        <v>42302.540231880004</v>
      </c>
      <c r="BO19" s="2691">
        <v>42987.27696255</v>
      </c>
      <c r="BP19" s="2692">
        <v>39385.219822699997</v>
      </c>
      <c r="BQ19" s="2692">
        <v>36807.436373129996</v>
      </c>
      <c r="BR19" s="2692">
        <v>37970.221436699998</v>
      </c>
      <c r="BS19" s="2692">
        <v>41922.34927662</v>
      </c>
      <c r="BT19" s="2692">
        <v>41263.81340811</v>
      </c>
      <c r="BU19" s="2692">
        <v>39962.347326120005</v>
      </c>
      <c r="BV19" s="2692">
        <v>43239.512165820001</v>
      </c>
      <c r="BW19" s="2692">
        <v>42176.046251020001</v>
      </c>
      <c r="BX19" s="2692">
        <v>38608.694038940004</v>
      </c>
      <c r="BY19" s="2692">
        <v>36805.113869389999</v>
      </c>
      <c r="BZ19" s="2692">
        <v>45411.241120620005</v>
      </c>
      <c r="CA19" s="2692">
        <v>39659.050252699992</v>
      </c>
      <c r="CB19" s="2692">
        <v>40641.943913030002</v>
      </c>
      <c r="CC19" s="2692">
        <v>40847.126320720003</v>
      </c>
      <c r="CD19" s="2692">
        <v>41470.56727</v>
      </c>
      <c r="CE19" s="2692">
        <v>39234.331478</v>
      </c>
      <c r="CF19" s="2692">
        <v>42934.689576000004</v>
      </c>
      <c r="CG19" s="2692">
        <v>45642.115197769999</v>
      </c>
      <c r="CH19" s="2693">
        <v>48951.913890610005</v>
      </c>
      <c r="CI19" s="2693">
        <v>46324.269419410004</v>
      </c>
      <c r="CJ19" s="2693">
        <v>42441.435363860001</v>
      </c>
      <c r="CK19" s="2693">
        <v>50524.902447699991</v>
      </c>
      <c r="CL19" s="2693">
        <v>51270.683553429997</v>
      </c>
      <c r="CM19" s="2693">
        <v>46984.148916220001</v>
      </c>
      <c r="CN19" s="2693">
        <v>48775.635459120007</v>
      </c>
      <c r="CO19" s="2693">
        <v>46023.509124389995</v>
      </c>
      <c r="CP19" s="2693">
        <v>52573.411807529999</v>
      </c>
      <c r="CQ19" s="2693">
        <v>47851.757256239995</v>
      </c>
      <c r="CR19" s="2693">
        <v>55350.635036970001</v>
      </c>
      <c r="CS19" s="2693">
        <v>63319.442593779997</v>
      </c>
      <c r="CT19" s="2693">
        <v>63907.960726270678</v>
      </c>
      <c r="CU19" s="2693">
        <v>64589.194299900002</v>
      </c>
      <c r="CV19" s="2693">
        <v>61684.655452080005</v>
      </c>
      <c r="CW19" s="2660">
        <v>62161.711645019997</v>
      </c>
      <c r="CX19" s="2660">
        <v>65056.358257800006</v>
      </c>
      <c r="CY19" s="2660">
        <v>75026.109037970004</v>
      </c>
      <c r="CZ19" s="2660">
        <v>66061.261849009999</v>
      </c>
      <c r="DA19" s="2660">
        <v>78886.824107995009</v>
      </c>
      <c r="DB19" s="2660">
        <v>66111.966410969995</v>
      </c>
      <c r="DC19" s="2660">
        <v>63491.167822060001</v>
      </c>
      <c r="DD19" s="2660">
        <v>68248.702641269992</v>
      </c>
      <c r="DE19" s="2660">
        <v>61401.321099070003</v>
      </c>
      <c r="DF19" s="2660">
        <v>65474.932045410009</v>
      </c>
      <c r="DG19" s="2660">
        <v>67717.134163858689</v>
      </c>
      <c r="DH19" s="2660">
        <v>65531.594309039996</v>
      </c>
      <c r="DI19" s="2660">
        <v>67107.099646510003</v>
      </c>
      <c r="DJ19" s="2660">
        <v>72113.999596050009</v>
      </c>
      <c r="DK19" s="2660">
        <v>69662.272514149998</v>
      </c>
      <c r="DL19" s="2660">
        <v>73260.279537859999</v>
      </c>
      <c r="DM19" s="2660">
        <v>68096.729228600001</v>
      </c>
      <c r="DN19" s="2660">
        <v>69723.013958799478</v>
      </c>
      <c r="DO19" s="2660">
        <v>66601.074179229996</v>
      </c>
      <c r="DP19" s="2660">
        <v>73118.439982059994</v>
      </c>
      <c r="DQ19" s="2660">
        <v>80233.224526130012</v>
      </c>
      <c r="DR19" s="2660">
        <v>77664.276133166772</v>
      </c>
      <c r="DS19" s="2660">
        <v>82527.919000330003</v>
      </c>
      <c r="DT19" s="2660">
        <v>85741.699121390004</v>
      </c>
      <c r="DU19" s="2660">
        <v>89819.763154839995</v>
      </c>
      <c r="DV19" s="2694">
        <v>114146.32523480999</v>
      </c>
      <c r="DW19" s="2694">
        <v>106333.6766491</v>
      </c>
      <c r="DX19" s="2694">
        <v>110725.45381096001</v>
      </c>
      <c r="DY19" s="2694">
        <v>94847.223145479991</v>
      </c>
      <c r="DZ19" s="2694">
        <v>93124.633783609999</v>
      </c>
      <c r="EA19" s="2694">
        <v>102102.07600891001</v>
      </c>
      <c r="EB19" s="2694">
        <v>108077.88781541001</v>
      </c>
      <c r="EC19" s="2694">
        <v>114822.24273725</v>
      </c>
      <c r="ED19" s="2694">
        <v>136395.09296280998</v>
      </c>
      <c r="EE19" s="2694">
        <v>119235.86102542</v>
      </c>
      <c r="EF19" s="2694">
        <v>119481.94308589</v>
      </c>
      <c r="EG19" s="2694">
        <v>111250.85803824999</v>
      </c>
      <c r="EH19" s="2694">
        <v>119047.64699972</v>
      </c>
      <c r="EI19" s="2694">
        <v>121752.69274627999</v>
      </c>
      <c r="EJ19" s="2694">
        <v>126917.80414119</v>
      </c>
      <c r="EK19" s="2694">
        <v>126033.27442997</v>
      </c>
      <c r="EL19" s="2694">
        <v>145435.1557261631</v>
      </c>
      <c r="EM19" s="2694">
        <v>132929.18596902001</v>
      </c>
      <c r="EN19" s="2694">
        <v>136076.72523841</v>
      </c>
      <c r="EO19" s="2694">
        <v>173544.46406533002</v>
      </c>
      <c r="EP19" s="2694">
        <v>146823.25957450562</v>
      </c>
      <c r="EQ19" s="2694">
        <v>142817.57007008002</v>
      </c>
      <c r="ER19" s="2694">
        <v>162972.30456390561</v>
      </c>
      <c r="ES19" s="2694">
        <v>130814.6745275</v>
      </c>
      <c r="ET19" s="2694">
        <v>120546.86218584001</v>
      </c>
      <c r="EU19" s="2694">
        <v>163512.81723715999</v>
      </c>
      <c r="EV19" s="2694">
        <v>131013.45033473001</v>
      </c>
      <c r="EW19" s="2694">
        <v>132814.72532778</v>
      </c>
      <c r="EX19" s="2694">
        <v>146767.71965893809</v>
      </c>
      <c r="EY19" s="2694">
        <v>105340.12706767001</v>
      </c>
      <c r="EZ19" s="2694">
        <v>94663.518157660001</v>
      </c>
      <c r="FA19" s="2694">
        <v>160738.11890554999</v>
      </c>
      <c r="FB19" s="2694">
        <v>97771.032146980011</v>
      </c>
      <c r="FC19" s="2694">
        <v>101088.43005724001</v>
      </c>
      <c r="FD19" s="2694">
        <v>89897.901281330007</v>
      </c>
      <c r="FE19" s="2694">
        <v>83961.675615320011</v>
      </c>
      <c r="FF19" s="2694">
        <v>78690.537324149991</v>
      </c>
      <c r="FG19" s="2694">
        <v>77510.39230236999</v>
      </c>
      <c r="FH19" s="2694">
        <v>78708.848941310003</v>
      </c>
      <c r="FI19" s="2694">
        <v>78240.908420129999</v>
      </c>
      <c r="FJ19" s="2694">
        <v>79602.316132389999</v>
      </c>
      <c r="FM19" s="628"/>
    </row>
    <row r="20" spans="1:169" ht="17.25" customHeight="1" x14ac:dyDescent="0.3">
      <c r="A20" s="2689" t="s">
        <v>2578</v>
      </c>
      <c r="B20" s="2690">
        <v>173.77583848999998</v>
      </c>
      <c r="C20" s="2690">
        <v>102.15030181408299</v>
      </c>
      <c r="D20" s="2690">
        <v>107.57548442879599</v>
      </c>
      <c r="E20" s="2690">
        <v>96.970545829999992</v>
      </c>
      <c r="F20" s="2690">
        <v>92.457328589252</v>
      </c>
      <c r="G20" s="2690">
        <v>440.817523815794</v>
      </c>
      <c r="H20" s="2690">
        <v>144.695107660503</v>
      </c>
      <c r="I20" s="2690">
        <v>139.61848140775101</v>
      </c>
      <c r="J20" s="2702">
        <v>267.13934071788196</v>
      </c>
      <c r="K20" s="2690">
        <v>140.39613334605099</v>
      </c>
      <c r="L20" s="2690">
        <v>147.65538167153198</v>
      </c>
      <c r="M20" s="2690">
        <v>156.18358312016798</v>
      </c>
      <c r="N20" s="2690">
        <v>141.37216390342701</v>
      </c>
      <c r="O20" s="2690">
        <v>165.14521648076197</v>
      </c>
      <c r="P20" s="2690">
        <v>156.283154672509</v>
      </c>
      <c r="Q20" s="2690">
        <v>170.538513680878</v>
      </c>
      <c r="R20" s="2690">
        <v>118.92258400263799</v>
      </c>
      <c r="S20" s="2690">
        <v>227.06391243610898</v>
      </c>
      <c r="T20" s="2690">
        <v>147.606747109975</v>
      </c>
      <c r="U20" s="2690">
        <v>145.05270454831998</v>
      </c>
      <c r="V20" s="2690">
        <v>178.60699340812801</v>
      </c>
      <c r="W20" s="2690">
        <v>228.86708454979401</v>
      </c>
      <c r="X20" s="2690">
        <v>145.94768976260698</v>
      </c>
      <c r="Y20" s="2690">
        <v>144.74181716741302</v>
      </c>
      <c r="Z20" s="2690">
        <v>134.190323829216</v>
      </c>
      <c r="AA20" s="2690">
        <v>122.79770026911299</v>
      </c>
      <c r="AB20" s="2690">
        <v>128.30850091761698</v>
      </c>
      <c r="AC20" s="2690">
        <v>125.31778668365899</v>
      </c>
      <c r="AD20" s="2690">
        <v>104.85266671033099</v>
      </c>
      <c r="AE20" s="2690">
        <v>188.10748455776599</v>
      </c>
      <c r="AF20" s="2690">
        <v>198.07162782</v>
      </c>
      <c r="AG20" s="2690">
        <v>71.810326250000003</v>
      </c>
      <c r="AH20" s="2690">
        <v>223.63965296000001</v>
      </c>
      <c r="AI20" s="2690">
        <v>238.61876867999996</v>
      </c>
      <c r="AJ20" s="2690">
        <v>151.47403553999999</v>
      </c>
      <c r="AK20" s="2690">
        <v>146.47737080000002</v>
      </c>
      <c r="AL20" s="2690">
        <v>69.348740169999985</v>
      </c>
      <c r="AM20" s="2690">
        <v>65.960218440000006</v>
      </c>
      <c r="AN20" s="2691">
        <v>64.97840020999999</v>
      </c>
      <c r="AO20" s="2691">
        <v>65.584209119999997</v>
      </c>
      <c r="AP20" s="2691">
        <v>68.513367979999998</v>
      </c>
      <c r="AQ20" s="2691">
        <v>311.48284962999998</v>
      </c>
      <c r="AR20" s="2691">
        <v>90.367219909999989</v>
      </c>
      <c r="AS20" s="2691">
        <v>88.740492129999993</v>
      </c>
      <c r="AT20" s="2691">
        <v>165.29868494999999</v>
      </c>
      <c r="AU20" s="2691">
        <v>96.820067709999989</v>
      </c>
      <c r="AV20" s="2691">
        <v>176.07912083000002</v>
      </c>
      <c r="AW20" s="2691">
        <v>327.56298057999999</v>
      </c>
      <c r="AX20" s="2691">
        <v>68.868365640000007</v>
      </c>
      <c r="AY20" s="2691">
        <v>92.072264139999987</v>
      </c>
      <c r="AZ20" s="2691">
        <v>87.70549441</v>
      </c>
      <c r="BA20" s="2691">
        <v>85.291687549999992</v>
      </c>
      <c r="BB20" s="2691">
        <v>79.022807060000005</v>
      </c>
      <c r="BC20" s="2691">
        <v>286.60368328999999</v>
      </c>
      <c r="BD20" s="2691">
        <v>117.17449668</v>
      </c>
      <c r="BE20" s="2691">
        <v>93.580257980000013</v>
      </c>
      <c r="BF20" s="2691">
        <v>174.95850214999999</v>
      </c>
      <c r="BG20" s="2691">
        <v>198.19834580999998</v>
      </c>
      <c r="BH20" s="2691">
        <v>116.58136098999999</v>
      </c>
      <c r="BI20" s="2691">
        <v>132.96940228</v>
      </c>
      <c r="BJ20" s="2691">
        <v>90.140118959999995</v>
      </c>
      <c r="BK20" s="2691">
        <v>98.214010599999995</v>
      </c>
      <c r="BL20" s="2691">
        <v>287.49325514999998</v>
      </c>
      <c r="BM20" s="2691">
        <v>106.17286981999999</v>
      </c>
      <c r="BN20" s="2691">
        <v>119.60855578000002</v>
      </c>
      <c r="BO20" s="2691">
        <v>205.71154525</v>
      </c>
      <c r="BP20" s="2692">
        <v>303.37492168</v>
      </c>
      <c r="BQ20" s="2692">
        <v>973.68625691</v>
      </c>
      <c r="BR20" s="2692">
        <v>160.70164977000002</v>
      </c>
      <c r="BS20" s="2692">
        <v>111.26486164000001</v>
      </c>
      <c r="BT20" s="2692">
        <v>94.175746759999996</v>
      </c>
      <c r="BU20" s="2692">
        <v>269.32090277000003</v>
      </c>
      <c r="BV20" s="2692">
        <v>87.858485169999994</v>
      </c>
      <c r="BW20" s="2692">
        <v>94.195966089999999</v>
      </c>
      <c r="BX20" s="2692">
        <v>94.053120899999996</v>
      </c>
      <c r="BY20" s="2692">
        <v>161.28891437999999</v>
      </c>
      <c r="BZ20" s="2692">
        <v>89.757791629999986</v>
      </c>
      <c r="CA20" s="2692">
        <v>179.93911718000001</v>
      </c>
      <c r="CB20" s="2692">
        <v>146.21655204999999</v>
      </c>
      <c r="CC20" s="2692">
        <v>272.51439976</v>
      </c>
      <c r="CD20" s="2692">
        <v>201.026970912292</v>
      </c>
      <c r="CE20" s="2692">
        <v>108.05774693229202</v>
      </c>
      <c r="CF20" s="2692">
        <v>123.29075911229199</v>
      </c>
      <c r="CG20" s="2692">
        <v>501.94194608229202</v>
      </c>
      <c r="CH20" s="2693">
        <v>100.121209352292</v>
      </c>
      <c r="CI20" s="2693">
        <v>123.23431674229201</v>
      </c>
      <c r="CJ20" s="2693">
        <v>188.695070572292</v>
      </c>
      <c r="CK20" s="2693">
        <v>124.155907852292</v>
      </c>
      <c r="CL20" s="2693">
        <v>116.71135166229199</v>
      </c>
      <c r="CM20" s="2693">
        <v>154.50991295229201</v>
      </c>
      <c r="CN20" s="2693">
        <v>135.60562615229202</v>
      </c>
      <c r="CO20" s="2693">
        <v>119.37766276229199</v>
      </c>
      <c r="CP20" s="2693">
        <v>161.25076070229198</v>
      </c>
      <c r="CQ20" s="2693">
        <v>123.792049482292</v>
      </c>
      <c r="CR20" s="2693">
        <v>96.785139372292008</v>
      </c>
      <c r="CS20" s="2693">
        <v>117.1509110622919</v>
      </c>
      <c r="CT20" s="2693">
        <v>102.42437505161277</v>
      </c>
      <c r="CU20" s="2693">
        <v>102.68574928999996</v>
      </c>
      <c r="CV20" s="2693">
        <v>90.992883340000006</v>
      </c>
      <c r="CW20" s="2660">
        <v>136.97165480000001</v>
      </c>
      <c r="CX20" s="2660">
        <v>90.161154210000007</v>
      </c>
      <c r="CY20" s="2660">
        <v>181.81452732</v>
      </c>
      <c r="CZ20" s="2660">
        <v>244.34909191</v>
      </c>
      <c r="DA20" s="2660">
        <v>88.388957700000006</v>
      </c>
      <c r="DB20" s="2660">
        <v>158.43232340999998</v>
      </c>
      <c r="DC20" s="2660">
        <v>92.67600542000001</v>
      </c>
      <c r="DD20" s="2660">
        <v>94.416789629999997</v>
      </c>
      <c r="DE20" s="2660">
        <v>125.31831032999997</v>
      </c>
      <c r="DF20" s="2660">
        <v>94.889142859999993</v>
      </c>
      <c r="DG20" s="2660">
        <v>97.602569751300095</v>
      </c>
      <c r="DH20" s="2660">
        <v>171.87512075000001</v>
      </c>
      <c r="DI20" s="2660">
        <v>113.19360673999999</v>
      </c>
      <c r="DJ20" s="2660">
        <v>87.118590710000007</v>
      </c>
      <c r="DK20" s="2660">
        <v>174.29209967000003</v>
      </c>
      <c r="DL20" s="2660">
        <v>139.92875448999999</v>
      </c>
      <c r="DM20" s="2660">
        <v>153.06926948</v>
      </c>
      <c r="DN20" s="2660">
        <v>151.49676460052194</v>
      </c>
      <c r="DO20" s="2660">
        <v>124.37545290999998</v>
      </c>
      <c r="DP20" s="2660">
        <v>180.39076556999999</v>
      </c>
      <c r="DQ20" s="2660">
        <v>209.11658635000001</v>
      </c>
      <c r="DR20" s="2660">
        <v>112.00605301321792</v>
      </c>
      <c r="DS20" s="2660">
        <v>134.80012464999999</v>
      </c>
      <c r="DT20" s="2660">
        <v>129.51373888999998</v>
      </c>
      <c r="DU20" s="2660">
        <v>204.09779483000003</v>
      </c>
      <c r="DV20" s="2694">
        <v>152.48577488000001</v>
      </c>
      <c r="DW20" s="2694">
        <v>157.5809311400001</v>
      </c>
      <c r="DX20" s="2694">
        <v>1031.3103779999999</v>
      </c>
      <c r="DY20" s="2694">
        <v>1032.36337</v>
      </c>
      <c r="DZ20" s="2694">
        <v>1031.980763</v>
      </c>
      <c r="EA20" s="2694">
        <v>33834.113019000004</v>
      </c>
      <c r="EB20" s="2694">
        <v>33834.016367999997</v>
      </c>
      <c r="EC20" s="2694">
        <v>33332.021075000004</v>
      </c>
      <c r="ED20" s="2694">
        <v>33246.989805999998</v>
      </c>
      <c r="EE20" s="2694">
        <v>33185.131032000005</v>
      </c>
      <c r="EF20" s="2694">
        <v>31909.062534999997</v>
      </c>
      <c r="EG20" s="2694">
        <v>78706.811833999993</v>
      </c>
      <c r="EH20" s="2694">
        <v>77827.165802999996</v>
      </c>
      <c r="EI20" s="2694">
        <v>71934.215039000002</v>
      </c>
      <c r="EJ20" s="2694">
        <v>70796.857119999986</v>
      </c>
      <c r="EK20" s="2694">
        <v>70169.741037</v>
      </c>
      <c r="EL20" s="2694">
        <v>68839.380646000005</v>
      </c>
      <c r="EM20" s="2694">
        <v>68523.906892000014</v>
      </c>
      <c r="EN20" s="2694">
        <v>67161.058815000011</v>
      </c>
      <c r="EO20" s="2694">
        <v>39839.013949</v>
      </c>
      <c r="EP20" s="2694">
        <v>39480.955552000007</v>
      </c>
      <c r="EQ20" s="2694">
        <v>37110.784702999998</v>
      </c>
      <c r="ER20" s="2694">
        <v>36650.064293000003</v>
      </c>
      <c r="ES20" s="2694">
        <v>36180.174591000003</v>
      </c>
      <c r="ET20" s="2694">
        <v>35914.128110999998</v>
      </c>
      <c r="EU20" s="2694">
        <v>35032.008352000004</v>
      </c>
      <c r="EV20" s="2694">
        <v>35245.001592999994</v>
      </c>
      <c r="EW20" s="2694">
        <v>34651.411825999996</v>
      </c>
      <c r="EX20" s="2694">
        <v>34524.163858</v>
      </c>
      <c r="EY20" s="2694">
        <v>33982.540440999997</v>
      </c>
      <c r="EZ20" s="2694">
        <v>33430.652405000001</v>
      </c>
      <c r="FA20" s="2694">
        <v>32784.238464999995</v>
      </c>
      <c r="FB20" s="2694">
        <v>32870.899613000001</v>
      </c>
      <c r="FC20" s="2694">
        <v>32787.777039000001</v>
      </c>
      <c r="FD20" s="2694">
        <v>32560.799097000003</v>
      </c>
      <c r="FE20" s="2694">
        <v>32292.811020000001</v>
      </c>
      <c r="FF20" s="2694">
        <v>32186.775706</v>
      </c>
      <c r="FG20" s="2694">
        <v>31603.700853000002</v>
      </c>
      <c r="FH20" s="2694">
        <v>31505.18129</v>
      </c>
      <c r="FI20" s="2694">
        <v>31229.882414</v>
      </c>
      <c r="FJ20" s="2694">
        <v>30452.923485000003</v>
      </c>
      <c r="FM20" s="628"/>
    </row>
    <row r="21" spans="1:169" s="2703" customFormat="1" ht="17.25" customHeight="1" x14ac:dyDescent="0.3">
      <c r="A21" s="2683"/>
      <c r="B21" s="2684"/>
      <c r="C21" s="2684"/>
      <c r="D21" s="2684"/>
      <c r="E21" s="2684"/>
      <c r="F21" s="2684"/>
      <c r="G21" s="2684"/>
      <c r="H21" s="2684"/>
      <c r="I21" s="2684"/>
      <c r="J21" s="2684"/>
      <c r="K21" s="2684"/>
      <c r="L21" s="2684"/>
      <c r="M21" s="2684"/>
      <c r="N21" s="2684"/>
      <c r="O21" s="2684"/>
      <c r="P21" s="2684"/>
      <c r="Q21" s="2684"/>
      <c r="R21" s="2684"/>
      <c r="S21" s="2684"/>
      <c r="T21" s="2684"/>
      <c r="U21" s="2684"/>
      <c r="V21" s="2684"/>
      <c r="W21" s="2684"/>
      <c r="X21" s="2684"/>
      <c r="Y21" s="2684"/>
      <c r="Z21" s="2684"/>
      <c r="AA21" s="2684"/>
      <c r="AB21" s="2684"/>
      <c r="AC21" s="2684"/>
      <c r="AD21" s="2684"/>
      <c r="AE21" s="2684"/>
      <c r="AF21" s="2684"/>
      <c r="AG21" s="2684"/>
      <c r="AH21" s="2684"/>
      <c r="AI21" s="2684"/>
      <c r="AJ21" s="2684"/>
      <c r="AK21" s="2684"/>
      <c r="AL21" s="2684"/>
      <c r="AM21" s="2684"/>
      <c r="AN21" s="2685"/>
      <c r="AO21" s="2685"/>
      <c r="AP21" s="2685"/>
      <c r="AQ21" s="2685"/>
      <c r="AR21" s="2685"/>
      <c r="AS21" s="2685"/>
      <c r="AT21" s="2685"/>
      <c r="AU21" s="2685"/>
      <c r="AV21" s="2685"/>
      <c r="AW21" s="2685"/>
      <c r="AX21" s="2685"/>
      <c r="AY21" s="2685"/>
      <c r="AZ21" s="2685"/>
      <c r="BA21" s="2685"/>
      <c r="BB21" s="2685"/>
      <c r="BC21" s="2685"/>
      <c r="BD21" s="2685"/>
      <c r="BE21" s="2685"/>
      <c r="BF21" s="2685"/>
      <c r="BG21" s="2685"/>
      <c r="BH21" s="2685"/>
      <c r="BI21" s="2685"/>
      <c r="BJ21" s="2685"/>
      <c r="BK21" s="2685"/>
      <c r="BL21" s="2685"/>
      <c r="BM21" s="2685"/>
      <c r="BN21" s="2685"/>
      <c r="BO21" s="2685"/>
      <c r="BP21" s="2686"/>
      <c r="BQ21" s="2686"/>
      <c r="BR21" s="2686"/>
      <c r="BS21" s="2686"/>
      <c r="BT21" s="2686"/>
      <c r="BU21" s="2686"/>
      <c r="BV21" s="2686"/>
      <c r="BW21" s="2686"/>
      <c r="BX21" s="2686"/>
      <c r="BY21" s="2686"/>
      <c r="BZ21" s="2686"/>
      <c r="CA21" s="2686"/>
      <c r="CB21" s="2686"/>
      <c r="CC21" s="2686"/>
      <c r="CD21" s="2686"/>
      <c r="CE21" s="2686"/>
      <c r="CF21" s="2686"/>
      <c r="CG21" s="2686"/>
      <c r="CH21" s="2687"/>
      <c r="CI21" s="2687"/>
      <c r="CJ21" s="2687"/>
      <c r="CK21" s="2687"/>
      <c r="CL21" s="2687"/>
      <c r="CM21" s="2687"/>
      <c r="CN21" s="2687"/>
      <c r="CO21" s="2687"/>
      <c r="CP21" s="2687"/>
      <c r="CQ21" s="2687"/>
      <c r="CR21" s="2687"/>
      <c r="CS21" s="2687"/>
      <c r="CT21" s="2687"/>
      <c r="CU21" s="2687"/>
      <c r="CV21" s="2687"/>
      <c r="CW21" s="2656"/>
      <c r="CX21" s="2656"/>
      <c r="CY21" s="2656"/>
      <c r="CZ21" s="2656"/>
      <c r="DA21" s="2656"/>
      <c r="DB21" s="2656"/>
      <c r="DC21" s="2656"/>
      <c r="DD21" s="2656"/>
      <c r="DE21" s="2656"/>
      <c r="DF21" s="2656"/>
      <c r="DG21" s="2656"/>
      <c r="DH21" s="2656"/>
      <c r="DI21" s="2656"/>
      <c r="DJ21" s="2656"/>
      <c r="DK21" s="2656"/>
      <c r="DL21" s="2656"/>
      <c r="DM21" s="2656"/>
      <c r="DN21" s="2656"/>
      <c r="DO21" s="2656"/>
      <c r="DP21" s="2656"/>
      <c r="DQ21" s="2656"/>
      <c r="DR21" s="2656"/>
      <c r="DS21" s="2656"/>
      <c r="DT21" s="2656"/>
      <c r="DU21" s="2656"/>
      <c r="DV21" s="2688"/>
      <c r="DW21" s="2688"/>
      <c r="DX21" s="2688"/>
      <c r="DY21" s="2688"/>
      <c r="DZ21" s="2688"/>
      <c r="EA21" s="2688"/>
      <c r="EB21" s="2688"/>
      <c r="EC21" s="2688"/>
      <c r="ED21" s="2688"/>
      <c r="EE21" s="2688"/>
      <c r="EF21" s="2688"/>
      <c r="EG21" s="2688"/>
      <c r="EH21" s="2688"/>
      <c r="EI21" s="2688"/>
      <c r="EJ21" s="2688"/>
      <c r="EK21" s="2688"/>
      <c r="EL21" s="2688"/>
      <c r="EM21" s="2688"/>
      <c r="EN21" s="2688"/>
      <c r="EO21" s="2688"/>
      <c r="EP21" s="2688"/>
      <c r="EQ21" s="2688"/>
      <c r="ER21" s="2688"/>
      <c r="ES21" s="2688"/>
      <c r="ET21" s="2688"/>
      <c r="EU21" s="2688"/>
      <c r="EV21" s="2688"/>
      <c r="EW21" s="2688"/>
      <c r="EX21" s="2688"/>
      <c r="EY21" s="2688"/>
      <c r="EZ21" s="2688"/>
      <c r="FA21" s="2688"/>
      <c r="FB21" s="2688"/>
      <c r="FC21" s="2688"/>
      <c r="FD21" s="2688"/>
      <c r="FE21" s="2688"/>
      <c r="FF21" s="2688"/>
      <c r="FG21" s="2688"/>
      <c r="FH21" s="2688"/>
      <c r="FI21" s="2688"/>
      <c r="FJ21" s="2688"/>
      <c r="FM21" s="628"/>
    </row>
    <row r="22" spans="1:169" s="2703" customFormat="1" ht="17.25" customHeight="1" x14ac:dyDescent="0.3">
      <c r="A22" s="2683" t="s">
        <v>2579</v>
      </c>
      <c r="B22" s="2684">
        <v>3.2826279999999999</v>
      </c>
      <c r="C22" s="2684">
        <v>3.314241</v>
      </c>
      <c r="D22" s="2684">
        <v>3000.9265999999998</v>
      </c>
      <c r="E22" s="2684">
        <v>1700.6814320000001</v>
      </c>
      <c r="F22" s="2684">
        <v>699.75814700000001</v>
      </c>
      <c r="G22" s="2684">
        <v>2000.7242080000001</v>
      </c>
      <c r="H22" s="2684">
        <v>2.2690159999999997</v>
      </c>
      <c r="I22" s="2684">
        <v>1341.8492100000001</v>
      </c>
      <c r="J22" s="2684">
        <v>5128.4740229999998</v>
      </c>
      <c r="K22" s="2684">
        <v>5128.1453949999996</v>
      </c>
      <c r="L22" s="2684">
        <v>5128.4205029999994</v>
      </c>
      <c r="M22" s="2684">
        <v>3601.2955139999999</v>
      </c>
      <c r="N22" s="2684">
        <v>4300.9844399999993</v>
      </c>
      <c r="O22" s="2684">
        <v>5521.2657589999999</v>
      </c>
      <c r="P22" s="2684">
        <v>5115.5879569999997</v>
      </c>
      <c r="Q22" s="2684">
        <v>5270.8159759999999</v>
      </c>
      <c r="R22" s="2684">
        <v>6179.4558196098806</v>
      </c>
      <c r="S22" s="2684">
        <v>7369.3783779999994</v>
      </c>
      <c r="T22" s="2684">
        <v>7978.472409</v>
      </c>
      <c r="U22" s="2684">
        <v>7701.2890559999996</v>
      </c>
      <c r="V22" s="2684">
        <v>6808.9861029999993</v>
      </c>
      <c r="W22" s="2684">
        <v>6824.6997160000001</v>
      </c>
      <c r="X22" s="2684">
        <v>6832.397766</v>
      </c>
      <c r="Y22" s="2684">
        <v>5539.7681860000002</v>
      </c>
      <c r="Z22" s="2684">
        <v>5990.9276864899994</v>
      </c>
      <c r="AA22" s="2684">
        <v>5995.4285614899991</v>
      </c>
      <c r="AB22" s="2684">
        <v>5880.2209123899993</v>
      </c>
      <c r="AC22" s="2684">
        <v>5617.2358228100002</v>
      </c>
      <c r="AD22" s="2684">
        <v>4989.6683796699999</v>
      </c>
      <c r="AE22" s="2684">
        <v>4898.3141219799991</v>
      </c>
      <c r="AF22" s="2684">
        <v>4786.2925804499992</v>
      </c>
      <c r="AG22" s="2684">
        <v>4084.3136649999997</v>
      </c>
      <c r="AH22" s="2684">
        <v>4135.2781543399997</v>
      </c>
      <c r="AI22" s="2684">
        <v>3748.6611679099997</v>
      </c>
      <c r="AJ22" s="2684">
        <v>3939.5502778099994</v>
      </c>
      <c r="AK22" s="2684">
        <v>3916.3288048000004</v>
      </c>
      <c r="AL22" s="2684">
        <v>6237.8790290799998</v>
      </c>
      <c r="AM22" s="2684">
        <v>5751.6014539199996</v>
      </c>
      <c r="AN22" s="2685">
        <v>7353.9181042099999</v>
      </c>
      <c r="AO22" s="2685">
        <v>8080.8819250000006</v>
      </c>
      <c r="AP22" s="2685">
        <v>9281.3911049365797</v>
      </c>
      <c r="AQ22" s="2685">
        <v>10206.952514282129</v>
      </c>
      <c r="AR22" s="2685">
        <v>9940.5944312645825</v>
      </c>
      <c r="AS22" s="2685">
        <v>11624.223345592512</v>
      </c>
      <c r="AT22" s="2685">
        <v>11740.110552437664</v>
      </c>
      <c r="AU22" s="2685">
        <v>11509.382800492676</v>
      </c>
      <c r="AV22" s="2685">
        <v>11328.958581691428</v>
      </c>
      <c r="AW22" s="2685">
        <v>10796.401029955146</v>
      </c>
      <c r="AX22" s="2685">
        <v>13159.013579677081</v>
      </c>
      <c r="AY22" s="2685">
        <v>13223.361749880189</v>
      </c>
      <c r="AZ22" s="2685">
        <v>15184.032388133219</v>
      </c>
      <c r="BA22" s="2685">
        <v>15739.714602155935</v>
      </c>
      <c r="BB22" s="2685">
        <v>17279.760604020215</v>
      </c>
      <c r="BC22" s="2685">
        <v>17166.046600573485</v>
      </c>
      <c r="BD22" s="2685">
        <v>15862.505260847705</v>
      </c>
      <c r="BE22" s="2685">
        <v>14261.453276729397</v>
      </c>
      <c r="BF22" s="2685">
        <v>13025.65777052753</v>
      </c>
      <c r="BG22" s="2685">
        <v>13481.572108107228</v>
      </c>
      <c r="BH22" s="2685">
        <v>17057.069495664175</v>
      </c>
      <c r="BI22" s="2685">
        <v>17351.425600456736</v>
      </c>
      <c r="BJ22" s="2685">
        <v>14907.784388520955</v>
      </c>
      <c r="BK22" s="2685">
        <v>14474.276758258571</v>
      </c>
      <c r="BL22" s="2685">
        <v>14541.500017705517</v>
      </c>
      <c r="BM22" s="2685">
        <v>14564.219112819235</v>
      </c>
      <c r="BN22" s="2685">
        <v>20095.352897952424</v>
      </c>
      <c r="BO22" s="2685">
        <v>24623.980044687807</v>
      </c>
      <c r="BP22" s="2686">
        <v>26273.529903376031</v>
      </c>
      <c r="BQ22" s="2686">
        <v>28800.780641014939</v>
      </c>
      <c r="BR22" s="2686">
        <v>28591.220205598358</v>
      </c>
      <c r="BS22" s="2686">
        <v>28187.013239747881</v>
      </c>
      <c r="BT22" s="2686">
        <v>27327.05551032706</v>
      </c>
      <c r="BU22" s="2686">
        <v>26747.791496216349</v>
      </c>
      <c r="BV22" s="2686">
        <v>29223.358555339888</v>
      </c>
      <c r="BW22" s="2686">
        <v>30337.122140116731</v>
      </c>
      <c r="BX22" s="2686">
        <v>31830.399108388759</v>
      </c>
      <c r="BY22" s="2686">
        <v>31539.297200289788</v>
      </c>
      <c r="BZ22" s="2686">
        <v>30592.244601761035</v>
      </c>
      <c r="CA22" s="2686">
        <v>35387.9123833372</v>
      </c>
      <c r="CB22" s="2686">
        <v>34420.2719087601</v>
      </c>
      <c r="CC22" s="2686">
        <v>32956.422640497112</v>
      </c>
      <c r="CD22" s="2686">
        <v>33638.82779749317</v>
      </c>
      <c r="CE22" s="2686">
        <v>33138.406274363457</v>
      </c>
      <c r="CF22" s="2686">
        <v>32949.286952276583</v>
      </c>
      <c r="CG22" s="2686">
        <v>33624.034285055066</v>
      </c>
      <c r="CH22" s="2687">
        <v>36307.833333464827</v>
      </c>
      <c r="CI22" s="2687">
        <v>36718.130081654352</v>
      </c>
      <c r="CJ22" s="2687">
        <v>36503.149052397901</v>
      </c>
      <c r="CK22" s="2687">
        <v>33916.381787532868</v>
      </c>
      <c r="CL22" s="2687">
        <v>37892.665699934689</v>
      </c>
      <c r="CM22" s="2687">
        <v>43635.168655418565</v>
      </c>
      <c r="CN22" s="2687">
        <v>48687.233252453385</v>
      </c>
      <c r="CO22" s="2687">
        <v>53438.932297255611</v>
      </c>
      <c r="CP22" s="2687">
        <v>53260.93385431941</v>
      </c>
      <c r="CQ22" s="2687">
        <v>53828.564905212537</v>
      </c>
      <c r="CR22" s="2687">
        <v>52561.939875595359</v>
      </c>
      <c r="CS22" s="2687">
        <v>53960.561558401583</v>
      </c>
      <c r="CT22" s="2687">
        <v>57371.319973997714</v>
      </c>
      <c r="CU22" s="2687">
        <v>63933.725537676575</v>
      </c>
      <c r="CV22" s="2687">
        <v>65899.621253774487</v>
      </c>
      <c r="CW22" s="2656">
        <v>66652.838774607444</v>
      </c>
      <c r="CX22" s="2656">
        <v>69365.085013525837</v>
      </c>
      <c r="CY22" s="2656">
        <v>65469.404282914693</v>
      </c>
      <c r="CZ22" s="2656">
        <v>63788.891137158484</v>
      </c>
      <c r="DA22" s="2656">
        <v>60755.60822587939</v>
      </c>
      <c r="DB22" s="2656">
        <v>64454.882017000666</v>
      </c>
      <c r="DC22" s="2656">
        <v>63676.396758006005</v>
      </c>
      <c r="DD22" s="2656">
        <v>60592.526197815045</v>
      </c>
      <c r="DE22" s="2656">
        <v>63233.06880581945</v>
      </c>
      <c r="DF22" s="2656">
        <v>62516.477372044028</v>
      </c>
      <c r="DG22" s="2656">
        <v>61797.009957016468</v>
      </c>
      <c r="DH22" s="2656">
        <v>63318.867177285014</v>
      </c>
      <c r="DI22" s="2656">
        <v>63771.333757470129</v>
      </c>
      <c r="DJ22" s="2656">
        <v>64426.440162364248</v>
      </c>
      <c r="DK22" s="2656">
        <v>76700.99095239758</v>
      </c>
      <c r="DL22" s="2656">
        <v>74967.426014028344</v>
      </c>
      <c r="DM22" s="2656">
        <v>75475.974871425249</v>
      </c>
      <c r="DN22" s="2656">
        <v>78692.206834001801</v>
      </c>
      <c r="DO22" s="2656">
        <v>80885.764189503287</v>
      </c>
      <c r="DP22" s="2656">
        <v>77495.582386649898</v>
      </c>
      <c r="DQ22" s="2656">
        <v>76629.925167072739</v>
      </c>
      <c r="DR22" s="2656">
        <v>89443.711316648827</v>
      </c>
      <c r="DS22" s="2656">
        <v>88535.124625788143</v>
      </c>
      <c r="DT22" s="2656">
        <v>84495.173491069349</v>
      </c>
      <c r="DU22" s="2656">
        <v>75361.281827836152</v>
      </c>
      <c r="DV22" s="2688">
        <v>61075.76986333853</v>
      </c>
      <c r="DW22" s="2688">
        <v>58199.919143826235</v>
      </c>
      <c r="DX22" s="2688">
        <v>64926.502875705461</v>
      </c>
      <c r="DY22" s="2688">
        <v>77121.261890462236</v>
      </c>
      <c r="DZ22" s="2688">
        <v>89771.403987248559</v>
      </c>
      <c r="EA22" s="2688">
        <v>84084.923196204007</v>
      </c>
      <c r="EB22" s="2688">
        <v>82860.064102877906</v>
      </c>
      <c r="EC22" s="2688">
        <v>88741.051674615504</v>
      </c>
      <c r="ED22" s="2688">
        <v>87295.214947268425</v>
      </c>
      <c r="EE22" s="2688">
        <v>86146.635283111944</v>
      </c>
      <c r="EF22" s="2688">
        <v>82686.250383824736</v>
      </c>
      <c r="EG22" s="2688">
        <v>98528.056534798539</v>
      </c>
      <c r="EH22" s="2688">
        <v>97771.813226170343</v>
      </c>
      <c r="EI22" s="2688">
        <v>87610.56793724648</v>
      </c>
      <c r="EJ22" s="2688">
        <v>91425.968498712289</v>
      </c>
      <c r="EK22" s="2688">
        <v>87583.847348758558</v>
      </c>
      <c r="EL22" s="2688">
        <v>78002.651552954441</v>
      </c>
      <c r="EM22" s="2688">
        <v>93277.3708398694</v>
      </c>
      <c r="EN22" s="2688">
        <v>87808.665735242321</v>
      </c>
      <c r="EO22" s="2688">
        <v>96930.870461731829</v>
      </c>
      <c r="EP22" s="2688">
        <v>84388.759507947587</v>
      </c>
      <c r="EQ22" s="2688">
        <v>91197.565454270953</v>
      </c>
      <c r="ER22" s="2688">
        <v>91878.060887788277</v>
      </c>
      <c r="ES22" s="2688">
        <v>84181.553319268714</v>
      </c>
      <c r="ET22" s="2688">
        <v>83339.09188262168</v>
      </c>
      <c r="EU22" s="2688">
        <v>80443.825190390009</v>
      </c>
      <c r="EV22" s="2688">
        <v>88406.161452754241</v>
      </c>
      <c r="EW22" s="2688">
        <v>86760.456168614779</v>
      </c>
      <c r="EX22" s="2688">
        <v>93772.479363061371</v>
      </c>
      <c r="EY22" s="2688">
        <v>96065.641452276919</v>
      </c>
      <c r="EZ22" s="2688">
        <v>89267.410635664681</v>
      </c>
      <c r="FA22" s="2688">
        <v>67827.25764404099</v>
      </c>
      <c r="FB22" s="2688">
        <v>110022.39106922371</v>
      </c>
      <c r="FC22" s="2688">
        <v>110538.20499171992</v>
      </c>
      <c r="FD22" s="2688">
        <v>110173.13744575261</v>
      </c>
      <c r="FE22" s="2688">
        <v>105349.53987794471</v>
      </c>
      <c r="FF22" s="2688">
        <v>102830.28844299277</v>
      </c>
      <c r="FG22" s="2688">
        <v>109688.17620676516</v>
      </c>
      <c r="FH22" s="2688">
        <v>118991.63582001357</v>
      </c>
      <c r="FI22" s="2688">
        <v>124423.51124774155</v>
      </c>
      <c r="FJ22" s="2688">
        <v>120529.04673313284</v>
      </c>
      <c r="FM22" s="628"/>
    </row>
    <row r="23" spans="1:169" s="2703" customFormat="1" ht="17.25" customHeight="1" x14ac:dyDescent="0.3">
      <c r="A23" s="2683"/>
      <c r="B23" s="2684"/>
      <c r="C23" s="2684"/>
      <c r="D23" s="2684"/>
      <c r="E23" s="2684"/>
      <c r="F23" s="2684"/>
      <c r="G23" s="2684"/>
      <c r="H23" s="2684"/>
      <c r="I23" s="2684"/>
      <c r="J23" s="2684"/>
      <c r="K23" s="2684"/>
      <c r="L23" s="2684"/>
      <c r="M23" s="2684"/>
      <c r="N23" s="2684"/>
      <c r="O23" s="2684"/>
      <c r="P23" s="2684"/>
      <c r="Q23" s="2684"/>
      <c r="R23" s="2684"/>
      <c r="S23" s="2684"/>
      <c r="T23" s="2684"/>
      <c r="U23" s="2684"/>
      <c r="V23" s="2684"/>
      <c r="W23" s="2684"/>
      <c r="X23" s="2684"/>
      <c r="Y23" s="2684"/>
      <c r="Z23" s="2684"/>
      <c r="AA23" s="2684"/>
      <c r="AB23" s="2684"/>
      <c r="AC23" s="2684"/>
      <c r="AD23" s="2684"/>
      <c r="AE23" s="2684"/>
      <c r="AF23" s="2684"/>
      <c r="AG23" s="2684"/>
      <c r="AH23" s="2684"/>
      <c r="AI23" s="2684"/>
      <c r="AJ23" s="2684"/>
      <c r="AK23" s="2684"/>
      <c r="AL23" s="2684"/>
      <c r="AM23" s="2684"/>
      <c r="AN23" s="2685"/>
      <c r="AO23" s="2685"/>
      <c r="AP23" s="2685"/>
      <c r="AQ23" s="2685"/>
      <c r="AR23" s="2685"/>
      <c r="AS23" s="2685"/>
      <c r="AT23" s="2685"/>
      <c r="AU23" s="2685"/>
      <c r="AV23" s="2685"/>
      <c r="AW23" s="2685"/>
      <c r="AX23" s="2685"/>
      <c r="AY23" s="2685"/>
      <c r="AZ23" s="2685"/>
      <c r="BA23" s="2685"/>
      <c r="BB23" s="2685"/>
      <c r="BC23" s="2685"/>
      <c r="BD23" s="2685"/>
      <c r="BE23" s="2685"/>
      <c r="BF23" s="2685"/>
      <c r="BG23" s="2685"/>
      <c r="BH23" s="2685"/>
      <c r="BI23" s="2685"/>
      <c r="BJ23" s="2685"/>
      <c r="BK23" s="2685"/>
      <c r="BL23" s="2685"/>
      <c r="BM23" s="2685"/>
      <c r="BN23" s="2685"/>
      <c r="BO23" s="2685"/>
      <c r="BP23" s="2686"/>
      <c r="BQ23" s="2686"/>
      <c r="BR23" s="2686"/>
      <c r="BS23" s="2686"/>
      <c r="BT23" s="2686"/>
      <c r="BU23" s="2686"/>
      <c r="BV23" s="2686"/>
      <c r="BW23" s="2686"/>
      <c r="BX23" s="2686"/>
      <c r="BY23" s="2686"/>
      <c r="BZ23" s="2686"/>
      <c r="CA23" s="2686"/>
      <c r="CB23" s="2686"/>
      <c r="CC23" s="2686"/>
      <c r="CD23" s="2686"/>
      <c r="CE23" s="2686"/>
      <c r="CF23" s="2686"/>
      <c r="CG23" s="2686"/>
      <c r="CH23" s="2687"/>
      <c r="CI23" s="2687"/>
      <c r="CJ23" s="2687"/>
      <c r="CK23" s="2687"/>
      <c r="CL23" s="2687"/>
      <c r="CM23" s="2687"/>
      <c r="CN23" s="2687"/>
      <c r="CO23" s="2687"/>
      <c r="CP23" s="2687"/>
      <c r="CQ23" s="2687"/>
      <c r="CR23" s="2687"/>
      <c r="CS23" s="2687"/>
      <c r="CT23" s="2687"/>
      <c r="CU23" s="2687"/>
      <c r="CV23" s="2687"/>
      <c r="CW23" s="2656"/>
      <c r="CX23" s="2656"/>
      <c r="CY23" s="2656"/>
      <c r="CZ23" s="2656"/>
      <c r="DA23" s="2656"/>
      <c r="DB23" s="2656"/>
      <c r="DC23" s="2656"/>
      <c r="DD23" s="2656"/>
      <c r="DE23" s="2656"/>
      <c r="DF23" s="2656"/>
      <c r="DG23" s="2656"/>
      <c r="DH23" s="2656"/>
      <c r="DI23" s="2656"/>
      <c r="DJ23" s="2656"/>
      <c r="DK23" s="2656"/>
      <c r="DL23" s="2656"/>
      <c r="DM23" s="2656"/>
      <c r="DN23" s="2656"/>
      <c r="DO23" s="2656"/>
      <c r="DP23" s="2656"/>
      <c r="DQ23" s="2656"/>
      <c r="DR23" s="2656"/>
      <c r="DS23" s="2656"/>
      <c r="DT23" s="2656"/>
      <c r="DU23" s="2656"/>
      <c r="DV23" s="2688"/>
      <c r="DW23" s="2688"/>
      <c r="DX23" s="2688"/>
      <c r="DY23" s="2688"/>
      <c r="DZ23" s="2688"/>
      <c r="EA23" s="2688"/>
      <c r="EB23" s="2688"/>
      <c r="EC23" s="2688"/>
      <c r="ED23" s="2688"/>
      <c r="EE23" s="2688"/>
      <c r="EF23" s="2688"/>
      <c r="EG23" s="2688"/>
      <c r="EH23" s="2688"/>
      <c r="EI23" s="2688"/>
      <c r="EJ23" s="2688"/>
      <c r="EK23" s="2688"/>
      <c r="EL23" s="2688"/>
      <c r="EM23" s="2688"/>
      <c r="EN23" s="2688"/>
      <c r="EO23" s="2688"/>
      <c r="EP23" s="2688"/>
      <c r="EQ23" s="2688"/>
      <c r="ER23" s="2688"/>
      <c r="ES23" s="2688"/>
      <c r="ET23" s="2688"/>
      <c r="EU23" s="2688"/>
      <c r="EV23" s="2688"/>
      <c r="EW23" s="2688"/>
      <c r="EX23" s="2688"/>
      <c r="EY23" s="2688"/>
      <c r="EZ23" s="2688"/>
      <c r="FA23" s="2688"/>
      <c r="FB23" s="2688"/>
      <c r="FC23" s="2688"/>
      <c r="FD23" s="2688"/>
      <c r="FE23" s="2688"/>
      <c r="FF23" s="2688"/>
      <c r="FG23" s="2688"/>
      <c r="FH23" s="2688"/>
      <c r="FI23" s="2688"/>
      <c r="FJ23" s="2688"/>
      <c r="FM23" s="628"/>
    </row>
    <row r="24" spans="1:169" s="2703" customFormat="1" ht="33" x14ac:dyDescent="0.3">
      <c r="A24" s="2704" t="s">
        <v>2580</v>
      </c>
      <c r="B24" s="2705">
        <v>62.003889999999998</v>
      </c>
      <c r="C24" s="2705">
        <v>61.993389999999998</v>
      </c>
      <c r="D24" s="2705">
        <v>61.99539</v>
      </c>
      <c r="E24" s="2705">
        <v>61.996389999999998</v>
      </c>
      <c r="F24" s="2705">
        <v>61.997389999999996</v>
      </c>
      <c r="G24" s="2705">
        <v>61.998390000000001</v>
      </c>
      <c r="H24" s="2705">
        <v>61.998390000000001</v>
      </c>
      <c r="I24" s="2705">
        <v>365.74938999999989</v>
      </c>
      <c r="J24" s="2705">
        <v>564.16185600000006</v>
      </c>
      <c r="K24" s="2705">
        <v>564.16185600000006</v>
      </c>
      <c r="L24" s="2705">
        <v>564.16385600000012</v>
      </c>
      <c r="M24" s="2705">
        <v>539.38260600000012</v>
      </c>
      <c r="N24" s="2705">
        <v>584.35972200000015</v>
      </c>
      <c r="O24" s="2705">
        <v>625.02647699999989</v>
      </c>
      <c r="P24" s="2705">
        <v>771.01945599999976</v>
      </c>
      <c r="Q24" s="2705">
        <v>822.30668399999968</v>
      </c>
      <c r="R24" s="2705">
        <v>1030.0437029999998</v>
      </c>
      <c r="S24" s="2705">
        <v>1180.2707249999999</v>
      </c>
      <c r="T24" s="2705">
        <v>1489.618299</v>
      </c>
      <c r="U24" s="2705">
        <v>1414.4254760000001</v>
      </c>
      <c r="V24" s="2705">
        <v>1165.8708319999998</v>
      </c>
      <c r="W24" s="2705">
        <v>1215.9723699999997</v>
      </c>
      <c r="X24" s="2705">
        <v>1142.846683</v>
      </c>
      <c r="Y24" s="2705">
        <v>1042.3699159999999</v>
      </c>
      <c r="Z24" s="2705">
        <v>1055.4824745000003</v>
      </c>
      <c r="AA24" s="2705">
        <v>1056.08550081</v>
      </c>
      <c r="AB24" s="2705">
        <v>1056.3749241800003</v>
      </c>
      <c r="AC24" s="2705">
        <v>1032.7223669999998</v>
      </c>
      <c r="AD24" s="2705">
        <v>883.49187033999988</v>
      </c>
      <c r="AE24" s="2705">
        <v>897.48951968999984</v>
      </c>
      <c r="AF24" s="2705">
        <v>948.03980369000033</v>
      </c>
      <c r="AG24" s="2705">
        <v>852.04202469379311</v>
      </c>
      <c r="AH24" s="2705">
        <v>796.88497510000002</v>
      </c>
      <c r="AI24" s="2705">
        <v>695.16119835999996</v>
      </c>
      <c r="AJ24" s="2705">
        <v>770.52139621000003</v>
      </c>
      <c r="AK24" s="2705">
        <v>928.79317839999987</v>
      </c>
      <c r="AL24" s="2705">
        <v>1204.50673351</v>
      </c>
      <c r="AM24" s="2705">
        <v>1283.43921004</v>
      </c>
      <c r="AN24" s="2706">
        <v>2368.5927790199994</v>
      </c>
      <c r="AO24" s="2706">
        <v>2652.2967140000001</v>
      </c>
      <c r="AP24" s="2706">
        <v>2897.2</v>
      </c>
      <c r="AQ24" s="2706">
        <v>2852.3153352041854</v>
      </c>
      <c r="AR24" s="2706">
        <v>2682.8354653116812</v>
      </c>
      <c r="AS24" s="2706">
        <v>3063.3478014889333</v>
      </c>
      <c r="AT24" s="2706">
        <v>2729.3527674435081</v>
      </c>
      <c r="AU24" s="2706">
        <v>2678.7561026442336</v>
      </c>
      <c r="AV24" s="2706">
        <v>2640.4448789370972</v>
      </c>
      <c r="AW24" s="2706">
        <v>1887.1354017441981</v>
      </c>
      <c r="AX24" s="2706">
        <v>1635.1679341341976</v>
      </c>
      <c r="AY24" s="2706">
        <v>1584.4839756264835</v>
      </c>
      <c r="AZ24" s="2706">
        <v>1692.5927042698993</v>
      </c>
      <c r="BA24" s="2706">
        <v>1601.133600801779</v>
      </c>
      <c r="BB24" s="2706">
        <v>2004.7795418424303</v>
      </c>
      <c r="BC24" s="2706">
        <v>1965.2278182202012</v>
      </c>
      <c r="BD24" s="2706">
        <v>1990.9708004348461</v>
      </c>
      <c r="BE24" s="2706">
        <v>1904.623644527418</v>
      </c>
      <c r="BF24" s="2706">
        <v>1872.8621347535982</v>
      </c>
      <c r="BG24" s="2706">
        <v>1868.8457237385533</v>
      </c>
      <c r="BH24" s="2706">
        <v>1992.8949979506597</v>
      </c>
      <c r="BI24" s="2706">
        <v>2036.8401614148479</v>
      </c>
      <c r="BJ24" s="2706">
        <v>3163.4087173554772</v>
      </c>
      <c r="BK24" s="2706">
        <v>3189.5570864907531</v>
      </c>
      <c r="BL24" s="2706">
        <v>3087.5193163272429</v>
      </c>
      <c r="BM24" s="2706">
        <v>2252.1271572449555</v>
      </c>
      <c r="BN24" s="2706">
        <v>2115.4813792711375</v>
      </c>
      <c r="BO24" s="2706">
        <v>2053.7785681039545</v>
      </c>
      <c r="BP24" s="2707">
        <v>2351.4267905635106</v>
      </c>
      <c r="BQ24" s="2707">
        <v>2881.8421720452147</v>
      </c>
      <c r="BR24" s="2707">
        <v>2827.7135135511971</v>
      </c>
      <c r="BS24" s="2707">
        <v>2674.7453078037406</v>
      </c>
      <c r="BT24" s="2707">
        <v>2879.2245253702672</v>
      </c>
      <c r="BU24" s="2707">
        <v>3082.7616996985466</v>
      </c>
      <c r="BV24" s="2707">
        <v>3002.8336862852648</v>
      </c>
      <c r="BW24" s="2707">
        <v>3553.0095211976054</v>
      </c>
      <c r="BX24" s="2707">
        <v>3796.6493733561715</v>
      </c>
      <c r="BY24" s="2707">
        <v>3877.8923844726455</v>
      </c>
      <c r="BZ24" s="2707">
        <v>3776.5475284371455</v>
      </c>
      <c r="CA24" s="2707">
        <v>3921.37763678393</v>
      </c>
      <c r="CB24" s="2707">
        <v>3996.8846477329948</v>
      </c>
      <c r="CC24" s="2707">
        <v>3937.4150962567983</v>
      </c>
      <c r="CD24" s="2707">
        <v>4036.0437042756007</v>
      </c>
      <c r="CE24" s="2707">
        <v>4036.6767863762652</v>
      </c>
      <c r="CF24" s="2707">
        <v>4037.2894464780102</v>
      </c>
      <c r="CG24" s="2707">
        <v>4150.5624026704781</v>
      </c>
      <c r="CH24" s="2708">
        <v>3973.7259169115091</v>
      </c>
      <c r="CI24" s="2708">
        <v>4169.6383900958881</v>
      </c>
      <c r="CJ24" s="2708">
        <v>4279.9567608364268</v>
      </c>
      <c r="CK24" s="2708">
        <v>4234.3992616630085</v>
      </c>
      <c r="CL24" s="2708">
        <v>4143.4610001324409</v>
      </c>
      <c r="CM24" s="2708">
        <v>5013.3924183567851</v>
      </c>
      <c r="CN24" s="2708">
        <v>5463.6946131440645</v>
      </c>
      <c r="CO24" s="2708">
        <v>5069.1453780732763</v>
      </c>
      <c r="CP24" s="2708">
        <v>5040.4052785471713</v>
      </c>
      <c r="CQ24" s="2708">
        <v>5768.8226191048252</v>
      </c>
      <c r="CR24" s="2708">
        <v>5767.0298593663128</v>
      </c>
      <c r="CS24" s="2708">
        <v>5548.0922221127257</v>
      </c>
      <c r="CT24" s="2708">
        <v>5572.8027788044692</v>
      </c>
      <c r="CU24" s="2708">
        <v>7472.1979214217899</v>
      </c>
      <c r="CV24" s="2708">
        <v>12653.440833176315</v>
      </c>
      <c r="CW24" s="2709">
        <v>15569.217920907273</v>
      </c>
      <c r="CX24" s="2709">
        <v>17535.39787355217</v>
      </c>
      <c r="CY24" s="2709">
        <v>18316.197556227438</v>
      </c>
      <c r="CZ24" s="2709">
        <v>19948.690892076684</v>
      </c>
      <c r="DA24" s="2709">
        <v>19081.079615053666</v>
      </c>
      <c r="DB24" s="2709">
        <v>20417.455395741927</v>
      </c>
      <c r="DC24" s="2709">
        <v>20934.80233802833</v>
      </c>
      <c r="DD24" s="2709">
        <v>20322.126918436872</v>
      </c>
      <c r="DE24" s="2709">
        <v>21958.826736582279</v>
      </c>
      <c r="DF24" s="2709">
        <v>21909.354488168483</v>
      </c>
      <c r="DG24" s="2709">
        <v>23307.556695132324</v>
      </c>
      <c r="DH24" s="2709">
        <v>24887.761968793307</v>
      </c>
      <c r="DI24" s="2709">
        <v>25206.048890188154</v>
      </c>
      <c r="DJ24" s="2709">
        <v>24963.192136737729</v>
      </c>
      <c r="DK24" s="2709">
        <v>27041.766127601539</v>
      </c>
      <c r="DL24" s="2709">
        <v>27209.929716588522</v>
      </c>
      <c r="DM24" s="2709">
        <v>27118.46439988527</v>
      </c>
      <c r="DN24" s="2709">
        <v>26404.771621204462</v>
      </c>
      <c r="DO24" s="2709">
        <v>26854.280393734403</v>
      </c>
      <c r="DP24" s="2709">
        <v>26509.72901700341</v>
      </c>
      <c r="DQ24" s="2709">
        <v>26881.838433766399</v>
      </c>
      <c r="DR24" s="2709">
        <v>26918.334884899468</v>
      </c>
      <c r="DS24" s="2709">
        <v>24695.346084541266</v>
      </c>
      <c r="DT24" s="2709">
        <v>23483.824692072587</v>
      </c>
      <c r="DU24" s="2709">
        <v>22248.988200196385</v>
      </c>
      <c r="DV24" s="2710">
        <v>19328.726773379341</v>
      </c>
      <c r="DW24" s="2710">
        <v>19411.17055235989</v>
      </c>
      <c r="DX24" s="2710">
        <v>20161.207031202292</v>
      </c>
      <c r="DY24" s="2710">
        <v>19939.133964654444</v>
      </c>
      <c r="DZ24" s="2710">
        <v>20526.096078002556</v>
      </c>
      <c r="EA24" s="2710">
        <v>23103.481393427915</v>
      </c>
      <c r="EB24" s="2710">
        <v>23522.011055405441</v>
      </c>
      <c r="EC24" s="2710">
        <v>22009.865050959888</v>
      </c>
      <c r="ED24" s="2710">
        <v>22718.712076230393</v>
      </c>
      <c r="EE24" s="2710">
        <v>22106.757216745511</v>
      </c>
      <c r="EF24" s="2710">
        <v>18154.138401021097</v>
      </c>
      <c r="EG24" s="2710">
        <v>15916.198179757492</v>
      </c>
      <c r="EH24" s="2710">
        <v>15517.19735994722</v>
      </c>
      <c r="EI24" s="2710">
        <v>15854.285722143215</v>
      </c>
      <c r="EJ24" s="2710">
        <v>15422.514910491973</v>
      </c>
      <c r="EK24" s="2710">
        <v>15549.39679176455</v>
      </c>
      <c r="EL24" s="2710">
        <v>14988.685268832791</v>
      </c>
      <c r="EM24" s="2710">
        <v>14735.035600097279</v>
      </c>
      <c r="EN24" s="2710">
        <v>18652.29393611494</v>
      </c>
      <c r="EO24" s="2710">
        <v>18242.746214847506</v>
      </c>
      <c r="EP24" s="2710">
        <v>19896.761212497506</v>
      </c>
      <c r="EQ24" s="2710">
        <v>18557.421576478242</v>
      </c>
      <c r="ER24" s="2710">
        <v>18335.465454888785</v>
      </c>
      <c r="ES24" s="2710">
        <v>15926.32262196442</v>
      </c>
      <c r="ET24" s="2710">
        <v>15564.733617290003</v>
      </c>
      <c r="EU24" s="2710">
        <v>15090.990173716809</v>
      </c>
      <c r="EV24" s="2710">
        <v>15643.095649608265</v>
      </c>
      <c r="EW24" s="2710">
        <v>18314.453304268289</v>
      </c>
      <c r="EX24" s="2710">
        <v>17134.377171210494</v>
      </c>
      <c r="EY24" s="2710">
        <v>18924.14286047018</v>
      </c>
      <c r="EZ24" s="2710">
        <v>21482.18344198526</v>
      </c>
      <c r="FA24" s="2710">
        <v>20856.038588230433</v>
      </c>
      <c r="FB24" s="2710">
        <v>14856.779013835439</v>
      </c>
      <c r="FC24" s="2710">
        <v>15040.643018611021</v>
      </c>
      <c r="FD24" s="2710">
        <v>17751.906473084568</v>
      </c>
      <c r="FE24" s="2710">
        <v>20468.649946700985</v>
      </c>
      <c r="FF24" s="2710">
        <v>22790.196703278481</v>
      </c>
      <c r="FG24" s="2710">
        <v>23612.792273855139</v>
      </c>
      <c r="FH24" s="2710">
        <v>15167.187945854963</v>
      </c>
      <c r="FI24" s="2710">
        <v>15507.079761188765</v>
      </c>
      <c r="FJ24" s="2710">
        <v>16588.582778016862</v>
      </c>
      <c r="FM24" s="628"/>
    </row>
    <row r="25" spans="1:169" s="2703" customFormat="1" ht="17.25" customHeight="1" x14ac:dyDescent="0.3">
      <c r="A25" s="2689" t="s">
        <v>2581</v>
      </c>
      <c r="B25" s="2690">
        <v>0</v>
      </c>
      <c r="C25" s="2690">
        <v>0</v>
      </c>
      <c r="D25" s="2690">
        <v>0</v>
      </c>
      <c r="E25" s="2690">
        <v>0</v>
      </c>
      <c r="F25" s="2690">
        <v>0</v>
      </c>
      <c r="G25" s="2690">
        <v>0</v>
      </c>
      <c r="H25" s="2690">
        <v>0</v>
      </c>
      <c r="I25" s="2690">
        <v>0</v>
      </c>
      <c r="J25" s="2690">
        <v>0</v>
      </c>
      <c r="K25" s="2690">
        <v>0</v>
      </c>
      <c r="L25" s="2690">
        <v>0</v>
      </c>
      <c r="M25" s="2690">
        <v>0</v>
      </c>
      <c r="N25" s="2690">
        <v>0</v>
      </c>
      <c r="O25" s="2690">
        <v>0</v>
      </c>
      <c r="P25" s="2690">
        <v>0</v>
      </c>
      <c r="Q25" s="2690">
        <v>0</v>
      </c>
      <c r="R25" s="2690">
        <v>0</v>
      </c>
      <c r="S25" s="2690">
        <v>0</v>
      </c>
      <c r="T25" s="2690">
        <v>0</v>
      </c>
      <c r="U25" s="2690">
        <v>0</v>
      </c>
      <c r="V25" s="2690">
        <v>0</v>
      </c>
      <c r="W25" s="2690">
        <v>0</v>
      </c>
      <c r="X25" s="2690">
        <v>0</v>
      </c>
      <c r="Y25" s="2690">
        <v>0</v>
      </c>
      <c r="Z25" s="2690">
        <v>0</v>
      </c>
      <c r="AA25" s="2690">
        <v>0</v>
      </c>
      <c r="AB25" s="2690">
        <v>0</v>
      </c>
      <c r="AC25" s="2690">
        <v>0</v>
      </c>
      <c r="AD25" s="2690">
        <v>0</v>
      </c>
      <c r="AE25" s="2690">
        <v>0</v>
      </c>
      <c r="AF25" s="2690">
        <v>0</v>
      </c>
      <c r="AG25" s="2690">
        <v>0</v>
      </c>
      <c r="AH25" s="2690">
        <v>0</v>
      </c>
      <c r="AI25" s="2690">
        <v>0</v>
      </c>
      <c r="AJ25" s="2690">
        <v>0</v>
      </c>
      <c r="AK25" s="2690">
        <v>0</v>
      </c>
      <c r="AL25" s="2690">
        <v>0</v>
      </c>
      <c r="AM25" s="2690">
        <v>0</v>
      </c>
      <c r="AN25" s="2691">
        <v>0</v>
      </c>
      <c r="AO25" s="2691">
        <v>0</v>
      </c>
      <c r="AP25" s="2691">
        <v>0</v>
      </c>
      <c r="AQ25" s="2691">
        <v>0</v>
      </c>
      <c r="AR25" s="2691">
        <v>0</v>
      </c>
      <c r="AS25" s="2691">
        <v>0</v>
      </c>
      <c r="AT25" s="2691">
        <v>0</v>
      </c>
      <c r="AU25" s="2691">
        <v>0</v>
      </c>
      <c r="AV25" s="2691">
        <v>0</v>
      </c>
      <c r="AW25" s="2691">
        <v>0</v>
      </c>
      <c r="AX25" s="2691">
        <v>0</v>
      </c>
      <c r="AY25" s="2691">
        <v>0</v>
      </c>
      <c r="AZ25" s="2691">
        <v>0</v>
      </c>
      <c r="BA25" s="2691">
        <v>0</v>
      </c>
      <c r="BB25" s="2691">
        <v>0</v>
      </c>
      <c r="BC25" s="2691">
        <v>0</v>
      </c>
      <c r="BD25" s="2691">
        <v>0</v>
      </c>
      <c r="BE25" s="2691">
        <v>0</v>
      </c>
      <c r="BF25" s="2691">
        <v>0</v>
      </c>
      <c r="BG25" s="2691">
        <v>0</v>
      </c>
      <c r="BH25" s="2691">
        <v>0</v>
      </c>
      <c r="BI25" s="2691">
        <v>0</v>
      </c>
      <c r="BJ25" s="2691">
        <v>0</v>
      </c>
      <c r="BK25" s="2691">
        <v>0</v>
      </c>
      <c r="BL25" s="2691">
        <v>0</v>
      </c>
      <c r="BM25" s="2691">
        <v>0</v>
      </c>
      <c r="BN25" s="2691">
        <v>0</v>
      </c>
      <c r="BO25" s="2691">
        <v>0</v>
      </c>
      <c r="BP25" s="2692">
        <v>0</v>
      </c>
      <c r="BQ25" s="2692">
        <v>0</v>
      </c>
      <c r="BR25" s="2692">
        <v>0</v>
      </c>
      <c r="BS25" s="2692">
        <v>0</v>
      </c>
      <c r="BT25" s="2692">
        <v>0</v>
      </c>
      <c r="BU25" s="2692">
        <v>0</v>
      </c>
      <c r="BV25" s="2692">
        <v>0</v>
      </c>
      <c r="BW25" s="2692">
        <v>0</v>
      </c>
      <c r="BX25" s="2692">
        <v>0</v>
      </c>
      <c r="BY25" s="2692">
        <v>0</v>
      </c>
      <c r="BZ25" s="2692">
        <v>0</v>
      </c>
      <c r="CA25" s="2692">
        <v>0</v>
      </c>
      <c r="CB25" s="2692">
        <v>0</v>
      </c>
      <c r="CC25" s="2692">
        <v>0</v>
      </c>
      <c r="CD25" s="2692">
        <v>0</v>
      </c>
      <c r="CE25" s="2692">
        <v>0</v>
      </c>
      <c r="CF25" s="2692">
        <v>0</v>
      </c>
      <c r="CG25" s="2692">
        <v>0</v>
      </c>
      <c r="CH25" s="2693">
        <v>0</v>
      </c>
      <c r="CI25" s="2693">
        <v>0</v>
      </c>
      <c r="CJ25" s="2693">
        <v>0</v>
      </c>
      <c r="CK25" s="2693">
        <v>0</v>
      </c>
      <c r="CL25" s="2693">
        <v>0</v>
      </c>
      <c r="CM25" s="2693">
        <v>0</v>
      </c>
      <c r="CN25" s="2693">
        <v>0</v>
      </c>
      <c r="CO25" s="2693">
        <v>0</v>
      </c>
      <c r="CP25" s="2693">
        <v>0</v>
      </c>
      <c r="CQ25" s="2693">
        <v>0</v>
      </c>
      <c r="CR25" s="2693">
        <v>0</v>
      </c>
      <c r="CS25" s="2693">
        <v>0</v>
      </c>
      <c r="CT25" s="2693">
        <v>0</v>
      </c>
      <c r="CU25" s="2693">
        <v>0</v>
      </c>
      <c r="CV25" s="2693">
        <v>0</v>
      </c>
      <c r="CW25" s="2660">
        <v>0</v>
      </c>
      <c r="CX25" s="2660">
        <v>0</v>
      </c>
      <c r="CY25" s="2660">
        <v>0</v>
      </c>
      <c r="CZ25" s="2660">
        <v>0</v>
      </c>
      <c r="DA25" s="2660">
        <v>0</v>
      </c>
      <c r="DB25" s="2660">
        <v>0</v>
      </c>
      <c r="DC25" s="2660">
        <v>0</v>
      </c>
      <c r="DD25" s="2660">
        <v>0</v>
      </c>
      <c r="DE25" s="2660">
        <v>0</v>
      </c>
      <c r="DF25" s="2660">
        <v>0</v>
      </c>
      <c r="DG25" s="2660">
        <v>0</v>
      </c>
      <c r="DH25" s="2660">
        <v>0</v>
      </c>
      <c r="DI25" s="2660">
        <v>0</v>
      </c>
      <c r="DJ25" s="2660">
        <v>0</v>
      </c>
      <c r="DK25" s="2660">
        <v>0</v>
      </c>
      <c r="DL25" s="2660">
        <v>0</v>
      </c>
      <c r="DM25" s="2660">
        <v>0</v>
      </c>
      <c r="DN25" s="2660">
        <v>0</v>
      </c>
      <c r="DO25" s="2660">
        <v>0</v>
      </c>
      <c r="DP25" s="2660">
        <v>0</v>
      </c>
      <c r="DQ25" s="2660">
        <v>0</v>
      </c>
      <c r="DR25" s="2660">
        <v>0</v>
      </c>
      <c r="DS25" s="2660">
        <v>0</v>
      </c>
      <c r="DT25" s="2660">
        <v>0</v>
      </c>
      <c r="DU25" s="2660">
        <v>0</v>
      </c>
      <c r="DV25" s="2694">
        <v>0</v>
      </c>
      <c r="DW25" s="2694">
        <v>0</v>
      </c>
      <c r="DX25" s="2694">
        <v>0</v>
      </c>
      <c r="DY25" s="2694">
        <v>0</v>
      </c>
      <c r="DZ25" s="2694">
        <v>0</v>
      </c>
      <c r="EA25" s="2694">
        <v>0</v>
      </c>
      <c r="EB25" s="2694">
        <v>0</v>
      </c>
      <c r="EC25" s="2694">
        <v>0</v>
      </c>
      <c r="ED25" s="2694">
        <v>0</v>
      </c>
      <c r="EE25" s="2694">
        <v>0</v>
      </c>
      <c r="EF25" s="2694">
        <v>0</v>
      </c>
      <c r="EG25" s="2694">
        <v>0</v>
      </c>
      <c r="EH25" s="2694">
        <v>0</v>
      </c>
      <c r="EI25" s="2694">
        <v>0</v>
      </c>
      <c r="EJ25" s="2694">
        <v>0</v>
      </c>
      <c r="EK25" s="2694">
        <v>0</v>
      </c>
      <c r="EL25" s="2694">
        <v>0</v>
      </c>
      <c r="EM25" s="2694">
        <v>0</v>
      </c>
      <c r="EN25" s="2694">
        <v>0</v>
      </c>
      <c r="EO25" s="2694">
        <v>0</v>
      </c>
      <c r="EP25" s="2694">
        <v>0</v>
      </c>
      <c r="EQ25" s="2694">
        <v>0</v>
      </c>
      <c r="ER25" s="2694">
        <v>0</v>
      </c>
      <c r="ES25" s="2694">
        <v>0</v>
      </c>
      <c r="ET25" s="2694">
        <v>0</v>
      </c>
      <c r="EU25" s="2694">
        <v>0</v>
      </c>
      <c r="EV25" s="2694">
        <v>0</v>
      </c>
      <c r="EW25" s="2694">
        <v>0</v>
      </c>
      <c r="EX25" s="2694">
        <v>0</v>
      </c>
      <c r="EY25" s="2694">
        <v>0</v>
      </c>
      <c r="EZ25" s="2694">
        <v>0</v>
      </c>
      <c r="FA25" s="2694">
        <v>0</v>
      </c>
      <c r="FB25" s="2694">
        <v>0</v>
      </c>
      <c r="FC25" s="2694">
        <v>0</v>
      </c>
      <c r="FD25" s="2694">
        <v>0</v>
      </c>
      <c r="FE25" s="2694">
        <v>0</v>
      </c>
      <c r="FF25" s="2694">
        <v>0</v>
      </c>
      <c r="FG25" s="2694">
        <v>0</v>
      </c>
      <c r="FH25" s="2694">
        <v>0</v>
      </c>
      <c r="FI25" s="2694">
        <v>0</v>
      </c>
      <c r="FJ25" s="2694">
        <v>0</v>
      </c>
      <c r="FM25" s="628"/>
    </row>
    <row r="26" spans="1:169" s="2703" customFormat="1" ht="17.25" customHeight="1" x14ac:dyDescent="0.3">
      <c r="A26" s="2689" t="s">
        <v>2582</v>
      </c>
      <c r="B26" s="2690">
        <v>0</v>
      </c>
      <c r="C26" s="2690">
        <v>0</v>
      </c>
      <c r="D26" s="2690">
        <v>0</v>
      </c>
      <c r="E26" s="2690">
        <v>0</v>
      </c>
      <c r="F26" s="2690">
        <v>0</v>
      </c>
      <c r="G26" s="2690">
        <v>0</v>
      </c>
      <c r="H26" s="2690">
        <v>0</v>
      </c>
      <c r="I26" s="2690">
        <v>303.74899999999991</v>
      </c>
      <c r="J26" s="2690">
        <v>502.16046600000004</v>
      </c>
      <c r="K26" s="2690">
        <v>502.16046600000004</v>
      </c>
      <c r="L26" s="2690">
        <v>502.16046600000004</v>
      </c>
      <c r="M26" s="2690">
        <v>477.37821600000007</v>
      </c>
      <c r="N26" s="2690">
        <v>522.35433200000011</v>
      </c>
      <c r="O26" s="2690">
        <v>563.02008699999988</v>
      </c>
      <c r="P26" s="2690">
        <v>709.01456599999983</v>
      </c>
      <c r="Q26" s="2690">
        <v>760.30179399999975</v>
      </c>
      <c r="R26" s="2690">
        <v>957.91281299999991</v>
      </c>
      <c r="S26" s="2690">
        <v>1111.7664229999998</v>
      </c>
      <c r="T26" s="2690">
        <v>1421.1139969999999</v>
      </c>
      <c r="U26" s="2690">
        <v>1345.9546740000001</v>
      </c>
      <c r="V26" s="2690">
        <v>1097.4000299999998</v>
      </c>
      <c r="W26" s="2690">
        <v>1147.5015679999997</v>
      </c>
      <c r="X26" s="2690">
        <v>1074.3758809999999</v>
      </c>
      <c r="Y26" s="2690">
        <v>973.89911399999983</v>
      </c>
      <c r="Z26" s="2690">
        <v>987.01167250000026</v>
      </c>
      <c r="AA26" s="2690">
        <v>987.61469880999994</v>
      </c>
      <c r="AB26" s="2690">
        <v>987.90412218000029</v>
      </c>
      <c r="AC26" s="2690">
        <v>964.24856999999986</v>
      </c>
      <c r="AD26" s="2690">
        <v>815.01807333999989</v>
      </c>
      <c r="AE26" s="2690">
        <v>829.00589168999988</v>
      </c>
      <c r="AF26" s="2690">
        <v>879.56600669000034</v>
      </c>
      <c r="AG26" s="2690">
        <v>783.56822769379312</v>
      </c>
      <c r="AH26" s="2690">
        <v>728.4015081</v>
      </c>
      <c r="AI26" s="2690">
        <v>626.68072635999999</v>
      </c>
      <c r="AJ26" s="2690">
        <v>702.04092421000007</v>
      </c>
      <c r="AK26" s="2690">
        <v>860.31270639999991</v>
      </c>
      <c r="AL26" s="2690">
        <v>1136.02626151</v>
      </c>
      <c r="AM26" s="2690">
        <v>1214.9587380400001</v>
      </c>
      <c r="AN26" s="2691">
        <v>2300.1123070199992</v>
      </c>
      <c r="AO26" s="2691">
        <v>2583.8162419999999</v>
      </c>
      <c r="AP26" s="2691">
        <v>2828.7816888536599</v>
      </c>
      <c r="AQ26" s="2691">
        <v>2783.8348632041857</v>
      </c>
      <c r="AR26" s="2691">
        <v>2614.354993311681</v>
      </c>
      <c r="AS26" s="2691">
        <v>2994.8673294889336</v>
      </c>
      <c r="AT26" s="2691">
        <v>2660.8722954435084</v>
      </c>
      <c r="AU26" s="2691">
        <v>2610.2756306442334</v>
      </c>
      <c r="AV26" s="2691">
        <v>2571.964406937097</v>
      </c>
      <c r="AW26" s="2691">
        <v>1818.6549297441982</v>
      </c>
      <c r="AX26" s="2691">
        <v>1566.6874621341976</v>
      </c>
      <c r="AY26" s="2691">
        <v>1518.7520036264834</v>
      </c>
      <c r="AZ26" s="2691">
        <v>1626.8607322698992</v>
      </c>
      <c r="BA26" s="2691">
        <v>1542.129128801779</v>
      </c>
      <c r="BB26" s="2691">
        <v>1945.7750698424302</v>
      </c>
      <c r="BC26" s="2691">
        <v>1906.2233462202012</v>
      </c>
      <c r="BD26" s="2691">
        <v>1931.966328434846</v>
      </c>
      <c r="BE26" s="2691">
        <v>1845.619172527418</v>
      </c>
      <c r="BF26" s="2691">
        <v>1813.8576627535981</v>
      </c>
      <c r="BG26" s="2691">
        <v>1809.8412517385532</v>
      </c>
      <c r="BH26" s="2691">
        <v>1933.8905259506596</v>
      </c>
      <c r="BI26" s="2691">
        <v>1977.8356894148478</v>
      </c>
      <c r="BJ26" s="2691">
        <v>3104.4042453554771</v>
      </c>
      <c r="BK26" s="2691">
        <v>3130.5526144907531</v>
      </c>
      <c r="BL26" s="2691">
        <v>3028.5484233272427</v>
      </c>
      <c r="BM26" s="2691">
        <v>2193.1226852449554</v>
      </c>
      <c r="BN26" s="2691">
        <v>2056.4769072711374</v>
      </c>
      <c r="BO26" s="2691">
        <v>1994.7740961039547</v>
      </c>
      <c r="BP26" s="2692">
        <v>2292.4223185635105</v>
      </c>
      <c r="BQ26" s="2692">
        <v>2822.8377000452147</v>
      </c>
      <c r="BR26" s="2692">
        <v>2768.742620551197</v>
      </c>
      <c r="BS26" s="2692">
        <v>2615.7408358037405</v>
      </c>
      <c r="BT26" s="2692">
        <v>2820.2200533702671</v>
      </c>
      <c r="BU26" s="2692">
        <v>3023.7572276985466</v>
      </c>
      <c r="BV26" s="2692">
        <v>2943.8292142852647</v>
      </c>
      <c r="BW26" s="2692">
        <v>3494.0050491976053</v>
      </c>
      <c r="BX26" s="2692">
        <v>3737.6449013561714</v>
      </c>
      <c r="BY26" s="2692">
        <v>3818.8879124726454</v>
      </c>
      <c r="BZ26" s="2692">
        <v>3717.5430564371454</v>
      </c>
      <c r="CA26" s="2692">
        <v>3862.37316478393</v>
      </c>
      <c r="CB26" s="2692">
        <v>3937.9001757329947</v>
      </c>
      <c r="CC26" s="2692">
        <v>3878.4306242567982</v>
      </c>
      <c r="CD26" s="2692">
        <v>3977.0592322756006</v>
      </c>
      <c r="CE26" s="2692">
        <v>3977.6923143762651</v>
      </c>
      <c r="CF26" s="2692">
        <v>3978.3049744780101</v>
      </c>
      <c r="CG26" s="2692">
        <v>4091.5779306704781</v>
      </c>
      <c r="CH26" s="2693">
        <v>3914.741444911509</v>
      </c>
      <c r="CI26" s="2693">
        <v>4110.653918095888</v>
      </c>
      <c r="CJ26" s="2693">
        <v>4220.9722888364267</v>
      </c>
      <c r="CK26" s="2693">
        <v>4175.4147896630084</v>
      </c>
      <c r="CL26" s="2693">
        <v>4084.4765281324408</v>
      </c>
      <c r="CM26" s="2693">
        <v>4954.407946356785</v>
      </c>
      <c r="CN26" s="2693">
        <v>5404.7101411440644</v>
      </c>
      <c r="CO26" s="2693">
        <v>5010.1609060732762</v>
      </c>
      <c r="CP26" s="2693">
        <v>4981.4208065471712</v>
      </c>
      <c r="CQ26" s="2693">
        <v>5709.8381471048251</v>
      </c>
      <c r="CR26" s="2693">
        <v>5708.0453873663128</v>
      </c>
      <c r="CS26" s="2693">
        <v>5489.1077501127256</v>
      </c>
      <c r="CT26" s="2693">
        <v>5513.8183068044691</v>
      </c>
      <c r="CU26" s="2693">
        <v>7413.2134494217898</v>
      </c>
      <c r="CV26" s="2693">
        <v>12594.456361176315</v>
      </c>
      <c r="CW26" s="2660">
        <v>15510.233448907273</v>
      </c>
      <c r="CX26" s="2660">
        <v>17476.41340155217</v>
      </c>
      <c r="CY26" s="2660">
        <v>18257.213084227438</v>
      </c>
      <c r="CZ26" s="2660">
        <v>19889.706420076684</v>
      </c>
      <c r="DA26" s="2660">
        <v>19022.095143053666</v>
      </c>
      <c r="DB26" s="2660">
        <v>20358.470923741927</v>
      </c>
      <c r="DC26" s="2660">
        <v>20875.81786602833</v>
      </c>
      <c r="DD26" s="2660">
        <v>20263.142446436872</v>
      </c>
      <c r="DE26" s="2660">
        <v>21899.842264582279</v>
      </c>
      <c r="DF26" s="2660">
        <v>21850.370016168483</v>
      </c>
      <c r="DG26" s="2660">
        <v>23248.572223132323</v>
      </c>
      <c r="DH26" s="2660">
        <v>24828.777496793307</v>
      </c>
      <c r="DI26" s="2660">
        <v>25147.064418188154</v>
      </c>
      <c r="DJ26" s="2660">
        <v>24904.207664737729</v>
      </c>
      <c r="DK26" s="2660">
        <v>26982.781655601539</v>
      </c>
      <c r="DL26" s="2660">
        <v>27150.945244588522</v>
      </c>
      <c r="DM26" s="2660">
        <v>27059.47992788527</v>
      </c>
      <c r="DN26" s="2660">
        <v>26345.787149204461</v>
      </c>
      <c r="DO26" s="2660">
        <v>26795.295921734403</v>
      </c>
      <c r="DP26" s="2660">
        <v>26450.778124003409</v>
      </c>
      <c r="DQ26" s="2660">
        <v>26822.853961766399</v>
      </c>
      <c r="DR26" s="2660">
        <v>26859.219633909466</v>
      </c>
      <c r="DS26" s="2660">
        <v>24636.230833551264</v>
      </c>
      <c r="DT26" s="2660">
        <v>23424.709441082585</v>
      </c>
      <c r="DU26" s="2660">
        <v>22177.866305366384</v>
      </c>
      <c r="DV26" s="2694">
        <v>19227.589534369341</v>
      </c>
      <c r="DW26" s="2694">
        <v>18843.372285949888</v>
      </c>
      <c r="DX26" s="2694">
        <v>19201.188432612289</v>
      </c>
      <c r="DY26" s="2694">
        <v>18736.923989354444</v>
      </c>
      <c r="DZ26" s="2694">
        <v>19016.635811612556</v>
      </c>
      <c r="EA26" s="2694">
        <v>21450.662145877915</v>
      </c>
      <c r="EB26" s="2694">
        <v>21751.216181135442</v>
      </c>
      <c r="EC26" s="2694">
        <v>20031.561868459889</v>
      </c>
      <c r="ED26" s="2694">
        <v>20614.299203660394</v>
      </c>
      <c r="EE26" s="2694">
        <v>19879.918539375511</v>
      </c>
      <c r="EF26" s="2694">
        <v>15883.987602071098</v>
      </c>
      <c r="EG26" s="2694">
        <v>13557.896337997492</v>
      </c>
      <c r="EH26" s="2694">
        <v>12828.920650047221</v>
      </c>
      <c r="EI26" s="2694">
        <v>12653.919407783216</v>
      </c>
      <c r="EJ26" s="2694">
        <v>12246.044642381974</v>
      </c>
      <c r="EK26" s="2694">
        <v>12373.695670944551</v>
      </c>
      <c r="EL26" s="2694">
        <v>11811.525493872792</v>
      </c>
      <c r="EM26" s="2694">
        <v>11554.23733883728</v>
      </c>
      <c r="EN26" s="2694">
        <v>15469.11639745494</v>
      </c>
      <c r="EO26" s="2694">
        <v>15054.262504957507</v>
      </c>
      <c r="EP26" s="2694">
        <v>16746.851276577505</v>
      </c>
      <c r="EQ26" s="2694">
        <v>15413.076274118244</v>
      </c>
      <c r="ER26" s="2694">
        <v>15188.962094308787</v>
      </c>
      <c r="ES26" s="2694">
        <v>12791.689213444421</v>
      </c>
      <c r="ET26" s="2694">
        <v>12456.371564930005</v>
      </c>
      <c r="EU26" s="2694">
        <v>12444.314617936809</v>
      </c>
      <c r="EV26" s="2694">
        <v>11188.363583198265</v>
      </c>
      <c r="EW26" s="2694">
        <v>10671.107364928288</v>
      </c>
      <c r="EX26" s="2694">
        <v>7362.5520215804936</v>
      </c>
      <c r="EY26" s="2694">
        <v>9264.6670586601813</v>
      </c>
      <c r="EZ26" s="2694">
        <v>11911.633529555258</v>
      </c>
      <c r="FA26" s="2694">
        <v>11555.727311760435</v>
      </c>
      <c r="FB26" s="2694">
        <v>5740.1505726454398</v>
      </c>
      <c r="FC26" s="2694">
        <v>6038.5554979610215</v>
      </c>
      <c r="FD26" s="2694">
        <v>8894.4755486745689</v>
      </c>
      <c r="FE26" s="2694">
        <v>9169.8648963834821</v>
      </c>
      <c r="FF26" s="2694">
        <v>11281.317329242669</v>
      </c>
      <c r="FG26" s="2694">
        <v>12680.494734395881</v>
      </c>
      <c r="FH26" s="2694">
        <v>4257.9446385535812</v>
      </c>
      <c r="FI26" s="2694">
        <v>4386.2872362574544</v>
      </c>
      <c r="FJ26" s="2694">
        <v>5045.203768528374</v>
      </c>
      <c r="FM26" s="628"/>
    </row>
    <row r="27" spans="1:169" s="2703" customFormat="1" ht="17.25" customHeight="1" x14ac:dyDescent="0.3">
      <c r="A27" s="2689" t="s">
        <v>2583</v>
      </c>
      <c r="B27" s="2690">
        <v>61.026910999999998</v>
      </c>
      <c r="C27" s="2690">
        <v>61.016410999999998</v>
      </c>
      <c r="D27" s="2690">
        <v>61.018411</v>
      </c>
      <c r="E27" s="2690">
        <v>61.019410999999998</v>
      </c>
      <c r="F27" s="2690">
        <v>61.020410999999996</v>
      </c>
      <c r="G27" s="2690">
        <v>61.021411000000001</v>
      </c>
      <c r="H27" s="2690">
        <v>61.021411000000001</v>
      </c>
      <c r="I27" s="2690">
        <v>61.023410999999996</v>
      </c>
      <c r="J27" s="2690">
        <v>61.024411000000001</v>
      </c>
      <c r="K27" s="2690">
        <v>61.024411000000001</v>
      </c>
      <c r="L27" s="2690">
        <v>61.026410999999996</v>
      </c>
      <c r="M27" s="2690">
        <v>61.027411000000001</v>
      </c>
      <c r="N27" s="2690">
        <v>61.028410999999998</v>
      </c>
      <c r="O27" s="2690">
        <v>61.029410999999996</v>
      </c>
      <c r="P27" s="2690">
        <v>61.030410999999994</v>
      </c>
      <c r="Q27" s="2690">
        <v>61.030410999999994</v>
      </c>
      <c r="R27" s="2690">
        <v>71.156410999999991</v>
      </c>
      <c r="S27" s="2690">
        <v>67.529822999999993</v>
      </c>
      <c r="T27" s="2690">
        <v>67.529822999999993</v>
      </c>
      <c r="U27" s="2690">
        <v>67.529822999999993</v>
      </c>
      <c r="V27" s="2690">
        <v>67.529822999999993</v>
      </c>
      <c r="W27" s="2690">
        <v>67.529822999999993</v>
      </c>
      <c r="X27" s="2690">
        <v>67.529822999999993</v>
      </c>
      <c r="Y27" s="2690">
        <v>67.529822999999993</v>
      </c>
      <c r="Z27" s="2690">
        <v>67.529822999999993</v>
      </c>
      <c r="AA27" s="2690">
        <v>67.529822999999993</v>
      </c>
      <c r="AB27" s="2690">
        <v>67.529822999999993</v>
      </c>
      <c r="AC27" s="2690">
        <v>67.532817999999992</v>
      </c>
      <c r="AD27" s="2690">
        <v>67.532817999999992</v>
      </c>
      <c r="AE27" s="2690">
        <v>67.542648999999997</v>
      </c>
      <c r="AF27" s="2690">
        <v>67.532817999999992</v>
      </c>
      <c r="AG27" s="2690">
        <v>67.532817999999992</v>
      </c>
      <c r="AH27" s="2690">
        <v>67.542487999999992</v>
      </c>
      <c r="AI27" s="2690">
        <v>67.539492999999993</v>
      </c>
      <c r="AJ27" s="2690">
        <v>67.539492999999993</v>
      </c>
      <c r="AK27" s="2690">
        <v>67.539492999999993</v>
      </c>
      <c r="AL27" s="2690">
        <v>67.539492999999993</v>
      </c>
      <c r="AM27" s="2690">
        <v>67.539492999999993</v>
      </c>
      <c r="AN27" s="2691">
        <v>67.539492999999993</v>
      </c>
      <c r="AO27" s="2691">
        <v>67.539492999999993</v>
      </c>
      <c r="AP27" s="2691">
        <v>67.539492999999993</v>
      </c>
      <c r="AQ27" s="2691">
        <v>67.539492999999993</v>
      </c>
      <c r="AR27" s="2691">
        <v>67.539492999999993</v>
      </c>
      <c r="AS27" s="2691">
        <v>67.539492999999993</v>
      </c>
      <c r="AT27" s="2691">
        <v>67.539492999999993</v>
      </c>
      <c r="AU27" s="2691">
        <v>67.539492999999993</v>
      </c>
      <c r="AV27" s="2691">
        <v>67.539492999999993</v>
      </c>
      <c r="AW27" s="2691">
        <v>67.539492999999993</v>
      </c>
      <c r="AX27" s="2691">
        <v>67.539492999999993</v>
      </c>
      <c r="AY27" s="2691">
        <v>64.790993</v>
      </c>
      <c r="AZ27" s="2691">
        <v>64.790993</v>
      </c>
      <c r="BA27" s="2691">
        <v>58.063493000000001</v>
      </c>
      <c r="BB27" s="2691">
        <v>58.063493000000001</v>
      </c>
      <c r="BC27" s="2691">
        <v>58.063493000000001</v>
      </c>
      <c r="BD27" s="2691">
        <v>58.063493000000001</v>
      </c>
      <c r="BE27" s="2691">
        <v>58.063493000000001</v>
      </c>
      <c r="BF27" s="2691">
        <v>58.063493000000001</v>
      </c>
      <c r="BG27" s="2691">
        <v>58.063493000000001</v>
      </c>
      <c r="BH27" s="2691">
        <v>58.063493000000001</v>
      </c>
      <c r="BI27" s="2691">
        <v>58.063493000000001</v>
      </c>
      <c r="BJ27" s="2691">
        <v>58.063493000000001</v>
      </c>
      <c r="BK27" s="2691">
        <v>58.063493000000001</v>
      </c>
      <c r="BL27" s="2691">
        <v>58.063493000000001</v>
      </c>
      <c r="BM27" s="2691">
        <v>58.063493000000001</v>
      </c>
      <c r="BN27" s="2691">
        <v>58.063493000000001</v>
      </c>
      <c r="BO27" s="2691">
        <v>58.063493000000001</v>
      </c>
      <c r="BP27" s="2692">
        <v>58.063493000000001</v>
      </c>
      <c r="BQ27" s="2692">
        <v>58.063493000000001</v>
      </c>
      <c r="BR27" s="2692">
        <v>58.063493000000001</v>
      </c>
      <c r="BS27" s="2692">
        <v>58.063493000000001</v>
      </c>
      <c r="BT27" s="2692">
        <v>58.063493000000001</v>
      </c>
      <c r="BU27" s="2692">
        <v>58.063493000000001</v>
      </c>
      <c r="BV27" s="2692">
        <v>58.063493000000001</v>
      </c>
      <c r="BW27" s="2692">
        <v>58.063493000000001</v>
      </c>
      <c r="BX27" s="2692">
        <v>58.063493000000001</v>
      </c>
      <c r="BY27" s="2692">
        <v>58.063493000000001</v>
      </c>
      <c r="BZ27" s="2692">
        <v>58.063493000000001</v>
      </c>
      <c r="CA27" s="2692">
        <v>58.063493000000001</v>
      </c>
      <c r="CB27" s="2692">
        <v>58.043492999999998</v>
      </c>
      <c r="CC27" s="2692">
        <v>58.043492999999998</v>
      </c>
      <c r="CD27" s="2692">
        <v>58.043492999999998</v>
      </c>
      <c r="CE27" s="2692">
        <v>58.043492999999998</v>
      </c>
      <c r="CF27" s="2692">
        <v>58.043492999999998</v>
      </c>
      <c r="CG27" s="2692">
        <v>58.043492999999998</v>
      </c>
      <c r="CH27" s="2693">
        <v>58.043492999999998</v>
      </c>
      <c r="CI27" s="2693">
        <v>58.043492999999998</v>
      </c>
      <c r="CJ27" s="2693">
        <v>58.043492999999998</v>
      </c>
      <c r="CK27" s="2693">
        <v>58.043492999999998</v>
      </c>
      <c r="CL27" s="2693">
        <v>58.043492999999998</v>
      </c>
      <c r="CM27" s="2693">
        <v>58.043492999999998</v>
      </c>
      <c r="CN27" s="2693">
        <v>58.043492999999998</v>
      </c>
      <c r="CO27" s="2693">
        <v>58.043492999999998</v>
      </c>
      <c r="CP27" s="2693">
        <v>58.043492999999998</v>
      </c>
      <c r="CQ27" s="2693">
        <v>58.043492999999998</v>
      </c>
      <c r="CR27" s="2693">
        <v>58.043492999999998</v>
      </c>
      <c r="CS27" s="2693">
        <v>58.043492999999998</v>
      </c>
      <c r="CT27" s="2693">
        <v>58.043492999999998</v>
      </c>
      <c r="CU27" s="2693">
        <v>58.043492999999998</v>
      </c>
      <c r="CV27" s="2693">
        <v>58.043492999999998</v>
      </c>
      <c r="CW27" s="2660">
        <v>58.043492999999998</v>
      </c>
      <c r="CX27" s="2660">
        <v>58.043492999999998</v>
      </c>
      <c r="CY27" s="2660">
        <v>58.043492999999998</v>
      </c>
      <c r="CZ27" s="2660">
        <v>58.043492999999998</v>
      </c>
      <c r="DA27" s="2660">
        <v>58.043492999999998</v>
      </c>
      <c r="DB27" s="2660">
        <v>58.043492999999998</v>
      </c>
      <c r="DC27" s="2660">
        <v>58.043492999999998</v>
      </c>
      <c r="DD27" s="2660">
        <v>58.043492999999998</v>
      </c>
      <c r="DE27" s="2660">
        <v>58.043492999999998</v>
      </c>
      <c r="DF27" s="2660">
        <v>58.043492999999998</v>
      </c>
      <c r="DG27" s="2660">
        <v>58.043492999999998</v>
      </c>
      <c r="DH27" s="2660">
        <v>58.043492999999998</v>
      </c>
      <c r="DI27" s="2660">
        <v>58.043492999999998</v>
      </c>
      <c r="DJ27" s="2660">
        <v>58.043492999999998</v>
      </c>
      <c r="DK27" s="2660">
        <v>58.043492999999998</v>
      </c>
      <c r="DL27" s="2660">
        <v>58.043492999999998</v>
      </c>
      <c r="DM27" s="2660">
        <v>58.043492999999998</v>
      </c>
      <c r="DN27" s="2660">
        <v>58.043492999999998</v>
      </c>
      <c r="DO27" s="2660">
        <v>58.043492999999998</v>
      </c>
      <c r="DP27" s="2660">
        <v>58.043492999999998</v>
      </c>
      <c r="DQ27" s="2660">
        <v>58.043492999999998</v>
      </c>
      <c r="DR27" s="2660">
        <v>58.043492999999998</v>
      </c>
      <c r="DS27" s="2660">
        <v>58.043492999999998</v>
      </c>
      <c r="DT27" s="2660">
        <v>58.043492999999998</v>
      </c>
      <c r="DU27" s="2660">
        <v>58.043492999999998</v>
      </c>
      <c r="DV27" s="2694">
        <v>58.043492999999998</v>
      </c>
      <c r="DW27" s="2694">
        <v>58.043492999999998</v>
      </c>
      <c r="DX27" s="2694">
        <v>58.043492999999998</v>
      </c>
      <c r="DY27" s="2694">
        <v>58.043492999999998</v>
      </c>
      <c r="DZ27" s="2694">
        <v>58.043492999999998</v>
      </c>
      <c r="EA27" s="2694">
        <v>58.043492999999998</v>
      </c>
      <c r="EB27" s="2694">
        <v>58.043492999999998</v>
      </c>
      <c r="EC27" s="2694">
        <v>58.043492999999998</v>
      </c>
      <c r="ED27" s="2694">
        <v>58.043492999999998</v>
      </c>
      <c r="EE27" s="2694">
        <v>58.043492999999998</v>
      </c>
      <c r="EF27" s="2694">
        <v>58.043492999999998</v>
      </c>
      <c r="EG27" s="2694">
        <v>58.043492999999998</v>
      </c>
      <c r="EH27" s="2694">
        <v>58.043492999999998</v>
      </c>
      <c r="EI27" s="2694">
        <v>58.043492999999998</v>
      </c>
      <c r="EJ27" s="2694">
        <v>58.043492999999998</v>
      </c>
      <c r="EK27" s="2694">
        <v>58.043492999999998</v>
      </c>
      <c r="EL27" s="2694">
        <v>58.043492999999998</v>
      </c>
      <c r="EM27" s="2694">
        <v>58.043492999999998</v>
      </c>
      <c r="EN27" s="2694">
        <v>58.043492999999998</v>
      </c>
      <c r="EO27" s="2694">
        <v>58.043492999999998</v>
      </c>
      <c r="EP27" s="2694">
        <v>58.043492999999998</v>
      </c>
      <c r="EQ27" s="2694">
        <v>58.043492999999998</v>
      </c>
      <c r="ER27" s="2694">
        <v>58.043492999999998</v>
      </c>
      <c r="ES27" s="2694">
        <v>58.043492999999998</v>
      </c>
      <c r="ET27" s="2694">
        <v>58.043492999999998</v>
      </c>
      <c r="EU27" s="2694">
        <v>55.714742999999999</v>
      </c>
      <c r="EV27" s="2694">
        <v>55.714742999999999</v>
      </c>
      <c r="EW27" s="2694">
        <v>55.714742999999999</v>
      </c>
      <c r="EX27" s="2694">
        <v>55.714742999999999</v>
      </c>
      <c r="EY27" s="2694">
        <v>55.719113</v>
      </c>
      <c r="EZ27" s="2694">
        <v>55.719113</v>
      </c>
      <c r="FA27" s="2694">
        <v>55.719113</v>
      </c>
      <c r="FB27" s="2694">
        <v>55.719113</v>
      </c>
      <c r="FC27" s="2694">
        <v>55.719113</v>
      </c>
      <c r="FD27" s="2694">
        <v>55.719113</v>
      </c>
      <c r="FE27" s="2694">
        <v>49.336613</v>
      </c>
      <c r="FF27" s="2694">
        <v>0.34499999999999997</v>
      </c>
      <c r="FG27" s="2694">
        <v>0.34499999999999997</v>
      </c>
      <c r="FH27" s="2694">
        <v>0.34499999999999997</v>
      </c>
      <c r="FI27" s="2694">
        <v>0.34499999999999997</v>
      </c>
      <c r="FJ27" s="2694">
        <v>0</v>
      </c>
      <c r="FM27" s="628"/>
    </row>
    <row r="28" spans="1:169" s="2703" customFormat="1" ht="17.25" customHeight="1" x14ac:dyDescent="0.3">
      <c r="A28" s="2689" t="s">
        <v>2584</v>
      </c>
      <c r="B28" s="2690">
        <v>0.97697899999999993</v>
      </c>
      <c r="C28" s="2690">
        <v>0.97697899999999993</v>
      </c>
      <c r="D28" s="2690">
        <v>0.97697899999999993</v>
      </c>
      <c r="E28" s="2690">
        <v>0.97697899999999993</v>
      </c>
      <c r="F28" s="2690">
        <v>0.97697899999999993</v>
      </c>
      <c r="G28" s="2690">
        <v>0.97697899999999993</v>
      </c>
      <c r="H28" s="2690">
        <v>0.97697899999999993</v>
      </c>
      <c r="I28" s="2690">
        <v>0.97697899999999993</v>
      </c>
      <c r="J28" s="2690">
        <v>0.97697899999999993</v>
      </c>
      <c r="K28" s="2690">
        <v>0.97697899999999993</v>
      </c>
      <c r="L28" s="2690">
        <v>0.97697899999999993</v>
      </c>
      <c r="M28" s="2690">
        <v>0.97697899999999993</v>
      </c>
      <c r="N28" s="2690">
        <v>0.97697899999999993</v>
      </c>
      <c r="O28" s="2690">
        <v>0.97697899999999993</v>
      </c>
      <c r="P28" s="2690">
        <v>0.97447899999999998</v>
      </c>
      <c r="Q28" s="2690">
        <v>0.97447899999999998</v>
      </c>
      <c r="R28" s="2690">
        <v>0.97447899999999998</v>
      </c>
      <c r="S28" s="2690">
        <v>0.97447899999999998</v>
      </c>
      <c r="T28" s="2690">
        <v>0.97447899999999998</v>
      </c>
      <c r="U28" s="2690">
        <v>0.94097900000000001</v>
      </c>
      <c r="V28" s="2690">
        <v>0.94097900000000001</v>
      </c>
      <c r="W28" s="2690">
        <v>0.94097900000000001</v>
      </c>
      <c r="X28" s="2690">
        <v>0.94097900000000001</v>
      </c>
      <c r="Y28" s="2690">
        <v>0.94097900000000001</v>
      </c>
      <c r="Z28" s="2690">
        <v>0.94097900000000001</v>
      </c>
      <c r="AA28" s="2690">
        <v>0.94097900000000001</v>
      </c>
      <c r="AB28" s="2690">
        <v>0.94097900000000001</v>
      </c>
      <c r="AC28" s="2690">
        <v>0.94097900000000001</v>
      </c>
      <c r="AD28" s="2690">
        <v>0.94097900000000001</v>
      </c>
      <c r="AE28" s="2690">
        <v>0.94097900000000001</v>
      </c>
      <c r="AF28" s="2690">
        <v>0.94097900000000001</v>
      </c>
      <c r="AG28" s="2690">
        <v>0.94097900000000001</v>
      </c>
      <c r="AH28" s="2690">
        <v>0.94097900000000001</v>
      </c>
      <c r="AI28" s="2690">
        <v>0.94097900000000001</v>
      </c>
      <c r="AJ28" s="2690">
        <v>0.94097900000000001</v>
      </c>
      <c r="AK28" s="2690">
        <v>0.94097900000000001</v>
      </c>
      <c r="AL28" s="2690">
        <v>0.94097900000000001</v>
      </c>
      <c r="AM28" s="2690">
        <v>0.94097900000000001</v>
      </c>
      <c r="AN28" s="2691">
        <v>0.94097900000000001</v>
      </c>
      <c r="AO28" s="2691">
        <v>0.94097900000000001</v>
      </c>
      <c r="AP28" s="2691">
        <v>0.94097900000000001</v>
      </c>
      <c r="AQ28" s="2691">
        <v>0.94097900000000001</v>
      </c>
      <c r="AR28" s="2691">
        <v>0.94097900000000001</v>
      </c>
      <c r="AS28" s="2691">
        <v>0.94097900000000001</v>
      </c>
      <c r="AT28" s="2691">
        <v>0.94097900000000001</v>
      </c>
      <c r="AU28" s="2691">
        <v>0.94097900000000001</v>
      </c>
      <c r="AV28" s="2691">
        <v>0.94097900000000001</v>
      </c>
      <c r="AW28" s="2691">
        <v>0.94097900000000001</v>
      </c>
      <c r="AX28" s="2691">
        <v>0.94097900000000001</v>
      </c>
      <c r="AY28" s="2691">
        <v>0.94097900000000001</v>
      </c>
      <c r="AZ28" s="2691">
        <v>0.94097900000000001</v>
      </c>
      <c r="BA28" s="2691">
        <v>0.94097900000000001</v>
      </c>
      <c r="BB28" s="2691">
        <v>0.94097900000000001</v>
      </c>
      <c r="BC28" s="2691">
        <v>0.94097900000000001</v>
      </c>
      <c r="BD28" s="2691">
        <v>0.94097900000000001</v>
      </c>
      <c r="BE28" s="2691">
        <v>0.94097900000000001</v>
      </c>
      <c r="BF28" s="2691">
        <v>0.94097900000000001</v>
      </c>
      <c r="BG28" s="2691">
        <v>0.94097900000000001</v>
      </c>
      <c r="BH28" s="2691">
        <v>0.94097900000000001</v>
      </c>
      <c r="BI28" s="2691">
        <v>0.94097900000000001</v>
      </c>
      <c r="BJ28" s="2691">
        <v>0.94097900000000001</v>
      </c>
      <c r="BK28" s="2691">
        <v>0.94097900000000001</v>
      </c>
      <c r="BL28" s="2691">
        <v>0.90739999999999998</v>
      </c>
      <c r="BM28" s="2691">
        <v>0.94097900000000001</v>
      </c>
      <c r="BN28" s="2691">
        <v>0.94097900000000001</v>
      </c>
      <c r="BO28" s="2691">
        <v>0.94097900000000001</v>
      </c>
      <c r="BP28" s="2692">
        <v>0.94097900000000001</v>
      </c>
      <c r="BQ28" s="2692">
        <v>0.94097900000000001</v>
      </c>
      <c r="BR28" s="2692">
        <v>0.90739999999999998</v>
      </c>
      <c r="BS28" s="2692">
        <v>0.94097900000000001</v>
      </c>
      <c r="BT28" s="2692">
        <v>0.94097900000000001</v>
      </c>
      <c r="BU28" s="2692">
        <v>0.94097900000000001</v>
      </c>
      <c r="BV28" s="2692">
        <v>0.94097900000000001</v>
      </c>
      <c r="BW28" s="2692">
        <v>0.94097900000000001</v>
      </c>
      <c r="BX28" s="2692">
        <v>0.94097900000000001</v>
      </c>
      <c r="BY28" s="2692">
        <v>0.94097900000000001</v>
      </c>
      <c r="BZ28" s="2692">
        <v>0.94097900000000001</v>
      </c>
      <c r="CA28" s="2692">
        <v>0.94097900000000001</v>
      </c>
      <c r="CB28" s="2692">
        <v>0.94097900000000001</v>
      </c>
      <c r="CC28" s="2692">
        <v>0.94097900000000001</v>
      </c>
      <c r="CD28" s="2692">
        <v>0.94097900000000001</v>
      </c>
      <c r="CE28" s="2692">
        <v>0.94097900000000001</v>
      </c>
      <c r="CF28" s="2692">
        <v>0.94097900000000001</v>
      </c>
      <c r="CG28" s="2692">
        <v>0.94097900000000001</v>
      </c>
      <c r="CH28" s="2693">
        <v>0.94097900000000001</v>
      </c>
      <c r="CI28" s="2693">
        <v>0.94097900000000001</v>
      </c>
      <c r="CJ28" s="2693">
        <v>0.94097900000000001</v>
      </c>
      <c r="CK28" s="2693">
        <v>0.94097900000000001</v>
      </c>
      <c r="CL28" s="2693">
        <v>0.94097900000000001</v>
      </c>
      <c r="CM28" s="2693">
        <v>0.94097900000000001</v>
      </c>
      <c r="CN28" s="2693">
        <v>0.94097900000000001</v>
      </c>
      <c r="CO28" s="2693">
        <v>0.94097900000000001</v>
      </c>
      <c r="CP28" s="2693">
        <v>0.94097900000000001</v>
      </c>
      <c r="CQ28" s="2693">
        <v>0.94097900000000001</v>
      </c>
      <c r="CR28" s="2693">
        <v>0.94097900000000001</v>
      </c>
      <c r="CS28" s="2693">
        <v>0.94097900000000001</v>
      </c>
      <c r="CT28" s="2693">
        <v>0.94097900000000001</v>
      </c>
      <c r="CU28" s="2693">
        <v>0.94097900000000001</v>
      </c>
      <c r="CV28" s="2693">
        <v>0.94097900000000001</v>
      </c>
      <c r="CW28" s="2660">
        <v>0.94097900000000001</v>
      </c>
      <c r="CX28" s="2660">
        <v>0.94097900000000001</v>
      </c>
      <c r="CY28" s="2660">
        <v>0.94097900000000001</v>
      </c>
      <c r="CZ28" s="2660">
        <v>0.94097900000000001</v>
      </c>
      <c r="DA28" s="2660">
        <v>0.94097900000000001</v>
      </c>
      <c r="DB28" s="2660">
        <v>0.94097900000000001</v>
      </c>
      <c r="DC28" s="2660">
        <v>0.94097900000000001</v>
      </c>
      <c r="DD28" s="2660">
        <v>0.94097900000000001</v>
      </c>
      <c r="DE28" s="2660">
        <v>0.94097900000000001</v>
      </c>
      <c r="DF28" s="2660">
        <v>0.94097900000000001</v>
      </c>
      <c r="DG28" s="2660">
        <v>0.94097900000000001</v>
      </c>
      <c r="DH28" s="2660">
        <v>0.94097900000000001</v>
      </c>
      <c r="DI28" s="2660">
        <v>0.94097900000000001</v>
      </c>
      <c r="DJ28" s="2660">
        <v>0.94097900000000001</v>
      </c>
      <c r="DK28" s="2660">
        <v>0.94097900000000001</v>
      </c>
      <c r="DL28" s="2660">
        <v>0.94097900000000001</v>
      </c>
      <c r="DM28" s="2660">
        <v>0.94097900000000001</v>
      </c>
      <c r="DN28" s="2660">
        <v>0.94097900000000001</v>
      </c>
      <c r="DO28" s="2660">
        <v>0.94097900000000001</v>
      </c>
      <c r="DP28" s="2660">
        <v>0.90739999999999998</v>
      </c>
      <c r="DQ28" s="2660">
        <v>0.94097900000000001</v>
      </c>
      <c r="DR28" s="2660">
        <v>1.07175799</v>
      </c>
      <c r="DS28" s="2660">
        <v>1.07175799</v>
      </c>
      <c r="DT28" s="2660">
        <v>1.07175799</v>
      </c>
      <c r="DU28" s="2660">
        <v>13.078401830000001</v>
      </c>
      <c r="DV28" s="2694">
        <v>43.093746010000004</v>
      </c>
      <c r="DW28" s="2694">
        <v>509.75477341000004</v>
      </c>
      <c r="DX28" s="2694">
        <v>901.97510559</v>
      </c>
      <c r="DY28" s="2694">
        <v>1144.1664822999999</v>
      </c>
      <c r="DZ28" s="2694">
        <v>1451.4167733900001</v>
      </c>
      <c r="EA28" s="2694">
        <v>1594.7757545499999</v>
      </c>
      <c r="EB28" s="2694">
        <v>1712.7513812699999</v>
      </c>
      <c r="EC28" s="2694">
        <v>1920.2596894999999</v>
      </c>
      <c r="ED28" s="2694">
        <v>2046.3693795699999</v>
      </c>
      <c r="EE28" s="2694">
        <v>2168.7951843699998</v>
      </c>
      <c r="EF28" s="2694">
        <v>2212.10730595</v>
      </c>
      <c r="EG28" s="2694">
        <v>2300.2583487599995</v>
      </c>
      <c r="EH28" s="2694">
        <v>2630.2332168999997</v>
      </c>
      <c r="EI28" s="2694">
        <v>3142.3228213599996</v>
      </c>
      <c r="EJ28" s="2694">
        <v>3118.4267751099997</v>
      </c>
      <c r="EK28" s="2694">
        <v>3117.6576278199996</v>
      </c>
      <c r="EL28" s="2694">
        <v>3119.1162819599995</v>
      </c>
      <c r="EM28" s="2694">
        <v>3122.7547682599998</v>
      </c>
      <c r="EN28" s="2694">
        <v>3125.1340456599996</v>
      </c>
      <c r="EO28" s="2694">
        <v>3130.4402168899996</v>
      </c>
      <c r="EP28" s="2694">
        <v>3091.8664429199998</v>
      </c>
      <c r="EQ28" s="2694">
        <v>3086.3018093599999</v>
      </c>
      <c r="ER28" s="2694">
        <v>3088.4598675799998</v>
      </c>
      <c r="ES28" s="2694">
        <v>3076.58991552</v>
      </c>
      <c r="ET28" s="2694">
        <v>3050.3185593599997</v>
      </c>
      <c r="EU28" s="2694">
        <v>2590.9608127799997</v>
      </c>
      <c r="EV28" s="2694">
        <v>4399.0173234100002</v>
      </c>
      <c r="EW28" s="2694">
        <v>7587.6311963400003</v>
      </c>
      <c r="EX28" s="2694">
        <v>9716.1104066299995</v>
      </c>
      <c r="EY28" s="2694">
        <v>9603.7566888099991</v>
      </c>
      <c r="EZ28" s="2694">
        <v>9514.8307994300012</v>
      </c>
      <c r="FA28" s="2694">
        <v>9244.5921634700007</v>
      </c>
      <c r="FB28" s="2694">
        <v>9060.9093281900005</v>
      </c>
      <c r="FC28" s="2694">
        <v>8946.3684076499994</v>
      </c>
      <c r="FD28" s="2694">
        <v>8801.7118114099994</v>
      </c>
      <c r="FE28" s="2694">
        <v>11249.448437317506</v>
      </c>
      <c r="FF28" s="2694">
        <v>11508.534374035813</v>
      </c>
      <c r="FG28" s="2694">
        <v>10931.952539459258</v>
      </c>
      <c r="FH28" s="2694">
        <v>10908.898307301382</v>
      </c>
      <c r="FI28" s="2694">
        <v>11120.447524931311</v>
      </c>
      <c r="FJ28" s="2694">
        <v>11543.379009488486</v>
      </c>
      <c r="FM28" s="628"/>
    </row>
    <row r="29" spans="1:169" ht="17.25" x14ac:dyDescent="0.3">
      <c r="A29" s="2689"/>
      <c r="B29" s="2690"/>
      <c r="C29" s="2690"/>
      <c r="D29" s="2690"/>
      <c r="E29" s="2690"/>
      <c r="F29" s="2690"/>
      <c r="G29" s="2690"/>
      <c r="H29" s="2690"/>
      <c r="I29" s="2690"/>
      <c r="J29" s="2690"/>
      <c r="K29" s="2690"/>
      <c r="L29" s="2690"/>
      <c r="M29" s="2690"/>
      <c r="N29" s="2690"/>
      <c r="O29" s="2690"/>
      <c r="P29" s="2690"/>
      <c r="Q29" s="2690"/>
      <c r="R29" s="2690"/>
      <c r="S29" s="2690"/>
      <c r="T29" s="2690"/>
      <c r="U29" s="2690"/>
      <c r="V29" s="2690"/>
      <c r="W29" s="2690"/>
      <c r="X29" s="2690"/>
      <c r="Y29" s="2690"/>
      <c r="Z29" s="2690"/>
      <c r="AA29" s="2690"/>
      <c r="AB29" s="2690"/>
      <c r="AC29" s="2690"/>
      <c r="AD29" s="2690"/>
      <c r="AE29" s="2690"/>
      <c r="AF29" s="2690"/>
      <c r="AG29" s="2690"/>
      <c r="AH29" s="2690"/>
      <c r="AI29" s="2690"/>
      <c r="AJ29" s="2690"/>
      <c r="AK29" s="2690"/>
      <c r="AL29" s="2690"/>
      <c r="AM29" s="2690"/>
      <c r="AN29" s="2691"/>
      <c r="AO29" s="2691"/>
      <c r="AP29" s="2691"/>
      <c r="AQ29" s="2691"/>
      <c r="AR29" s="2691"/>
      <c r="AS29" s="2691"/>
      <c r="AT29" s="2691"/>
      <c r="AU29" s="2691"/>
      <c r="AV29" s="2691"/>
      <c r="AW29" s="2691"/>
      <c r="AX29" s="2691"/>
      <c r="AY29" s="2691"/>
      <c r="AZ29" s="2691"/>
      <c r="BA29" s="2691"/>
      <c r="BB29" s="2691"/>
      <c r="BC29" s="2691"/>
      <c r="BD29" s="2691"/>
      <c r="BE29" s="2691"/>
      <c r="BF29" s="2691"/>
      <c r="BG29" s="2691"/>
      <c r="BH29" s="2691"/>
      <c r="BI29" s="2691"/>
      <c r="BJ29" s="2691"/>
      <c r="BK29" s="2691"/>
      <c r="BL29" s="2691"/>
      <c r="BM29" s="2691"/>
      <c r="BN29" s="2691"/>
      <c r="BO29" s="2691"/>
      <c r="BP29" s="2692"/>
      <c r="BQ29" s="2692"/>
      <c r="BR29" s="2692"/>
      <c r="BS29" s="2692"/>
      <c r="BT29" s="2692"/>
      <c r="BU29" s="2692"/>
      <c r="BV29" s="2692"/>
      <c r="BW29" s="2692"/>
      <c r="BX29" s="2692"/>
      <c r="BY29" s="2692"/>
      <c r="BZ29" s="2692"/>
      <c r="CA29" s="2692"/>
      <c r="CB29" s="2692"/>
      <c r="CC29" s="2692"/>
      <c r="CD29" s="2692"/>
      <c r="CE29" s="2692"/>
      <c r="CF29" s="2692"/>
      <c r="CG29" s="2692"/>
      <c r="CH29" s="2693"/>
      <c r="CI29" s="2693"/>
      <c r="CJ29" s="2693"/>
      <c r="CK29" s="2693"/>
      <c r="CL29" s="2693"/>
      <c r="CM29" s="2693"/>
      <c r="CN29" s="2693"/>
      <c r="CO29" s="2693"/>
      <c r="CP29" s="2693"/>
      <c r="CQ29" s="2693"/>
      <c r="CR29" s="2693"/>
      <c r="CS29" s="2693"/>
      <c r="CT29" s="2693"/>
      <c r="CU29" s="2693"/>
      <c r="CV29" s="2693"/>
      <c r="CW29" s="2660"/>
      <c r="CX29" s="2660"/>
      <c r="CY29" s="2660"/>
      <c r="CZ29" s="2660"/>
      <c r="DA29" s="2660"/>
      <c r="DB29" s="2660"/>
      <c r="DC29" s="2660"/>
      <c r="DD29" s="2660"/>
      <c r="DE29" s="2660"/>
      <c r="DF29" s="2660"/>
      <c r="DG29" s="2660"/>
      <c r="DH29" s="2660"/>
      <c r="DI29" s="2660"/>
      <c r="DJ29" s="2660"/>
      <c r="DK29" s="2660"/>
      <c r="DL29" s="2660"/>
      <c r="DM29" s="2660"/>
      <c r="DN29" s="2660"/>
      <c r="DO29" s="2660"/>
      <c r="DP29" s="2660"/>
      <c r="DQ29" s="2660"/>
      <c r="DR29" s="2660"/>
      <c r="DS29" s="2660"/>
      <c r="DT29" s="2660"/>
      <c r="DU29" s="2660"/>
      <c r="DV29" s="2694"/>
      <c r="DW29" s="2694"/>
      <c r="DX29" s="2694"/>
      <c r="DY29" s="2694"/>
      <c r="DZ29" s="2694"/>
      <c r="EA29" s="2694"/>
      <c r="EB29" s="2694"/>
      <c r="EC29" s="2694"/>
      <c r="ED29" s="2694"/>
      <c r="EE29" s="2694"/>
      <c r="EF29" s="2694"/>
      <c r="EG29" s="2694"/>
      <c r="EH29" s="2694"/>
      <c r="EI29" s="2694"/>
      <c r="EJ29" s="2694"/>
      <c r="EK29" s="2694"/>
      <c r="EL29" s="2694"/>
      <c r="EM29" s="2694"/>
      <c r="EN29" s="2694"/>
      <c r="EO29" s="2694"/>
      <c r="EP29" s="2694"/>
      <c r="EQ29" s="2694"/>
      <c r="ER29" s="2694"/>
      <c r="ES29" s="2694"/>
      <c r="ET29" s="2694"/>
      <c r="EU29" s="2694"/>
      <c r="EV29" s="2694"/>
      <c r="EW29" s="2694"/>
      <c r="EX29" s="2694"/>
      <c r="EY29" s="2694"/>
      <c r="EZ29" s="2694"/>
      <c r="FA29" s="2694"/>
      <c r="FB29" s="2694"/>
      <c r="FC29" s="2694"/>
      <c r="FD29" s="2694"/>
      <c r="FE29" s="2694"/>
      <c r="FF29" s="2694"/>
      <c r="FG29" s="2694"/>
      <c r="FH29" s="2694"/>
      <c r="FI29" s="2694"/>
      <c r="FJ29" s="2694"/>
      <c r="FM29" s="628"/>
    </row>
    <row r="30" spans="1:169" ht="17.25" customHeight="1" x14ac:dyDescent="0.3">
      <c r="A30" s="2683" t="s">
        <v>1057</v>
      </c>
      <c r="B30" s="2684">
        <v>0</v>
      </c>
      <c r="C30" s="2684">
        <v>0</v>
      </c>
      <c r="D30" s="2684">
        <v>0</v>
      </c>
      <c r="E30" s="2684">
        <v>0</v>
      </c>
      <c r="F30" s="2684">
        <v>0</v>
      </c>
      <c r="G30" s="2684">
        <v>0</v>
      </c>
      <c r="H30" s="2684">
        <v>0</v>
      </c>
      <c r="I30" s="2684">
        <v>0</v>
      </c>
      <c r="J30" s="2684">
        <v>0</v>
      </c>
      <c r="K30" s="2684">
        <v>0</v>
      </c>
      <c r="L30" s="2684">
        <v>0</v>
      </c>
      <c r="M30" s="2684">
        <v>0</v>
      </c>
      <c r="N30" s="2684">
        <v>0</v>
      </c>
      <c r="O30" s="2684">
        <v>0</v>
      </c>
      <c r="P30" s="2684">
        <v>0</v>
      </c>
      <c r="Q30" s="2684">
        <v>0</v>
      </c>
      <c r="R30" s="2684">
        <v>0</v>
      </c>
      <c r="S30" s="2684">
        <v>0</v>
      </c>
      <c r="T30" s="2684">
        <v>0</v>
      </c>
      <c r="U30" s="2684">
        <v>0</v>
      </c>
      <c r="V30" s="2684">
        <v>0</v>
      </c>
      <c r="W30" s="2684">
        <v>0</v>
      </c>
      <c r="X30" s="2684">
        <v>0</v>
      </c>
      <c r="Y30" s="2684">
        <v>0</v>
      </c>
      <c r="Z30" s="2684">
        <v>0</v>
      </c>
      <c r="AA30" s="2684">
        <v>0</v>
      </c>
      <c r="AB30" s="2684">
        <v>0</v>
      </c>
      <c r="AC30" s="2684">
        <v>0</v>
      </c>
      <c r="AD30" s="2684">
        <v>0</v>
      </c>
      <c r="AE30" s="2684">
        <v>0</v>
      </c>
      <c r="AF30" s="2684">
        <v>0</v>
      </c>
      <c r="AG30" s="2684">
        <v>0</v>
      </c>
      <c r="AH30" s="2684">
        <v>0</v>
      </c>
      <c r="AI30" s="2684">
        <v>0</v>
      </c>
      <c r="AJ30" s="2684">
        <v>0</v>
      </c>
      <c r="AK30" s="2684">
        <v>0</v>
      </c>
      <c r="AL30" s="2684">
        <v>0</v>
      </c>
      <c r="AM30" s="2684">
        <v>0</v>
      </c>
      <c r="AN30" s="2685">
        <v>0</v>
      </c>
      <c r="AO30" s="2685">
        <v>0</v>
      </c>
      <c r="AP30" s="2685">
        <v>0</v>
      </c>
      <c r="AQ30" s="2685">
        <v>0</v>
      </c>
      <c r="AR30" s="2685">
        <v>0</v>
      </c>
      <c r="AS30" s="2685">
        <v>0</v>
      </c>
      <c r="AT30" s="2685">
        <v>0</v>
      </c>
      <c r="AU30" s="2685">
        <v>0</v>
      </c>
      <c r="AV30" s="2685">
        <v>0</v>
      </c>
      <c r="AW30" s="2685">
        <v>0</v>
      </c>
      <c r="AX30" s="2685">
        <v>0</v>
      </c>
      <c r="AY30" s="2685">
        <v>0</v>
      </c>
      <c r="AZ30" s="2685">
        <v>0</v>
      </c>
      <c r="BA30" s="2685">
        <v>0</v>
      </c>
      <c r="BB30" s="2685">
        <v>0</v>
      </c>
      <c r="BC30" s="2685">
        <v>0</v>
      </c>
      <c r="BD30" s="2685">
        <v>0</v>
      </c>
      <c r="BE30" s="2685">
        <v>0</v>
      </c>
      <c r="BF30" s="2685">
        <v>0</v>
      </c>
      <c r="BG30" s="2685">
        <v>0</v>
      </c>
      <c r="BH30" s="2685">
        <v>0</v>
      </c>
      <c r="BI30" s="2685">
        <v>0</v>
      </c>
      <c r="BJ30" s="2685">
        <v>0</v>
      </c>
      <c r="BK30" s="2685">
        <v>0</v>
      </c>
      <c r="BL30" s="2685">
        <v>0</v>
      </c>
      <c r="BM30" s="2685">
        <v>0</v>
      </c>
      <c r="BN30" s="2685">
        <v>0</v>
      </c>
      <c r="BO30" s="2685">
        <v>0</v>
      </c>
      <c r="BP30" s="2686">
        <v>0</v>
      </c>
      <c r="BQ30" s="2686">
        <v>0</v>
      </c>
      <c r="BR30" s="2686">
        <v>0</v>
      </c>
      <c r="BS30" s="2686">
        <v>0</v>
      </c>
      <c r="BT30" s="2686">
        <v>0</v>
      </c>
      <c r="BU30" s="2686">
        <v>0</v>
      </c>
      <c r="BV30" s="2686">
        <v>0</v>
      </c>
      <c r="BW30" s="2686">
        <v>0</v>
      </c>
      <c r="BX30" s="2686">
        <v>0</v>
      </c>
      <c r="BY30" s="2686">
        <v>0</v>
      </c>
      <c r="BZ30" s="2686">
        <v>0</v>
      </c>
      <c r="CA30" s="2686">
        <v>0</v>
      </c>
      <c r="CB30" s="2686">
        <v>0</v>
      </c>
      <c r="CC30" s="2686">
        <v>0</v>
      </c>
      <c r="CD30" s="2686">
        <v>0</v>
      </c>
      <c r="CE30" s="2686">
        <v>0</v>
      </c>
      <c r="CF30" s="2686">
        <v>0</v>
      </c>
      <c r="CG30" s="2686">
        <v>0</v>
      </c>
      <c r="CH30" s="2687">
        <v>0</v>
      </c>
      <c r="CI30" s="2687">
        <v>0</v>
      </c>
      <c r="CJ30" s="2687">
        <v>0</v>
      </c>
      <c r="CK30" s="2687">
        <v>0</v>
      </c>
      <c r="CL30" s="2687">
        <v>0</v>
      </c>
      <c r="CM30" s="2687">
        <v>0</v>
      </c>
      <c r="CN30" s="2687">
        <v>0</v>
      </c>
      <c r="CO30" s="2687">
        <v>0</v>
      </c>
      <c r="CP30" s="2687">
        <v>0</v>
      </c>
      <c r="CQ30" s="2687">
        <v>0</v>
      </c>
      <c r="CR30" s="2687">
        <v>0</v>
      </c>
      <c r="CS30" s="2687">
        <v>0</v>
      </c>
      <c r="CT30" s="2687">
        <v>0</v>
      </c>
      <c r="CU30" s="2687">
        <v>0</v>
      </c>
      <c r="CV30" s="2687">
        <v>0</v>
      </c>
      <c r="CW30" s="2656">
        <v>0</v>
      </c>
      <c r="CX30" s="2656">
        <v>0</v>
      </c>
      <c r="CY30" s="2656">
        <v>0</v>
      </c>
      <c r="CZ30" s="2656">
        <v>0</v>
      </c>
      <c r="DA30" s="2656">
        <v>0</v>
      </c>
      <c r="DB30" s="2656">
        <v>0</v>
      </c>
      <c r="DC30" s="2656">
        <v>0</v>
      </c>
      <c r="DD30" s="2656">
        <v>0</v>
      </c>
      <c r="DE30" s="2656">
        <v>0</v>
      </c>
      <c r="DF30" s="2656">
        <v>0</v>
      </c>
      <c r="DG30" s="2656">
        <v>0</v>
      </c>
      <c r="DH30" s="2656">
        <v>0</v>
      </c>
      <c r="DI30" s="2656">
        <v>0</v>
      </c>
      <c r="DJ30" s="2656">
        <v>0</v>
      </c>
      <c r="DK30" s="2656">
        <v>0</v>
      </c>
      <c r="DL30" s="2656">
        <v>0</v>
      </c>
      <c r="DM30" s="2656">
        <v>0</v>
      </c>
      <c r="DN30" s="2656">
        <v>0</v>
      </c>
      <c r="DO30" s="2656">
        <v>0</v>
      </c>
      <c r="DP30" s="2656">
        <v>0</v>
      </c>
      <c r="DQ30" s="2656">
        <v>0</v>
      </c>
      <c r="DR30" s="2656">
        <v>0</v>
      </c>
      <c r="DS30" s="2656">
        <v>0</v>
      </c>
      <c r="DT30" s="2656">
        <v>0</v>
      </c>
      <c r="DU30" s="2656">
        <v>0</v>
      </c>
      <c r="DV30" s="2688">
        <v>0</v>
      </c>
      <c r="DW30" s="2688">
        <v>0</v>
      </c>
      <c r="DX30" s="2688">
        <v>0</v>
      </c>
      <c r="DY30" s="2688">
        <v>0</v>
      </c>
      <c r="DZ30" s="2688">
        <v>0</v>
      </c>
      <c r="EA30" s="2688">
        <v>0</v>
      </c>
      <c r="EB30" s="2688">
        <v>0</v>
      </c>
      <c r="EC30" s="2688">
        <v>0</v>
      </c>
      <c r="ED30" s="2688">
        <v>0</v>
      </c>
      <c r="EE30" s="2688">
        <v>0</v>
      </c>
      <c r="EF30" s="2688">
        <v>0</v>
      </c>
      <c r="EG30" s="2688">
        <v>0</v>
      </c>
      <c r="EH30" s="2688">
        <v>0</v>
      </c>
      <c r="EI30" s="2688">
        <v>0</v>
      </c>
      <c r="EJ30" s="2688">
        <v>0</v>
      </c>
      <c r="EK30" s="2688">
        <v>0</v>
      </c>
      <c r="EL30" s="2688">
        <v>0</v>
      </c>
      <c r="EM30" s="2688">
        <v>0</v>
      </c>
      <c r="EN30" s="2688">
        <v>0</v>
      </c>
      <c r="EO30" s="2688">
        <v>0</v>
      </c>
      <c r="EP30" s="2688">
        <v>0</v>
      </c>
      <c r="EQ30" s="2688">
        <v>0</v>
      </c>
      <c r="ER30" s="2688">
        <v>0</v>
      </c>
      <c r="ES30" s="2688">
        <v>0</v>
      </c>
      <c r="ET30" s="2688">
        <v>0</v>
      </c>
      <c r="EU30" s="2688">
        <v>0</v>
      </c>
      <c r="EV30" s="2688">
        <v>0</v>
      </c>
      <c r="EW30" s="2688">
        <v>0</v>
      </c>
      <c r="EX30" s="2688">
        <v>0</v>
      </c>
      <c r="EY30" s="2688">
        <v>0</v>
      </c>
      <c r="EZ30" s="2688">
        <v>0</v>
      </c>
      <c r="FA30" s="2688">
        <v>0</v>
      </c>
      <c r="FB30" s="2688">
        <v>0</v>
      </c>
      <c r="FC30" s="2688">
        <v>0</v>
      </c>
      <c r="FD30" s="2688">
        <v>0</v>
      </c>
      <c r="FE30" s="2688">
        <v>0</v>
      </c>
      <c r="FF30" s="2688">
        <v>0</v>
      </c>
      <c r="FG30" s="2688">
        <v>0</v>
      </c>
      <c r="FH30" s="2688">
        <v>0</v>
      </c>
      <c r="FI30" s="2688">
        <v>0</v>
      </c>
      <c r="FJ30" s="2688">
        <v>0</v>
      </c>
      <c r="FM30" s="628"/>
    </row>
    <row r="31" spans="1:169" ht="17.25" x14ac:dyDescent="0.3">
      <c r="A31" s="2689"/>
      <c r="B31" s="2690"/>
      <c r="C31" s="2690"/>
      <c r="D31" s="2690"/>
      <c r="E31" s="2690"/>
      <c r="F31" s="2690"/>
      <c r="G31" s="2690"/>
      <c r="H31" s="2690"/>
      <c r="I31" s="2690"/>
      <c r="J31" s="2690"/>
      <c r="K31" s="2690"/>
      <c r="L31" s="2690"/>
      <c r="M31" s="2690"/>
      <c r="N31" s="2690"/>
      <c r="O31" s="2690"/>
      <c r="P31" s="2690"/>
      <c r="Q31" s="2690"/>
      <c r="R31" s="2690"/>
      <c r="S31" s="2690"/>
      <c r="T31" s="2690"/>
      <c r="U31" s="2690"/>
      <c r="V31" s="2690"/>
      <c r="W31" s="2690"/>
      <c r="X31" s="2690"/>
      <c r="Y31" s="2690"/>
      <c r="Z31" s="2690"/>
      <c r="AA31" s="2690"/>
      <c r="AB31" s="2690"/>
      <c r="AC31" s="2690"/>
      <c r="AD31" s="2690"/>
      <c r="AE31" s="2690"/>
      <c r="AF31" s="2690"/>
      <c r="AG31" s="2690"/>
      <c r="AH31" s="2690"/>
      <c r="AI31" s="2690"/>
      <c r="AJ31" s="2690"/>
      <c r="AK31" s="2690"/>
      <c r="AL31" s="2690"/>
      <c r="AM31" s="2690"/>
      <c r="AN31" s="2691"/>
      <c r="AO31" s="2691"/>
      <c r="AP31" s="2691"/>
      <c r="AQ31" s="2691"/>
      <c r="AR31" s="2691"/>
      <c r="AS31" s="2691"/>
      <c r="AT31" s="2691"/>
      <c r="AU31" s="2691"/>
      <c r="AV31" s="2691"/>
      <c r="AW31" s="2691"/>
      <c r="AX31" s="2691"/>
      <c r="AY31" s="2691"/>
      <c r="AZ31" s="2691"/>
      <c r="BA31" s="2691"/>
      <c r="BB31" s="2691"/>
      <c r="BC31" s="2691"/>
      <c r="BD31" s="2691"/>
      <c r="BE31" s="2691"/>
      <c r="BF31" s="2691"/>
      <c r="BG31" s="2691"/>
      <c r="BH31" s="2691"/>
      <c r="BI31" s="2691"/>
      <c r="BJ31" s="2691"/>
      <c r="BK31" s="2691"/>
      <c r="BL31" s="2691"/>
      <c r="BM31" s="2691"/>
      <c r="BN31" s="2691"/>
      <c r="BO31" s="2691"/>
      <c r="BP31" s="2692"/>
      <c r="BQ31" s="2692"/>
      <c r="BR31" s="2692"/>
      <c r="BS31" s="2692"/>
      <c r="BT31" s="2692"/>
      <c r="BU31" s="2692"/>
      <c r="BV31" s="2692"/>
      <c r="BW31" s="2692"/>
      <c r="BX31" s="2692"/>
      <c r="BY31" s="2692"/>
      <c r="BZ31" s="2692"/>
      <c r="CA31" s="2692"/>
      <c r="CB31" s="2692"/>
      <c r="CC31" s="2692"/>
      <c r="CD31" s="2692"/>
      <c r="CE31" s="2692"/>
      <c r="CF31" s="2692"/>
      <c r="CG31" s="2692"/>
      <c r="CH31" s="2693"/>
      <c r="CI31" s="2693"/>
      <c r="CJ31" s="2693"/>
      <c r="CK31" s="2693"/>
      <c r="CL31" s="2693"/>
      <c r="CM31" s="2693"/>
      <c r="CN31" s="2693"/>
      <c r="CO31" s="2693"/>
      <c r="CP31" s="2693"/>
      <c r="CQ31" s="2693"/>
      <c r="CR31" s="2693"/>
      <c r="CS31" s="2693"/>
      <c r="CT31" s="2693"/>
      <c r="CU31" s="2693"/>
      <c r="CV31" s="2693"/>
      <c r="CW31" s="2660"/>
      <c r="CX31" s="2660"/>
      <c r="CY31" s="2660"/>
      <c r="CZ31" s="2660"/>
      <c r="DA31" s="2660"/>
      <c r="DB31" s="2660"/>
      <c r="DC31" s="2660"/>
      <c r="DD31" s="2660"/>
      <c r="DE31" s="2660"/>
      <c r="DF31" s="2660"/>
      <c r="DG31" s="2660"/>
      <c r="DH31" s="2660"/>
      <c r="DI31" s="2660"/>
      <c r="DJ31" s="2660"/>
      <c r="DK31" s="2660"/>
      <c r="DL31" s="2660"/>
      <c r="DM31" s="2660"/>
      <c r="DN31" s="2660"/>
      <c r="DO31" s="2660"/>
      <c r="DP31" s="2660"/>
      <c r="DQ31" s="2660"/>
      <c r="DR31" s="2660"/>
      <c r="DS31" s="2660"/>
      <c r="DT31" s="2660"/>
      <c r="DU31" s="2660"/>
      <c r="DV31" s="2694"/>
      <c r="DW31" s="2694"/>
      <c r="DX31" s="2694"/>
      <c r="DY31" s="2694"/>
      <c r="DZ31" s="2694"/>
      <c r="EA31" s="2694"/>
      <c r="EB31" s="2694"/>
      <c r="EC31" s="2694"/>
      <c r="ED31" s="2694"/>
      <c r="EE31" s="2694"/>
      <c r="EF31" s="2694"/>
      <c r="EG31" s="2694"/>
      <c r="EH31" s="2694"/>
      <c r="EI31" s="2694"/>
      <c r="EJ31" s="2694"/>
      <c r="EK31" s="2694"/>
      <c r="EL31" s="2694"/>
      <c r="EM31" s="2694"/>
      <c r="EN31" s="2694"/>
      <c r="EO31" s="2694"/>
      <c r="EP31" s="2694"/>
      <c r="EQ31" s="2694"/>
      <c r="ER31" s="2694"/>
      <c r="ES31" s="2694"/>
      <c r="ET31" s="2694"/>
      <c r="EU31" s="2694"/>
      <c r="EV31" s="2694"/>
      <c r="EW31" s="2694"/>
      <c r="EX31" s="2694"/>
      <c r="EY31" s="2694"/>
      <c r="EZ31" s="2694"/>
      <c r="FA31" s="2694"/>
      <c r="FB31" s="2694"/>
      <c r="FC31" s="2694"/>
      <c r="FD31" s="2694"/>
      <c r="FE31" s="2694"/>
      <c r="FF31" s="2694"/>
      <c r="FG31" s="2694"/>
      <c r="FH31" s="2694"/>
      <c r="FI31" s="2694"/>
      <c r="FJ31" s="2694"/>
      <c r="FM31" s="628"/>
    </row>
    <row r="32" spans="1:169" ht="17.25" customHeight="1" x14ac:dyDescent="0.3">
      <c r="A32" s="2683" t="s">
        <v>2528</v>
      </c>
      <c r="B32" s="2684">
        <v>0</v>
      </c>
      <c r="C32" s="2684">
        <v>0</v>
      </c>
      <c r="D32" s="2684">
        <v>0</v>
      </c>
      <c r="E32" s="2684">
        <v>0</v>
      </c>
      <c r="F32" s="2684">
        <v>0</v>
      </c>
      <c r="G32" s="2684">
        <v>0</v>
      </c>
      <c r="H32" s="2684">
        <v>0</v>
      </c>
      <c r="I32" s="2684">
        <v>0</v>
      </c>
      <c r="J32" s="2684">
        <v>0</v>
      </c>
      <c r="K32" s="2684">
        <v>0</v>
      </c>
      <c r="L32" s="2684">
        <v>0</v>
      </c>
      <c r="M32" s="2684">
        <v>0</v>
      </c>
      <c r="N32" s="2684">
        <v>0</v>
      </c>
      <c r="O32" s="2684">
        <v>0</v>
      </c>
      <c r="P32" s="2684">
        <v>0</v>
      </c>
      <c r="Q32" s="2684">
        <v>0</v>
      </c>
      <c r="R32" s="2684">
        <v>0</v>
      </c>
      <c r="S32" s="2684">
        <v>0</v>
      </c>
      <c r="T32" s="2684">
        <v>0</v>
      </c>
      <c r="U32" s="2684">
        <v>0</v>
      </c>
      <c r="V32" s="2684">
        <v>0</v>
      </c>
      <c r="W32" s="2684">
        <v>0</v>
      </c>
      <c r="X32" s="2684">
        <v>0</v>
      </c>
      <c r="Y32" s="2684">
        <v>0</v>
      </c>
      <c r="Z32" s="2684">
        <v>0</v>
      </c>
      <c r="AA32" s="2684">
        <v>0</v>
      </c>
      <c r="AB32" s="2684">
        <v>0</v>
      </c>
      <c r="AC32" s="2684">
        <v>0</v>
      </c>
      <c r="AD32" s="2684">
        <v>0</v>
      </c>
      <c r="AE32" s="2684">
        <v>0</v>
      </c>
      <c r="AF32" s="2684">
        <v>0</v>
      </c>
      <c r="AG32" s="2684">
        <v>0</v>
      </c>
      <c r="AH32" s="2684">
        <v>0</v>
      </c>
      <c r="AI32" s="2684">
        <v>0</v>
      </c>
      <c r="AJ32" s="2684">
        <v>0</v>
      </c>
      <c r="AK32" s="2684">
        <v>0</v>
      </c>
      <c r="AL32" s="2684">
        <v>0</v>
      </c>
      <c r="AM32" s="2684">
        <v>0</v>
      </c>
      <c r="AN32" s="2685">
        <v>0</v>
      </c>
      <c r="AO32" s="2685">
        <v>0</v>
      </c>
      <c r="AP32" s="2685">
        <v>0</v>
      </c>
      <c r="AQ32" s="2685">
        <v>0</v>
      </c>
      <c r="AR32" s="2685">
        <v>0</v>
      </c>
      <c r="AS32" s="2685">
        <v>0</v>
      </c>
      <c r="AT32" s="2685">
        <v>0</v>
      </c>
      <c r="AU32" s="2685">
        <v>0</v>
      </c>
      <c r="AV32" s="2685">
        <v>0</v>
      </c>
      <c r="AW32" s="2685">
        <v>0</v>
      </c>
      <c r="AX32" s="2685">
        <v>0</v>
      </c>
      <c r="AY32" s="2685">
        <v>0</v>
      </c>
      <c r="AZ32" s="2685">
        <v>0</v>
      </c>
      <c r="BA32" s="2685">
        <v>0</v>
      </c>
      <c r="BB32" s="2685">
        <v>0</v>
      </c>
      <c r="BC32" s="2685">
        <v>0</v>
      </c>
      <c r="BD32" s="2685">
        <v>0</v>
      </c>
      <c r="BE32" s="2685">
        <v>0</v>
      </c>
      <c r="BF32" s="2685">
        <v>0</v>
      </c>
      <c r="BG32" s="2685">
        <v>0</v>
      </c>
      <c r="BH32" s="2685">
        <v>0</v>
      </c>
      <c r="BI32" s="2685">
        <v>0</v>
      </c>
      <c r="BJ32" s="2685">
        <v>0</v>
      </c>
      <c r="BK32" s="2685">
        <v>0</v>
      </c>
      <c r="BL32" s="2685">
        <v>0</v>
      </c>
      <c r="BM32" s="2685">
        <v>0</v>
      </c>
      <c r="BN32" s="2685">
        <v>0</v>
      </c>
      <c r="BO32" s="2685">
        <v>0</v>
      </c>
      <c r="BP32" s="2686">
        <v>0</v>
      </c>
      <c r="BQ32" s="2686">
        <v>0</v>
      </c>
      <c r="BR32" s="2686">
        <v>0</v>
      </c>
      <c r="BS32" s="2686">
        <v>0</v>
      </c>
      <c r="BT32" s="2686">
        <v>0</v>
      </c>
      <c r="BU32" s="2686">
        <v>0</v>
      </c>
      <c r="BV32" s="2686">
        <v>0</v>
      </c>
      <c r="BW32" s="2686">
        <v>0</v>
      </c>
      <c r="BX32" s="2686">
        <v>0</v>
      </c>
      <c r="BY32" s="2686">
        <v>0</v>
      </c>
      <c r="BZ32" s="2686">
        <v>0</v>
      </c>
      <c r="CA32" s="2686">
        <v>0</v>
      </c>
      <c r="CB32" s="2686">
        <v>0</v>
      </c>
      <c r="CC32" s="2686">
        <v>0</v>
      </c>
      <c r="CD32" s="2686">
        <v>0</v>
      </c>
      <c r="CE32" s="2686">
        <v>0</v>
      </c>
      <c r="CF32" s="2686">
        <v>0</v>
      </c>
      <c r="CG32" s="2686">
        <v>0</v>
      </c>
      <c r="CH32" s="2687">
        <v>0</v>
      </c>
      <c r="CI32" s="2687">
        <v>0</v>
      </c>
      <c r="CJ32" s="2687">
        <v>0</v>
      </c>
      <c r="CK32" s="2687">
        <v>0</v>
      </c>
      <c r="CL32" s="2687">
        <v>0</v>
      </c>
      <c r="CM32" s="2687">
        <v>0</v>
      </c>
      <c r="CN32" s="2687">
        <v>0</v>
      </c>
      <c r="CO32" s="2687">
        <v>0</v>
      </c>
      <c r="CP32" s="2687">
        <v>0</v>
      </c>
      <c r="CQ32" s="2687">
        <v>0</v>
      </c>
      <c r="CR32" s="2687">
        <v>0</v>
      </c>
      <c r="CS32" s="2687">
        <v>0</v>
      </c>
      <c r="CT32" s="2687">
        <v>0</v>
      </c>
      <c r="CU32" s="2687">
        <v>0</v>
      </c>
      <c r="CV32" s="2687">
        <v>0</v>
      </c>
      <c r="CW32" s="2656">
        <v>0</v>
      </c>
      <c r="CX32" s="2656">
        <v>0</v>
      </c>
      <c r="CY32" s="2656">
        <v>0</v>
      </c>
      <c r="CZ32" s="2656">
        <v>0</v>
      </c>
      <c r="DA32" s="2656">
        <v>0</v>
      </c>
      <c r="DB32" s="2656">
        <v>0</v>
      </c>
      <c r="DC32" s="2656">
        <v>0</v>
      </c>
      <c r="DD32" s="2656">
        <v>0</v>
      </c>
      <c r="DE32" s="2656">
        <v>0</v>
      </c>
      <c r="DF32" s="2656">
        <v>0</v>
      </c>
      <c r="DG32" s="2656">
        <v>0</v>
      </c>
      <c r="DH32" s="2656">
        <v>0</v>
      </c>
      <c r="DI32" s="2656">
        <v>0</v>
      </c>
      <c r="DJ32" s="2656">
        <v>0</v>
      </c>
      <c r="DK32" s="2656">
        <v>0</v>
      </c>
      <c r="DL32" s="2656">
        <v>0</v>
      </c>
      <c r="DM32" s="2656">
        <v>0</v>
      </c>
      <c r="DN32" s="2656">
        <v>0</v>
      </c>
      <c r="DO32" s="2656">
        <v>0</v>
      </c>
      <c r="DP32" s="2656">
        <v>0</v>
      </c>
      <c r="DQ32" s="2656">
        <v>0</v>
      </c>
      <c r="DR32" s="2656">
        <v>0</v>
      </c>
      <c r="DS32" s="2656">
        <v>0</v>
      </c>
      <c r="DT32" s="2656">
        <v>0</v>
      </c>
      <c r="DU32" s="2656">
        <v>0</v>
      </c>
      <c r="DV32" s="2688">
        <v>0</v>
      </c>
      <c r="DW32" s="2688">
        <v>0</v>
      </c>
      <c r="DX32" s="2688">
        <v>0</v>
      </c>
      <c r="DY32" s="2688">
        <v>0</v>
      </c>
      <c r="DZ32" s="2688">
        <v>0</v>
      </c>
      <c r="EA32" s="2688">
        <v>0</v>
      </c>
      <c r="EB32" s="2688">
        <v>0</v>
      </c>
      <c r="EC32" s="2688">
        <v>0</v>
      </c>
      <c r="ED32" s="2688">
        <v>0</v>
      </c>
      <c r="EE32" s="2688">
        <v>0</v>
      </c>
      <c r="EF32" s="2688">
        <v>0</v>
      </c>
      <c r="EG32" s="2688">
        <v>0</v>
      </c>
      <c r="EH32" s="2688">
        <v>0</v>
      </c>
      <c r="EI32" s="2688">
        <v>0</v>
      </c>
      <c r="EJ32" s="2688">
        <v>0</v>
      </c>
      <c r="EK32" s="2688">
        <v>0</v>
      </c>
      <c r="EL32" s="2688">
        <v>0</v>
      </c>
      <c r="EM32" s="2688">
        <v>0</v>
      </c>
      <c r="EN32" s="2688">
        <v>0</v>
      </c>
      <c r="EO32" s="2688">
        <v>0</v>
      </c>
      <c r="EP32" s="2688">
        <v>0</v>
      </c>
      <c r="EQ32" s="2688">
        <v>0</v>
      </c>
      <c r="ER32" s="2688">
        <v>0</v>
      </c>
      <c r="ES32" s="2688">
        <v>0</v>
      </c>
      <c r="ET32" s="2688">
        <v>0</v>
      </c>
      <c r="EU32" s="2688">
        <v>0</v>
      </c>
      <c r="EV32" s="2688">
        <v>0</v>
      </c>
      <c r="EW32" s="2688">
        <v>0</v>
      </c>
      <c r="EX32" s="2688">
        <v>0</v>
      </c>
      <c r="EY32" s="2688">
        <v>0</v>
      </c>
      <c r="EZ32" s="2688">
        <v>0</v>
      </c>
      <c r="FA32" s="2688">
        <v>0</v>
      </c>
      <c r="FB32" s="2688">
        <v>0</v>
      </c>
      <c r="FC32" s="2688">
        <v>0</v>
      </c>
      <c r="FD32" s="2688">
        <v>0</v>
      </c>
      <c r="FE32" s="2688">
        <v>0</v>
      </c>
      <c r="FF32" s="2688">
        <v>0</v>
      </c>
      <c r="FG32" s="2688">
        <v>0</v>
      </c>
      <c r="FH32" s="2688">
        <v>0</v>
      </c>
      <c r="FI32" s="2688">
        <v>0</v>
      </c>
      <c r="FJ32" s="2688">
        <v>0</v>
      </c>
      <c r="FM32" s="628"/>
    </row>
    <row r="33" spans="1:169" ht="17.25" x14ac:dyDescent="0.3">
      <c r="A33" s="2689"/>
      <c r="B33" s="2690"/>
      <c r="C33" s="2690"/>
      <c r="D33" s="2690"/>
      <c r="E33" s="2690"/>
      <c r="F33" s="2690"/>
      <c r="G33" s="2690"/>
      <c r="H33" s="2690"/>
      <c r="I33" s="2690"/>
      <c r="J33" s="2690"/>
      <c r="K33" s="2690"/>
      <c r="L33" s="2690"/>
      <c r="M33" s="2690"/>
      <c r="N33" s="2690"/>
      <c r="O33" s="2690"/>
      <c r="P33" s="2690"/>
      <c r="Q33" s="2690"/>
      <c r="R33" s="2690"/>
      <c r="S33" s="2690"/>
      <c r="T33" s="2690"/>
      <c r="U33" s="2690"/>
      <c r="V33" s="2690"/>
      <c r="W33" s="2690"/>
      <c r="X33" s="2690"/>
      <c r="Y33" s="2690"/>
      <c r="Z33" s="2690"/>
      <c r="AA33" s="2690"/>
      <c r="AB33" s="2690"/>
      <c r="AC33" s="2690"/>
      <c r="AD33" s="2690"/>
      <c r="AE33" s="2690"/>
      <c r="AF33" s="2690"/>
      <c r="AG33" s="2690"/>
      <c r="AH33" s="2690"/>
      <c r="AI33" s="2690"/>
      <c r="AJ33" s="2690"/>
      <c r="AK33" s="2690"/>
      <c r="AL33" s="2690"/>
      <c r="AM33" s="2690"/>
      <c r="AN33" s="2691"/>
      <c r="AO33" s="2691"/>
      <c r="AP33" s="2691"/>
      <c r="AQ33" s="2691"/>
      <c r="AR33" s="2691"/>
      <c r="AS33" s="2691"/>
      <c r="AT33" s="2691"/>
      <c r="AU33" s="2691"/>
      <c r="AV33" s="2691"/>
      <c r="AW33" s="2691"/>
      <c r="AX33" s="2691"/>
      <c r="AY33" s="2691"/>
      <c r="AZ33" s="2691"/>
      <c r="BA33" s="2691"/>
      <c r="BB33" s="2691"/>
      <c r="BC33" s="2691"/>
      <c r="BD33" s="2691"/>
      <c r="BE33" s="2691"/>
      <c r="BF33" s="2691"/>
      <c r="BG33" s="2691"/>
      <c r="BH33" s="2691"/>
      <c r="BI33" s="2691"/>
      <c r="BJ33" s="2691"/>
      <c r="BK33" s="2691"/>
      <c r="BL33" s="2691"/>
      <c r="BM33" s="2691"/>
      <c r="BN33" s="2691"/>
      <c r="BO33" s="2691"/>
      <c r="BP33" s="2692"/>
      <c r="BQ33" s="2692"/>
      <c r="BR33" s="2692"/>
      <c r="BS33" s="2692"/>
      <c r="BT33" s="2692"/>
      <c r="BU33" s="2692"/>
      <c r="BV33" s="2692"/>
      <c r="BW33" s="2692"/>
      <c r="BX33" s="2692"/>
      <c r="BY33" s="2692"/>
      <c r="BZ33" s="2692"/>
      <c r="CA33" s="2692"/>
      <c r="CB33" s="2692"/>
      <c r="CC33" s="2692"/>
      <c r="CD33" s="2692"/>
      <c r="CE33" s="2692"/>
      <c r="CF33" s="2692"/>
      <c r="CG33" s="2692"/>
      <c r="CH33" s="2693"/>
      <c r="CI33" s="2693"/>
      <c r="CJ33" s="2693"/>
      <c r="CK33" s="2693"/>
      <c r="CL33" s="2693"/>
      <c r="CM33" s="2693"/>
      <c r="CN33" s="2693"/>
      <c r="CO33" s="2693"/>
      <c r="CP33" s="2693"/>
      <c r="CQ33" s="2693"/>
      <c r="CR33" s="2693"/>
      <c r="CS33" s="2693"/>
      <c r="CT33" s="2693"/>
      <c r="CU33" s="2693"/>
      <c r="CV33" s="2693"/>
      <c r="CW33" s="2660"/>
      <c r="CX33" s="2660"/>
      <c r="CY33" s="2660"/>
      <c r="CZ33" s="2660"/>
      <c r="DA33" s="2660"/>
      <c r="DB33" s="2660"/>
      <c r="DC33" s="2660"/>
      <c r="DD33" s="2660"/>
      <c r="DE33" s="2660"/>
      <c r="DF33" s="2660"/>
      <c r="DG33" s="2660"/>
      <c r="DH33" s="2660"/>
      <c r="DI33" s="2660"/>
      <c r="DJ33" s="2660"/>
      <c r="DK33" s="2660"/>
      <c r="DL33" s="2660"/>
      <c r="DM33" s="2660"/>
      <c r="DN33" s="2660"/>
      <c r="DO33" s="2660"/>
      <c r="DP33" s="2660"/>
      <c r="DQ33" s="2660"/>
      <c r="DR33" s="2660"/>
      <c r="DS33" s="2660"/>
      <c r="DT33" s="2660"/>
      <c r="DU33" s="2660"/>
      <c r="DV33" s="2694"/>
      <c r="DW33" s="2694"/>
      <c r="DX33" s="2694"/>
      <c r="DY33" s="2694"/>
      <c r="DZ33" s="2694"/>
      <c r="EA33" s="2694"/>
      <c r="EB33" s="2694"/>
      <c r="EC33" s="2694"/>
      <c r="ED33" s="2694"/>
      <c r="EE33" s="2694"/>
      <c r="EF33" s="2694"/>
      <c r="EG33" s="2694"/>
      <c r="EH33" s="2694"/>
      <c r="EI33" s="2694"/>
      <c r="EJ33" s="2694"/>
      <c r="EK33" s="2694"/>
      <c r="EL33" s="2694"/>
      <c r="EM33" s="2694"/>
      <c r="EN33" s="2694"/>
      <c r="EO33" s="2694"/>
      <c r="EP33" s="2694"/>
      <c r="EQ33" s="2694"/>
      <c r="ER33" s="2694"/>
      <c r="ES33" s="2694"/>
      <c r="ET33" s="2694"/>
      <c r="EU33" s="2694"/>
      <c r="EV33" s="2694"/>
      <c r="EW33" s="2694"/>
      <c r="EX33" s="2694"/>
      <c r="EY33" s="2694"/>
      <c r="EZ33" s="2694"/>
      <c r="FA33" s="2694"/>
      <c r="FB33" s="2694"/>
      <c r="FC33" s="2694"/>
      <c r="FD33" s="2694"/>
      <c r="FE33" s="2694"/>
      <c r="FF33" s="2694"/>
      <c r="FG33" s="2694"/>
      <c r="FH33" s="2694"/>
      <c r="FI33" s="2694"/>
      <c r="FJ33" s="2694"/>
      <c r="FM33" s="628"/>
    </row>
    <row r="34" spans="1:169" ht="17.25" customHeight="1" x14ac:dyDescent="0.3">
      <c r="A34" s="2683" t="s">
        <v>2524</v>
      </c>
      <c r="B34" s="2684">
        <v>19964.110167409999</v>
      </c>
      <c r="C34" s="2684">
        <v>20456.15655851</v>
      </c>
      <c r="D34" s="2684">
        <v>20656.54350453</v>
      </c>
      <c r="E34" s="2684">
        <v>20976.469956159999</v>
      </c>
      <c r="F34" s="2684">
        <v>23542.384742170001</v>
      </c>
      <c r="G34" s="2684">
        <v>20273.87106505</v>
      </c>
      <c r="H34" s="2684">
        <v>18508.569286829999</v>
      </c>
      <c r="I34" s="2684">
        <v>19472.344551769998</v>
      </c>
      <c r="J34" s="2684">
        <v>20495.222189169999</v>
      </c>
      <c r="K34" s="2684">
        <v>20301.791217229998</v>
      </c>
      <c r="L34" s="2684">
        <v>20191.020255149997</v>
      </c>
      <c r="M34" s="2684">
        <v>21361.044988709997</v>
      </c>
      <c r="N34" s="2684">
        <v>19413.827296809999</v>
      </c>
      <c r="O34" s="2684">
        <v>19582.327154339997</v>
      </c>
      <c r="P34" s="2684">
        <v>18243.485036359998</v>
      </c>
      <c r="Q34" s="2684">
        <v>17904.736877859999</v>
      </c>
      <c r="R34" s="2684">
        <v>18921.887750959999</v>
      </c>
      <c r="S34" s="2684">
        <v>20149.1601701</v>
      </c>
      <c r="T34" s="2684">
        <v>18753.241767789998</v>
      </c>
      <c r="U34" s="2684">
        <v>19617.36774234</v>
      </c>
      <c r="V34" s="2684">
        <v>19604.223607200001</v>
      </c>
      <c r="W34" s="2684">
        <v>21354.738473539997</v>
      </c>
      <c r="X34" s="2684">
        <v>20283.88373102</v>
      </c>
      <c r="Y34" s="2684">
        <v>19542.970377910002</v>
      </c>
      <c r="Z34" s="2684">
        <v>21291.50351029</v>
      </c>
      <c r="AA34" s="2684">
        <v>21595.119234290003</v>
      </c>
      <c r="AB34" s="2684">
        <v>20783.147565799998</v>
      </c>
      <c r="AC34" s="2684">
        <v>21203.46923585</v>
      </c>
      <c r="AD34" s="2684">
        <v>19954.35588607</v>
      </c>
      <c r="AE34" s="2684">
        <v>23783.569044780001</v>
      </c>
      <c r="AF34" s="2684">
        <v>23780.145553330003</v>
      </c>
      <c r="AG34" s="2684">
        <v>23569.844059790001</v>
      </c>
      <c r="AH34" s="2684">
        <v>25164.681625080102</v>
      </c>
      <c r="AI34" s="2684">
        <v>26025.415872760001</v>
      </c>
      <c r="AJ34" s="2684">
        <v>25692.210255179998</v>
      </c>
      <c r="AK34" s="2684">
        <v>25383.877467489983</v>
      </c>
      <c r="AL34" s="2684">
        <v>25930.891317520014</v>
      </c>
      <c r="AM34" s="2684">
        <v>25189.279282339958</v>
      </c>
      <c r="AN34" s="2685">
        <v>25613.860504809993</v>
      </c>
      <c r="AO34" s="2685">
        <v>25224.743159949947</v>
      </c>
      <c r="AP34" s="2685">
        <v>23948.197494770015</v>
      </c>
      <c r="AQ34" s="2685">
        <v>21850.039449129996</v>
      </c>
      <c r="AR34" s="2685">
        <v>22254.871252340021</v>
      </c>
      <c r="AS34" s="2685">
        <v>21879.72865525998</v>
      </c>
      <c r="AT34" s="2685">
        <v>22545.301191179984</v>
      </c>
      <c r="AU34" s="2685">
        <v>22101.591468449988</v>
      </c>
      <c r="AV34" s="2685">
        <v>21365.243426009969</v>
      </c>
      <c r="AW34" s="2685">
        <v>20881.14524601998</v>
      </c>
      <c r="AX34" s="2685">
        <v>20472.976203240014</v>
      </c>
      <c r="AY34" s="2685">
        <v>21487.784692900022</v>
      </c>
      <c r="AZ34" s="2685">
        <v>21928.267963229922</v>
      </c>
      <c r="BA34" s="2685">
        <v>21797.014970980046</v>
      </c>
      <c r="BB34" s="2685">
        <v>22086.19730513003</v>
      </c>
      <c r="BC34" s="2685">
        <v>22650.277264699977</v>
      </c>
      <c r="BD34" s="2685">
        <v>21679.910396959978</v>
      </c>
      <c r="BE34" s="2685">
        <v>22462.728441649982</v>
      </c>
      <c r="BF34" s="2685">
        <v>20288.861448660031</v>
      </c>
      <c r="BG34" s="2685">
        <v>18978.052171999949</v>
      </c>
      <c r="BH34" s="2685">
        <v>18191.658810679994</v>
      </c>
      <c r="BI34" s="2685">
        <v>17271.864959959996</v>
      </c>
      <c r="BJ34" s="2685">
        <v>16252.714630709965</v>
      </c>
      <c r="BK34" s="2685">
        <v>18325.476515089984</v>
      </c>
      <c r="BL34" s="2685">
        <v>27006.25268139</v>
      </c>
      <c r="BM34" s="2685">
        <v>26101.492148820111</v>
      </c>
      <c r="BN34" s="2685">
        <v>24870.176161724856</v>
      </c>
      <c r="BO34" s="2685">
        <v>24471.645377400018</v>
      </c>
      <c r="BP34" s="2686">
        <v>23760.590670869977</v>
      </c>
      <c r="BQ34" s="2686">
        <v>23082.71069057002</v>
      </c>
      <c r="BR34" s="2686">
        <v>24280.758976100049</v>
      </c>
      <c r="BS34" s="2686">
        <v>25590.232428529933</v>
      </c>
      <c r="BT34" s="2686">
        <v>25098.625338600003</v>
      </c>
      <c r="BU34" s="2686">
        <v>24330.692173520045</v>
      </c>
      <c r="BV34" s="2686">
        <v>24688.323351009974</v>
      </c>
      <c r="BW34" s="2686">
        <v>25037.211866000027</v>
      </c>
      <c r="BX34" s="2686">
        <v>25089.035267669948</v>
      </c>
      <c r="BY34" s="2686">
        <v>24090.776523889981</v>
      </c>
      <c r="BZ34" s="2686">
        <v>24578.904463949977</v>
      </c>
      <c r="CA34" s="2686">
        <v>25995.394258479944</v>
      </c>
      <c r="CB34" s="2686">
        <v>25933.130423700044</v>
      </c>
      <c r="CC34" s="2686">
        <v>24933.187775389986</v>
      </c>
      <c r="CD34" s="2686">
        <v>25807.537072730051</v>
      </c>
      <c r="CE34" s="2686">
        <v>26103.819359800116</v>
      </c>
      <c r="CF34" s="2686">
        <v>24442.946636389959</v>
      </c>
      <c r="CG34" s="2686">
        <v>23689.873631919989</v>
      </c>
      <c r="CH34" s="2687">
        <v>23188.90674147004</v>
      </c>
      <c r="CI34" s="2687">
        <v>23496.741578239998</v>
      </c>
      <c r="CJ34" s="2687">
        <v>22597.495759479989</v>
      </c>
      <c r="CK34" s="2687">
        <v>22044.530639399971</v>
      </c>
      <c r="CL34" s="2687">
        <v>21561.821478250007</v>
      </c>
      <c r="CM34" s="2687">
        <v>19811.472098009999</v>
      </c>
      <c r="CN34" s="2687">
        <v>15924.198801319966</v>
      </c>
      <c r="CO34" s="2687">
        <v>13081.932868679964</v>
      </c>
      <c r="CP34" s="2687">
        <v>18469.000551759978</v>
      </c>
      <c r="CQ34" s="2687">
        <v>20435.040907790011</v>
      </c>
      <c r="CR34" s="2687">
        <v>17745.504284119903</v>
      </c>
      <c r="CS34" s="2687">
        <v>17770.187594280058</v>
      </c>
      <c r="CT34" s="2687">
        <v>13353.068122100005</v>
      </c>
      <c r="CU34" s="2687">
        <v>15538.917807289947</v>
      </c>
      <c r="CV34" s="2687">
        <v>18076.365482630034</v>
      </c>
      <c r="CW34" s="2656">
        <v>22476.450769049956</v>
      </c>
      <c r="CX34" s="2656">
        <v>21764.401940069976</v>
      </c>
      <c r="CY34" s="2656">
        <v>19920.449408879998</v>
      </c>
      <c r="CZ34" s="2656">
        <v>17132.549358880002</v>
      </c>
      <c r="DA34" s="2656">
        <v>17331.741958690058</v>
      </c>
      <c r="DB34" s="2656">
        <v>16655.315602609982</v>
      </c>
      <c r="DC34" s="2656">
        <v>17236.659394390081</v>
      </c>
      <c r="DD34" s="2656">
        <v>16047.574822380067</v>
      </c>
      <c r="DE34" s="2656">
        <v>16794.55439085004</v>
      </c>
      <c r="DF34" s="2656">
        <v>16187.812679669985</v>
      </c>
      <c r="DG34" s="2656">
        <v>17285.976926669988</v>
      </c>
      <c r="DH34" s="2656">
        <v>21126.782202980045</v>
      </c>
      <c r="DI34" s="2656">
        <v>23277.807549940124</v>
      </c>
      <c r="DJ34" s="2656">
        <v>26886.065392700013</v>
      </c>
      <c r="DK34" s="2656">
        <v>30796.05285072992</v>
      </c>
      <c r="DL34" s="2656">
        <v>32248.78907285001</v>
      </c>
      <c r="DM34" s="2656">
        <v>34263.150843110052</v>
      </c>
      <c r="DN34" s="2656">
        <v>36312.045858509955</v>
      </c>
      <c r="DO34" s="2656">
        <v>36818.002139040036</v>
      </c>
      <c r="DP34" s="2656">
        <v>38480.682415569943</v>
      </c>
      <c r="DQ34" s="2656">
        <v>22423.470864930048</v>
      </c>
      <c r="DR34" s="2656">
        <v>25347.25553749987</v>
      </c>
      <c r="DS34" s="2656">
        <v>29915.161736709953</v>
      </c>
      <c r="DT34" s="2656">
        <v>33266.74863743993</v>
      </c>
      <c r="DU34" s="2656">
        <v>43315.521985109976</v>
      </c>
      <c r="DV34" s="2688">
        <v>45358.747164090011</v>
      </c>
      <c r="DW34" s="2688">
        <v>48614.019775939989</v>
      </c>
      <c r="DX34" s="2688">
        <v>51944.345824869946</v>
      </c>
      <c r="DY34" s="2688">
        <v>51706.888492540071</v>
      </c>
      <c r="DZ34" s="2688">
        <v>51174.950152169957</v>
      </c>
      <c r="EA34" s="2688">
        <v>51147.822299679843</v>
      </c>
      <c r="EB34" s="2688">
        <v>53731.527280900147</v>
      </c>
      <c r="EC34" s="2688">
        <v>54840.327218580074</v>
      </c>
      <c r="ED34" s="2688">
        <v>54825.346195260252</v>
      </c>
      <c r="EE34" s="2688">
        <v>54663.651045490231</v>
      </c>
      <c r="EF34" s="2688">
        <v>56369.384690699953</v>
      </c>
      <c r="EG34" s="2688">
        <v>27134.189067319825</v>
      </c>
      <c r="EH34" s="2688">
        <v>31768.780279029783</v>
      </c>
      <c r="EI34" s="2688">
        <v>40194.416965589997</v>
      </c>
      <c r="EJ34" s="2688">
        <v>40183.213761679712</v>
      </c>
      <c r="EK34" s="2688">
        <v>39867.37100731003</v>
      </c>
      <c r="EL34" s="2688">
        <v>37284.54785757004</v>
      </c>
      <c r="EM34" s="2688">
        <v>40013.119371209934</v>
      </c>
      <c r="EN34" s="2688">
        <v>17576.358655040021</v>
      </c>
      <c r="EO34" s="2688">
        <v>20425.451099229962</v>
      </c>
      <c r="EP34" s="2688">
        <v>18140.558519259746</v>
      </c>
      <c r="EQ34" s="2688">
        <v>19235.445448929913</v>
      </c>
      <c r="ER34" s="2688">
        <v>20525.166046790022</v>
      </c>
      <c r="ES34" s="2688">
        <v>9921.0327276498811</v>
      </c>
      <c r="ET34" s="2688">
        <v>10116.396567280008</v>
      </c>
      <c r="EU34" s="2688">
        <v>12818.432083740001</v>
      </c>
      <c r="EV34" s="2688">
        <v>14298.364415839853</v>
      </c>
      <c r="EW34" s="2688">
        <v>10567.036497750252</v>
      </c>
      <c r="EX34" s="2688">
        <v>6786.3282931899503</v>
      </c>
      <c r="EY34" s="2688">
        <v>1169.7412839499593</v>
      </c>
      <c r="EZ34" s="2688">
        <v>5749.4202337300967</v>
      </c>
      <c r="FA34" s="2688">
        <v>7068.1932995399111</v>
      </c>
      <c r="FB34" s="2688">
        <v>15091.893546869989</v>
      </c>
      <c r="FC34" s="2688">
        <v>18623.679913639764</v>
      </c>
      <c r="FD34" s="2688">
        <v>21273.339019190058</v>
      </c>
      <c r="FE34" s="2688">
        <v>17660.572851819939</v>
      </c>
      <c r="FF34" s="2688">
        <v>19560.07604032995</v>
      </c>
      <c r="FG34" s="2688">
        <v>19926.803392500118</v>
      </c>
      <c r="FH34" s="2688">
        <v>17463.499940499863</v>
      </c>
      <c r="FI34" s="2688">
        <v>15223.583821809923</v>
      </c>
      <c r="FJ34" s="2688">
        <v>8564.0343800799419</v>
      </c>
      <c r="FM34" s="628"/>
    </row>
    <row r="35" spans="1:169" ht="17.25" x14ac:dyDescent="0.3">
      <c r="A35" s="2689"/>
      <c r="B35" s="2690"/>
      <c r="C35" s="2690"/>
      <c r="D35" s="2690"/>
      <c r="E35" s="2690"/>
      <c r="F35" s="2690"/>
      <c r="G35" s="2690"/>
      <c r="H35" s="2690"/>
      <c r="I35" s="2690"/>
      <c r="J35" s="2690"/>
      <c r="K35" s="2690"/>
      <c r="L35" s="2690"/>
      <c r="M35" s="2690"/>
      <c r="N35" s="2690"/>
      <c r="O35" s="2690"/>
      <c r="P35" s="2690"/>
      <c r="Q35" s="2690"/>
      <c r="R35" s="2690"/>
      <c r="S35" s="2690"/>
      <c r="T35" s="2690"/>
      <c r="U35" s="2690"/>
      <c r="V35" s="2690"/>
      <c r="W35" s="2690"/>
      <c r="X35" s="2690"/>
      <c r="Y35" s="2690"/>
      <c r="Z35" s="2690"/>
      <c r="AA35" s="2690"/>
      <c r="AB35" s="2690"/>
      <c r="AC35" s="2690"/>
      <c r="AD35" s="2690"/>
      <c r="AE35" s="2690"/>
      <c r="AF35" s="2690"/>
      <c r="AG35" s="2690"/>
      <c r="AH35" s="2690"/>
      <c r="AI35" s="2690"/>
      <c r="AJ35" s="2690"/>
      <c r="AK35" s="2690"/>
      <c r="AL35" s="2690"/>
      <c r="AM35" s="2690"/>
      <c r="AN35" s="2691"/>
      <c r="AO35" s="2691"/>
      <c r="AP35" s="2691"/>
      <c r="AQ35" s="2691"/>
      <c r="AR35" s="2691"/>
      <c r="AS35" s="2691"/>
      <c r="AT35" s="2691"/>
      <c r="AU35" s="2691"/>
      <c r="AV35" s="2691"/>
      <c r="AW35" s="2691"/>
      <c r="AX35" s="2691"/>
      <c r="AY35" s="2691"/>
      <c r="AZ35" s="2691"/>
      <c r="BA35" s="2691"/>
      <c r="BB35" s="2691"/>
      <c r="BC35" s="2691"/>
      <c r="BD35" s="2691"/>
      <c r="BE35" s="2691"/>
      <c r="BF35" s="2691"/>
      <c r="BG35" s="2691"/>
      <c r="BH35" s="2691"/>
      <c r="BI35" s="2691"/>
      <c r="BJ35" s="2691"/>
      <c r="BK35" s="2691"/>
      <c r="BL35" s="2691"/>
      <c r="BM35" s="2691"/>
      <c r="BN35" s="2691"/>
      <c r="BO35" s="2691"/>
      <c r="BP35" s="2692"/>
      <c r="BQ35" s="2692"/>
      <c r="BR35" s="2692"/>
      <c r="BS35" s="2692"/>
      <c r="BT35" s="2692"/>
      <c r="BU35" s="2692"/>
      <c r="BV35" s="2692"/>
      <c r="BW35" s="2692"/>
      <c r="BX35" s="2692"/>
      <c r="BY35" s="2692"/>
      <c r="BZ35" s="2692"/>
      <c r="CA35" s="2692"/>
      <c r="CB35" s="2692"/>
      <c r="CC35" s="2692"/>
      <c r="CD35" s="2692"/>
      <c r="CE35" s="2692"/>
      <c r="CF35" s="2692"/>
      <c r="CG35" s="2692"/>
      <c r="CH35" s="2693"/>
      <c r="CI35" s="2693"/>
      <c r="CJ35" s="2693"/>
      <c r="CK35" s="2693"/>
      <c r="CL35" s="2693"/>
      <c r="CM35" s="2693"/>
      <c r="CN35" s="2693"/>
      <c r="CO35" s="2693"/>
      <c r="CP35" s="2693"/>
      <c r="CQ35" s="2693"/>
      <c r="CR35" s="2693"/>
      <c r="CS35" s="2693"/>
      <c r="CT35" s="2693"/>
      <c r="CU35" s="2693"/>
      <c r="CV35" s="2693"/>
      <c r="CW35" s="2660"/>
      <c r="CX35" s="2660"/>
      <c r="CY35" s="2660"/>
      <c r="CZ35" s="2660"/>
      <c r="DA35" s="2660"/>
      <c r="DB35" s="2660"/>
      <c r="DC35" s="2660"/>
      <c r="DD35" s="2660"/>
      <c r="DE35" s="2660"/>
      <c r="DF35" s="2660"/>
      <c r="DG35" s="2660"/>
      <c r="DH35" s="2660"/>
      <c r="DI35" s="2660"/>
      <c r="DJ35" s="2660"/>
      <c r="DK35" s="2660"/>
      <c r="DL35" s="2660"/>
      <c r="DM35" s="2660"/>
      <c r="DN35" s="2660"/>
      <c r="DO35" s="2660"/>
      <c r="DP35" s="2660"/>
      <c r="DQ35" s="2660"/>
      <c r="DR35" s="2660"/>
      <c r="DS35" s="2660"/>
      <c r="DT35" s="2660"/>
      <c r="DU35" s="2660"/>
      <c r="DV35" s="2694"/>
      <c r="DW35" s="2694"/>
      <c r="DX35" s="2694"/>
      <c r="DY35" s="2694"/>
      <c r="DZ35" s="2694"/>
      <c r="EA35" s="2694"/>
      <c r="EB35" s="2694"/>
      <c r="EC35" s="2694"/>
      <c r="ED35" s="2694"/>
      <c r="EE35" s="2694"/>
      <c r="EF35" s="2694"/>
      <c r="EG35" s="2694"/>
      <c r="EH35" s="2694"/>
      <c r="EI35" s="2694"/>
      <c r="EJ35" s="2694"/>
      <c r="EK35" s="2694"/>
      <c r="EL35" s="2694"/>
      <c r="EM35" s="2694"/>
      <c r="EN35" s="2694"/>
      <c r="EO35" s="2694"/>
      <c r="EP35" s="2694"/>
      <c r="EQ35" s="2694"/>
      <c r="ER35" s="2694"/>
      <c r="ES35" s="2694"/>
      <c r="ET35" s="2694"/>
      <c r="EU35" s="2694"/>
      <c r="EV35" s="2694"/>
      <c r="EW35" s="2694"/>
      <c r="EX35" s="2694"/>
      <c r="EY35" s="2694"/>
      <c r="EZ35" s="2694"/>
      <c r="FA35" s="2694"/>
      <c r="FB35" s="2694"/>
      <c r="FC35" s="2694"/>
      <c r="FD35" s="2694"/>
      <c r="FE35" s="2694"/>
      <c r="FF35" s="2694"/>
      <c r="FG35" s="2694"/>
      <c r="FH35" s="2694"/>
      <c r="FI35" s="2694"/>
      <c r="FJ35" s="2694"/>
      <c r="FM35" s="628"/>
    </row>
    <row r="36" spans="1:169" ht="17.25" customHeight="1" x14ac:dyDescent="0.3">
      <c r="A36" s="2683" t="s">
        <v>2585</v>
      </c>
      <c r="B36" s="2684">
        <v>-1434.667344337124</v>
      </c>
      <c r="C36" s="2684">
        <v>-1477.1395861087244</v>
      </c>
      <c r="D36" s="2684">
        <v>-1358.796941880126</v>
      </c>
      <c r="E36" s="2684">
        <v>-1458.96645092479</v>
      </c>
      <c r="F36" s="2684">
        <v>-1381.6226738184043</v>
      </c>
      <c r="G36" s="2684">
        <v>-963.28624081337387</v>
      </c>
      <c r="H36" s="2684">
        <v>422.07065105018188</v>
      </c>
      <c r="I36" s="2684">
        <v>-978.82857102485036</v>
      </c>
      <c r="J36" s="2684">
        <v>-823.93375902726427</v>
      </c>
      <c r="K36" s="2684">
        <v>-850.77931149989365</v>
      </c>
      <c r="L36" s="2684">
        <v>-987.49065916572863</v>
      </c>
      <c r="M36" s="2684">
        <v>-936.4391397666551</v>
      </c>
      <c r="N36" s="2684">
        <v>-736.96161155021503</v>
      </c>
      <c r="O36" s="2684">
        <v>-1051.1752037621868</v>
      </c>
      <c r="P36" s="2684">
        <v>-1021.8921495364106</v>
      </c>
      <c r="Q36" s="2684">
        <v>-832.03756500450504</v>
      </c>
      <c r="R36" s="2684">
        <v>-730.79269520945854</v>
      </c>
      <c r="S36" s="2684">
        <v>-759.96603815235449</v>
      </c>
      <c r="T36" s="2684">
        <v>-504.77425950995183</v>
      </c>
      <c r="U36" s="2684">
        <v>-508.68117633964766</v>
      </c>
      <c r="V36" s="2684">
        <v>-893.80414623820752</v>
      </c>
      <c r="W36" s="2684">
        <v>-763.39340329816673</v>
      </c>
      <c r="X36" s="2684">
        <v>-790.29161976840771</v>
      </c>
      <c r="Y36" s="2684">
        <v>-816.00497894945283</v>
      </c>
      <c r="Z36" s="2684">
        <v>-832.01725442353654</v>
      </c>
      <c r="AA36" s="2684">
        <v>-933.02095446765031</v>
      </c>
      <c r="AB36" s="2684">
        <v>-911.91733136025948</v>
      </c>
      <c r="AC36" s="2684">
        <v>-867.71302911767884</v>
      </c>
      <c r="AD36" s="2684">
        <v>-745.94810927188189</v>
      </c>
      <c r="AE36" s="2684">
        <v>-918.58672977184278</v>
      </c>
      <c r="AF36" s="2684">
        <v>-226.3974311698656</v>
      </c>
      <c r="AG36" s="2684">
        <v>-387.84265693047922</v>
      </c>
      <c r="AH36" s="2684">
        <v>-365.45336159888342</v>
      </c>
      <c r="AI36" s="2684">
        <v>-802.39928888553823</v>
      </c>
      <c r="AJ36" s="2684">
        <v>-837.88849807393342</v>
      </c>
      <c r="AK36" s="2684">
        <v>-770.03294562189137</v>
      </c>
      <c r="AL36" s="2684">
        <v>-706.71763879889261</v>
      </c>
      <c r="AM36" s="2684">
        <v>-789.79346798723486</v>
      </c>
      <c r="AN36" s="2685">
        <v>-768.23533532531997</v>
      </c>
      <c r="AO36" s="2685">
        <v>-720.28712618726922</v>
      </c>
      <c r="AP36" s="2685">
        <v>-805.11434280500669</v>
      </c>
      <c r="AQ36" s="2685">
        <v>-791.2372303008666</v>
      </c>
      <c r="AR36" s="2685">
        <v>-528.62362887682525</v>
      </c>
      <c r="AS36" s="2685">
        <v>-292.27452656486992</v>
      </c>
      <c r="AT36" s="2685">
        <v>-471.44493521788257</v>
      </c>
      <c r="AU36" s="2685">
        <v>-625.18479977963523</v>
      </c>
      <c r="AV36" s="2685">
        <v>-591.5090061080225</v>
      </c>
      <c r="AW36" s="2685">
        <v>-461.1157980625905</v>
      </c>
      <c r="AX36" s="2685">
        <v>-571.83377932754422</v>
      </c>
      <c r="AY36" s="2685">
        <v>-701.1908600242333</v>
      </c>
      <c r="AZ36" s="2685">
        <v>-648.70551274924367</v>
      </c>
      <c r="BA36" s="2685">
        <v>-771.73986722279722</v>
      </c>
      <c r="BB36" s="2685">
        <v>-795.70958153309766</v>
      </c>
      <c r="BC36" s="2685">
        <v>-637.35298319984395</v>
      </c>
      <c r="BD36" s="2685">
        <v>-539.34628236549941</v>
      </c>
      <c r="BE36" s="2685">
        <v>-576.38832892289986</v>
      </c>
      <c r="BF36" s="2685">
        <v>-580.47644205281802</v>
      </c>
      <c r="BG36" s="2685">
        <v>-218.5600711052563</v>
      </c>
      <c r="BH36" s="2685">
        <v>-198.01053248810692</v>
      </c>
      <c r="BI36" s="2685">
        <v>18.417431191710673</v>
      </c>
      <c r="BJ36" s="2685">
        <v>-192.51418336793432</v>
      </c>
      <c r="BK36" s="2685">
        <v>-223.54069141485081</v>
      </c>
      <c r="BL36" s="2685">
        <v>-83.283343983249893</v>
      </c>
      <c r="BM36" s="2685">
        <v>-169.83530557149891</v>
      </c>
      <c r="BN36" s="2685">
        <v>-200.29556304832823</v>
      </c>
      <c r="BO36" s="2685">
        <v>-98.296839244733789</v>
      </c>
      <c r="BP36" s="2686">
        <v>-143.22414376783343</v>
      </c>
      <c r="BQ36" s="2686">
        <v>-101.17105117024779</v>
      </c>
      <c r="BR36" s="2686">
        <v>-42.97057549160867</v>
      </c>
      <c r="BS36" s="2686">
        <v>13.426260070348064</v>
      </c>
      <c r="BT36" s="2686">
        <v>-77.607520890654939</v>
      </c>
      <c r="BU36" s="2686">
        <v>-120.42892680083372</v>
      </c>
      <c r="BV36" s="2686">
        <v>-174.99323925486189</v>
      </c>
      <c r="BW36" s="2686">
        <v>-197.48082146669412</v>
      </c>
      <c r="BX36" s="2686">
        <v>-79.183197611921059</v>
      </c>
      <c r="BY36" s="2686">
        <v>-150.11271862557624</v>
      </c>
      <c r="BZ36" s="2686">
        <v>-249.25243105175343</v>
      </c>
      <c r="CA36" s="2686">
        <v>-284.40648506650109</v>
      </c>
      <c r="CB36" s="2686">
        <v>72.088989495391274</v>
      </c>
      <c r="CC36" s="2686">
        <v>-292.23295447361454</v>
      </c>
      <c r="CD36" s="2686">
        <v>-262.29288709611149</v>
      </c>
      <c r="CE36" s="2686">
        <v>344.2125126538017</v>
      </c>
      <c r="CF36" s="2686">
        <v>410.39800806062999</v>
      </c>
      <c r="CG36" s="2686">
        <v>425.64204574198817</v>
      </c>
      <c r="CH36" s="2687">
        <v>-13.538061218687098</v>
      </c>
      <c r="CI36" s="2687">
        <v>-14.448521658266181</v>
      </c>
      <c r="CJ36" s="2687">
        <v>28.452355463166732</v>
      </c>
      <c r="CK36" s="2687">
        <v>117.4026793225201</v>
      </c>
      <c r="CL36" s="2687">
        <v>113.49286204393974</v>
      </c>
      <c r="CM36" s="2687">
        <v>885.51341502868547</v>
      </c>
      <c r="CN36" s="2687">
        <v>874.47275256823605</v>
      </c>
      <c r="CO36" s="2687">
        <v>692.60368012806362</v>
      </c>
      <c r="CP36" s="2687">
        <v>757.5906453765906</v>
      </c>
      <c r="CQ36" s="2687">
        <v>824.49804802535368</v>
      </c>
      <c r="CR36" s="2687">
        <v>252.57199787308105</v>
      </c>
      <c r="CS36" s="2687">
        <v>198.65246048526285</v>
      </c>
      <c r="CT36" s="2687">
        <v>249.07233585688198</v>
      </c>
      <c r="CU36" s="2687">
        <v>-195.63840161436303</v>
      </c>
      <c r="CV36" s="2687">
        <v>-250.58561964910257</v>
      </c>
      <c r="CW36" s="2656">
        <v>-209.99915048719703</v>
      </c>
      <c r="CX36" s="2656">
        <v>-197.69349635031514</v>
      </c>
      <c r="CY36" s="2656">
        <v>-290.21345935776117</v>
      </c>
      <c r="CZ36" s="2656">
        <v>-480.37297875576337</v>
      </c>
      <c r="DA36" s="2656">
        <v>-762.6992331815793</v>
      </c>
      <c r="DB36" s="2656">
        <v>-944.32704440072484</v>
      </c>
      <c r="DC36" s="2656">
        <v>-340.82413927257477</v>
      </c>
      <c r="DD36" s="2656">
        <v>-466.06514340669202</v>
      </c>
      <c r="DE36" s="2656">
        <v>-746.67006372587366</v>
      </c>
      <c r="DF36" s="2656">
        <v>-1180.286852710776</v>
      </c>
      <c r="DG36" s="2656">
        <v>-861.68118366403019</v>
      </c>
      <c r="DH36" s="2656">
        <v>-1059.6681897416761</v>
      </c>
      <c r="DI36" s="2656">
        <v>-1216.0658879815901</v>
      </c>
      <c r="DJ36" s="2656">
        <v>-1227.2218751968262</v>
      </c>
      <c r="DK36" s="2656">
        <v>-1426.6472765607034</v>
      </c>
      <c r="DL36" s="2656">
        <v>593.18094874911458</v>
      </c>
      <c r="DM36" s="2656">
        <v>516.12391482636963</v>
      </c>
      <c r="DN36" s="2656">
        <v>405.81119199809683</v>
      </c>
      <c r="DO36" s="2656">
        <v>345.32533107328396</v>
      </c>
      <c r="DP36" s="2656">
        <v>307.191036963621</v>
      </c>
      <c r="DQ36" s="2656">
        <v>52.294709305526148</v>
      </c>
      <c r="DR36" s="2656">
        <v>-718.02153887484747</v>
      </c>
      <c r="DS36" s="2656">
        <v>-903.45221099238915</v>
      </c>
      <c r="DT36" s="2656">
        <v>-486.51307189057411</v>
      </c>
      <c r="DU36" s="2656">
        <v>-1219.9579763794325</v>
      </c>
      <c r="DV36" s="2688">
        <v>-1430.9035418816873</v>
      </c>
      <c r="DW36" s="2688">
        <v>-1592.2142798324621</v>
      </c>
      <c r="DX36" s="2688">
        <v>1033.827669176369</v>
      </c>
      <c r="DY36" s="2688">
        <v>-39012.013914347088</v>
      </c>
      <c r="DZ36" s="2688">
        <v>-55034.417717449447</v>
      </c>
      <c r="EA36" s="2688">
        <v>-60811.162764399603</v>
      </c>
      <c r="EB36" s="2688">
        <v>-61286.622318002424</v>
      </c>
      <c r="EC36" s="2688">
        <v>-60205.099149462869</v>
      </c>
      <c r="ED36" s="2688">
        <v>-60700.553695226125</v>
      </c>
      <c r="EE36" s="2688">
        <v>-60973.838605188532</v>
      </c>
      <c r="EF36" s="2688">
        <v>-60684.509448431279</v>
      </c>
      <c r="EG36" s="2688">
        <v>-29444.138719260791</v>
      </c>
      <c r="EH36" s="2688">
        <v>-29626.753758330637</v>
      </c>
      <c r="EI36" s="2688">
        <v>-29735.971778172636</v>
      </c>
      <c r="EJ36" s="2688">
        <v>-27124.784608800677</v>
      </c>
      <c r="EK36" s="2688">
        <v>-27318.091904979214</v>
      </c>
      <c r="EL36" s="2688">
        <v>-27079.509582577317</v>
      </c>
      <c r="EM36" s="2688">
        <v>-27233.549044005955</v>
      </c>
      <c r="EN36" s="2688">
        <v>-4853.2742563041156</v>
      </c>
      <c r="EO36" s="2688">
        <v>-4609.6942506003206</v>
      </c>
      <c r="EP36" s="2688">
        <v>-4514.941082826299</v>
      </c>
      <c r="EQ36" s="2688">
        <v>-5115.2881712066182</v>
      </c>
      <c r="ER36" s="2688">
        <v>-5000.9322988180847</v>
      </c>
      <c r="ES36" s="2688">
        <v>-5718.6815915695224</v>
      </c>
      <c r="ET36" s="2688">
        <v>-5927.0851526017914</v>
      </c>
      <c r="EU36" s="2688">
        <v>2186.3761947366393</v>
      </c>
      <c r="EV36" s="2688">
        <v>1960.0204004414245</v>
      </c>
      <c r="EW36" s="2688">
        <v>1538.1137968619917</v>
      </c>
      <c r="EX36" s="2688">
        <v>1421.4440378481879</v>
      </c>
      <c r="EY36" s="2688">
        <v>1551.7016457492703</v>
      </c>
      <c r="EZ36" s="2688">
        <v>14109.008478101148</v>
      </c>
      <c r="FA36" s="2688">
        <v>18805.816496574571</v>
      </c>
      <c r="FB36" s="2688">
        <v>685.83146615400824</v>
      </c>
      <c r="FC36" s="2688">
        <v>435.98479768645086</v>
      </c>
      <c r="FD36" s="2688">
        <v>3849.1259048728825</v>
      </c>
      <c r="FE36" s="2688">
        <v>-151.30654819503368</v>
      </c>
      <c r="FF36" s="2688">
        <v>-715.03501723742534</v>
      </c>
      <c r="FG36" s="2688">
        <v>-1263.745384575044</v>
      </c>
      <c r="FH36" s="2688">
        <v>4314.9382285493539</v>
      </c>
      <c r="FI36" s="2688">
        <v>3600.1226560418904</v>
      </c>
      <c r="FJ36" s="2688">
        <v>3492.8696591406601</v>
      </c>
      <c r="FM36" s="628"/>
    </row>
    <row r="37" spans="1:169" ht="18" thickBot="1" x14ac:dyDescent="0.35">
      <c r="A37" s="2711"/>
      <c r="B37" s="2712"/>
      <c r="C37" s="2712"/>
      <c r="D37" s="2712"/>
      <c r="E37" s="2712"/>
      <c r="F37" s="2712"/>
      <c r="G37" s="2712"/>
      <c r="H37" s="2712"/>
      <c r="I37" s="2712"/>
      <c r="J37" s="2712"/>
      <c r="K37" s="2712"/>
      <c r="L37" s="2712"/>
      <c r="M37" s="2712"/>
      <c r="N37" s="2712"/>
      <c r="O37" s="2712"/>
      <c r="P37" s="2712"/>
      <c r="Q37" s="2712"/>
      <c r="R37" s="2712"/>
      <c r="S37" s="2712"/>
      <c r="T37" s="2712"/>
      <c r="U37" s="2712"/>
      <c r="V37" s="2712"/>
      <c r="W37" s="2712"/>
      <c r="X37" s="2712"/>
      <c r="Y37" s="2712"/>
      <c r="Z37" s="2712"/>
      <c r="AA37" s="2712"/>
      <c r="AB37" s="2712"/>
      <c r="AC37" s="2712"/>
      <c r="AD37" s="2712"/>
      <c r="AE37" s="2712"/>
      <c r="AF37" s="2712"/>
      <c r="AG37" s="2712"/>
      <c r="AH37" s="2712"/>
      <c r="AI37" s="2712"/>
      <c r="AJ37" s="2712"/>
      <c r="AK37" s="2712"/>
      <c r="AL37" s="2712"/>
      <c r="AM37" s="2712"/>
      <c r="AN37" s="2712"/>
      <c r="AO37" s="2712"/>
      <c r="AP37" s="2712"/>
      <c r="AQ37" s="2712"/>
      <c r="AR37" s="2712"/>
      <c r="AS37" s="2712"/>
      <c r="AT37" s="2712"/>
      <c r="AU37" s="2712"/>
      <c r="AV37" s="2712"/>
      <c r="AW37" s="2712"/>
      <c r="AX37" s="2712"/>
      <c r="AY37" s="2712"/>
      <c r="AZ37" s="2712"/>
      <c r="BA37" s="2712"/>
      <c r="BB37" s="2712"/>
      <c r="BC37" s="2712"/>
      <c r="BD37" s="2712"/>
      <c r="BE37" s="2712"/>
      <c r="BF37" s="2712"/>
      <c r="BG37" s="2712"/>
      <c r="BH37" s="2712"/>
      <c r="BI37" s="2712"/>
      <c r="BJ37" s="2712"/>
      <c r="BK37" s="2712"/>
      <c r="BL37" s="2712"/>
      <c r="BM37" s="2712"/>
      <c r="BN37" s="2712"/>
      <c r="BO37" s="2712"/>
      <c r="BP37" s="2713"/>
      <c r="BQ37" s="2713"/>
      <c r="BR37" s="2713"/>
      <c r="BS37" s="2713"/>
      <c r="BT37" s="2713"/>
      <c r="BU37" s="2713"/>
      <c r="BV37" s="2713"/>
      <c r="BW37" s="2713"/>
      <c r="BX37" s="2713"/>
      <c r="BY37" s="2713"/>
      <c r="BZ37" s="2713"/>
      <c r="CA37" s="2713"/>
      <c r="CB37" s="2713"/>
      <c r="CC37" s="2713"/>
      <c r="CD37" s="2713"/>
      <c r="CE37" s="2713"/>
      <c r="CF37" s="2713"/>
      <c r="CG37" s="2713"/>
      <c r="CH37" s="2714"/>
      <c r="CI37" s="2714"/>
      <c r="CJ37" s="2714"/>
      <c r="CK37" s="2714"/>
      <c r="CL37" s="2714"/>
      <c r="CM37" s="2714"/>
      <c r="CN37" s="2714"/>
      <c r="CO37" s="2714"/>
      <c r="CP37" s="2714"/>
      <c r="CQ37" s="2714"/>
      <c r="CR37" s="2714"/>
      <c r="CS37" s="2714"/>
      <c r="CT37" s="2714"/>
      <c r="CU37" s="2714"/>
      <c r="CV37" s="2714"/>
      <c r="CW37" s="2714"/>
      <c r="CX37" s="2715"/>
      <c r="CY37" s="2715"/>
      <c r="CZ37" s="2715"/>
      <c r="DA37" s="2715"/>
      <c r="DB37" s="2715"/>
      <c r="DC37" s="2715"/>
      <c r="DD37" s="2715"/>
      <c r="DE37" s="2715"/>
      <c r="DF37" s="2715"/>
      <c r="DG37" s="2715"/>
      <c r="DH37" s="2715"/>
      <c r="DI37" s="2715"/>
      <c r="DJ37" s="2715"/>
      <c r="DK37" s="2715"/>
      <c r="DL37" s="2715"/>
      <c r="DM37" s="2715"/>
      <c r="DN37" s="2715"/>
      <c r="DO37" s="2715"/>
      <c r="DP37" s="2715"/>
      <c r="DQ37" s="2715"/>
      <c r="DR37" s="2715"/>
      <c r="DS37" s="2715"/>
      <c r="DT37" s="2715"/>
      <c r="DU37" s="2715"/>
      <c r="DV37" s="2716"/>
      <c r="DW37" s="2716"/>
      <c r="DX37" s="2716"/>
      <c r="DY37" s="2716"/>
      <c r="DZ37" s="2716"/>
      <c r="EA37" s="2716"/>
      <c r="EB37" s="2716"/>
      <c r="EC37" s="2716"/>
      <c r="ED37" s="2716"/>
      <c r="EE37" s="2716"/>
      <c r="EF37" s="2716"/>
      <c r="EG37" s="2716"/>
      <c r="EH37" s="2716"/>
      <c r="EI37" s="2716"/>
      <c r="EJ37" s="2716"/>
      <c r="EK37" s="2716"/>
      <c r="EL37" s="2716"/>
      <c r="EM37" s="2716"/>
      <c r="EN37" s="2716"/>
      <c r="EO37" s="2716"/>
      <c r="EP37" s="2716"/>
      <c r="EQ37" s="2716"/>
      <c r="ER37" s="2716"/>
      <c r="ES37" s="2716"/>
      <c r="ET37" s="2716"/>
      <c r="EU37" s="2716"/>
      <c r="EV37" s="2716"/>
      <c r="EW37" s="2716"/>
      <c r="EX37" s="2716"/>
      <c r="EY37" s="2716"/>
      <c r="EZ37" s="2716"/>
      <c r="FA37" s="2716"/>
      <c r="FB37" s="2716"/>
      <c r="FC37" s="2716"/>
      <c r="FD37" s="2716"/>
      <c r="FE37" s="2716"/>
      <c r="FF37" s="2716"/>
      <c r="FG37" s="2716"/>
      <c r="FH37" s="2716"/>
      <c r="FI37" s="2716"/>
      <c r="FJ37" s="2716"/>
    </row>
    <row r="38" spans="1:169" s="1428" customFormat="1" ht="15.75" customHeight="1" thickTop="1" x14ac:dyDescent="0.25">
      <c r="A38" s="1428" t="s">
        <v>173</v>
      </c>
      <c r="B38" s="2717"/>
    </row>
    <row r="39" spans="1:169" s="1428" customFormat="1" ht="15.75" customHeight="1" x14ac:dyDescent="0.25">
      <c r="A39" s="2671" t="s">
        <v>2586</v>
      </c>
    </row>
    <row r="40" spans="1:169" s="1428" customFormat="1" ht="15.75" customHeight="1" x14ac:dyDescent="0.25">
      <c r="A40" s="2671" t="s">
        <v>2587</v>
      </c>
    </row>
    <row r="41" spans="1:169" s="1711" customFormat="1" ht="15.75" customHeight="1" x14ac:dyDescent="0.3">
      <c r="A41" s="1428" t="s">
        <v>2588</v>
      </c>
      <c r="B41" s="1428"/>
      <c r="C41" s="1428"/>
      <c r="D41" s="1428"/>
      <c r="E41" s="1428"/>
      <c r="F41" s="1428"/>
      <c r="G41" s="1428"/>
      <c r="H41" s="1428"/>
      <c r="I41" s="1428"/>
      <c r="J41" s="1428"/>
      <c r="K41" s="1428"/>
      <c r="L41" s="1428"/>
      <c r="M41" s="1428"/>
      <c r="N41" s="1428"/>
      <c r="O41" s="1428"/>
      <c r="P41" s="1428"/>
      <c r="Q41" s="1428"/>
      <c r="R41" s="1428"/>
      <c r="S41" s="1428"/>
      <c r="T41" s="1428"/>
      <c r="U41" s="1428"/>
      <c r="V41" s="1428"/>
      <c r="W41" s="1428"/>
      <c r="X41" s="1428"/>
      <c r="Y41" s="1428"/>
      <c r="Z41" s="1428"/>
      <c r="AA41" s="1428"/>
      <c r="AB41" s="1428"/>
      <c r="AC41" s="1428"/>
      <c r="AD41" s="1428"/>
      <c r="AE41" s="1428"/>
      <c r="AF41" s="1428"/>
      <c r="AG41" s="1428"/>
      <c r="AH41" s="1428"/>
      <c r="AI41" s="1428"/>
      <c r="AJ41" s="1428"/>
      <c r="AK41" s="1428"/>
      <c r="AL41" s="1428"/>
      <c r="AM41" s="1428"/>
      <c r="AN41" s="1428"/>
      <c r="AO41" s="1428"/>
      <c r="AP41" s="1428"/>
      <c r="AQ41" s="1428"/>
      <c r="AR41" s="1428"/>
      <c r="AS41" s="1428"/>
      <c r="AT41" s="1428"/>
      <c r="AU41" s="1428"/>
      <c r="AV41" s="1428"/>
      <c r="AW41" s="1428"/>
      <c r="AX41" s="1428"/>
      <c r="AY41" s="1428"/>
      <c r="AZ41" s="1428"/>
      <c r="BA41" s="1428"/>
      <c r="BB41" s="1428"/>
      <c r="BC41" s="1428"/>
      <c r="BD41" s="1428"/>
      <c r="BE41" s="1428"/>
      <c r="BF41" s="1428"/>
      <c r="BG41" s="1428"/>
      <c r="BH41" s="1428"/>
      <c r="BI41" s="1428"/>
      <c r="BJ41" s="1428"/>
      <c r="BK41" s="1428"/>
      <c r="BL41" s="1428"/>
      <c r="BM41" s="1428"/>
      <c r="BN41" s="1428"/>
      <c r="BO41" s="1428"/>
      <c r="BP41" s="1428"/>
      <c r="BQ41" s="1428"/>
      <c r="BR41" s="1428"/>
      <c r="BS41" s="1428"/>
      <c r="BT41" s="1428"/>
      <c r="BU41" s="1428"/>
      <c r="BV41" s="1428"/>
      <c r="BW41" s="1428"/>
      <c r="BX41" s="1428"/>
      <c r="BY41" s="1428"/>
      <c r="BZ41" s="1428"/>
      <c r="CA41" s="1428"/>
      <c r="CB41" s="1428"/>
      <c r="CC41" s="1428"/>
      <c r="CD41" s="1428"/>
      <c r="CE41" s="1428"/>
      <c r="CF41" s="1428"/>
      <c r="CG41" s="1428"/>
      <c r="CH41" s="1428"/>
      <c r="CI41" s="1428"/>
      <c r="CJ41" s="1428"/>
      <c r="CK41" s="1428"/>
      <c r="CL41" s="1428"/>
      <c r="CM41" s="1428"/>
      <c r="CN41" s="1428"/>
      <c r="CO41" s="1428"/>
      <c r="CP41" s="1428"/>
      <c r="CQ41" s="1428"/>
      <c r="CR41" s="1428"/>
      <c r="CS41" s="1428"/>
      <c r="CT41" s="1428"/>
      <c r="CU41" s="1428"/>
      <c r="CV41" s="1428"/>
      <c r="CW41" s="1428"/>
      <c r="CX41" s="1428"/>
      <c r="CY41" s="1428"/>
      <c r="CZ41" s="1428"/>
      <c r="DA41" s="1428"/>
      <c r="DB41" s="1428"/>
      <c r="DC41" s="1428"/>
      <c r="DD41" s="1428"/>
      <c r="DE41" s="1428"/>
      <c r="DF41" s="1428"/>
      <c r="DG41" s="1428"/>
      <c r="DH41" s="1428"/>
      <c r="DI41" s="1428"/>
      <c r="DJ41" s="1428"/>
      <c r="DK41" s="1428"/>
      <c r="DL41" s="1428"/>
      <c r="DM41" s="1428"/>
      <c r="DN41" s="1428"/>
      <c r="DO41" s="1428"/>
      <c r="DP41" s="1428"/>
      <c r="DQ41" s="1428"/>
      <c r="DR41" s="1428"/>
      <c r="DS41" s="1428"/>
      <c r="DT41" s="1428"/>
      <c r="DU41" s="1428"/>
      <c r="DV41" s="1428"/>
      <c r="DW41" s="1428"/>
      <c r="DX41" s="1428"/>
      <c r="DY41" s="1428"/>
      <c r="DZ41" s="1428"/>
      <c r="EA41" s="1428"/>
      <c r="EB41" s="1428"/>
      <c r="EC41" s="1428"/>
      <c r="ED41" s="1428"/>
      <c r="EE41" s="1428"/>
      <c r="EF41" s="1428"/>
      <c r="EG41" s="1428"/>
      <c r="EH41" s="1428"/>
      <c r="EI41" s="1428"/>
      <c r="EJ41" s="1428"/>
      <c r="EK41" s="1428"/>
      <c r="EL41" s="1428"/>
      <c r="EM41" s="1428"/>
      <c r="EN41" s="1428"/>
      <c r="EO41" s="1428"/>
      <c r="EP41" s="1428"/>
      <c r="EQ41" s="1428"/>
      <c r="ER41" s="1428"/>
      <c r="ES41" s="1428"/>
      <c r="ET41" s="1428"/>
      <c r="EU41" s="1428"/>
      <c r="EV41" s="1428"/>
      <c r="EW41" s="1428"/>
      <c r="EX41" s="1428"/>
      <c r="EY41" s="1428"/>
      <c r="EZ41" s="1428"/>
      <c r="FA41" s="1428"/>
      <c r="FB41" s="1428"/>
      <c r="FC41" s="1428"/>
      <c r="FD41" s="1428"/>
      <c r="FE41" s="1428"/>
      <c r="FF41" s="1428"/>
      <c r="FG41" s="1428"/>
      <c r="FH41" s="1428"/>
      <c r="FI41" s="1428"/>
      <c r="FJ41" s="1428"/>
      <c r="FK41" s="1428"/>
    </row>
    <row r="42" spans="1:169" s="1427" customFormat="1" ht="20.25" customHeight="1" x14ac:dyDescent="0.25">
      <c r="A42" s="2131" t="s">
        <v>290</v>
      </c>
      <c r="B42" s="2718"/>
    </row>
    <row r="44" spans="1:169" x14ac:dyDescent="0.25">
      <c r="EL44" s="2719"/>
    </row>
    <row r="45" spans="1:169" x14ac:dyDescent="0.25">
      <c r="EL45" s="2720"/>
    </row>
  </sheetData>
  <pageMargins left="0.75" right="0.25" top="0.75" bottom="0.75" header="0.3" footer="0"/>
  <pageSetup paperSize="9" scale="6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81</vt:i4>
      </vt:variant>
    </vt:vector>
  </HeadingPairs>
  <TitlesOfParts>
    <vt:vector size="161" baseType="lpstr">
      <vt:lpstr>Table of Contents</vt:lpstr>
      <vt:lpstr>1</vt:lpstr>
      <vt:lpstr>2 </vt:lpstr>
      <vt:lpstr>3 </vt:lpstr>
      <vt:lpstr>4 </vt:lpstr>
      <vt:lpstr>5 </vt:lpstr>
      <vt:lpstr>6</vt:lpstr>
      <vt:lpstr>7 </vt:lpstr>
      <vt:lpstr>8 </vt:lpstr>
      <vt:lpstr>9</vt:lpstr>
      <vt:lpstr>10</vt:lpstr>
      <vt:lpstr>11</vt:lpstr>
      <vt:lpstr>12</vt:lpstr>
      <vt:lpstr>13a</vt:lpstr>
      <vt:lpstr>13b</vt:lpstr>
      <vt:lpstr>13c </vt:lpstr>
      <vt:lpstr>13d</vt:lpstr>
      <vt:lpstr>13e</vt:lpstr>
      <vt:lpstr>14a-b</vt:lpstr>
      <vt:lpstr>15</vt:lpstr>
      <vt:lpstr>16a</vt:lpstr>
      <vt:lpstr>16b</vt:lpstr>
      <vt:lpstr>17a</vt:lpstr>
      <vt:lpstr>17b</vt:lpstr>
      <vt:lpstr>17c</vt:lpstr>
      <vt:lpstr>18</vt:lpstr>
      <vt:lpstr>19</vt:lpstr>
      <vt:lpstr>20a</vt:lpstr>
      <vt:lpstr>20b</vt:lpstr>
      <vt:lpstr>21</vt:lpstr>
      <vt:lpstr>22a</vt:lpstr>
      <vt:lpstr>22b</vt:lpstr>
      <vt:lpstr>23</vt:lpstr>
      <vt:lpstr>24a</vt:lpstr>
      <vt:lpstr>24b</vt:lpstr>
      <vt:lpstr>25</vt:lpstr>
      <vt:lpstr>26</vt:lpstr>
      <vt:lpstr>27</vt:lpstr>
      <vt:lpstr>28</vt:lpstr>
      <vt:lpstr>29</vt:lpstr>
      <vt:lpstr>30a</vt:lpstr>
      <vt:lpstr>30b</vt:lpstr>
      <vt:lpstr>31-32-33</vt:lpstr>
      <vt:lpstr>34</vt:lpstr>
      <vt:lpstr>35</vt:lpstr>
      <vt:lpstr>36</vt:lpstr>
      <vt:lpstr>37a-b</vt:lpstr>
      <vt:lpstr>38a-b</vt:lpstr>
      <vt:lpstr>39a-b</vt:lpstr>
      <vt:lpstr>40a-b</vt:lpstr>
      <vt:lpstr>41a-b</vt:lpstr>
      <vt:lpstr>42</vt:lpstr>
      <vt:lpstr>43-44</vt:lpstr>
      <vt:lpstr>45a-b</vt:lpstr>
      <vt:lpstr>45c</vt:lpstr>
      <vt:lpstr> 46</vt:lpstr>
      <vt:lpstr>47a-b</vt:lpstr>
      <vt:lpstr>47c</vt:lpstr>
      <vt:lpstr>48</vt:lpstr>
      <vt:lpstr>49a-b</vt:lpstr>
      <vt:lpstr>50a</vt:lpstr>
      <vt:lpstr>50b-c</vt:lpstr>
      <vt:lpstr>50d</vt:lpstr>
      <vt:lpstr>51-52</vt:lpstr>
      <vt:lpstr>53</vt:lpstr>
      <vt:lpstr>54a</vt:lpstr>
      <vt:lpstr>54b</vt:lpstr>
      <vt:lpstr>55a-b</vt:lpstr>
      <vt:lpstr>56</vt:lpstr>
      <vt:lpstr>57a-b</vt:lpstr>
      <vt:lpstr>58</vt:lpstr>
      <vt:lpstr>59</vt:lpstr>
      <vt:lpstr>60a-b</vt:lpstr>
      <vt:lpstr>61a-b</vt:lpstr>
      <vt:lpstr>62a-c</vt:lpstr>
      <vt:lpstr>62d</vt:lpstr>
      <vt:lpstr>63</vt:lpstr>
      <vt:lpstr>64</vt:lpstr>
      <vt:lpstr>65</vt:lpstr>
      <vt:lpstr>66</vt:lpstr>
      <vt:lpstr>' 46'!Print_Area</vt:lpstr>
      <vt:lpstr>'1'!Print_Area</vt:lpstr>
      <vt:lpstr>'10'!Print_Area</vt:lpstr>
      <vt:lpstr>'11'!Print_Area</vt:lpstr>
      <vt:lpstr>'12'!Print_Area</vt:lpstr>
      <vt:lpstr>'13a'!Print_Area</vt:lpstr>
      <vt:lpstr>'13b'!Print_Area</vt:lpstr>
      <vt:lpstr>'13c '!Print_Area</vt:lpstr>
      <vt:lpstr>'13d'!Print_Area</vt:lpstr>
      <vt:lpstr>'13e'!Print_Area</vt:lpstr>
      <vt:lpstr>'14a-b'!Print_Area</vt:lpstr>
      <vt:lpstr>'15'!Print_Area</vt:lpstr>
      <vt:lpstr>'16a'!Print_Area</vt:lpstr>
      <vt:lpstr>'16b'!Print_Area</vt:lpstr>
      <vt:lpstr>'17a'!Print_Area</vt:lpstr>
      <vt:lpstr>'17b'!Print_Area</vt:lpstr>
      <vt:lpstr>'17c'!Print_Area</vt:lpstr>
      <vt:lpstr>'18'!Print_Area</vt:lpstr>
      <vt:lpstr>'19'!Print_Area</vt:lpstr>
      <vt:lpstr>'2 '!Print_Area</vt:lpstr>
      <vt:lpstr>'20a'!Print_Area</vt:lpstr>
      <vt:lpstr>'20b'!Print_Area</vt:lpstr>
      <vt:lpstr>'21'!Print_Area</vt:lpstr>
      <vt:lpstr>'22a'!Print_Area</vt:lpstr>
      <vt:lpstr>'22b'!Print_Area</vt:lpstr>
      <vt:lpstr>'23'!Print_Area</vt:lpstr>
      <vt:lpstr>'24a'!Print_Area</vt:lpstr>
      <vt:lpstr>'24b'!Print_Area</vt:lpstr>
      <vt:lpstr>'25'!Print_Area</vt:lpstr>
      <vt:lpstr>'26'!Print_Area</vt:lpstr>
      <vt:lpstr>'27'!Print_Area</vt:lpstr>
      <vt:lpstr>'28'!Print_Area</vt:lpstr>
      <vt:lpstr>'29'!Print_Area</vt:lpstr>
      <vt:lpstr>'3 '!Print_Area</vt:lpstr>
      <vt:lpstr>'30a'!Print_Area</vt:lpstr>
      <vt:lpstr>'30b'!Print_Area</vt:lpstr>
      <vt:lpstr>'31-32-33'!Print_Area</vt:lpstr>
      <vt:lpstr>'34'!Print_Area</vt:lpstr>
      <vt:lpstr>'35'!Print_Area</vt:lpstr>
      <vt:lpstr>'36'!Print_Area</vt:lpstr>
      <vt:lpstr>'37a-b'!Print_Area</vt:lpstr>
      <vt:lpstr>'38a-b'!Print_Area</vt:lpstr>
      <vt:lpstr>'39a-b'!Print_Area</vt:lpstr>
      <vt:lpstr>'4 '!Print_Area</vt:lpstr>
      <vt:lpstr>'40a-b'!Print_Area</vt:lpstr>
      <vt:lpstr>'41a-b'!Print_Area</vt:lpstr>
      <vt:lpstr>'42'!Print_Area</vt:lpstr>
      <vt:lpstr>'43-44'!Print_Area</vt:lpstr>
      <vt:lpstr>'45a-b'!Print_Area</vt:lpstr>
      <vt:lpstr>'45c'!Print_Area</vt:lpstr>
      <vt:lpstr>'47a-b'!Print_Area</vt:lpstr>
      <vt:lpstr>'47c'!Print_Area</vt:lpstr>
      <vt:lpstr>'48'!Print_Area</vt:lpstr>
      <vt:lpstr>'49a-b'!Print_Area</vt:lpstr>
      <vt:lpstr>'5 '!Print_Area</vt:lpstr>
      <vt:lpstr>'50a'!Print_Area</vt:lpstr>
      <vt:lpstr>'50b-c'!Print_Area</vt:lpstr>
      <vt:lpstr>'50d'!Print_Area</vt:lpstr>
      <vt:lpstr>'51-52'!Print_Area</vt:lpstr>
      <vt:lpstr>'53'!Print_Area</vt:lpstr>
      <vt:lpstr>'54a'!Print_Area</vt:lpstr>
      <vt:lpstr>'54b'!Print_Area</vt:lpstr>
      <vt:lpstr>'55a-b'!Print_Area</vt:lpstr>
      <vt:lpstr>'56'!Print_Area</vt:lpstr>
      <vt:lpstr>'57a-b'!Print_Area</vt:lpstr>
      <vt:lpstr>'58'!Print_Area</vt:lpstr>
      <vt:lpstr>'59'!Print_Area</vt:lpstr>
      <vt:lpstr>'6'!Print_Area</vt:lpstr>
      <vt:lpstr>'60a-b'!Print_Area</vt:lpstr>
      <vt:lpstr>'61a-b'!Print_Area</vt:lpstr>
      <vt:lpstr>'62a-c'!Print_Area</vt:lpstr>
      <vt:lpstr>'62d'!Print_Area</vt:lpstr>
      <vt:lpstr>'63'!Print_Area</vt:lpstr>
      <vt:lpstr>'64'!Print_Area</vt:lpstr>
      <vt:lpstr>'65'!Print_Area</vt:lpstr>
      <vt:lpstr>'66'!Print_Area</vt:lpstr>
      <vt:lpstr>'7 '!Print_Area</vt:lpstr>
      <vt:lpstr>'8 '!Print_Area</vt:lpstr>
      <vt:lpstr>'9'!Print_Area</vt:lpstr>
      <vt:lpstr>'Table of Contents'!Print_Area</vt:lpstr>
      <vt:lpstr>'65'!Print_Titles</vt:lpstr>
    </vt:vector>
  </TitlesOfParts>
  <Company>Bank of Mauritius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Soobhadra Fowdur</dc:creator>
  <cp:lastModifiedBy>Bihisht Mautadin</cp:lastModifiedBy>
  <cp:lastPrinted>2023-10-20T05:56:44Z</cp:lastPrinted>
  <dcterms:created xsi:type="dcterms:W3CDTF">2023-10-10T06:26:23Z</dcterms:created>
  <dcterms:modified xsi:type="dcterms:W3CDTF">2023-10-20T05:57:21Z</dcterms:modified>
</cp:coreProperties>
</file>